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mc:AlternateContent xmlns:mc="http://schemas.openxmlformats.org/markup-compatibility/2006">
    <mc:Choice Requires="x15">
      <x15ac:absPath xmlns:x15ac="http://schemas.microsoft.com/office/spreadsheetml/2010/11/ac" url="C:\Users\hp\Downloads\2024\POA\POA\12 DICIEMBRE\"/>
    </mc:Choice>
  </mc:AlternateContent>
  <bookViews>
    <workbookView xWindow="0" yWindow="0" windowWidth="20490" windowHeight="6750" tabRatio="730" firstSheet="3" activeTab="4"/>
  </bookViews>
  <sheets>
    <sheet name="Matriz 2024-resumen" sheetId="28" state="hidden" r:id="rId1"/>
    <sheet name="verificación-vr" sheetId="22" state="hidden" r:id="rId2"/>
    <sheet name="verificación-mg-" sheetId="29" state="hidden" r:id="rId3"/>
    <sheet name="td" sheetId="43" r:id="rId4"/>
    <sheet name="Matriz POA 2024-TRABAJO" sheetId="7" r:id="rId5"/>
    <sheet name="Reforma" sheetId="14" r:id="rId6"/>
    <sheet name="disponibles" sheetId="26" state="hidden" r:id="rId7"/>
    <sheet name="Constancias POA" sheetId="18" r:id="rId8"/>
    <sheet name="CP" sheetId="20" r:id="rId9"/>
    <sheet name="Devengado" sheetId="19" r:id="rId10"/>
    <sheet name="ITEM" sheetId="21" r:id="rId11"/>
  </sheets>
  <externalReferences>
    <externalReference r:id="rId12"/>
    <externalReference r:id="rId13"/>
  </externalReferences>
  <definedNames>
    <definedName name="_2__xlnm._FilterDatabase" localSheetId="9" hidden="1">Devengado!$A$1:$AJ$1</definedName>
    <definedName name="_3__xlnm._FilterDatabase" localSheetId="0" hidden="1">'Matriz 2024-resumen'!$A$4:$BR$4</definedName>
    <definedName name="_3__xlnm._FilterDatabase" localSheetId="4" hidden="1">'Matriz POA 2024-TRABAJO'!$A$4:$CY$4</definedName>
    <definedName name="_4__xlnm._FilterDatabase" localSheetId="6" hidden="1">disponibles!$A$1:$AB$1</definedName>
    <definedName name="_4__xlnm._FilterDatabase" localSheetId="5" hidden="1">Reforma!$A$1:$BI$1</definedName>
    <definedName name="_5__xlnm._FilterDatabase" localSheetId="7" hidden="1">'Constancias POA'!$A$1:$DF$3</definedName>
    <definedName name="_6__xlnm._FilterDatabase" localSheetId="8" hidden="1">CP!$B$1:$EY$1</definedName>
    <definedName name="_7__xlnm._FilterDatabase" localSheetId="0" hidden="1">'Matriz 2024-resumen'!$4:$4</definedName>
    <definedName name="_7__xlnm._FilterDatabase" localSheetId="4" hidden="1">'Matriz POA 2024-TRABAJO'!$4:$4</definedName>
    <definedName name="_8__xlnm._FilterDatabase" localSheetId="6" hidden="1">disponibles!#REF!</definedName>
    <definedName name="_8__xlnm._FilterDatabase" localSheetId="5" hidden="1">Reforma!#REF!</definedName>
    <definedName name="_xlnm._FilterDatabase" localSheetId="7" hidden="1">'Constancias POA'!$A$1:$DH$391</definedName>
    <definedName name="_xlnm._FilterDatabase" localSheetId="8" hidden="1">CP!$A$1:$FA$99</definedName>
    <definedName name="_xlnm._FilterDatabase" localSheetId="9" hidden="1">Devengado!$A$1:$AL$76</definedName>
    <definedName name="_xlnm._FilterDatabase" localSheetId="6" hidden="1">disponibles!$A$1:$AF$1</definedName>
    <definedName name="_xlnm._FilterDatabase" localSheetId="0" hidden="1">'Matriz 2024-resumen'!$A$4:$BR$844</definedName>
    <definedName name="_xlnm._FilterDatabase" localSheetId="4" hidden="1">'Matriz POA 2024-TRABAJO'!$A$4:$CZ$142</definedName>
    <definedName name="_xlnm._FilterDatabase" localSheetId="5" hidden="1">Reforma!$A$1:$BJ$334</definedName>
    <definedName name="_xlnm._FilterDatabase" localSheetId="1" hidden="1">'verificación-vr'!$J$4:$N$170</definedName>
  </definedNames>
  <calcPr calcId="162913"/>
  <pivotCaches>
    <pivotCache cacheId="0" r:id="rId1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56" i="19" l="1"/>
  <c r="AF21" i="19"/>
  <c r="AG30" i="19"/>
  <c r="AG7" i="19"/>
  <c r="AG27" i="19"/>
  <c r="AA58" i="20"/>
  <c r="AA86" i="20"/>
  <c r="AA90" i="20" l="1"/>
  <c r="Z90" i="20"/>
  <c r="AG71" i="19" l="1"/>
  <c r="AA57" i="20"/>
  <c r="AA56" i="20"/>
  <c r="AA55" i="20"/>
  <c r="AG29" i="19"/>
  <c r="AG28" i="19"/>
  <c r="AG26" i="19"/>
  <c r="AG25" i="19"/>
  <c r="AG24" i="19"/>
  <c r="AG23" i="19"/>
  <c r="AA54" i="20"/>
  <c r="AA53" i="20"/>
  <c r="AA52" i="20"/>
  <c r="AA51" i="20"/>
  <c r="AA50" i="20"/>
  <c r="AI72" i="19"/>
  <c r="T72" i="19"/>
  <c r="S72" i="19"/>
  <c r="R72" i="19"/>
  <c r="Q72" i="19"/>
  <c r="O72" i="19"/>
  <c r="N72" i="19"/>
  <c r="M72" i="19"/>
  <c r="L72" i="19"/>
  <c r="K72" i="19"/>
  <c r="J72" i="19"/>
  <c r="I72" i="19"/>
  <c r="H72" i="19"/>
  <c r="G72" i="19"/>
  <c r="F72" i="19"/>
  <c r="E72" i="19"/>
  <c r="D72" i="19"/>
  <c r="C72" i="19"/>
  <c r="B72" i="19"/>
  <c r="AI71" i="19"/>
  <c r="T71" i="19"/>
  <c r="S71" i="19"/>
  <c r="R71" i="19"/>
  <c r="Q71" i="19"/>
  <c r="O71" i="19"/>
  <c r="N71" i="19"/>
  <c r="M71" i="19"/>
  <c r="L71" i="19"/>
  <c r="K71" i="19"/>
  <c r="J71" i="19"/>
  <c r="I71" i="19"/>
  <c r="H71" i="19"/>
  <c r="G71" i="19"/>
  <c r="F71" i="19"/>
  <c r="E71" i="19"/>
  <c r="D71" i="19"/>
  <c r="C71" i="19"/>
  <c r="B71" i="19"/>
  <c r="AI70" i="19"/>
  <c r="T70" i="19"/>
  <c r="S70" i="19"/>
  <c r="R70" i="19"/>
  <c r="Q70" i="19"/>
  <c r="O70" i="19"/>
  <c r="M70" i="19"/>
  <c r="L70" i="19"/>
  <c r="K70" i="19"/>
  <c r="J70" i="19"/>
  <c r="I70" i="19"/>
  <c r="H70" i="19"/>
  <c r="G70" i="19"/>
  <c r="F70" i="19"/>
  <c r="E70" i="19"/>
  <c r="D70" i="19"/>
  <c r="C70" i="19"/>
  <c r="B70" i="19"/>
  <c r="AI69" i="19"/>
  <c r="T69" i="19"/>
  <c r="S69" i="19"/>
  <c r="R69" i="19"/>
  <c r="Q69" i="19"/>
  <c r="O69" i="19"/>
  <c r="N69" i="19"/>
  <c r="M69" i="19"/>
  <c r="L69" i="19"/>
  <c r="K69" i="19"/>
  <c r="J69" i="19"/>
  <c r="I69" i="19"/>
  <c r="H69" i="19"/>
  <c r="G69" i="19"/>
  <c r="F69" i="19"/>
  <c r="E69" i="19"/>
  <c r="D69" i="19"/>
  <c r="C69" i="19"/>
  <c r="B69" i="19"/>
  <c r="AI74" i="19"/>
  <c r="AH74" i="19"/>
  <c r="U74" i="19"/>
  <c r="T74" i="19"/>
  <c r="S74" i="19"/>
  <c r="R74" i="19"/>
  <c r="Q74" i="19"/>
  <c r="P74" i="19"/>
  <c r="O74" i="19"/>
  <c r="N74" i="19"/>
  <c r="M74" i="19"/>
  <c r="L74" i="19"/>
  <c r="K74" i="19"/>
  <c r="J74" i="19"/>
  <c r="I74" i="19"/>
  <c r="H74" i="19"/>
  <c r="G74" i="19"/>
  <c r="F74" i="19"/>
  <c r="E74" i="19"/>
  <c r="D74" i="19"/>
  <c r="C74" i="19"/>
  <c r="B74" i="19"/>
  <c r="AI73" i="19"/>
  <c r="T73" i="19"/>
  <c r="S73" i="19"/>
  <c r="R73" i="19"/>
  <c r="Q73" i="19"/>
  <c r="O73" i="19"/>
  <c r="M73" i="19"/>
  <c r="L73" i="19"/>
  <c r="K73" i="19"/>
  <c r="J73" i="19"/>
  <c r="I73" i="19"/>
  <c r="H73" i="19"/>
  <c r="G73" i="19"/>
  <c r="F73" i="19"/>
  <c r="E73" i="19"/>
  <c r="D73" i="19"/>
  <c r="C73" i="19"/>
  <c r="B73" i="19"/>
  <c r="AA49" i="20"/>
  <c r="AG40" i="19"/>
  <c r="AI67" i="19"/>
  <c r="T67" i="19"/>
  <c r="S67" i="19"/>
  <c r="R67" i="19"/>
  <c r="Q67" i="19"/>
  <c r="O67" i="19"/>
  <c r="N67" i="19"/>
  <c r="M67" i="19"/>
  <c r="L67" i="19"/>
  <c r="K67" i="19"/>
  <c r="J67" i="19"/>
  <c r="I67" i="19"/>
  <c r="H67" i="19"/>
  <c r="G67" i="19"/>
  <c r="F67" i="19"/>
  <c r="E67" i="19"/>
  <c r="D67" i="19"/>
  <c r="C67" i="19"/>
  <c r="B67" i="19"/>
  <c r="AI66" i="19"/>
  <c r="T66" i="19"/>
  <c r="S66" i="19"/>
  <c r="R66" i="19"/>
  <c r="Q66" i="19"/>
  <c r="O66" i="19"/>
  <c r="N66" i="19"/>
  <c r="M66" i="19"/>
  <c r="L66" i="19"/>
  <c r="K66" i="19"/>
  <c r="J66" i="19"/>
  <c r="I66" i="19"/>
  <c r="H66" i="19"/>
  <c r="G66" i="19"/>
  <c r="F66" i="19"/>
  <c r="E66" i="19"/>
  <c r="D66" i="19"/>
  <c r="C66" i="19"/>
  <c r="B66" i="19"/>
  <c r="AI65" i="19"/>
  <c r="T65" i="19"/>
  <c r="S65" i="19"/>
  <c r="R65" i="19"/>
  <c r="Q65" i="19"/>
  <c r="O65" i="19"/>
  <c r="M65" i="19"/>
  <c r="L65" i="19"/>
  <c r="K65" i="19"/>
  <c r="J65" i="19"/>
  <c r="I65" i="19"/>
  <c r="H65" i="19"/>
  <c r="G65" i="19"/>
  <c r="F65" i="19"/>
  <c r="E65" i="19"/>
  <c r="D65" i="19"/>
  <c r="C65" i="19"/>
  <c r="B65" i="19"/>
  <c r="AA48" i="20"/>
  <c r="AG6" i="19"/>
  <c r="AG5" i="19"/>
  <c r="AG43" i="19"/>
  <c r="AJ74" i="19" l="1"/>
  <c r="BG349" i="14"/>
  <c r="BB349" i="14"/>
  <c r="AU349" i="14"/>
  <c r="AA349" i="14"/>
  <c r="Z349" i="14"/>
  <c r="AG349" i="14" s="1"/>
  <c r="Y349" i="14"/>
  <c r="AF349" i="14" s="1"/>
  <c r="X349" i="14"/>
  <c r="W349" i="14"/>
  <c r="V349" i="14"/>
  <c r="U349" i="14"/>
  <c r="T349" i="14"/>
  <c r="S349" i="14"/>
  <c r="R349" i="14"/>
  <c r="Q349" i="14"/>
  <c r="P349" i="14"/>
  <c r="O349" i="14"/>
  <c r="N349" i="14"/>
  <c r="M349" i="14"/>
  <c r="L349" i="14"/>
  <c r="K349" i="14"/>
  <c r="J349" i="14"/>
  <c r="I349" i="14"/>
  <c r="H349" i="14"/>
  <c r="G349" i="14"/>
  <c r="F349" i="14"/>
  <c r="E349" i="14"/>
  <c r="BI349" i="14" s="1"/>
  <c r="D349" i="14"/>
  <c r="C349" i="14"/>
  <c r="B349" i="14"/>
  <c r="BH349" i="14" s="1"/>
  <c r="BG348" i="14"/>
  <c r="BB348" i="14"/>
  <c r="AU348" i="14"/>
  <c r="AA348" i="14"/>
  <c r="Z348" i="14"/>
  <c r="AG348" i="14" s="1"/>
  <c r="Y348" i="14"/>
  <c r="AF348" i="14" s="1"/>
  <c r="X348" i="14"/>
  <c r="W348" i="14"/>
  <c r="V348" i="14"/>
  <c r="U348" i="14"/>
  <c r="T348" i="14"/>
  <c r="S348" i="14"/>
  <c r="R348" i="14"/>
  <c r="Q348" i="14"/>
  <c r="P348" i="14"/>
  <c r="O348" i="14"/>
  <c r="N348" i="14"/>
  <c r="M348" i="14"/>
  <c r="L348" i="14"/>
  <c r="K348" i="14"/>
  <c r="J348" i="14"/>
  <c r="I348" i="14"/>
  <c r="H348" i="14"/>
  <c r="G348" i="14"/>
  <c r="F348" i="14"/>
  <c r="E348" i="14"/>
  <c r="BI348" i="14" s="1"/>
  <c r="D348" i="14"/>
  <c r="C348" i="14"/>
  <c r="B348" i="14"/>
  <c r="BH348" i="14" s="1"/>
  <c r="BG347" i="14"/>
  <c r="BB347" i="14"/>
  <c r="AU347" i="14"/>
  <c r="AA347" i="14"/>
  <c r="Z347" i="14"/>
  <c r="AG347" i="14" s="1"/>
  <c r="Y347" i="14"/>
  <c r="AF347" i="14" s="1"/>
  <c r="X347" i="14"/>
  <c r="W347" i="14"/>
  <c r="V347" i="14"/>
  <c r="U347" i="14"/>
  <c r="T347" i="14"/>
  <c r="S347" i="14"/>
  <c r="R347" i="14"/>
  <c r="Q347" i="14"/>
  <c r="P347" i="14"/>
  <c r="O347" i="14"/>
  <c r="N347" i="14"/>
  <c r="M347" i="14"/>
  <c r="L347" i="14"/>
  <c r="K347" i="14"/>
  <c r="J347" i="14"/>
  <c r="I347" i="14"/>
  <c r="H347" i="14"/>
  <c r="G347" i="14"/>
  <c r="F347" i="14"/>
  <c r="E347" i="14"/>
  <c r="BI347" i="14" s="1"/>
  <c r="D347" i="14"/>
  <c r="C347" i="14"/>
  <c r="B347" i="14"/>
  <c r="BH347" i="14" s="1"/>
  <c r="BG346" i="14"/>
  <c r="BB346" i="14"/>
  <c r="AU346" i="14"/>
  <c r="AA346" i="14"/>
  <c r="Z346" i="14"/>
  <c r="AG346" i="14" s="1"/>
  <c r="Y346" i="14"/>
  <c r="AF346" i="14" s="1"/>
  <c r="X346" i="14"/>
  <c r="W346" i="14"/>
  <c r="V346" i="14"/>
  <c r="U346" i="14"/>
  <c r="T346" i="14"/>
  <c r="S346" i="14"/>
  <c r="R346" i="14"/>
  <c r="Q346" i="14"/>
  <c r="P346" i="14"/>
  <c r="O346" i="14"/>
  <c r="N346" i="14"/>
  <c r="M346" i="14"/>
  <c r="L346" i="14"/>
  <c r="K346" i="14"/>
  <c r="J346" i="14"/>
  <c r="I346" i="14"/>
  <c r="H346" i="14"/>
  <c r="G346" i="14"/>
  <c r="F346" i="14"/>
  <c r="E346" i="14"/>
  <c r="BI346" i="14" s="1"/>
  <c r="D346" i="14"/>
  <c r="C346" i="14"/>
  <c r="B346" i="14"/>
  <c r="BH346" i="14" s="1"/>
  <c r="BG345" i="14"/>
  <c r="BB345" i="14"/>
  <c r="AU345" i="14"/>
  <c r="T345" i="14"/>
  <c r="S345" i="14"/>
  <c r="R345" i="14"/>
  <c r="Q345" i="14"/>
  <c r="P345" i="14"/>
  <c r="N345" i="14"/>
  <c r="M345" i="14"/>
  <c r="L345" i="14"/>
  <c r="K345" i="14"/>
  <c r="J345" i="14"/>
  <c r="I345" i="14"/>
  <c r="H345" i="14"/>
  <c r="G345" i="14"/>
  <c r="F345" i="14"/>
  <c r="E345" i="14"/>
  <c r="BI345" i="14" s="1"/>
  <c r="D345" i="14"/>
  <c r="C345" i="14"/>
  <c r="B345" i="14"/>
  <c r="BH345" i="14" s="1"/>
  <c r="BG344" i="14"/>
  <c r="BB344" i="14"/>
  <c r="AU344" i="14"/>
  <c r="T344" i="14"/>
  <c r="S344" i="14"/>
  <c r="R344" i="14"/>
  <c r="Q344" i="14"/>
  <c r="P344" i="14"/>
  <c r="N344" i="14"/>
  <c r="M344" i="14"/>
  <c r="L344" i="14"/>
  <c r="K344" i="14"/>
  <c r="J344" i="14"/>
  <c r="I344" i="14"/>
  <c r="H344" i="14"/>
  <c r="G344" i="14"/>
  <c r="F344" i="14"/>
  <c r="E344" i="14"/>
  <c r="BI344" i="14" s="1"/>
  <c r="D344" i="14"/>
  <c r="C344" i="14"/>
  <c r="B344" i="14"/>
  <c r="BH344" i="14" s="1"/>
  <c r="BG343" i="14"/>
  <c r="BB343" i="14"/>
  <c r="AU343" i="14"/>
  <c r="T343" i="14"/>
  <c r="S343" i="14"/>
  <c r="R343" i="14"/>
  <c r="Q343" i="14"/>
  <c r="P343" i="14"/>
  <c r="N343" i="14"/>
  <c r="M343" i="14"/>
  <c r="L343" i="14"/>
  <c r="K343" i="14"/>
  <c r="J343" i="14"/>
  <c r="I343" i="14"/>
  <c r="H343" i="14"/>
  <c r="G343" i="14"/>
  <c r="F343" i="14"/>
  <c r="E343" i="14"/>
  <c r="BI343" i="14" s="1"/>
  <c r="D343" i="14"/>
  <c r="C343" i="14"/>
  <c r="B343" i="14"/>
  <c r="BH343" i="14" s="1"/>
  <c r="BG342" i="14"/>
  <c r="BB342" i="14"/>
  <c r="AU342" i="14"/>
  <c r="T342" i="14"/>
  <c r="S342" i="14"/>
  <c r="R342" i="14"/>
  <c r="Q342" i="14"/>
  <c r="P342" i="14"/>
  <c r="N342" i="14"/>
  <c r="M342" i="14"/>
  <c r="L342" i="14"/>
  <c r="K342" i="14"/>
  <c r="J342" i="14"/>
  <c r="I342" i="14"/>
  <c r="H342" i="14"/>
  <c r="G342" i="14"/>
  <c r="F342" i="14"/>
  <c r="E342" i="14"/>
  <c r="BI342" i="14" s="1"/>
  <c r="D342" i="14"/>
  <c r="C342" i="14"/>
  <c r="B342" i="14"/>
  <c r="BH342" i="14" s="1"/>
  <c r="BG341" i="14"/>
  <c r="BB341" i="14"/>
  <c r="AU341" i="14"/>
  <c r="T341" i="14"/>
  <c r="S341" i="14"/>
  <c r="R341" i="14"/>
  <c r="Q341" i="14"/>
  <c r="P341" i="14"/>
  <c r="O341" i="14"/>
  <c r="N341" i="14"/>
  <c r="M341" i="14"/>
  <c r="L341" i="14"/>
  <c r="K341" i="14"/>
  <c r="J341" i="14"/>
  <c r="I341" i="14"/>
  <c r="H341" i="14"/>
  <c r="G341" i="14"/>
  <c r="F341" i="14"/>
  <c r="E341" i="14"/>
  <c r="BI341" i="14" s="1"/>
  <c r="D341" i="14"/>
  <c r="C341" i="14"/>
  <c r="B341" i="14"/>
  <c r="BH341" i="14" s="1"/>
  <c r="AH348" i="14" l="1"/>
  <c r="AV348" i="14" s="1"/>
  <c r="AH349" i="14"/>
  <c r="AV349" i="14" s="1"/>
  <c r="AH347" i="14"/>
  <c r="AV347" i="14" s="1"/>
  <c r="AH346" i="14"/>
  <c r="AV346" i="14" s="1"/>
  <c r="Z10" i="20"/>
  <c r="AA95" i="20"/>
  <c r="AF63" i="19" l="1"/>
  <c r="AF54" i="19"/>
  <c r="AF6" i="19"/>
  <c r="AF5" i="19"/>
  <c r="AF55" i="19"/>
  <c r="AF57" i="19"/>
  <c r="AF40" i="19"/>
  <c r="AF30" i="19"/>
  <c r="AF29" i="19"/>
  <c r="AF28" i="19"/>
  <c r="AF27" i="19"/>
  <c r="AF22" i="19"/>
  <c r="AF39" i="19"/>
  <c r="AI76" i="19"/>
  <c r="AH76" i="19"/>
  <c r="U76" i="19"/>
  <c r="T76" i="19"/>
  <c r="S76" i="19"/>
  <c r="R76" i="19"/>
  <c r="Q76" i="19"/>
  <c r="P76" i="19"/>
  <c r="O76" i="19"/>
  <c r="N76" i="19"/>
  <c r="M76" i="19"/>
  <c r="L76" i="19"/>
  <c r="K76" i="19"/>
  <c r="J76" i="19"/>
  <c r="I76" i="19"/>
  <c r="H76" i="19"/>
  <c r="G76" i="19"/>
  <c r="F76" i="19"/>
  <c r="E76" i="19"/>
  <c r="D76" i="19"/>
  <c r="C76" i="19"/>
  <c r="B76" i="19"/>
  <c r="AI75" i="19"/>
  <c r="AH75" i="19"/>
  <c r="U75" i="19"/>
  <c r="T75" i="19"/>
  <c r="S75" i="19"/>
  <c r="R75" i="19"/>
  <c r="Q75" i="19"/>
  <c r="P75" i="19"/>
  <c r="O75" i="19"/>
  <c r="N75" i="19"/>
  <c r="M75" i="19"/>
  <c r="L75" i="19"/>
  <c r="K75" i="19"/>
  <c r="J75" i="19"/>
  <c r="I75" i="19"/>
  <c r="H75" i="19"/>
  <c r="G75" i="19"/>
  <c r="F75" i="19"/>
  <c r="E75" i="19"/>
  <c r="D75" i="19"/>
  <c r="C75" i="19"/>
  <c r="B75" i="19"/>
  <c r="AI68" i="19"/>
  <c r="T68" i="19"/>
  <c r="S68" i="19"/>
  <c r="R68" i="19"/>
  <c r="Q68" i="19"/>
  <c r="O68" i="19"/>
  <c r="M68" i="19"/>
  <c r="L68" i="19"/>
  <c r="K68" i="19"/>
  <c r="J68" i="19"/>
  <c r="I68" i="19"/>
  <c r="H68" i="19"/>
  <c r="G68" i="19"/>
  <c r="F68" i="19"/>
  <c r="E68" i="19"/>
  <c r="D68" i="19"/>
  <c r="C68" i="19"/>
  <c r="B68" i="19"/>
  <c r="AI64" i="19"/>
  <c r="T64" i="19"/>
  <c r="S64" i="19"/>
  <c r="R64" i="19"/>
  <c r="Q64" i="19"/>
  <c r="O64" i="19"/>
  <c r="N64" i="19"/>
  <c r="M64" i="19"/>
  <c r="L64" i="19"/>
  <c r="K64" i="19"/>
  <c r="J64" i="19"/>
  <c r="I64" i="19"/>
  <c r="H64" i="19"/>
  <c r="G64" i="19"/>
  <c r="F64" i="19"/>
  <c r="E64" i="19"/>
  <c r="D64" i="19"/>
  <c r="C64" i="19"/>
  <c r="B64" i="19"/>
  <c r="AI63" i="19"/>
  <c r="T63" i="19"/>
  <c r="S63" i="19"/>
  <c r="R63" i="19"/>
  <c r="Q63" i="19"/>
  <c r="O63" i="19"/>
  <c r="M63" i="19"/>
  <c r="L63" i="19"/>
  <c r="K63" i="19"/>
  <c r="J63" i="19"/>
  <c r="I63" i="19"/>
  <c r="H63" i="19"/>
  <c r="G63" i="19"/>
  <c r="F63" i="19"/>
  <c r="E63" i="19"/>
  <c r="D63" i="19"/>
  <c r="C63" i="19"/>
  <c r="B63" i="19"/>
  <c r="AI62" i="19"/>
  <c r="T62" i="19"/>
  <c r="S62" i="19"/>
  <c r="R62" i="19"/>
  <c r="Q62" i="19"/>
  <c r="O62" i="19"/>
  <c r="N62" i="19"/>
  <c r="M62" i="19"/>
  <c r="L62" i="19"/>
  <c r="K62" i="19"/>
  <c r="J62" i="19"/>
  <c r="I62" i="19"/>
  <c r="H62" i="19"/>
  <c r="G62" i="19"/>
  <c r="F62" i="19"/>
  <c r="E62" i="19"/>
  <c r="D62" i="19"/>
  <c r="C62" i="19"/>
  <c r="B62" i="19"/>
  <c r="AF26" i="19"/>
  <c r="AF25" i="19"/>
  <c r="AF24" i="19"/>
  <c r="AF23" i="19"/>
  <c r="AF59" i="19"/>
  <c r="AF58" i="19"/>
  <c r="AI61" i="19"/>
  <c r="T61" i="19"/>
  <c r="S61" i="19"/>
  <c r="R61" i="19"/>
  <c r="Q61" i="19"/>
  <c r="O61" i="19"/>
  <c r="N61" i="19"/>
  <c r="M61" i="19"/>
  <c r="L61" i="19"/>
  <c r="K61" i="19"/>
  <c r="J61" i="19"/>
  <c r="I61" i="19"/>
  <c r="H61" i="19"/>
  <c r="G61" i="19"/>
  <c r="F61" i="19"/>
  <c r="E61" i="19"/>
  <c r="D61" i="19"/>
  <c r="C61" i="19"/>
  <c r="B61" i="19"/>
  <c r="AI60" i="19"/>
  <c r="T60" i="19"/>
  <c r="S60" i="19"/>
  <c r="R60" i="19"/>
  <c r="Q60" i="19"/>
  <c r="O60" i="19"/>
  <c r="N60" i="19"/>
  <c r="M60" i="19"/>
  <c r="L60" i="19"/>
  <c r="K60" i="19"/>
  <c r="J60" i="19"/>
  <c r="I60" i="19"/>
  <c r="H60" i="19"/>
  <c r="G60" i="19"/>
  <c r="F60" i="19"/>
  <c r="E60" i="19"/>
  <c r="D60" i="19"/>
  <c r="C60" i="19"/>
  <c r="B60" i="19"/>
  <c r="AJ76" i="19" l="1"/>
  <c r="AJ75" i="19"/>
  <c r="C96" i="20"/>
  <c r="AA93" i="20"/>
  <c r="Z93" i="20"/>
  <c r="EY99" i="20" l="1"/>
  <c r="EX99" i="20"/>
  <c r="ER99" i="20"/>
  <c r="EL99" i="20"/>
  <c r="EF99" i="20"/>
  <c r="DZ99" i="20"/>
  <c r="DT99" i="20"/>
  <c r="DN99" i="20"/>
  <c r="DH99" i="20"/>
  <c r="DB99" i="20"/>
  <c r="CV99" i="20"/>
  <c r="CP99" i="20"/>
  <c r="CJ99" i="20"/>
  <c r="CD99" i="20"/>
  <c r="BX99" i="20"/>
  <c r="BR99" i="20"/>
  <c r="BL99" i="20"/>
  <c r="BF99" i="20"/>
  <c r="AZ99" i="20"/>
  <c r="AT99" i="20"/>
  <c r="AN99" i="20"/>
  <c r="AH99" i="20"/>
  <c r="AB99" i="20"/>
  <c r="V99" i="20"/>
  <c r="S99" i="20"/>
  <c r="R99" i="20"/>
  <c r="Q99" i="20"/>
  <c r="P99" i="20"/>
  <c r="O99" i="20"/>
  <c r="N99" i="20"/>
  <c r="M99" i="20"/>
  <c r="L99" i="20"/>
  <c r="K99" i="20"/>
  <c r="J99" i="20"/>
  <c r="I99" i="20"/>
  <c r="H99" i="20"/>
  <c r="G99" i="20"/>
  <c r="F99" i="20"/>
  <c r="E99" i="20"/>
  <c r="D99" i="20"/>
  <c r="C99" i="20"/>
  <c r="B99" i="20"/>
  <c r="EY98" i="20"/>
  <c r="EX98" i="20"/>
  <c r="ER98" i="20"/>
  <c r="EL98" i="20"/>
  <c r="EF98" i="20"/>
  <c r="DZ98" i="20"/>
  <c r="DT98" i="20"/>
  <c r="DN98" i="20"/>
  <c r="DH98" i="20"/>
  <c r="DB98" i="20"/>
  <c r="CV98" i="20"/>
  <c r="CP98" i="20"/>
  <c r="CJ98" i="20"/>
  <c r="CD98" i="20"/>
  <c r="BX98" i="20"/>
  <c r="BR98" i="20"/>
  <c r="BL98" i="20"/>
  <c r="BF98" i="20"/>
  <c r="AZ98" i="20"/>
  <c r="AT98" i="20"/>
  <c r="AN98" i="20"/>
  <c r="AH98" i="20"/>
  <c r="AB98" i="20"/>
  <c r="V98" i="20"/>
  <c r="S98" i="20"/>
  <c r="R98" i="20"/>
  <c r="P98" i="20"/>
  <c r="O98" i="20"/>
  <c r="N98" i="20"/>
  <c r="M98" i="20"/>
  <c r="L98" i="20"/>
  <c r="K98" i="20"/>
  <c r="J98" i="20"/>
  <c r="I98" i="20"/>
  <c r="H98" i="20"/>
  <c r="G98" i="20"/>
  <c r="F98" i="20"/>
  <c r="E98" i="20"/>
  <c r="D98" i="20"/>
  <c r="C98" i="20"/>
  <c r="B98" i="20"/>
  <c r="EY97" i="20"/>
  <c r="EX97" i="20"/>
  <c r="ER97" i="20"/>
  <c r="EL97" i="20"/>
  <c r="EF97" i="20"/>
  <c r="DZ97" i="20"/>
  <c r="DT97" i="20"/>
  <c r="DN97" i="20"/>
  <c r="DH97" i="20"/>
  <c r="DB97" i="20"/>
  <c r="CV97" i="20"/>
  <c r="CP97" i="20"/>
  <c r="CJ97" i="20"/>
  <c r="CD97" i="20"/>
  <c r="BX97" i="20"/>
  <c r="BR97" i="20"/>
  <c r="BL97" i="20"/>
  <c r="BF97" i="20"/>
  <c r="AZ97" i="20"/>
  <c r="AT97" i="20"/>
  <c r="AN97" i="20"/>
  <c r="AH97" i="20"/>
  <c r="AB97" i="20"/>
  <c r="V97" i="20"/>
  <c r="S97" i="20"/>
  <c r="R97" i="20"/>
  <c r="P97" i="20"/>
  <c r="O97" i="20"/>
  <c r="N97" i="20"/>
  <c r="M97" i="20"/>
  <c r="L97" i="20"/>
  <c r="K97" i="20"/>
  <c r="J97" i="20"/>
  <c r="I97" i="20"/>
  <c r="H97" i="20"/>
  <c r="G97" i="20"/>
  <c r="F97" i="20"/>
  <c r="E97" i="20"/>
  <c r="D97" i="20"/>
  <c r="C97" i="20"/>
  <c r="B97" i="20"/>
  <c r="EY96" i="20"/>
  <c r="EX96" i="20"/>
  <c r="ER96" i="20"/>
  <c r="EL96" i="20"/>
  <c r="EF96" i="20"/>
  <c r="DZ96" i="20"/>
  <c r="DT96" i="20"/>
  <c r="DN96" i="20"/>
  <c r="DH96" i="20"/>
  <c r="DB96" i="20"/>
  <c r="CV96" i="20"/>
  <c r="CP96" i="20"/>
  <c r="CJ96" i="20"/>
  <c r="CD96" i="20"/>
  <c r="BX96" i="20"/>
  <c r="BR96" i="20"/>
  <c r="BL96" i="20"/>
  <c r="BF96" i="20"/>
  <c r="AZ96" i="20"/>
  <c r="AT96" i="20"/>
  <c r="AN96" i="20"/>
  <c r="AH96" i="20"/>
  <c r="AB96" i="20"/>
  <c r="V96" i="20"/>
  <c r="S96" i="20"/>
  <c r="R96" i="20"/>
  <c r="P96" i="20"/>
  <c r="O96" i="20"/>
  <c r="N96" i="20"/>
  <c r="M96" i="20"/>
  <c r="L96" i="20"/>
  <c r="K96" i="20"/>
  <c r="J96" i="20"/>
  <c r="I96" i="20"/>
  <c r="H96" i="20"/>
  <c r="G96" i="20"/>
  <c r="F96" i="20"/>
  <c r="E96" i="20"/>
  <c r="D96" i="20"/>
  <c r="B96" i="20"/>
  <c r="EY95" i="20"/>
  <c r="EX95" i="20"/>
  <c r="ER95" i="20"/>
  <c r="EL95" i="20"/>
  <c r="EF95" i="20"/>
  <c r="DZ95" i="20"/>
  <c r="DT95" i="20"/>
  <c r="DN95" i="20"/>
  <c r="DH95" i="20"/>
  <c r="DB95" i="20"/>
  <c r="CV95" i="20"/>
  <c r="CP95" i="20"/>
  <c r="CJ95" i="20"/>
  <c r="CD95" i="20"/>
  <c r="BX95" i="20"/>
  <c r="BR95" i="20"/>
  <c r="BL95" i="20"/>
  <c r="BF95" i="20"/>
  <c r="AZ95" i="20"/>
  <c r="AT95" i="20"/>
  <c r="AN95" i="20"/>
  <c r="AH95" i="20"/>
  <c r="AB95" i="20"/>
  <c r="V95" i="20"/>
  <c r="S95" i="20"/>
  <c r="R95" i="20"/>
  <c r="P95" i="20"/>
  <c r="O95" i="20"/>
  <c r="N95" i="20"/>
  <c r="M95" i="20"/>
  <c r="K95" i="20"/>
  <c r="J95" i="20"/>
  <c r="I95" i="20"/>
  <c r="H95" i="20"/>
  <c r="G95" i="20"/>
  <c r="F95" i="20"/>
  <c r="E95" i="20"/>
  <c r="D95" i="20"/>
  <c r="C95" i="20"/>
  <c r="B95" i="20"/>
  <c r="EY94" i="20"/>
  <c r="EX94" i="20"/>
  <c r="ER94" i="20"/>
  <c r="EL94" i="20"/>
  <c r="EF94" i="20"/>
  <c r="DZ94" i="20"/>
  <c r="DT94" i="20"/>
  <c r="DN94" i="20"/>
  <c r="DH94" i="20"/>
  <c r="DB94" i="20"/>
  <c r="CV94" i="20"/>
  <c r="CP94" i="20"/>
  <c r="CJ94" i="20"/>
  <c r="CD94" i="20"/>
  <c r="BX94" i="20"/>
  <c r="BR94" i="20"/>
  <c r="BL94" i="20"/>
  <c r="BF94" i="20"/>
  <c r="AZ94" i="20"/>
  <c r="AT94" i="20"/>
  <c r="AN94" i="20"/>
  <c r="AH94" i="20"/>
  <c r="AB94" i="20"/>
  <c r="V94" i="20"/>
  <c r="S94" i="20"/>
  <c r="R94" i="20"/>
  <c r="P94" i="20"/>
  <c r="O94" i="20"/>
  <c r="N94" i="20"/>
  <c r="M94" i="20"/>
  <c r="L94" i="20"/>
  <c r="K94" i="20"/>
  <c r="J94" i="20"/>
  <c r="I94" i="20"/>
  <c r="H94" i="20"/>
  <c r="G94" i="20"/>
  <c r="F94" i="20"/>
  <c r="E94" i="20"/>
  <c r="D94" i="20"/>
  <c r="C94" i="20"/>
  <c r="B94" i="20"/>
  <c r="EY93" i="20"/>
  <c r="EX93" i="20"/>
  <c r="ER93" i="20"/>
  <c r="EL93" i="20"/>
  <c r="EF93" i="20"/>
  <c r="DZ93" i="20"/>
  <c r="DT93" i="20"/>
  <c r="DN93" i="20"/>
  <c r="DH93" i="20"/>
  <c r="DB93" i="20"/>
  <c r="CV93" i="20"/>
  <c r="CP93" i="20"/>
  <c r="CJ93" i="20"/>
  <c r="CD93" i="20"/>
  <c r="BX93" i="20"/>
  <c r="BR93" i="20"/>
  <c r="BL93" i="20"/>
  <c r="BF93" i="20"/>
  <c r="AZ93" i="20"/>
  <c r="AT93" i="20"/>
  <c r="AN93" i="20"/>
  <c r="AH93" i="20"/>
  <c r="AB93" i="20"/>
  <c r="V93" i="20"/>
  <c r="S93" i="20"/>
  <c r="R93" i="20"/>
  <c r="P93" i="20"/>
  <c r="O93" i="20"/>
  <c r="N93" i="20"/>
  <c r="M93" i="20"/>
  <c r="L93" i="20"/>
  <c r="K93" i="20"/>
  <c r="J93" i="20"/>
  <c r="I93" i="20"/>
  <c r="H93" i="20"/>
  <c r="G93" i="20"/>
  <c r="F93" i="20"/>
  <c r="E93" i="20"/>
  <c r="D93" i="20"/>
  <c r="C93" i="20"/>
  <c r="B93" i="20"/>
  <c r="EY92" i="20"/>
  <c r="EX92" i="20"/>
  <c r="ER92" i="20"/>
  <c r="EL92" i="20"/>
  <c r="EF92" i="20"/>
  <c r="DZ92" i="20"/>
  <c r="DT92" i="20"/>
  <c r="DN92" i="20"/>
  <c r="DH92" i="20"/>
  <c r="DB92" i="20"/>
  <c r="CV92" i="20"/>
  <c r="CP92" i="20"/>
  <c r="CJ92" i="20"/>
  <c r="CD92" i="20"/>
  <c r="BX92" i="20"/>
  <c r="BR92" i="20"/>
  <c r="BL92" i="20"/>
  <c r="BF92" i="20"/>
  <c r="AZ92" i="20"/>
  <c r="AT92" i="20"/>
  <c r="AN92" i="20"/>
  <c r="AH92" i="20"/>
  <c r="AB92" i="20"/>
  <c r="V92" i="20"/>
  <c r="S92" i="20"/>
  <c r="R92" i="20"/>
  <c r="P92" i="20"/>
  <c r="O92" i="20"/>
  <c r="N92" i="20"/>
  <c r="M92" i="20"/>
  <c r="L92" i="20"/>
  <c r="K92" i="20"/>
  <c r="J92" i="20"/>
  <c r="I92" i="20"/>
  <c r="H92" i="20"/>
  <c r="G92" i="20"/>
  <c r="F92" i="20"/>
  <c r="E92" i="20"/>
  <c r="D92" i="20"/>
  <c r="C92" i="20"/>
  <c r="B92" i="20"/>
  <c r="CV88" i="20"/>
  <c r="CV89" i="20"/>
  <c r="CV90" i="20"/>
  <c r="CV91" i="20"/>
  <c r="DB88" i="20"/>
  <c r="DB89" i="20"/>
  <c r="DB90" i="20"/>
  <c r="DB91" i="20"/>
  <c r="DH88" i="20"/>
  <c r="DH89" i="20"/>
  <c r="DH90" i="20"/>
  <c r="DH91" i="20"/>
  <c r="DN88" i="20"/>
  <c r="DN89" i="20"/>
  <c r="DN90" i="20"/>
  <c r="DN91" i="20"/>
  <c r="DT88" i="20"/>
  <c r="DT89" i="20"/>
  <c r="DT90" i="20"/>
  <c r="DT91" i="20"/>
  <c r="DZ88" i="20"/>
  <c r="DZ89" i="20"/>
  <c r="DZ90" i="20"/>
  <c r="DZ91" i="20"/>
  <c r="EF88" i="20"/>
  <c r="EF89" i="20"/>
  <c r="EF90" i="20"/>
  <c r="EF91" i="20"/>
  <c r="EL88" i="20"/>
  <c r="EL89" i="20"/>
  <c r="EL90" i="20"/>
  <c r="EL91" i="20"/>
  <c r="ER88" i="20"/>
  <c r="ER89" i="20"/>
  <c r="ER90" i="20"/>
  <c r="ER91" i="20"/>
  <c r="EX88" i="20"/>
  <c r="EX89" i="20"/>
  <c r="EX90" i="20"/>
  <c r="EX91" i="20"/>
  <c r="EY88" i="20"/>
  <c r="EY89" i="20"/>
  <c r="EY90" i="20"/>
  <c r="EY91" i="20"/>
  <c r="CP88" i="20"/>
  <c r="CP89" i="20"/>
  <c r="CP90" i="20"/>
  <c r="CP91" i="20"/>
  <c r="CJ88" i="20"/>
  <c r="CJ89" i="20"/>
  <c r="CJ90" i="20"/>
  <c r="CJ91" i="20"/>
  <c r="CD88" i="20"/>
  <c r="CD89" i="20"/>
  <c r="CD90" i="20"/>
  <c r="CD91" i="20"/>
  <c r="BX88" i="20"/>
  <c r="BX89" i="20"/>
  <c r="BX90" i="20"/>
  <c r="BX91" i="20"/>
  <c r="BR88" i="20"/>
  <c r="BR89" i="20"/>
  <c r="BR90" i="20"/>
  <c r="BR91" i="20"/>
  <c r="BL88" i="20"/>
  <c r="BL89" i="20"/>
  <c r="BL90" i="20"/>
  <c r="BL91" i="20"/>
  <c r="BF88" i="20"/>
  <c r="BF89" i="20"/>
  <c r="BF90" i="20"/>
  <c r="BF91" i="20"/>
  <c r="AZ88" i="20"/>
  <c r="AZ89" i="20"/>
  <c r="AZ90" i="20"/>
  <c r="AZ91" i="20"/>
  <c r="AT88" i="20"/>
  <c r="AT89" i="20"/>
  <c r="AT90" i="20"/>
  <c r="AT91" i="20"/>
  <c r="AN88" i="20"/>
  <c r="AN89" i="20"/>
  <c r="AN90" i="20"/>
  <c r="AN91" i="20"/>
  <c r="AH88" i="20"/>
  <c r="AH89" i="20"/>
  <c r="AH90" i="20"/>
  <c r="AH91" i="20"/>
  <c r="AB88" i="20"/>
  <c r="AB89" i="20"/>
  <c r="AB90" i="20"/>
  <c r="AB91" i="20"/>
  <c r="AA73" i="20"/>
  <c r="Z73" i="20"/>
  <c r="AA65" i="20"/>
  <c r="Z65" i="20"/>
  <c r="AA62" i="20"/>
  <c r="Z62" i="20"/>
  <c r="AA7" i="20"/>
  <c r="Z7" i="20"/>
  <c r="AB85" i="20"/>
  <c r="AB84" i="20"/>
  <c r="T92" i="20" l="1"/>
  <c r="T95" i="20"/>
  <c r="T96" i="20"/>
  <c r="T99" i="20"/>
  <c r="U99" i="20" s="1"/>
  <c r="T93" i="20"/>
  <c r="T97" i="20"/>
  <c r="BR141" i="7" s="1"/>
  <c r="T94" i="20"/>
  <c r="T98" i="20"/>
  <c r="CU140" i="7"/>
  <c r="CT140" i="7"/>
  <c r="CS140" i="7"/>
  <c r="CR140" i="7"/>
  <c r="CQ140" i="7"/>
  <c r="CP140" i="7"/>
  <c r="CO140" i="7"/>
  <c r="CN140" i="7"/>
  <c r="CM140" i="7"/>
  <c r="CL140" i="7"/>
  <c r="CK140" i="7"/>
  <c r="CJ140" i="7"/>
  <c r="BW141" i="7"/>
  <c r="BT141" i="7"/>
  <c r="BS141" i="7"/>
  <c r="BQ141" i="7"/>
  <c r="BP141" i="7"/>
  <c r="BN141" i="7"/>
  <c r="BI141" i="7"/>
  <c r="AH62" i="19" s="1"/>
  <c r="AJ62" i="19" s="1"/>
  <c r="AR141" i="7"/>
  <c r="AQ141" i="7"/>
  <c r="AP141" i="7"/>
  <c r="AO141" i="7"/>
  <c r="AE141" i="7"/>
  <c r="P62" i="19" s="1"/>
  <c r="BW142" i="7"/>
  <c r="BS142" i="7"/>
  <c r="BR142" i="7"/>
  <c r="BQ142" i="7"/>
  <c r="BP142" i="7"/>
  <c r="BO142" i="7"/>
  <c r="BN142" i="7"/>
  <c r="BM142" i="7"/>
  <c r="BL142" i="7"/>
  <c r="BK142" i="7"/>
  <c r="BJ142" i="7"/>
  <c r="BI142" i="7"/>
  <c r="BH142" i="7"/>
  <c r="AU142" i="7"/>
  <c r="AR142" i="7"/>
  <c r="AQ142" i="7"/>
  <c r="AP142" i="7"/>
  <c r="AO142" i="7"/>
  <c r="AN142" i="7"/>
  <c r="AL142" i="7"/>
  <c r="AG142" i="7"/>
  <c r="AF142" i="7"/>
  <c r="Q142" i="7"/>
  <c r="P142" i="7"/>
  <c r="O142" i="7"/>
  <c r="BP140" i="7"/>
  <c r="W336" i="14" s="1"/>
  <c r="BN140" i="7"/>
  <c r="U336" i="14" s="1"/>
  <c r="AR140" i="7"/>
  <c r="AQ140" i="7"/>
  <c r="AP140" i="7"/>
  <c r="AO140" i="7"/>
  <c r="AE140" i="7"/>
  <c r="P64" i="19" s="1"/>
  <c r="CK141" i="7"/>
  <c r="BG340" i="14"/>
  <c r="BB340" i="14"/>
  <c r="AU340" i="14"/>
  <c r="T340" i="14"/>
  <c r="S340" i="14"/>
  <c r="R340" i="14"/>
  <c r="Q340" i="14"/>
  <c r="P340" i="14"/>
  <c r="N340" i="14"/>
  <c r="M340" i="14"/>
  <c r="L340" i="14"/>
  <c r="K340" i="14"/>
  <c r="J340" i="14"/>
  <c r="I340" i="14"/>
  <c r="H340" i="14"/>
  <c r="G340" i="14"/>
  <c r="F340" i="14"/>
  <c r="E340" i="14"/>
  <c r="BI340" i="14" s="1"/>
  <c r="D340" i="14"/>
  <c r="C340" i="14"/>
  <c r="B340" i="14"/>
  <c r="BH340" i="14" s="1"/>
  <c r="BG339" i="14"/>
  <c r="BB339" i="14"/>
  <c r="AU339" i="14"/>
  <c r="T339" i="14"/>
  <c r="S339" i="14"/>
  <c r="R339" i="14"/>
  <c r="Q339" i="14"/>
  <c r="P339" i="14"/>
  <c r="N339" i="14"/>
  <c r="M339" i="14"/>
  <c r="L339" i="14"/>
  <c r="K339" i="14"/>
  <c r="J339" i="14"/>
  <c r="I339" i="14"/>
  <c r="H339" i="14"/>
  <c r="G339" i="14"/>
  <c r="F339" i="14"/>
  <c r="E339" i="14"/>
  <c r="BI339" i="14" s="1"/>
  <c r="D339" i="14"/>
  <c r="C339" i="14"/>
  <c r="B339" i="14"/>
  <c r="BH339" i="14" s="1"/>
  <c r="BG338" i="14"/>
  <c r="BB338" i="14"/>
  <c r="AU338" i="14"/>
  <c r="T338" i="14"/>
  <c r="S338" i="14"/>
  <c r="R338" i="14"/>
  <c r="Q338" i="14"/>
  <c r="P338" i="14"/>
  <c r="O338" i="14"/>
  <c r="N338" i="14"/>
  <c r="M338" i="14"/>
  <c r="L338" i="14"/>
  <c r="K338" i="14"/>
  <c r="J338" i="14"/>
  <c r="I338" i="14"/>
  <c r="H338" i="14"/>
  <c r="G338" i="14"/>
  <c r="F338" i="14"/>
  <c r="E338" i="14"/>
  <c r="BI338" i="14" s="1"/>
  <c r="D338" i="14"/>
  <c r="C338" i="14"/>
  <c r="B338" i="14"/>
  <c r="BH338" i="14" s="1"/>
  <c r="BG337" i="14"/>
  <c r="BB337" i="14"/>
  <c r="AU337" i="14"/>
  <c r="T337" i="14"/>
  <c r="S337" i="14"/>
  <c r="R337" i="14"/>
  <c r="Q337" i="14"/>
  <c r="P337" i="14"/>
  <c r="N337" i="14"/>
  <c r="M337" i="14"/>
  <c r="L337" i="14"/>
  <c r="K337" i="14"/>
  <c r="J337" i="14"/>
  <c r="I337" i="14"/>
  <c r="H337" i="14"/>
  <c r="G337" i="14"/>
  <c r="F337" i="14"/>
  <c r="E337" i="14"/>
  <c r="BI337" i="14" s="1"/>
  <c r="D337" i="14"/>
  <c r="C337" i="14"/>
  <c r="B337" i="14"/>
  <c r="BH337" i="14" s="1"/>
  <c r="BG336" i="14"/>
  <c r="BB336" i="14"/>
  <c r="AU336" i="14"/>
  <c r="T336" i="14"/>
  <c r="S336" i="14"/>
  <c r="R336" i="14"/>
  <c r="Q336" i="14"/>
  <c r="P336" i="14"/>
  <c r="O336" i="14"/>
  <c r="N336" i="14"/>
  <c r="M336" i="14"/>
  <c r="L336" i="14"/>
  <c r="K336" i="14"/>
  <c r="J336" i="14"/>
  <c r="I336" i="14"/>
  <c r="H336" i="14"/>
  <c r="G336" i="14"/>
  <c r="F336" i="14"/>
  <c r="E336" i="14"/>
  <c r="BI336" i="14" s="1"/>
  <c r="D336" i="14"/>
  <c r="C336" i="14"/>
  <c r="B336" i="14"/>
  <c r="BH336" i="14" s="1"/>
  <c r="BG335" i="14"/>
  <c r="BB335" i="14"/>
  <c r="AU335" i="14"/>
  <c r="T335" i="14"/>
  <c r="S335" i="14"/>
  <c r="R335" i="14"/>
  <c r="Q335" i="14"/>
  <c r="P335" i="14"/>
  <c r="N335" i="14"/>
  <c r="M335" i="14"/>
  <c r="L335" i="14"/>
  <c r="K335" i="14"/>
  <c r="J335" i="14"/>
  <c r="I335" i="14"/>
  <c r="H335" i="14"/>
  <c r="G335" i="14"/>
  <c r="F335" i="14"/>
  <c r="E335" i="14"/>
  <c r="BI335" i="14" s="1"/>
  <c r="D335" i="14"/>
  <c r="C335" i="14"/>
  <c r="B335" i="14"/>
  <c r="BH335" i="14" s="1"/>
  <c r="U338" i="14" l="1"/>
  <c r="W338" i="14"/>
  <c r="AT141" i="7"/>
  <c r="AS140" i="7"/>
  <c r="AS141" i="7"/>
  <c r="CV140" i="7"/>
  <c r="BV141" i="7"/>
  <c r="AT142" i="7"/>
  <c r="AT140" i="7"/>
  <c r="R142" i="7"/>
  <c r="S142" i="7" s="1"/>
  <c r="AS142" i="7" s="1"/>
  <c r="BT142" i="7"/>
  <c r="BU142" i="7" s="1"/>
  <c r="AR139" i="7"/>
  <c r="AQ139" i="7"/>
  <c r="AP139" i="7"/>
  <c r="AO139" i="7"/>
  <c r="AE139" i="7"/>
  <c r="P66" i="19" s="1"/>
  <c r="CY140" i="7"/>
  <c r="BW140" i="7"/>
  <c r="BT140" i="7"/>
  <c r="BS140" i="7"/>
  <c r="BR140" i="7"/>
  <c r="BQ140" i="7"/>
  <c r="BI140" i="7"/>
  <c r="AH64" i="19" s="1"/>
  <c r="AJ64" i="19" s="1"/>
  <c r="BH140" i="7"/>
  <c r="X336" i="14" l="1"/>
  <c r="X338" i="14"/>
  <c r="Z336" i="14"/>
  <c r="AG336" i="14" s="1"/>
  <c r="AH336" i="14" s="1"/>
  <c r="AV336" i="14" s="1"/>
  <c r="Z338" i="14"/>
  <c r="AG338" i="14" s="1"/>
  <c r="AF336" i="14"/>
  <c r="AF338" i="14"/>
  <c r="AU141" i="7"/>
  <c r="AM142" i="7"/>
  <c r="AH142" i="7"/>
  <c r="AU140" i="7"/>
  <c r="BH141" i="7"/>
  <c r="AT139" i="7"/>
  <c r="AS139" i="7"/>
  <c r="BV140" i="7"/>
  <c r="CW140" i="7"/>
  <c r="BG322" i="14"/>
  <c r="BB322" i="14"/>
  <c r="AU322" i="14"/>
  <c r="T322" i="14"/>
  <c r="S322" i="14"/>
  <c r="R322" i="14"/>
  <c r="Q322" i="14"/>
  <c r="P322" i="14"/>
  <c r="N322" i="14"/>
  <c r="M322" i="14"/>
  <c r="L322" i="14"/>
  <c r="K322" i="14"/>
  <c r="J322" i="14"/>
  <c r="I322" i="14"/>
  <c r="H322" i="14"/>
  <c r="G322" i="14"/>
  <c r="F322" i="14"/>
  <c r="E322" i="14"/>
  <c r="BI322" i="14" s="1"/>
  <c r="D322" i="14"/>
  <c r="C322" i="14"/>
  <c r="B322" i="14"/>
  <c r="BH322" i="14" s="1"/>
  <c r="BG321" i="14"/>
  <c r="BB321" i="14"/>
  <c r="AU321" i="14"/>
  <c r="T321" i="14"/>
  <c r="S321" i="14"/>
  <c r="R321" i="14"/>
  <c r="Q321" i="14"/>
  <c r="P321" i="14"/>
  <c r="N321" i="14"/>
  <c r="M321" i="14"/>
  <c r="L321" i="14"/>
  <c r="K321" i="14"/>
  <c r="J321" i="14"/>
  <c r="I321" i="14"/>
  <c r="H321" i="14"/>
  <c r="G321" i="14"/>
  <c r="F321" i="14"/>
  <c r="E321" i="14"/>
  <c r="BI321" i="14" s="1"/>
  <c r="D321" i="14"/>
  <c r="C321" i="14"/>
  <c r="B321" i="14"/>
  <c r="BH321" i="14" s="1"/>
  <c r="BG320" i="14"/>
  <c r="BB320" i="14"/>
  <c r="AU320" i="14"/>
  <c r="T320" i="14"/>
  <c r="S320" i="14"/>
  <c r="R320" i="14"/>
  <c r="Q320" i="14"/>
  <c r="P320" i="14"/>
  <c r="N320" i="14"/>
  <c r="M320" i="14"/>
  <c r="L320" i="14"/>
  <c r="K320" i="14"/>
  <c r="J320" i="14"/>
  <c r="I320" i="14"/>
  <c r="H320" i="14"/>
  <c r="G320" i="14"/>
  <c r="F320" i="14"/>
  <c r="E320" i="14"/>
  <c r="BI320" i="14" s="1"/>
  <c r="D320" i="14"/>
  <c r="C320" i="14"/>
  <c r="B320" i="14"/>
  <c r="BH320" i="14" s="1"/>
  <c r="BG319" i="14"/>
  <c r="BB319" i="14"/>
  <c r="AU319" i="14"/>
  <c r="T319" i="14"/>
  <c r="S319" i="14"/>
  <c r="R319" i="14"/>
  <c r="Q319" i="14"/>
  <c r="P319" i="14"/>
  <c r="N319" i="14"/>
  <c r="M319" i="14"/>
  <c r="L319" i="14"/>
  <c r="K319" i="14"/>
  <c r="J319" i="14"/>
  <c r="I319" i="14"/>
  <c r="H319" i="14"/>
  <c r="G319" i="14"/>
  <c r="F319" i="14"/>
  <c r="E319" i="14"/>
  <c r="BI319" i="14" s="1"/>
  <c r="D319" i="14"/>
  <c r="C319" i="14"/>
  <c r="B319" i="14"/>
  <c r="BH319" i="14" s="1"/>
  <c r="BG318" i="14"/>
  <c r="BB318" i="14"/>
  <c r="AU318" i="14"/>
  <c r="T318" i="14"/>
  <c r="S318" i="14"/>
  <c r="R318" i="14"/>
  <c r="Q318" i="14"/>
  <c r="P318" i="14"/>
  <c r="N318" i="14"/>
  <c r="M318" i="14"/>
  <c r="L318" i="14"/>
  <c r="K318" i="14"/>
  <c r="J318" i="14"/>
  <c r="I318" i="14"/>
  <c r="H318" i="14"/>
  <c r="G318" i="14"/>
  <c r="F318" i="14"/>
  <c r="E318" i="14"/>
  <c r="BI318" i="14" s="1"/>
  <c r="D318" i="14"/>
  <c r="C318" i="14"/>
  <c r="B318" i="14"/>
  <c r="BH318" i="14" s="1"/>
  <c r="BG317" i="14"/>
  <c r="BB317" i="14"/>
  <c r="AU317" i="14"/>
  <c r="T317" i="14"/>
  <c r="S317" i="14"/>
  <c r="R317" i="14"/>
  <c r="Q317" i="14"/>
  <c r="P317" i="14"/>
  <c r="O317" i="14"/>
  <c r="N317" i="14"/>
  <c r="M317" i="14"/>
  <c r="L317" i="14"/>
  <c r="K317" i="14"/>
  <c r="J317" i="14"/>
  <c r="I317" i="14"/>
  <c r="H317" i="14"/>
  <c r="G317" i="14"/>
  <c r="F317" i="14"/>
  <c r="E317" i="14"/>
  <c r="BI317" i="14" s="1"/>
  <c r="D317" i="14"/>
  <c r="C317" i="14"/>
  <c r="B317" i="14"/>
  <c r="BH317" i="14" s="1"/>
  <c r="BG328" i="14"/>
  <c r="BB328" i="14"/>
  <c r="AU328" i="14"/>
  <c r="T328" i="14"/>
  <c r="S328" i="14"/>
  <c r="R328" i="14"/>
  <c r="Q328" i="14"/>
  <c r="P328" i="14"/>
  <c r="O328" i="14"/>
  <c r="N328" i="14"/>
  <c r="M328" i="14"/>
  <c r="L328" i="14"/>
  <c r="K328" i="14"/>
  <c r="J328" i="14"/>
  <c r="I328" i="14"/>
  <c r="H328" i="14"/>
  <c r="G328" i="14"/>
  <c r="F328" i="14"/>
  <c r="E328" i="14"/>
  <c r="BI328" i="14" s="1"/>
  <c r="D328" i="14"/>
  <c r="C328" i="14"/>
  <c r="B328" i="14"/>
  <c r="BH328" i="14" s="1"/>
  <c r="BG327" i="14"/>
  <c r="BB327" i="14"/>
  <c r="AU327" i="14"/>
  <c r="T327" i="14"/>
  <c r="S327" i="14"/>
  <c r="R327" i="14"/>
  <c r="Q327" i="14"/>
  <c r="P327" i="14"/>
  <c r="O327" i="14"/>
  <c r="N327" i="14"/>
  <c r="M327" i="14"/>
  <c r="L327" i="14"/>
  <c r="K327" i="14"/>
  <c r="J327" i="14"/>
  <c r="I327" i="14"/>
  <c r="H327" i="14"/>
  <c r="G327" i="14"/>
  <c r="F327" i="14"/>
  <c r="E327" i="14"/>
  <c r="BI327" i="14" s="1"/>
  <c r="D327" i="14"/>
  <c r="C327" i="14"/>
  <c r="B327" i="14"/>
  <c r="BH327" i="14" s="1"/>
  <c r="BG326" i="14"/>
  <c r="BB326" i="14"/>
  <c r="AU326" i="14"/>
  <c r="T326" i="14"/>
  <c r="S326" i="14"/>
  <c r="R326" i="14"/>
  <c r="Q326" i="14"/>
  <c r="P326" i="14"/>
  <c r="O326" i="14"/>
  <c r="N326" i="14"/>
  <c r="M326" i="14"/>
  <c r="L326" i="14"/>
  <c r="K326" i="14"/>
  <c r="J326" i="14"/>
  <c r="I326" i="14"/>
  <c r="H326" i="14"/>
  <c r="G326" i="14"/>
  <c r="F326" i="14"/>
  <c r="E326" i="14"/>
  <c r="BI326" i="14" s="1"/>
  <c r="D326" i="14"/>
  <c r="C326" i="14"/>
  <c r="B326" i="14"/>
  <c r="BH326" i="14" s="1"/>
  <c r="BG325" i="14"/>
  <c r="BB325" i="14"/>
  <c r="AU325" i="14"/>
  <c r="T325" i="14"/>
  <c r="S325" i="14"/>
  <c r="R325" i="14"/>
  <c r="Q325" i="14"/>
  <c r="P325" i="14"/>
  <c r="O325" i="14"/>
  <c r="N325" i="14"/>
  <c r="M325" i="14"/>
  <c r="L325" i="14"/>
  <c r="K325" i="14"/>
  <c r="J325" i="14"/>
  <c r="I325" i="14"/>
  <c r="H325" i="14"/>
  <c r="G325" i="14"/>
  <c r="F325" i="14"/>
  <c r="E325" i="14"/>
  <c r="BI325" i="14" s="1"/>
  <c r="D325" i="14"/>
  <c r="C325" i="14"/>
  <c r="B325" i="14"/>
  <c r="BH325" i="14" s="1"/>
  <c r="BG324" i="14"/>
  <c r="BB324" i="14"/>
  <c r="AU324" i="14"/>
  <c r="T324" i="14"/>
  <c r="S324" i="14"/>
  <c r="R324" i="14"/>
  <c r="Q324" i="14"/>
  <c r="P324" i="14"/>
  <c r="N324" i="14"/>
  <c r="M324" i="14"/>
  <c r="L324" i="14"/>
  <c r="K324" i="14"/>
  <c r="J324" i="14"/>
  <c r="I324" i="14"/>
  <c r="H324" i="14"/>
  <c r="G324" i="14"/>
  <c r="F324" i="14"/>
  <c r="E324" i="14"/>
  <c r="BI324" i="14" s="1"/>
  <c r="D324" i="14"/>
  <c r="C324" i="14"/>
  <c r="B324" i="14"/>
  <c r="BH324" i="14" s="1"/>
  <c r="BG323" i="14"/>
  <c r="BB323" i="14"/>
  <c r="AU323" i="14"/>
  <c r="T323" i="14"/>
  <c r="S323" i="14"/>
  <c r="R323" i="14"/>
  <c r="Q323" i="14"/>
  <c r="P323" i="14"/>
  <c r="N323" i="14"/>
  <c r="M323" i="14"/>
  <c r="L323" i="14"/>
  <c r="K323" i="14"/>
  <c r="J323" i="14"/>
  <c r="I323" i="14"/>
  <c r="H323" i="14"/>
  <c r="G323" i="14"/>
  <c r="F323" i="14"/>
  <c r="E323" i="14"/>
  <c r="BI323" i="14" s="1"/>
  <c r="D323" i="14"/>
  <c r="C323" i="14"/>
  <c r="B323" i="14"/>
  <c r="BH323" i="14" s="1"/>
  <c r="CY134" i="7"/>
  <c r="CY135" i="7"/>
  <c r="CY136" i="7"/>
  <c r="CY137" i="7"/>
  <c r="CY138" i="7"/>
  <c r="CY139" i="7"/>
  <c r="CU134" i="7"/>
  <c r="CU135" i="7"/>
  <c r="CU136" i="7"/>
  <c r="CU137" i="7"/>
  <c r="CU138" i="7"/>
  <c r="CU139" i="7"/>
  <c r="CT134" i="7"/>
  <c r="CT135" i="7"/>
  <c r="CT136" i="7"/>
  <c r="CT137" i="7"/>
  <c r="CT138" i="7"/>
  <c r="CT139" i="7"/>
  <c r="CS134" i="7"/>
  <c r="CS135" i="7"/>
  <c r="CS136" i="7"/>
  <c r="CS137" i="7"/>
  <c r="CS138" i="7"/>
  <c r="CS139" i="7"/>
  <c r="CR134" i="7"/>
  <c r="CR135" i="7"/>
  <c r="CR136" i="7"/>
  <c r="CR137" i="7"/>
  <c r="CR138" i="7"/>
  <c r="CR139" i="7"/>
  <c r="CQ134" i="7"/>
  <c r="CQ135" i="7"/>
  <c r="CQ136" i="7"/>
  <c r="CQ137" i="7"/>
  <c r="CQ138" i="7"/>
  <c r="CQ139" i="7"/>
  <c r="CP134" i="7"/>
  <c r="CP135" i="7"/>
  <c r="CP136" i="7"/>
  <c r="CP137" i="7"/>
  <c r="CP138" i="7"/>
  <c r="CP139" i="7"/>
  <c r="CO134" i="7"/>
  <c r="CO135" i="7"/>
  <c r="CO136" i="7"/>
  <c r="CO137" i="7"/>
  <c r="CO138" i="7"/>
  <c r="CO139" i="7"/>
  <c r="CN134" i="7"/>
  <c r="CN135" i="7"/>
  <c r="CN136" i="7"/>
  <c r="CN137" i="7"/>
  <c r="CN138" i="7"/>
  <c r="CN139" i="7"/>
  <c r="CM134" i="7"/>
  <c r="CM135" i="7"/>
  <c r="CM136" i="7"/>
  <c r="CM137" i="7"/>
  <c r="CM138" i="7"/>
  <c r="CM139" i="7"/>
  <c r="CL134" i="7"/>
  <c r="CL135" i="7"/>
  <c r="CL136" i="7"/>
  <c r="CL137" i="7"/>
  <c r="CL138" i="7"/>
  <c r="CL139" i="7"/>
  <c r="CK134" i="7"/>
  <c r="CK135" i="7"/>
  <c r="CK136" i="7"/>
  <c r="CK137" i="7"/>
  <c r="CK138" i="7"/>
  <c r="CK139" i="7"/>
  <c r="CJ134" i="7"/>
  <c r="CJ135" i="7"/>
  <c r="CJ136" i="7"/>
  <c r="CJ137" i="7"/>
  <c r="CJ138" i="7"/>
  <c r="CJ139" i="7"/>
  <c r="BW134" i="7"/>
  <c r="BW135" i="7"/>
  <c r="BW136" i="7"/>
  <c r="BW137" i="7"/>
  <c r="BW138" i="7"/>
  <c r="BW139" i="7"/>
  <c r="BT134" i="7"/>
  <c r="X325" i="14" s="1"/>
  <c r="BT135" i="7"/>
  <c r="X326" i="14" s="1"/>
  <c r="BT136" i="7"/>
  <c r="BT137" i="7"/>
  <c r="X328" i="14" s="1"/>
  <c r="BT138" i="7"/>
  <c r="BT139" i="7"/>
  <c r="BS134" i="7"/>
  <c r="BS135" i="7"/>
  <c r="BS136" i="7"/>
  <c r="BS137" i="7"/>
  <c r="BS138" i="7"/>
  <c r="BS139" i="7"/>
  <c r="BR136" i="7"/>
  <c r="BR138" i="7"/>
  <c r="BR139" i="7"/>
  <c r="BQ136" i="7"/>
  <c r="BQ138" i="7"/>
  <c r="BQ139" i="7"/>
  <c r="BP136" i="7"/>
  <c r="BP138" i="7"/>
  <c r="BP139" i="7"/>
  <c r="BN134" i="7"/>
  <c r="U325" i="14" s="1"/>
  <c r="BN135" i="7"/>
  <c r="U326" i="14" s="1"/>
  <c r="BN136" i="7"/>
  <c r="BN137" i="7"/>
  <c r="U328" i="14" s="1"/>
  <c r="BN138" i="7"/>
  <c r="BN139" i="7"/>
  <c r="BI134" i="7"/>
  <c r="AH60" i="19" s="1"/>
  <c r="AJ60" i="19" s="1"/>
  <c r="BI135" i="7"/>
  <c r="AH61" i="19" s="1"/>
  <c r="AJ61" i="19" s="1"/>
  <c r="BI136" i="7"/>
  <c r="AH67" i="19" s="1"/>
  <c r="AJ67" i="19" s="1"/>
  <c r="BI137" i="7"/>
  <c r="BI138" i="7"/>
  <c r="BI139" i="7"/>
  <c r="AH66" i="19" s="1"/>
  <c r="AJ66" i="19" s="1"/>
  <c r="BH134" i="7"/>
  <c r="BH135" i="7"/>
  <c r="BH136" i="7"/>
  <c r="BH137" i="7"/>
  <c r="BH138" i="7"/>
  <c r="BH139" i="7"/>
  <c r="AR134" i="7"/>
  <c r="AR135" i="7"/>
  <c r="AR136" i="7"/>
  <c r="AR137" i="7"/>
  <c r="AR138" i="7"/>
  <c r="AQ134" i="7"/>
  <c r="AQ135" i="7"/>
  <c r="AQ136" i="7"/>
  <c r="AQ137" i="7"/>
  <c r="AQ138" i="7"/>
  <c r="AP134" i="7"/>
  <c r="AP135" i="7"/>
  <c r="AP136" i="7"/>
  <c r="AP137" i="7"/>
  <c r="AP138" i="7"/>
  <c r="AO134" i="7"/>
  <c r="AO135" i="7"/>
  <c r="AO136" i="7"/>
  <c r="AO137" i="7"/>
  <c r="AO138" i="7"/>
  <c r="AE134" i="7"/>
  <c r="P60" i="19" s="1"/>
  <c r="AE135" i="7"/>
  <c r="P61" i="19" s="1"/>
  <c r="AE136" i="7"/>
  <c r="P67" i="19" s="1"/>
  <c r="AE137" i="7"/>
  <c r="AE138" i="7"/>
  <c r="CY133" i="7"/>
  <c r="CU133" i="7"/>
  <c r="CT133" i="7"/>
  <c r="CS133" i="7"/>
  <c r="CR133" i="7"/>
  <c r="CQ133" i="7"/>
  <c r="CP133" i="7"/>
  <c r="CO133" i="7"/>
  <c r="CN133" i="7"/>
  <c r="CM133" i="7"/>
  <c r="CL133" i="7"/>
  <c r="CK133" i="7"/>
  <c r="CJ133" i="7"/>
  <c r="BW133" i="7"/>
  <c r="BT133" i="7"/>
  <c r="BS133" i="7"/>
  <c r="BS132" i="7"/>
  <c r="BN133" i="7"/>
  <c r="BI133" i="7"/>
  <c r="AH71" i="19" s="1"/>
  <c r="AJ71" i="19" s="1"/>
  <c r="AR133" i="7"/>
  <c r="AQ133" i="7"/>
  <c r="AP133" i="7"/>
  <c r="AO133" i="7"/>
  <c r="AE133" i="7"/>
  <c r="P71" i="19" s="1"/>
  <c r="Q96" i="20" l="1"/>
  <c r="U96" i="20" s="1"/>
  <c r="U64" i="19"/>
  <c r="W327" i="14"/>
  <c r="W341" i="14"/>
  <c r="X327" i="14"/>
  <c r="X341" i="14"/>
  <c r="U327" i="14"/>
  <c r="U341" i="14"/>
  <c r="BO141" i="7"/>
  <c r="U62" i="19"/>
  <c r="Q97" i="20"/>
  <c r="U97" i="20" s="1"/>
  <c r="BJ141" i="7"/>
  <c r="AH338" i="14"/>
  <c r="AV338" i="14" s="1"/>
  <c r="BO140" i="7"/>
  <c r="BU140" i="7"/>
  <c r="BU141" i="7"/>
  <c r="AU139" i="7"/>
  <c r="U66" i="19" s="1"/>
  <c r="BJ140" i="7"/>
  <c r="AS135" i="7"/>
  <c r="AF326" i="14" s="1"/>
  <c r="AT135" i="7"/>
  <c r="Z326" i="14" s="1"/>
  <c r="AG326" i="14" s="1"/>
  <c r="AT136" i="7"/>
  <c r="AS136" i="7"/>
  <c r="AT138" i="7"/>
  <c r="AT134" i="7"/>
  <c r="Z325" i="14" s="1"/>
  <c r="AG325" i="14" s="1"/>
  <c r="AS138" i="7"/>
  <c r="AS134" i="7"/>
  <c r="AF325" i="14" s="1"/>
  <c r="AT137" i="7"/>
  <c r="Z328" i="14" s="1"/>
  <c r="AG328" i="14" s="1"/>
  <c r="CV136" i="7"/>
  <c r="CW136" i="7" s="1"/>
  <c r="AS137" i="7"/>
  <c r="AF328" i="14" s="1"/>
  <c r="CV137" i="7"/>
  <c r="CW137" i="7" s="1"/>
  <c r="CV139" i="7"/>
  <c r="CW139" i="7" s="1"/>
  <c r="CV135" i="7"/>
  <c r="CW135" i="7" s="1"/>
  <c r="CV138" i="7"/>
  <c r="CW138" i="7" s="1"/>
  <c r="CV134" i="7"/>
  <c r="CW134" i="7" s="1"/>
  <c r="BV137" i="7"/>
  <c r="BV136" i="7"/>
  <c r="BV139" i="7"/>
  <c r="BV135" i="7"/>
  <c r="BV138" i="7"/>
  <c r="BV134" i="7"/>
  <c r="AS133" i="7"/>
  <c r="AT133" i="7"/>
  <c r="CV133" i="7"/>
  <c r="CW133" i="7" s="1"/>
  <c r="BV133" i="7"/>
  <c r="BI45" i="7"/>
  <c r="BI44" i="7"/>
  <c r="BI41" i="7"/>
  <c r="BI40" i="7"/>
  <c r="BI39" i="7"/>
  <c r="BI38" i="7"/>
  <c r="BI33" i="7"/>
  <c r="BI32" i="7"/>
  <c r="BI31" i="7"/>
  <c r="AF327" i="14" l="1"/>
  <c r="AF341" i="14"/>
  <c r="Z327" i="14"/>
  <c r="AG327" i="14" s="1"/>
  <c r="AH327" i="14" s="1"/>
  <c r="AV327" i="14" s="1"/>
  <c r="Z341" i="14"/>
  <c r="AG341" i="14" s="1"/>
  <c r="V336" i="14"/>
  <c r="V338" i="14"/>
  <c r="BJ139" i="7"/>
  <c r="Q94" i="20"/>
  <c r="U94" i="20" s="1"/>
  <c r="AH328" i="14"/>
  <c r="AV328" i="14" s="1"/>
  <c r="AH326" i="14"/>
  <c r="AV326" i="14" s="1"/>
  <c r="AH325" i="14"/>
  <c r="AV325" i="14" s="1"/>
  <c r="BO139" i="7"/>
  <c r="BU139" i="7"/>
  <c r="AU138" i="7"/>
  <c r="AU135" i="7"/>
  <c r="U61" i="19" s="1"/>
  <c r="AU134" i="7"/>
  <c r="U60" i="19" s="1"/>
  <c r="AU136" i="7"/>
  <c r="U67" i="19" s="1"/>
  <c r="AU137" i="7"/>
  <c r="AU133" i="7"/>
  <c r="U71" i="19" s="1"/>
  <c r="AL87" i="20"/>
  <c r="AK87" i="20"/>
  <c r="AF87" i="20"/>
  <c r="AE87" i="20"/>
  <c r="AG3" i="20"/>
  <c r="AF3" i="20"/>
  <c r="AA87" i="20"/>
  <c r="Z87" i="20"/>
  <c r="AG5" i="20"/>
  <c r="AF5" i="20"/>
  <c r="AA69" i="20"/>
  <c r="Z69" i="20"/>
  <c r="AA21" i="20"/>
  <c r="Z21" i="20"/>
  <c r="AA20" i="20"/>
  <c r="Z20" i="20"/>
  <c r="AA12" i="20"/>
  <c r="Z12" i="20"/>
  <c r="AA9" i="20"/>
  <c r="Z9" i="20"/>
  <c r="AE40" i="19"/>
  <c r="Q93" i="20" l="1"/>
  <c r="U93" i="20" s="1"/>
  <c r="AH341" i="14"/>
  <c r="AV341" i="14" s="1"/>
  <c r="BJ138" i="7"/>
  <c r="Q92" i="20"/>
  <c r="U92" i="20" s="1"/>
  <c r="BJ137" i="7"/>
  <c r="BJ136" i="7"/>
  <c r="BJ135" i="7"/>
  <c r="BJ134" i="7"/>
  <c r="BO138" i="7"/>
  <c r="BU138" i="7"/>
  <c r="BU135" i="7"/>
  <c r="BO135" i="7"/>
  <c r="V326" i="14" s="1"/>
  <c r="BO134" i="7"/>
  <c r="V325" i="14" s="1"/>
  <c r="BU134" i="7"/>
  <c r="BU136" i="7"/>
  <c r="BO136" i="7"/>
  <c r="BU137" i="7"/>
  <c r="BO137" i="7"/>
  <c r="V328" i="14" s="1"/>
  <c r="BJ133" i="7"/>
  <c r="BU133" i="7"/>
  <c r="BH133" i="7" s="1"/>
  <c r="BO133" i="7"/>
  <c r="AB39" i="19"/>
  <c r="AB38" i="19"/>
  <c r="V327" i="14" l="1"/>
  <c r="V341" i="14"/>
  <c r="Z41" i="19"/>
  <c r="W8" i="19"/>
  <c r="AA15" i="20" l="1"/>
  <c r="AC14" i="7" l="1"/>
  <c r="AD55" i="19"/>
  <c r="AD30" i="19"/>
  <c r="AD29" i="19"/>
  <c r="AD28" i="19"/>
  <c r="AD27" i="19"/>
  <c r="AD34" i="19"/>
  <c r="AD21" i="19"/>
  <c r="AD7" i="19"/>
  <c r="AD51" i="19"/>
  <c r="AD26" i="19"/>
  <c r="AD25" i="19"/>
  <c r="AD24" i="19"/>
  <c r="AD23" i="19"/>
  <c r="AD40" i="19"/>
  <c r="Z15" i="20" l="1"/>
  <c r="AU309" i="14" l="1"/>
  <c r="AU310" i="14"/>
  <c r="AU311" i="14"/>
  <c r="AI309" i="14"/>
  <c r="AR132" i="7"/>
  <c r="AQ132" i="7"/>
  <c r="AP132" i="7"/>
  <c r="AO132" i="7"/>
  <c r="AT132" i="7" l="1"/>
  <c r="AS132" i="7"/>
  <c r="AA45" i="20"/>
  <c r="AU132" i="7" l="1"/>
  <c r="AC30" i="19"/>
  <c r="AC29" i="19"/>
  <c r="AC28" i="19"/>
  <c r="AC27" i="19"/>
  <c r="U72" i="19" l="1"/>
  <c r="Q98" i="20"/>
  <c r="U98" i="20" s="1"/>
  <c r="AC40" i="19"/>
  <c r="AA17" i="20"/>
  <c r="AC7" i="19"/>
  <c r="AC51" i="19"/>
  <c r="AC39" i="19"/>
  <c r="AG77" i="20"/>
  <c r="AF77" i="20"/>
  <c r="AG78" i="20"/>
  <c r="AF78" i="20"/>
  <c r="AG79" i="20"/>
  <c r="AF79" i="20"/>
  <c r="AG80" i="20"/>
  <c r="AF80" i="20"/>
  <c r="AA80" i="20"/>
  <c r="Z80" i="20"/>
  <c r="AA79" i="20"/>
  <c r="Z79" i="20"/>
  <c r="AA78" i="20"/>
  <c r="Z78" i="20"/>
  <c r="AA77" i="20"/>
  <c r="Z77" i="20"/>
  <c r="AA67" i="20"/>
  <c r="Z67" i="20"/>
  <c r="AA63" i="20"/>
  <c r="Z63" i="20"/>
  <c r="AA61" i="20"/>
  <c r="Z61" i="20"/>
  <c r="Z45" i="20"/>
  <c r="AA41" i="20"/>
  <c r="Z41" i="20"/>
  <c r="AA24" i="20"/>
  <c r="Z24" i="20"/>
  <c r="AA18" i="20"/>
  <c r="Z18" i="20"/>
  <c r="Z17" i="20"/>
  <c r="AA16" i="20"/>
  <c r="Z16" i="20"/>
  <c r="AA5" i="20"/>
  <c r="Z5" i="20"/>
  <c r="V91" i="20"/>
  <c r="T91" i="20"/>
  <c r="BR137" i="7" s="1"/>
  <c r="S91" i="20"/>
  <c r="BQ137" i="7" s="1"/>
  <c r="R91" i="20"/>
  <c r="BP137" i="7" s="1"/>
  <c r="W328" i="14" s="1"/>
  <c r="Q91" i="20"/>
  <c r="P91" i="20"/>
  <c r="O91" i="20"/>
  <c r="N91" i="20"/>
  <c r="M91" i="20"/>
  <c r="L91" i="20"/>
  <c r="K91" i="20"/>
  <c r="J91" i="20"/>
  <c r="I91" i="20"/>
  <c r="H91" i="20"/>
  <c r="G91" i="20"/>
  <c r="F91" i="20"/>
  <c r="E91" i="20"/>
  <c r="D91" i="20"/>
  <c r="C91" i="20"/>
  <c r="B91" i="20"/>
  <c r="V90" i="20"/>
  <c r="T90" i="20"/>
  <c r="BR133" i="7" s="1"/>
  <c r="S90" i="20"/>
  <c r="BQ133" i="7" s="1"/>
  <c r="R90" i="20"/>
  <c r="BP133" i="7" s="1"/>
  <c r="Q90" i="20"/>
  <c r="P90" i="20"/>
  <c r="O90" i="20"/>
  <c r="N90" i="20"/>
  <c r="M90" i="20"/>
  <c r="L90" i="20"/>
  <c r="K90" i="20"/>
  <c r="J90" i="20"/>
  <c r="I90" i="20"/>
  <c r="H90" i="20"/>
  <c r="G90" i="20"/>
  <c r="F90" i="20"/>
  <c r="E90" i="20"/>
  <c r="D90" i="20"/>
  <c r="C90" i="20"/>
  <c r="B90" i="20"/>
  <c r="V89" i="20"/>
  <c r="T89" i="20"/>
  <c r="BR135" i="7" s="1"/>
  <c r="S89" i="20"/>
  <c r="BQ135" i="7" s="1"/>
  <c r="R89" i="20"/>
  <c r="BP135" i="7" s="1"/>
  <c r="W326" i="14" s="1"/>
  <c r="Q89" i="20"/>
  <c r="P89" i="20"/>
  <c r="O89" i="20"/>
  <c r="N89" i="20"/>
  <c r="M89" i="20"/>
  <c r="L89" i="20"/>
  <c r="K89" i="20"/>
  <c r="J89" i="20"/>
  <c r="I89" i="20"/>
  <c r="H89" i="20"/>
  <c r="G89" i="20"/>
  <c r="F89" i="20"/>
  <c r="E89" i="20"/>
  <c r="D89" i="20"/>
  <c r="C89" i="20"/>
  <c r="B89" i="20"/>
  <c r="V88" i="20"/>
  <c r="T88" i="20"/>
  <c r="BR134" i="7" s="1"/>
  <c r="S88" i="20"/>
  <c r="BQ134" i="7" s="1"/>
  <c r="R88" i="20"/>
  <c r="BP134" i="7" s="1"/>
  <c r="W325" i="14" s="1"/>
  <c r="Q88" i="20"/>
  <c r="P88" i="20"/>
  <c r="O88" i="20"/>
  <c r="N88" i="20"/>
  <c r="M88" i="20"/>
  <c r="L88" i="20"/>
  <c r="K88" i="20"/>
  <c r="J88" i="20"/>
  <c r="I88" i="20"/>
  <c r="H88" i="20"/>
  <c r="G88" i="20"/>
  <c r="F88" i="20"/>
  <c r="E88" i="20"/>
  <c r="D88" i="20"/>
  <c r="C88" i="20"/>
  <c r="B88" i="20"/>
  <c r="U88" i="20" l="1"/>
  <c r="U90" i="20"/>
  <c r="U91" i="20"/>
  <c r="U89" i="20"/>
  <c r="AU304" i="14"/>
  <c r="AU305" i="14"/>
  <c r="AU306" i="14"/>
  <c r="AU307" i="14"/>
  <c r="AU308" i="14"/>
  <c r="AU303" i="14"/>
  <c r="AU302" i="14"/>
  <c r="AU301" i="14"/>
  <c r="AI308" i="14"/>
  <c r="AI307" i="14"/>
  <c r="AI306" i="14"/>
  <c r="AI305" i="14"/>
  <c r="AI304" i="14"/>
  <c r="AI303" i="14"/>
  <c r="AI302" i="14"/>
  <c r="AI301" i="14"/>
  <c r="AV297" i="14" l="1"/>
  <c r="AI295" i="14"/>
  <c r="AU295" i="14" s="1"/>
  <c r="BG295" i="14"/>
  <c r="BB295" i="14"/>
  <c r="T295" i="14"/>
  <c r="S295" i="14"/>
  <c r="R295" i="14"/>
  <c r="Q295" i="14"/>
  <c r="P295" i="14"/>
  <c r="N295" i="14"/>
  <c r="M295" i="14"/>
  <c r="L295" i="14"/>
  <c r="K295" i="14"/>
  <c r="J295" i="14"/>
  <c r="I295" i="14"/>
  <c r="H295" i="14"/>
  <c r="G295" i="14"/>
  <c r="F295" i="14"/>
  <c r="E295" i="14"/>
  <c r="BI295" i="14" s="1"/>
  <c r="D295" i="14"/>
  <c r="C295" i="14"/>
  <c r="B295" i="14"/>
  <c r="BH295" i="14" s="1"/>
  <c r="BG293" i="14"/>
  <c r="BB293" i="14"/>
  <c r="AV293" i="14"/>
  <c r="AU293" i="14"/>
  <c r="AP293" i="14"/>
  <c r="AK293" i="14"/>
  <c r="AJ293" i="14"/>
  <c r="AI293" i="14"/>
  <c r="T293" i="14"/>
  <c r="S293" i="14"/>
  <c r="R293" i="14"/>
  <c r="Q293" i="14"/>
  <c r="P293" i="14"/>
  <c r="N293" i="14"/>
  <c r="M293" i="14"/>
  <c r="L293" i="14"/>
  <c r="K293" i="14"/>
  <c r="J293" i="14"/>
  <c r="I293" i="14"/>
  <c r="H293" i="14"/>
  <c r="G293" i="14"/>
  <c r="F293" i="14"/>
  <c r="E293" i="14"/>
  <c r="BI293" i="14" s="1"/>
  <c r="D293" i="14"/>
  <c r="C293" i="14"/>
  <c r="B293" i="14"/>
  <c r="BH293" i="14" s="1"/>
  <c r="BG292" i="14"/>
  <c r="BB292" i="14"/>
  <c r="AV292" i="14"/>
  <c r="AU292" i="14"/>
  <c r="AP292" i="14"/>
  <c r="AK292" i="14"/>
  <c r="AJ292" i="14"/>
  <c r="AI292" i="14"/>
  <c r="T292" i="14"/>
  <c r="S292" i="14"/>
  <c r="R292" i="14"/>
  <c r="Q292" i="14"/>
  <c r="P292" i="14"/>
  <c r="N292" i="14"/>
  <c r="M292" i="14"/>
  <c r="L292" i="14"/>
  <c r="K292" i="14"/>
  <c r="J292" i="14"/>
  <c r="I292" i="14"/>
  <c r="H292" i="14"/>
  <c r="G292" i="14"/>
  <c r="F292" i="14"/>
  <c r="E292" i="14"/>
  <c r="BI292" i="14" s="1"/>
  <c r="D292" i="14"/>
  <c r="C292" i="14"/>
  <c r="B292" i="14"/>
  <c r="BH292" i="14" s="1"/>
  <c r="BG291" i="14"/>
  <c r="BB291" i="14"/>
  <c r="AV291" i="14"/>
  <c r="AU291" i="14"/>
  <c r="AP291" i="14"/>
  <c r="AK291" i="14"/>
  <c r="AJ291" i="14"/>
  <c r="AI291" i="14"/>
  <c r="T291" i="14"/>
  <c r="S291" i="14"/>
  <c r="R291" i="14"/>
  <c r="Q291" i="14"/>
  <c r="P291" i="14"/>
  <c r="N291" i="14"/>
  <c r="M291" i="14"/>
  <c r="L291" i="14"/>
  <c r="K291" i="14"/>
  <c r="J291" i="14"/>
  <c r="I291" i="14"/>
  <c r="H291" i="14"/>
  <c r="G291" i="14"/>
  <c r="F291" i="14"/>
  <c r="E291" i="14"/>
  <c r="BI291" i="14" s="1"/>
  <c r="D291" i="14"/>
  <c r="C291" i="14"/>
  <c r="B291" i="14"/>
  <c r="BH291" i="14" s="1"/>
  <c r="BG294" i="14"/>
  <c r="BB294" i="14"/>
  <c r="AV294" i="14"/>
  <c r="AU294" i="14"/>
  <c r="AP294" i="14"/>
  <c r="AK294" i="14"/>
  <c r="AJ294" i="14"/>
  <c r="AI294" i="14"/>
  <c r="T294" i="14"/>
  <c r="S294" i="14"/>
  <c r="R294" i="14"/>
  <c r="Q294" i="14"/>
  <c r="P294" i="14"/>
  <c r="N294" i="14"/>
  <c r="M294" i="14"/>
  <c r="L294" i="14"/>
  <c r="K294" i="14"/>
  <c r="J294" i="14"/>
  <c r="I294" i="14"/>
  <c r="H294" i="14"/>
  <c r="G294" i="14"/>
  <c r="F294" i="14"/>
  <c r="E294" i="14"/>
  <c r="BI294" i="14" s="1"/>
  <c r="D294" i="14"/>
  <c r="C294" i="14"/>
  <c r="B294" i="14"/>
  <c r="BH294" i="14" s="1"/>
  <c r="BG296" i="14"/>
  <c r="BB296" i="14"/>
  <c r="AV296" i="14"/>
  <c r="AU296" i="14"/>
  <c r="AP296" i="14"/>
  <c r="AK296" i="14"/>
  <c r="AJ296" i="14"/>
  <c r="AI296" i="14"/>
  <c r="T296" i="14"/>
  <c r="S296" i="14"/>
  <c r="R296" i="14"/>
  <c r="Q296" i="14"/>
  <c r="P296" i="14"/>
  <c r="N296" i="14"/>
  <c r="M296" i="14"/>
  <c r="L296" i="14"/>
  <c r="K296" i="14"/>
  <c r="J296" i="14"/>
  <c r="I296" i="14"/>
  <c r="H296" i="14"/>
  <c r="G296" i="14"/>
  <c r="F296" i="14"/>
  <c r="E296" i="14"/>
  <c r="BI296" i="14" s="1"/>
  <c r="D296" i="14"/>
  <c r="C296" i="14"/>
  <c r="B296" i="14"/>
  <c r="BH296" i="14" s="1"/>
  <c r="AU288" i="14" l="1"/>
  <c r="AU287" i="14"/>
  <c r="AU286" i="14"/>
  <c r="EY87" i="20" l="1"/>
  <c r="EX87" i="20"/>
  <c r="ER87" i="20"/>
  <c r="EL87" i="20"/>
  <c r="EF87" i="20"/>
  <c r="DZ87" i="20"/>
  <c r="DT87" i="20"/>
  <c r="DN87" i="20"/>
  <c r="DH87" i="20"/>
  <c r="DB87" i="20"/>
  <c r="CV87" i="20"/>
  <c r="CP87" i="20"/>
  <c r="CJ87" i="20"/>
  <c r="CD87" i="20"/>
  <c r="BX87" i="20"/>
  <c r="BR87" i="20"/>
  <c r="BL87" i="20"/>
  <c r="BF87" i="20"/>
  <c r="AZ87" i="20"/>
  <c r="AT87" i="20"/>
  <c r="AN87" i="20"/>
  <c r="AH87" i="20"/>
  <c r="AB87" i="20"/>
  <c r="V87" i="20"/>
  <c r="S87" i="20"/>
  <c r="R87" i="20"/>
  <c r="P87" i="20"/>
  <c r="O87" i="20"/>
  <c r="N87" i="20"/>
  <c r="M87" i="20"/>
  <c r="L87" i="20"/>
  <c r="K87" i="20"/>
  <c r="J87" i="20"/>
  <c r="I87" i="20"/>
  <c r="H87" i="20"/>
  <c r="G87" i="20"/>
  <c r="F87" i="20"/>
  <c r="E87" i="20"/>
  <c r="D87" i="20"/>
  <c r="C87" i="20"/>
  <c r="B87" i="20"/>
  <c r="CY126" i="7"/>
  <c r="CY127" i="7"/>
  <c r="CY128" i="7"/>
  <c r="CY129" i="7"/>
  <c r="CY130" i="7"/>
  <c r="CY131" i="7"/>
  <c r="CU5" i="7"/>
  <c r="CU6" i="7"/>
  <c r="CU7" i="7"/>
  <c r="CU8" i="7"/>
  <c r="CU9" i="7"/>
  <c r="CU10" i="7"/>
  <c r="CU11" i="7"/>
  <c r="CU12" i="7"/>
  <c r="CU13" i="7"/>
  <c r="CU14" i="7"/>
  <c r="CU15" i="7"/>
  <c r="CU16" i="7"/>
  <c r="CU17" i="7"/>
  <c r="CU18" i="7"/>
  <c r="CU19" i="7"/>
  <c r="CU20" i="7"/>
  <c r="CU21" i="7"/>
  <c r="CU22" i="7"/>
  <c r="CU23" i="7"/>
  <c r="CU24" i="7"/>
  <c r="CU25" i="7"/>
  <c r="CU26" i="7"/>
  <c r="CU27" i="7"/>
  <c r="CU28" i="7"/>
  <c r="CU29" i="7"/>
  <c r="CU30" i="7"/>
  <c r="CU31" i="7"/>
  <c r="CU32" i="7"/>
  <c r="CU33" i="7"/>
  <c r="CU34" i="7"/>
  <c r="CU35" i="7"/>
  <c r="CU36" i="7"/>
  <c r="CU37" i="7"/>
  <c r="CU38" i="7"/>
  <c r="CU39" i="7"/>
  <c r="CU40" i="7"/>
  <c r="CU41" i="7"/>
  <c r="CU42" i="7"/>
  <c r="CU43" i="7"/>
  <c r="CU44" i="7"/>
  <c r="CU45" i="7"/>
  <c r="CU46" i="7"/>
  <c r="CU47" i="7"/>
  <c r="CU48" i="7"/>
  <c r="CU49" i="7"/>
  <c r="CU50" i="7"/>
  <c r="CU51" i="7"/>
  <c r="CU52" i="7"/>
  <c r="CU53" i="7"/>
  <c r="CU54" i="7"/>
  <c r="CU55" i="7"/>
  <c r="CU56" i="7"/>
  <c r="CU57" i="7"/>
  <c r="CU58" i="7"/>
  <c r="CU59" i="7"/>
  <c r="CU60" i="7"/>
  <c r="CU61" i="7"/>
  <c r="CU62" i="7"/>
  <c r="CU63" i="7"/>
  <c r="CU64" i="7"/>
  <c r="CU65" i="7"/>
  <c r="CU66" i="7"/>
  <c r="CU67" i="7"/>
  <c r="CU68" i="7"/>
  <c r="CU69" i="7"/>
  <c r="CU70" i="7"/>
  <c r="CU71" i="7"/>
  <c r="CU72" i="7"/>
  <c r="CU73" i="7"/>
  <c r="CU74" i="7"/>
  <c r="CU75" i="7"/>
  <c r="CU76" i="7"/>
  <c r="CU77" i="7"/>
  <c r="CU78" i="7"/>
  <c r="CU79" i="7"/>
  <c r="CU80" i="7"/>
  <c r="CU81" i="7"/>
  <c r="CU82" i="7"/>
  <c r="CU83" i="7"/>
  <c r="CU84" i="7"/>
  <c r="CU85" i="7"/>
  <c r="CU86" i="7"/>
  <c r="CU87" i="7"/>
  <c r="CU88" i="7"/>
  <c r="CU89" i="7"/>
  <c r="CU90" i="7"/>
  <c r="CU91" i="7"/>
  <c r="CU92" i="7"/>
  <c r="CU93" i="7"/>
  <c r="CU94" i="7"/>
  <c r="CU95" i="7"/>
  <c r="CU126" i="7"/>
  <c r="CU127" i="7"/>
  <c r="CU128" i="7"/>
  <c r="CU129" i="7"/>
  <c r="CU130" i="7"/>
  <c r="CU131" i="7"/>
  <c r="CU132" i="7"/>
  <c r="CT5" i="7"/>
  <c r="CT6" i="7"/>
  <c r="CT7" i="7"/>
  <c r="CT8" i="7"/>
  <c r="CT9" i="7"/>
  <c r="CT10" i="7"/>
  <c r="CT11" i="7"/>
  <c r="CT12" i="7"/>
  <c r="CT13" i="7"/>
  <c r="CT14" i="7"/>
  <c r="CT15" i="7"/>
  <c r="CT16" i="7"/>
  <c r="CT17" i="7"/>
  <c r="CT18" i="7"/>
  <c r="CT19" i="7"/>
  <c r="CT20" i="7"/>
  <c r="CT21" i="7"/>
  <c r="CT22" i="7"/>
  <c r="CT23" i="7"/>
  <c r="CT24" i="7"/>
  <c r="CT25" i="7"/>
  <c r="CT26" i="7"/>
  <c r="CT27" i="7"/>
  <c r="CT28" i="7"/>
  <c r="CT29" i="7"/>
  <c r="CT30" i="7"/>
  <c r="CT31" i="7"/>
  <c r="CT32" i="7"/>
  <c r="CT33" i="7"/>
  <c r="CT34" i="7"/>
  <c r="CT35" i="7"/>
  <c r="CT36" i="7"/>
  <c r="CT37" i="7"/>
  <c r="CT38" i="7"/>
  <c r="CT39" i="7"/>
  <c r="CT40" i="7"/>
  <c r="CT41" i="7"/>
  <c r="CT42" i="7"/>
  <c r="CT43" i="7"/>
  <c r="CT44" i="7"/>
  <c r="CT45" i="7"/>
  <c r="CT46" i="7"/>
  <c r="CT47" i="7"/>
  <c r="CT48" i="7"/>
  <c r="CT49" i="7"/>
  <c r="CT50" i="7"/>
  <c r="CT51" i="7"/>
  <c r="CT52" i="7"/>
  <c r="CT53" i="7"/>
  <c r="CT54" i="7"/>
  <c r="CT55" i="7"/>
  <c r="CT56" i="7"/>
  <c r="CT57" i="7"/>
  <c r="CT58" i="7"/>
  <c r="CT59" i="7"/>
  <c r="CT60" i="7"/>
  <c r="CT61" i="7"/>
  <c r="CT62" i="7"/>
  <c r="CT63" i="7"/>
  <c r="CT64" i="7"/>
  <c r="CT65" i="7"/>
  <c r="CT66" i="7"/>
  <c r="CT67" i="7"/>
  <c r="CT68" i="7"/>
  <c r="CT69" i="7"/>
  <c r="CT70" i="7"/>
  <c r="CT71" i="7"/>
  <c r="CT72" i="7"/>
  <c r="CT73" i="7"/>
  <c r="CT74" i="7"/>
  <c r="CT75" i="7"/>
  <c r="CT76" i="7"/>
  <c r="CT77" i="7"/>
  <c r="CT78" i="7"/>
  <c r="CT79" i="7"/>
  <c r="CT80" i="7"/>
  <c r="CT81" i="7"/>
  <c r="CT82" i="7"/>
  <c r="CT83" i="7"/>
  <c r="CT84" i="7"/>
  <c r="CT85" i="7"/>
  <c r="CT86" i="7"/>
  <c r="CT87" i="7"/>
  <c r="CT88" i="7"/>
  <c r="CT89" i="7"/>
  <c r="CT90" i="7"/>
  <c r="CT91" i="7"/>
  <c r="CT92" i="7"/>
  <c r="CT93" i="7"/>
  <c r="CT94" i="7"/>
  <c r="CT95" i="7"/>
  <c r="CT126" i="7"/>
  <c r="CT127" i="7"/>
  <c r="CT128" i="7"/>
  <c r="CT129" i="7"/>
  <c r="CT130" i="7"/>
  <c r="CT131" i="7"/>
  <c r="CT132" i="7"/>
  <c r="CS5" i="7"/>
  <c r="CS6" i="7"/>
  <c r="CS7" i="7"/>
  <c r="CS8" i="7"/>
  <c r="CS9" i="7"/>
  <c r="CS10" i="7"/>
  <c r="CS11" i="7"/>
  <c r="CS12" i="7"/>
  <c r="CS13" i="7"/>
  <c r="CS14" i="7"/>
  <c r="CS15" i="7"/>
  <c r="CS16" i="7"/>
  <c r="CS17" i="7"/>
  <c r="CS18" i="7"/>
  <c r="CS19" i="7"/>
  <c r="CS20" i="7"/>
  <c r="CS21" i="7"/>
  <c r="CS22" i="7"/>
  <c r="CS23" i="7"/>
  <c r="CS24" i="7"/>
  <c r="CS25" i="7"/>
  <c r="CS26" i="7"/>
  <c r="CS27" i="7"/>
  <c r="CS28" i="7"/>
  <c r="CS29" i="7"/>
  <c r="CS30" i="7"/>
  <c r="CS31" i="7"/>
  <c r="CS32" i="7"/>
  <c r="CS33" i="7"/>
  <c r="CS34" i="7"/>
  <c r="CS35" i="7"/>
  <c r="CS36" i="7"/>
  <c r="CS37" i="7"/>
  <c r="CS38" i="7"/>
  <c r="CS39" i="7"/>
  <c r="CS40" i="7"/>
  <c r="CS41" i="7"/>
  <c r="CS42" i="7"/>
  <c r="CS43" i="7"/>
  <c r="CS44" i="7"/>
  <c r="CS45" i="7"/>
  <c r="CS46" i="7"/>
  <c r="CS47" i="7"/>
  <c r="CS48" i="7"/>
  <c r="CS49" i="7"/>
  <c r="CS50" i="7"/>
  <c r="CS51" i="7"/>
  <c r="CS52" i="7"/>
  <c r="CS53" i="7"/>
  <c r="CS54" i="7"/>
  <c r="CS55" i="7"/>
  <c r="CS56" i="7"/>
  <c r="CS57" i="7"/>
  <c r="CS58" i="7"/>
  <c r="CS59" i="7"/>
  <c r="CS60" i="7"/>
  <c r="CS61" i="7"/>
  <c r="CS62" i="7"/>
  <c r="CS63" i="7"/>
  <c r="CS64" i="7"/>
  <c r="CS65" i="7"/>
  <c r="CS66" i="7"/>
  <c r="CS67" i="7"/>
  <c r="CS68" i="7"/>
  <c r="CS69" i="7"/>
  <c r="CS70" i="7"/>
  <c r="CS71" i="7"/>
  <c r="CS72" i="7"/>
  <c r="CS73" i="7"/>
  <c r="CS74" i="7"/>
  <c r="CS75" i="7"/>
  <c r="CS76" i="7"/>
  <c r="CS77" i="7"/>
  <c r="CS78" i="7"/>
  <c r="CS79" i="7"/>
  <c r="CS80" i="7"/>
  <c r="CS81" i="7"/>
  <c r="CS82" i="7"/>
  <c r="CS83" i="7"/>
  <c r="CS84" i="7"/>
  <c r="CS85" i="7"/>
  <c r="CS86" i="7"/>
  <c r="CS87" i="7"/>
  <c r="CS88" i="7"/>
  <c r="CS89" i="7"/>
  <c r="CS90" i="7"/>
  <c r="CS91" i="7"/>
  <c r="CS92" i="7"/>
  <c r="CS93" i="7"/>
  <c r="CS94" i="7"/>
  <c r="CS95" i="7"/>
  <c r="CS126" i="7"/>
  <c r="CS127" i="7"/>
  <c r="CS128" i="7"/>
  <c r="CS129" i="7"/>
  <c r="CS130" i="7"/>
  <c r="CS131" i="7"/>
  <c r="CS132" i="7"/>
  <c r="CR5" i="7"/>
  <c r="CR6" i="7"/>
  <c r="CR7" i="7"/>
  <c r="CR8" i="7"/>
  <c r="CR9" i="7"/>
  <c r="CR10" i="7"/>
  <c r="CR11" i="7"/>
  <c r="CR12" i="7"/>
  <c r="CR13" i="7"/>
  <c r="CR14" i="7"/>
  <c r="CR15" i="7"/>
  <c r="CR16" i="7"/>
  <c r="CR17" i="7"/>
  <c r="CR18" i="7"/>
  <c r="CR19" i="7"/>
  <c r="CR20" i="7"/>
  <c r="CR21" i="7"/>
  <c r="CR22" i="7"/>
  <c r="CR23" i="7"/>
  <c r="CR24" i="7"/>
  <c r="CR25" i="7"/>
  <c r="CR26" i="7"/>
  <c r="CR27" i="7"/>
  <c r="CR28" i="7"/>
  <c r="CR29" i="7"/>
  <c r="CR30" i="7"/>
  <c r="CR31" i="7"/>
  <c r="CR32" i="7"/>
  <c r="CR33" i="7"/>
  <c r="CR34" i="7"/>
  <c r="CR35" i="7"/>
  <c r="CR36" i="7"/>
  <c r="CR37" i="7"/>
  <c r="CR38" i="7"/>
  <c r="CR39" i="7"/>
  <c r="CR40" i="7"/>
  <c r="CR41" i="7"/>
  <c r="CR42" i="7"/>
  <c r="CR43" i="7"/>
  <c r="CR44" i="7"/>
  <c r="CR45" i="7"/>
  <c r="CR46" i="7"/>
  <c r="CR47" i="7"/>
  <c r="CR48" i="7"/>
  <c r="CR49" i="7"/>
  <c r="CR50" i="7"/>
  <c r="CR51" i="7"/>
  <c r="CR52" i="7"/>
  <c r="CR53" i="7"/>
  <c r="CR54" i="7"/>
  <c r="CR55" i="7"/>
  <c r="CR56" i="7"/>
  <c r="CR57" i="7"/>
  <c r="CR58" i="7"/>
  <c r="CR59" i="7"/>
  <c r="CR60" i="7"/>
  <c r="CR61" i="7"/>
  <c r="CR62" i="7"/>
  <c r="CR63" i="7"/>
  <c r="CR64" i="7"/>
  <c r="CR65" i="7"/>
  <c r="CR66" i="7"/>
  <c r="CR67" i="7"/>
  <c r="CR68" i="7"/>
  <c r="CR69" i="7"/>
  <c r="CR70" i="7"/>
  <c r="CR71" i="7"/>
  <c r="CR72" i="7"/>
  <c r="CR73" i="7"/>
  <c r="CR74" i="7"/>
  <c r="CR75" i="7"/>
  <c r="CR76" i="7"/>
  <c r="CR77" i="7"/>
  <c r="CR78" i="7"/>
  <c r="CR79" i="7"/>
  <c r="CR80" i="7"/>
  <c r="CR81" i="7"/>
  <c r="CR82" i="7"/>
  <c r="CR83" i="7"/>
  <c r="CR84" i="7"/>
  <c r="CR85" i="7"/>
  <c r="CR86" i="7"/>
  <c r="CR87" i="7"/>
  <c r="CR88" i="7"/>
  <c r="CR89" i="7"/>
  <c r="CR90" i="7"/>
  <c r="CR91" i="7"/>
  <c r="CR92" i="7"/>
  <c r="CR93" i="7"/>
  <c r="CR94" i="7"/>
  <c r="CR95" i="7"/>
  <c r="CR126" i="7"/>
  <c r="CR127" i="7"/>
  <c r="CR128" i="7"/>
  <c r="CR129" i="7"/>
  <c r="CR130" i="7"/>
  <c r="CR131" i="7"/>
  <c r="CR132" i="7"/>
  <c r="CQ5" i="7"/>
  <c r="CQ6" i="7"/>
  <c r="CQ7" i="7"/>
  <c r="CQ8" i="7"/>
  <c r="CQ9" i="7"/>
  <c r="CQ10" i="7"/>
  <c r="CQ11" i="7"/>
  <c r="CQ12" i="7"/>
  <c r="CQ13" i="7"/>
  <c r="CQ14" i="7"/>
  <c r="CQ15" i="7"/>
  <c r="CQ16" i="7"/>
  <c r="CQ17" i="7"/>
  <c r="CQ18" i="7"/>
  <c r="CQ19" i="7"/>
  <c r="CQ20" i="7"/>
  <c r="CQ21" i="7"/>
  <c r="CQ22" i="7"/>
  <c r="CQ23" i="7"/>
  <c r="CQ24" i="7"/>
  <c r="CQ25" i="7"/>
  <c r="CQ26" i="7"/>
  <c r="CQ27" i="7"/>
  <c r="CQ28" i="7"/>
  <c r="CQ29" i="7"/>
  <c r="CQ30" i="7"/>
  <c r="CQ31" i="7"/>
  <c r="CQ32" i="7"/>
  <c r="CQ33" i="7"/>
  <c r="CQ34" i="7"/>
  <c r="CQ35" i="7"/>
  <c r="CQ36" i="7"/>
  <c r="CQ37" i="7"/>
  <c r="CQ38" i="7"/>
  <c r="CQ39" i="7"/>
  <c r="CQ40" i="7"/>
  <c r="CQ41" i="7"/>
  <c r="CQ42" i="7"/>
  <c r="CQ43" i="7"/>
  <c r="CQ44" i="7"/>
  <c r="CQ45" i="7"/>
  <c r="CQ46" i="7"/>
  <c r="CQ47" i="7"/>
  <c r="CQ48" i="7"/>
  <c r="CQ49" i="7"/>
  <c r="CQ50" i="7"/>
  <c r="CQ51" i="7"/>
  <c r="CQ52" i="7"/>
  <c r="CQ53" i="7"/>
  <c r="CQ54" i="7"/>
  <c r="CQ55" i="7"/>
  <c r="CQ56" i="7"/>
  <c r="CQ57" i="7"/>
  <c r="CQ58" i="7"/>
  <c r="CQ59" i="7"/>
  <c r="CQ60" i="7"/>
  <c r="CQ61" i="7"/>
  <c r="CQ62" i="7"/>
  <c r="CQ63" i="7"/>
  <c r="CQ64" i="7"/>
  <c r="CQ65" i="7"/>
  <c r="CQ66" i="7"/>
  <c r="CQ67" i="7"/>
  <c r="CQ68" i="7"/>
  <c r="CQ69" i="7"/>
  <c r="CQ70" i="7"/>
  <c r="CQ71" i="7"/>
  <c r="CQ72" i="7"/>
  <c r="CQ73" i="7"/>
  <c r="CQ74" i="7"/>
  <c r="CQ75" i="7"/>
  <c r="CQ76" i="7"/>
  <c r="CQ77" i="7"/>
  <c r="CQ78" i="7"/>
  <c r="CQ79" i="7"/>
  <c r="CQ80" i="7"/>
  <c r="CQ81" i="7"/>
  <c r="CQ82" i="7"/>
  <c r="CQ83" i="7"/>
  <c r="CQ84" i="7"/>
  <c r="CQ85" i="7"/>
  <c r="CQ86" i="7"/>
  <c r="CQ87" i="7"/>
  <c r="CQ88" i="7"/>
  <c r="CQ89" i="7"/>
  <c r="CQ90" i="7"/>
  <c r="CQ91" i="7"/>
  <c r="CQ92" i="7"/>
  <c r="CQ93" i="7"/>
  <c r="CQ94" i="7"/>
  <c r="CQ95" i="7"/>
  <c r="CQ126" i="7"/>
  <c r="CQ127" i="7"/>
  <c r="CQ128" i="7"/>
  <c r="CQ129" i="7"/>
  <c r="CQ130" i="7"/>
  <c r="CQ131" i="7"/>
  <c r="CQ132" i="7"/>
  <c r="CP5" i="7"/>
  <c r="CP6" i="7"/>
  <c r="CP7" i="7"/>
  <c r="CP8" i="7"/>
  <c r="CP9" i="7"/>
  <c r="CP10" i="7"/>
  <c r="CP11" i="7"/>
  <c r="CP12" i="7"/>
  <c r="CP13" i="7"/>
  <c r="CP14" i="7"/>
  <c r="CP15" i="7"/>
  <c r="CP16" i="7"/>
  <c r="CP17" i="7"/>
  <c r="CP18" i="7"/>
  <c r="CP19" i="7"/>
  <c r="CP20" i="7"/>
  <c r="CP21" i="7"/>
  <c r="CP22" i="7"/>
  <c r="CP23" i="7"/>
  <c r="CP24" i="7"/>
  <c r="CP25" i="7"/>
  <c r="CP26" i="7"/>
  <c r="CP27" i="7"/>
  <c r="CP29" i="7"/>
  <c r="CP30" i="7"/>
  <c r="CP31" i="7"/>
  <c r="CP32" i="7"/>
  <c r="CP33" i="7"/>
  <c r="CP34" i="7"/>
  <c r="CP35" i="7"/>
  <c r="CP36" i="7"/>
  <c r="CP37" i="7"/>
  <c r="CP38" i="7"/>
  <c r="CP39" i="7"/>
  <c r="CP40" i="7"/>
  <c r="CP41" i="7"/>
  <c r="CP42" i="7"/>
  <c r="CP43" i="7"/>
  <c r="CP44" i="7"/>
  <c r="CP45" i="7"/>
  <c r="CP46" i="7"/>
  <c r="CP47" i="7"/>
  <c r="CP48" i="7"/>
  <c r="CP49" i="7"/>
  <c r="CP50" i="7"/>
  <c r="CP51" i="7"/>
  <c r="CP52" i="7"/>
  <c r="CP53" i="7"/>
  <c r="CP54" i="7"/>
  <c r="CP55" i="7"/>
  <c r="CP56" i="7"/>
  <c r="CP57" i="7"/>
  <c r="CP58" i="7"/>
  <c r="CP59" i="7"/>
  <c r="CP60" i="7"/>
  <c r="CP61" i="7"/>
  <c r="CP62" i="7"/>
  <c r="CP63" i="7"/>
  <c r="CP64" i="7"/>
  <c r="CP65" i="7"/>
  <c r="CP66" i="7"/>
  <c r="CP67" i="7"/>
  <c r="CP68" i="7"/>
  <c r="CP69" i="7"/>
  <c r="CP70" i="7"/>
  <c r="CP71" i="7"/>
  <c r="CP72" i="7"/>
  <c r="CP73" i="7"/>
  <c r="CP74" i="7"/>
  <c r="CP75" i="7"/>
  <c r="CP76" i="7"/>
  <c r="CP77" i="7"/>
  <c r="CP78" i="7"/>
  <c r="CP79" i="7"/>
  <c r="CP80" i="7"/>
  <c r="CP81" i="7"/>
  <c r="CP82" i="7"/>
  <c r="CP83" i="7"/>
  <c r="CP84" i="7"/>
  <c r="CP85" i="7"/>
  <c r="CP86" i="7"/>
  <c r="CP87" i="7"/>
  <c r="CP88" i="7"/>
  <c r="CP89" i="7"/>
  <c r="CP90" i="7"/>
  <c r="CP91" i="7"/>
  <c r="CP92" i="7"/>
  <c r="CP93" i="7"/>
  <c r="CP94" i="7"/>
  <c r="CP95" i="7"/>
  <c r="CP126" i="7"/>
  <c r="CP127" i="7"/>
  <c r="CP128" i="7"/>
  <c r="CP129" i="7"/>
  <c r="CP130" i="7"/>
  <c r="CP131" i="7"/>
  <c r="CP132" i="7"/>
  <c r="CO5" i="7"/>
  <c r="CO6" i="7"/>
  <c r="CO7" i="7"/>
  <c r="CO8" i="7"/>
  <c r="CO9" i="7"/>
  <c r="CO10" i="7"/>
  <c r="CO11" i="7"/>
  <c r="CO12" i="7"/>
  <c r="CO13" i="7"/>
  <c r="CO14" i="7"/>
  <c r="CO15" i="7"/>
  <c r="CO16" i="7"/>
  <c r="CO17" i="7"/>
  <c r="CO18" i="7"/>
  <c r="CO19" i="7"/>
  <c r="CO20" i="7"/>
  <c r="CO21" i="7"/>
  <c r="CO22" i="7"/>
  <c r="CO23" i="7"/>
  <c r="CO24" i="7"/>
  <c r="CO26" i="7"/>
  <c r="CO27" i="7"/>
  <c r="CO28" i="7"/>
  <c r="CO29" i="7"/>
  <c r="CO30" i="7"/>
  <c r="CO31" i="7"/>
  <c r="CO32" i="7"/>
  <c r="CO33" i="7"/>
  <c r="CO34" i="7"/>
  <c r="CO35" i="7"/>
  <c r="CO36" i="7"/>
  <c r="CO37" i="7"/>
  <c r="CO38" i="7"/>
  <c r="CO39" i="7"/>
  <c r="CO40" i="7"/>
  <c r="CO41" i="7"/>
  <c r="CO42" i="7"/>
  <c r="CO43" i="7"/>
  <c r="CO44" i="7"/>
  <c r="CO45" i="7"/>
  <c r="CO46" i="7"/>
  <c r="CO47" i="7"/>
  <c r="CO48" i="7"/>
  <c r="CO49" i="7"/>
  <c r="CO50" i="7"/>
  <c r="CO51" i="7"/>
  <c r="CO52" i="7"/>
  <c r="CO53" i="7"/>
  <c r="CO54" i="7"/>
  <c r="CO55" i="7"/>
  <c r="CO56" i="7"/>
  <c r="CO57" i="7"/>
  <c r="CO58" i="7"/>
  <c r="CO59" i="7"/>
  <c r="CO60" i="7"/>
  <c r="CO61" i="7"/>
  <c r="CO62" i="7"/>
  <c r="CO63" i="7"/>
  <c r="CO64" i="7"/>
  <c r="CO65" i="7"/>
  <c r="CO66" i="7"/>
  <c r="CO67" i="7"/>
  <c r="CO68" i="7"/>
  <c r="CO69" i="7"/>
  <c r="CO70" i="7"/>
  <c r="CO71" i="7"/>
  <c r="CO72" i="7"/>
  <c r="CO73" i="7"/>
  <c r="CO74" i="7"/>
  <c r="CO75" i="7"/>
  <c r="CO76" i="7"/>
  <c r="CO77" i="7"/>
  <c r="CO78" i="7"/>
  <c r="CO79" i="7"/>
  <c r="CO80" i="7"/>
  <c r="CO81" i="7"/>
  <c r="CO82" i="7"/>
  <c r="CO83" i="7"/>
  <c r="CO84" i="7"/>
  <c r="CO85" i="7"/>
  <c r="CO86" i="7"/>
  <c r="CO87" i="7"/>
  <c r="CO88" i="7"/>
  <c r="CO89" i="7"/>
  <c r="CO90" i="7"/>
  <c r="CO91" i="7"/>
  <c r="CO92" i="7"/>
  <c r="CO93" i="7"/>
  <c r="CO94" i="7"/>
  <c r="CO95" i="7"/>
  <c r="CO126" i="7"/>
  <c r="CO127" i="7"/>
  <c r="CO128" i="7"/>
  <c r="CO129" i="7"/>
  <c r="CO130" i="7"/>
  <c r="CO131" i="7"/>
  <c r="CO132" i="7"/>
  <c r="CN5" i="7"/>
  <c r="CN6" i="7"/>
  <c r="CN7" i="7"/>
  <c r="CN8" i="7"/>
  <c r="CN9" i="7"/>
  <c r="CN10" i="7"/>
  <c r="CN11" i="7"/>
  <c r="CN12" i="7"/>
  <c r="CN13" i="7"/>
  <c r="CN14" i="7"/>
  <c r="CN15" i="7"/>
  <c r="CN16" i="7"/>
  <c r="CN17" i="7"/>
  <c r="CN18" i="7"/>
  <c r="CN19" i="7"/>
  <c r="CN20" i="7"/>
  <c r="CN21" i="7"/>
  <c r="CN22" i="7"/>
  <c r="CN23" i="7"/>
  <c r="CN24" i="7"/>
  <c r="CN25" i="7"/>
  <c r="CN26" i="7"/>
  <c r="CN27" i="7"/>
  <c r="CN28" i="7"/>
  <c r="CN29" i="7"/>
  <c r="CN30" i="7"/>
  <c r="CN31" i="7"/>
  <c r="CN32" i="7"/>
  <c r="CN33" i="7"/>
  <c r="CN34" i="7"/>
  <c r="CN35" i="7"/>
  <c r="CN36" i="7"/>
  <c r="CN37" i="7"/>
  <c r="CN38" i="7"/>
  <c r="CN39" i="7"/>
  <c r="CN40" i="7"/>
  <c r="CN41" i="7"/>
  <c r="CN42" i="7"/>
  <c r="CN43" i="7"/>
  <c r="CN44" i="7"/>
  <c r="CN45" i="7"/>
  <c r="CN46" i="7"/>
  <c r="CN47" i="7"/>
  <c r="CN48" i="7"/>
  <c r="CN49" i="7"/>
  <c r="CN50" i="7"/>
  <c r="CN51" i="7"/>
  <c r="CN52" i="7"/>
  <c r="CN53" i="7"/>
  <c r="CN54" i="7"/>
  <c r="CN55" i="7"/>
  <c r="CN56" i="7"/>
  <c r="CN57" i="7"/>
  <c r="CN58" i="7"/>
  <c r="CN59" i="7"/>
  <c r="CN60" i="7"/>
  <c r="CN61" i="7"/>
  <c r="CN62" i="7"/>
  <c r="CN63" i="7"/>
  <c r="CN64" i="7"/>
  <c r="CN65" i="7"/>
  <c r="CN66" i="7"/>
  <c r="CN67" i="7"/>
  <c r="CN68" i="7"/>
  <c r="CN69" i="7"/>
  <c r="CN70" i="7"/>
  <c r="CN71" i="7"/>
  <c r="CN72" i="7"/>
  <c r="CN73" i="7"/>
  <c r="CN74" i="7"/>
  <c r="CN75" i="7"/>
  <c r="CN76" i="7"/>
  <c r="CN77" i="7"/>
  <c r="CN78" i="7"/>
  <c r="CN79" i="7"/>
  <c r="CN80" i="7"/>
  <c r="CN81" i="7"/>
  <c r="CN82" i="7"/>
  <c r="CN83" i="7"/>
  <c r="CN84" i="7"/>
  <c r="CN85" i="7"/>
  <c r="CN86" i="7"/>
  <c r="CN87" i="7"/>
  <c r="CN88" i="7"/>
  <c r="CN89" i="7"/>
  <c r="CN90" i="7"/>
  <c r="CN91" i="7"/>
  <c r="CN92" i="7"/>
  <c r="CN93" i="7"/>
  <c r="CN94" i="7"/>
  <c r="CN95" i="7"/>
  <c r="CN126" i="7"/>
  <c r="CN127" i="7"/>
  <c r="CN128" i="7"/>
  <c r="CN129" i="7"/>
  <c r="CN130" i="7"/>
  <c r="CN131" i="7"/>
  <c r="CN132" i="7"/>
  <c r="CM5" i="7"/>
  <c r="CM6" i="7"/>
  <c r="CM7" i="7"/>
  <c r="CM8" i="7"/>
  <c r="CM9" i="7"/>
  <c r="CM10" i="7"/>
  <c r="CM11" i="7"/>
  <c r="CM12" i="7"/>
  <c r="CM13" i="7"/>
  <c r="CM14" i="7"/>
  <c r="CM15" i="7"/>
  <c r="CM16" i="7"/>
  <c r="CM17" i="7"/>
  <c r="CM18" i="7"/>
  <c r="CM19" i="7"/>
  <c r="CM20" i="7"/>
  <c r="CM21" i="7"/>
  <c r="CM22" i="7"/>
  <c r="CM23" i="7"/>
  <c r="CM24" i="7"/>
  <c r="CM25" i="7"/>
  <c r="CM26" i="7"/>
  <c r="CM27" i="7"/>
  <c r="CM28" i="7"/>
  <c r="CM29" i="7"/>
  <c r="CM30" i="7"/>
  <c r="CM31" i="7"/>
  <c r="CM32" i="7"/>
  <c r="CM33" i="7"/>
  <c r="CM34" i="7"/>
  <c r="CM35" i="7"/>
  <c r="CM36" i="7"/>
  <c r="CM37" i="7"/>
  <c r="CM38" i="7"/>
  <c r="CM39" i="7"/>
  <c r="CM40" i="7"/>
  <c r="CM41" i="7"/>
  <c r="CM42" i="7"/>
  <c r="CM43" i="7"/>
  <c r="CM44" i="7"/>
  <c r="CM45" i="7"/>
  <c r="CM46" i="7"/>
  <c r="CM47" i="7"/>
  <c r="CM48" i="7"/>
  <c r="CM49" i="7"/>
  <c r="CM50" i="7"/>
  <c r="CM51" i="7"/>
  <c r="CM52" i="7"/>
  <c r="CM53" i="7"/>
  <c r="CM54" i="7"/>
  <c r="CM55" i="7"/>
  <c r="CM56" i="7"/>
  <c r="CM57" i="7"/>
  <c r="CM58" i="7"/>
  <c r="CM59" i="7"/>
  <c r="CM60" i="7"/>
  <c r="CM61" i="7"/>
  <c r="CM62" i="7"/>
  <c r="CM63" i="7"/>
  <c r="CM64" i="7"/>
  <c r="CM65" i="7"/>
  <c r="CM66" i="7"/>
  <c r="CM67" i="7"/>
  <c r="CM68" i="7"/>
  <c r="CM69" i="7"/>
  <c r="CM70" i="7"/>
  <c r="CM71" i="7"/>
  <c r="CM72" i="7"/>
  <c r="CM73" i="7"/>
  <c r="CM74" i="7"/>
  <c r="CM75" i="7"/>
  <c r="CM76" i="7"/>
  <c r="CM77" i="7"/>
  <c r="CM78" i="7"/>
  <c r="CM79" i="7"/>
  <c r="CM80" i="7"/>
  <c r="CM81" i="7"/>
  <c r="CM82" i="7"/>
  <c r="CM83" i="7"/>
  <c r="CM84" i="7"/>
  <c r="CM85" i="7"/>
  <c r="CM86" i="7"/>
  <c r="CM87" i="7"/>
  <c r="CM88" i="7"/>
  <c r="CM89" i="7"/>
  <c r="CM90" i="7"/>
  <c r="CM91" i="7"/>
  <c r="CM92" i="7"/>
  <c r="CM93" i="7"/>
  <c r="CM94" i="7"/>
  <c r="CM95" i="7"/>
  <c r="CM126" i="7"/>
  <c r="CM127" i="7"/>
  <c r="CM128" i="7"/>
  <c r="CM129" i="7"/>
  <c r="CM130" i="7"/>
  <c r="CM131" i="7"/>
  <c r="CM132" i="7"/>
  <c r="CL5" i="7"/>
  <c r="CL6" i="7"/>
  <c r="CL7" i="7"/>
  <c r="CL8" i="7"/>
  <c r="CL9" i="7"/>
  <c r="CL10" i="7"/>
  <c r="CL11" i="7"/>
  <c r="CL12" i="7"/>
  <c r="CL13" i="7"/>
  <c r="CL14" i="7"/>
  <c r="CL15" i="7"/>
  <c r="CL16" i="7"/>
  <c r="CL17" i="7"/>
  <c r="CL18" i="7"/>
  <c r="CL19" i="7"/>
  <c r="CL20" i="7"/>
  <c r="CL21" i="7"/>
  <c r="CL22" i="7"/>
  <c r="CL23" i="7"/>
  <c r="CL24" i="7"/>
  <c r="CL25" i="7"/>
  <c r="CL26" i="7"/>
  <c r="CL27" i="7"/>
  <c r="CL28" i="7"/>
  <c r="CL29" i="7"/>
  <c r="CL30" i="7"/>
  <c r="CL31" i="7"/>
  <c r="CL32" i="7"/>
  <c r="CL33" i="7"/>
  <c r="CL34" i="7"/>
  <c r="CL35" i="7"/>
  <c r="CL36" i="7"/>
  <c r="CL37" i="7"/>
  <c r="CL38" i="7"/>
  <c r="CL39" i="7"/>
  <c r="CL40" i="7"/>
  <c r="CL41" i="7"/>
  <c r="CL42" i="7"/>
  <c r="CL43" i="7"/>
  <c r="CL44" i="7"/>
  <c r="CL45" i="7"/>
  <c r="CL46" i="7"/>
  <c r="CL47" i="7"/>
  <c r="CL48" i="7"/>
  <c r="CL49" i="7"/>
  <c r="CL50" i="7"/>
  <c r="CL51" i="7"/>
  <c r="CL52" i="7"/>
  <c r="CL53" i="7"/>
  <c r="CL54" i="7"/>
  <c r="CL55" i="7"/>
  <c r="CL56" i="7"/>
  <c r="CL57" i="7"/>
  <c r="CL58" i="7"/>
  <c r="CL59" i="7"/>
  <c r="CL60" i="7"/>
  <c r="CL61" i="7"/>
  <c r="CL62" i="7"/>
  <c r="CL63" i="7"/>
  <c r="CL64" i="7"/>
  <c r="CL65" i="7"/>
  <c r="CL66" i="7"/>
  <c r="CL67" i="7"/>
  <c r="CL68" i="7"/>
  <c r="CL69" i="7"/>
  <c r="CL70" i="7"/>
  <c r="CL71" i="7"/>
  <c r="CL72" i="7"/>
  <c r="CL73" i="7"/>
  <c r="CL74" i="7"/>
  <c r="CL75" i="7"/>
  <c r="CL76" i="7"/>
  <c r="CL77" i="7"/>
  <c r="CL78" i="7"/>
  <c r="CL79" i="7"/>
  <c r="CL80" i="7"/>
  <c r="CL81" i="7"/>
  <c r="CL82" i="7"/>
  <c r="CL83" i="7"/>
  <c r="CL84" i="7"/>
  <c r="CL85" i="7"/>
  <c r="CL86" i="7"/>
  <c r="CL87" i="7"/>
  <c r="CL88" i="7"/>
  <c r="CL89" i="7"/>
  <c r="CL90" i="7"/>
  <c r="CL91" i="7"/>
  <c r="CL92" i="7"/>
  <c r="CL93" i="7"/>
  <c r="CL94" i="7"/>
  <c r="CL95" i="7"/>
  <c r="CL126" i="7"/>
  <c r="CL127" i="7"/>
  <c r="CL128" i="7"/>
  <c r="CL129" i="7"/>
  <c r="CL130" i="7"/>
  <c r="CL131" i="7"/>
  <c r="CL132" i="7"/>
  <c r="CK5" i="7"/>
  <c r="CK6" i="7"/>
  <c r="CK7" i="7"/>
  <c r="CK8" i="7"/>
  <c r="CK9" i="7"/>
  <c r="CK10" i="7"/>
  <c r="CK11" i="7"/>
  <c r="CK12" i="7"/>
  <c r="CK13" i="7"/>
  <c r="CK14" i="7"/>
  <c r="CK15" i="7"/>
  <c r="CK16" i="7"/>
  <c r="CK17" i="7"/>
  <c r="CK18" i="7"/>
  <c r="CK19" i="7"/>
  <c r="CK20" i="7"/>
  <c r="CK21" i="7"/>
  <c r="CK22" i="7"/>
  <c r="CK23" i="7"/>
  <c r="CK24" i="7"/>
  <c r="CK25" i="7"/>
  <c r="CK26" i="7"/>
  <c r="CK27" i="7"/>
  <c r="CK28" i="7"/>
  <c r="CK29" i="7"/>
  <c r="CK30" i="7"/>
  <c r="CK31" i="7"/>
  <c r="CK32" i="7"/>
  <c r="CK33" i="7"/>
  <c r="CK34" i="7"/>
  <c r="CK35" i="7"/>
  <c r="CK36" i="7"/>
  <c r="CK37" i="7"/>
  <c r="CK38" i="7"/>
  <c r="CK39" i="7"/>
  <c r="CK40" i="7"/>
  <c r="CK41" i="7"/>
  <c r="CK42" i="7"/>
  <c r="CK43" i="7"/>
  <c r="CK44" i="7"/>
  <c r="CK45" i="7"/>
  <c r="CK46" i="7"/>
  <c r="CK47" i="7"/>
  <c r="CK48" i="7"/>
  <c r="CK49" i="7"/>
  <c r="CK50" i="7"/>
  <c r="CK51" i="7"/>
  <c r="CK52" i="7"/>
  <c r="CK53" i="7"/>
  <c r="CK54" i="7"/>
  <c r="CK55" i="7"/>
  <c r="CK56" i="7"/>
  <c r="CK57" i="7"/>
  <c r="CK58" i="7"/>
  <c r="CK59" i="7"/>
  <c r="CK60" i="7"/>
  <c r="CK61" i="7"/>
  <c r="CK62" i="7"/>
  <c r="CK63" i="7"/>
  <c r="CK64" i="7"/>
  <c r="CK65" i="7"/>
  <c r="CK66" i="7"/>
  <c r="CK67" i="7"/>
  <c r="CK68" i="7"/>
  <c r="CK69" i="7"/>
  <c r="CK70" i="7"/>
  <c r="CK71" i="7"/>
  <c r="CK72" i="7"/>
  <c r="CK73" i="7"/>
  <c r="CK74" i="7"/>
  <c r="CK75" i="7"/>
  <c r="CK76" i="7"/>
  <c r="CK77" i="7"/>
  <c r="CK78" i="7"/>
  <c r="CK79" i="7"/>
  <c r="CK80" i="7"/>
  <c r="CK81" i="7"/>
  <c r="CK82" i="7"/>
  <c r="CK83" i="7"/>
  <c r="CK84" i="7"/>
  <c r="CK85" i="7"/>
  <c r="CK86" i="7"/>
  <c r="CK87" i="7"/>
  <c r="CK88" i="7"/>
  <c r="CK89" i="7"/>
  <c r="CK90" i="7"/>
  <c r="CK91" i="7"/>
  <c r="CK92" i="7"/>
  <c r="CK93" i="7"/>
  <c r="CK94" i="7"/>
  <c r="CK95" i="7"/>
  <c r="CK126" i="7"/>
  <c r="CK127" i="7"/>
  <c r="CK128" i="7"/>
  <c r="CK129" i="7"/>
  <c r="CK130" i="7"/>
  <c r="CK131" i="7"/>
  <c r="CK132" i="7"/>
  <c r="CJ5" i="7"/>
  <c r="CJ6" i="7"/>
  <c r="CJ7" i="7"/>
  <c r="CJ8" i="7"/>
  <c r="CJ9" i="7"/>
  <c r="CJ10" i="7"/>
  <c r="CJ11" i="7"/>
  <c r="CJ12" i="7"/>
  <c r="CJ13" i="7"/>
  <c r="CJ14" i="7"/>
  <c r="CJ15" i="7"/>
  <c r="CJ16" i="7"/>
  <c r="CJ17" i="7"/>
  <c r="CJ18" i="7"/>
  <c r="CJ19" i="7"/>
  <c r="CJ20" i="7"/>
  <c r="CJ21" i="7"/>
  <c r="CJ22" i="7"/>
  <c r="CJ23" i="7"/>
  <c r="CJ24" i="7"/>
  <c r="CJ25" i="7"/>
  <c r="CJ26" i="7"/>
  <c r="CJ27" i="7"/>
  <c r="CJ28" i="7"/>
  <c r="CJ29" i="7"/>
  <c r="CJ30" i="7"/>
  <c r="CJ31" i="7"/>
  <c r="CJ32" i="7"/>
  <c r="CJ33" i="7"/>
  <c r="CJ34" i="7"/>
  <c r="CJ35" i="7"/>
  <c r="CJ36" i="7"/>
  <c r="CJ37" i="7"/>
  <c r="CJ38" i="7"/>
  <c r="CJ39" i="7"/>
  <c r="CJ40" i="7"/>
  <c r="CJ41" i="7"/>
  <c r="CJ42" i="7"/>
  <c r="CJ43" i="7"/>
  <c r="CJ44" i="7"/>
  <c r="CJ45" i="7"/>
  <c r="CJ46" i="7"/>
  <c r="CJ47" i="7"/>
  <c r="CJ48" i="7"/>
  <c r="CJ49" i="7"/>
  <c r="CJ50" i="7"/>
  <c r="CJ51" i="7"/>
  <c r="CJ52" i="7"/>
  <c r="CJ53" i="7"/>
  <c r="CJ54" i="7"/>
  <c r="CJ55" i="7"/>
  <c r="CJ56" i="7"/>
  <c r="CJ57" i="7"/>
  <c r="CJ58" i="7"/>
  <c r="CJ59" i="7"/>
  <c r="CJ60" i="7"/>
  <c r="CJ61" i="7"/>
  <c r="CJ62" i="7"/>
  <c r="CJ63" i="7"/>
  <c r="CJ64" i="7"/>
  <c r="CJ65" i="7"/>
  <c r="CJ66" i="7"/>
  <c r="CJ67" i="7"/>
  <c r="CJ68" i="7"/>
  <c r="CJ69" i="7"/>
  <c r="CJ70" i="7"/>
  <c r="CJ71" i="7"/>
  <c r="CJ72" i="7"/>
  <c r="CJ73" i="7"/>
  <c r="CJ74" i="7"/>
  <c r="CJ75" i="7"/>
  <c r="CJ76" i="7"/>
  <c r="CJ77" i="7"/>
  <c r="CJ78" i="7"/>
  <c r="CJ79" i="7"/>
  <c r="CJ80" i="7"/>
  <c r="CJ81" i="7"/>
  <c r="CJ82" i="7"/>
  <c r="CJ83" i="7"/>
  <c r="CJ84" i="7"/>
  <c r="CJ85" i="7"/>
  <c r="CJ86" i="7"/>
  <c r="CJ87" i="7"/>
  <c r="CJ88" i="7"/>
  <c r="CJ89" i="7"/>
  <c r="CJ90" i="7"/>
  <c r="CJ91" i="7"/>
  <c r="CJ92" i="7"/>
  <c r="CJ93" i="7"/>
  <c r="CJ94" i="7"/>
  <c r="CJ95" i="7"/>
  <c r="CJ126" i="7"/>
  <c r="CJ127" i="7"/>
  <c r="CJ128" i="7"/>
  <c r="CJ129" i="7"/>
  <c r="CJ130" i="7"/>
  <c r="CJ131" i="7"/>
  <c r="CJ132" i="7"/>
  <c r="BT16" i="7"/>
  <c r="BT17" i="7"/>
  <c r="BT18" i="7"/>
  <c r="BT19" i="7"/>
  <c r="BT20" i="7"/>
  <c r="BT21" i="7"/>
  <c r="BT23" i="7"/>
  <c r="X337" i="14" s="1"/>
  <c r="BT27" i="7"/>
  <c r="BT29" i="7"/>
  <c r="BT31" i="7"/>
  <c r="BT47" i="7"/>
  <c r="BT50" i="7"/>
  <c r="BT56" i="7"/>
  <c r="BT57" i="7"/>
  <c r="BT58" i="7"/>
  <c r="BT59" i="7"/>
  <c r="BT60" i="7"/>
  <c r="BT61" i="7"/>
  <c r="BT63" i="7"/>
  <c r="X324" i="14" s="1"/>
  <c r="BT65" i="7"/>
  <c r="BT66" i="7"/>
  <c r="BT67" i="7"/>
  <c r="BT68" i="7"/>
  <c r="BT72" i="7"/>
  <c r="BT73" i="7"/>
  <c r="BT74" i="7"/>
  <c r="BT75" i="7"/>
  <c r="BT76" i="7"/>
  <c r="X293" i="14" s="1"/>
  <c r="BT78" i="7"/>
  <c r="X292" i="14" s="1"/>
  <c r="BT79" i="7"/>
  <c r="BT81" i="7"/>
  <c r="BT82" i="7"/>
  <c r="X335" i="14" s="1"/>
  <c r="BT83" i="7"/>
  <c r="BT84" i="7"/>
  <c r="BT85" i="7"/>
  <c r="BT86" i="7"/>
  <c r="BT87" i="7"/>
  <c r="BT88" i="7"/>
  <c r="BT89" i="7"/>
  <c r="BT94" i="7"/>
  <c r="BT126" i="7"/>
  <c r="BT128" i="7"/>
  <c r="X317" i="14" s="1"/>
  <c r="BT129" i="7"/>
  <c r="BT130" i="7"/>
  <c r="BT131" i="7"/>
  <c r="BT132" i="7"/>
  <c r="BN5" i="7"/>
  <c r="BN6" i="7"/>
  <c r="BN7" i="7"/>
  <c r="BN8" i="7"/>
  <c r="BN9" i="7"/>
  <c r="BN10" i="7"/>
  <c r="BN11" i="7"/>
  <c r="BN12" i="7"/>
  <c r="BN13" i="7"/>
  <c r="BN14" i="7"/>
  <c r="BN15" i="7"/>
  <c r="BN16" i="7"/>
  <c r="BN17" i="7"/>
  <c r="BN18" i="7"/>
  <c r="BN19" i="7"/>
  <c r="BN20" i="7"/>
  <c r="BN21" i="7"/>
  <c r="BN22" i="7"/>
  <c r="U342" i="14" s="1"/>
  <c r="BN23" i="7"/>
  <c r="U337" i="14" s="1"/>
  <c r="BN24" i="7"/>
  <c r="BN25" i="7"/>
  <c r="BN26" i="7"/>
  <c r="BN27" i="7"/>
  <c r="BN28" i="7"/>
  <c r="BN29" i="7"/>
  <c r="BN30" i="7"/>
  <c r="BN31" i="7"/>
  <c r="BN32" i="7"/>
  <c r="BN33" i="7"/>
  <c r="U321" i="14" s="1"/>
  <c r="BN34" i="7"/>
  <c r="BN35" i="7"/>
  <c r="U343" i="14" s="1"/>
  <c r="BN36" i="7"/>
  <c r="BN37" i="7"/>
  <c r="BN38" i="7"/>
  <c r="BN39" i="7"/>
  <c r="BN40" i="7"/>
  <c r="BN41" i="7"/>
  <c r="BN42" i="7"/>
  <c r="BN43" i="7"/>
  <c r="U319" i="14" s="1"/>
  <c r="BN44" i="7"/>
  <c r="BN45" i="7"/>
  <c r="BN46" i="7"/>
  <c r="BN47" i="7"/>
  <c r="BN48" i="7"/>
  <c r="BN49" i="7"/>
  <c r="BN50" i="7"/>
  <c r="BN51" i="7"/>
  <c r="BN52" i="7"/>
  <c r="BN53" i="7"/>
  <c r="BN54" i="7"/>
  <c r="U339" i="14" s="1"/>
  <c r="BN55" i="7"/>
  <c r="BN56" i="7"/>
  <c r="BN57" i="7"/>
  <c r="BN58" i="7"/>
  <c r="BN59" i="7"/>
  <c r="BN60" i="7"/>
  <c r="BN61" i="7"/>
  <c r="BN62" i="7"/>
  <c r="U323" i="14" s="1"/>
  <c r="BN63" i="7"/>
  <c r="U324" i="14" s="1"/>
  <c r="BN64" i="7"/>
  <c r="BN65" i="7"/>
  <c r="BN66" i="7"/>
  <c r="BN67" i="7"/>
  <c r="BN68" i="7"/>
  <c r="BN69" i="7"/>
  <c r="BN70" i="7"/>
  <c r="BN71" i="7"/>
  <c r="BN72" i="7"/>
  <c r="BN73" i="7"/>
  <c r="BN74" i="7"/>
  <c r="BN75" i="7"/>
  <c r="BN76" i="7"/>
  <c r="U293" i="14" s="1"/>
  <c r="BN77" i="7"/>
  <c r="BN78" i="7"/>
  <c r="U292" i="14" s="1"/>
  <c r="BN79" i="7"/>
  <c r="BN80" i="7"/>
  <c r="BN81" i="7"/>
  <c r="BN82" i="7"/>
  <c r="U335" i="14" s="1"/>
  <c r="BN83" i="7"/>
  <c r="BN84" i="7"/>
  <c r="BN85" i="7"/>
  <c r="BN86" i="7"/>
  <c r="BN87" i="7"/>
  <c r="BN88" i="7"/>
  <c r="BN89" i="7"/>
  <c r="BN90" i="7"/>
  <c r="BN91" i="7"/>
  <c r="BN92" i="7"/>
  <c r="U345" i="14" s="1"/>
  <c r="BN93" i="7"/>
  <c r="BN94" i="7"/>
  <c r="BN95" i="7"/>
  <c r="BN126" i="7"/>
  <c r="BN127" i="7"/>
  <c r="BN128" i="7"/>
  <c r="U317" i="14" s="1"/>
  <c r="BN129" i="7"/>
  <c r="BN130" i="7"/>
  <c r="BN131" i="7"/>
  <c r="BN132" i="7"/>
  <c r="BO132" i="7" s="1"/>
  <c r="AE5" i="7"/>
  <c r="AE6" i="7"/>
  <c r="AE7" i="7"/>
  <c r="AE8" i="7"/>
  <c r="AE9" i="7"/>
  <c r="AE10" i="7"/>
  <c r="AE11" i="7"/>
  <c r="AE12" i="7"/>
  <c r="AE13" i="7"/>
  <c r="AE14" i="7"/>
  <c r="AE15" i="7"/>
  <c r="AE16" i="7"/>
  <c r="AE17" i="7"/>
  <c r="AE18" i="7"/>
  <c r="AE19" i="7"/>
  <c r="AE20" i="7"/>
  <c r="AE21" i="7"/>
  <c r="AE22" i="7"/>
  <c r="AE23" i="7"/>
  <c r="P65" i="19" s="1"/>
  <c r="AE24" i="7"/>
  <c r="AE25" i="7"/>
  <c r="AE26" i="7"/>
  <c r="AE27" i="7"/>
  <c r="AE28" i="7"/>
  <c r="AE29" i="7"/>
  <c r="AE30" i="7"/>
  <c r="AE31" i="7"/>
  <c r="AE32" i="7"/>
  <c r="AE33" i="7"/>
  <c r="AE34" i="7"/>
  <c r="AE35" i="7"/>
  <c r="AE36" i="7"/>
  <c r="AE37" i="7"/>
  <c r="AE38" i="7"/>
  <c r="AE39" i="7"/>
  <c r="AE40" i="7"/>
  <c r="AE41" i="7"/>
  <c r="AE42" i="7"/>
  <c r="AE43" i="7"/>
  <c r="AE44" i="7"/>
  <c r="AE45" i="7"/>
  <c r="AE46" i="7"/>
  <c r="AE47" i="7"/>
  <c r="AE48" i="7"/>
  <c r="AE49" i="7"/>
  <c r="AE50" i="7"/>
  <c r="AE51" i="7"/>
  <c r="AE52" i="7"/>
  <c r="AE53" i="7"/>
  <c r="AE54" i="7"/>
  <c r="AE55" i="7"/>
  <c r="AE56" i="7"/>
  <c r="AE57" i="7"/>
  <c r="AE58" i="7"/>
  <c r="AE59" i="7"/>
  <c r="AE60" i="7"/>
  <c r="AE61" i="7"/>
  <c r="AE62" i="7"/>
  <c r="AE63" i="7"/>
  <c r="P68" i="19" s="1"/>
  <c r="AE64" i="7"/>
  <c r="AE65" i="7"/>
  <c r="AE66" i="7"/>
  <c r="AE67" i="7"/>
  <c r="AE68" i="7"/>
  <c r="AE69" i="7"/>
  <c r="AE70" i="7"/>
  <c r="AE71" i="7"/>
  <c r="AE72" i="7"/>
  <c r="AE73" i="7"/>
  <c r="AE74" i="7"/>
  <c r="AE75" i="7"/>
  <c r="AE76" i="7"/>
  <c r="AE77" i="7"/>
  <c r="AE78" i="7"/>
  <c r="AE79" i="7"/>
  <c r="AE80" i="7"/>
  <c r="AE81" i="7"/>
  <c r="AE82" i="7"/>
  <c r="AE83" i="7"/>
  <c r="AE84" i="7"/>
  <c r="AE85" i="7"/>
  <c r="AE86" i="7"/>
  <c r="AE87" i="7"/>
  <c r="AE88" i="7"/>
  <c r="AE89" i="7"/>
  <c r="AE90" i="7"/>
  <c r="AE91" i="7"/>
  <c r="AE92" i="7"/>
  <c r="AE93" i="7"/>
  <c r="AE94" i="7"/>
  <c r="AE95" i="7"/>
  <c r="AE96" i="7"/>
  <c r="AE97" i="7"/>
  <c r="AE98" i="7"/>
  <c r="AE99" i="7"/>
  <c r="AE100" i="7"/>
  <c r="AE101" i="7"/>
  <c r="AE102" i="7"/>
  <c r="AE103" i="7"/>
  <c r="AE104" i="7"/>
  <c r="AE105" i="7"/>
  <c r="AE106" i="7"/>
  <c r="AE107" i="7"/>
  <c r="AE108" i="7"/>
  <c r="AE109" i="7"/>
  <c r="AE110" i="7"/>
  <c r="AE111" i="7"/>
  <c r="AE112" i="7"/>
  <c r="AE113" i="7"/>
  <c r="AE114" i="7"/>
  <c r="AE115" i="7"/>
  <c r="AE116" i="7"/>
  <c r="AE117" i="7"/>
  <c r="AE118" i="7"/>
  <c r="P73" i="19" s="1"/>
  <c r="AE119" i="7"/>
  <c r="AE120" i="7"/>
  <c r="AE121" i="7"/>
  <c r="AE122" i="7"/>
  <c r="P63" i="19" s="1"/>
  <c r="AE123" i="7"/>
  <c r="AE124" i="7"/>
  <c r="AE125" i="7"/>
  <c r="P70" i="19" s="1"/>
  <c r="AE126" i="7"/>
  <c r="AE127" i="7"/>
  <c r="AE128" i="7"/>
  <c r="AE129" i="7"/>
  <c r="AE130" i="7"/>
  <c r="P69" i="19" s="1"/>
  <c r="AE131" i="7"/>
  <c r="AE132" i="7"/>
  <c r="P72" i="19" s="1"/>
  <c r="AA22" i="19"/>
  <c r="U322" i="14" l="1"/>
  <c r="U344" i="14"/>
  <c r="BU132" i="7"/>
  <c r="T87" i="20"/>
  <c r="CV84" i="7"/>
  <c r="CW84" i="7" s="1"/>
  <c r="CV72" i="7"/>
  <c r="CW72" i="7" s="1"/>
  <c r="CV60" i="7"/>
  <c r="CW60" i="7" s="1"/>
  <c r="CV92" i="7"/>
  <c r="CV80" i="7"/>
  <c r="CV68" i="7"/>
  <c r="CW68" i="7" s="1"/>
  <c r="CV56" i="7"/>
  <c r="CW56" i="7" s="1"/>
  <c r="CV44" i="7"/>
  <c r="CV32" i="7"/>
  <c r="CV20" i="7"/>
  <c r="CW20" i="7" s="1"/>
  <c r="CV8" i="7"/>
  <c r="CV132" i="7"/>
  <c r="CW132" i="7" s="1"/>
  <c r="CV88" i="7"/>
  <c r="CW88" i="7" s="1"/>
  <c r="CV76" i="7"/>
  <c r="CW76" i="7" s="1"/>
  <c r="CV64" i="7"/>
  <c r="CV52" i="7"/>
  <c r="CV40" i="7"/>
  <c r="CV16" i="7"/>
  <c r="CW16" i="7" s="1"/>
  <c r="CV128" i="7"/>
  <c r="CW128" i="7" s="1"/>
  <c r="CV87" i="7"/>
  <c r="CW87" i="7" s="1"/>
  <c r="CV75" i="7"/>
  <c r="CW75" i="7" s="1"/>
  <c r="CV63" i="7"/>
  <c r="CW63" i="7" s="1"/>
  <c r="CV51" i="7"/>
  <c r="CV39" i="7"/>
  <c r="CV27" i="7"/>
  <c r="CW27" i="7" s="1"/>
  <c r="CV15" i="7"/>
  <c r="CV85" i="7"/>
  <c r="CW85" i="7" s="1"/>
  <c r="CV73" i="7"/>
  <c r="CW73" i="7" s="1"/>
  <c r="CV61" i="7"/>
  <c r="CW61" i="7" s="1"/>
  <c r="CV49" i="7"/>
  <c r="CV37" i="7"/>
  <c r="CV13" i="7"/>
  <c r="CV127" i="7"/>
  <c r="CV91" i="7"/>
  <c r="CV79" i="7"/>
  <c r="CW79" i="7" s="1"/>
  <c r="CV67" i="7"/>
  <c r="CW67" i="7" s="1"/>
  <c r="CV55" i="7"/>
  <c r="CV43" i="7"/>
  <c r="CV31" i="7"/>
  <c r="CW31" i="7" s="1"/>
  <c r="CV19" i="7"/>
  <c r="CW19" i="7" s="1"/>
  <c r="CV7" i="7"/>
  <c r="CV131" i="7"/>
  <c r="CW131" i="7" s="1"/>
  <c r="CV95" i="7"/>
  <c r="CV83" i="7"/>
  <c r="CW83" i="7" s="1"/>
  <c r="CV71" i="7"/>
  <c r="CV59" i="7"/>
  <c r="CW59" i="7" s="1"/>
  <c r="CV47" i="7"/>
  <c r="CW47" i="7" s="1"/>
  <c r="CV35" i="7"/>
  <c r="CV23" i="7"/>
  <c r="CW23" i="7" s="1"/>
  <c r="CV11" i="7"/>
  <c r="CV86" i="7"/>
  <c r="CW86" i="7" s="1"/>
  <c r="CV74" i="7"/>
  <c r="CW74" i="7" s="1"/>
  <c r="CV62" i="7"/>
  <c r="CV50" i="7"/>
  <c r="CW50" i="7" s="1"/>
  <c r="CV38" i="7"/>
  <c r="CV26" i="7"/>
  <c r="CV14" i="7"/>
  <c r="CV48" i="7"/>
  <c r="CV36" i="7"/>
  <c r="CV24" i="7"/>
  <c r="CV12" i="7"/>
  <c r="CV130" i="7"/>
  <c r="CW130" i="7" s="1"/>
  <c r="CV94" i="7"/>
  <c r="CW94" i="7" s="1"/>
  <c r="CV82" i="7"/>
  <c r="CW82" i="7" s="1"/>
  <c r="CV70" i="7"/>
  <c r="CV58" i="7"/>
  <c r="CW58" i="7" s="1"/>
  <c r="CV46" i="7"/>
  <c r="CV34" i="7"/>
  <c r="CV22" i="7"/>
  <c r="CV10" i="7"/>
  <c r="CV129" i="7"/>
  <c r="CW129" i="7" s="1"/>
  <c r="CV93" i="7"/>
  <c r="CV81" i="7"/>
  <c r="CW81" i="7" s="1"/>
  <c r="CV69" i="7"/>
  <c r="CV57" i="7"/>
  <c r="CW57" i="7" s="1"/>
  <c r="CV45" i="7"/>
  <c r="CV33" i="7"/>
  <c r="CV21" i="7"/>
  <c r="CW21" i="7" s="1"/>
  <c r="CV9" i="7"/>
  <c r="CV126" i="7"/>
  <c r="CW126" i="7" s="1"/>
  <c r="CV90" i="7"/>
  <c r="CV78" i="7"/>
  <c r="CW78" i="7" s="1"/>
  <c r="CV66" i="7"/>
  <c r="CW66" i="7" s="1"/>
  <c r="CV54" i="7"/>
  <c r="CV42" i="7"/>
  <c r="CV30" i="7"/>
  <c r="CV18" i="7"/>
  <c r="CW18" i="7" s="1"/>
  <c r="CV6" i="7"/>
  <c r="CV89" i="7"/>
  <c r="CW89" i="7" s="1"/>
  <c r="CV77" i="7"/>
  <c r="CV65" i="7"/>
  <c r="CW65" i="7" s="1"/>
  <c r="CV53" i="7"/>
  <c r="CV41" i="7"/>
  <c r="CV29" i="7"/>
  <c r="CW29" i="7" s="1"/>
  <c r="CV17" i="7"/>
  <c r="CW17" i="7" s="1"/>
  <c r="CV5" i="7"/>
  <c r="AU282" i="14"/>
  <c r="AU283" i="14"/>
  <c r="AU284" i="14"/>
  <c r="AU285" i="14"/>
  <c r="AZ77" i="7"/>
  <c r="AY77" i="7"/>
  <c r="AX77" i="7"/>
  <c r="BA30" i="7"/>
  <c r="AZ30" i="7"/>
  <c r="AY30" i="7"/>
  <c r="AX30" i="7"/>
  <c r="AW30" i="7"/>
  <c r="BS129" i="7"/>
  <c r="BS130" i="7"/>
  <c r="BS131" i="7"/>
  <c r="AR129" i="7"/>
  <c r="AR130" i="7"/>
  <c r="AR131" i="7"/>
  <c r="AQ129" i="7"/>
  <c r="AQ130" i="7"/>
  <c r="AQ131" i="7"/>
  <c r="AP129" i="7"/>
  <c r="AP130" i="7"/>
  <c r="AP131" i="7"/>
  <c r="AO129" i="7"/>
  <c r="AO130" i="7"/>
  <c r="AO131" i="7"/>
  <c r="BI129" i="7"/>
  <c r="BI130" i="7"/>
  <c r="AH69" i="19" s="1"/>
  <c r="AJ69" i="19" s="1"/>
  <c r="BI131" i="7"/>
  <c r="BH129" i="7"/>
  <c r="BH131" i="7"/>
  <c r="AU279" i="14"/>
  <c r="AU280" i="14"/>
  <c r="AU281" i="14"/>
  <c r="AI278" i="14"/>
  <c r="AU278" i="14" s="1"/>
  <c r="BW132" i="7"/>
  <c r="BG289" i="14"/>
  <c r="BG290" i="14"/>
  <c r="BG297" i="14"/>
  <c r="BG298" i="14"/>
  <c r="BG299" i="14"/>
  <c r="BG300" i="14"/>
  <c r="BB289" i="14"/>
  <c r="BB290" i="14"/>
  <c r="BB297" i="14"/>
  <c r="BB298" i="14"/>
  <c r="BB299" i="14"/>
  <c r="BB300" i="14"/>
  <c r="AV300" i="14"/>
  <c r="AU300" i="14"/>
  <c r="AP300" i="14"/>
  <c r="AK300" i="14"/>
  <c r="AJ300" i="14"/>
  <c r="AI300" i="14"/>
  <c r="AV299" i="14"/>
  <c r="AU299" i="14"/>
  <c r="AP299" i="14"/>
  <c r="AK299" i="14"/>
  <c r="AJ299" i="14"/>
  <c r="AI299" i="14"/>
  <c r="AV298" i="14"/>
  <c r="AU298" i="14"/>
  <c r="AP298" i="14"/>
  <c r="AK298" i="14"/>
  <c r="AJ298" i="14"/>
  <c r="AI298" i="14"/>
  <c r="AU297" i="14"/>
  <c r="AP297" i="14"/>
  <c r="AK297" i="14"/>
  <c r="AJ297" i="14"/>
  <c r="AI297" i="14"/>
  <c r="AP290" i="14"/>
  <c r="AK290" i="14"/>
  <c r="AJ290" i="14"/>
  <c r="AI290" i="14"/>
  <c r="AP289" i="14"/>
  <c r="AK289" i="14"/>
  <c r="AJ289" i="14"/>
  <c r="AI289" i="14"/>
  <c r="AU289" i="14" s="1"/>
  <c r="BG272" i="14"/>
  <c r="BG273" i="14"/>
  <c r="BG274" i="14"/>
  <c r="BG275" i="14"/>
  <c r="BG276" i="14"/>
  <c r="BG277" i="14"/>
  <c r="BG278" i="14"/>
  <c r="BG279" i="14"/>
  <c r="BG280" i="14"/>
  <c r="BG281" i="14"/>
  <c r="BG282" i="14"/>
  <c r="BG283" i="14"/>
  <c r="BG284" i="14"/>
  <c r="BG285" i="14"/>
  <c r="BG286" i="14"/>
  <c r="BG287" i="14"/>
  <c r="BG288" i="14"/>
  <c r="BB272" i="14"/>
  <c r="BB273" i="14"/>
  <c r="BB274" i="14"/>
  <c r="BB275" i="14"/>
  <c r="BB276" i="14"/>
  <c r="BB277" i="14"/>
  <c r="BB278" i="14"/>
  <c r="BB279" i="14"/>
  <c r="BB280" i="14"/>
  <c r="BB281" i="14"/>
  <c r="BB282" i="14"/>
  <c r="BB283" i="14"/>
  <c r="BB284" i="14"/>
  <c r="BB285" i="14"/>
  <c r="BB286" i="14"/>
  <c r="BB287" i="14"/>
  <c r="BB288" i="14"/>
  <c r="AK277" i="14"/>
  <c r="AJ277" i="14"/>
  <c r="AI277" i="14"/>
  <c r="AU277" i="14" s="1"/>
  <c r="T277" i="14"/>
  <c r="S277" i="14"/>
  <c r="R277" i="14"/>
  <c r="Q277" i="14"/>
  <c r="P277" i="14"/>
  <c r="N277" i="14"/>
  <c r="M277" i="14"/>
  <c r="L277" i="14"/>
  <c r="K277" i="14"/>
  <c r="J277" i="14"/>
  <c r="I277" i="14"/>
  <c r="H277" i="14"/>
  <c r="G277" i="14"/>
  <c r="F277" i="14"/>
  <c r="E277" i="14"/>
  <c r="BI277" i="14" s="1"/>
  <c r="D277" i="14"/>
  <c r="C277" i="14"/>
  <c r="B277" i="14"/>
  <c r="BH277" i="14" s="1"/>
  <c r="B272" i="14"/>
  <c r="BH272" i="14" s="1"/>
  <c r="C272" i="14"/>
  <c r="D272" i="14"/>
  <c r="E272" i="14"/>
  <c r="BI272" i="14" s="1"/>
  <c r="F272" i="14"/>
  <c r="G272" i="14"/>
  <c r="H272" i="14"/>
  <c r="I272" i="14"/>
  <c r="J272" i="14"/>
  <c r="K272" i="14"/>
  <c r="L272" i="14"/>
  <c r="M272" i="14"/>
  <c r="N272" i="14"/>
  <c r="P272" i="14"/>
  <c r="Q272" i="14"/>
  <c r="R272" i="14"/>
  <c r="S272" i="14"/>
  <c r="T272" i="14"/>
  <c r="AP272" i="14"/>
  <c r="AM26" i="20"/>
  <c r="AL26" i="20"/>
  <c r="AG26" i="20"/>
  <c r="AF26" i="20"/>
  <c r="AP276" i="14"/>
  <c r="AP275" i="14"/>
  <c r="AP274" i="14"/>
  <c r="AP273" i="14"/>
  <c r="T276" i="14"/>
  <c r="S276" i="14"/>
  <c r="R276" i="14"/>
  <c r="Q276" i="14"/>
  <c r="P276" i="14"/>
  <c r="N276" i="14"/>
  <c r="M276" i="14"/>
  <c r="L276" i="14"/>
  <c r="K276" i="14"/>
  <c r="J276" i="14"/>
  <c r="I276" i="14"/>
  <c r="H276" i="14"/>
  <c r="G276" i="14"/>
  <c r="F276" i="14"/>
  <c r="E276" i="14"/>
  <c r="BI276" i="14" s="1"/>
  <c r="D276" i="14"/>
  <c r="C276" i="14"/>
  <c r="B276" i="14"/>
  <c r="BH276" i="14" s="1"/>
  <c r="T275" i="14"/>
  <c r="S275" i="14"/>
  <c r="R275" i="14"/>
  <c r="Q275" i="14"/>
  <c r="P275" i="14"/>
  <c r="N275" i="14"/>
  <c r="M275" i="14"/>
  <c r="L275" i="14"/>
  <c r="K275" i="14"/>
  <c r="J275" i="14"/>
  <c r="I275" i="14"/>
  <c r="H275" i="14"/>
  <c r="G275" i="14"/>
  <c r="F275" i="14"/>
  <c r="E275" i="14"/>
  <c r="BI275" i="14" s="1"/>
  <c r="D275" i="14"/>
  <c r="C275" i="14"/>
  <c r="B275" i="14"/>
  <c r="BH275" i="14" s="1"/>
  <c r="T274" i="14"/>
  <c r="S274" i="14"/>
  <c r="R274" i="14"/>
  <c r="Q274" i="14"/>
  <c r="P274" i="14"/>
  <c r="N274" i="14"/>
  <c r="M274" i="14"/>
  <c r="L274" i="14"/>
  <c r="K274" i="14"/>
  <c r="J274" i="14"/>
  <c r="I274" i="14"/>
  <c r="H274" i="14"/>
  <c r="G274" i="14"/>
  <c r="F274" i="14"/>
  <c r="E274" i="14"/>
  <c r="BI274" i="14" s="1"/>
  <c r="D274" i="14"/>
  <c r="C274" i="14"/>
  <c r="B274" i="14"/>
  <c r="BH274" i="14" s="1"/>
  <c r="T273" i="14"/>
  <c r="S273" i="14"/>
  <c r="R273" i="14"/>
  <c r="Q273" i="14"/>
  <c r="P273" i="14"/>
  <c r="N273" i="14"/>
  <c r="M273" i="14"/>
  <c r="L273" i="14"/>
  <c r="K273" i="14"/>
  <c r="J273" i="14"/>
  <c r="I273" i="14"/>
  <c r="H273" i="14"/>
  <c r="G273" i="14"/>
  <c r="F273" i="14"/>
  <c r="E273" i="14"/>
  <c r="BI273" i="14" s="1"/>
  <c r="D273" i="14"/>
  <c r="C273" i="14"/>
  <c r="B273" i="14"/>
  <c r="BH273" i="14" s="1"/>
  <c r="EY86" i="20"/>
  <c r="EX86" i="20"/>
  <c r="ER86" i="20"/>
  <c r="EL86" i="20"/>
  <c r="EF86" i="20"/>
  <c r="DZ86" i="20"/>
  <c r="DT86" i="20"/>
  <c r="DN86" i="20"/>
  <c r="DH86" i="20"/>
  <c r="DB86" i="20"/>
  <c r="CV86" i="20"/>
  <c r="CP86" i="20"/>
  <c r="CJ86" i="20"/>
  <c r="CD86" i="20"/>
  <c r="BX86" i="20"/>
  <c r="BR86" i="20"/>
  <c r="BL86" i="20"/>
  <c r="BF86" i="20"/>
  <c r="AZ86" i="20"/>
  <c r="AT86" i="20"/>
  <c r="AN86" i="20"/>
  <c r="AH86" i="20"/>
  <c r="AB86" i="20"/>
  <c r="V86" i="20"/>
  <c r="S86" i="20"/>
  <c r="R86" i="20"/>
  <c r="EY85" i="20"/>
  <c r="EX85" i="20"/>
  <c r="ER85" i="20"/>
  <c r="EL85" i="20"/>
  <c r="EF85" i="20"/>
  <c r="DZ85" i="20"/>
  <c r="DT85" i="20"/>
  <c r="DN85" i="20"/>
  <c r="DH85" i="20"/>
  <c r="DB85" i="20"/>
  <c r="CV85" i="20"/>
  <c r="CP85" i="20"/>
  <c r="CJ85" i="20"/>
  <c r="CD85" i="20"/>
  <c r="BX85" i="20"/>
  <c r="BR85" i="20"/>
  <c r="BL85" i="20"/>
  <c r="BF85" i="20"/>
  <c r="AZ85" i="20"/>
  <c r="AT85" i="20"/>
  <c r="AN85" i="20"/>
  <c r="AH85" i="20"/>
  <c r="V85" i="20"/>
  <c r="S85" i="20"/>
  <c r="R85" i="20"/>
  <c r="AA82" i="20"/>
  <c r="Z82" i="20"/>
  <c r="AA72" i="20"/>
  <c r="Z72" i="20"/>
  <c r="AA66" i="20"/>
  <c r="Z66" i="20"/>
  <c r="AA64" i="20"/>
  <c r="Z64" i="20"/>
  <c r="AA60" i="20"/>
  <c r="Z60" i="20"/>
  <c r="AA28" i="20"/>
  <c r="Z28" i="20"/>
  <c r="AA11" i="20"/>
  <c r="Z11" i="20"/>
  <c r="AB21" i="19"/>
  <c r="CP28" i="7" s="1"/>
  <c r="CV28" i="7" s="1"/>
  <c r="BV132" i="7" l="1"/>
  <c r="AU290" i="14"/>
  <c r="AT129" i="7"/>
  <c r="AS131" i="7"/>
  <c r="AT130" i="7"/>
  <c r="AS129" i="7"/>
  <c r="AT131" i="7"/>
  <c r="T85" i="20"/>
  <c r="T86" i="20"/>
  <c r="BG266" i="14"/>
  <c r="BG267" i="14"/>
  <c r="BG268" i="14"/>
  <c r="BG269" i="14"/>
  <c r="BG270" i="14"/>
  <c r="BG271" i="14"/>
  <c r="BB266" i="14"/>
  <c r="BB267" i="14"/>
  <c r="BB268" i="14"/>
  <c r="BB269" i="14"/>
  <c r="BB270" i="14"/>
  <c r="BB271" i="14"/>
  <c r="AU266" i="14"/>
  <c r="AU267" i="14"/>
  <c r="AU268" i="14"/>
  <c r="AU269" i="14"/>
  <c r="AU270" i="14"/>
  <c r="AU271" i="14"/>
  <c r="BG265" i="14"/>
  <c r="BB265" i="14"/>
  <c r="BG264" i="14"/>
  <c r="BB264" i="14"/>
  <c r="BG263" i="14"/>
  <c r="BB263" i="14"/>
  <c r="BG262" i="14"/>
  <c r="BB262" i="14"/>
  <c r="AU264" i="14"/>
  <c r="AU265" i="14"/>
  <c r="T271" i="14"/>
  <c r="S271" i="14"/>
  <c r="R271" i="14"/>
  <c r="Q271" i="14"/>
  <c r="P271" i="14"/>
  <c r="N271" i="14"/>
  <c r="M271" i="14"/>
  <c r="L271" i="14"/>
  <c r="K271" i="14"/>
  <c r="J271" i="14"/>
  <c r="I271" i="14"/>
  <c r="H271" i="14"/>
  <c r="G271" i="14"/>
  <c r="F271" i="14"/>
  <c r="E271" i="14"/>
  <c r="BI271" i="14" s="1"/>
  <c r="D271" i="14"/>
  <c r="C271" i="14"/>
  <c r="B271" i="14"/>
  <c r="BH271" i="14" s="1"/>
  <c r="T270" i="14"/>
  <c r="S270" i="14"/>
  <c r="R270" i="14"/>
  <c r="Q270" i="14"/>
  <c r="P270" i="14"/>
  <c r="N270" i="14"/>
  <c r="M270" i="14"/>
  <c r="L270" i="14"/>
  <c r="K270" i="14"/>
  <c r="J270" i="14"/>
  <c r="I270" i="14"/>
  <c r="H270" i="14"/>
  <c r="G270" i="14"/>
  <c r="F270" i="14"/>
  <c r="E270" i="14"/>
  <c r="BI270" i="14" s="1"/>
  <c r="D270" i="14"/>
  <c r="C270" i="14"/>
  <c r="B270" i="14"/>
  <c r="BH270" i="14" s="1"/>
  <c r="T269" i="14"/>
  <c r="S269" i="14"/>
  <c r="R269" i="14"/>
  <c r="Q269" i="14"/>
  <c r="P269" i="14"/>
  <c r="N269" i="14"/>
  <c r="M269" i="14"/>
  <c r="L269" i="14"/>
  <c r="K269" i="14"/>
  <c r="J269" i="14"/>
  <c r="I269" i="14"/>
  <c r="H269" i="14"/>
  <c r="G269" i="14"/>
  <c r="F269" i="14"/>
  <c r="E269" i="14"/>
  <c r="BI269" i="14" s="1"/>
  <c r="D269" i="14"/>
  <c r="C269" i="14"/>
  <c r="B269" i="14"/>
  <c r="BH269" i="14" s="1"/>
  <c r="T268" i="14"/>
  <c r="S268" i="14"/>
  <c r="R268" i="14"/>
  <c r="Q268" i="14"/>
  <c r="P268" i="14"/>
  <c r="N268" i="14"/>
  <c r="M268" i="14"/>
  <c r="L268" i="14"/>
  <c r="K268" i="14"/>
  <c r="J268" i="14"/>
  <c r="I268" i="14"/>
  <c r="H268" i="14"/>
  <c r="G268" i="14"/>
  <c r="F268" i="14"/>
  <c r="E268" i="14"/>
  <c r="BI268" i="14" s="1"/>
  <c r="D268" i="14"/>
  <c r="C268" i="14"/>
  <c r="B268" i="14"/>
  <c r="BH268" i="14" s="1"/>
  <c r="T267" i="14"/>
  <c r="S267" i="14"/>
  <c r="R267" i="14"/>
  <c r="Q267" i="14"/>
  <c r="P267" i="14"/>
  <c r="N267" i="14"/>
  <c r="M267" i="14"/>
  <c r="L267" i="14"/>
  <c r="K267" i="14"/>
  <c r="J267" i="14"/>
  <c r="I267" i="14"/>
  <c r="H267" i="14"/>
  <c r="G267" i="14"/>
  <c r="F267" i="14"/>
  <c r="E267" i="14"/>
  <c r="BI267" i="14" s="1"/>
  <c r="D267" i="14"/>
  <c r="C267" i="14"/>
  <c r="B267" i="14"/>
  <c r="BH267" i="14" s="1"/>
  <c r="T266" i="14"/>
  <c r="S266" i="14"/>
  <c r="R266" i="14"/>
  <c r="Q266" i="14"/>
  <c r="P266" i="14"/>
  <c r="N266" i="14"/>
  <c r="M266" i="14"/>
  <c r="L266" i="14"/>
  <c r="K266" i="14"/>
  <c r="J266" i="14"/>
  <c r="I266" i="14"/>
  <c r="H266" i="14"/>
  <c r="G266" i="14"/>
  <c r="F266" i="14"/>
  <c r="E266" i="14"/>
  <c r="BI266" i="14" s="1"/>
  <c r="D266" i="14"/>
  <c r="C266" i="14"/>
  <c r="B266" i="14"/>
  <c r="BH266" i="14" s="1"/>
  <c r="AK263" i="14"/>
  <c r="AJ263" i="14"/>
  <c r="AI263" i="14"/>
  <c r="T263" i="14"/>
  <c r="S263" i="14"/>
  <c r="R263" i="14"/>
  <c r="Q263" i="14"/>
  <c r="P263" i="14"/>
  <c r="N263" i="14"/>
  <c r="M263" i="14"/>
  <c r="L263" i="14"/>
  <c r="K263" i="14"/>
  <c r="J263" i="14"/>
  <c r="I263" i="14"/>
  <c r="H263" i="14"/>
  <c r="G263" i="14"/>
  <c r="F263" i="14"/>
  <c r="E263" i="14"/>
  <c r="BI263" i="14" s="1"/>
  <c r="D263" i="14"/>
  <c r="C263" i="14"/>
  <c r="B263" i="14"/>
  <c r="BH263" i="14" s="1"/>
  <c r="AP262" i="14"/>
  <c r="T262" i="14"/>
  <c r="S262" i="14"/>
  <c r="R262" i="14"/>
  <c r="Q262" i="14"/>
  <c r="P262" i="14"/>
  <c r="N262" i="14"/>
  <c r="M262" i="14"/>
  <c r="L262" i="14"/>
  <c r="K262" i="14"/>
  <c r="J262" i="14"/>
  <c r="I262" i="14"/>
  <c r="H262" i="14"/>
  <c r="G262" i="14"/>
  <c r="F262" i="14"/>
  <c r="E262" i="14"/>
  <c r="BI262" i="14" s="1"/>
  <c r="D262" i="14"/>
  <c r="C262" i="14"/>
  <c r="B262" i="14"/>
  <c r="BH262" i="14" s="1"/>
  <c r="AU129" i="7" l="1"/>
  <c r="AU263" i="14"/>
  <c r="AU131" i="7"/>
  <c r="BG241" i="14"/>
  <c r="BG242" i="14"/>
  <c r="BG243" i="14"/>
  <c r="BG244" i="14"/>
  <c r="BG245" i="14"/>
  <c r="BG246" i="14"/>
  <c r="BG247" i="14"/>
  <c r="BG248" i="14"/>
  <c r="BG249" i="14"/>
  <c r="BG250" i="14"/>
  <c r="BG251" i="14"/>
  <c r="BG252" i="14"/>
  <c r="BG253" i="14"/>
  <c r="BG254" i="14"/>
  <c r="BG255" i="14"/>
  <c r="BG256" i="14"/>
  <c r="BG257" i="14"/>
  <c r="BG258" i="14"/>
  <c r="BG259" i="14"/>
  <c r="BG260" i="14"/>
  <c r="BG261" i="14"/>
  <c r="BB252" i="14"/>
  <c r="BB253" i="14"/>
  <c r="BB254" i="14"/>
  <c r="BB255" i="14"/>
  <c r="BB256" i="14"/>
  <c r="BB257" i="14"/>
  <c r="BB258" i="14"/>
  <c r="BB259" i="14"/>
  <c r="BB260" i="14"/>
  <c r="BB261" i="14"/>
  <c r="AU248" i="14"/>
  <c r="AU249" i="14"/>
  <c r="AU250" i="14"/>
  <c r="AU251" i="14"/>
  <c r="AU252" i="14"/>
  <c r="AU253" i="14"/>
  <c r="AU254" i="14"/>
  <c r="AU255" i="14"/>
  <c r="AU256" i="14"/>
  <c r="AU257" i="14"/>
  <c r="AU258" i="14"/>
  <c r="AU259" i="14"/>
  <c r="AU260" i="14"/>
  <c r="AU261" i="14"/>
  <c r="BB241" i="14"/>
  <c r="BB242" i="14"/>
  <c r="BB243" i="14"/>
  <c r="BB244" i="14"/>
  <c r="BB245" i="14"/>
  <c r="BB246" i="14"/>
  <c r="BB247" i="14"/>
  <c r="BB248" i="14"/>
  <c r="BB249" i="14"/>
  <c r="BB250" i="14"/>
  <c r="BB251" i="14"/>
  <c r="AU241" i="14"/>
  <c r="AU242" i="14"/>
  <c r="BS128" i="7"/>
  <c r="BI128" i="7"/>
  <c r="BH128" i="7"/>
  <c r="AR128" i="7"/>
  <c r="AQ128" i="7"/>
  <c r="AP128" i="7"/>
  <c r="AO128" i="7"/>
  <c r="BW129" i="7" l="1"/>
  <c r="BV129" i="7" s="1"/>
  <c r="BU129" i="7"/>
  <c r="BJ129" i="7"/>
  <c r="BO129" i="7"/>
  <c r="BJ131" i="7"/>
  <c r="BO131" i="7"/>
  <c r="BU131" i="7"/>
  <c r="CY132" i="7"/>
  <c r="BW131" i="7"/>
  <c r="BV131" i="7" s="1"/>
  <c r="BH130" i="7"/>
  <c r="AT128" i="7"/>
  <c r="Z317" i="14" s="1"/>
  <c r="AG317" i="14" s="1"/>
  <c r="AS128" i="7"/>
  <c r="AF317" i="14" s="1"/>
  <c r="AS130" i="7"/>
  <c r="AU130" i="7" s="1"/>
  <c r="AS271" i="18"/>
  <c r="AK271" i="18"/>
  <c r="AC271" i="18"/>
  <c r="V271" i="18"/>
  <c r="R271" i="18"/>
  <c r="AS270" i="18"/>
  <c r="AK270" i="18"/>
  <c r="AC270" i="18"/>
  <c r="V270" i="18"/>
  <c r="R270" i="18"/>
  <c r="AS265" i="18"/>
  <c r="AK265" i="18"/>
  <c r="AC265" i="18"/>
  <c r="V265" i="18"/>
  <c r="R265" i="18"/>
  <c r="M265" i="18"/>
  <c r="L265" i="18"/>
  <c r="K265" i="18"/>
  <c r="J265" i="18"/>
  <c r="I265" i="18"/>
  <c r="H265" i="18"/>
  <c r="G265" i="18"/>
  <c r="F265" i="18"/>
  <c r="E265" i="18"/>
  <c r="D265" i="18"/>
  <c r="C265" i="18"/>
  <c r="R266" i="18"/>
  <c r="V266" i="18"/>
  <c r="AC266" i="18"/>
  <c r="AK266" i="18"/>
  <c r="AS266" i="18"/>
  <c r="AS269" i="18"/>
  <c r="AK269" i="18"/>
  <c r="AC269" i="18"/>
  <c r="V269" i="18"/>
  <c r="R269" i="18"/>
  <c r="AS264" i="18"/>
  <c r="AK264" i="18"/>
  <c r="AC264" i="18"/>
  <c r="V264" i="18"/>
  <c r="R264" i="18"/>
  <c r="M264" i="18"/>
  <c r="L264" i="18"/>
  <c r="K264" i="18"/>
  <c r="J264" i="18"/>
  <c r="I264" i="18"/>
  <c r="H264" i="18"/>
  <c r="G264" i="18"/>
  <c r="F264" i="18"/>
  <c r="E264" i="18"/>
  <c r="D264" i="18"/>
  <c r="C264" i="18"/>
  <c r="AS268" i="18"/>
  <c r="AK268" i="18"/>
  <c r="AC268" i="18"/>
  <c r="V268" i="18"/>
  <c r="R268" i="18"/>
  <c r="AS267" i="18"/>
  <c r="AK267" i="18"/>
  <c r="AC267" i="18"/>
  <c r="V267" i="18"/>
  <c r="R267" i="18"/>
  <c r="M267" i="18"/>
  <c r="L267" i="18"/>
  <c r="K267" i="18"/>
  <c r="J267" i="18"/>
  <c r="I267" i="18"/>
  <c r="H267" i="18"/>
  <c r="G267" i="18"/>
  <c r="F267" i="18"/>
  <c r="E267" i="18"/>
  <c r="D267" i="18"/>
  <c r="C267" i="18"/>
  <c r="AS263" i="18"/>
  <c r="AK263" i="18"/>
  <c r="AC263" i="18"/>
  <c r="V263" i="18"/>
  <c r="R263" i="18"/>
  <c r="AS262" i="18"/>
  <c r="AK262" i="18"/>
  <c r="AC262" i="18"/>
  <c r="V262" i="18"/>
  <c r="R262" i="18"/>
  <c r="Q87" i="20" l="1"/>
  <c r="U87" i="20" s="1"/>
  <c r="U69" i="19"/>
  <c r="AH317" i="14"/>
  <c r="AV317" i="14" s="1"/>
  <c r="BO130" i="7"/>
  <c r="BU130" i="7"/>
  <c r="BW130" i="7"/>
  <c r="BV130" i="7" s="1"/>
  <c r="BJ130" i="7"/>
  <c r="AU128" i="7"/>
  <c r="AS391" i="18"/>
  <c r="AK391" i="18"/>
  <c r="AC391" i="18"/>
  <c r="V391" i="18"/>
  <c r="R391" i="18"/>
  <c r="AS390" i="18"/>
  <c r="AK390" i="18"/>
  <c r="AC390" i="18"/>
  <c r="V390" i="18"/>
  <c r="R390" i="18"/>
  <c r="AS389" i="18"/>
  <c r="AK389" i="18"/>
  <c r="AC389" i="18"/>
  <c r="V389" i="18"/>
  <c r="R389" i="18"/>
  <c r="AS388" i="18"/>
  <c r="AK388" i="18"/>
  <c r="AC388" i="18"/>
  <c r="V388" i="18"/>
  <c r="R388" i="18"/>
  <c r="AS387" i="18"/>
  <c r="AK387" i="18"/>
  <c r="AC387" i="18"/>
  <c r="V387" i="18"/>
  <c r="R387" i="18"/>
  <c r="AS386" i="18"/>
  <c r="AK386" i="18"/>
  <c r="AC386" i="18"/>
  <c r="V386" i="18"/>
  <c r="R386" i="18"/>
  <c r="AS385" i="18"/>
  <c r="AK385" i="18"/>
  <c r="AC385" i="18"/>
  <c r="V385" i="18"/>
  <c r="R385" i="18"/>
  <c r="AS384" i="18"/>
  <c r="AK384" i="18"/>
  <c r="AC384" i="18"/>
  <c r="V384" i="18"/>
  <c r="R384" i="18"/>
  <c r="AS383" i="18"/>
  <c r="AK383" i="18"/>
  <c r="AC383" i="18"/>
  <c r="V383" i="18"/>
  <c r="R383" i="18"/>
  <c r="AS382" i="18"/>
  <c r="AK382" i="18"/>
  <c r="AC382" i="18"/>
  <c r="V382" i="18"/>
  <c r="R382" i="18"/>
  <c r="AS381" i="18"/>
  <c r="AK381" i="18"/>
  <c r="AC381" i="18"/>
  <c r="V381" i="18"/>
  <c r="R381" i="18"/>
  <c r="AS380" i="18"/>
  <c r="AK380" i="18"/>
  <c r="AC380" i="18"/>
  <c r="V380" i="18"/>
  <c r="R380" i="18"/>
  <c r="AS379" i="18"/>
  <c r="AK379" i="18"/>
  <c r="AC379" i="18"/>
  <c r="V379" i="18"/>
  <c r="R379" i="18"/>
  <c r="AS378" i="18"/>
  <c r="AK378" i="18"/>
  <c r="AC378" i="18"/>
  <c r="V378" i="18"/>
  <c r="R378" i="18"/>
  <c r="AS377" i="18"/>
  <c r="AK377" i="18"/>
  <c r="AC377" i="18"/>
  <c r="V377" i="18"/>
  <c r="R377" i="18"/>
  <c r="AS376" i="18"/>
  <c r="AK376" i="18"/>
  <c r="AC376" i="18"/>
  <c r="V376" i="18"/>
  <c r="R376" i="18"/>
  <c r="AS375" i="18"/>
  <c r="AK375" i="18"/>
  <c r="AC375" i="18"/>
  <c r="V375" i="18"/>
  <c r="R375" i="18"/>
  <c r="AS374" i="18"/>
  <c r="AK374" i="18"/>
  <c r="AC374" i="18"/>
  <c r="V374" i="18"/>
  <c r="R374" i="18"/>
  <c r="AS373" i="18"/>
  <c r="AK373" i="18"/>
  <c r="AC373" i="18"/>
  <c r="V373" i="18"/>
  <c r="R373" i="18"/>
  <c r="AS372" i="18"/>
  <c r="AK372" i="18"/>
  <c r="AC372" i="18"/>
  <c r="V372" i="18"/>
  <c r="R372" i="18"/>
  <c r="AS371" i="18"/>
  <c r="AK371" i="18"/>
  <c r="AC371" i="18"/>
  <c r="V371" i="18"/>
  <c r="R371" i="18"/>
  <c r="AS370" i="18"/>
  <c r="AK370" i="18"/>
  <c r="AC370" i="18"/>
  <c r="V370" i="18"/>
  <c r="R370" i="18"/>
  <c r="AS369" i="18"/>
  <c r="AK369" i="18"/>
  <c r="AC369" i="18"/>
  <c r="V369" i="18"/>
  <c r="R369" i="18"/>
  <c r="AS368" i="18"/>
  <c r="AK368" i="18"/>
  <c r="AC368" i="18"/>
  <c r="V368" i="18"/>
  <c r="R368" i="18"/>
  <c r="AS367" i="18"/>
  <c r="AK367" i="18"/>
  <c r="AC367" i="18"/>
  <c r="V367" i="18"/>
  <c r="R367" i="18"/>
  <c r="AS366" i="18"/>
  <c r="AK366" i="18"/>
  <c r="AC366" i="18"/>
  <c r="V366" i="18"/>
  <c r="R366" i="18"/>
  <c r="AS365" i="18"/>
  <c r="AK365" i="18"/>
  <c r="AC365" i="18"/>
  <c r="V365" i="18"/>
  <c r="R365" i="18"/>
  <c r="AS364" i="18"/>
  <c r="AK364" i="18"/>
  <c r="AC364" i="18"/>
  <c r="V364" i="18"/>
  <c r="R364" i="18"/>
  <c r="AS363" i="18"/>
  <c r="AK363" i="18"/>
  <c r="AC363" i="18"/>
  <c r="V363" i="18"/>
  <c r="R363" i="18"/>
  <c r="AS362" i="18"/>
  <c r="AK362" i="18"/>
  <c r="AC362" i="18"/>
  <c r="V362" i="18"/>
  <c r="R362" i="18"/>
  <c r="AS361" i="18"/>
  <c r="AK361" i="18"/>
  <c r="AC361" i="18"/>
  <c r="V361" i="18"/>
  <c r="R361" i="18"/>
  <c r="AS360" i="18"/>
  <c r="AK360" i="18"/>
  <c r="AC360" i="18"/>
  <c r="V360" i="18"/>
  <c r="R360" i="18"/>
  <c r="AS359" i="18"/>
  <c r="AK359" i="18"/>
  <c r="AC359" i="18"/>
  <c r="V359" i="18"/>
  <c r="R359" i="18"/>
  <c r="AS358" i="18"/>
  <c r="AK358" i="18"/>
  <c r="AC358" i="18"/>
  <c r="V358" i="18"/>
  <c r="R358" i="18"/>
  <c r="AS357" i="18"/>
  <c r="AK357" i="18"/>
  <c r="AC357" i="18"/>
  <c r="V357" i="18"/>
  <c r="R357" i="18"/>
  <c r="AS356" i="18"/>
  <c r="AK356" i="18"/>
  <c r="AC356" i="18"/>
  <c r="V356" i="18"/>
  <c r="R356" i="18"/>
  <c r="AS355" i="18"/>
  <c r="AK355" i="18"/>
  <c r="AC355" i="18"/>
  <c r="V355" i="18"/>
  <c r="R355" i="18"/>
  <c r="AS354" i="18"/>
  <c r="AK354" i="18"/>
  <c r="AC354" i="18"/>
  <c r="V354" i="18"/>
  <c r="R354" i="18"/>
  <c r="AS353" i="18"/>
  <c r="AK353" i="18"/>
  <c r="AC353" i="18"/>
  <c r="V353" i="18"/>
  <c r="R353" i="18"/>
  <c r="AS352" i="18"/>
  <c r="AK352" i="18"/>
  <c r="AC352" i="18"/>
  <c r="V352" i="18"/>
  <c r="R352" i="18"/>
  <c r="AS351" i="18"/>
  <c r="AK351" i="18"/>
  <c r="AC351" i="18"/>
  <c r="V351" i="18"/>
  <c r="R351" i="18"/>
  <c r="AS350" i="18"/>
  <c r="AK350" i="18"/>
  <c r="AC350" i="18"/>
  <c r="V350" i="18"/>
  <c r="R350" i="18"/>
  <c r="AS349" i="18"/>
  <c r="AK349" i="18"/>
  <c r="AC349" i="18"/>
  <c r="V349" i="18"/>
  <c r="R349" i="18"/>
  <c r="AS348" i="18"/>
  <c r="AK348" i="18"/>
  <c r="AC348" i="18"/>
  <c r="V348" i="18"/>
  <c r="R348" i="18"/>
  <c r="AS347" i="18"/>
  <c r="AK347" i="18"/>
  <c r="AC347" i="18"/>
  <c r="V347" i="18"/>
  <c r="R347" i="18"/>
  <c r="AS346" i="18"/>
  <c r="AK346" i="18"/>
  <c r="AC346" i="18"/>
  <c r="V346" i="18"/>
  <c r="R346" i="18"/>
  <c r="AS345" i="18"/>
  <c r="AK345" i="18"/>
  <c r="AC345" i="18"/>
  <c r="V345" i="18"/>
  <c r="R345" i="18"/>
  <c r="AS344" i="18"/>
  <c r="AK344" i="18"/>
  <c r="AC344" i="18"/>
  <c r="V344" i="18"/>
  <c r="R344" i="18"/>
  <c r="AS343" i="18"/>
  <c r="AK343" i="18"/>
  <c r="AC343" i="18"/>
  <c r="V343" i="18"/>
  <c r="R343" i="18"/>
  <c r="AS342" i="18"/>
  <c r="AK342" i="18"/>
  <c r="AC342" i="18"/>
  <c r="V342" i="18"/>
  <c r="R342" i="18"/>
  <c r="AS341" i="18"/>
  <c r="AK341" i="18"/>
  <c r="AC341" i="18"/>
  <c r="V341" i="18"/>
  <c r="R341" i="18"/>
  <c r="AS340" i="18"/>
  <c r="AK340" i="18"/>
  <c r="AC340" i="18"/>
  <c r="V340" i="18"/>
  <c r="R340" i="18"/>
  <c r="AS339" i="18"/>
  <c r="AK339" i="18"/>
  <c r="AC339" i="18"/>
  <c r="V339" i="18"/>
  <c r="R339" i="18"/>
  <c r="AS338" i="18"/>
  <c r="AK338" i="18"/>
  <c r="AC338" i="18"/>
  <c r="V338" i="18"/>
  <c r="R338" i="18"/>
  <c r="AS337" i="18"/>
  <c r="AK337" i="18"/>
  <c r="AC337" i="18"/>
  <c r="V337" i="18"/>
  <c r="R337" i="18"/>
  <c r="AS336" i="18"/>
  <c r="AK336" i="18"/>
  <c r="AC336" i="18"/>
  <c r="V336" i="18"/>
  <c r="R336" i="18"/>
  <c r="AS335" i="18"/>
  <c r="AK335" i="18"/>
  <c r="AC335" i="18"/>
  <c r="V335" i="18"/>
  <c r="R335" i="18"/>
  <c r="AS334" i="18"/>
  <c r="AK334" i="18"/>
  <c r="AC334" i="18"/>
  <c r="V334" i="18"/>
  <c r="R334" i="18"/>
  <c r="AS333" i="18"/>
  <c r="AK333" i="18"/>
  <c r="AC333" i="18"/>
  <c r="V333" i="18"/>
  <c r="R333" i="18"/>
  <c r="AS332" i="18"/>
  <c r="AK332" i="18"/>
  <c r="AC332" i="18"/>
  <c r="V332" i="18"/>
  <c r="R332" i="18"/>
  <c r="AS331" i="18"/>
  <c r="AK331" i="18"/>
  <c r="AC331" i="18"/>
  <c r="V331" i="18"/>
  <c r="R331" i="18"/>
  <c r="AS330" i="18"/>
  <c r="AK330" i="18"/>
  <c r="AC330" i="18"/>
  <c r="V330" i="18"/>
  <c r="R330" i="18"/>
  <c r="AS329" i="18"/>
  <c r="AK329" i="18"/>
  <c r="AC329" i="18"/>
  <c r="V329" i="18"/>
  <c r="R329" i="18"/>
  <c r="AS328" i="18"/>
  <c r="AK328" i="18"/>
  <c r="AC328" i="18"/>
  <c r="V328" i="18"/>
  <c r="R328" i="18"/>
  <c r="AS327" i="18"/>
  <c r="AK327" i="18"/>
  <c r="AC327" i="18"/>
  <c r="V327" i="18"/>
  <c r="R327" i="18"/>
  <c r="AS326" i="18"/>
  <c r="AK326" i="18"/>
  <c r="AC326" i="18"/>
  <c r="V326" i="18"/>
  <c r="R326" i="18"/>
  <c r="AS325" i="18"/>
  <c r="AK325" i="18"/>
  <c r="AC325" i="18"/>
  <c r="V325" i="18"/>
  <c r="R325" i="18"/>
  <c r="AS324" i="18"/>
  <c r="AK324" i="18"/>
  <c r="AC324" i="18"/>
  <c r="V324" i="18"/>
  <c r="R324" i="18"/>
  <c r="AS323" i="18"/>
  <c r="AK323" i="18"/>
  <c r="AC323" i="18"/>
  <c r="V323" i="18"/>
  <c r="R323" i="18"/>
  <c r="AS322" i="18"/>
  <c r="AK322" i="18"/>
  <c r="AC322" i="18"/>
  <c r="V322" i="18"/>
  <c r="R322" i="18"/>
  <c r="AS321" i="18"/>
  <c r="AK321" i="18"/>
  <c r="AC321" i="18"/>
  <c r="V321" i="18"/>
  <c r="R321" i="18"/>
  <c r="AS320" i="18"/>
  <c r="AK320" i="18"/>
  <c r="AC320" i="18"/>
  <c r="V320" i="18"/>
  <c r="R320" i="18"/>
  <c r="AS319" i="18"/>
  <c r="AK319" i="18"/>
  <c r="AC319" i="18"/>
  <c r="V319" i="18"/>
  <c r="R319" i="18"/>
  <c r="AS318" i="18"/>
  <c r="AK318" i="18"/>
  <c r="AC318" i="18"/>
  <c r="V318" i="18"/>
  <c r="R318" i="18"/>
  <c r="AS317" i="18"/>
  <c r="AK317" i="18"/>
  <c r="AC317" i="18"/>
  <c r="V317" i="18"/>
  <c r="R317" i="18"/>
  <c r="AS316" i="18"/>
  <c r="AK316" i="18"/>
  <c r="AC316" i="18"/>
  <c r="V316" i="18"/>
  <c r="R316" i="18"/>
  <c r="AS315" i="18"/>
  <c r="AK315" i="18"/>
  <c r="AC315" i="18"/>
  <c r="V315" i="18"/>
  <c r="R315" i="18"/>
  <c r="AS314" i="18"/>
  <c r="AK314" i="18"/>
  <c r="AC314" i="18"/>
  <c r="V314" i="18"/>
  <c r="R314" i="18"/>
  <c r="AS313" i="18"/>
  <c r="AK313" i="18"/>
  <c r="AC313" i="18"/>
  <c r="V313" i="18"/>
  <c r="R313" i="18"/>
  <c r="AS312" i="18"/>
  <c r="AK312" i="18"/>
  <c r="AC312" i="18"/>
  <c r="V312" i="18"/>
  <c r="R312" i="18"/>
  <c r="AS311" i="18"/>
  <c r="AK311" i="18"/>
  <c r="AC311" i="18"/>
  <c r="V311" i="18"/>
  <c r="R311" i="18"/>
  <c r="AS310" i="18"/>
  <c r="AK310" i="18"/>
  <c r="AC310" i="18"/>
  <c r="V310" i="18"/>
  <c r="R310" i="18"/>
  <c r="AS309" i="18"/>
  <c r="AK309" i="18"/>
  <c r="AC309" i="18"/>
  <c r="V309" i="18"/>
  <c r="R309" i="18"/>
  <c r="AS308" i="18"/>
  <c r="AK308" i="18"/>
  <c r="AC308" i="18"/>
  <c r="V308" i="18"/>
  <c r="R308" i="18"/>
  <c r="AS307" i="18"/>
  <c r="AK307" i="18"/>
  <c r="AC307" i="18"/>
  <c r="V307" i="18"/>
  <c r="R307" i="18"/>
  <c r="AS306" i="18"/>
  <c r="AK306" i="18"/>
  <c r="AC306" i="18"/>
  <c r="V306" i="18"/>
  <c r="R306" i="18"/>
  <c r="AS305" i="18"/>
  <c r="AK305" i="18"/>
  <c r="AC305" i="18"/>
  <c r="V305" i="18"/>
  <c r="R305" i="18"/>
  <c r="AS304" i="18"/>
  <c r="AK304" i="18"/>
  <c r="AC304" i="18"/>
  <c r="V304" i="18"/>
  <c r="R304" i="18"/>
  <c r="AS303" i="18"/>
  <c r="AK303" i="18"/>
  <c r="AC303" i="18"/>
  <c r="V303" i="18"/>
  <c r="R303" i="18"/>
  <c r="AS302" i="18"/>
  <c r="AK302" i="18"/>
  <c r="AC302" i="18"/>
  <c r="V302" i="18"/>
  <c r="R302" i="18"/>
  <c r="AS301" i="18"/>
  <c r="AK301" i="18"/>
  <c r="AC301" i="18"/>
  <c r="V301" i="18"/>
  <c r="R301" i="18"/>
  <c r="AS300" i="18"/>
  <c r="AK300" i="18"/>
  <c r="AC300" i="18"/>
  <c r="V300" i="18"/>
  <c r="R300" i="18"/>
  <c r="AS299" i="18"/>
  <c r="AK299" i="18"/>
  <c r="AC299" i="18"/>
  <c r="V299" i="18"/>
  <c r="R299" i="18"/>
  <c r="AS298" i="18"/>
  <c r="AK298" i="18"/>
  <c r="AC298" i="18"/>
  <c r="V298" i="18"/>
  <c r="R298" i="18"/>
  <c r="AS297" i="18"/>
  <c r="AK297" i="18"/>
  <c r="AC297" i="18"/>
  <c r="V297" i="18"/>
  <c r="R297" i="18"/>
  <c r="AS296" i="18"/>
  <c r="AK296" i="18"/>
  <c r="AC296" i="18"/>
  <c r="V296" i="18"/>
  <c r="R296" i="18"/>
  <c r="AS295" i="18"/>
  <c r="AK295" i="18"/>
  <c r="AC295" i="18"/>
  <c r="V295" i="18"/>
  <c r="R295" i="18"/>
  <c r="AS294" i="18"/>
  <c r="AK294" i="18"/>
  <c r="AC294" i="18"/>
  <c r="V294" i="18"/>
  <c r="R294" i="18"/>
  <c r="AS293" i="18"/>
  <c r="AK293" i="18"/>
  <c r="AC293" i="18"/>
  <c r="V293" i="18"/>
  <c r="R293" i="18"/>
  <c r="AS292" i="18"/>
  <c r="AK292" i="18"/>
  <c r="AC292" i="18"/>
  <c r="V292" i="18"/>
  <c r="R292" i="18"/>
  <c r="AS291" i="18"/>
  <c r="AK291" i="18"/>
  <c r="AC291" i="18"/>
  <c r="V291" i="18"/>
  <c r="R291" i="18"/>
  <c r="AS290" i="18"/>
  <c r="AK290" i="18"/>
  <c r="AC290" i="18"/>
  <c r="V290" i="18"/>
  <c r="R290" i="18"/>
  <c r="AS289" i="18"/>
  <c r="AK289" i="18"/>
  <c r="AC289" i="18"/>
  <c r="V289" i="18"/>
  <c r="R289" i="18"/>
  <c r="AS288" i="18"/>
  <c r="AK288" i="18"/>
  <c r="AC288" i="18"/>
  <c r="V288" i="18"/>
  <c r="R288" i="18"/>
  <c r="AS287" i="18"/>
  <c r="AK287" i="18"/>
  <c r="AC287" i="18"/>
  <c r="V287" i="18"/>
  <c r="R287" i="18"/>
  <c r="AS286" i="18"/>
  <c r="AK286" i="18"/>
  <c r="AC286" i="18"/>
  <c r="V286" i="18"/>
  <c r="R286" i="18"/>
  <c r="AS285" i="18"/>
  <c r="AK285" i="18"/>
  <c r="AC285" i="18"/>
  <c r="V285" i="18"/>
  <c r="R285" i="18"/>
  <c r="AS284" i="18"/>
  <c r="AK284" i="18"/>
  <c r="AC284" i="18"/>
  <c r="V284" i="18"/>
  <c r="R284" i="18"/>
  <c r="AS283" i="18"/>
  <c r="AK283" i="18"/>
  <c r="AC283" i="18"/>
  <c r="V283" i="18"/>
  <c r="R283" i="18"/>
  <c r="AS282" i="18"/>
  <c r="AK282" i="18"/>
  <c r="AC282" i="18"/>
  <c r="V282" i="18"/>
  <c r="R282" i="18"/>
  <c r="M282" i="18"/>
  <c r="L282" i="18"/>
  <c r="K282" i="18"/>
  <c r="J282" i="18"/>
  <c r="I282" i="18"/>
  <c r="H282" i="18"/>
  <c r="G282" i="18"/>
  <c r="F282" i="18"/>
  <c r="E282" i="18"/>
  <c r="D282" i="18"/>
  <c r="C282" i="18"/>
  <c r="AS281" i="18"/>
  <c r="AK281" i="18"/>
  <c r="AC281" i="18"/>
  <c r="V281" i="18"/>
  <c r="R281" i="18"/>
  <c r="M281" i="18"/>
  <c r="L281" i="18"/>
  <c r="K281" i="18"/>
  <c r="J281" i="18"/>
  <c r="I281" i="18"/>
  <c r="H281" i="18"/>
  <c r="G281" i="18"/>
  <c r="F281" i="18"/>
  <c r="E281" i="18"/>
  <c r="D281" i="18"/>
  <c r="C281" i="18"/>
  <c r="AS280" i="18"/>
  <c r="AK280" i="18"/>
  <c r="AC280" i="18"/>
  <c r="V280" i="18"/>
  <c r="R280" i="18"/>
  <c r="AS279" i="18"/>
  <c r="AK279" i="18"/>
  <c r="AC279" i="18"/>
  <c r="V279" i="18"/>
  <c r="R279" i="18"/>
  <c r="AS278" i="18"/>
  <c r="AK278" i="18"/>
  <c r="AC278" i="18"/>
  <c r="V278" i="18"/>
  <c r="R278" i="18"/>
  <c r="AS277" i="18"/>
  <c r="AK277" i="18"/>
  <c r="AC277" i="18"/>
  <c r="V277" i="18"/>
  <c r="R277" i="18"/>
  <c r="AS276" i="18"/>
  <c r="AK276" i="18"/>
  <c r="AC276" i="18"/>
  <c r="V276" i="18"/>
  <c r="R276" i="18"/>
  <c r="AS275" i="18"/>
  <c r="AK275" i="18"/>
  <c r="AC275" i="18"/>
  <c r="V275" i="18"/>
  <c r="R275" i="18"/>
  <c r="M275" i="18"/>
  <c r="L275" i="18"/>
  <c r="K275" i="18"/>
  <c r="J275" i="18"/>
  <c r="I275" i="18"/>
  <c r="H275" i="18"/>
  <c r="G275" i="18"/>
  <c r="F275" i="18"/>
  <c r="E275" i="18"/>
  <c r="D275" i="18"/>
  <c r="C275" i="18"/>
  <c r="AS274" i="18"/>
  <c r="AK274" i="18"/>
  <c r="AC274" i="18"/>
  <c r="V274" i="18"/>
  <c r="R274" i="18"/>
  <c r="AS273" i="18"/>
  <c r="AK273" i="18"/>
  <c r="AC273" i="18"/>
  <c r="V273" i="18"/>
  <c r="R273" i="18"/>
  <c r="AS272" i="18"/>
  <c r="AK272" i="18"/>
  <c r="AC272" i="18"/>
  <c r="V272" i="18"/>
  <c r="R272" i="18"/>
  <c r="AS261" i="18"/>
  <c r="AK261" i="18"/>
  <c r="AC261" i="18"/>
  <c r="V261" i="18"/>
  <c r="R261" i="18"/>
  <c r="AS260" i="18"/>
  <c r="AK260" i="18"/>
  <c r="AC260" i="18"/>
  <c r="V260" i="18"/>
  <c r="R260" i="18"/>
  <c r="AS259" i="18"/>
  <c r="AK259" i="18"/>
  <c r="AC259" i="18"/>
  <c r="V259" i="18"/>
  <c r="R259" i="18"/>
  <c r="AS258" i="18"/>
  <c r="AK258" i="18"/>
  <c r="AC258" i="18"/>
  <c r="V258" i="18"/>
  <c r="R258" i="18"/>
  <c r="M258" i="18"/>
  <c r="L258" i="18"/>
  <c r="K258" i="18"/>
  <c r="J258" i="18"/>
  <c r="I258" i="18"/>
  <c r="H258" i="18"/>
  <c r="G258" i="18"/>
  <c r="F258" i="18"/>
  <c r="E258" i="18"/>
  <c r="D258" i="18"/>
  <c r="C258" i="18"/>
  <c r="AS257" i="18"/>
  <c r="AK257" i="18"/>
  <c r="AC257" i="18"/>
  <c r="V257" i="18"/>
  <c r="R257" i="18"/>
  <c r="M257" i="18"/>
  <c r="L257" i="18"/>
  <c r="K257" i="18"/>
  <c r="J257" i="18"/>
  <c r="I257" i="18"/>
  <c r="H257" i="18"/>
  <c r="G257" i="18"/>
  <c r="F257" i="18"/>
  <c r="E257" i="18"/>
  <c r="D257" i="18"/>
  <c r="C257" i="18"/>
  <c r="AS256" i="18"/>
  <c r="AK256" i="18"/>
  <c r="AC256" i="18"/>
  <c r="V256" i="18"/>
  <c r="R256" i="18"/>
  <c r="M256" i="18"/>
  <c r="L256" i="18"/>
  <c r="K256" i="18"/>
  <c r="J256" i="18"/>
  <c r="I256" i="18"/>
  <c r="H256" i="18"/>
  <c r="G256" i="18"/>
  <c r="F256" i="18"/>
  <c r="E256" i="18"/>
  <c r="D256" i="18"/>
  <c r="C256" i="18"/>
  <c r="AS255" i="18"/>
  <c r="AK255" i="18"/>
  <c r="AC255" i="18"/>
  <c r="V255" i="18"/>
  <c r="R255" i="18"/>
  <c r="M255" i="18"/>
  <c r="L255" i="18"/>
  <c r="K255" i="18"/>
  <c r="J255" i="18"/>
  <c r="I255" i="18"/>
  <c r="H255" i="18"/>
  <c r="G255" i="18"/>
  <c r="F255" i="18"/>
  <c r="E255" i="18"/>
  <c r="D255" i="18"/>
  <c r="C255" i="18"/>
  <c r="AS254" i="18"/>
  <c r="AK254" i="18"/>
  <c r="AC254" i="18"/>
  <c r="V254" i="18"/>
  <c r="R254" i="18"/>
  <c r="AS253" i="18"/>
  <c r="AK253" i="18"/>
  <c r="AC253" i="18"/>
  <c r="V253" i="18"/>
  <c r="R253" i="18"/>
  <c r="M253" i="18"/>
  <c r="L253" i="18"/>
  <c r="K253" i="18"/>
  <c r="J253" i="18"/>
  <c r="I253" i="18"/>
  <c r="H253" i="18"/>
  <c r="G253" i="18"/>
  <c r="F253" i="18"/>
  <c r="E253" i="18"/>
  <c r="D253" i="18"/>
  <c r="C253" i="18"/>
  <c r="AS252" i="18"/>
  <c r="AK252" i="18"/>
  <c r="AC252" i="18"/>
  <c r="V252" i="18"/>
  <c r="R252" i="18"/>
  <c r="M252" i="18"/>
  <c r="L252" i="18"/>
  <c r="K252" i="18"/>
  <c r="J252" i="18"/>
  <c r="I252" i="18"/>
  <c r="H252" i="18"/>
  <c r="G252" i="18"/>
  <c r="F252" i="18"/>
  <c r="E252" i="18"/>
  <c r="D252" i="18"/>
  <c r="C252" i="18"/>
  <c r="AS251" i="18"/>
  <c r="AK251" i="18"/>
  <c r="AC251" i="18"/>
  <c r="V251" i="18"/>
  <c r="R251" i="18"/>
  <c r="M251" i="18"/>
  <c r="L251" i="18"/>
  <c r="K251" i="18"/>
  <c r="J251" i="18"/>
  <c r="I251" i="18"/>
  <c r="H251" i="18"/>
  <c r="G251" i="18"/>
  <c r="F251" i="18"/>
  <c r="E251" i="18"/>
  <c r="D251" i="18"/>
  <c r="C251" i="18"/>
  <c r="AS250" i="18"/>
  <c r="AK250" i="18"/>
  <c r="AC250" i="18"/>
  <c r="V250" i="18"/>
  <c r="R250" i="18"/>
  <c r="M250" i="18"/>
  <c r="L250" i="18"/>
  <c r="K250" i="18"/>
  <c r="J250" i="18"/>
  <c r="I250" i="18"/>
  <c r="H250" i="18"/>
  <c r="G250" i="18"/>
  <c r="F250" i="18"/>
  <c r="E250" i="18"/>
  <c r="D250" i="18"/>
  <c r="C250" i="18"/>
  <c r="AS249" i="18"/>
  <c r="AK249" i="18"/>
  <c r="AC249" i="18"/>
  <c r="V249" i="18"/>
  <c r="R249" i="18"/>
  <c r="M249" i="18"/>
  <c r="L249" i="18"/>
  <c r="K249" i="18"/>
  <c r="J249" i="18"/>
  <c r="I249" i="18"/>
  <c r="H249" i="18"/>
  <c r="G249" i="18"/>
  <c r="F249" i="18"/>
  <c r="E249" i="18"/>
  <c r="D249" i="18"/>
  <c r="C249" i="18"/>
  <c r="AS248" i="18"/>
  <c r="AK248" i="18"/>
  <c r="AC248" i="18"/>
  <c r="V248" i="18"/>
  <c r="R248" i="18"/>
  <c r="M248" i="18"/>
  <c r="L248" i="18"/>
  <c r="K248" i="18"/>
  <c r="J248" i="18"/>
  <c r="I248" i="18"/>
  <c r="H248" i="18"/>
  <c r="G248" i="18"/>
  <c r="F248" i="18"/>
  <c r="E248" i="18"/>
  <c r="D248" i="18"/>
  <c r="C248" i="18"/>
  <c r="AS247" i="18"/>
  <c r="AK247" i="18"/>
  <c r="AC247" i="18"/>
  <c r="V247" i="18"/>
  <c r="R247" i="18"/>
  <c r="M247" i="18"/>
  <c r="L247" i="18"/>
  <c r="K247" i="18"/>
  <c r="J247" i="18"/>
  <c r="I247" i="18"/>
  <c r="H247" i="18"/>
  <c r="G247" i="18"/>
  <c r="F247" i="18"/>
  <c r="E247" i="18"/>
  <c r="D247" i="18"/>
  <c r="C247" i="18"/>
  <c r="AS246" i="18"/>
  <c r="AK246" i="18"/>
  <c r="AC246" i="18"/>
  <c r="V246" i="18"/>
  <c r="R246" i="18"/>
  <c r="M246" i="18"/>
  <c r="L246" i="18"/>
  <c r="K246" i="18"/>
  <c r="J246" i="18"/>
  <c r="I246" i="18"/>
  <c r="H246" i="18"/>
  <c r="G246" i="18"/>
  <c r="F246" i="18"/>
  <c r="E246" i="18"/>
  <c r="D246" i="18"/>
  <c r="C246" i="18"/>
  <c r="AS245" i="18"/>
  <c r="AK245" i="18"/>
  <c r="AC245" i="18"/>
  <c r="V245" i="18"/>
  <c r="R245" i="18"/>
  <c r="M245" i="18"/>
  <c r="L245" i="18"/>
  <c r="K245" i="18"/>
  <c r="J245" i="18"/>
  <c r="I245" i="18"/>
  <c r="H245" i="18"/>
  <c r="G245" i="18"/>
  <c r="F245" i="18"/>
  <c r="E245" i="18"/>
  <c r="D245" i="18"/>
  <c r="C245" i="18"/>
  <c r="AS244" i="18"/>
  <c r="AK244" i="18"/>
  <c r="AC244" i="18"/>
  <c r="V244" i="18"/>
  <c r="R244" i="18"/>
  <c r="M244" i="18"/>
  <c r="L244" i="18"/>
  <c r="K244" i="18"/>
  <c r="J244" i="18"/>
  <c r="I244" i="18"/>
  <c r="H244" i="18"/>
  <c r="G244" i="18"/>
  <c r="F244" i="18"/>
  <c r="E244" i="18"/>
  <c r="D244" i="18"/>
  <c r="C244" i="18"/>
  <c r="AS243" i="18"/>
  <c r="AK243" i="18"/>
  <c r="AC243" i="18"/>
  <c r="V243" i="18"/>
  <c r="R243" i="18"/>
  <c r="M243" i="18"/>
  <c r="L243" i="18"/>
  <c r="K243" i="18"/>
  <c r="J243" i="18"/>
  <c r="I243" i="18"/>
  <c r="H243" i="18"/>
  <c r="G243" i="18"/>
  <c r="F243" i="18"/>
  <c r="E243" i="18"/>
  <c r="D243" i="18"/>
  <c r="C243" i="18"/>
  <c r="AS242" i="18"/>
  <c r="AK242" i="18"/>
  <c r="AC242" i="18"/>
  <c r="V242" i="18"/>
  <c r="R242" i="18"/>
  <c r="M242" i="18"/>
  <c r="L242" i="18"/>
  <c r="K242" i="18"/>
  <c r="J242" i="18"/>
  <c r="I242" i="18"/>
  <c r="H242" i="18"/>
  <c r="G242" i="18"/>
  <c r="F242" i="18"/>
  <c r="E242" i="18"/>
  <c r="D242" i="18"/>
  <c r="C242" i="18"/>
  <c r="AS241" i="18"/>
  <c r="AK241" i="18"/>
  <c r="AC241" i="18"/>
  <c r="V241" i="18"/>
  <c r="R241" i="18"/>
  <c r="M241" i="18"/>
  <c r="L241" i="18"/>
  <c r="K241" i="18"/>
  <c r="J241" i="18"/>
  <c r="I241" i="18"/>
  <c r="H241" i="18"/>
  <c r="G241" i="18"/>
  <c r="F241" i="18"/>
  <c r="E241" i="18"/>
  <c r="D241" i="18"/>
  <c r="C241" i="18"/>
  <c r="AS240" i="18"/>
  <c r="AK240" i="18"/>
  <c r="AC240" i="18"/>
  <c r="V240" i="18"/>
  <c r="R240" i="18"/>
  <c r="M240" i="18"/>
  <c r="L240" i="18"/>
  <c r="K240" i="18"/>
  <c r="J240" i="18"/>
  <c r="I240" i="18"/>
  <c r="H240" i="18"/>
  <c r="G240" i="18"/>
  <c r="F240" i="18"/>
  <c r="E240" i="18"/>
  <c r="D240" i="18"/>
  <c r="C240" i="18"/>
  <c r="AS239" i="18"/>
  <c r="AK239" i="18"/>
  <c r="AC239" i="18"/>
  <c r="V239" i="18"/>
  <c r="R239" i="18"/>
  <c r="M239" i="18"/>
  <c r="L239" i="18"/>
  <c r="K239" i="18"/>
  <c r="J239" i="18"/>
  <c r="I239" i="18"/>
  <c r="H239" i="18"/>
  <c r="G239" i="18"/>
  <c r="F239" i="18"/>
  <c r="E239" i="18"/>
  <c r="D239" i="18"/>
  <c r="C239" i="18"/>
  <c r="AS238" i="18"/>
  <c r="AK238" i="18"/>
  <c r="AC238" i="18"/>
  <c r="V238" i="18"/>
  <c r="R238" i="18"/>
  <c r="M238" i="18"/>
  <c r="L238" i="18"/>
  <c r="K238" i="18"/>
  <c r="J238" i="18"/>
  <c r="I238" i="18"/>
  <c r="H238" i="18"/>
  <c r="G238" i="18"/>
  <c r="F238" i="18"/>
  <c r="E238" i="18"/>
  <c r="D238" i="18"/>
  <c r="C238" i="18"/>
  <c r="AS237" i="18"/>
  <c r="AK237" i="18"/>
  <c r="AC237" i="18"/>
  <c r="V237" i="18"/>
  <c r="R237" i="18"/>
  <c r="M237" i="18"/>
  <c r="L237" i="18"/>
  <c r="K237" i="18"/>
  <c r="J237" i="18"/>
  <c r="I237" i="18"/>
  <c r="H237" i="18"/>
  <c r="G237" i="18"/>
  <c r="F237" i="18"/>
  <c r="E237" i="18"/>
  <c r="D237" i="18"/>
  <c r="C237" i="18"/>
  <c r="AS236" i="18"/>
  <c r="AK236" i="18"/>
  <c r="AC236" i="18"/>
  <c r="V236" i="18"/>
  <c r="R236" i="18"/>
  <c r="M236" i="18"/>
  <c r="L236" i="18"/>
  <c r="K236" i="18"/>
  <c r="J236" i="18"/>
  <c r="I236" i="18"/>
  <c r="H236" i="18"/>
  <c r="G236" i="18"/>
  <c r="F236" i="18"/>
  <c r="E236" i="18"/>
  <c r="D236" i="18"/>
  <c r="C236" i="18"/>
  <c r="AS235" i="18"/>
  <c r="AK235" i="18"/>
  <c r="AC235" i="18"/>
  <c r="V235" i="18"/>
  <c r="R235" i="18"/>
  <c r="M235" i="18"/>
  <c r="L235" i="18"/>
  <c r="K235" i="18"/>
  <c r="J235" i="18"/>
  <c r="I235" i="18"/>
  <c r="H235" i="18"/>
  <c r="G235" i="18"/>
  <c r="F235" i="18"/>
  <c r="E235" i="18"/>
  <c r="D235" i="18"/>
  <c r="C235" i="18"/>
  <c r="AS234" i="18"/>
  <c r="AK234" i="18"/>
  <c r="AC234" i="18"/>
  <c r="V234" i="18"/>
  <c r="R234" i="18"/>
  <c r="M234" i="18"/>
  <c r="L234" i="18"/>
  <c r="K234" i="18"/>
  <c r="J234" i="18"/>
  <c r="I234" i="18"/>
  <c r="H234" i="18"/>
  <c r="G234" i="18"/>
  <c r="F234" i="18"/>
  <c r="E234" i="18"/>
  <c r="D234" i="18"/>
  <c r="C234" i="18"/>
  <c r="AS233" i="18"/>
  <c r="AK233" i="18"/>
  <c r="AC233" i="18"/>
  <c r="V233" i="18"/>
  <c r="R233" i="18"/>
  <c r="M233" i="18"/>
  <c r="L233" i="18"/>
  <c r="K233" i="18"/>
  <c r="J233" i="18"/>
  <c r="I233" i="18"/>
  <c r="H233" i="18"/>
  <c r="G233" i="18"/>
  <c r="F233" i="18"/>
  <c r="E233" i="18"/>
  <c r="D233" i="18"/>
  <c r="C233" i="18"/>
  <c r="AS232" i="18"/>
  <c r="AK232" i="18"/>
  <c r="AC232" i="18"/>
  <c r="V232" i="18"/>
  <c r="R232" i="18"/>
  <c r="M232" i="18"/>
  <c r="L232" i="18"/>
  <c r="K232" i="18"/>
  <c r="J232" i="18"/>
  <c r="I232" i="18"/>
  <c r="H232" i="18"/>
  <c r="G232" i="18"/>
  <c r="F232" i="18"/>
  <c r="E232" i="18"/>
  <c r="D232" i="18"/>
  <c r="C232" i="18"/>
  <c r="AS231" i="18"/>
  <c r="AK231" i="18"/>
  <c r="AC231" i="18"/>
  <c r="V231" i="18"/>
  <c r="R231" i="18"/>
  <c r="M231" i="18"/>
  <c r="L231" i="18"/>
  <c r="K231" i="18"/>
  <c r="J231" i="18"/>
  <c r="I231" i="18"/>
  <c r="H231" i="18"/>
  <c r="G231" i="18"/>
  <c r="F231" i="18"/>
  <c r="E231" i="18"/>
  <c r="D231" i="18"/>
  <c r="C231" i="18"/>
  <c r="AS230" i="18"/>
  <c r="AK230" i="18"/>
  <c r="AC230" i="18"/>
  <c r="V230" i="18"/>
  <c r="R230" i="18"/>
  <c r="M230" i="18"/>
  <c r="L230" i="18"/>
  <c r="K230" i="18"/>
  <c r="J230" i="18"/>
  <c r="I230" i="18"/>
  <c r="H230" i="18"/>
  <c r="G230" i="18"/>
  <c r="F230" i="18"/>
  <c r="E230" i="18"/>
  <c r="D230" i="18"/>
  <c r="C230" i="18"/>
  <c r="AS229" i="18"/>
  <c r="AK229" i="18"/>
  <c r="AC229" i="18"/>
  <c r="V229" i="18"/>
  <c r="R229" i="18"/>
  <c r="M229" i="18"/>
  <c r="L229" i="18"/>
  <c r="K229" i="18"/>
  <c r="J229" i="18"/>
  <c r="I229" i="18"/>
  <c r="H229" i="18"/>
  <c r="G229" i="18"/>
  <c r="F229" i="18"/>
  <c r="E229" i="18"/>
  <c r="D229" i="18"/>
  <c r="C229" i="18"/>
  <c r="AS228" i="18"/>
  <c r="AK228" i="18"/>
  <c r="AC228" i="18"/>
  <c r="V228" i="18"/>
  <c r="R228" i="18"/>
  <c r="M228" i="18"/>
  <c r="L228" i="18"/>
  <c r="K228" i="18"/>
  <c r="J228" i="18"/>
  <c r="I228" i="18"/>
  <c r="H228" i="18"/>
  <c r="G228" i="18"/>
  <c r="F228" i="18"/>
  <c r="E228" i="18"/>
  <c r="D228" i="18"/>
  <c r="C228" i="18"/>
  <c r="AS227" i="18"/>
  <c r="AK227" i="18"/>
  <c r="AC227" i="18"/>
  <c r="V227" i="18"/>
  <c r="R227" i="18"/>
  <c r="M227" i="18"/>
  <c r="L227" i="18"/>
  <c r="K227" i="18"/>
  <c r="J227" i="18"/>
  <c r="I227" i="18"/>
  <c r="H227" i="18"/>
  <c r="G227" i="18"/>
  <c r="F227" i="18"/>
  <c r="E227" i="18"/>
  <c r="D227" i="18"/>
  <c r="C227" i="18"/>
  <c r="AS226" i="18"/>
  <c r="AK226" i="18"/>
  <c r="AC226" i="18"/>
  <c r="V226" i="18"/>
  <c r="R226" i="18"/>
  <c r="M226" i="18"/>
  <c r="L226" i="18"/>
  <c r="K226" i="18"/>
  <c r="J226" i="18"/>
  <c r="I226" i="18"/>
  <c r="H226" i="18"/>
  <c r="G226" i="18"/>
  <c r="F226" i="18"/>
  <c r="E226" i="18"/>
  <c r="D226" i="18"/>
  <c r="C226" i="18"/>
  <c r="AS225" i="18"/>
  <c r="AK225" i="18"/>
  <c r="AC225" i="18"/>
  <c r="V225" i="18"/>
  <c r="R225" i="18"/>
  <c r="M225" i="18"/>
  <c r="L225" i="18"/>
  <c r="K225" i="18"/>
  <c r="J225" i="18"/>
  <c r="I225" i="18"/>
  <c r="H225" i="18"/>
  <c r="G225" i="18"/>
  <c r="F225" i="18"/>
  <c r="E225" i="18"/>
  <c r="D225" i="18"/>
  <c r="C225" i="18"/>
  <c r="AS224" i="18"/>
  <c r="AK224" i="18"/>
  <c r="AC224" i="18"/>
  <c r="V224" i="18"/>
  <c r="R224" i="18"/>
  <c r="M224" i="18"/>
  <c r="L224" i="18"/>
  <c r="K224" i="18"/>
  <c r="J224" i="18"/>
  <c r="I224" i="18"/>
  <c r="H224" i="18"/>
  <c r="G224" i="18"/>
  <c r="F224" i="18"/>
  <c r="E224" i="18"/>
  <c r="D224" i="18"/>
  <c r="C224" i="18"/>
  <c r="AS223" i="18"/>
  <c r="AK223" i="18"/>
  <c r="AC223" i="18"/>
  <c r="V223" i="18"/>
  <c r="R223" i="18"/>
  <c r="M223" i="18"/>
  <c r="L223" i="18"/>
  <c r="K223" i="18"/>
  <c r="J223" i="18"/>
  <c r="I223" i="18"/>
  <c r="H223" i="18"/>
  <c r="G223" i="18"/>
  <c r="F223" i="18"/>
  <c r="E223" i="18"/>
  <c r="D223" i="18"/>
  <c r="C223" i="18"/>
  <c r="AS222" i="18"/>
  <c r="AK222" i="18"/>
  <c r="AC222" i="18"/>
  <c r="V222" i="18"/>
  <c r="R222" i="18"/>
  <c r="M222" i="18"/>
  <c r="L222" i="18"/>
  <c r="K222" i="18"/>
  <c r="J222" i="18"/>
  <c r="I222" i="18"/>
  <c r="H222" i="18"/>
  <c r="G222" i="18"/>
  <c r="F222" i="18"/>
  <c r="E222" i="18"/>
  <c r="D222" i="18"/>
  <c r="C222" i="18"/>
  <c r="AS221" i="18"/>
  <c r="AK221" i="18"/>
  <c r="AC221" i="18"/>
  <c r="V221" i="18"/>
  <c r="R221" i="18"/>
  <c r="M221" i="18"/>
  <c r="L221" i="18"/>
  <c r="K221" i="18"/>
  <c r="J221" i="18"/>
  <c r="I221" i="18"/>
  <c r="H221" i="18"/>
  <c r="G221" i="18"/>
  <c r="F221" i="18"/>
  <c r="E221" i="18"/>
  <c r="D221" i="18"/>
  <c r="C221" i="18"/>
  <c r="AS220" i="18"/>
  <c r="AK220" i="18"/>
  <c r="AC220" i="18"/>
  <c r="V220" i="18"/>
  <c r="R220" i="18"/>
  <c r="M220" i="18"/>
  <c r="L220" i="18"/>
  <c r="K220" i="18"/>
  <c r="J220" i="18"/>
  <c r="I220" i="18"/>
  <c r="H220" i="18"/>
  <c r="G220" i="18"/>
  <c r="F220" i="18"/>
  <c r="E220" i="18"/>
  <c r="D220" i="18"/>
  <c r="C220" i="18"/>
  <c r="AS219" i="18"/>
  <c r="AK219" i="18"/>
  <c r="AC219" i="18"/>
  <c r="V219" i="18"/>
  <c r="R219" i="18"/>
  <c r="M219" i="18"/>
  <c r="L219" i="18"/>
  <c r="K219" i="18"/>
  <c r="J219" i="18"/>
  <c r="I219" i="18"/>
  <c r="H219" i="18"/>
  <c r="G219" i="18"/>
  <c r="F219" i="18"/>
  <c r="E219" i="18"/>
  <c r="D219" i="18"/>
  <c r="C219" i="18"/>
  <c r="AS218" i="18"/>
  <c r="AK218" i="18"/>
  <c r="AC218" i="18"/>
  <c r="V218" i="18"/>
  <c r="R218" i="18"/>
  <c r="M218" i="18"/>
  <c r="L218" i="18"/>
  <c r="K218" i="18"/>
  <c r="J218" i="18"/>
  <c r="I218" i="18"/>
  <c r="H218" i="18"/>
  <c r="G218" i="18"/>
  <c r="F218" i="18"/>
  <c r="E218" i="18"/>
  <c r="D218" i="18"/>
  <c r="C218" i="18"/>
  <c r="AS217" i="18"/>
  <c r="AK217" i="18"/>
  <c r="AC217" i="18"/>
  <c r="V217" i="18"/>
  <c r="R217" i="18"/>
  <c r="M217" i="18"/>
  <c r="L217" i="18"/>
  <c r="K217" i="18"/>
  <c r="J217" i="18"/>
  <c r="I217" i="18"/>
  <c r="H217" i="18"/>
  <c r="G217" i="18"/>
  <c r="F217" i="18"/>
  <c r="E217" i="18"/>
  <c r="D217" i="18"/>
  <c r="C217" i="18"/>
  <c r="AS216" i="18"/>
  <c r="AK216" i="18"/>
  <c r="AC216" i="18"/>
  <c r="V216" i="18"/>
  <c r="R216" i="18"/>
  <c r="M216" i="18"/>
  <c r="L216" i="18"/>
  <c r="K216" i="18"/>
  <c r="J216" i="18"/>
  <c r="I216" i="18"/>
  <c r="H216" i="18"/>
  <c r="G216" i="18"/>
  <c r="F216" i="18"/>
  <c r="E216" i="18"/>
  <c r="D216" i="18"/>
  <c r="C216" i="18"/>
  <c r="AS215" i="18"/>
  <c r="AK215" i="18"/>
  <c r="AC215" i="18"/>
  <c r="V215" i="18"/>
  <c r="R215" i="18"/>
  <c r="M215" i="18"/>
  <c r="L215" i="18"/>
  <c r="K215" i="18"/>
  <c r="J215" i="18"/>
  <c r="I215" i="18"/>
  <c r="H215" i="18"/>
  <c r="G215" i="18"/>
  <c r="F215" i="18"/>
  <c r="E215" i="18"/>
  <c r="D215" i="18"/>
  <c r="C215" i="18"/>
  <c r="AS214" i="18"/>
  <c r="AK214" i="18"/>
  <c r="AC214" i="18"/>
  <c r="V214" i="18"/>
  <c r="R214" i="18"/>
  <c r="M214" i="18"/>
  <c r="L214" i="18"/>
  <c r="K214" i="18"/>
  <c r="J214" i="18"/>
  <c r="I214" i="18"/>
  <c r="H214" i="18"/>
  <c r="G214" i="18"/>
  <c r="F214" i="18"/>
  <c r="E214" i="18"/>
  <c r="D214" i="18"/>
  <c r="C214" i="18"/>
  <c r="BJ128" i="7" l="1"/>
  <c r="BO128" i="7"/>
  <c r="V317" i="14" s="1"/>
  <c r="BU128" i="7"/>
  <c r="BW128" i="7"/>
  <c r="BV128" i="7" s="1"/>
  <c r="AA20" i="19"/>
  <c r="CO25" i="7" s="1"/>
  <c r="CV25" i="7" s="1"/>
  <c r="D2" i="19" l="1"/>
  <c r="D3" i="19"/>
  <c r="D4" i="19"/>
  <c r="D5" i="19"/>
  <c r="D6" i="19"/>
  <c r="D7" i="19"/>
  <c r="D8" i="19"/>
  <c r="D9" i="19"/>
  <c r="D10" i="19"/>
  <c r="D11" i="19"/>
  <c r="D12" i="19"/>
  <c r="D13" i="19"/>
  <c r="D14" i="19"/>
  <c r="D15" i="19"/>
  <c r="D17" i="19"/>
  <c r="D18" i="19"/>
  <c r="D19" i="19"/>
  <c r="D20" i="19"/>
  <c r="D21" i="19"/>
  <c r="D22" i="19"/>
  <c r="D23" i="19"/>
  <c r="D24" i="19"/>
  <c r="D25" i="19"/>
  <c r="D26" i="19"/>
  <c r="D27" i="19"/>
  <c r="D28" i="19"/>
  <c r="D29" i="19"/>
  <c r="D30" i="19"/>
  <c r="D31" i="19"/>
  <c r="D32" i="19"/>
  <c r="D33" i="19"/>
  <c r="D34" i="19"/>
  <c r="D35" i="19"/>
  <c r="D36" i="19"/>
  <c r="D37" i="19"/>
  <c r="D38" i="19"/>
  <c r="D39" i="19"/>
  <c r="D40" i="19"/>
  <c r="D41" i="19"/>
  <c r="D42" i="19"/>
  <c r="D43" i="19"/>
  <c r="D44" i="19"/>
  <c r="AI50" i="19"/>
  <c r="AI49" i="19"/>
  <c r="AI48" i="19"/>
  <c r="BT49" i="7" s="1"/>
  <c r="CW49" i="7" s="1"/>
  <c r="AI47" i="19"/>
  <c r="BT95" i="7" s="1"/>
  <c r="CW95" i="7" s="1"/>
  <c r="AI46" i="19"/>
  <c r="BT54" i="7" s="1"/>
  <c r="AI45" i="19"/>
  <c r="AI44" i="19"/>
  <c r="BT64" i="7" s="1"/>
  <c r="CW64" i="7" s="1"/>
  <c r="AI43" i="19"/>
  <c r="BT93" i="7" s="1"/>
  <c r="CW93" i="7" s="1"/>
  <c r="AI42" i="19"/>
  <c r="BT80" i="7" s="1"/>
  <c r="CW80" i="7" s="1"/>
  <c r="AI41" i="19"/>
  <c r="BT35" i="7" s="1"/>
  <c r="AI40" i="19"/>
  <c r="BT77" i="7" s="1"/>
  <c r="CW77" i="7" s="1"/>
  <c r="AI39" i="19"/>
  <c r="BT92" i="7" s="1"/>
  <c r="AI38" i="19"/>
  <c r="BT36" i="7" s="1"/>
  <c r="X344" i="14" s="1"/>
  <c r="AI37" i="19"/>
  <c r="BT33" i="7" s="1"/>
  <c r="AI36" i="19"/>
  <c r="BT43" i="7" s="1"/>
  <c r="AI35" i="19"/>
  <c r="BT32" i="7" s="1"/>
  <c r="CW32" i="7" s="1"/>
  <c r="AI34" i="19"/>
  <c r="BT22" i="7" s="1"/>
  <c r="X342" i="14" s="1"/>
  <c r="AI33" i="19"/>
  <c r="BT91" i="7" s="1"/>
  <c r="CW91" i="7" s="1"/>
  <c r="AI32" i="19"/>
  <c r="BT53" i="7" s="1"/>
  <c r="CW53" i="7" s="1"/>
  <c r="AI31" i="19"/>
  <c r="BT44" i="7" s="1"/>
  <c r="CW44" i="7" s="1"/>
  <c r="AI30" i="19"/>
  <c r="BT14" i="7" s="1"/>
  <c r="CW14" i="7" s="1"/>
  <c r="AI29" i="19"/>
  <c r="BT13" i="7" s="1"/>
  <c r="CW13" i="7" s="1"/>
  <c r="AI28" i="19"/>
  <c r="BT6" i="7" s="1"/>
  <c r="CW6" i="7" s="1"/>
  <c r="AI27" i="19"/>
  <c r="BT5" i="7" s="1"/>
  <c r="AI26" i="19"/>
  <c r="BT12" i="7" s="1"/>
  <c r="CW12" i="7" s="1"/>
  <c r="AI25" i="19"/>
  <c r="BT11" i="7" s="1"/>
  <c r="CW11" i="7" s="1"/>
  <c r="AI24" i="19"/>
  <c r="BT10" i="7" s="1"/>
  <c r="CW10" i="7" s="1"/>
  <c r="AI23" i="19"/>
  <c r="BT9" i="7" s="1"/>
  <c r="CW9" i="7" s="1"/>
  <c r="AI22" i="19"/>
  <c r="BT30" i="7" s="1"/>
  <c r="CW30" i="7" s="1"/>
  <c r="AI21" i="19"/>
  <c r="BT28" i="7" s="1"/>
  <c r="CW28" i="7" s="1"/>
  <c r="AI20" i="19"/>
  <c r="BT25" i="7" s="1"/>
  <c r="CW25" i="7" s="1"/>
  <c r="AI19" i="19"/>
  <c r="BT26" i="7" s="1"/>
  <c r="CW26" i="7" s="1"/>
  <c r="AI18" i="19"/>
  <c r="BT52" i="7" s="1"/>
  <c r="CW52" i="7" s="1"/>
  <c r="AI17" i="19"/>
  <c r="BT39" i="7" s="1"/>
  <c r="CW39" i="7" s="1"/>
  <c r="AI16" i="19"/>
  <c r="AI15" i="19"/>
  <c r="BT24" i="7" s="1"/>
  <c r="CW24" i="7" s="1"/>
  <c r="AI14" i="19"/>
  <c r="BT51" i="7" s="1"/>
  <c r="CW51" i="7" s="1"/>
  <c r="AI13" i="19"/>
  <c r="BT45" i="7" s="1"/>
  <c r="CW45" i="7" s="1"/>
  <c r="AI12" i="19"/>
  <c r="BT37" i="7" s="1"/>
  <c r="CW37" i="7" s="1"/>
  <c r="AI11" i="19"/>
  <c r="BT46" i="7" s="1"/>
  <c r="CW46" i="7" s="1"/>
  <c r="AI10" i="19"/>
  <c r="BT55" i="7" s="1"/>
  <c r="CW55" i="7" s="1"/>
  <c r="AI9" i="19"/>
  <c r="BT41" i="7" s="1"/>
  <c r="CW41" i="7" s="1"/>
  <c r="AI8" i="19"/>
  <c r="BT34" i="7" s="1"/>
  <c r="CW34" i="7" s="1"/>
  <c r="AI7" i="19"/>
  <c r="BT15" i="7" s="1"/>
  <c r="CW15" i="7" s="1"/>
  <c r="AI6" i="19"/>
  <c r="BT8" i="7" s="1"/>
  <c r="CW8" i="7" s="1"/>
  <c r="AI5" i="19"/>
  <c r="BT7" i="7" s="1"/>
  <c r="CW7" i="7" s="1"/>
  <c r="AI4" i="19"/>
  <c r="BT38" i="7" s="1"/>
  <c r="CW38" i="7" s="1"/>
  <c r="AI3" i="19"/>
  <c r="BT40" i="7" s="1"/>
  <c r="CW40" i="7" s="1"/>
  <c r="EY84" i="20"/>
  <c r="EX84" i="20"/>
  <c r="ER84" i="20"/>
  <c r="EL84" i="20"/>
  <c r="EF84" i="20"/>
  <c r="DZ84" i="20"/>
  <c r="DT84" i="20"/>
  <c r="DN84" i="20"/>
  <c r="DH84" i="20"/>
  <c r="DB84" i="20"/>
  <c r="CV84" i="20"/>
  <c r="CP84" i="20"/>
  <c r="CJ84" i="20"/>
  <c r="CD84" i="20"/>
  <c r="BX84" i="20"/>
  <c r="BR84" i="20"/>
  <c r="BL84" i="20"/>
  <c r="BF84" i="20"/>
  <c r="AZ84" i="20"/>
  <c r="AT84" i="20"/>
  <c r="AN84" i="20"/>
  <c r="AH84" i="20"/>
  <c r="AI59" i="19"/>
  <c r="AI58" i="19"/>
  <c r="AI57" i="19"/>
  <c r="BT127" i="7" s="1"/>
  <c r="CW127" i="7" s="1"/>
  <c r="AI56" i="19"/>
  <c r="BT70" i="7" s="1"/>
  <c r="CW70" i="7" s="1"/>
  <c r="AI55" i="19"/>
  <c r="BT48" i="7" s="1"/>
  <c r="CW48" i="7" s="1"/>
  <c r="AI54" i="19"/>
  <c r="BT62" i="7" s="1"/>
  <c r="AI53" i="19"/>
  <c r="BT69" i="7" s="1"/>
  <c r="CW69" i="7" s="1"/>
  <c r="AI52" i="19"/>
  <c r="BT71" i="7" s="1"/>
  <c r="CW71" i="7" s="1"/>
  <c r="AI51" i="19"/>
  <c r="BT90" i="7" s="1"/>
  <c r="CW90" i="7" s="1"/>
  <c r="T47" i="19"/>
  <c r="S47" i="19"/>
  <c r="R47" i="19"/>
  <c r="Q47" i="19"/>
  <c r="O47" i="19"/>
  <c r="M47" i="19"/>
  <c r="L47" i="19"/>
  <c r="K47" i="19"/>
  <c r="J47" i="19"/>
  <c r="I47" i="19"/>
  <c r="H47" i="19"/>
  <c r="G47" i="19"/>
  <c r="F47" i="19"/>
  <c r="E47" i="19"/>
  <c r="D47" i="19"/>
  <c r="C47" i="19"/>
  <c r="B47" i="19"/>
  <c r="T46" i="19"/>
  <c r="S46" i="19"/>
  <c r="R46" i="19"/>
  <c r="Q46" i="19"/>
  <c r="O46" i="19"/>
  <c r="M46" i="19"/>
  <c r="L46" i="19"/>
  <c r="K46" i="19"/>
  <c r="J46" i="19"/>
  <c r="I46" i="19"/>
  <c r="H46" i="19"/>
  <c r="G46" i="19"/>
  <c r="F46" i="19"/>
  <c r="E46" i="19"/>
  <c r="D46" i="19"/>
  <c r="C46" i="19"/>
  <c r="B46" i="19"/>
  <c r="Z83" i="20"/>
  <c r="AA83" i="20"/>
  <c r="Z81" i="20"/>
  <c r="AA81" i="20"/>
  <c r="Z76" i="20"/>
  <c r="AA76" i="20"/>
  <c r="Z68" i="20"/>
  <c r="AA68" i="20"/>
  <c r="Z33" i="20"/>
  <c r="AA33" i="20"/>
  <c r="Z30" i="20"/>
  <c r="AA30" i="20"/>
  <c r="Z22" i="20"/>
  <c r="AA22" i="20"/>
  <c r="CW92" i="7" l="1"/>
  <c r="X345" i="14"/>
  <c r="CW35" i="7"/>
  <c r="X343" i="14"/>
  <c r="CW54" i="7"/>
  <c r="X339" i="14"/>
  <c r="CW62" i="7"/>
  <c r="X323" i="14"/>
  <c r="CW36" i="7"/>
  <c r="X322" i="14"/>
  <c r="CW33" i="7"/>
  <c r="X321" i="14"/>
  <c r="CW43" i="7"/>
  <c r="X319" i="14"/>
  <c r="CW22" i="7"/>
  <c r="CW5" i="7"/>
  <c r="V84" i="20"/>
  <c r="T84" i="20"/>
  <c r="S84" i="20"/>
  <c r="R84" i="20"/>
  <c r="BG240" i="14" l="1"/>
  <c r="BG239" i="14"/>
  <c r="BG238" i="14"/>
  <c r="BB238" i="14"/>
  <c r="BB239" i="14"/>
  <c r="BB240" i="14"/>
  <c r="AU246" i="14"/>
  <c r="AU245" i="14"/>
  <c r="AU244" i="14"/>
  <c r="AU240" i="14"/>
  <c r="AU239" i="14"/>
  <c r="T239" i="14"/>
  <c r="S239" i="14"/>
  <c r="R239" i="14"/>
  <c r="Q239" i="14"/>
  <c r="P239" i="14"/>
  <c r="N239" i="14"/>
  <c r="M239" i="14"/>
  <c r="L239" i="14"/>
  <c r="K239" i="14"/>
  <c r="J239" i="14"/>
  <c r="I239" i="14"/>
  <c r="H239" i="14"/>
  <c r="G239" i="14"/>
  <c r="F239" i="14"/>
  <c r="E239" i="14"/>
  <c r="BI239" i="14" s="1"/>
  <c r="D239" i="14"/>
  <c r="C239" i="14"/>
  <c r="B239" i="14"/>
  <c r="BH239" i="14" s="1"/>
  <c r="AP238" i="14"/>
  <c r="T238" i="14"/>
  <c r="S238" i="14"/>
  <c r="R238" i="14"/>
  <c r="Q238" i="14"/>
  <c r="P238" i="14"/>
  <c r="N238" i="14"/>
  <c r="M238" i="14"/>
  <c r="L238" i="14"/>
  <c r="K238" i="14"/>
  <c r="J238" i="14"/>
  <c r="I238" i="14"/>
  <c r="H238" i="14"/>
  <c r="G238" i="14"/>
  <c r="F238" i="14"/>
  <c r="E238" i="14"/>
  <c r="BI238" i="14" s="1"/>
  <c r="D238" i="14"/>
  <c r="C238" i="14"/>
  <c r="B238" i="14"/>
  <c r="BH238" i="14" s="1"/>
  <c r="BB235" i="14" l="1"/>
  <c r="BB234" i="14"/>
  <c r="BB233" i="14"/>
  <c r="BB232" i="14"/>
  <c r="BB231" i="14"/>
  <c r="BB230" i="14"/>
  <c r="BB229" i="14"/>
  <c r="BB228" i="14"/>
  <c r="R2" i="18"/>
  <c r="R39" i="18"/>
  <c r="R50" i="18"/>
  <c r="R51" i="18"/>
  <c r="R52" i="18"/>
  <c r="R53" i="18"/>
  <c r="R54" i="18"/>
  <c r="R57" i="18"/>
  <c r="R61" i="18"/>
  <c r="R65" i="18"/>
  <c r="R68" i="18"/>
  <c r="R69" i="18"/>
  <c r="R70" i="18"/>
  <c r="R72" i="18"/>
  <c r="R73" i="18"/>
  <c r="R74" i="18"/>
  <c r="R75" i="18"/>
  <c r="R76" i="18"/>
  <c r="R77" i="18"/>
  <c r="R79" i="18"/>
  <c r="R80" i="18"/>
  <c r="R82" i="18"/>
  <c r="R83" i="18"/>
  <c r="R84" i="18"/>
  <c r="R85" i="18"/>
  <c r="R86" i="18"/>
  <c r="R87" i="18"/>
  <c r="R88" i="18"/>
  <c r="R89" i="18"/>
  <c r="R90" i="18"/>
  <c r="R91" i="18"/>
  <c r="R92" i="18"/>
  <c r="R93" i="18"/>
  <c r="R94" i="18"/>
  <c r="R95" i="18"/>
  <c r="R96" i="18"/>
  <c r="R97" i="18"/>
  <c r="R98" i="18"/>
  <c r="R99" i="18"/>
  <c r="R100" i="18"/>
  <c r="R101" i="18"/>
  <c r="R102" i="18"/>
  <c r="R103" i="18"/>
  <c r="R104" i="18"/>
  <c r="R105" i="18"/>
  <c r="R106" i="18"/>
  <c r="R107" i="18"/>
  <c r="R108" i="18"/>
  <c r="R109" i="18"/>
  <c r="R110" i="18"/>
  <c r="R111" i="18"/>
  <c r="R112" i="18"/>
  <c r="R113" i="18"/>
  <c r="R115" i="18"/>
  <c r="R118" i="18"/>
  <c r="R119" i="18"/>
  <c r="R125" i="18"/>
  <c r="R126" i="18"/>
  <c r="R127" i="18"/>
  <c r="R128" i="18"/>
  <c r="R129" i="18"/>
  <c r="R130" i="18"/>
  <c r="R131" i="18"/>
  <c r="R132" i="18"/>
  <c r="R133" i="18"/>
  <c r="R135" i="18"/>
  <c r="R137" i="18"/>
  <c r="R144" i="18"/>
  <c r="R145" i="18"/>
  <c r="R146" i="18"/>
  <c r="R149" i="18"/>
  <c r="R152" i="18"/>
  <c r="R153" i="18"/>
  <c r="R154" i="18"/>
  <c r="R156" i="18"/>
  <c r="R157" i="18"/>
  <c r="R158" i="18"/>
  <c r="R167" i="18"/>
  <c r="R168" i="18"/>
  <c r="R169" i="18"/>
  <c r="R170" i="18"/>
  <c r="R171" i="18"/>
  <c r="R172" i="18"/>
  <c r="R173" i="18"/>
  <c r="R174" i="18"/>
  <c r="R175" i="18"/>
  <c r="R176" i="18"/>
  <c r="R177" i="18"/>
  <c r="R178" i="18"/>
  <c r="R179" i="18"/>
  <c r="R180" i="18"/>
  <c r="R181" i="18"/>
  <c r="R182" i="18"/>
  <c r="R183" i="18"/>
  <c r="R184" i="18"/>
  <c r="R185" i="18"/>
  <c r="R186" i="18"/>
  <c r="R187" i="18"/>
  <c r="R188" i="18"/>
  <c r="R189" i="18"/>
  <c r="R190" i="18"/>
  <c r="R191" i="18"/>
  <c r="R192" i="18"/>
  <c r="R193" i="18"/>
  <c r="R194" i="18"/>
  <c r="R195" i="18"/>
  <c r="R196" i="18"/>
  <c r="R197" i="18"/>
  <c r="R198" i="18"/>
  <c r="R199" i="18"/>
  <c r="R200" i="18"/>
  <c r="R201" i="18"/>
  <c r="R202" i="18"/>
  <c r="R203" i="18"/>
  <c r="R204" i="18"/>
  <c r="R205" i="18"/>
  <c r="R206" i="18"/>
  <c r="R207" i="18"/>
  <c r="R208" i="18"/>
  <c r="R209" i="18"/>
  <c r="R210" i="18"/>
  <c r="R211" i="18"/>
  <c r="R212" i="18"/>
  <c r="R213" i="18"/>
  <c r="R5" i="18"/>
  <c r="R6" i="18"/>
  <c r="R7" i="18"/>
  <c r="R8" i="18"/>
  <c r="R9" i="18"/>
  <c r="R10" i="18"/>
  <c r="R12" i="18"/>
  <c r="R13" i="18"/>
  <c r="R14" i="18"/>
  <c r="R16" i="18"/>
  <c r="R17" i="18"/>
  <c r="R18" i="18"/>
  <c r="R19" i="18"/>
  <c r="R20" i="18"/>
  <c r="R21" i="18"/>
  <c r="R22" i="18"/>
  <c r="R23" i="18"/>
  <c r="R24" i="18"/>
  <c r="R25" i="18"/>
  <c r="R26" i="18"/>
  <c r="R27" i="18"/>
  <c r="R31" i="18"/>
  <c r="R32" i="18"/>
  <c r="R33" i="18"/>
  <c r="R35" i="18"/>
  <c r="R4" i="18"/>
  <c r="R3" i="18"/>
  <c r="BG334" i="14"/>
  <c r="BB334" i="14"/>
  <c r="AU334" i="14"/>
  <c r="BG333" i="14"/>
  <c r="BB333" i="14"/>
  <c r="AU333" i="14"/>
  <c r="BG332" i="14"/>
  <c r="BB332" i="14"/>
  <c r="AU332" i="14"/>
  <c r="BG331" i="14"/>
  <c r="BB331" i="14"/>
  <c r="AU331" i="14"/>
  <c r="BG330" i="14"/>
  <c r="BB330" i="14"/>
  <c r="AU330" i="14"/>
  <c r="BG329" i="14"/>
  <c r="BB329" i="14"/>
  <c r="AU329" i="14"/>
  <c r="BG316" i="14"/>
  <c r="BB316" i="14"/>
  <c r="AU316" i="14"/>
  <c r="BG315" i="14"/>
  <c r="BB315" i="14"/>
  <c r="AU315" i="14"/>
  <c r="BG314" i="14"/>
  <c r="BB314" i="14"/>
  <c r="AU314" i="14"/>
  <c r="BG313" i="14"/>
  <c r="BB313" i="14"/>
  <c r="AU313" i="14"/>
  <c r="BG312" i="14"/>
  <c r="BB312" i="14"/>
  <c r="AU312" i="14"/>
  <c r="BG311" i="14"/>
  <c r="BB311" i="14"/>
  <c r="BG310" i="14"/>
  <c r="BB310" i="14"/>
  <c r="BG309" i="14"/>
  <c r="BB309" i="14"/>
  <c r="BG308" i="14"/>
  <c r="BB308" i="14"/>
  <c r="BG307" i="14"/>
  <c r="BB307" i="14"/>
  <c r="BG306" i="14"/>
  <c r="BB306" i="14"/>
  <c r="BG305" i="14"/>
  <c r="BB305" i="14"/>
  <c r="BG304" i="14"/>
  <c r="BB304" i="14"/>
  <c r="BG303" i="14"/>
  <c r="BB303" i="14"/>
  <c r="BG302" i="14"/>
  <c r="BB302" i="14"/>
  <c r="BG301" i="14"/>
  <c r="BB301" i="14"/>
  <c r="BG235" i="14"/>
  <c r="AU235" i="14"/>
  <c r="BG234" i="14"/>
  <c r="AU234" i="14"/>
  <c r="BG233" i="14"/>
  <c r="AU233" i="14"/>
  <c r="BG232" i="14"/>
  <c r="AU232" i="14"/>
  <c r="T232" i="14"/>
  <c r="S232" i="14"/>
  <c r="R232" i="14"/>
  <c r="Q232" i="14"/>
  <c r="P232" i="14"/>
  <c r="N232" i="14"/>
  <c r="M232" i="14"/>
  <c r="L232" i="14"/>
  <c r="K232" i="14"/>
  <c r="J232" i="14"/>
  <c r="I232" i="14"/>
  <c r="H232" i="14"/>
  <c r="G232" i="14"/>
  <c r="F232" i="14"/>
  <c r="E232" i="14"/>
  <c r="BI232" i="14" s="1"/>
  <c r="D232" i="14"/>
  <c r="C232" i="14"/>
  <c r="B232" i="14"/>
  <c r="BH232" i="14" s="1"/>
  <c r="BS127" i="7" l="1"/>
  <c r="BI127" i="7"/>
  <c r="BH127" i="7"/>
  <c r="AR127" i="7"/>
  <c r="AQ127" i="7"/>
  <c r="AP127" i="7"/>
  <c r="AO127" i="7"/>
  <c r="BS126" i="7"/>
  <c r="BI126" i="7"/>
  <c r="BH126" i="7"/>
  <c r="AR126" i="7"/>
  <c r="AQ126" i="7"/>
  <c r="AP126" i="7"/>
  <c r="AO126" i="7"/>
  <c r="AT126" i="7" l="1"/>
  <c r="AS127" i="7"/>
  <c r="AT127" i="7"/>
  <c r="AS126" i="7"/>
  <c r="AU126" i="7" l="1"/>
  <c r="AU127" i="7"/>
  <c r="BW126" i="7" l="1"/>
  <c r="BV126" i="7" s="1"/>
  <c r="BO126" i="7"/>
  <c r="BU126" i="7"/>
  <c r="BW127" i="7"/>
  <c r="BV127" i="7" s="1"/>
  <c r="BU127" i="7"/>
  <c r="BO127" i="7"/>
  <c r="BJ127" i="7"/>
  <c r="BJ126" i="7"/>
  <c r="EY83" i="20" l="1"/>
  <c r="EX83" i="20"/>
  <c r="ER83" i="20"/>
  <c r="EL83" i="20"/>
  <c r="EF83" i="20"/>
  <c r="DZ83" i="20"/>
  <c r="DT83" i="20"/>
  <c r="DN83" i="20"/>
  <c r="DH83" i="20"/>
  <c r="DB83" i="20"/>
  <c r="CV83" i="20"/>
  <c r="CP83" i="20"/>
  <c r="CJ83" i="20"/>
  <c r="CD83" i="20"/>
  <c r="BX83" i="20"/>
  <c r="BR83" i="20"/>
  <c r="BL83" i="20"/>
  <c r="BF83" i="20"/>
  <c r="AZ83" i="20"/>
  <c r="AT83" i="20"/>
  <c r="AN83" i="20"/>
  <c r="AH83" i="20"/>
  <c r="AB83" i="20"/>
  <c r="EY82" i="20"/>
  <c r="EX82" i="20"/>
  <c r="ER82" i="20"/>
  <c r="EL82" i="20"/>
  <c r="EF82" i="20"/>
  <c r="DZ82" i="20"/>
  <c r="DT82" i="20"/>
  <c r="DN82" i="20"/>
  <c r="DH82" i="20"/>
  <c r="DB82" i="20"/>
  <c r="CV82" i="20"/>
  <c r="CP82" i="20"/>
  <c r="CJ82" i="20"/>
  <c r="CD82" i="20"/>
  <c r="BX82" i="20"/>
  <c r="BR82" i="20"/>
  <c r="BL82" i="20"/>
  <c r="BF82" i="20"/>
  <c r="AZ82" i="20"/>
  <c r="AT82" i="20"/>
  <c r="AN82" i="20"/>
  <c r="AH82" i="20"/>
  <c r="AB82" i="20"/>
  <c r="EY81" i="20"/>
  <c r="EX81" i="20"/>
  <c r="ER81" i="20"/>
  <c r="EL81" i="20"/>
  <c r="EF81" i="20"/>
  <c r="DZ81" i="20"/>
  <c r="DT81" i="20"/>
  <c r="DN81" i="20"/>
  <c r="DH81" i="20"/>
  <c r="DB81" i="20"/>
  <c r="CV81" i="20"/>
  <c r="CP81" i="20"/>
  <c r="CJ81" i="20"/>
  <c r="CD81" i="20"/>
  <c r="BX81" i="20"/>
  <c r="BR81" i="20"/>
  <c r="BL81" i="20"/>
  <c r="BF81" i="20"/>
  <c r="AZ81" i="20"/>
  <c r="AT81" i="20"/>
  <c r="AN81" i="20"/>
  <c r="AH81" i="20"/>
  <c r="AB81" i="20"/>
  <c r="EY80" i="20"/>
  <c r="EX80" i="20"/>
  <c r="ER80" i="20"/>
  <c r="EL80" i="20"/>
  <c r="EF80" i="20"/>
  <c r="DZ80" i="20"/>
  <c r="DT80" i="20"/>
  <c r="DN80" i="20"/>
  <c r="DH80" i="20"/>
  <c r="DB80" i="20"/>
  <c r="CV80" i="20"/>
  <c r="CP80" i="20"/>
  <c r="CJ80" i="20"/>
  <c r="CD80" i="20"/>
  <c r="BX80" i="20"/>
  <c r="BR80" i="20"/>
  <c r="BL80" i="20"/>
  <c r="BF80" i="20"/>
  <c r="AZ80" i="20"/>
  <c r="AT80" i="20"/>
  <c r="AN80" i="20"/>
  <c r="AH80" i="20"/>
  <c r="AB80" i="20"/>
  <c r="EY79" i="20"/>
  <c r="EX79" i="20"/>
  <c r="ER79" i="20"/>
  <c r="EL79" i="20"/>
  <c r="EF79" i="20"/>
  <c r="DZ79" i="20"/>
  <c r="DT79" i="20"/>
  <c r="DN79" i="20"/>
  <c r="DH79" i="20"/>
  <c r="DB79" i="20"/>
  <c r="CV79" i="20"/>
  <c r="CP79" i="20"/>
  <c r="CJ79" i="20"/>
  <c r="CD79" i="20"/>
  <c r="BX79" i="20"/>
  <c r="BR79" i="20"/>
  <c r="BL79" i="20"/>
  <c r="BF79" i="20"/>
  <c r="AZ79" i="20"/>
  <c r="AT79" i="20"/>
  <c r="AN79" i="20"/>
  <c r="AH79" i="20"/>
  <c r="AB79" i="20"/>
  <c r="EY78" i="20"/>
  <c r="EX78" i="20"/>
  <c r="ER78" i="20"/>
  <c r="EL78" i="20"/>
  <c r="EF78" i="20"/>
  <c r="DZ78" i="20"/>
  <c r="DT78" i="20"/>
  <c r="DN78" i="20"/>
  <c r="DH78" i="20"/>
  <c r="DB78" i="20"/>
  <c r="CV78" i="20"/>
  <c r="CP78" i="20"/>
  <c r="CJ78" i="20"/>
  <c r="CD78" i="20"/>
  <c r="BX78" i="20"/>
  <c r="BR78" i="20"/>
  <c r="BL78" i="20"/>
  <c r="BF78" i="20"/>
  <c r="AZ78" i="20"/>
  <c r="AT78" i="20"/>
  <c r="AN78" i="20"/>
  <c r="AH78" i="20"/>
  <c r="AB78" i="20"/>
  <c r="EY77" i="20"/>
  <c r="EX77" i="20"/>
  <c r="ER77" i="20"/>
  <c r="EL77" i="20"/>
  <c r="EF77" i="20"/>
  <c r="DZ77" i="20"/>
  <c r="DT77" i="20"/>
  <c r="DN77" i="20"/>
  <c r="DH77" i="20"/>
  <c r="DB77" i="20"/>
  <c r="CV77" i="20"/>
  <c r="CP77" i="20"/>
  <c r="CJ77" i="20"/>
  <c r="CD77" i="20"/>
  <c r="BX77" i="20"/>
  <c r="BR77" i="20"/>
  <c r="BL77" i="20"/>
  <c r="BF77" i="20"/>
  <c r="AZ77" i="20"/>
  <c r="AT77" i="20"/>
  <c r="AN77" i="20"/>
  <c r="AH77" i="20"/>
  <c r="AB77" i="20"/>
  <c r="EY76" i="20"/>
  <c r="EX76" i="20"/>
  <c r="ER76" i="20"/>
  <c r="EL76" i="20"/>
  <c r="EF76" i="20"/>
  <c r="DZ76" i="20"/>
  <c r="DT76" i="20"/>
  <c r="DN76" i="20"/>
  <c r="DH76" i="20"/>
  <c r="DB76" i="20"/>
  <c r="CV76" i="20"/>
  <c r="CP76" i="20"/>
  <c r="CJ76" i="20"/>
  <c r="CD76" i="20"/>
  <c r="BX76" i="20"/>
  <c r="BR76" i="20"/>
  <c r="BL76" i="20"/>
  <c r="BF76" i="20"/>
  <c r="AZ76" i="20"/>
  <c r="AT76" i="20"/>
  <c r="AN76" i="20"/>
  <c r="AH76" i="20"/>
  <c r="AB76" i="20"/>
  <c r="EY75" i="20"/>
  <c r="EX75" i="20"/>
  <c r="ER75" i="20"/>
  <c r="EL75" i="20"/>
  <c r="EF75" i="20"/>
  <c r="DZ75" i="20"/>
  <c r="DT75" i="20"/>
  <c r="DN75" i="20"/>
  <c r="DH75" i="20"/>
  <c r="DB75" i="20"/>
  <c r="CV75" i="20"/>
  <c r="CP75" i="20"/>
  <c r="CJ75" i="20"/>
  <c r="CD75" i="20"/>
  <c r="BX75" i="20"/>
  <c r="BR75" i="20"/>
  <c r="BL75" i="20"/>
  <c r="BF75" i="20"/>
  <c r="AZ75" i="20"/>
  <c r="AT75" i="20"/>
  <c r="AN75" i="20"/>
  <c r="AH75" i="20"/>
  <c r="AB75" i="20"/>
  <c r="EY74" i="20"/>
  <c r="EX74" i="20"/>
  <c r="ER74" i="20"/>
  <c r="EL74" i="20"/>
  <c r="EF74" i="20"/>
  <c r="DZ74" i="20"/>
  <c r="DT74" i="20"/>
  <c r="DN74" i="20"/>
  <c r="DH74" i="20"/>
  <c r="DB74" i="20"/>
  <c r="CV74" i="20"/>
  <c r="CP74" i="20"/>
  <c r="CJ74" i="20"/>
  <c r="CD74" i="20"/>
  <c r="BX74" i="20"/>
  <c r="BR74" i="20"/>
  <c r="BL74" i="20"/>
  <c r="BF74" i="20"/>
  <c r="AZ74" i="20"/>
  <c r="AT74" i="20"/>
  <c r="AN74" i="20"/>
  <c r="AH74" i="20"/>
  <c r="AB74" i="20"/>
  <c r="EY73" i="20"/>
  <c r="EX73" i="20"/>
  <c r="ER73" i="20"/>
  <c r="EL73" i="20"/>
  <c r="EF73" i="20"/>
  <c r="DZ73" i="20"/>
  <c r="DT73" i="20"/>
  <c r="DN73" i="20"/>
  <c r="DH73" i="20"/>
  <c r="DB73" i="20"/>
  <c r="CV73" i="20"/>
  <c r="CP73" i="20"/>
  <c r="CJ73" i="20"/>
  <c r="CD73" i="20"/>
  <c r="BX73" i="20"/>
  <c r="BR73" i="20"/>
  <c r="BL73" i="20"/>
  <c r="BF73" i="20"/>
  <c r="AZ73" i="20"/>
  <c r="AT73" i="20"/>
  <c r="AN73" i="20"/>
  <c r="AH73" i="20"/>
  <c r="AB73" i="20"/>
  <c r="EY72" i="20"/>
  <c r="EX72" i="20"/>
  <c r="ER72" i="20"/>
  <c r="EL72" i="20"/>
  <c r="EF72" i="20"/>
  <c r="DZ72" i="20"/>
  <c r="DT72" i="20"/>
  <c r="DN72" i="20"/>
  <c r="DH72" i="20"/>
  <c r="DB72" i="20"/>
  <c r="CV72" i="20"/>
  <c r="CP72" i="20"/>
  <c r="CJ72" i="20"/>
  <c r="CD72" i="20"/>
  <c r="BX72" i="20"/>
  <c r="BR72" i="20"/>
  <c r="BL72" i="20"/>
  <c r="BF72" i="20"/>
  <c r="AZ72" i="20"/>
  <c r="AT72" i="20"/>
  <c r="AN72" i="20"/>
  <c r="AH72" i="20"/>
  <c r="AB72" i="20"/>
  <c r="EY71" i="20"/>
  <c r="EX71" i="20"/>
  <c r="ER71" i="20"/>
  <c r="EL71" i="20"/>
  <c r="EF71" i="20"/>
  <c r="DZ71" i="20"/>
  <c r="DT71" i="20"/>
  <c r="DN71" i="20"/>
  <c r="DH71" i="20"/>
  <c r="DB71" i="20"/>
  <c r="CV71" i="20"/>
  <c r="CP71" i="20"/>
  <c r="CJ71" i="20"/>
  <c r="CD71" i="20"/>
  <c r="BX71" i="20"/>
  <c r="BR71" i="20"/>
  <c r="BL71" i="20"/>
  <c r="BF71" i="20"/>
  <c r="AZ71" i="20"/>
  <c r="AT71" i="20"/>
  <c r="AN71" i="20"/>
  <c r="AH71" i="20"/>
  <c r="AB71" i="20"/>
  <c r="AA71" i="20"/>
  <c r="Z71" i="20"/>
  <c r="EY70" i="20"/>
  <c r="EX70" i="20"/>
  <c r="ER70" i="20"/>
  <c r="EL70" i="20"/>
  <c r="EF70" i="20"/>
  <c r="DZ70" i="20"/>
  <c r="DT70" i="20"/>
  <c r="DN70" i="20"/>
  <c r="DH70" i="20"/>
  <c r="DB70" i="20"/>
  <c r="CV70" i="20"/>
  <c r="CP70" i="20"/>
  <c r="CJ70" i="20"/>
  <c r="CD70" i="20"/>
  <c r="BX70" i="20"/>
  <c r="BR70" i="20"/>
  <c r="BL70" i="20"/>
  <c r="BF70" i="20"/>
  <c r="AZ70" i="20"/>
  <c r="AT70" i="20"/>
  <c r="AN70" i="20"/>
  <c r="AH70" i="20"/>
  <c r="AB70" i="20"/>
  <c r="EY69" i="20"/>
  <c r="EX69" i="20"/>
  <c r="ER69" i="20"/>
  <c r="EL69" i="20"/>
  <c r="EF69" i="20"/>
  <c r="DZ69" i="20"/>
  <c r="DT69" i="20"/>
  <c r="DN69" i="20"/>
  <c r="DH69" i="20"/>
  <c r="DB69" i="20"/>
  <c r="CV69" i="20"/>
  <c r="CP69" i="20"/>
  <c r="CJ69" i="20"/>
  <c r="CD69" i="20"/>
  <c r="BX69" i="20"/>
  <c r="BR69" i="20"/>
  <c r="BL69" i="20"/>
  <c r="BF69" i="20"/>
  <c r="AZ69" i="20"/>
  <c r="AT69" i="20"/>
  <c r="AN69" i="20"/>
  <c r="AH69" i="20"/>
  <c r="AB69" i="20"/>
  <c r="EY68" i="20"/>
  <c r="EX68" i="20"/>
  <c r="ER68" i="20"/>
  <c r="EL68" i="20"/>
  <c r="EF68" i="20"/>
  <c r="DZ68" i="20"/>
  <c r="DT68" i="20"/>
  <c r="DN68" i="20"/>
  <c r="DH68" i="20"/>
  <c r="DB68" i="20"/>
  <c r="CV68" i="20"/>
  <c r="CP68" i="20"/>
  <c r="CJ68" i="20"/>
  <c r="CD68" i="20"/>
  <c r="BX68" i="20"/>
  <c r="BR68" i="20"/>
  <c r="BL68" i="20"/>
  <c r="BF68" i="20"/>
  <c r="AZ68" i="20"/>
  <c r="AT68" i="20"/>
  <c r="AN68" i="20"/>
  <c r="AH68" i="20"/>
  <c r="AB68" i="20"/>
  <c r="EY67" i="20"/>
  <c r="EX67" i="20"/>
  <c r="ER67" i="20"/>
  <c r="EL67" i="20"/>
  <c r="EF67" i="20"/>
  <c r="DZ67" i="20"/>
  <c r="DT67" i="20"/>
  <c r="DN67" i="20"/>
  <c r="DH67" i="20"/>
  <c r="DB67" i="20"/>
  <c r="CV67" i="20"/>
  <c r="CP67" i="20"/>
  <c r="CJ67" i="20"/>
  <c r="CD67" i="20"/>
  <c r="BX67" i="20"/>
  <c r="BR67" i="20"/>
  <c r="BL67" i="20"/>
  <c r="BF67" i="20"/>
  <c r="AZ67" i="20"/>
  <c r="AT67" i="20"/>
  <c r="AN67" i="20"/>
  <c r="AH67" i="20"/>
  <c r="AB67" i="20"/>
  <c r="EY66" i="20"/>
  <c r="EX66" i="20"/>
  <c r="ER66" i="20"/>
  <c r="EL66" i="20"/>
  <c r="EF66" i="20"/>
  <c r="DZ66" i="20"/>
  <c r="DT66" i="20"/>
  <c r="DN66" i="20"/>
  <c r="DH66" i="20"/>
  <c r="DB66" i="20"/>
  <c r="CV66" i="20"/>
  <c r="CP66" i="20"/>
  <c r="CJ66" i="20"/>
  <c r="CD66" i="20"/>
  <c r="BX66" i="20"/>
  <c r="BR66" i="20"/>
  <c r="BL66" i="20"/>
  <c r="BF66" i="20"/>
  <c r="AZ66" i="20"/>
  <c r="AT66" i="20"/>
  <c r="AN66" i="20"/>
  <c r="AH66" i="20"/>
  <c r="AB66" i="20"/>
  <c r="EY65" i="20"/>
  <c r="EX65" i="20"/>
  <c r="ER65" i="20"/>
  <c r="EL65" i="20"/>
  <c r="EF65" i="20"/>
  <c r="DZ65" i="20"/>
  <c r="DT65" i="20"/>
  <c r="DN65" i="20"/>
  <c r="DH65" i="20"/>
  <c r="DB65" i="20"/>
  <c r="CV65" i="20"/>
  <c r="CP65" i="20"/>
  <c r="CJ65" i="20"/>
  <c r="CD65" i="20"/>
  <c r="BX65" i="20"/>
  <c r="BR65" i="20"/>
  <c r="BL65" i="20"/>
  <c r="BF65" i="20"/>
  <c r="AZ65" i="20"/>
  <c r="AT65" i="20"/>
  <c r="AN65" i="20"/>
  <c r="AH65" i="20"/>
  <c r="AB65" i="20"/>
  <c r="EY64" i="20"/>
  <c r="EX64" i="20"/>
  <c r="ER64" i="20"/>
  <c r="EL64" i="20"/>
  <c r="EF64" i="20"/>
  <c r="DZ64" i="20"/>
  <c r="DT64" i="20"/>
  <c r="DN64" i="20"/>
  <c r="DH64" i="20"/>
  <c r="DB64" i="20"/>
  <c r="CV64" i="20"/>
  <c r="CP64" i="20"/>
  <c r="CJ64" i="20"/>
  <c r="CD64" i="20"/>
  <c r="BX64" i="20"/>
  <c r="BR64" i="20"/>
  <c r="BL64" i="20"/>
  <c r="BF64" i="20"/>
  <c r="AZ64" i="20"/>
  <c r="AT64" i="20"/>
  <c r="AN64" i="20"/>
  <c r="AH64" i="20"/>
  <c r="AB64" i="20"/>
  <c r="EY63" i="20"/>
  <c r="EX63" i="20"/>
  <c r="ER63" i="20"/>
  <c r="EL63" i="20"/>
  <c r="EF63" i="20"/>
  <c r="DZ63" i="20"/>
  <c r="DT63" i="20"/>
  <c r="DN63" i="20"/>
  <c r="DH63" i="20"/>
  <c r="DB63" i="20"/>
  <c r="CV63" i="20"/>
  <c r="CP63" i="20"/>
  <c r="CJ63" i="20"/>
  <c r="CD63" i="20"/>
  <c r="BX63" i="20"/>
  <c r="BR63" i="20"/>
  <c r="BL63" i="20"/>
  <c r="BF63" i="20"/>
  <c r="AZ63" i="20"/>
  <c r="AT63" i="20"/>
  <c r="AN63" i="20"/>
  <c r="AH63" i="20"/>
  <c r="AB63" i="20"/>
  <c r="EY62" i="20"/>
  <c r="EX62" i="20"/>
  <c r="ER62" i="20"/>
  <c r="EL62" i="20"/>
  <c r="EF62" i="20"/>
  <c r="DZ62" i="20"/>
  <c r="DT62" i="20"/>
  <c r="DN62" i="20"/>
  <c r="DH62" i="20"/>
  <c r="DB62" i="20"/>
  <c r="CV62" i="20"/>
  <c r="CP62" i="20"/>
  <c r="CJ62" i="20"/>
  <c r="CD62" i="20"/>
  <c r="BX62" i="20"/>
  <c r="BR62" i="20"/>
  <c r="BL62" i="20"/>
  <c r="BF62" i="20"/>
  <c r="AZ62" i="20"/>
  <c r="AT62" i="20"/>
  <c r="AN62" i="20"/>
  <c r="AH62" i="20"/>
  <c r="AB62" i="20"/>
  <c r="EY61" i="20"/>
  <c r="EX61" i="20"/>
  <c r="ER61" i="20"/>
  <c r="EL61" i="20"/>
  <c r="EF61" i="20"/>
  <c r="DZ61" i="20"/>
  <c r="DT61" i="20"/>
  <c r="DN61" i="20"/>
  <c r="DH61" i="20"/>
  <c r="DB61" i="20"/>
  <c r="CV61" i="20"/>
  <c r="CP61" i="20"/>
  <c r="CJ61" i="20"/>
  <c r="CD61" i="20"/>
  <c r="BX61" i="20"/>
  <c r="BR61" i="20"/>
  <c r="BL61" i="20"/>
  <c r="BF61" i="20"/>
  <c r="AZ61" i="20"/>
  <c r="AT61" i="20"/>
  <c r="AN61" i="20"/>
  <c r="AH61" i="20"/>
  <c r="AB61" i="20"/>
  <c r="EY60" i="20"/>
  <c r="EX60" i="20"/>
  <c r="ER60" i="20"/>
  <c r="EL60" i="20"/>
  <c r="EF60" i="20"/>
  <c r="DZ60" i="20"/>
  <c r="DT60" i="20"/>
  <c r="DN60" i="20"/>
  <c r="DH60" i="20"/>
  <c r="DB60" i="20"/>
  <c r="CV60" i="20"/>
  <c r="CP60" i="20"/>
  <c r="CJ60" i="20"/>
  <c r="CD60" i="20"/>
  <c r="BX60" i="20"/>
  <c r="BR60" i="20"/>
  <c r="BL60" i="20"/>
  <c r="BF60" i="20"/>
  <c r="AZ60" i="20"/>
  <c r="AT60" i="20"/>
  <c r="AN60" i="20"/>
  <c r="AH60" i="20"/>
  <c r="AB60" i="20"/>
  <c r="EY59" i="20"/>
  <c r="EX59" i="20"/>
  <c r="ER59" i="20"/>
  <c r="EL59" i="20"/>
  <c r="EF59" i="20"/>
  <c r="DZ59" i="20"/>
  <c r="DT59" i="20"/>
  <c r="DN59" i="20"/>
  <c r="DH59" i="20"/>
  <c r="DB59" i="20"/>
  <c r="CV59" i="20"/>
  <c r="CP59" i="20"/>
  <c r="CJ59" i="20"/>
  <c r="CD59" i="20"/>
  <c r="BX59" i="20"/>
  <c r="BR59" i="20"/>
  <c r="BL59" i="20"/>
  <c r="BF59" i="20"/>
  <c r="AZ59" i="20"/>
  <c r="AT59" i="20"/>
  <c r="AN59" i="20"/>
  <c r="AH59" i="20"/>
  <c r="AB59" i="20"/>
  <c r="EY58" i="20"/>
  <c r="EX58" i="20"/>
  <c r="ER58" i="20"/>
  <c r="EL58" i="20"/>
  <c r="EF58" i="20"/>
  <c r="DZ58" i="20"/>
  <c r="DT58" i="20"/>
  <c r="DN58" i="20"/>
  <c r="DH58" i="20"/>
  <c r="DB58" i="20"/>
  <c r="CV58" i="20"/>
  <c r="CP58" i="20"/>
  <c r="CJ58" i="20"/>
  <c r="CD58" i="20"/>
  <c r="BX58" i="20"/>
  <c r="BR58" i="20"/>
  <c r="BL58" i="20"/>
  <c r="BF58" i="20"/>
  <c r="AZ58" i="20"/>
  <c r="AT58" i="20"/>
  <c r="AN58" i="20"/>
  <c r="AH58" i="20"/>
  <c r="AB58" i="20"/>
  <c r="EY57" i="20"/>
  <c r="EX57" i="20"/>
  <c r="ER57" i="20"/>
  <c r="EL57" i="20"/>
  <c r="EF57" i="20"/>
  <c r="DZ57" i="20"/>
  <c r="DT57" i="20"/>
  <c r="DN57" i="20"/>
  <c r="DH57" i="20"/>
  <c r="DB57" i="20"/>
  <c r="CV57" i="20"/>
  <c r="CP57" i="20"/>
  <c r="CJ57" i="20"/>
  <c r="CD57" i="20"/>
  <c r="BX57" i="20"/>
  <c r="BR57" i="20"/>
  <c r="BL57" i="20"/>
  <c r="BF57" i="20"/>
  <c r="AZ57" i="20"/>
  <c r="AT57" i="20"/>
  <c r="AN57" i="20"/>
  <c r="AH57" i="20"/>
  <c r="AB57" i="20"/>
  <c r="EY56" i="20"/>
  <c r="EX56" i="20"/>
  <c r="ER56" i="20"/>
  <c r="EL56" i="20"/>
  <c r="EF56" i="20"/>
  <c r="DZ56" i="20"/>
  <c r="DT56" i="20"/>
  <c r="DN56" i="20"/>
  <c r="DH56" i="20"/>
  <c r="DB56" i="20"/>
  <c r="CV56" i="20"/>
  <c r="CP56" i="20"/>
  <c r="CJ56" i="20"/>
  <c r="CD56" i="20"/>
  <c r="BX56" i="20"/>
  <c r="BR56" i="20"/>
  <c r="BL56" i="20"/>
  <c r="BF56" i="20"/>
  <c r="AZ56" i="20"/>
  <c r="AT56" i="20"/>
  <c r="AN56" i="20"/>
  <c r="AH56" i="20"/>
  <c r="AB56" i="20"/>
  <c r="EY55" i="20"/>
  <c r="EX55" i="20"/>
  <c r="ER55" i="20"/>
  <c r="EL55" i="20"/>
  <c r="EF55" i="20"/>
  <c r="DZ55" i="20"/>
  <c r="DT55" i="20"/>
  <c r="DN55" i="20"/>
  <c r="DH55" i="20"/>
  <c r="DB55" i="20"/>
  <c r="CV55" i="20"/>
  <c r="CP55" i="20"/>
  <c r="CJ55" i="20"/>
  <c r="CD55" i="20"/>
  <c r="BX55" i="20"/>
  <c r="BR55" i="20"/>
  <c r="BL55" i="20"/>
  <c r="BF55" i="20"/>
  <c r="AZ55" i="20"/>
  <c r="AT55" i="20"/>
  <c r="AN55" i="20"/>
  <c r="AH55" i="20"/>
  <c r="AB55" i="20"/>
  <c r="EY54" i="20"/>
  <c r="EX54" i="20"/>
  <c r="ER54" i="20"/>
  <c r="EL54" i="20"/>
  <c r="EF54" i="20"/>
  <c r="DZ54" i="20"/>
  <c r="DT54" i="20"/>
  <c r="DN54" i="20"/>
  <c r="DH54" i="20"/>
  <c r="DB54" i="20"/>
  <c r="CV54" i="20"/>
  <c r="CP54" i="20"/>
  <c r="CJ54" i="20"/>
  <c r="CD54" i="20"/>
  <c r="BX54" i="20"/>
  <c r="BR54" i="20"/>
  <c r="BL54" i="20"/>
  <c r="BF54" i="20"/>
  <c r="AZ54" i="20"/>
  <c r="AT54" i="20"/>
  <c r="AN54" i="20"/>
  <c r="AH54" i="20"/>
  <c r="AB54" i="20"/>
  <c r="EY53" i="20"/>
  <c r="EX53" i="20"/>
  <c r="ER53" i="20"/>
  <c r="EL53" i="20"/>
  <c r="EF53" i="20"/>
  <c r="DZ53" i="20"/>
  <c r="DT53" i="20"/>
  <c r="DN53" i="20"/>
  <c r="DH53" i="20"/>
  <c r="DB53" i="20"/>
  <c r="CV53" i="20"/>
  <c r="CP53" i="20"/>
  <c r="CJ53" i="20"/>
  <c r="CD53" i="20"/>
  <c r="BX53" i="20"/>
  <c r="BR53" i="20"/>
  <c r="BL53" i="20"/>
  <c r="BF53" i="20"/>
  <c r="AZ53" i="20"/>
  <c r="AT53" i="20"/>
  <c r="AN53" i="20"/>
  <c r="AH53" i="20"/>
  <c r="AB53" i="20"/>
  <c r="EY52" i="20"/>
  <c r="EX52" i="20"/>
  <c r="ER52" i="20"/>
  <c r="EL52" i="20"/>
  <c r="EF52" i="20"/>
  <c r="DZ52" i="20"/>
  <c r="DT52" i="20"/>
  <c r="DN52" i="20"/>
  <c r="DH52" i="20"/>
  <c r="DB52" i="20"/>
  <c r="CV52" i="20"/>
  <c r="CP52" i="20"/>
  <c r="CJ52" i="20"/>
  <c r="CD52" i="20"/>
  <c r="BX52" i="20"/>
  <c r="BR52" i="20"/>
  <c r="BL52" i="20"/>
  <c r="BF52" i="20"/>
  <c r="AZ52" i="20"/>
  <c r="AT52" i="20"/>
  <c r="AN52" i="20"/>
  <c r="AH52" i="20"/>
  <c r="AB52" i="20"/>
  <c r="EY51" i="20"/>
  <c r="EX51" i="20"/>
  <c r="ER51" i="20"/>
  <c r="EL51" i="20"/>
  <c r="EF51" i="20"/>
  <c r="DZ51" i="20"/>
  <c r="DT51" i="20"/>
  <c r="DN51" i="20"/>
  <c r="DH51" i="20"/>
  <c r="DB51" i="20"/>
  <c r="CV51" i="20"/>
  <c r="CP51" i="20"/>
  <c r="CJ51" i="20"/>
  <c r="CD51" i="20"/>
  <c r="BX51" i="20"/>
  <c r="BR51" i="20"/>
  <c r="BL51" i="20"/>
  <c r="BF51" i="20"/>
  <c r="AZ51" i="20"/>
  <c r="AT51" i="20"/>
  <c r="AN51" i="20"/>
  <c r="AH51" i="20"/>
  <c r="AB51" i="20"/>
  <c r="EY50" i="20"/>
  <c r="EX50" i="20"/>
  <c r="ER50" i="20"/>
  <c r="EL50" i="20"/>
  <c r="EF50" i="20"/>
  <c r="DZ50" i="20"/>
  <c r="DT50" i="20"/>
  <c r="DN50" i="20"/>
  <c r="DH50" i="20"/>
  <c r="DB50" i="20"/>
  <c r="CV50" i="20"/>
  <c r="CP50" i="20"/>
  <c r="CJ50" i="20"/>
  <c r="CD50" i="20"/>
  <c r="BX50" i="20"/>
  <c r="BR50" i="20"/>
  <c r="BL50" i="20"/>
  <c r="BF50" i="20"/>
  <c r="AZ50" i="20"/>
  <c r="AT50" i="20"/>
  <c r="AN50" i="20"/>
  <c r="AH50" i="20"/>
  <c r="AB50" i="20"/>
  <c r="EY49" i="20"/>
  <c r="EX49" i="20"/>
  <c r="ER49" i="20"/>
  <c r="EL49" i="20"/>
  <c r="EF49" i="20"/>
  <c r="DZ49" i="20"/>
  <c r="DT49" i="20"/>
  <c r="DN49" i="20"/>
  <c r="DH49" i="20"/>
  <c r="DB49" i="20"/>
  <c r="CV49" i="20"/>
  <c r="CP49" i="20"/>
  <c r="CJ49" i="20"/>
  <c r="CD49" i="20"/>
  <c r="BX49" i="20"/>
  <c r="BR49" i="20"/>
  <c r="BL49" i="20"/>
  <c r="BF49" i="20"/>
  <c r="AZ49" i="20"/>
  <c r="AT49" i="20"/>
  <c r="AN49" i="20"/>
  <c r="AH49" i="20"/>
  <c r="AB49" i="20"/>
  <c r="EY48" i="20"/>
  <c r="EX48" i="20"/>
  <c r="ER48" i="20"/>
  <c r="EL48" i="20"/>
  <c r="EF48" i="20"/>
  <c r="DZ48" i="20"/>
  <c r="DT48" i="20"/>
  <c r="DN48" i="20"/>
  <c r="DH48" i="20"/>
  <c r="DB48" i="20"/>
  <c r="CV48" i="20"/>
  <c r="CP48" i="20"/>
  <c r="CJ48" i="20"/>
  <c r="CD48" i="20"/>
  <c r="BX48" i="20"/>
  <c r="BR48" i="20"/>
  <c r="BL48" i="20"/>
  <c r="BF48" i="20"/>
  <c r="AZ48" i="20"/>
  <c r="AT48" i="20"/>
  <c r="AN48" i="20"/>
  <c r="AH48" i="20"/>
  <c r="AB48" i="20"/>
  <c r="EY47" i="20"/>
  <c r="EX47" i="20"/>
  <c r="ER47" i="20"/>
  <c r="EL47" i="20"/>
  <c r="EF47" i="20"/>
  <c r="DZ47" i="20"/>
  <c r="DT47" i="20"/>
  <c r="DN47" i="20"/>
  <c r="DH47" i="20"/>
  <c r="DB47" i="20"/>
  <c r="CV47" i="20"/>
  <c r="CP47" i="20"/>
  <c r="CJ47" i="20"/>
  <c r="CD47" i="20"/>
  <c r="BX47" i="20"/>
  <c r="BR47" i="20"/>
  <c r="BL47" i="20"/>
  <c r="BF47" i="20"/>
  <c r="AZ47" i="20"/>
  <c r="AT47" i="20"/>
  <c r="AN47" i="20"/>
  <c r="AH47" i="20"/>
  <c r="AB47" i="20"/>
  <c r="EY46" i="20"/>
  <c r="EX46" i="20"/>
  <c r="ER46" i="20"/>
  <c r="EL46" i="20"/>
  <c r="EF46" i="20"/>
  <c r="DZ46" i="20"/>
  <c r="DT46" i="20"/>
  <c r="DN46" i="20"/>
  <c r="DH46" i="20"/>
  <c r="DB46" i="20"/>
  <c r="CV46" i="20"/>
  <c r="CP46" i="20"/>
  <c r="CJ46" i="20"/>
  <c r="CD46" i="20"/>
  <c r="BX46" i="20"/>
  <c r="BR46" i="20"/>
  <c r="BL46" i="20"/>
  <c r="BF46" i="20"/>
  <c r="AZ46" i="20"/>
  <c r="AT46" i="20"/>
  <c r="AN46" i="20"/>
  <c r="AH46" i="20"/>
  <c r="AB46" i="20"/>
  <c r="AA46" i="20"/>
  <c r="Z46" i="20"/>
  <c r="EY45" i="20"/>
  <c r="EX45" i="20"/>
  <c r="ER45" i="20"/>
  <c r="EL45" i="20"/>
  <c r="EF45" i="20"/>
  <c r="DZ45" i="20"/>
  <c r="DT45" i="20"/>
  <c r="DN45" i="20"/>
  <c r="DH45" i="20"/>
  <c r="DB45" i="20"/>
  <c r="CV45" i="20"/>
  <c r="CP45" i="20"/>
  <c r="CJ45" i="20"/>
  <c r="CD45" i="20"/>
  <c r="BX45" i="20"/>
  <c r="BR45" i="20"/>
  <c r="BL45" i="20"/>
  <c r="BF45" i="20"/>
  <c r="AZ45" i="20"/>
  <c r="AT45" i="20"/>
  <c r="AN45" i="20"/>
  <c r="AH45" i="20"/>
  <c r="AB45" i="20"/>
  <c r="EY44" i="20"/>
  <c r="EX44" i="20"/>
  <c r="ER44" i="20"/>
  <c r="EL44" i="20"/>
  <c r="EF44" i="20"/>
  <c r="DZ44" i="20"/>
  <c r="DT44" i="20"/>
  <c r="DN44" i="20"/>
  <c r="DH44" i="20"/>
  <c r="DB44" i="20"/>
  <c r="CV44" i="20"/>
  <c r="CP44" i="20"/>
  <c r="CJ44" i="20"/>
  <c r="CD44" i="20"/>
  <c r="BX44" i="20"/>
  <c r="BR44" i="20"/>
  <c r="BL44" i="20"/>
  <c r="BF44" i="20"/>
  <c r="AZ44" i="20"/>
  <c r="AT44" i="20"/>
  <c r="AN44" i="20"/>
  <c r="AH44" i="20"/>
  <c r="AB44" i="20"/>
  <c r="AA44" i="20"/>
  <c r="Z44" i="20"/>
  <c r="EY43" i="20"/>
  <c r="EX43" i="20"/>
  <c r="ER43" i="20"/>
  <c r="EL43" i="20"/>
  <c r="EF43" i="20"/>
  <c r="DZ43" i="20"/>
  <c r="DT43" i="20"/>
  <c r="DN43" i="20"/>
  <c r="DH43" i="20"/>
  <c r="DB43" i="20"/>
  <c r="CV43" i="20"/>
  <c r="CP43" i="20"/>
  <c r="CJ43" i="20"/>
  <c r="CD43" i="20"/>
  <c r="BX43" i="20"/>
  <c r="BR43" i="20"/>
  <c r="BL43" i="20"/>
  <c r="BF43" i="20"/>
  <c r="AZ43" i="20"/>
  <c r="AT43" i="20"/>
  <c r="AN43" i="20"/>
  <c r="AH43" i="20"/>
  <c r="AB43" i="20"/>
  <c r="AA43" i="20"/>
  <c r="Z43" i="20"/>
  <c r="EY42" i="20"/>
  <c r="EX42" i="20"/>
  <c r="ER42" i="20"/>
  <c r="EL42" i="20"/>
  <c r="EF42" i="20"/>
  <c r="DZ42" i="20"/>
  <c r="DT42" i="20"/>
  <c r="DN42" i="20"/>
  <c r="DH42" i="20"/>
  <c r="DB42" i="20"/>
  <c r="CV42" i="20"/>
  <c r="CP42" i="20"/>
  <c r="CJ42" i="20"/>
  <c r="CD42" i="20"/>
  <c r="BX42" i="20"/>
  <c r="BR42" i="20"/>
  <c r="BL42" i="20"/>
  <c r="BF42" i="20"/>
  <c r="AZ42" i="20"/>
  <c r="AT42" i="20"/>
  <c r="AN42" i="20"/>
  <c r="AH42" i="20"/>
  <c r="AB42" i="20"/>
  <c r="AA42" i="20"/>
  <c r="Z42" i="20"/>
  <c r="EY41" i="20"/>
  <c r="EX41" i="20"/>
  <c r="ER41" i="20"/>
  <c r="EL41" i="20"/>
  <c r="EF41" i="20"/>
  <c r="DZ41" i="20"/>
  <c r="DT41" i="20"/>
  <c r="DN41" i="20"/>
  <c r="DH41" i="20"/>
  <c r="DB41" i="20"/>
  <c r="CV41" i="20"/>
  <c r="CP41" i="20"/>
  <c r="CJ41" i="20"/>
  <c r="CD41" i="20"/>
  <c r="BX41" i="20"/>
  <c r="BR41" i="20"/>
  <c r="BL41" i="20"/>
  <c r="BF41" i="20"/>
  <c r="AZ41" i="20"/>
  <c r="AT41" i="20"/>
  <c r="AN41" i="20"/>
  <c r="AH41" i="20"/>
  <c r="AB41" i="20"/>
  <c r="EY40" i="20"/>
  <c r="EX40" i="20"/>
  <c r="ER40" i="20"/>
  <c r="EL40" i="20"/>
  <c r="EF40" i="20"/>
  <c r="DZ40" i="20"/>
  <c r="DT40" i="20"/>
  <c r="DN40" i="20"/>
  <c r="DH40" i="20"/>
  <c r="DB40" i="20"/>
  <c r="CV40" i="20"/>
  <c r="CP40" i="20"/>
  <c r="CJ40" i="20"/>
  <c r="CD40" i="20"/>
  <c r="BX40" i="20"/>
  <c r="BR40" i="20"/>
  <c r="BL40" i="20"/>
  <c r="BF40" i="20"/>
  <c r="AZ40" i="20"/>
  <c r="AT40" i="20"/>
  <c r="AN40" i="20"/>
  <c r="AH40" i="20"/>
  <c r="AB40" i="20"/>
  <c r="EY39" i="20"/>
  <c r="EX39" i="20"/>
  <c r="ER39" i="20"/>
  <c r="EL39" i="20"/>
  <c r="EF39" i="20"/>
  <c r="DZ39" i="20"/>
  <c r="DT39" i="20"/>
  <c r="DN39" i="20"/>
  <c r="DH39" i="20"/>
  <c r="DB39" i="20"/>
  <c r="CV39" i="20"/>
  <c r="CP39" i="20"/>
  <c r="CJ39" i="20"/>
  <c r="CD39" i="20"/>
  <c r="BX39" i="20"/>
  <c r="BR39" i="20"/>
  <c r="BL39" i="20"/>
  <c r="BF39" i="20"/>
  <c r="AZ39" i="20"/>
  <c r="AT39" i="20"/>
  <c r="AN39" i="20"/>
  <c r="AH39" i="20"/>
  <c r="AB39" i="20"/>
  <c r="EY38" i="20"/>
  <c r="EX38" i="20"/>
  <c r="ER38" i="20"/>
  <c r="EL38" i="20"/>
  <c r="EF38" i="20"/>
  <c r="DZ38" i="20"/>
  <c r="DT38" i="20"/>
  <c r="DN38" i="20"/>
  <c r="DH38" i="20"/>
  <c r="DB38" i="20"/>
  <c r="CV38" i="20"/>
  <c r="CP38" i="20"/>
  <c r="CJ38" i="20"/>
  <c r="CD38" i="20"/>
  <c r="BX38" i="20"/>
  <c r="BR38" i="20"/>
  <c r="BL38" i="20"/>
  <c r="BF38" i="20"/>
  <c r="AZ38" i="20"/>
  <c r="AT38" i="20"/>
  <c r="AN38" i="20"/>
  <c r="AH38" i="20"/>
  <c r="AB38" i="20"/>
  <c r="EY37" i="20"/>
  <c r="EX37" i="20"/>
  <c r="ER37" i="20"/>
  <c r="EL37" i="20"/>
  <c r="EF37" i="20"/>
  <c r="DZ37" i="20"/>
  <c r="DT37" i="20"/>
  <c r="DN37" i="20"/>
  <c r="DH37" i="20"/>
  <c r="DB37" i="20"/>
  <c r="CV37" i="20"/>
  <c r="CP37" i="20"/>
  <c r="CJ37" i="20"/>
  <c r="CD37" i="20"/>
  <c r="BX37" i="20"/>
  <c r="BR37" i="20"/>
  <c r="BL37" i="20"/>
  <c r="BF37" i="20"/>
  <c r="AZ37" i="20"/>
  <c r="AT37" i="20"/>
  <c r="AN37" i="20"/>
  <c r="AH37" i="20"/>
  <c r="AB37" i="20"/>
  <c r="EY36" i="20"/>
  <c r="EX36" i="20"/>
  <c r="ER36" i="20"/>
  <c r="EL36" i="20"/>
  <c r="EF36" i="20"/>
  <c r="DZ36" i="20"/>
  <c r="DT36" i="20"/>
  <c r="DN36" i="20"/>
  <c r="DH36" i="20"/>
  <c r="DB36" i="20"/>
  <c r="CV36" i="20"/>
  <c r="CP36" i="20"/>
  <c r="CJ36" i="20"/>
  <c r="CD36" i="20"/>
  <c r="BX36" i="20"/>
  <c r="BR36" i="20"/>
  <c r="BL36" i="20"/>
  <c r="BF36" i="20"/>
  <c r="AZ36" i="20"/>
  <c r="AT36" i="20"/>
  <c r="AN36" i="20"/>
  <c r="AH36" i="20"/>
  <c r="AB36" i="20"/>
  <c r="EY35" i="20"/>
  <c r="EX35" i="20"/>
  <c r="ER35" i="20"/>
  <c r="EL35" i="20"/>
  <c r="EF35" i="20"/>
  <c r="DZ35" i="20"/>
  <c r="DT35" i="20"/>
  <c r="DN35" i="20"/>
  <c r="DH35" i="20"/>
  <c r="DB35" i="20"/>
  <c r="CV35" i="20"/>
  <c r="CP35" i="20"/>
  <c r="CJ35" i="20"/>
  <c r="CD35" i="20"/>
  <c r="BX35" i="20"/>
  <c r="BR35" i="20"/>
  <c r="BL35" i="20"/>
  <c r="BF35" i="20"/>
  <c r="AZ35" i="20"/>
  <c r="AT35" i="20"/>
  <c r="AN35" i="20"/>
  <c r="AH35" i="20"/>
  <c r="AB35" i="20"/>
  <c r="EY34" i="20"/>
  <c r="EX34" i="20"/>
  <c r="ER34" i="20"/>
  <c r="EL34" i="20"/>
  <c r="EF34" i="20"/>
  <c r="DZ34" i="20"/>
  <c r="DT34" i="20"/>
  <c r="DN34" i="20"/>
  <c r="DH34" i="20"/>
  <c r="DB34" i="20"/>
  <c r="CV34" i="20"/>
  <c r="CP34" i="20"/>
  <c r="CJ34" i="20"/>
  <c r="CD34" i="20"/>
  <c r="BX34" i="20"/>
  <c r="BR34" i="20"/>
  <c r="BL34" i="20"/>
  <c r="BF34" i="20"/>
  <c r="AZ34" i="20"/>
  <c r="AT34" i="20"/>
  <c r="AN34" i="20"/>
  <c r="AH34" i="20"/>
  <c r="AB34" i="20"/>
  <c r="AA34" i="20"/>
  <c r="Z34" i="20"/>
  <c r="EY33" i="20"/>
  <c r="EX33" i="20"/>
  <c r="ER33" i="20"/>
  <c r="EL33" i="20"/>
  <c r="EF33" i="20"/>
  <c r="DZ33" i="20"/>
  <c r="DT33" i="20"/>
  <c r="DN33" i="20"/>
  <c r="DH33" i="20"/>
  <c r="DB33" i="20"/>
  <c r="CV33" i="20"/>
  <c r="CP33" i="20"/>
  <c r="CJ33" i="20"/>
  <c r="CD33" i="20"/>
  <c r="BX33" i="20"/>
  <c r="BR33" i="20"/>
  <c r="BL33" i="20"/>
  <c r="BF33" i="20"/>
  <c r="AZ33" i="20"/>
  <c r="AT33" i="20"/>
  <c r="AN33" i="20"/>
  <c r="AH33" i="20"/>
  <c r="AB33" i="20"/>
  <c r="EY32" i="20"/>
  <c r="EX32" i="20"/>
  <c r="ER32" i="20"/>
  <c r="EL32" i="20"/>
  <c r="EF32" i="20"/>
  <c r="DZ32" i="20"/>
  <c r="DT32" i="20"/>
  <c r="DN32" i="20"/>
  <c r="DH32" i="20"/>
  <c r="DB32" i="20"/>
  <c r="CV32" i="20"/>
  <c r="CP32" i="20"/>
  <c r="CJ32" i="20"/>
  <c r="CD32" i="20"/>
  <c r="BX32" i="20"/>
  <c r="BR32" i="20"/>
  <c r="BL32" i="20"/>
  <c r="BF32" i="20"/>
  <c r="AZ32" i="20"/>
  <c r="AT32" i="20"/>
  <c r="AN32" i="20"/>
  <c r="AH32" i="20"/>
  <c r="AB32" i="20"/>
  <c r="AA32" i="20"/>
  <c r="Z32" i="20"/>
  <c r="EY31" i="20"/>
  <c r="EX31" i="20"/>
  <c r="ER31" i="20"/>
  <c r="EL31" i="20"/>
  <c r="EF31" i="20"/>
  <c r="DZ31" i="20"/>
  <c r="DT31" i="20"/>
  <c r="DN31" i="20"/>
  <c r="DH31" i="20"/>
  <c r="DB31" i="20"/>
  <c r="CV31" i="20"/>
  <c r="CP31" i="20"/>
  <c r="CJ31" i="20"/>
  <c r="CD31" i="20"/>
  <c r="BX31" i="20"/>
  <c r="BR31" i="20"/>
  <c r="BL31" i="20"/>
  <c r="BF31" i="20"/>
  <c r="AZ31" i="20"/>
  <c r="AT31" i="20"/>
  <c r="AN31" i="20"/>
  <c r="AH31" i="20"/>
  <c r="AB31" i="20"/>
  <c r="EY30" i="20"/>
  <c r="EX30" i="20"/>
  <c r="ER30" i="20"/>
  <c r="EL30" i="20"/>
  <c r="EF30" i="20"/>
  <c r="DZ30" i="20"/>
  <c r="DT30" i="20"/>
  <c r="DN30" i="20"/>
  <c r="DH30" i="20"/>
  <c r="DB30" i="20"/>
  <c r="CV30" i="20"/>
  <c r="CP30" i="20"/>
  <c r="CJ30" i="20"/>
  <c r="CD30" i="20"/>
  <c r="BX30" i="20"/>
  <c r="BR30" i="20"/>
  <c r="BL30" i="20"/>
  <c r="BF30" i="20"/>
  <c r="AZ30" i="20"/>
  <c r="AT30" i="20"/>
  <c r="AN30" i="20"/>
  <c r="AH30" i="20"/>
  <c r="AB30" i="20"/>
  <c r="EY29" i="20"/>
  <c r="EX29" i="20"/>
  <c r="ER29" i="20"/>
  <c r="EL29" i="20"/>
  <c r="EF29" i="20"/>
  <c r="DZ29" i="20"/>
  <c r="DT29" i="20"/>
  <c r="DN29" i="20"/>
  <c r="DH29" i="20"/>
  <c r="DB29" i="20"/>
  <c r="CV29" i="20"/>
  <c r="CP29" i="20"/>
  <c r="CJ29" i="20"/>
  <c r="CD29" i="20"/>
  <c r="BX29" i="20"/>
  <c r="BR29" i="20"/>
  <c r="BL29" i="20"/>
  <c r="BF29" i="20"/>
  <c r="AZ29" i="20"/>
  <c r="AT29" i="20"/>
  <c r="AN29" i="20"/>
  <c r="AH29" i="20"/>
  <c r="AB29" i="20"/>
  <c r="AA29" i="20"/>
  <c r="Z29" i="20"/>
  <c r="EY28" i="20"/>
  <c r="EX28" i="20"/>
  <c r="ER28" i="20"/>
  <c r="EL28" i="20"/>
  <c r="EF28" i="20"/>
  <c r="DZ28" i="20"/>
  <c r="DT28" i="20"/>
  <c r="DN28" i="20"/>
  <c r="DH28" i="20"/>
  <c r="DB28" i="20"/>
  <c r="CV28" i="20"/>
  <c r="CP28" i="20"/>
  <c r="CJ28" i="20"/>
  <c r="CD28" i="20"/>
  <c r="BX28" i="20"/>
  <c r="BR28" i="20"/>
  <c r="BL28" i="20"/>
  <c r="BF28" i="20"/>
  <c r="AZ28" i="20"/>
  <c r="AT28" i="20"/>
  <c r="AN28" i="20"/>
  <c r="AH28" i="20"/>
  <c r="AB28" i="20"/>
  <c r="EY27" i="20"/>
  <c r="EX27" i="20"/>
  <c r="ER27" i="20"/>
  <c r="EL27" i="20"/>
  <c r="EF27" i="20"/>
  <c r="DZ27" i="20"/>
  <c r="DT27" i="20"/>
  <c r="DN27" i="20"/>
  <c r="DH27" i="20"/>
  <c r="DB27" i="20"/>
  <c r="CV27" i="20"/>
  <c r="CP27" i="20"/>
  <c r="CJ27" i="20"/>
  <c r="CD27" i="20"/>
  <c r="BX27" i="20"/>
  <c r="BR27" i="20"/>
  <c r="BL27" i="20"/>
  <c r="BF27" i="20"/>
  <c r="AZ27" i="20"/>
  <c r="AT27" i="20"/>
  <c r="AN27" i="20"/>
  <c r="AH27" i="20"/>
  <c r="AB27" i="20"/>
  <c r="EY26" i="20"/>
  <c r="EX26" i="20"/>
  <c r="ER26" i="20"/>
  <c r="EL26" i="20"/>
  <c r="EF26" i="20"/>
  <c r="DZ26" i="20"/>
  <c r="DT26" i="20"/>
  <c r="DN26" i="20"/>
  <c r="DH26" i="20"/>
  <c r="DB26" i="20"/>
  <c r="CV26" i="20"/>
  <c r="CP26" i="20"/>
  <c r="CJ26" i="20"/>
  <c r="CD26" i="20"/>
  <c r="BX26" i="20"/>
  <c r="BR26" i="20"/>
  <c r="BL26" i="20"/>
  <c r="BF26" i="20"/>
  <c r="AZ26" i="20"/>
  <c r="AT26" i="20"/>
  <c r="AN26" i="20"/>
  <c r="AH26" i="20"/>
  <c r="AB26" i="20"/>
  <c r="AA26" i="20"/>
  <c r="Z26" i="20"/>
  <c r="EY25" i="20"/>
  <c r="EX25" i="20"/>
  <c r="ER25" i="20"/>
  <c r="EL25" i="20"/>
  <c r="EF25" i="20"/>
  <c r="DZ25" i="20"/>
  <c r="DT25" i="20"/>
  <c r="DN25" i="20"/>
  <c r="DH25" i="20"/>
  <c r="DB25" i="20"/>
  <c r="CV25" i="20"/>
  <c r="CP25" i="20"/>
  <c r="CJ25" i="20"/>
  <c r="CD25" i="20"/>
  <c r="BX25" i="20"/>
  <c r="BR25" i="20"/>
  <c r="BL25" i="20"/>
  <c r="BF25" i="20"/>
  <c r="AZ25" i="20"/>
  <c r="AT25" i="20"/>
  <c r="AN25" i="20"/>
  <c r="AH25" i="20"/>
  <c r="AB25" i="20"/>
  <c r="AA25" i="20"/>
  <c r="Z25" i="20"/>
  <c r="EY24" i="20"/>
  <c r="EX24" i="20"/>
  <c r="ER24" i="20"/>
  <c r="EL24" i="20"/>
  <c r="EF24" i="20"/>
  <c r="DZ24" i="20"/>
  <c r="DT24" i="20"/>
  <c r="DN24" i="20"/>
  <c r="DH24" i="20"/>
  <c r="DB24" i="20"/>
  <c r="CV24" i="20"/>
  <c r="CP24" i="20"/>
  <c r="CJ24" i="20"/>
  <c r="CD24" i="20"/>
  <c r="BX24" i="20"/>
  <c r="BR24" i="20"/>
  <c r="BL24" i="20"/>
  <c r="BF24" i="20"/>
  <c r="AZ24" i="20"/>
  <c r="AT24" i="20"/>
  <c r="AN24" i="20"/>
  <c r="AH24" i="20"/>
  <c r="AB24" i="20"/>
  <c r="EY23" i="20"/>
  <c r="EX23" i="20"/>
  <c r="ER23" i="20"/>
  <c r="EL23" i="20"/>
  <c r="EF23" i="20"/>
  <c r="DZ23" i="20"/>
  <c r="DT23" i="20"/>
  <c r="DN23" i="20"/>
  <c r="DH23" i="20"/>
  <c r="DB23" i="20"/>
  <c r="CV23" i="20"/>
  <c r="CP23" i="20"/>
  <c r="CJ23" i="20"/>
  <c r="CD23" i="20"/>
  <c r="BX23" i="20"/>
  <c r="BR23" i="20"/>
  <c r="BL23" i="20"/>
  <c r="BF23" i="20"/>
  <c r="AZ23" i="20"/>
  <c r="AT23" i="20"/>
  <c r="AN23" i="20"/>
  <c r="AH23" i="20"/>
  <c r="AB23" i="20"/>
  <c r="EY22" i="20"/>
  <c r="EX22" i="20"/>
  <c r="ER22" i="20"/>
  <c r="EL22" i="20"/>
  <c r="EF22" i="20"/>
  <c r="DZ22" i="20"/>
  <c r="DT22" i="20"/>
  <c r="DN22" i="20"/>
  <c r="DH22" i="20"/>
  <c r="DB22" i="20"/>
  <c r="CV22" i="20"/>
  <c r="CP22" i="20"/>
  <c r="CJ22" i="20"/>
  <c r="CD22" i="20"/>
  <c r="BX22" i="20"/>
  <c r="BR22" i="20"/>
  <c r="BL22" i="20"/>
  <c r="BF22" i="20"/>
  <c r="AZ22" i="20"/>
  <c r="AT22" i="20"/>
  <c r="AN22" i="20"/>
  <c r="AH22" i="20"/>
  <c r="AB22" i="20"/>
  <c r="EY21" i="20"/>
  <c r="EX21" i="20"/>
  <c r="ER21" i="20"/>
  <c r="EL21" i="20"/>
  <c r="EF21" i="20"/>
  <c r="DZ21" i="20"/>
  <c r="DT21" i="20"/>
  <c r="DN21" i="20"/>
  <c r="DH21" i="20"/>
  <c r="DB21" i="20"/>
  <c r="CV21" i="20"/>
  <c r="CP21" i="20"/>
  <c r="CJ21" i="20"/>
  <c r="CD21" i="20"/>
  <c r="BX21" i="20"/>
  <c r="BR21" i="20"/>
  <c r="BL21" i="20"/>
  <c r="BF21" i="20"/>
  <c r="AZ21" i="20"/>
  <c r="AT21" i="20"/>
  <c r="AN21" i="20"/>
  <c r="AH21" i="20"/>
  <c r="AB21" i="20"/>
  <c r="EY20" i="20"/>
  <c r="EX20" i="20"/>
  <c r="ER20" i="20"/>
  <c r="EL20" i="20"/>
  <c r="EF20" i="20"/>
  <c r="DZ20" i="20"/>
  <c r="DT20" i="20"/>
  <c r="DN20" i="20"/>
  <c r="DH20" i="20"/>
  <c r="DB20" i="20"/>
  <c r="CV20" i="20"/>
  <c r="CP20" i="20"/>
  <c r="CJ20" i="20"/>
  <c r="CD20" i="20"/>
  <c r="BX20" i="20"/>
  <c r="BR20" i="20"/>
  <c r="BL20" i="20"/>
  <c r="BF20" i="20"/>
  <c r="AZ20" i="20"/>
  <c r="AT20" i="20"/>
  <c r="AN20" i="20"/>
  <c r="AH20" i="20"/>
  <c r="AB20" i="20"/>
  <c r="EY19" i="20"/>
  <c r="EX19" i="20"/>
  <c r="ER19" i="20"/>
  <c r="EL19" i="20"/>
  <c r="EF19" i="20"/>
  <c r="DZ19" i="20"/>
  <c r="DT19" i="20"/>
  <c r="DN19" i="20"/>
  <c r="DH19" i="20"/>
  <c r="DB19" i="20"/>
  <c r="CV19" i="20"/>
  <c r="CP19" i="20"/>
  <c r="CJ19" i="20"/>
  <c r="CD19" i="20"/>
  <c r="BX19" i="20"/>
  <c r="BR19" i="20"/>
  <c r="BL19" i="20"/>
  <c r="BF19" i="20"/>
  <c r="AZ19" i="20"/>
  <c r="AT19" i="20"/>
  <c r="AN19" i="20"/>
  <c r="AH19" i="20"/>
  <c r="AB19" i="20"/>
  <c r="EY18" i="20"/>
  <c r="EX18" i="20"/>
  <c r="ER18" i="20"/>
  <c r="EL18" i="20"/>
  <c r="EF18" i="20"/>
  <c r="DZ18" i="20"/>
  <c r="DT18" i="20"/>
  <c r="DN18" i="20"/>
  <c r="DH18" i="20"/>
  <c r="DB18" i="20"/>
  <c r="CV18" i="20"/>
  <c r="CP18" i="20"/>
  <c r="CJ18" i="20"/>
  <c r="CD18" i="20"/>
  <c r="BX18" i="20"/>
  <c r="BR18" i="20"/>
  <c r="BL18" i="20"/>
  <c r="BF18" i="20"/>
  <c r="AZ18" i="20"/>
  <c r="AT18" i="20"/>
  <c r="AN18" i="20"/>
  <c r="AH18" i="20"/>
  <c r="AB18" i="20"/>
  <c r="EY17" i="20"/>
  <c r="EX17" i="20"/>
  <c r="ER17" i="20"/>
  <c r="EL17" i="20"/>
  <c r="EF17" i="20"/>
  <c r="DZ17" i="20"/>
  <c r="DT17" i="20"/>
  <c r="DN17" i="20"/>
  <c r="DH17" i="20"/>
  <c r="DB17" i="20"/>
  <c r="CV17" i="20"/>
  <c r="CP17" i="20"/>
  <c r="CJ17" i="20"/>
  <c r="CD17" i="20"/>
  <c r="BX17" i="20"/>
  <c r="BR17" i="20"/>
  <c r="BL17" i="20"/>
  <c r="BF17" i="20"/>
  <c r="AZ17" i="20"/>
  <c r="AT17" i="20"/>
  <c r="AN17" i="20"/>
  <c r="AH17" i="20"/>
  <c r="AB17" i="20"/>
  <c r="EY16" i="20"/>
  <c r="EX16" i="20"/>
  <c r="ER16" i="20"/>
  <c r="EL16" i="20"/>
  <c r="EF16" i="20"/>
  <c r="DZ16" i="20"/>
  <c r="DT16" i="20"/>
  <c r="DN16" i="20"/>
  <c r="DH16" i="20"/>
  <c r="DB16" i="20"/>
  <c r="CV16" i="20"/>
  <c r="CP16" i="20"/>
  <c r="CJ16" i="20"/>
  <c r="CD16" i="20"/>
  <c r="BX16" i="20"/>
  <c r="BR16" i="20"/>
  <c r="BL16" i="20"/>
  <c r="BF16" i="20"/>
  <c r="AZ16" i="20"/>
  <c r="AT16" i="20"/>
  <c r="AN16" i="20"/>
  <c r="AH16" i="20"/>
  <c r="AB16" i="20"/>
  <c r="EY15" i="20"/>
  <c r="EX15" i="20"/>
  <c r="ER15" i="20"/>
  <c r="EL15" i="20"/>
  <c r="EF15" i="20"/>
  <c r="DZ15" i="20"/>
  <c r="DT15" i="20"/>
  <c r="DN15" i="20"/>
  <c r="DH15" i="20"/>
  <c r="DB15" i="20"/>
  <c r="CV15" i="20"/>
  <c r="CP15" i="20"/>
  <c r="CJ15" i="20"/>
  <c r="CD15" i="20"/>
  <c r="BX15" i="20"/>
  <c r="BR15" i="20"/>
  <c r="BL15" i="20"/>
  <c r="BF15" i="20"/>
  <c r="AZ15" i="20"/>
  <c r="AT15" i="20"/>
  <c r="AN15" i="20"/>
  <c r="AH15" i="20"/>
  <c r="AB15" i="20"/>
  <c r="EY14" i="20"/>
  <c r="EX14" i="20"/>
  <c r="ER14" i="20"/>
  <c r="EL14" i="20"/>
  <c r="EF14" i="20"/>
  <c r="DZ14" i="20"/>
  <c r="DT14" i="20"/>
  <c r="DN14" i="20"/>
  <c r="DH14" i="20"/>
  <c r="DB14" i="20"/>
  <c r="CV14" i="20"/>
  <c r="CP14" i="20"/>
  <c r="CJ14" i="20"/>
  <c r="CD14" i="20"/>
  <c r="BX14" i="20"/>
  <c r="BR14" i="20"/>
  <c r="BL14" i="20"/>
  <c r="BF14" i="20"/>
  <c r="AZ14" i="20"/>
  <c r="AT14" i="20"/>
  <c r="AN14" i="20"/>
  <c r="AH14" i="20"/>
  <c r="AB14" i="20"/>
  <c r="AA14" i="20"/>
  <c r="Z14" i="20"/>
  <c r="EY13" i="20"/>
  <c r="EX13" i="20"/>
  <c r="ER13" i="20"/>
  <c r="EL13" i="20"/>
  <c r="EF13" i="20"/>
  <c r="DZ13" i="20"/>
  <c r="DT13" i="20"/>
  <c r="DN13" i="20"/>
  <c r="DH13" i="20"/>
  <c r="DB13" i="20"/>
  <c r="CV13" i="20"/>
  <c r="CP13" i="20"/>
  <c r="CJ13" i="20"/>
  <c r="CD13" i="20"/>
  <c r="BX13" i="20"/>
  <c r="BR13" i="20"/>
  <c r="BL13" i="20"/>
  <c r="BF13" i="20"/>
  <c r="AZ13" i="20"/>
  <c r="AT13" i="20"/>
  <c r="AN13" i="20"/>
  <c r="AH13" i="20"/>
  <c r="AB13" i="20"/>
  <c r="AA13" i="20"/>
  <c r="Z13" i="20"/>
  <c r="EY12" i="20"/>
  <c r="EX12" i="20"/>
  <c r="ER12" i="20"/>
  <c r="EL12" i="20"/>
  <c r="EF12" i="20"/>
  <c r="DZ12" i="20"/>
  <c r="DT12" i="20"/>
  <c r="DN12" i="20"/>
  <c r="DH12" i="20"/>
  <c r="DB12" i="20"/>
  <c r="CV12" i="20"/>
  <c r="CP12" i="20"/>
  <c r="CJ12" i="20"/>
  <c r="CD12" i="20"/>
  <c r="BX12" i="20"/>
  <c r="BR12" i="20"/>
  <c r="BL12" i="20"/>
  <c r="BF12" i="20"/>
  <c r="AZ12" i="20"/>
  <c r="AT12" i="20"/>
  <c r="AN12" i="20"/>
  <c r="AH12" i="20"/>
  <c r="AB12" i="20"/>
  <c r="EY11" i="20"/>
  <c r="EX11" i="20"/>
  <c r="ER11" i="20"/>
  <c r="EL11" i="20"/>
  <c r="EF11" i="20"/>
  <c r="DZ11" i="20"/>
  <c r="DT11" i="20"/>
  <c r="DN11" i="20"/>
  <c r="DH11" i="20"/>
  <c r="DB11" i="20"/>
  <c r="CV11" i="20"/>
  <c r="CP11" i="20"/>
  <c r="CJ11" i="20"/>
  <c r="CD11" i="20"/>
  <c r="BX11" i="20"/>
  <c r="BR11" i="20"/>
  <c r="BL11" i="20"/>
  <c r="BF11" i="20"/>
  <c r="AZ11" i="20"/>
  <c r="AT11" i="20"/>
  <c r="AN11" i="20"/>
  <c r="AH11" i="20"/>
  <c r="AB11" i="20"/>
  <c r="EY10" i="20"/>
  <c r="EX10" i="20"/>
  <c r="ER10" i="20"/>
  <c r="EL10" i="20"/>
  <c r="EF10" i="20"/>
  <c r="DZ10" i="20"/>
  <c r="DT10" i="20"/>
  <c r="DN10" i="20"/>
  <c r="DH10" i="20"/>
  <c r="DB10" i="20"/>
  <c r="CV10" i="20"/>
  <c r="CP10" i="20"/>
  <c r="CJ10" i="20"/>
  <c r="CD10" i="20"/>
  <c r="BX10" i="20"/>
  <c r="BR10" i="20"/>
  <c r="BL10" i="20"/>
  <c r="BF10" i="20"/>
  <c r="AZ10" i="20"/>
  <c r="AT10" i="20"/>
  <c r="AN10" i="20"/>
  <c r="AH10" i="20"/>
  <c r="AB10" i="20"/>
  <c r="EY9" i="20"/>
  <c r="EX9" i="20"/>
  <c r="ER9" i="20"/>
  <c r="EL9" i="20"/>
  <c r="EF9" i="20"/>
  <c r="DZ9" i="20"/>
  <c r="DT9" i="20"/>
  <c r="DN9" i="20"/>
  <c r="DH9" i="20"/>
  <c r="DB9" i="20"/>
  <c r="CV9" i="20"/>
  <c r="CP9" i="20"/>
  <c r="CJ9" i="20"/>
  <c r="CD9" i="20"/>
  <c r="BX9" i="20"/>
  <c r="BR9" i="20"/>
  <c r="BL9" i="20"/>
  <c r="BF9" i="20"/>
  <c r="AZ9" i="20"/>
  <c r="AT9" i="20"/>
  <c r="AN9" i="20"/>
  <c r="AH9" i="20"/>
  <c r="AB9" i="20"/>
  <c r="EY8" i="20"/>
  <c r="EX8" i="20"/>
  <c r="ER8" i="20"/>
  <c r="EL8" i="20"/>
  <c r="EF8" i="20"/>
  <c r="DZ8" i="20"/>
  <c r="DT8" i="20"/>
  <c r="DN8" i="20"/>
  <c r="DH8" i="20"/>
  <c r="DB8" i="20"/>
  <c r="CV8" i="20"/>
  <c r="CP8" i="20"/>
  <c r="CJ8" i="20"/>
  <c r="CD8" i="20"/>
  <c r="BX8" i="20"/>
  <c r="BR8" i="20"/>
  <c r="BL8" i="20"/>
  <c r="BF8" i="20"/>
  <c r="AZ8" i="20"/>
  <c r="AT8" i="20"/>
  <c r="AN8" i="20"/>
  <c r="AH8" i="20"/>
  <c r="AB8" i="20"/>
  <c r="AA8" i="20"/>
  <c r="Z8" i="20"/>
  <c r="EY7" i="20"/>
  <c r="EX7" i="20"/>
  <c r="ER7" i="20"/>
  <c r="EL7" i="20"/>
  <c r="EF7" i="20"/>
  <c r="DZ7" i="20"/>
  <c r="DT7" i="20"/>
  <c r="DN7" i="20"/>
  <c r="DH7" i="20"/>
  <c r="DB7" i="20"/>
  <c r="CV7" i="20"/>
  <c r="CP7" i="20"/>
  <c r="CJ7" i="20"/>
  <c r="CD7" i="20"/>
  <c r="BX7" i="20"/>
  <c r="BR7" i="20"/>
  <c r="BL7" i="20"/>
  <c r="BF7" i="20"/>
  <c r="AZ7" i="20"/>
  <c r="AT7" i="20"/>
  <c r="AN7" i="20"/>
  <c r="AH7" i="20"/>
  <c r="AB7" i="20"/>
  <c r="EY6" i="20"/>
  <c r="EX6" i="20"/>
  <c r="ER6" i="20"/>
  <c r="EL6" i="20"/>
  <c r="EF6" i="20"/>
  <c r="DZ6" i="20"/>
  <c r="DT6" i="20"/>
  <c r="DN6" i="20"/>
  <c r="DH6" i="20"/>
  <c r="DB6" i="20"/>
  <c r="CV6" i="20"/>
  <c r="CP6" i="20"/>
  <c r="CJ6" i="20"/>
  <c r="CD6" i="20"/>
  <c r="BX6" i="20"/>
  <c r="BR6" i="20"/>
  <c r="BL6" i="20"/>
  <c r="BF6" i="20"/>
  <c r="AZ6" i="20"/>
  <c r="AT6" i="20"/>
  <c r="AN6" i="20"/>
  <c r="AH6" i="20"/>
  <c r="AB6" i="20"/>
  <c r="AA6" i="20"/>
  <c r="Z6" i="20"/>
  <c r="EY5" i="20"/>
  <c r="EX5" i="20"/>
  <c r="ER5" i="20"/>
  <c r="EL5" i="20"/>
  <c r="EF5" i="20"/>
  <c r="DZ5" i="20"/>
  <c r="DT5" i="20"/>
  <c r="DN5" i="20"/>
  <c r="DH5" i="20"/>
  <c r="DB5" i="20"/>
  <c r="CV5" i="20"/>
  <c r="CP5" i="20"/>
  <c r="CJ5" i="20"/>
  <c r="CD5" i="20"/>
  <c r="BX5" i="20"/>
  <c r="BR5" i="20"/>
  <c r="BL5" i="20"/>
  <c r="BF5" i="20"/>
  <c r="AZ5" i="20"/>
  <c r="AT5" i="20"/>
  <c r="AN5" i="20"/>
  <c r="AH5" i="20"/>
  <c r="AB5" i="20"/>
  <c r="EY4" i="20"/>
  <c r="EX4" i="20"/>
  <c r="ER4" i="20"/>
  <c r="EL4" i="20"/>
  <c r="EF4" i="20"/>
  <c r="DZ4" i="20"/>
  <c r="DT4" i="20"/>
  <c r="DN4" i="20"/>
  <c r="DH4" i="20"/>
  <c r="DB4" i="20"/>
  <c r="CV4" i="20"/>
  <c r="CP4" i="20"/>
  <c r="CJ4" i="20"/>
  <c r="CD4" i="20"/>
  <c r="BX4" i="20"/>
  <c r="BR4" i="20"/>
  <c r="BL4" i="20"/>
  <c r="BF4" i="20"/>
  <c r="AZ4" i="20"/>
  <c r="AT4" i="20"/>
  <c r="AN4" i="20"/>
  <c r="AH4" i="20"/>
  <c r="AB4" i="20"/>
  <c r="AA4" i="20"/>
  <c r="Z4" i="20"/>
  <c r="EY3" i="20"/>
  <c r="EX3" i="20"/>
  <c r="ER3" i="20"/>
  <c r="EL3" i="20"/>
  <c r="EF3" i="20"/>
  <c r="DZ3" i="20"/>
  <c r="DT3" i="20"/>
  <c r="DN3" i="20"/>
  <c r="DH3" i="20"/>
  <c r="DB3" i="20"/>
  <c r="CV3" i="20"/>
  <c r="CP3" i="20"/>
  <c r="CJ3" i="20"/>
  <c r="CD3" i="20"/>
  <c r="BX3" i="20"/>
  <c r="BR3" i="20"/>
  <c r="BL3" i="20"/>
  <c r="BF3" i="20"/>
  <c r="AZ3" i="20"/>
  <c r="AT3" i="20"/>
  <c r="AN3" i="20"/>
  <c r="AH3" i="20"/>
  <c r="AB3" i="20"/>
  <c r="AA3" i="20"/>
  <c r="Z3" i="20"/>
  <c r="EY2" i="20"/>
  <c r="EX2" i="20"/>
  <c r="ER2" i="20"/>
  <c r="EL2" i="20"/>
  <c r="EF2" i="20"/>
  <c r="DZ2" i="20"/>
  <c r="DT2" i="20"/>
  <c r="DN2" i="20"/>
  <c r="DH2" i="20"/>
  <c r="DB2" i="20"/>
  <c r="CV2" i="20"/>
  <c r="CP2" i="20"/>
  <c r="CJ2" i="20"/>
  <c r="CD2" i="20"/>
  <c r="BX2" i="20"/>
  <c r="BR2" i="20"/>
  <c r="BL2" i="20"/>
  <c r="BF2" i="20"/>
  <c r="AZ2" i="20"/>
  <c r="AT2" i="20"/>
  <c r="AN2" i="20"/>
  <c r="AH2" i="20"/>
  <c r="AB2" i="20"/>
  <c r="V2" i="20"/>
  <c r="V3" i="20"/>
  <c r="V4" i="20"/>
  <c r="V5" i="20"/>
  <c r="V6" i="20"/>
  <c r="V7" i="20"/>
  <c r="V8" i="20"/>
  <c r="V9" i="20"/>
  <c r="V10" i="20"/>
  <c r="V11" i="20"/>
  <c r="V12" i="20"/>
  <c r="V13" i="20"/>
  <c r="V14" i="20"/>
  <c r="V15" i="20"/>
  <c r="V16" i="20"/>
  <c r="V17" i="20"/>
  <c r="V18" i="20"/>
  <c r="V19" i="20"/>
  <c r="V20" i="20"/>
  <c r="V21" i="20"/>
  <c r="V22" i="20"/>
  <c r="V23" i="20"/>
  <c r="V24" i="20"/>
  <c r="V25" i="20"/>
  <c r="V26" i="20"/>
  <c r="V27" i="20"/>
  <c r="V28" i="20"/>
  <c r="V29" i="20"/>
  <c r="V30" i="20"/>
  <c r="V31" i="20"/>
  <c r="V32" i="20"/>
  <c r="V33" i="20"/>
  <c r="V34" i="20"/>
  <c r="V35" i="20"/>
  <c r="V36" i="20"/>
  <c r="V37" i="20"/>
  <c r="V38" i="20"/>
  <c r="V39" i="20"/>
  <c r="V40" i="20"/>
  <c r="V41" i="20"/>
  <c r="V42" i="20"/>
  <c r="V43" i="20"/>
  <c r="V44" i="20"/>
  <c r="V45" i="20"/>
  <c r="V46" i="20"/>
  <c r="V47" i="20"/>
  <c r="V48" i="20" l="1"/>
  <c r="V49" i="20"/>
  <c r="V50" i="20"/>
  <c r="V51" i="20"/>
  <c r="V52" i="20"/>
  <c r="V53" i="20"/>
  <c r="V54" i="20"/>
  <c r="V55" i="20"/>
  <c r="V56" i="20"/>
  <c r="V57" i="20"/>
  <c r="V58" i="20"/>
  <c r="V59" i="20"/>
  <c r="V60" i="20"/>
  <c r="V61" i="20"/>
  <c r="V62" i="20"/>
  <c r="V63" i="20"/>
  <c r="V64" i="20"/>
  <c r="V65" i="20"/>
  <c r="V66" i="20"/>
  <c r="V67" i="20"/>
  <c r="V68" i="20"/>
  <c r="V69" i="20"/>
  <c r="V70" i="20"/>
  <c r="V71" i="20"/>
  <c r="V72" i="20"/>
  <c r="V73" i="20"/>
  <c r="V74" i="20"/>
  <c r="V75" i="20"/>
  <c r="V76" i="20"/>
  <c r="V77" i="20"/>
  <c r="V78" i="20"/>
  <c r="V79" i="20"/>
  <c r="V80" i="20"/>
  <c r="V81" i="20"/>
  <c r="V82" i="20"/>
  <c r="V83" i="20"/>
  <c r="AI2" i="19" l="1"/>
  <c r="BT42" i="7" s="1"/>
  <c r="S83" i="20"/>
  <c r="R83" i="20"/>
  <c r="S82" i="20"/>
  <c r="R82" i="20"/>
  <c r="S81" i="20"/>
  <c r="R81" i="20"/>
  <c r="S80" i="20"/>
  <c r="R80" i="20"/>
  <c r="S79" i="20"/>
  <c r="R79" i="20"/>
  <c r="S78" i="20"/>
  <c r="R78" i="20"/>
  <c r="S77" i="20"/>
  <c r="R77" i="20"/>
  <c r="S76" i="20"/>
  <c r="R76" i="20"/>
  <c r="S75" i="20"/>
  <c r="R75" i="20"/>
  <c r="S74" i="20"/>
  <c r="R74" i="20"/>
  <c r="S73" i="20"/>
  <c r="R73" i="20"/>
  <c r="S72" i="20"/>
  <c r="R72" i="20"/>
  <c r="S71" i="20"/>
  <c r="R71" i="20"/>
  <c r="S70" i="20"/>
  <c r="R70" i="20"/>
  <c r="S69" i="20"/>
  <c r="R69" i="20"/>
  <c r="T68" i="20"/>
  <c r="S68" i="20"/>
  <c r="R68" i="20"/>
  <c r="S67" i="20"/>
  <c r="R67" i="20"/>
  <c r="S66" i="20"/>
  <c r="R66" i="20"/>
  <c r="S65" i="20"/>
  <c r="R65" i="20"/>
  <c r="S64" i="20"/>
  <c r="R64" i="20"/>
  <c r="S63" i="20"/>
  <c r="R63" i="20"/>
  <c r="S62" i="20"/>
  <c r="R62" i="20"/>
  <c r="S61" i="20"/>
  <c r="R61" i="20"/>
  <c r="S60" i="20"/>
  <c r="R60" i="20"/>
  <c r="S59" i="20"/>
  <c r="R59" i="20"/>
  <c r="S58" i="20"/>
  <c r="R58" i="20"/>
  <c r="T57" i="20"/>
  <c r="S57" i="20"/>
  <c r="R57" i="20"/>
  <c r="S56" i="20"/>
  <c r="R56" i="20"/>
  <c r="S55" i="20"/>
  <c r="R55" i="20"/>
  <c r="S54" i="20"/>
  <c r="R54" i="20"/>
  <c r="S53" i="20"/>
  <c r="R53" i="20"/>
  <c r="S52" i="20"/>
  <c r="R52" i="20"/>
  <c r="S51" i="20"/>
  <c r="R51" i="20"/>
  <c r="S50" i="20"/>
  <c r="R50" i="20"/>
  <c r="S49" i="20"/>
  <c r="R49" i="20"/>
  <c r="S48" i="20"/>
  <c r="R48" i="20"/>
  <c r="S47" i="20"/>
  <c r="R47" i="20"/>
  <c r="S46" i="20"/>
  <c r="R46" i="20"/>
  <c r="T45" i="20"/>
  <c r="S45" i="20"/>
  <c r="R45" i="20"/>
  <c r="S44" i="20"/>
  <c r="R44" i="20"/>
  <c r="S43" i="20"/>
  <c r="R43" i="20"/>
  <c r="S42" i="20"/>
  <c r="R42" i="20"/>
  <c r="S41" i="20"/>
  <c r="R41" i="20"/>
  <c r="S40" i="20"/>
  <c r="R40" i="20"/>
  <c r="S39" i="20"/>
  <c r="R39" i="20"/>
  <c r="S38" i="20"/>
  <c r="R38" i="20"/>
  <c r="S37" i="20"/>
  <c r="R37" i="20"/>
  <c r="S36" i="20"/>
  <c r="R36" i="20"/>
  <c r="S35" i="20"/>
  <c r="R35" i="20"/>
  <c r="S34" i="20"/>
  <c r="R34" i="20"/>
  <c r="T33" i="20"/>
  <c r="S33" i="20"/>
  <c r="R33" i="20"/>
  <c r="S32" i="20"/>
  <c r="R32" i="20"/>
  <c r="S31" i="20"/>
  <c r="R31" i="20"/>
  <c r="S30" i="20"/>
  <c r="R30" i="20"/>
  <c r="S29" i="20"/>
  <c r="R29" i="20"/>
  <c r="S28" i="20"/>
  <c r="R28" i="20"/>
  <c r="S27" i="20"/>
  <c r="R27" i="20"/>
  <c r="S26" i="20"/>
  <c r="R26" i="20"/>
  <c r="S25" i="20"/>
  <c r="R25" i="20"/>
  <c r="S24" i="20"/>
  <c r="R24" i="20"/>
  <c r="S23" i="20"/>
  <c r="R23" i="20"/>
  <c r="S22" i="20"/>
  <c r="R22" i="20"/>
  <c r="T21" i="20"/>
  <c r="S21" i="20"/>
  <c r="R21" i="20"/>
  <c r="S20" i="20"/>
  <c r="R20" i="20"/>
  <c r="S19" i="20"/>
  <c r="R19" i="20"/>
  <c r="S18" i="20"/>
  <c r="R18" i="20"/>
  <c r="S17" i="20"/>
  <c r="R17" i="20"/>
  <c r="S16" i="20"/>
  <c r="R16" i="20"/>
  <c r="S15" i="20"/>
  <c r="R15" i="20"/>
  <c r="S14" i="20"/>
  <c r="R14" i="20"/>
  <c r="S13" i="20"/>
  <c r="R13" i="20"/>
  <c r="S12" i="20"/>
  <c r="R12" i="20"/>
  <c r="S11" i="20"/>
  <c r="R11" i="20"/>
  <c r="S10" i="20"/>
  <c r="R10" i="20"/>
  <c r="T9" i="20"/>
  <c r="S9" i="20"/>
  <c r="R9" i="20"/>
  <c r="S8" i="20"/>
  <c r="R8" i="20"/>
  <c r="S7" i="20"/>
  <c r="R7" i="20"/>
  <c r="S6" i="20"/>
  <c r="R6" i="20"/>
  <c r="S5" i="20"/>
  <c r="R5" i="20"/>
  <c r="S4" i="20"/>
  <c r="R4" i="20"/>
  <c r="S3" i="20"/>
  <c r="R3" i="20"/>
  <c r="S2" i="20"/>
  <c r="R2" i="20"/>
  <c r="CW42" i="7" l="1"/>
  <c r="T8" i="20"/>
  <c r="T10" i="20"/>
  <c r="T22" i="20"/>
  <c r="T34" i="20"/>
  <c r="T46" i="20"/>
  <c r="T58" i="20"/>
  <c r="T69" i="20"/>
  <c r="T81" i="20"/>
  <c r="T11" i="20"/>
  <c r="T23" i="20"/>
  <c r="T35" i="20"/>
  <c r="T47" i="20"/>
  <c r="T59" i="20"/>
  <c r="T70" i="20"/>
  <c r="T82" i="20"/>
  <c r="T80" i="20"/>
  <c r="T12" i="20"/>
  <c r="T24" i="20"/>
  <c r="T36" i="20"/>
  <c r="T48" i="20"/>
  <c r="T60" i="20"/>
  <c r="T71" i="20"/>
  <c r="T83" i="20"/>
  <c r="T13" i="20"/>
  <c r="T25" i="20"/>
  <c r="T37" i="20"/>
  <c r="T49" i="20"/>
  <c r="T61" i="20"/>
  <c r="T72" i="20"/>
  <c r="T38" i="20"/>
  <c r="T50" i="20"/>
  <c r="T62" i="20"/>
  <c r="T73" i="20"/>
  <c r="T3" i="20"/>
  <c r="T15" i="20"/>
  <c r="T27" i="20"/>
  <c r="T39" i="20"/>
  <c r="T51" i="20"/>
  <c r="T63" i="20"/>
  <c r="T74" i="20"/>
  <c r="T2" i="20"/>
  <c r="T4" i="20"/>
  <c r="T16" i="20"/>
  <c r="T28" i="20"/>
  <c r="T40" i="20"/>
  <c r="T52" i="20"/>
  <c r="T64" i="20"/>
  <c r="T75" i="20"/>
  <c r="T17" i="20"/>
  <c r="T29" i="20"/>
  <c r="T41" i="20"/>
  <c r="T53" i="20"/>
  <c r="T76" i="20"/>
  <c r="T6" i="20"/>
  <c r="T18" i="20"/>
  <c r="T30" i="20"/>
  <c r="T42" i="20"/>
  <c r="T54" i="20"/>
  <c r="T65" i="20"/>
  <c r="T77" i="20"/>
  <c r="T5" i="20"/>
  <c r="T7" i="20"/>
  <c r="T19" i="20"/>
  <c r="T31" i="20"/>
  <c r="T43" i="20"/>
  <c r="T55" i="20"/>
  <c r="T66" i="20"/>
  <c r="T78" i="20"/>
  <c r="T14" i="20"/>
  <c r="T26" i="20"/>
  <c r="T20" i="20"/>
  <c r="T32" i="20"/>
  <c r="T44" i="20"/>
  <c r="T56" i="20"/>
  <c r="T67" i="20"/>
  <c r="T79" i="20"/>
  <c r="BG224" i="14"/>
  <c r="BB224" i="14"/>
  <c r="AU224" i="14"/>
  <c r="BG223" i="14"/>
  <c r="BB223" i="14"/>
  <c r="AU223" i="14"/>
  <c r="BG222" i="14"/>
  <c r="BB222" i="14"/>
  <c r="AU222" i="14"/>
  <c r="BG221" i="14"/>
  <c r="BB221" i="14"/>
  <c r="AU221" i="14"/>
  <c r="BG220" i="14"/>
  <c r="BB220" i="14"/>
  <c r="AU220" i="14"/>
  <c r="BG219" i="14"/>
  <c r="BB219" i="14"/>
  <c r="AU219" i="14"/>
  <c r="BG218" i="14"/>
  <c r="BB218" i="14"/>
  <c r="AU218" i="14"/>
  <c r="BG225" i="14"/>
  <c r="BB225" i="14"/>
  <c r="AU225" i="14"/>
  <c r="BG227" i="14"/>
  <c r="BB227" i="14"/>
  <c r="AU227" i="14"/>
  <c r="BG226" i="14"/>
  <c r="BB226" i="14"/>
  <c r="AU226" i="14"/>
  <c r="BG231" i="14"/>
  <c r="AU231" i="14"/>
  <c r="BG230" i="14"/>
  <c r="AU230" i="14"/>
  <c r="BG229" i="14"/>
  <c r="AU229" i="14"/>
  <c r="BG237" i="14"/>
  <c r="BB237" i="14"/>
  <c r="AU237" i="14"/>
  <c r="BG236" i="14"/>
  <c r="BB236" i="14"/>
  <c r="AU236" i="14"/>
  <c r="V213" i="18"/>
  <c r="V212" i="18"/>
  <c r="V211" i="18"/>
  <c r="V210" i="18"/>
  <c r="V209" i="18"/>
  <c r="V208" i="18"/>
  <c r="V207" i="18"/>
  <c r="V206" i="18"/>
  <c r="V205" i="18"/>
  <c r="V204" i="18"/>
  <c r="V203" i="18"/>
  <c r="V202" i="18"/>
  <c r="V201" i="18"/>
  <c r="V200" i="18"/>
  <c r="V199" i="18"/>
  <c r="V198" i="18"/>
  <c r="V197" i="18"/>
  <c r="AC197" i="18"/>
  <c r="AC198" i="18"/>
  <c r="AC199" i="18"/>
  <c r="V196" i="18" l="1"/>
  <c r="AK190" i="18"/>
  <c r="AC125" i="7" l="1"/>
  <c r="AC124" i="7"/>
  <c r="CY124" i="7" s="1"/>
  <c r="AC123" i="7"/>
  <c r="CY123" i="7" s="1"/>
  <c r="AC122" i="7"/>
  <c r="AC121" i="7"/>
  <c r="CY121" i="7" s="1"/>
  <c r="AC120" i="7"/>
  <c r="CY120" i="7" s="1"/>
  <c r="AC119" i="7"/>
  <c r="CY119" i="7" s="1"/>
  <c r="AC118" i="7"/>
  <c r="AC117" i="7"/>
  <c r="CY117" i="7" s="1"/>
  <c r="BI125" i="7"/>
  <c r="AH70" i="19" s="1"/>
  <c r="AJ70" i="19" s="1"/>
  <c r="BH125" i="7"/>
  <c r="BI124" i="7"/>
  <c r="BH124" i="7"/>
  <c r="BI123" i="7"/>
  <c r="BH123" i="7"/>
  <c r="BI122" i="7"/>
  <c r="AH63" i="19" s="1"/>
  <c r="AJ63" i="19" s="1"/>
  <c r="BH122" i="7"/>
  <c r="BI121" i="7"/>
  <c r="BH121" i="7"/>
  <c r="BI120" i="7"/>
  <c r="BH120" i="7"/>
  <c r="BI119" i="7"/>
  <c r="BH119" i="7"/>
  <c r="BI118" i="7"/>
  <c r="AH73" i="19" s="1"/>
  <c r="AJ73" i="19" s="1"/>
  <c r="BH118" i="7"/>
  <c r="BG228" i="14"/>
  <c r="AU228" i="14"/>
  <c r="BG205" i="14"/>
  <c r="BB205" i="14"/>
  <c r="AU205" i="14"/>
  <c r="BG204" i="14"/>
  <c r="BB204" i="14"/>
  <c r="AU204" i="14"/>
  <c r="BG203" i="14"/>
  <c r="BB203" i="14"/>
  <c r="AU203" i="14"/>
  <c r="BG202" i="14"/>
  <c r="BB202" i="14"/>
  <c r="AU202" i="14"/>
  <c r="BG201" i="14"/>
  <c r="BB201" i="14"/>
  <c r="AU201" i="14"/>
  <c r="BG200" i="14"/>
  <c r="BB200" i="14"/>
  <c r="AU200" i="14"/>
  <c r="BI117" i="7"/>
  <c r="BH117" i="7"/>
  <c r="BB206" i="14"/>
  <c r="BB207" i="14"/>
  <c r="BB208" i="14"/>
  <c r="BB209" i="14"/>
  <c r="BB210" i="14"/>
  <c r="BB211" i="14"/>
  <c r="BB212" i="14"/>
  <c r="BB213" i="14"/>
  <c r="BB214" i="14"/>
  <c r="BB215" i="14"/>
  <c r="BB216" i="14"/>
  <c r="BB217" i="14"/>
  <c r="BB173" i="14"/>
  <c r="BB174" i="14"/>
  <c r="BB175" i="14"/>
  <c r="BB176" i="14"/>
  <c r="BB177" i="14"/>
  <c r="BB178" i="14"/>
  <c r="BB179" i="14"/>
  <c r="BB180" i="14"/>
  <c r="BB181" i="14"/>
  <c r="BB182" i="14"/>
  <c r="BB183" i="14"/>
  <c r="BB184" i="14"/>
  <c r="BB185" i="14"/>
  <c r="BB186" i="14"/>
  <c r="BB187" i="14"/>
  <c r="BB188" i="14"/>
  <c r="BB189" i="14"/>
  <c r="BB190" i="14"/>
  <c r="BB191" i="14"/>
  <c r="BB192" i="14"/>
  <c r="BB193" i="14"/>
  <c r="BB194" i="14"/>
  <c r="BB195" i="14"/>
  <c r="BB196" i="14"/>
  <c r="BB197" i="14"/>
  <c r="BB198" i="14"/>
  <c r="BB199" i="14"/>
  <c r="V195" i="18"/>
  <c r="V194" i="18"/>
  <c r="V193" i="18"/>
  <c r="V192" i="18"/>
  <c r="V191" i="18"/>
  <c r="V190" i="18"/>
  <c r="BG199" i="14"/>
  <c r="AU199" i="14"/>
  <c r="BG198" i="14"/>
  <c r="AU198" i="14"/>
  <c r="BG197" i="14"/>
  <c r="AU197" i="14"/>
  <c r="BG196" i="14"/>
  <c r="AU196" i="14"/>
  <c r="BG195" i="14"/>
  <c r="AU195" i="14"/>
  <c r="BG194" i="14"/>
  <c r="AU194" i="14"/>
  <c r="BG193" i="14"/>
  <c r="AU193" i="14"/>
  <c r="BG192" i="14"/>
  <c r="AU192" i="14"/>
  <c r="BG191" i="14"/>
  <c r="AU191" i="14"/>
  <c r="BG190" i="14"/>
  <c r="AU190" i="14"/>
  <c r="BG189" i="14"/>
  <c r="AU189" i="14"/>
  <c r="BG188" i="14"/>
  <c r="AU188" i="14"/>
  <c r="BG187" i="14"/>
  <c r="AU187" i="14"/>
  <c r="BG186" i="14"/>
  <c r="AU186" i="14"/>
  <c r="BG185" i="14"/>
  <c r="AU185" i="14"/>
  <c r="BG184" i="14"/>
  <c r="AU184" i="14"/>
  <c r="BG183" i="14"/>
  <c r="AU183" i="14"/>
  <c r="BG182" i="14"/>
  <c r="AU182" i="14"/>
  <c r="BG181" i="14"/>
  <c r="AU181" i="14"/>
  <c r="BG180" i="14"/>
  <c r="AU180" i="14"/>
  <c r="BG179" i="14"/>
  <c r="AU179" i="14"/>
  <c r="BG178" i="14"/>
  <c r="AU178" i="14"/>
  <c r="BG177" i="14"/>
  <c r="AU177" i="14"/>
  <c r="BG176" i="14"/>
  <c r="AU176" i="14"/>
  <c r="BG175" i="14"/>
  <c r="AU175" i="14"/>
  <c r="BG174" i="14"/>
  <c r="AU174" i="14"/>
  <c r="BG173" i="14"/>
  <c r="AU173" i="14"/>
  <c r="AR5" i="7"/>
  <c r="AR6" i="7"/>
  <c r="AR7" i="7"/>
  <c r="AR8" i="7"/>
  <c r="AR9" i="7"/>
  <c r="AR10" i="7"/>
  <c r="AR11" i="7"/>
  <c r="AR12" i="7"/>
  <c r="AR13" i="7"/>
  <c r="AR14" i="7"/>
  <c r="AR15" i="7"/>
  <c r="AR16" i="7"/>
  <c r="AR17" i="7"/>
  <c r="AR18" i="7"/>
  <c r="AR19" i="7"/>
  <c r="AR20" i="7"/>
  <c r="AR21" i="7"/>
  <c r="AR22" i="7"/>
  <c r="AR23" i="7"/>
  <c r="AR24" i="7"/>
  <c r="AR25" i="7"/>
  <c r="AR26" i="7"/>
  <c r="AR27" i="7"/>
  <c r="AR28" i="7"/>
  <c r="AR29" i="7"/>
  <c r="AR30" i="7"/>
  <c r="AR31" i="7"/>
  <c r="AR32" i="7"/>
  <c r="AR33" i="7"/>
  <c r="AR34" i="7"/>
  <c r="AR35" i="7"/>
  <c r="AR36" i="7"/>
  <c r="AR37" i="7"/>
  <c r="AR38" i="7"/>
  <c r="AR39" i="7"/>
  <c r="AR40" i="7"/>
  <c r="AR41" i="7"/>
  <c r="AR42" i="7"/>
  <c r="AR43" i="7"/>
  <c r="AR44" i="7"/>
  <c r="AR45" i="7"/>
  <c r="AR46" i="7"/>
  <c r="AR47" i="7"/>
  <c r="AR48" i="7"/>
  <c r="AR49" i="7"/>
  <c r="AR50" i="7"/>
  <c r="AR51" i="7"/>
  <c r="AR52" i="7"/>
  <c r="AR53" i="7"/>
  <c r="AR54" i="7"/>
  <c r="AR55" i="7"/>
  <c r="AR56" i="7"/>
  <c r="AR57" i="7"/>
  <c r="AR58" i="7"/>
  <c r="AR59" i="7"/>
  <c r="AR60" i="7"/>
  <c r="AR61" i="7"/>
  <c r="AR62" i="7"/>
  <c r="AR63" i="7"/>
  <c r="AR64" i="7"/>
  <c r="AR65" i="7"/>
  <c r="AR66" i="7"/>
  <c r="AR67" i="7"/>
  <c r="AR68" i="7"/>
  <c r="AR69" i="7"/>
  <c r="AR70" i="7"/>
  <c r="AR71" i="7"/>
  <c r="AR72" i="7"/>
  <c r="AR73" i="7"/>
  <c r="AR74" i="7"/>
  <c r="AR75" i="7"/>
  <c r="AR76" i="7"/>
  <c r="AR77" i="7"/>
  <c r="AR78" i="7"/>
  <c r="AR79" i="7"/>
  <c r="AR80" i="7"/>
  <c r="AR81" i="7"/>
  <c r="AR82" i="7"/>
  <c r="AR83" i="7"/>
  <c r="AR84" i="7"/>
  <c r="AR85" i="7"/>
  <c r="AR86" i="7"/>
  <c r="AR87" i="7"/>
  <c r="AR88" i="7"/>
  <c r="AR89" i="7"/>
  <c r="AR90" i="7"/>
  <c r="AR91" i="7"/>
  <c r="AR92" i="7"/>
  <c r="AR93" i="7"/>
  <c r="AR94" i="7"/>
  <c r="AR95" i="7"/>
  <c r="Z47" i="28"/>
  <c r="Z83" i="28"/>
  <c r="Z203" i="28"/>
  <c r="Z239" i="28"/>
  <c r="Z241" i="28"/>
  <c r="Z245" i="28"/>
  <c r="Z253" i="28"/>
  <c r="Z289" i="28"/>
  <c r="Z347" i="28"/>
  <c r="Z361" i="28"/>
  <c r="Z383" i="28"/>
  <c r="Z401" i="28"/>
  <c r="AQ5" i="7"/>
  <c r="AQ6" i="7"/>
  <c r="AQ7" i="7"/>
  <c r="AQ8" i="7"/>
  <c r="AQ9" i="7"/>
  <c r="AQ10" i="7"/>
  <c r="AQ11" i="7"/>
  <c r="AQ12" i="7"/>
  <c r="AQ13" i="7"/>
  <c r="AQ14" i="7"/>
  <c r="AQ15" i="7"/>
  <c r="AQ16" i="7"/>
  <c r="AQ17" i="7"/>
  <c r="AQ18" i="7"/>
  <c r="AQ19" i="7"/>
  <c r="AQ20" i="7"/>
  <c r="AQ21" i="7"/>
  <c r="AQ22" i="7"/>
  <c r="AQ23" i="7"/>
  <c r="AQ24" i="7"/>
  <c r="AQ25" i="7"/>
  <c r="AQ26" i="7"/>
  <c r="AQ27" i="7"/>
  <c r="AQ28" i="7"/>
  <c r="AQ29" i="7"/>
  <c r="AQ30" i="7"/>
  <c r="AQ31" i="7"/>
  <c r="AQ32" i="7"/>
  <c r="AQ33" i="7"/>
  <c r="AQ34" i="7"/>
  <c r="AQ35" i="7"/>
  <c r="AQ36" i="7"/>
  <c r="AQ37" i="7"/>
  <c r="AQ38" i="7"/>
  <c r="AQ39" i="7"/>
  <c r="AQ40" i="7"/>
  <c r="AQ41" i="7"/>
  <c r="AQ42" i="7"/>
  <c r="AQ43" i="7"/>
  <c r="AQ44" i="7"/>
  <c r="AQ45" i="7"/>
  <c r="AQ46" i="7"/>
  <c r="AQ47" i="7"/>
  <c r="AQ48" i="7"/>
  <c r="AQ49" i="7"/>
  <c r="AQ50" i="7"/>
  <c r="AQ51" i="7"/>
  <c r="AQ52" i="7"/>
  <c r="AQ53" i="7"/>
  <c r="AQ54" i="7"/>
  <c r="AQ55" i="7"/>
  <c r="AQ56" i="7"/>
  <c r="AQ57" i="7"/>
  <c r="AQ58" i="7"/>
  <c r="AQ59" i="7"/>
  <c r="AQ60" i="7"/>
  <c r="AQ61" i="7"/>
  <c r="AQ62" i="7"/>
  <c r="AQ63" i="7"/>
  <c r="AQ64" i="7"/>
  <c r="AQ65" i="7"/>
  <c r="AQ66" i="7"/>
  <c r="AQ67" i="7"/>
  <c r="AQ68" i="7"/>
  <c r="AQ69" i="7"/>
  <c r="AQ70" i="7"/>
  <c r="AQ71" i="7"/>
  <c r="AQ72" i="7"/>
  <c r="AQ73" i="7"/>
  <c r="AQ74" i="7"/>
  <c r="AQ75" i="7"/>
  <c r="AQ76" i="7"/>
  <c r="AQ77" i="7"/>
  <c r="AQ78" i="7"/>
  <c r="AQ79" i="7"/>
  <c r="AQ80" i="7"/>
  <c r="AQ81" i="7"/>
  <c r="AQ82" i="7"/>
  <c r="AQ83" i="7"/>
  <c r="AQ84" i="7"/>
  <c r="AQ85" i="7"/>
  <c r="AQ86" i="7"/>
  <c r="AQ87" i="7"/>
  <c r="AQ88" i="7"/>
  <c r="AQ89" i="7"/>
  <c r="Z539" i="28"/>
  <c r="Z661" i="28"/>
  <c r="AQ90" i="7"/>
  <c r="AQ91" i="7"/>
  <c r="AQ92" i="7"/>
  <c r="AQ93" i="7"/>
  <c r="AQ94" i="7"/>
  <c r="AQ95" i="7"/>
  <c r="AP5" i="7"/>
  <c r="AP6" i="7"/>
  <c r="AP7" i="7"/>
  <c r="AP8" i="7"/>
  <c r="AP9" i="7"/>
  <c r="AP10" i="7"/>
  <c r="AP11" i="7"/>
  <c r="AP12" i="7"/>
  <c r="AP13" i="7"/>
  <c r="AP14" i="7"/>
  <c r="AP15" i="7"/>
  <c r="AP16" i="7"/>
  <c r="AP17" i="7"/>
  <c r="AP18" i="7"/>
  <c r="AP19" i="7"/>
  <c r="AP20" i="7"/>
  <c r="AP21" i="7"/>
  <c r="AP22" i="7"/>
  <c r="AP23" i="7"/>
  <c r="AP24" i="7"/>
  <c r="AP25" i="7"/>
  <c r="AP26" i="7"/>
  <c r="AP27" i="7"/>
  <c r="AP28" i="7"/>
  <c r="AP29" i="7"/>
  <c r="AP30" i="7"/>
  <c r="AP31" i="7"/>
  <c r="AP32" i="7"/>
  <c r="AP33" i="7"/>
  <c r="AP34" i="7"/>
  <c r="AP35" i="7"/>
  <c r="AP36" i="7"/>
  <c r="AP37" i="7"/>
  <c r="AP38" i="7"/>
  <c r="AP39" i="7"/>
  <c r="AP40" i="7"/>
  <c r="AP41" i="7"/>
  <c r="AP42" i="7"/>
  <c r="AP43" i="7"/>
  <c r="AP44" i="7"/>
  <c r="AP45" i="7"/>
  <c r="AP46" i="7"/>
  <c r="AP47" i="7"/>
  <c r="AP48" i="7"/>
  <c r="AP49" i="7"/>
  <c r="AP50" i="7"/>
  <c r="AP51" i="7"/>
  <c r="AP52" i="7"/>
  <c r="AP53" i="7"/>
  <c r="AP54" i="7"/>
  <c r="AP55" i="7"/>
  <c r="AP56" i="7"/>
  <c r="AP57" i="7"/>
  <c r="AP58" i="7"/>
  <c r="AP59" i="7"/>
  <c r="AP60" i="7"/>
  <c r="AP61" i="7"/>
  <c r="AP62" i="7"/>
  <c r="AP63" i="7"/>
  <c r="AP64" i="7"/>
  <c r="AP65" i="7"/>
  <c r="AP66" i="7"/>
  <c r="AP67" i="7"/>
  <c r="AP68" i="7"/>
  <c r="AP69" i="7"/>
  <c r="AP70" i="7"/>
  <c r="AP71" i="7"/>
  <c r="AP72" i="7"/>
  <c r="AP73" i="7"/>
  <c r="AP74" i="7"/>
  <c r="AP75" i="7"/>
  <c r="AP76" i="7"/>
  <c r="AP77" i="7"/>
  <c r="AP78" i="7"/>
  <c r="AP79" i="7"/>
  <c r="AP80" i="7"/>
  <c r="AP81" i="7"/>
  <c r="AP82" i="7"/>
  <c r="AP83" i="7"/>
  <c r="AP84" i="7"/>
  <c r="AP85" i="7"/>
  <c r="AP86" i="7"/>
  <c r="AP87" i="7"/>
  <c r="AP88" i="7"/>
  <c r="AP89" i="7"/>
  <c r="AP90" i="7"/>
  <c r="AP91" i="7"/>
  <c r="AP92" i="7"/>
  <c r="AP93" i="7"/>
  <c r="AP94" i="7"/>
  <c r="AP95" i="7"/>
  <c r="AO5" i="7"/>
  <c r="AO6" i="7"/>
  <c r="AO7" i="7"/>
  <c r="AO8" i="7"/>
  <c r="AO9" i="7"/>
  <c r="AO10" i="7"/>
  <c r="AO11" i="7"/>
  <c r="AO12" i="7"/>
  <c r="AO13" i="7"/>
  <c r="AO14" i="7"/>
  <c r="AO15" i="7"/>
  <c r="AO16" i="7"/>
  <c r="AO17" i="7"/>
  <c r="AO18" i="7"/>
  <c r="AO19" i="7"/>
  <c r="AO20" i="7"/>
  <c r="AO21" i="7"/>
  <c r="AO22" i="7"/>
  <c r="AO23" i="7"/>
  <c r="AO24" i="7"/>
  <c r="AO25" i="7"/>
  <c r="AO26" i="7"/>
  <c r="AO27" i="7"/>
  <c r="AO28" i="7"/>
  <c r="AO29" i="7"/>
  <c r="AO30" i="7"/>
  <c r="AO31" i="7"/>
  <c r="AO32" i="7"/>
  <c r="AO33" i="7"/>
  <c r="AO34" i="7"/>
  <c r="AO35" i="7"/>
  <c r="AO36" i="7"/>
  <c r="AO37" i="7"/>
  <c r="AO38" i="7"/>
  <c r="AO39" i="7"/>
  <c r="AO40" i="7"/>
  <c r="AO41" i="7"/>
  <c r="AO42" i="7"/>
  <c r="AO43" i="7"/>
  <c r="AO44" i="7"/>
  <c r="AO45" i="7"/>
  <c r="AO46" i="7"/>
  <c r="AO47" i="7"/>
  <c r="AO48" i="7"/>
  <c r="AO49" i="7"/>
  <c r="AO50" i="7"/>
  <c r="AO51" i="7"/>
  <c r="AO52" i="7"/>
  <c r="AO53" i="7"/>
  <c r="AO54" i="7"/>
  <c r="AO55" i="7"/>
  <c r="AO56" i="7"/>
  <c r="AO57" i="7"/>
  <c r="AO58" i="7"/>
  <c r="AO59" i="7"/>
  <c r="AO60" i="7"/>
  <c r="AO61" i="7"/>
  <c r="AO62" i="7"/>
  <c r="AO63" i="7"/>
  <c r="AO64" i="7"/>
  <c r="AO65" i="7"/>
  <c r="AO66" i="7"/>
  <c r="AO67" i="7"/>
  <c r="AO68" i="7"/>
  <c r="AO69" i="7"/>
  <c r="AO70" i="7"/>
  <c r="AO71" i="7"/>
  <c r="AO72" i="7"/>
  <c r="AO73" i="7"/>
  <c r="AO74" i="7"/>
  <c r="AO75" i="7"/>
  <c r="AO76" i="7"/>
  <c r="AO77" i="7"/>
  <c r="AO78" i="7"/>
  <c r="AO79" i="7"/>
  <c r="AO80" i="7"/>
  <c r="AO81" i="7"/>
  <c r="AO82" i="7"/>
  <c r="AO83" i="7"/>
  <c r="AO84" i="7"/>
  <c r="AO85" i="7"/>
  <c r="AO86" i="7"/>
  <c r="AO87" i="7"/>
  <c r="AO88" i="7"/>
  <c r="AO89" i="7"/>
  <c r="AO90" i="7"/>
  <c r="AO91" i="7"/>
  <c r="AO92" i="7"/>
  <c r="AO93" i="7"/>
  <c r="AO94" i="7"/>
  <c r="AO95" i="7"/>
  <c r="BG217" i="14"/>
  <c r="AU217" i="14"/>
  <c r="BG216" i="14"/>
  <c r="AU216" i="14"/>
  <c r="BG215" i="14"/>
  <c r="AU215" i="14"/>
  <c r="BG214" i="14"/>
  <c r="AU214" i="14"/>
  <c r="BG213" i="14"/>
  <c r="AU213" i="14"/>
  <c r="BG212" i="14"/>
  <c r="AU212" i="14"/>
  <c r="BG211" i="14"/>
  <c r="AU211" i="14"/>
  <c r="BG210" i="14"/>
  <c r="AU210" i="14"/>
  <c r="BG209" i="14"/>
  <c r="AU209" i="14"/>
  <c r="BG208" i="14"/>
  <c r="AU208" i="14"/>
  <c r="BG207" i="14"/>
  <c r="AU207" i="14"/>
  <c r="BG206" i="14"/>
  <c r="AU206" i="14"/>
  <c r="V189" i="18"/>
  <c r="V188" i="18"/>
  <c r="V187" i="18"/>
  <c r="V186" i="18"/>
  <c r="AV5" i="28"/>
  <c r="AV8" i="28"/>
  <c r="AV13" i="28"/>
  <c r="AV20" i="28"/>
  <c r="AV23" i="28"/>
  <c r="AV31" i="28"/>
  <c r="AV36" i="28"/>
  <c r="AV39" i="28"/>
  <c r="AV47" i="28"/>
  <c r="AV55" i="28"/>
  <c r="AV112" i="28"/>
  <c r="AV120" i="28"/>
  <c r="AV124" i="28"/>
  <c r="AV128" i="28"/>
  <c r="AV135" i="28"/>
  <c r="AV136" i="28"/>
  <c r="AV510" i="28"/>
  <c r="AV515" i="28"/>
  <c r="AV516" i="28"/>
  <c r="AV520" i="28"/>
  <c r="AV523" i="28"/>
  <c r="AV524" i="28"/>
  <c r="AV528" i="28"/>
  <c r="AV546" i="28"/>
  <c r="AV551" i="28"/>
  <c r="AV556" i="28"/>
  <c r="AV559" i="28"/>
  <c r="AV564" i="28"/>
  <c r="AV576" i="28"/>
  <c r="AV592" i="28"/>
  <c r="AV601" i="28"/>
  <c r="AV604" i="28"/>
  <c r="AV608" i="28"/>
  <c r="AV617" i="28"/>
  <c r="AV620" i="28"/>
  <c r="AV624" i="28"/>
  <c r="AV723" i="28"/>
  <c r="AV726" i="28"/>
  <c r="AV731" i="28"/>
  <c r="AV734" i="28"/>
  <c r="AV742" i="28"/>
  <c r="BS95" i="7"/>
  <c r="BS94" i="7"/>
  <c r="U117" i="14"/>
  <c r="BS93" i="7"/>
  <c r="U115" i="14"/>
  <c r="BS92" i="7"/>
  <c r="BS91" i="7"/>
  <c r="U113" i="14"/>
  <c r="BS90" i="7"/>
  <c r="BS89" i="7"/>
  <c r="U86" i="14"/>
  <c r="BS88" i="7"/>
  <c r="U85" i="14"/>
  <c r="BS87" i="7"/>
  <c r="U84" i="14"/>
  <c r="BS86" i="7"/>
  <c r="U83" i="14"/>
  <c r="BS85" i="7"/>
  <c r="U82" i="14"/>
  <c r="BS84" i="7"/>
  <c r="U81" i="14"/>
  <c r="BS83" i="7"/>
  <c r="BS82" i="7"/>
  <c r="U79" i="14"/>
  <c r="BS81" i="7"/>
  <c r="BS80" i="7"/>
  <c r="U77" i="14"/>
  <c r="BS79" i="7"/>
  <c r="U277" i="14"/>
  <c r="BS78" i="7"/>
  <c r="BS77" i="7"/>
  <c r="U276" i="14"/>
  <c r="BS76" i="7"/>
  <c r="U73" i="14"/>
  <c r="BS75" i="7"/>
  <c r="U144" i="14"/>
  <c r="BS74" i="7"/>
  <c r="U131" i="14"/>
  <c r="BS73" i="7"/>
  <c r="BS72" i="7"/>
  <c r="U69" i="14"/>
  <c r="BS71" i="7"/>
  <c r="BS70" i="7"/>
  <c r="BS69" i="7"/>
  <c r="U272" i="14"/>
  <c r="BS68" i="7"/>
  <c r="U65" i="14"/>
  <c r="BS67" i="7"/>
  <c r="U64" i="14"/>
  <c r="BS66" i="7"/>
  <c r="U63" i="14"/>
  <c r="BS65" i="7"/>
  <c r="BS64" i="7"/>
  <c r="BS63" i="7"/>
  <c r="U60" i="14"/>
  <c r="BS62" i="7"/>
  <c r="U59" i="14"/>
  <c r="BS61" i="7"/>
  <c r="BS60" i="7"/>
  <c r="U57" i="14"/>
  <c r="BS59" i="7"/>
  <c r="U56" i="14"/>
  <c r="BS58" i="7"/>
  <c r="U55" i="14"/>
  <c r="BS57" i="7"/>
  <c r="BS56" i="7"/>
  <c r="U119" i="14"/>
  <c r="BS55" i="7"/>
  <c r="BS54" i="7"/>
  <c r="U51" i="14"/>
  <c r="BS53" i="7"/>
  <c r="U50" i="14"/>
  <c r="BS52" i="7"/>
  <c r="U49" i="14"/>
  <c r="BS51" i="7"/>
  <c r="BS50" i="7"/>
  <c r="U47" i="14"/>
  <c r="BS49" i="7"/>
  <c r="BS48" i="7"/>
  <c r="U45" i="14"/>
  <c r="BS47" i="7"/>
  <c r="BS46" i="7"/>
  <c r="U43" i="14"/>
  <c r="BS45" i="7"/>
  <c r="U42" i="14"/>
  <c r="BS44" i="7"/>
  <c r="U41" i="14"/>
  <c r="BS43" i="7"/>
  <c r="U40" i="14"/>
  <c r="BS42" i="7"/>
  <c r="U39" i="14"/>
  <c r="BS41" i="7"/>
  <c r="U38" i="14"/>
  <c r="BS40" i="7"/>
  <c r="U37" i="14"/>
  <c r="BS39" i="7"/>
  <c r="U36" i="14"/>
  <c r="BS38" i="7"/>
  <c r="U35" i="14"/>
  <c r="BS37" i="7"/>
  <c r="BS36" i="7"/>
  <c r="BS35" i="7"/>
  <c r="U32" i="14"/>
  <c r="BS34" i="7"/>
  <c r="U31" i="14"/>
  <c r="BS33" i="7"/>
  <c r="U30" i="14"/>
  <c r="BS32" i="7"/>
  <c r="U29" i="14"/>
  <c r="BS31" i="7"/>
  <c r="BS30" i="7"/>
  <c r="BS29" i="7"/>
  <c r="U26" i="14"/>
  <c r="BS28" i="7"/>
  <c r="U164" i="14"/>
  <c r="BS27" i="7"/>
  <c r="BS26" i="7"/>
  <c r="U163" i="14"/>
  <c r="BS25" i="7"/>
  <c r="BS24" i="7"/>
  <c r="U21" i="14"/>
  <c r="BS23" i="7"/>
  <c r="U20" i="14"/>
  <c r="BS22" i="7"/>
  <c r="U166" i="14"/>
  <c r="BS21" i="7"/>
  <c r="BS20" i="7"/>
  <c r="U17" i="14"/>
  <c r="BS19" i="7"/>
  <c r="U16" i="14"/>
  <c r="BS18" i="7"/>
  <c r="U15" i="14"/>
  <c r="BS17" i="7"/>
  <c r="U14" i="14"/>
  <c r="BS16" i="7"/>
  <c r="U13" i="14"/>
  <c r="BS15" i="7"/>
  <c r="BS14" i="7"/>
  <c r="U96" i="14"/>
  <c r="BS13" i="7"/>
  <c r="U10" i="14"/>
  <c r="BS12" i="7"/>
  <c r="BS11" i="7"/>
  <c r="U269" i="14"/>
  <c r="BS10" i="7"/>
  <c r="BS9" i="7"/>
  <c r="BS8" i="7"/>
  <c r="U5" i="14"/>
  <c r="BS7" i="7"/>
  <c r="BS6" i="7"/>
  <c r="BS5" i="7"/>
  <c r="AZ734" i="28"/>
  <c r="BP734" i="28" s="1"/>
  <c r="AV27" i="28"/>
  <c r="AC181" i="18"/>
  <c r="V184" i="18"/>
  <c r="AC185" i="18"/>
  <c r="AC184" i="18"/>
  <c r="V185" i="18"/>
  <c r="AK185" i="18"/>
  <c r="AS185" i="18"/>
  <c r="AS213" i="18"/>
  <c r="AK213" i="18"/>
  <c r="AC213" i="18"/>
  <c r="AS212" i="18"/>
  <c r="AK212" i="18"/>
  <c r="AC212" i="18"/>
  <c r="AS211" i="18"/>
  <c r="AK211" i="18"/>
  <c r="AC211" i="18"/>
  <c r="AS210" i="18"/>
  <c r="AK210" i="18"/>
  <c r="AC210" i="18"/>
  <c r="AS209" i="18"/>
  <c r="AK209" i="18"/>
  <c r="AC209" i="18"/>
  <c r="AS208" i="18"/>
  <c r="AK208" i="18"/>
  <c r="AC208" i="18"/>
  <c r="AS207" i="18"/>
  <c r="AK207" i="18"/>
  <c r="AC207" i="18"/>
  <c r="AS206" i="18"/>
  <c r="AK206" i="18"/>
  <c r="AC206" i="18"/>
  <c r="AS205" i="18"/>
  <c r="AK205" i="18"/>
  <c r="AC205" i="18"/>
  <c r="AS204" i="18"/>
  <c r="AK204" i="18"/>
  <c r="AC204" i="18"/>
  <c r="AS203" i="18"/>
  <c r="AK203" i="18"/>
  <c r="AC203" i="18"/>
  <c r="AS202" i="18"/>
  <c r="AK202" i="18"/>
  <c r="AC202" i="18"/>
  <c r="AS201" i="18"/>
  <c r="AK201" i="18"/>
  <c r="AC201" i="18"/>
  <c r="AS200" i="18"/>
  <c r="AK200" i="18"/>
  <c r="AC200" i="18"/>
  <c r="AS199" i="18"/>
  <c r="AK199" i="18"/>
  <c r="AS198" i="18"/>
  <c r="AK198" i="18"/>
  <c r="AS197" i="18"/>
  <c r="AK197" i="18"/>
  <c r="AS196" i="18"/>
  <c r="AK196" i="18"/>
  <c r="AC196" i="18"/>
  <c r="AS195" i="18"/>
  <c r="AK195" i="18"/>
  <c r="AC195" i="18"/>
  <c r="AS194" i="18"/>
  <c r="AK194" i="18"/>
  <c r="AC194" i="18"/>
  <c r="AS193" i="18"/>
  <c r="AK193" i="18"/>
  <c r="AC193" i="18"/>
  <c r="AS192" i="18"/>
  <c r="AK192" i="18"/>
  <c r="AC192" i="18"/>
  <c r="AS191" i="18"/>
  <c r="AK191" i="18"/>
  <c r="AC191" i="18"/>
  <c r="AS190" i="18"/>
  <c r="AC190" i="18"/>
  <c r="AS189" i="18"/>
  <c r="AK189" i="18"/>
  <c r="AC189" i="18"/>
  <c r="AS188" i="18"/>
  <c r="AK188" i="18"/>
  <c r="AC188" i="18"/>
  <c r="V183" i="18"/>
  <c r="V182" i="18"/>
  <c r="V181" i="18"/>
  <c r="V180" i="18"/>
  <c r="V179" i="18"/>
  <c r="AK24" i="18"/>
  <c r="AK23" i="18"/>
  <c r="BB157" i="14"/>
  <c r="BB156" i="14"/>
  <c r="BB155" i="14"/>
  <c r="BB154" i="14"/>
  <c r="BB153" i="14"/>
  <c r="BB152" i="14"/>
  <c r="BB151" i="14"/>
  <c r="BB150" i="14"/>
  <c r="BB149" i="14"/>
  <c r="BB148" i="14"/>
  <c r="BB147" i="14"/>
  <c r="BB146" i="14"/>
  <c r="BB145" i="14"/>
  <c r="BB144" i="14"/>
  <c r="BB143" i="14"/>
  <c r="BB142" i="14"/>
  <c r="BB141" i="14"/>
  <c r="BB140" i="14"/>
  <c r="N265" i="18"/>
  <c r="N275" i="18"/>
  <c r="N217" i="18"/>
  <c r="N222" i="18"/>
  <c r="N223" i="18"/>
  <c r="N218" i="18"/>
  <c r="N250" i="18"/>
  <c r="N249" i="18"/>
  <c r="N236" i="18"/>
  <c r="N215" i="18"/>
  <c r="N224" i="18"/>
  <c r="N225" i="18"/>
  <c r="N226" i="18"/>
  <c r="N227" i="18"/>
  <c r="N219" i="18"/>
  <c r="N220" i="18"/>
  <c r="N214" i="18"/>
  <c r="N245" i="18"/>
  <c r="N246" i="18"/>
  <c r="N247" i="18"/>
  <c r="N228" i="18"/>
  <c r="N237" i="18"/>
  <c r="N229" i="18"/>
  <c r="N230" i="18"/>
  <c r="N231" i="18"/>
  <c r="N255" i="18"/>
  <c r="N221" i="18"/>
  <c r="N281" i="18"/>
  <c r="N282" i="18"/>
  <c r="N238" i="18"/>
  <c r="N257" i="18"/>
  <c r="N239" i="18"/>
  <c r="N258" i="18"/>
  <c r="N216" i="18"/>
  <c r="N240" i="18"/>
  <c r="N264" i="18"/>
  <c r="N241" i="18"/>
  <c r="N242" i="18"/>
  <c r="N243" i="18"/>
  <c r="N233" i="18"/>
  <c r="N234" i="18"/>
  <c r="N235" i="18"/>
  <c r="N267" i="18"/>
  <c r="N256" i="18"/>
  <c r="N244" i="18"/>
  <c r="N251" i="18"/>
  <c r="N253" i="18"/>
  <c r="N248" i="18"/>
  <c r="V178" i="18"/>
  <c r="V177" i="18"/>
  <c r="V176" i="18"/>
  <c r="V175" i="18"/>
  <c r="V174" i="18"/>
  <c r="V172" i="18"/>
  <c r="V171" i="18"/>
  <c r="V170" i="18"/>
  <c r="V173" i="18"/>
  <c r="BI116" i="7"/>
  <c r="BH116" i="7"/>
  <c r="AC116" i="7"/>
  <c r="AS187" i="18"/>
  <c r="AK187" i="18"/>
  <c r="AC187" i="18"/>
  <c r="AS186" i="18"/>
  <c r="AK186" i="18"/>
  <c r="AC186" i="18"/>
  <c r="AS184" i="18"/>
  <c r="AK184" i="18"/>
  <c r="AS183" i="18"/>
  <c r="AK183" i="18"/>
  <c r="AC183" i="18"/>
  <c r="AS182" i="18"/>
  <c r="AK182" i="18"/>
  <c r="AC182" i="18"/>
  <c r="AS181" i="18"/>
  <c r="AK181" i="18"/>
  <c r="AS180" i="18"/>
  <c r="AK180" i="18"/>
  <c r="AC180" i="18"/>
  <c r="AS179" i="18"/>
  <c r="AK179" i="18"/>
  <c r="AC179" i="18"/>
  <c r="AS178" i="18"/>
  <c r="AK178" i="18"/>
  <c r="AC178" i="18"/>
  <c r="AS177" i="18"/>
  <c r="AK177" i="18"/>
  <c r="AC177" i="18"/>
  <c r="AS176" i="18"/>
  <c r="AK176" i="18"/>
  <c r="AC176" i="18"/>
  <c r="AS175" i="18"/>
  <c r="AK175" i="18"/>
  <c r="AC175" i="18"/>
  <c r="AS174" i="18"/>
  <c r="AK174" i="18"/>
  <c r="AC174" i="18"/>
  <c r="AS173" i="18"/>
  <c r="AK173" i="18"/>
  <c r="AC173" i="18"/>
  <c r="AS172" i="18"/>
  <c r="AK172" i="18"/>
  <c r="AC172" i="18"/>
  <c r="AS171" i="18"/>
  <c r="AK171" i="18"/>
  <c r="AC171" i="18"/>
  <c r="BG172" i="14"/>
  <c r="BB172" i="14"/>
  <c r="AU172" i="14"/>
  <c r="BG171" i="14"/>
  <c r="BB171" i="14"/>
  <c r="AU171" i="14"/>
  <c r="BG170" i="14"/>
  <c r="BB170" i="14"/>
  <c r="AU170" i="14"/>
  <c r="V169" i="18"/>
  <c r="V168" i="18"/>
  <c r="V167" i="18"/>
  <c r="CY167" i="18"/>
  <c r="AS170" i="18"/>
  <c r="AK170" i="18"/>
  <c r="AC170" i="18"/>
  <c r="AS169" i="18"/>
  <c r="AK169" i="18"/>
  <c r="AC169" i="18"/>
  <c r="AS168" i="18"/>
  <c r="AK168" i="18"/>
  <c r="AC168" i="18"/>
  <c r="AS167" i="18"/>
  <c r="AK167" i="18"/>
  <c r="AC167" i="18"/>
  <c r="V166" i="18"/>
  <c r="H37" i="29"/>
  <c r="G37" i="29"/>
  <c r="F37" i="29"/>
  <c r="K36" i="29"/>
  <c r="J36" i="29"/>
  <c r="I36" i="29"/>
  <c r="K35" i="29"/>
  <c r="J35" i="29"/>
  <c r="I35" i="29"/>
  <c r="K34" i="29"/>
  <c r="J34" i="29"/>
  <c r="I34" i="29"/>
  <c r="K33" i="29"/>
  <c r="J33" i="29"/>
  <c r="I33" i="29"/>
  <c r="K32" i="29"/>
  <c r="J32" i="29"/>
  <c r="I32" i="29"/>
  <c r="K31" i="29"/>
  <c r="J31" i="29"/>
  <c r="I31" i="29"/>
  <c r="K30" i="29"/>
  <c r="J30" i="29"/>
  <c r="I30" i="29"/>
  <c r="K29" i="29"/>
  <c r="J29" i="29"/>
  <c r="I29" i="29"/>
  <c r="K28" i="29"/>
  <c r="J28" i="29"/>
  <c r="I28" i="29"/>
  <c r="I37" i="29" s="1"/>
  <c r="AO844" i="28"/>
  <c r="T844" i="28"/>
  <c r="R844" i="28"/>
  <c r="BR844" i="28"/>
  <c r="AO843" i="28"/>
  <c r="T843" i="28"/>
  <c r="R843" i="28"/>
  <c r="BR843" i="28" s="1"/>
  <c r="AO842" i="28"/>
  <c r="T842" i="28"/>
  <c r="R842" i="28"/>
  <c r="BR842" i="28" s="1"/>
  <c r="AO841" i="28"/>
  <c r="AN841" i="28"/>
  <c r="T841" i="28"/>
  <c r="R841" i="28"/>
  <c r="BR841" i="28" s="1"/>
  <c r="AO840" i="28"/>
  <c r="AN840" i="28"/>
  <c r="T840" i="28"/>
  <c r="R840" i="28"/>
  <c r="BR840" i="28" s="1"/>
  <c r="AO839" i="28"/>
  <c r="AN839" i="28"/>
  <c r="T839" i="28"/>
  <c r="R839" i="28"/>
  <c r="BR839" i="28" s="1"/>
  <c r="AO838" i="28"/>
  <c r="AN838" i="28"/>
  <c r="T838" i="28"/>
  <c r="R838" i="28"/>
  <c r="BR838" i="28" s="1"/>
  <c r="AO837" i="28"/>
  <c r="AN837" i="28"/>
  <c r="T837" i="28"/>
  <c r="R837" i="28"/>
  <c r="BR837" i="28" s="1"/>
  <c r="AO836" i="28"/>
  <c r="AN836" i="28"/>
  <c r="T836" i="28"/>
  <c r="R836" i="28"/>
  <c r="BR836" i="28" s="1"/>
  <c r="AO835" i="28"/>
  <c r="AN835" i="28"/>
  <c r="T835" i="28"/>
  <c r="R835" i="28"/>
  <c r="BR835" i="28" s="1"/>
  <c r="AO834" i="28"/>
  <c r="AN834" i="28"/>
  <c r="T834" i="28"/>
  <c r="R834" i="28"/>
  <c r="BR834" i="28" s="1"/>
  <c r="AO833" i="28"/>
  <c r="AN833" i="28"/>
  <c r="T833" i="28"/>
  <c r="R833" i="28"/>
  <c r="BR833" i="28" s="1"/>
  <c r="AO832" i="28"/>
  <c r="AN832" i="28"/>
  <c r="T832" i="28"/>
  <c r="R832" i="28"/>
  <c r="BR832" i="28" s="1"/>
  <c r="AO831" i="28"/>
  <c r="AN831" i="28"/>
  <c r="T831" i="28"/>
  <c r="R831" i="28"/>
  <c r="BR831" i="28" s="1"/>
  <c r="AO830" i="28"/>
  <c r="AN830" i="28"/>
  <c r="T830" i="28"/>
  <c r="R830" i="28"/>
  <c r="BR830" i="28"/>
  <c r="AO829" i="28"/>
  <c r="AN829" i="28"/>
  <c r="T829" i="28"/>
  <c r="R829" i="28"/>
  <c r="BR829" i="28" s="1"/>
  <c r="AO828" i="28"/>
  <c r="AN828" i="28"/>
  <c r="T828" i="28"/>
  <c r="R828" i="28"/>
  <c r="BR828" i="28" s="1"/>
  <c r="AO827" i="28"/>
  <c r="AN827" i="28"/>
  <c r="T827" i="28"/>
  <c r="R827" i="28"/>
  <c r="BR827" i="28" s="1"/>
  <c r="AO826" i="28"/>
  <c r="AN826" i="28"/>
  <c r="T826" i="28"/>
  <c r="R826" i="28"/>
  <c r="BR826" i="28" s="1"/>
  <c r="AO825" i="28"/>
  <c r="AN825" i="28"/>
  <c r="T825" i="28"/>
  <c r="R825" i="28"/>
  <c r="BR825" i="28" s="1"/>
  <c r="AO824" i="28"/>
  <c r="AN824" i="28"/>
  <c r="T824" i="28"/>
  <c r="R824" i="28"/>
  <c r="BR824" i="28" s="1"/>
  <c r="AO823" i="28"/>
  <c r="AN823" i="28"/>
  <c r="T823" i="28"/>
  <c r="R823" i="28"/>
  <c r="BR823" i="28" s="1"/>
  <c r="AO822" i="28"/>
  <c r="AN822" i="28"/>
  <c r="T822" i="28"/>
  <c r="R822" i="28"/>
  <c r="BR822" i="28" s="1"/>
  <c r="AO821" i="28"/>
  <c r="AN821" i="28"/>
  <c r="T821" i="28"/>
  <c r="R821" i="28"/>
  <c r="BR821" i="28" s="1"/>
  <c r="AO820" i="28"/>
  <c r="AN820" i="28"/>
  <c r="T820" i="28"/>
  <c r="R820" i="28"/>
  <c r="BR820" i="28" s="1"/>
  <c r="AO819" i="28"/>
  <c r="AN819" i="28"/>
  <c r="T819" i="28"/>
  <c r="R819" i="28"/>
  <c r="BR819" i="28" s="1"/>
  <c r="AO818" i="28"/>
  <c r="AN818" i="28"/>
  <c r="T818" i="28"/>
  <c r="R818" i="28"/>
  <c r="BR818" i="28" s="1"/>
  <c r="AO817" i="28"/>
  <c r="AN817" i="28"/>
  <c r="T817" i="28"/>
  <c r="R817" i="28"/>
  <c r="BR817" i="28" s="1"/>
  <c r="AO816" i="28"/>
  <c r="AN816" i="28"/>
  <c r="T816" i="28"/>
  <c r="R816" i="28"/>
  <c r="BR816" i="28" s="1"/>
  <c r="AO815" i="28"/>
  <c r="AN815" i="28"/>
  <c r="T815" i="28"/>
  <c r="R815" i="28"/>
  <c r="BR815" i="28" s="1"/>
  <c r="AO814" i="28"/>
  <c r="AN814" i="28"/>
  <c r="T814" i="28"/>
  <c r="R814" i="28"/>
  <c r="BR814" i="28" s="1"/>
  <c r="AO813" i="28"/>
  <c r="AN813" i="28"/>
  <c r="T813" i="28"/>
  <c r="R813" i="28"/>
  <c r="BR813" i="28"/>
  <c r="AO812" i="28"/>
  <c r="AN812" i="28"/>
  <c r="T812" i="28"/>
  <c r="R812" i="28"/>
  <c r="BR812" i="28" s="1"/>
  <c r="AO811" i="28"/>
  <c r="AN811" i="28"/>
  <c r="T811" i="28"/>
  <c r="R811" i="28"/>
  <c r="BR811" i="28" s="1"/>
  <c r="AO810" i="28"/>
  <c r="AN810" i="28"/>
  <c r="T810" i="28"/>
  <c r="R810" i="28"/>
  <c r="BR810" i="28" s="1"/>
  <c r="AO809" i="28"/>
  <c r="AN809" i="28"/>
  <c r="T809" i="28"/>
  <c r="R809" i="28"/>
  <c r="BR809" i="28" s="1"/>
  <c r="AO808" i="28"/>
  <c r="AN808" i="28"/>
  <c r="T808" i="28"/>
  <c r="R808" i="28"/>
  <c r="BR808" i="28" s="1"/>
  <c r="AO807" i="28"/>
  <c r="AN807" i="28"/>
  <c r="T807" i="28"/>
  <c r="R807" i="28"/>
  <c r="AO806" i="28"/>
  <c r="AN806" i="28"/>
  <c r="T806" i="28"/>
  <c r="R806" i="28"/>
  <c r="BR806" i="28" s="1"/>
  <c r="AO805" i="28"/>
  <c r="T805" i="28"/>
  <c r="R805" i="28"/>
  <c r="BR805" i="28" s="1"/>
  <c r="AO804" i="28"/>
  <c r="T804" i="28"/>
  <c r="R804" i="28"/>
  <c r="BR804" i="28" s="1"/>
  <c r="AO803" i="28"/>
  <c r="AN803" i="28"/>
  <c r="T803" i="28"/>
  <c r="R803" i="28"/>
  <c r="BR803" i="28"/>
  <c r="AO802" i="28"/>
  <c r="AN802" i="28"/>
  <c r="T802" i="28"/>
  <c r="R802" i="28"/>
  <c r="BR802" i="28" s="1"/>
  <c r="AO801" i="28"/>
  <c r="AN801" i="28"/>
  <c r="T801" i="28"/>
  <c r="R801" i="28"/>
  <c r="BR801" i="28" s="1"/>
  <c r="AO800" i="28"/>
  <c r="AN800" i="28"/>
  <c r="T800" i="28"/>
  <c r="R800" i="28"/>
  <c r="BR800" i="28" s="1"/>
  <c r="AO799" i="28"/>
  <c r="AN799" i="28"/>
  <c r="T799" i="28"/>
  <c r="R799" i="28"/>
  <c r="BR799" i="28"/>
  <c r="AO798" i="28"/>
  <c r="AN798" i="28"/>
  <c r="T798" i="28"/>
  <c r="R798" i="28"/>
  <c r="BR798" i="28" s="1"/>
  <c r="AO797" i="28"/>
  <c r="AN797" i="28"/>
  <c r="T797" i="28"/>
  <c r="R797" i="28"/>
  <c r="BR797" i="28" s="1"/>
  <c r="AO796" i="28"/>
  <c r="AN796" i="28"/>
  <c r="T796" i="28"/>
  <c r="R796" i="28"/>
  <c r="BR796" i="28" s="1"/>
  <c r="AO795" i="28"/>
  <c r="T795" i="28"/>
  <c r="R795" i="28"/>
  <c r="BR795" i="28" s="1"/>
  <c r="AO794" i="28"/>
  <c r="T794" i="28"/>
  <c r="R794" i="28"/>
  <c r="BR794" i="28" s="1"/>
  <c r="AO793" i="28"/>
  <c r="T793" i="28"/>
  <c r="R793" i="28"/>
  <c r="BR793" i="28" s="1"/>
  <c r="AO792" i="28"/>
  <c r="T792" i="28"/>
  <c r="R792" i="28"/>
  <c r="BR792" i="28" s="1"/>
  <c r="AO791" i="28"/>
  <c r="T791" i="28"/>
  <c r="R791" i="28"/>
  <c r="BR791" i="28" s="1"/>
  <c r="AO790" i="28"/>
  <c r="T790" i="28"/>
  <c r="R790" i="28"/>
  <c r="BR790" i="28" s="1"/>
  <c r="AO789" i="28"/>
  <c r="T789" i="28"/>
  <c r="R789" i="28"/>
  <c r="BR789" i="28" s="1"/>
  <c r="AO788" i="28"/>
  <c r="T788" i="28"/>
  <c r="R788" i="28"/>
  <c r="BR788" i="28" s="1"/>
  <c r="AO787" i="28"/>
  <c r="T787" i="28"/>
  <c r="R787" i="28"/>
  <c r="BR787" i="28" s="1"/>
  <c r="AO786" i="28"/>
  <c r="T786" i="28"/>
  <c r="R786" i="28"/>
  <c r="BR786" i="28" s="1"/>
  <c r="AO785" i="28"/>
  <c r="T785" i="28"/>
  <c r="R785" i="28"/>
  <c r="BR785" i="28" s="1"/>
  <c r="AO784" i="28"/>
  <c r="T784" i="28"/>
  <c r="R784" i="28"/>
  <c r="BR784" i="28" s="1"/>
  <c r="A784" i="28"/>
  <c r="A785" i="28" s="1"/>
  <c r="AY783" i="28"/>
  <c r="AT783" i="28"/>
  <c r="AO783" i="28"/>
  <c r="T783" i="28"/>
  <c r="R783" i="28"/>
  <c r="BR783" i="28" s="1"/>
  <c r="AY782" i="28"/>
  <c r="AT782" i="28"/>
  <c r="AO782" i="28"/>
  <c r="T782" i="28"/>
  <c r="R782" i="28"/>
  <c r="BR782" i="28" s="1"/>
  <c r="AY781" i="28"/>
  <c r="AT781" i="28"/>
  <c r="AO781" i="28"/>
  <c r="T781" i="28"/>
  <c r="R781" i="28"/>
  <c r="BR781" i="28" s="1"/>
  <c r="AY780" i="28"/>
  <c r="AT780" i="28"/>
  <c r="AO780" i="28"/>
  <c r="T780" i="28"/>
  <c r="R780" i="28"/>
  <c r="BR780" i="28"/>
  <c r="AY779" i="28"/>
  <c r="AT779" i="28"/>
  <c r="AO779" i="28"/>
  <c r="T779" i="28"/>
  <c r="R779" i="28"/>
  <c r="BR779" i="28" s="1"/>
  <c r="AY778" i="28"/>
  <c r="AT778" i="28"/>
  <c r="AO778" i="28"/>
  <c r="T778" i="28"/>
  <c r="R778" i="28"/>
  <c r="BR778" i="28" s="1"/>
  <c r="AY777" i="28"/>
  <c r="AT777" i="28"/>
  <c r="AO777" i="28"/>
  <c r="T777" i="28"/>
  <c r="R777" i="28"/>
  <c r="BR777" i="28" s="1"/>
  <c r="AY776" i="28"/>
  <c r="AT776" i="28"/>
  <c r="AO776" i="28"/>
  <c r="T776" i="28"/>
  <c r="R776" i="28"/>
  <c r="BR776" i="28"/>
  <c r="AY775" i="28"/>
  <c r="AT775" i="28"/>
  <c r="AO775" i="28"/>
  <c r="T775" i="28"/>
  <c r="R775" i="28"/>
  <c r="BR775" i="28" s="1"/>
  <c r="AY774" i="28"/>
  <c r="AT774" i="28"/>
  <c r="AO774" i="28"/>
  <c r="T774" i="28"/>
  <c r="R774" i="28"/>
  <c r="BR774" i="28"/>
  <c r="AY773" i="28"/>
  <c r="AT773" i="28"/>
  <c r="AO773" i="28"/>
  <c r="T773" i="28"/>
  <c r="R773" i="28"/>
  <c r="BR773" i="28" s="1"/>
  <c r="AY772" i="28"/>
  <c r="AT772" i="28"/>
  <c r="AO772" i="28"/>
  <c r="T772" i="28"/>
  <c r="R772" i="28"/>
  <c r="BR772" i="28" s="1"/>
  <c r="AY771" i="28"/>
  <c r="AT771" i="28"/>
  <c r="AO771" i="28"/>
  <c r="T771" i="28"/>
  <c r="R771" i="28"/>
  <c r="BR771" i="28" s="1"/>
  <c r="AY770" i="28"/>
  <c r="AT770" i="28"/>
  <c r="AO770" i="28"/>
  <c r="T770" i="28"/>
  <c r="R770" i="28"/>
  <c r="BR770" i="28" s="1"/>
  <c r="AY769" i="28"/>
  <c r="AT769" i="28"/>
  <c r="AO769" i="28"/>
  <c r="T769" i="28"/>
  <c r="R769" i="28"/>
  <c r="BR769" i="28" s="1"/>
  <c r="AY768" i="28"/>
  <c r="AT768" i="28"/>
  <c r="AO768" i="28"/>
  <c r="T768" i="28"/>
  <c r="R768" i="28"/>
  <c r="BR768" i="28" s="1"/>
  <c r="AY767" i="28"/>
  <c r="AT767" i="28"/>
  <c r="AO767" i="28"/>
  <c r="T767" i="28"/>
  <c r="R767" i="28"/>
  <c r="BR767" i="28" s="1"/>
  <c r="AY766" i="28"/>
  <c r="AT766" i="28"/>
  <c r="AO766" i="28"/>
  <c r="T766" i="28"/>
  <c r="R766" i="28"/>
  <c r="BR766" i="28" s="1"/>
  <c r="AY765" i="28"/>
  <c r="AT765" i="28"/>
  <c r="AO765" i="28"/>
  <c r="T765" i="28"/>
  <c r="R765" i="28"/>
  <c r="BR765" i="28" s="1"/>
  <c r="AY764" i="28"/>
  <c r="AT764" i="28"/>
  <c r="AO764" i="28"/>
  <c r="T764" i="28"/>
  <c r="R764" i="28"/>
  <c r="BR764" i="28" s="1"/>
  <c r="AY763" i="28"/>
  <c r="AT763" i="28"/>
  <c r="AO763" i="28"/>
  <c r="T763" i="28"/>
  <c r="R763" i="28"/>
  <c r="BR763" i="28" s="1"/>
  <c r="AY762" i="28"/>
  <c r="AT762" i="28"/>
  <c r="AO762" i="28"/>
  <c r="T762" i="28"/>
  <c r="R762" i="28"/>
  <c r="BR762" i="28"/>
  <c r="AY761" i="28"/>
  <c r="AT761" i="28"/>
  <c r="AO761" i="28"/>
  <c r="T761" i="28"/>
  <c r="R761" i="28"/>
  <c r="BR761" i="28" s="1"/>
  <c r="AY760" i="28"/>
  <c r="AT760" i="28"/>
  <c r="AO760" i="28"/>
  <c r="T760" i="28"/>
  <c r="R760" i="28"/>
  <c r="BR760" i="28"/>
  <c r="AY759" i="28"/>
  <c r="AT759" i="28"/>
  <c r="AO759" i="28"/>
  <c r="T759" i="28"/>
  <c r="R759" i="28"/>
  <c r="BR759" i="28" s="1"/>
  <c r="AY758" i="28"/>
  <c r="AT758" i="28"/>
  <c r="AO758" i="28"/>
  <c r="T758" i="28"/>
  <c r="R758" i="28"/>
  <c r="BR758" i="28" s="1"/>
  <c r="AY757" i="28"/>
  <c r="AT757" i="28"/>
  <c r="AO757" i="28"/>
  <c r="T757" i="28"/>
  <c r="R757" i="28"/>
  <c r="BR757" i="28" s="1"/>
  <c r="AY756" i="28"/>
  <c r="AT756" i="28"/>
  <c r="AO756" i="28"/>
  <c r="T756" i="28"/>
  <c r="R756" i="28"/>
  <c r="BR756" i="28"/>
  <c r="AY755" i="28"/>
  <c r="AT755" i="28"/>
  <c r="AO755" i="28"/>
  <c r="T755" i="28"/>
  <c r="R755" i="28"/>
  <c r="BR755" i="28" s="1"/>
  <c r="AY754" i="28"/>
  <c r="AT754" i="28"/>
  <c r="AO754" i="28"/>
  <c r="T754" i="28"/>
  <c r="R754" i="28"/>
  <c r="BR754" i="28" s="1"/>
  <c r="AY753" i="28"/>
  <c r="AT753" i="28"/>
  <c r="AO753" i="28"/>
  <c r="T753" i="28"/>
  <c r="R753" i="28"/>
  <c r="BR753" i="28" s="1"/>
  <c r="AY752" i="28"/>
  <c r="AT752" i="28"/>
  <c r="AO752" i="28"/>
  <c r="T752" i="28"/>
  <c r="R752" i="28"/>
  <c r="BR752" i="28" s="1"/>
  <c r="AY751" i="28"/>
  <c r="AT751" i="28"/>
  <c r="AO751" i="28"/>
  <c r="T751" i="28"/>
  <c r="R751" i="28"/>
  <c r="BR751" i="28" s="1"/>
  <c r="AY750" i="28"/>
  <c r="AT750" i="28"/>
  <c r="AO750" i="28"/>
  <c r="T750" i="28"/>
  <c r="R750" i="28"/>
  <c r="BR750" i="28"/>
  <c r="AY749" i="28"/>
  <c r="AT749" i="28"/>
  <c r="AO749" i="28"/>
  <c r="T749" i="28"/>
  <c r="R749" i="28"/>
  <c r="BR749" i="28" s="1"/>
  <c r="AY748" i="28"/>
  <c r="AT748" i="28"/>
  <c r="AO748" i="28"/>
  <c r="T748" i="28"/>
  <c r="R748" i="28"/>
  <c r="BR748" i="28" s="1"/>
  <c r="AY747" i="28"/>
  <c r="AT747" i="28"/>
  <c r="AO747" i="28"/>
  <c r="T747" i="28"/>
  <c r="R747" i="28"/>
  <c r="BR747" i="28" s="1"/>
  <c r="AY746" i="28"/>
  <c r="AO746" i="28"/>
  <c r="T746" i="28"/>
  <c r="R746" i="28"/>
  <c r="BR746" i="28" s="1"/>
  <c r="AY745" i="28"/>
  <c r="AO745" i="28"/>
  <c r="T745" i="28"/>
  <c r="R745" i="28"/>
  <c r="BR745" i="28" s="1"/>
  <c r="BN744" i="28"/>
  <c r="BM744" i="28"/>
  <c r="BL744" i="28"/>
  <c r="BK744" i="28"/>
  <c r="BJ744" i="28"/>
  <c r="BI744" i="28"/>
  <c r="BH744" i="28"/>
  <c r="BG744" i="28"/>
  <c r="BF744" i="28"/>
  <c r="BE744" i="28"/>
  <c r="BD744" i="28"/>
  <c r="BC744" i="28"/>
  <c r="AY744" i="28"/>
  <c r="AO744" i="28"/>
  <c r="T744" i="28"/>
  <c r="R744" i="28"/>
  <c r="BR744" i="28" s="1"/>
  <c r="BN743" i="28"/>
  <c r="BM743" i="28"/>
  <c r="BL743" i="28"/>
  <c r="BK743" i="28"/>
  <c r="BJ743" i="28"/>
  <c r="BI743" i="28"/>
  <c r="BH743" i="28"/>
  <c r="BG743" i="28"/>
  <c r="BF743" i="28"/>
  <c r="BE743" i="28"/>
  <c r="BD743" i="28"/>
  <c r="BC743" i="28"/>
  <c r="AY743" i="28"/>
  <c r="AO743" i="28"/>
  <c r="T743" i="28"/>
  <c r="R743" i="28"/>
  <c r="BR743" i="28" s="1"/>
  <c r="BN742" i="28"/>
  <c r="BM742" i="28"/>
  <c r="BL742" i="28"/>
  <c r="BK742" i="28"/>
  <c r="BJ742" i="28"/>
  <c r="BI742" i="28"/>
  <c r="BH742" i="28"/>
  <c r="BG742" i="28"/>
  <c r="BF742" i="28"/>
  <c r="BE742" i="28"/>
  <c r="BD742" i="28"/>
  <c r="BC742" i="28"/>
  <c r="AY742" i="28"/>
  <c r="AO742" i="28"/>
  <c r="T742" i="28"/>
  <c r="R742" i="28"/>
  <c r="BR742" i="28" s="1"/>
  <c r="AY741" i="28"/>
  <c r="AT741" i="28"/>
  <c r="AO741" i="28"/>
  <c r="T741" i="28"/>
  <c r="R741" i="28"/>
  <c r="BR741" i="28" s="1"/>
  <c r="AY740" i="28"/>
  <c r="AT740" i="28"/>
  <c r="AO740" i="28"/>
  <c r="T740" i="28"/>
  <c r="R740" i="28"/>
  <c r="BR740" i="28"/>
  <c r="AY739" i="28"/>
  <c r="AT739" i="28"/>
  <c r="AO739" i="28"/>
  <c r="T739" i="28"/>
  <c r="R739" i="28"/>
  <c r="BR739" i="28" s="1"/>
  <c r="AY738" i="28"/>
  <c r="AO738" i="28"/>
  <c r="T738" i="28"/>
  <c r="R738" i="28"/>
  <c r="BR738" i="28"/>
  <c r="AY737" i="28"/>
  <c r="AO737" i="28"/>
  <c r="T737" i="28"/>
  <c r="R737" i="28"/>
  <c r="BR737" i="28" s="1"/>
  <c r="AY736" i="28"/>
  <c r="AO736" i="28"/>
  <c r="T736" i="28"/>
  <c r="R736" i="28"/>
  <c r="BR736" i="28" s="1"/>
  <c r="AY735" i="28"/>
  <c r="AT735" i="28"/>
  <c r="AO735" i="28"/>
  <c r="T735" i="28"/>
  <c r="R735" i="28"/>
  <c r="BR735" i="28" s="1"/>
  <c r="BN734" i="28"/>
  <c r="BM734" i="28"/>
  <c r="BL734" i="28"/>
  <c r="BK734" i="28"/>
  <c r="BJ734" i="28"/>
  <c r="BI734" i="28"/>
  <c r="BH734" i="28"/>
  <c r="BG734" i="28"/>
  <c r="BF734" i="28"/>
  <c r="BE734" i="28"/>
  <c r="BD734" i="28"/>
  <c r="BC734" i="28"/>
  <c r="AY734" i="28"/>
  <c r="AO734" i="28"/>
  <c r="T734" i="28"/>
  <c r="R734" i="28"/>
  <c r="BR734" i="28" s="1"/>
  <c r="BN733" i="28"/>
  <c r="BM733" i="28"/>
  <c r="BL733" i="28"/>
  <c r="BK733" i="28"/>
  <c r="BJ733" i="28"/>
  <c r="BI733" i="28"/>
  <c r="BH733" i="28"/>
  <c r="BG733" i="28"/>
  <c r="BF733" i="28"/>
  <c r="BE733" i="28"/>
  <c r="BD733" i="28"/>
  <c r="BC733" i="28"/>
  <c r="AY733" i="28"/>
  <c r="AO733" i="28"/>
  <c r="T733" i="28"/>
  <c r="R733" i="28"/>
  <c r="BR733" i="28" s="1"/>
  <c r="BN732" i="28"/>
  <c r="BM732" i="28"/>
  <c r="BL732" i="28"/>
  <c r="BK732" i="28"/>
  <c r="BJ732" i="28"/>
  <c r="BI732" i="28"/>
  <c r="BH732" i="28"/>
  <c r="BG732" i="28"/>
  <c r="BF732" i="28"/>
  <c r="BE732" i="28"/>
  <c r="BD732" i="28"/>
  <c r="BC732" i="28"/>
  <c r="AY732" i="28"/>
  <c r="AO732" i="28"/>
  <c r="T732" i="28"/>
  <c r="R732" i="28"/>
  <c r="BR732" i="28" s="1"/>
  <c r="BN731" i="28"/>
  <c r="BM731" i="28"/>
  <c r="BL731" i="28"/>
  <c r="BK731" i="28"/>
  <c r="BJ731" i="28"/>
  <c r="BI731" i="28"/>
  <c r="BH731" i="28"/>
  <c r="BG731" i="28"/>
  <c r="BF731" i="28"/>
  <c r="BE731" i="28"/>
  <c r="BC731" i="28"/>
  <c r="AY731" i="28"/>
  <c r="AO731" i="28"/>
  <c r="T731" i="28"/>
  <c r="R731" i="28"/>
  <c r="BR731" i="28" s="1"/>
  <c r="BN730" i="28"/>
  <c r="BM730" i="28"/>
  <c r="BL730" i="28"/>
  <c r="BK730" i="28"/>
  <c r="BJ730" i="28"/>
  <c r="BI730" i="28"/>
  <c r="BH730" i="28"/>
  <c r="BG730" i="28"/>
  <c r="BF730" i="28"/>
  <c r="BE730" i="28"/>
  <c r="BC730" i="28"/>
  <c r="AY730" i="28"/>
  <c r="AO730" i="28"/>
  <c r="T730" i="28"/>
  <c r="R730" i="28"/>
  <c r="BR730" i="28" s="1"/>
  <c r="BN729" i="28"/>
  <c r="BM729" i="28"/>
  <c r="BL729" i="28"/>
  <c r="BK729" i="28"/>
  <c r="BJ729" i="28"/>
  <c r="BI729" i="28"/>
  <c r="BH729" i="28"/>
  <c r="BG729" i="28"/>
  <c r="BF729" i="28"/>
  <c r="BE729" i="28"/>
  <c r="BD729" i="28"/>
  <c r="BC729" i="28"/>
  <c r="AY729" i="28"/>
  <c r="AO729" i="28"/>
  <c r="T729" i="28"/>
  <c r="R729" i="28"/>
  <c r="BR729" i="28" s="1"/>
  <c r="BN728" i="28"/>
  <c r="BM728" i="28"/>
  <c r="BL728" i="28"/>
  <c r="BK728" i="28"/>
  <c r="BJ728" i="28"/>
  <c r="BI728" i="28"/>
  <c r="BH728" i="28"/>
  <c r="BG728" i="28"/>
  <c r="BF728" i="28"/>
  <c r="BE728" i="28"/>
  <c r="BD728" i="28"/>
  <c r="BC728" i="28"/>
  <c r="AY728" i="28"/>
  <c r="AO728" i="28"/>
  <c r="T728" i="28"/>
  <c r="R728" i="28"/>
  <c r="BR728" i="28" s="1"/>
  <c r="BN727" i="28"/>
  <c r="BM727" i="28"/>
  <c r="BL727" i="28"/>
  <c r="BK727" i="28"/>
  <c r="BJ727" i="28"/>
  <c r="BI727" i="28"/>
  <c r="BH727" i="28"/>
  <c r="BG727" i="28"/>
  <c r="BF727" i="28"/>
  <c r="BE727" i="28"/>
  <c r="BD727" i="28"/>
  <c r="BC727" i="28"/>
  <c r="AY727" i="28"/>
  <c r="AO727" i="28"/>
  <c r="T727" i="28"/>
  <c r="R727" i="28"/>
  <c r="BR727" i="28" s="1"/>
  <c r="BN726" i="28"/>
  <c r="BM726" i="28"/>
  <c r="BL726" i="28"/>
  <c r="BK726" i="28"/>
  <c r="BJ726" i="28"/>
  <c r="BI726" i="28"/>
  <c r="BH726" i="28"/>
  <c r="BG726" i="28"/>
  <c r="BF726" i="28"/>
  <c r="BE726" i="28"/>
  <c r="BD726" i="28"/>
  <c r="BC726" i="28"/>
  <c r="AY726" i="28"/>
  <c r="AO726" i="28"/>
  <c r="T726" i="28"/>
  <c r="R726" i="28"/>
  <c r="BR726" i="28" s="1"/>
  <c r="BN725" i="28"/>
  <c r="BM725" i="28"/>
  <c r="BL725" i="28"/>
  <c r="BK725" i="28"/>
  <c r="BJ725" i="28"/>
  <c r="BI725" i="28"/>
  <c r="BH725" i="28"/>
  <c r="BG725" i="28"/>
  <c r="BF725" i="28"/>
  <c r="BE725" i="28"/>
  <c r="BD725" i="28"/>
  <c r="BC725" i="28"/>
  <c r="AY725" i="28"/>
  <c r="AO725" i="28"/>
  <c r="T725" i="28"/>
  <c r="R725" i="28"/>
  <c r="BR725" i="28" s="1"/>
  <c r="BN724" i="28"/>
  <c r="BM724" i="28"/>
  <c r="BL724" i="28"/>
  <c r="BK724" i="28"/>
  <c r="BJ724" i="28"/>
  <c r="BI724" i="28"/>
  <c r="BH724" i="28"/>
  <c r="BG724" i="28"/>
  <c r="BF724" i="28"/>
  <c r="BE724" i="28"/>
  <c r="BD724" i="28"/>
  <c r="BC724" i="28"/>
  <c r="AY724" i="28"/>
  <c r="AO724" i="28"/>
  <c r="T724" i="28"/>
  <c r="R724" i="28"/>
  <c r="BR724" i="28" s="1"/>
  <c r="BN723" i="28"/>
  <c r="BM723" i="28"/>
  <c r="BL723" i="28"/>
  <c r="BK723" i="28"/>
  <c r="BJ723" i="28"/>
  <c r="BI723" i="28"/>
  <c r="BH723" i="28"/>
  <c r="BG723" i="28"/>
  <c r="BF723" i="28"/>
  <c r="BD723" i="28"/>
  <c r="BC723" i="28"/>
  <c r="AY723" i="28"/>
  <c r="AO723" i="28"/>
  <c r="T723" i="28"/>
  <c r="R723" i="28"/>
  <c r="BR723" i="28" s="1"/>
  <c r="BN722" i="28"/>
  <c r="BM722" i="28"/>
  <c r="BL722" i="28"/>
  <c r="BK722" i="28"/>
  <c r="BJ722" i="28"/>
  <c r="BI722" i="28"/>
  <c r="BH722" i="28"/>
  <c r="BG722" i="28"/>
  <c r="BF722" i="28"/>
  <c r="BE722" i="28"/>
  <c r="BD722" i="28"/>
  <c r="BC722" i="28"/>
  <c r="AY722" i="28"/>
  <c r="AO722" i="28"/>
  <c r="T722" i="28"/>
  <c r="R722" i="28"/>
  <c r="BR722" i="28" s="1"/>
  <c r="BN721" i="28"/>
  <c r="BM721" i="28"/>
  <c r="BL721" i="28"/>
  <c r="BK721" i="28"/>
  <c r="BJ721" i="28"/>
  <c r="BI721" i="28"/>
  <c r="BH721" i="28"/>
  <c r="BG721" i="28"/>
  <c r="BF721" i="28"/>
  <c r="BE721" i="28"/>
  <c r="BD721" i="28"/>
  <c r="BC721" i="28"/>
  <c r="AY721" i="28"/>
  <c r="AO721" i="28"/>
  <c r="T721" i="28"/>
  <c r="R721" i="28"/>
  <c r="BR721" i="28" s="1"/>
  <c r="BN720" i="28"/>
  <c r="BM720" i="28"/>
  <c r="BL720" i="28"/>
  <c r="BK720" i="28"/>
  <c r="BJ720" i="28"/>
  <c r="BI720" i="28"/>
  <c r="BH720" i="28"/>
  <c r="BG720" i="28"/>
  <c r="BF720" i="28"/>
  <c r="BD720" i="28"/>
  <c r="BC720" i="28"/>
  <c r="AY720" i="28"/>
  <c r="AO720" i="28"/>
  <c r="T720" i="28"/>
  <c r="R720" i="28"/>
  <c r="BR720" i="28" s="1"/>
  <c r="AY719" i="28"/>
  <c r="AT719" i="28"/>
  <c r="AO719" i="28"/>
  <c r="AN719" i="28"/>
  <c r="T719" i="28"/>
  <c r="R719" i="28"/>
  <c r="BR719" i="28" s="1"/>
  <c r="AY718" i="28"/>
  <c r="AT718" i="28"/>
  <c r="AO718" i="28"/>
  <c r="AN718" i="28"/>
  <c r="T718" i="28"/>
  <c r="R718" i="28"/>
  <c r="BR718" i="28" s="1"/>
  <c r="AY717" i="28"/>
  <c r="AT717" i="28"/>
  <c r="AO717" i="28"/>
  <c r="AN717" i="28"/>
  <c r="T717" i="28"/>
  <c r="R717" i="28"/>
  <c r="BR717" i="28" s="1"/>
  <c r="AY716" i="28"/>
  <c r="AT716" i="28"/>
  <c r="AO716" i="28"/>
  <c r="AN716" i="28"/>
  <c r="T716" i="28"/>
  <c r="R716" i="28"/>
  <c r="BR716" i="28" s="1"/>
  <c r="AY715" i="28"/>
  <c r="AT715" i="28"/>
  <c r="AO715" i="28"/>
  <c r="AN715" i="28"/>
  <c r="T715" i="28"/>
  <c r="R715" i="28"/>
  <c r="BR715" i="28" s="1"/>
  <c r="AY714" i="28"/>
  <c r="AT714" i="28"/>
  <c r="AO714" i="28"/>
  <c r="AN714" i="28"/>
  <c r="T714" i="28"/>
  <c r="R714" i="28"/>
  <c r="BR714" i="28" s="1"/>
  <c r="AY713" i="28"/>
  <c r="AT713" i="28"/>
  <c r="AO713" i="28"/>
  <c r="AN713" i="28"/>
  <c r="T713" i="28"/>
  <c r="R713" i="28"/>
  <c r="BR713" i="28" s="1"/>
  <c r="AY712" i="28"/>
  <c r="AT712" i="28"/>
  <c r="AO712" i="28"/>
  <c r="AN712" i="28"/>
  <c r="T712" i="28"/>
  <c r="R712" i="28"/>
  <c r="BR712" i="28"/>
  <c r="AY711" i="28"/>
  <c r="AT711" i="28"/>
  <c r="AO711" i="28"/>
  <c r="AN711" i="28"/>
  <c r="T711" i="28"/>
  <c r="R711" i="28"/>
  <c r="BR711" i="28" s="1"/>
  <c r="AY710" i="28"/>
  <c r="AT710" i="28"/>
  <c r="AO710" i="28"/>
  <c r="AN710" i="28"/>
  <c r="T710" i="28"/>
  <c r="R710" i="28"/>
  <c r="BR710" i="28" s="1"/>
  <c r="AY709" i="28"/>
  <c r="AT709" i="28"/>
  <c r="AO709" i="28"/>
  <c r="AN709" i="28"/>
  <c r="T709" i="28"/>
  <c r="R709" i="28"/>
  <c r="BR709" i="28"/>
  <c r="AY708" i="28"/>
  <c r="AT708" i="28"/>
  <c r="AO708" i="28"/>
  <c r="AN708" i="28"/>
  <c r="T708" i="28"/>
  <c r="R708" i="28"/>
  <c r="BR708" i="28" s="1"/>
  <c r="AY707" i="28"/>
  <c r="AT707" i="28"/>
  <c r="AO707" i="28"/>
  <c r="AN707" i="28"/>
  <c r="T707" i="28"/>
  <c r="R707" i="28"/>
  <c r="BR707" i="28" s="1"/>
  <c r="AY706" i="28"/>
  <c r="AT706" i="28"/>
  <c r="AO706" i="28"/>
  <c r="AN706" i="28"/>
  <c r="T706" i="28"/>
  <c r="R706" i="28"/>
  <c r="BR706" i="28" s="1"/>
  <c r="AY705" i="28"/>
  <c r="AT705" i="28"/>
  <c r="AO705" i="28"/>
  <c r="AN705" i="28"/>
  <c r="T705" i="28"/>
  <c r="R705" i="28"/>
  <c r="BR705" i="28" s="1"/>
  <c r="AY704" i="28"/>
  <c r="AT704" i="28"/>
  <c r="AO704" i="28"/>
  <c r="AN704" i="28"/>
  <c r="T704" i="28"/>
  <c r="R704" i="28"/>
  <c r="BR704" i="28" s="1"/>
  <c r="AY703" i="28"/>
  <c r="AT703" i="28"/>
  <c r="AO703" i="28"/>
  <c r="AN703" i="28"/>
  <c r="T703" i="28"/>
  <c r="R703" i="28"/>
  <c r="BR703" i="28"/>
  <c r="AY702" i="28"/>
  <c r="AT702" i="28"/>
  <c r="AO702" i="28"/>
  <c r="AN702" i="28"/>
  <c r="T702" i="28"/>
  <c r="R702" i="28"/>
  <c r="BR702" i="28" s="1"/>
  <c r="AY701" i="28"/>
  <c r="AT701" i="28"/>
  <c r="AO701" i="28"/>
  <c r="AN701" i="28"/>
  <c r="T701" i="28"/>
  <c r="R701" i="28"/>
  <c r="BR701" i="28" s="1"/>
  <c r="AY700" i="28"/>
  <c r="AT700" i="28"/>
  <c r="AO700" i="28"/>
  <c r="AN700" i="28"/>
  <c r="T700" i="28"/>
  <c r="R700" i="28"/>
  <c r="BR700" i="28" s="1"/>
  <c r="AY699" i="28"/>
  <c r="AT699" i="28"/>
  <c r="AO699" i="28"/>
  <c r="AN699" i="28"/>
  <c r="T699" i="28"/>
  <c r="R699" i="28"/>
  <c r="BR699" i="28" s="1"/>
  <c r="AY698" i="28"/>
  <c r="AT698" i="28"/>
  <c r="AO698" i="28"/>
  <c r="AN698" i="28"/>
  <c r="T698" i="28"/>
  <c r="R698" i="28"/>
  <c r="BR698" i="28" s="1"/>
  <c r="AY697" i="28"/>
  <c r="AT697" i="28"/>
  <c r="AO697" i="28"/>
  <c r="AN697" i="28"/>
  <c r="T697" i="28"/>
  <c r="R697" i="28"/>
  <c r="BR697" i="28" s="1"/>
  <c r="AY696" i="28"/>
  <c r="AT696" i="28"/>
  <c r="AO696" i="28"/>
  <c r="AN696" i="28"/>
  <c r="T696" i="28"/>
  <c r="R696" i="28"/>
  <c r="BR696" i="28" s="1"/>
  <c r="AY695" i="28"/>
  <c r="AT695" i="28"/>
  <c r="AO695" i="28"/>
  <c r="AN695" i="28"/>
  <c r="T695" i="28"/>
  <c r="R695" i="28"/>
  <c r="BR695" i="28"/>
  <c r="AY694" i="28"/>
  <c r="AT694" i="28"/>
  <c r="AO694" i="28"/>
  <c r="AN694" i="28"/>
  <c r="T694" i="28"/>
  <c r="R694" i="28"/>
  <c r="BR694" i="28" s="1"/>
  <c r="AY693" i="28"/>
  <c r="AT693" i="28"/>
  <c r="AO693" i="28"/>
  <c r="AN693" i="28"/>
  <c r="T693" i="28"/>
  <c r="R693" i="28"/>
  <c r="BR693" i="28" s="1"/>
  <c r="AY692" i="28"/>
  <c r="AT692" i="28"/>
  <c r="AO692" i="28"/>
  <c r="AN692" i="28"/>
  <c r="T692" i="28"/>
  <c r="R692" i="28"/>
  <c r="BR692" i="28" s="1"/>
  <c r="AY691" i="28"/>
  <c r="AT691" i="28"/>
  <c r="AO691" i="28"/>
  <c r="AN691" i="28"/>
  <c r="T691" i="28"/>
  <c r="R691" i="28"/>
  <c r="BR691" i="28" s="1"/>
  <c r="AY690" i="28"/>
  <c r="AT690" i="28"/>
  <c r="AO690" i="28"/>
  <c r="AN690" i="28"/>
  <c r="T690" i="28"/>
  <c r="R690" i="28"/>
  <c r="BR690" i="28" s="1"/>
  <c r="AY689" i="28"/>
  <c r="AT689" i="28"/>
  <c r="AO689" i="28"/>
  <c r="AN689" i="28"/>
  <c r="T689" i="28"/>
  <c r="R689" i="28"/>
  <c r="BR689" i="28" s="1"/>
  <c r="AY688" i="28"/>
  <c r="AT688" i="28"/>
  <c r="AO688" i="28"/>
  <c r="AN688" i="28"/>
  <c r="T688" i="28"/>
  <c r="R688" i="28"/>
  <c r="BR688" i="28" s="1"/>
  <c r="AY687" i="28"/>
  <c r="AT687" i="28"/>
  <c r="AO687" i="28"/>
  <c r="AN687" i="28"/>
  <c r="T687" i="28"/>
  <c r="R687" i="28"/>
  <c r="BR687" i="28" s="1"/>
  <c r="AY686" i="28"/>
  <c r="AT686" i="28"/>
  <c r="AO686" i="28"/>
  <c r="AN686" i="28"/>
  <c r="T686" i="28"/>
  <c r="R686" i="28"/>
  <c r="BR686" i="28" s="1"/>
  <c r="AY685" i="28"/>
  <c r="AT685" i="28"/>
  <c r="AO685" i="28"/>
  <c r="AN685" i="28"/>
  <c r="T685" i="28"/>
  <c r="R685" i="28"/>
  <c r="BR685" i="28" s="1"/>
  <c r="AY684" i="28"/>
  <c r="AT684" i="28"/>
  <c r="AO684" i="28"/>
  <c r="AN684" i="28"/>
  <c r="T684" i="28"/>
  <c r="R684" i="28"/>
  <c r="BR684" i="28"/>
  <c r="AY683" i="28"/>
  <c r="AT683" i="28"/>
  <c r="AO683" i="28"/>
  <c r="AN683" i="28"/>
  <c r="T683" i="28"/>
  <c r="R683" i="28"/>
  <c r="BR683" i="28" s="1"/>
  <c r="AY682" i="28"/>
  <c r="AT682" i="28"/>
  <c r="AO682" i="28"/>
  <c r="AN682" i="28"/>
  <c r="T682" i="28"/>
  <c r="R682" i="28"/>
  <c r="BR682" i="28" s="1"/>
  <c r="AY681" i="28"/>
  <c r="AT681" i="28"/>
  <c r="AO681" i="28"/>
  <c r="AN681" i="28"/>
  <c r="T681" i="28"/>
  <c r="R681" i="28"/>
  <c r="BR681" i="28" s="1"/>
  <c r="AY680" i="28"/>
  <c r="AT680" i="28"/>
  <c r="AO680" i="28"/>
  <c r="AN680" i="28"/>
  <c r="T680" i="28"/>
  <c r="R680" i="28"/>
  <c r="BR680" i="28"/>
  <c r="AY679" i="28"/>
  <c r="AT679" i="28"/>
  <c r="AO679" i="28"/>
  <c r="AN679" i="28"/>
  <c r="T679" i="28"/>
  <c r="R679" i="28"/>
  <c r="BR679" i="28" s="1"/>
  <c r="AY678" i="28"/>
  <c r="AT678" i="28"/>
  <c r="AO678" i="28"/>
  <c r="AN678" i="28"/>
  <c r="T678" i="28"/>
  <c r="R678" i="28"/>
  <c r="BR678" i="28" s="1"/>
  <c r="AY677" i="28"/>
  <c r="AT677" i="28"/>
  <c r="AO677" i="28"/>
  <c r="AN677" i="28"/>
  <c r="T677" i="28"/>
  <c r="R677" i="28"/>
  <c r="BR677" i="28"/>
  <c r="AY676" i="28"/>
  <c r="AT676" i="28"/>
  <c r="AO676" i="28"/>
  <c r="AN676" i="28"/>
  <c r="T676" i="28"/>
  <c r="R676" i="28"/>
  <c r="BR676" i="28" s="1"/>
  <c r="AY675" i="28"/>
  <c r="AT675" i="28"/>
  <c r="AO675" i="28"/>
  <c r="AN675" i="28"/>
  <c r="T675" i="28"/>
  <c r="R675" i="28"/>
  <c r="BR675" i="28" s="1"/>
  <c r="AY674" i="28"/>
  <c r="AT674" i="28"/>
  <c r="AO674" i="28"/>
  <c r="AN674" i="28"/>
  <c r="T674" i="28"/>
  <c r="R674" i="28"/>
  <c r="BR674" i="28" s="1"/>
  <c r="AY673" i="28"/>
  <c r="AT673" i="28"/>
  <c r="AO673" i="28"/>
  <c r="AN673" i="28"/>
  <c r="T673" i="28"/>
  <c r="R673" i="28"/>
  <c r="BR673" i="28"/>
  <c r="AY672" i="28"/>
  <c r="AT672" i="28"/>
  <c r="AO672" i="28"/>
  <c r="AN672" i="28"/>
  <c r="T672" i="28"/>
  <c r="R672" i="28"/>
  <c r="BR672" i="28" s="1"/>
  <c r="AY671" i="28"/>
  <c r="AT671" i="28"/>
  <c r="AO671" i="28"/>
  <c r="AN671" i="28"/>
  <c r="T671" i="28"/>
  <c r="R671" i="28"/>
  <c r="BR671" i="28" s="1"/>
  <c r="AY670" i="28"/>
  <c r="AT670" i="28"/>
  <c r="AO670" i="28"/>
  <c r="AN670" i="28"/>
  <c r="T670" i="28"/>
  <c r="R670" i="28"/>
  <c r="BR670" i="28" s="1"/>
  <c r="AY669" i="28"/>
  <c r="AT669" i="28"/>
  <c r="AO669" i="28"/>
  <c r="AN669" i="28"/>
  <c r="T669" i="28"/>
  <c r="R669" i="28"/>
  <c r="BR669" i="28" s="1"/>
  <c r="AY668" i="28"/>
  <c r="AT668" i="28"/>
  <c r="AO668" i="28"/>
  <c r="AN668" i="28"/>
  <c r="T668" i="28"/>
  <c r="R668" i="28"/>
  <c r="BR668" i="28" s="1"/>
  <c r="AY667" i="28"/>
  <c r="AT667" i="28"/>
  <c r="AO667" i="28"/>
  <c r="AN667" i="28"/>
  <c r="T667" i="28"/>
  <c r="R667" i="28"/>
  <c r="BR667" i="28" s="1"/>
  <c r="AY666" i="28"/>
  <c r="AT666" i="28"/>
  <c r="AO666" i="28"/>
  <c r="AN666" i="28"/>
  <c r="T666" i="28"/>
  <c r="R666" i="28"/>
  <c r="BR666" i="28" s="1"/>
  <c r="AY665" i="28"/>
  <c r="AT665" i="28"/>
  <c r="AO665" i="28"/>
  <c r="AN665" i="28"/>
  <c r="T665" i="28"/>
  <c r="R665" i="28"/>
  <c r="BR665" i="28" s="1"/>
  <c r="AY664" i="28"/>
  <c r="AT664" i="28"/>
  <c r="AO664" i="28"/>
  <c r="AN664" i="28"/>
  <c r="T664" i="28"/>
  <c r="R664" i="28"/>
  <c r="BR664" i="28" s="1"/>
  <c r="AY663" i="28"/>
  <c r="AT663" i="28"/>
  <c r="AO663" i="28"/>
  <c r="AN663" i="28"/>
  <c r="T663" i="28"/>
  <c r="R663" i="28"/>
  <c r="BR663" i="28" s="1"/>
  <c r="AY662" i="28"/>
  <c r="AT662" i="28"/>
  <c r="AO662" i="28"/>
  <c r="AN662" i="28"/>
  <c r="T662" i="28"/>
  <c r="R662" i="28"/>
  <c r="BR662" i="28" s="1"/>
  <c r="AY661" i="28"/>
  <c r="AT661" i="28"/>
  <c r="AO661" i="28"/>
  <c r="AN661" i="28"/>
  <c r="T661" i="28"/>
  <c r="R661" i="28"/>
  <c r="BR661" i="28" s="1"/>
  <c r="AY660" i="28"/>
  <c r="AT660" i="28"/>
  <c r="AO660" i="28"/>
  <c r="AN660" i="28"/>
  <c r="T660" i="28"/>
  <c r="R660" i="28"/>
  <c r="BR660" i="28"/>
  <c r="AY659" i="28"/>
  <c r="AT659" i="28"/>
  <c r="AO659" i="28"/>
  <c r="AN659" i="28"/>
  <c r="T659" i="28"/>
  <c r="R659" i="28"/>
  <c r="BR659" i="28" s="1"/>
  <c r="AY658" i="28"/>
  <c r="AT658" i="28"/>
  <c r="AO658" i="28"/>
  <c r="AN658" i="28"/>
  <c r="T658" i="28"/>
  <c r="R658" i="28"/>
  <c r="BR658" i="28" s="1"/>
  <c r="AY657" i="28"/>
  <c r="AT657" i="28"/>
  <c r="AO657" i="28"/>
  <c r="AN657" i="28"/>
  <c r="T657" i="28"/>
  <c r="R657" i="28"/>
  <c r="BR657" i="28" s="1"/>
  <c r="AY656" i="28"/>
  <c r="AT656" i="28"/>
  <c r="AO656" i="28"/>
  <c r="AN656" i="28"/>
  <c r="T656" i="28"/>
  <c r="R656" i="28"/>
  <c r="BR656" i="28" s="1"/>
  <c r="AY655" i="28"/>
  <c r="AT655" i="28"/>
  <c r="AO655" i="28"/>
  <c r="AN655" i="28"/>
  <c r="T655" i="28"/>
  <c r="R655" i="28"/>
  <c r="BR655" i="28" s="1"/>
  <c r="AY654" i="28"/>
  <c r="AT654" i="28"/>
  <c r="AO654" i="28"/>
  <c r="AN654" i="28"/>
  <c r="T654" i="28"/>
  <c r="R654" i="28"/>
  <c r="BR654" i="28" s="1"/>
  <c r="AY653" i="28"/>
  <c r="AT653" i="28"/>
  <c r="AO653" i="28"/>
  <c r="AN653" i="28"/>
  <c r="T653" i="28"/>
  <c r="R653" i="28"/>
  <c r="BR653" i="28"/>
  <c r="AY652" i="28"/>
  <c r="AT652" i="28"/>
  <c r="AO652" i="28"/>
  <c r="AN652" i="28"/>
  <c r="T652" i="28"/>
  <c r="R652" i="28"/>
  <c r="BR652" i="28" s="1"/>
  <c r="AY651" i="28"/>
  <c r="AT651" i="28"/>
  <c r="AO651" i="28"/>
  <c r="AN651" i="28"/>
  <c r="T651" i="28"/>
  <c r="R651" i="28"/>
  <c r="BR651" i="28" s="1"/>
  <c r="AY650" i="28"/>
  <c r="AT650" i="28"/>
  <c r="AO650" i="28"/>
  <c r="AN650" i="28"/>
  <c r="T650" i="28"/>
  <c r="R650" i="28"/>
  <c r="BR650" i="28" s="1"/>
  <c r="AY649" i="28"/>
  <c r="AT649" i="28"/>
  <c r="AO649" i="28"/>
  <c r="AN649" i="28"/>
  <c r="T649" i="28"/>
  <c r="R649" i="28"/>
  <c r="BR649" i="28"/>
  <c r="AY648" i="28"/>
  <c r="AT648" i="28"/>
  <c r="AO648" i="28"/>
  <c r="AN648" i="28"/>
  <c r="T648" i="28"/>
  <c r="R648" i="28"/>
  <c r="BR648" i="28" s="1"/>
  <c r="AY647" i="28"/>
  <c r="AT647" i="28"/>
  <c r="AO647" i="28"/>
  <c r="AN647" i="28"/>
  <c r="T647" i="28"/>
  <c r="R647" i="28"/>
  <c r="BR647" i="28" s="1"/>
  <c r="AY646" i="28"/>
  <c r="AT646" i="28"/>
  <c r="AO646" i="28"/>
  <c r="AN646" i="28"/>
  <c r="T646" i="28"/>
  <c r="R646" i="28"/>
  <c r="BR646" i="28" s="1"/>
  <c r="AY645" i="28"/>
  <c r="AT645" i="28"/>
  <c r="AO645" i="28"/>
  <c r="AN645" i="28"/>
  <c r="T645" i="28"/>
  <c r="R645" i="28"/>
  <c r="BR645" i="28" s="1"/>
  <c r="AY644" i="28"/>
  <c r="AT644" i="28"/>
  <c r="AO644" i="28"/>
  <c r="AN644" i="28"/>
  <c r="T644" i="28"/>
  <c r="R644" i="28"/>
  <c r="BR644" i="28" s="1"/>
  <c r="AY643" i="28"/>
  <c r="AT643" i="28"/>
  <c r="AO643" i="28"/>
  <c r="AN643" i="28"/>
  <c r="T643" i="28"/>
  <c r="R643" i="28"/>
  <c r="BR643" i="28" s="1"/>
  <c r="AY642" i="28"/>
  <c r="AT642" i="28"/>
  <c r="AO642" i="28"/>
  <c r="AN642" i="28"/>
  <c r="T642" i="28"/>
  <c r="R642" i="28"/>
  <c r="BR642" i="28" s="1"/>
  <c r="AY641" i="28"/>
  <c r="AT641" i="28"/>
  <c r="AO641" i="28"/>
  <c r="AN641" i="28"/>
  <c r="T641" i="28"/>
  <c r="R641" i="28"/>
  <c r="BR641" i="28" s="1"/>
  <c r="AY640" i="28"/>
  <c r="AT640" i="28"/>
  <c r="AO640" i="28"/>
  <c r="AN640" i="28"/>
  <c r="T640" i="28"/>
  <c r="R640" i="28"/>
  <c r="BR640" i="28" s="1"/>
  <c r="AY639" i="28"/>
  <c r="AT639" i="28"/>
  <c r="AO639" i="28"/>
  <c r="AN639" i="28"/>
  <c r="T639" i="28"/>
  <c r="R639" i="28"/>
  <c r="BR639" i="28" s="1"/>
  <c r="AY638" i="28"/>
  <c r="AT638" i="28"/>
  <c r="AO638" i="28"/>
  <c r="AN638" i="28"/>
  <c r="T638" i="28"/>
  <c r="R638" i="28"/>
  <c r="BR638" i="28" s="1"/>
  <c r="AY637" i="28"/>
  <c r="AT637" i="28"/>
  <c r="AO637" i="28"/>
  <c r="AN637" i="28"/>
  <c r="T637" i="28"/>
  <c r="R637" i="28"/>
  <c r="BR637" i="28" s="1"/>
  <c r="AY636" i="28"/>
  <c r="AT636" i="28"/>
  <c r="AO636" i="28"/>
  <c r="AN636" i="28"/>
  <c r="T636" i="28"/>
  <c r="R636" i="28"/>
  <c r="BR636" i="28"/>
  <c r="AY635" i="28"/>
  <c r="AT635" i="28"/>
  <c r="AO635" i="28"/>
  <c r="AN635" i="28"/>
  <c r="T635" i="28"/>
  <c r="R635" i="28"/>
  <c r="BR635" i="28" s="1"/>
  <c r="AY634" i="28"/>
  <c r="AT634" i="28"/>
  <c r="AO634" i="28"/>
  <c r="AN634" i="28"/>
  <c r="T634" i="28"/>
  <c r="R634" i="28"/>
  <c r="BR634" i="28" s="1"/>
  <c r="AY633" i="28"/>
  <c r="AT633" i="28"/>
  <c r="AO633" i="28"/>
  <c r="AN633" i="28"/>
  <c r="T633" i="28"/>
  <c r="R633" i="28"/>
  <c r="BR633" i="28" s="1"/>
  <c r="AY632" i="28"/>
  <c r="AT632" i="28"/>
  <c r="AO632" i="28"/>
  <c r="AN632" i="28"/>
  <c r="T632" i="28"/>
  <c r="R632" i="28"/>
  <c r="BR632" i="28"/>
  <c r="AY631" i="28"/>
  <c r="AT631" i="28"/>
  <c r="AO631" i="28"/>
  <c r="AN631" i="28"/>
  <c r="T631" i="28"/>
  <c r="R631" i="28"/>
  <c r="BR631" i="28" s="1"/>
  <c r="AY630" i="28"/>
  <c r="AT630" i="28"/>
  <c r="AO630" i="28"/>
  <c r="AN630" i="28"/>
  <c r="T630" i="28"/>
  <c r="R630" i="28"/>
  <c r="BR630" i="28" s="1"/>
  <c r="BN629" i="28"/>
  <c r="BM629" i="28"/>
  <c r="BL629" i="28"/>
  <c r="BK629" i="28"/>
  <c r="BJ629" i="28"/>
  <c r="BI629" i="28"/>
  <c r="BH629" i="28"/>
  <c r="BG629" i="28"/>
  <c r="BF629" i="28"/>
  <c r="BE629" i="28"/>
  <c r="BD629" i="28"/>
  <c r="BC629" i="28"/>
  <c r="AY629" i="28"/>
  <c r="AT629" i="28"/>
  <c r="AO629" i="28"/>
  <c r="AN629" i="28"/>
  <c r="T629" i="28"/>
  <c r="R629" i="28"/>
  <c r="BR629" i="28"/>
  <c r="BN628" i="28"/>
  <c r="BM628" i="28"/>
  <c r="BL628" i="28"/>
  <c r="BK628" i="28"/>
  <c r="BJ628" i="28"/>
  <c r="BI628" i="28"/>
  <c r="BH628" i="28"/>
  <c r="BG628" i="28"/>
  <c r="BF628" i="28"/>
  <c r="BE628" i="28"/>
  <c r="BD628" i="28"/>
  <c r="BC628" i="28"/>
  <c r="AY628" i="28"/>
  <c r="AT628" i="28"/>
  <c r="AO628" i="28"/>
  <c r="AN628" i="28"/>
  <c r="T628" i="28"/>
  <c r="R628" i="28"/>
  <c r="BR628" i="28" s="1"/>
  <c r="BN627" i="28"/>
  <c r="BM627" i="28"/>
  <c r="BL627" i="28"/>
  <c r="BK627" i="28"/>
  <c r="BJ627" i="28"/>
  <c r="BI627" i="28"/>
  <c r="BH627" i="28"/>
  <c r="BG627" i="28"/>
  <c r="BF627" i="28"/>
  <c r="BE627" i="28"/>
  <c r="BD627" i="28"/>
  <c r="BC627" i="28"/>
  <c r="AY627" i="28"/>
  <c r="AO627" i="28"/>
  <c r="AN627" i="28"/>
  <c r="T627" i="28"/>
  <c r="R627" i="28"/>
  <c r="BR627" i="28" s="1"/>
  <c r="BN626" i="28"/>
  <c r="BM626" i="28"/>
  <c r="BL626" i="28"/>
  <c r="BK626" i="28"/>
  <c r="BJ626" i="28"/>
  <c r="BI626" i="28"/>
  <c r="BH626" i="28"/>
  <c r="BG626" i="28"/>
  <c r="BF626" i="28"/>
  <c r="BE626" i="28"/>
  <c r="BD626" i="28"/>
  <c r="BC626" i="28"/>
  <c r="AY626" i="28"/>
  <c r="AT626" i="28"/>
  <c r="AO626" i="28"/>
  <c r="AN626" i="28"/>
  <c r="T626" i="28"/>
  <c r="R626" i="28"/>
  <c r="BR626" i="28" s="1"/>
  <c r="BN625" i="28"/>
  <c r="BM625" i="28"/>
  <c r="BL625" i="28"/>
  <c r="BK625" i="28"/>
  <c r="BJ625" i="28"/>
  <c r="BI625" i="28"/>
  <c r="BH625" i="28"/>
  <c r="BG625" i="28"/>
  <c r="BF625" i="28"/>
  <c r="BE625" i="28"/>
  <c r="BD625" i="28"/>
  <c r="BC625" i="28"/>
  <c r="AY625" i="28"/>
  <c r="AT625" i="28"/>
  <c r="AO625" i="28"/>
  <c r="AN625" i="28"/>
  <c r="T625" i="28"/>
  <c r="R625" i="28"/>
  <c r="BR625" i="28" s="1"/>
  <c r="BN624" i="28"/>
  <c r="BM624" i="28"/>
  <c r="BL624" i="28"/>
  <c r="BK624" i="28"/>
  <c r="BJ624" i="28"/>
  <c r="BI624" i="28"/>
  <c r="BH624" i="28"/>
  <c r="BG624" i="28"/>
  <c r="BF624" i="28"/>
  <c r="BE624" i="28"/>
  <c r="BD624" i="28"/>
  <c r="BC624" i="28"/>
  <c r="AY624" i="28"/>
  <c r="AT624" i="28"/>
  <c r="AO624" i="28"/>
  <c r="AN624" i="28"/>
  <c r="T624" i="28"/>
  <c r="R624" i="28"/>
  <c r="BR624" i="28" s="1"/>
  <c r="BN623" i="28"/>
  <c r="BM623" i="28"/>
  <c r="BL623" i="28"/>
  <c r="BK623" i="28"/>
  <c r="BJ623" i="28"/>
  <c r="BI623" i="28"/>
  <c r="BH623" i="28"/>
  <c r="BG623" i="28"/>
  <c r="BF623" i="28"/>
  <c r="BE623" i="28"/>
  <c r="BD623" i="28"/>
  <c r="BC623" i="28"/>
  <c r="AY623" i="28"/>
  <c r="AT623" i="28"/>
  <c r="AO623" i="28"/>
  <c r="AN623" i="28"/>
  <c r="T623" i="28"/>
  <c r="R623" i="28"/>
  <c r="BR623" i="28" s="1"/>
  <c r="BN622" i="28"/>
  <c r="BM622" i="28"/>
  <c r="BL622" i="28"/>
  <c r="BK622" i="28"/>
  <c r="BJ622" i="28"/>
  <c r="BI622" i="28"/>
  <c r="BH622" i="28"/>
  <c r="BG622" i="28"/>
  <c r="BF622" i="28"/>
  <c r="BE622" i="28"/>
  <c r="BD622" i="28"/>
  <c r="BC622" i="28"/>
  <c r="AY622" i="28"/>
  <c r="AT622" i="28"/>
  <c r="AO622" i="28"/>
  <c r="AN622" i="28"/>
  <c r="T622" i="28"/>
  <c r="R622" i="28"/>
  <c r="BR622" i="28" s="1"/>
  <c r="BN621" i="28"/>
  <c r="BM621" i="28"/>
  <c r="BL621" i="28"/>
  <c r="BK621" i="28"/>
  <c r="BJ621" i="28"/>
  <c r="BI621" i="28"/>
  <c r="BH621" i="28"/>
  <c r="BG621" i="28"/>
  <c r="BF621" i="28"/>
  <c r="BE621" i="28"/>
  <c r="BD621" i="28"/>
  <c r="BC621" i="28"/>
  <c r="AY621" i="28"/>
  <c r="AT621" i="28"/>
  <c r="AO621" i="28"/>
  <c r="AN621" i="28"/>
  <c r="T621" i="28"/>
  <c r="R621" i="28"/>
  <c r="BR621" i="28"/>
  <c r="BN620" i="28"/>
  <c r="BM620" i="28"/>
  <c r="BL620" i="28"/>
  <c r="BK620" i="28"/>
  <c r="BJ620" i="28"/>
  <c r="BI620" i="28"/>
  <c r="BH620" i="28"/>
  <c r="BG620" i="28"/>
  <c r="BF620" i="28"/>
  <c r="BE620" i="28"/>
  <c r="BD620" i="28"/>
  <c r="BC620" i="28"/>
  <c r="AY620" i="28"/>
  <c r="AO620" i="28"/>
  <c r="AN620" i="28"/>
  <c r="T620" i="28"/>
  <c r="R620" i="28"/>
  <c r="BR620" i="28" s="1"/>
  <c r="BN619" i="28"/>
  <c r="BM619" i="28"/>
  <c r="BL619" i="28"/>
  <c r="BK619" i="28"/>
  <c r="BJ619" i="28"/>
  <c r="BI619" i="28"/>
  <c r="BH619" i="28"/>
  <c r="BG619" i="28"/>
  <c r="BF619" i="28"/>
  <c r="BE619" i="28"/>
  <c r="BD619" i="28"/>
  <c r="BC619" i="28"/>
  <c r="AY619" i="28"/>
  <c r="AT619" i="28"/>
  <c r="AO619" i="28"/>
  <c r="AN619" i="28"/>
  <c r="T619" i="28"/>
  <c r="R619" i="28"/>
  <c r="BR619" i="28" s="1"/>
  <c r="BN618" i="28"/>
  <c r="BM618" i="28"/>
  <c r="BL618" i="28"/>
  <c r="BK618" i="28"/>
  <c r="BJ618" i="28"/>
  <c r="BI618" i="28"/>
  <c r="BH618" i="28"/>
  <c r="BG618" i="28"/>
  <c r="BF618" i="28"/>
  <c r="BE618" i="28"/>
  <c r="BD618" i="28"/>
  <c r="BC618" i="28"/>
  <c r="AY618" i="28"/>
  <c r="AT618" i="28"/>
  <c r="AO618" i="28"/>
  <c r="AN618" i="28"/>
  <c r="T618" i="28"/>
  <c r="R618" i="28"/>
  <c r="BR618" i="28" s="1"/>
  <c r="BN617" i="28"/>
  <c r="BM617" i="28"/>
  <c r="BL617" i="28"/>
  <c r="BK617" i="28"/>
  <c r="BJ617" i="28"/>
  <c r="BI617" i="28"/>
  <c r="BH617" i="28"/>
  <c r="BG617" i="28"/>
  <c r="BF617" i="28"/>
  <c r="BE617" i="28"/>
  <c r="BD617" i="28"/>
  <c r="BC617" i="28"/>
  <c r="AY617" i="28"/>
  <c r="AT617" i="28"/>
  <c r="AO617" i="28"/>
  <c r="AN617" i="28"/>
  <c r="T617" i="28"/>
  <c r="R617" i="28"/>
  <c r="BR617" i="28" s="1"/>
  <c r="BN616" i="28"/>
  <c r="BM616" i="28"/>
  <c r="BL616" i="28"/>
  <c r="BK616" i="28"/>
  <c r="BJ616" i="28"/>
  <c r="BI616" i="28"/>
  <c r="BH616" i="28"/>
  <c r="BG616" i="28"/>
  <c r="BF616" i="28"/>
  <c r="BE616" i="28"/>
  <c r="BD616" i="28"/>
  <c r="BC616" i="28"/>
  <c r="AY616" i="28"/>
  <c r="AT616" i="28"/>
  <c r="AO616" i="28"/>
  <c r="AN616" i="28"/>
  <c r="T616" i="28"/>
  <c r="R616" i="28"/>
  <c r="BR616" i="28" s="1"/>
  <c r="BN615" i="28"/>
  <c r="BM615" i="28"/>
  <c r="BL615" i="28"/>
  <c r="BK615" i="28"/>
  <c r="BJ615" i="28"/>
  <c r="BI615" i="28"/>
  <c r="BH615" i="28"/>
  <c r="BG615" i="28"/>
  <c r="BF615" i="28"/>
  <c r="BE615" i="28"/>
  <c r="BD615" i="28"/>
  <c r="BC615" i="28"/>
  <c r="AY615" i="28"/>
  <c r="AT615" i="28"/>
  <c r="AO615" i="28"/>
  <c r="AN615" i="28"/>
  <c r="T615" i="28"/>
  <c r="R615" i="28"/>
  <c r="BR615" i="28" s="1"/>
  <c r="BN614" i="28"/>
  <c r="BM614" i="28"/>
  <c r="BL614" i="28"/>
  <c r="BK614" i="28"/>
  <c r="BJ614" i="28"/>
  <c r="BI614" i="28"/>
  <c r="BH614" i="28"/>
  <c r="BG614" i="28"/>
  <c r="BF614" i="28"/>
  <c r="BE614" i="28"/>
  <c r="BD614" i="28"/>
  <c r="BC614" i="28"/>
  <c r="AY614" i="28"/>
  <c r="AT614" i="28"/>
  <c r="AO614" i="28"/>
  <c r="AN614" i="28"/>
  <c r="T614" i="28"/>
  <c r="R614" i="28"/>
  <c r="BR614" i="28" s="1"/>
  <c r="BN613" i="28"/>
  <c r="BM613" i="28"/>
  <c r="BL613" i="28"/>
  <c r="BK613" i="28"/>
  <c r="BJ613" i="28"/>
  <c r="BI613" i="28"/>
  <c r="BH613" i="28"/>
  <c r="BG613" i="28"/>
  <c r="BF613" i="28"/>
  <c r="BE613" i="28"/>
  <c r="BD613" i="28"/>
  <c r="BC613" i="28"/>
  <c r="AY613" i="28"/>
  <c r="AT613" i="28"/>
  <c r="AO613" i="28"/>
  <c r="AN613" i="28"/>
  <c r="T613" i="28"/>
  <c r="R613" i="28"/>
  <c r="BR613" i="28" s="1"/>
  <c r="BN612" i="28"/>
  <c r="BM612" i="28"/>
  <c r="BL612" i="28"/>
  <c r="BK612" i="28"/>
  <c r="BJ612" i="28"/>
  <c r="BI612" i="28"/>
  <c r="BH612" i="28"/>
  <c r="BG612" i="28"/>
  <c r="BF612" i="28"/>
  <c r="BE612" i="28"/>
  <c r="BD612" i="28"/>
  <c r="BC612" i="28"/>
  <c r="AY612" i="28"/>
  <c r="AT612" i="28"/>
  <c r="AO612" i="28"/>
  <c r="AN612" i="28"/>
  <c r="T612" i="28"/>
  <c r="R612" i="28"/>
  <c r="BR612" i="28" s="1"/>
  <c r="BN611" i="28"/>
  <c r="BM611" i="28"/>
  <c r="BL611" i="28"/>
  <c r="BK611" i="28"/>
  <c r="BJ611" i="28"/>
  <c r="BI611" i="28"/>
  <c r="BH611" i="28"/>
  <c r="BG611" i="28"/>
  <c r="BF611" i="28"/>
  <c r="BE611" i="28"/>
  <c r="BD611" i="28"/>
  <c r="BC611" i="28"/>
  <c r="AY611" i="28"/>
  <c r="AT611" i="28"/>
  <c r="AO611" i="28"/>
  <c r="AN611" i="28"/>
  <c r="T611" i="28"/>
  <c r="R611" i="28"/>
  <c r="BR611" i="28" s="1"/>
  <c r="BN610" i="28"/>
  <c r="BM610" i="28"/>
  <c r="BL610" i="28"/>
  <c r="BK610" i="28"/>
  <c r="BJ610" i="28"/>
  <c r="BI610" i="28"/>
  <c r="BH610" i="28"/>
  <c r="BG610" i="28"/>
  <c r="BF610" i="28"/>
  <c r="BE610" i="28"/>
  <c r="BD610" i="28"/>
  <c r="BC610" i="28"/>
  <c r="AY610" i="28"/>
  <c r="AT610" i="28"/>
  <c r="AO610" i="28"/>
  <c r="AN610" i="28"/>
  <c r="T610" i="28"/>
  <c r="R610" i="28"/>
  <c r="BR610" i="28" s="1"/>
  <c r="BN609" i="28"/>
  <c r="BM609" i="28"/>
  <c r="BL609" i="28"/>
  <c r="BK609" i="28"/>
  <c r="BJ609" i="28"/>
  <c r="BI609" i="28"/>
  <c r="BH609" i="28"/>
  <c r="BG609" i="28"/>
  <c r="BF609" i="28"/>
  <c r="BE609" i="28"/>
  <c r="BD609" i="28"/>
  <c r="BC609" i="28"/>
  <c r="AY609" i="28"/>
  <c r="AT609" i="28"/>
  <c r="AO609" i="28"/>
  <c r="AN609" i="28"/>
  <c r="T609" i="28"/>
  <c r="R609" i="28"/>
  <c r="BR609" i="28"/>
  <c r="BN608" i="28"/>
  <c r="BM608" i="28"/>
  <c r="BL608" i="28"/>
  <c r="BK608" i="28"/>
  <c r="BJ608" i="28"/>
  <c r="BI608" i="28"/>
  <c r="BH608" i="28"/>
  <c r="BG608" i="28"/>
  <c r="BF608" i="28"/>
  <c r="BE608" i="28"/>
  <c r="BD608" i="28"/>
  <c r="BC608" i="28"/>
  <c r="AY608" i="28"/>
  <c r="AT608" i="28"/>
  <c r="AO608" i="28"/>
  <c r="AN608" i="28"/>
  <c r="T608" i="28"/>
  <c r="R608" i="28"/>
  <c r="BR608" i="28" s="1"/>
  <c r="BN607" i="28"/>
  <c r="BM607" i="28"/>
  <c r="BL607" i="28"/>
  <c r="BK607" i="28"/>
  <c r="BJ607" i="28"/>
  <c r="BI607" i="28"/>
  <c r="BH607" i="28"/>
  <c r="BG607" i="28"/>
  <c r="BF607" i="28"/>
  <c r="BE607" i="28"/>
  <c r="BD607" i="28"/>
  <c r="BC607" i="28"/>
  <c r="AY607" i="28"/>
  <c r="AT607" i="28"/>
  <c r="AO607" i="28"/>
  <c r="AN607" i="28"/>
  <c r="T607" i="28"/>
  <c r="R607" i="28"/>
  <c r="BR607" i="28" s="1"/>
  <c r="BN606" i="28"/>
  <c r="BM606" i="28"/>
  <c r="BL606" i="28"/>
  <c r="BK606" i="28"/>
  <c r="BJ606" i="28"/>
  <c r="BI606" i="28"/>
  <c r="BH606" i="28"/>
  <c r="BG606" i="28"/>
  <c r="BF606" i="28"/>
  <c r="BE606" i="28"/>
  <c r="BD606" i="28"/>
  <c r="BC606" i="28"/>
  <c r="AY606" i="28"/>
  <c r="AT606" i="28"/>
  <c r="AO606" i="28"/>
  <c r="AN606" i="28"/>
  <c r="T606" i="28"/>
  <c r="R606" i="28"/>
  <c r="BR606" i="28" s="1"/>
  <c r="BN605" i="28"/>
  <c r="BM605" i="28"/>
  <c r="BL605" i="28"/>
  <c r="BK605" i="28"/>
  <c r="BJ605" i="28"/>
  <c r="BI605" i="28"/>
  <c r="BH605" i="28"/>
  <c r="BG605" i="28"/>
  <c r="BF605" i="28"/>
  <c r="BE605" i="28"/>
  <c r="BD605" i="28"/>
  <c r="BC605" i="28"/>
  <c r="AY605" i="28"/>
  <c r="AT605" i="28"/>
  <c r="AO605" i="28"/>
  <c r="AN605" i="28"/>
  <c r="T605" i="28"/>
  <c r="R605" i="28"/>
  <c r="BR605" i="28" s="1"/>
  <c r="BN604" i="28"/>
  <c r="BM604" i="28"/>
  <c r="BL604" i="28"/>
  <c r="BK604" i="28"/>
  <c r="BJ604" i="28"/>
  <c r="BI604" i="28"/>
  <c r="BH604" i="28"/>
  <c r="BG604" i="28"/>
  <c r="BF604" i="28"/>
  <c r="BE604" i="28"/>
  <c r="BD604" i="28"/>
  <c r="BC604" i="28"/>
  <c r="AY604" i="28"/>
  <c r="AT604" i="28"/>
  <c r="AO604" i="28"/>
  <c r="AN604" i="28"/>
  <c r="T604" i="28"/>
  <c r="R604" i="28"/>
  <c r="BR604" i="28" s="1"/>
  <c r="BN603" i="28"/>
  <c r="BM603" i="28"/>
  <c r="BL603" i="28"/>
  <c r="BK603" i="28"/>
  <c r="BJ603" i="28"/>
  <c r="BI603" i="28"/>
  <c r="BH603" i="28"/>
  <c r="BG603" i="28"/>
  <c r="BF603" i="28"/>
  <c r="BE603" i="28"/>
  <c r="BD603" i="28"/>
  <c r="BC603" i="28"/>
  <c r="AY603" i="28"/>
  <c r="AT603" i="28"/>
  <c r="AO603" i="28"/>
  <c r="AN603" i="28"/>
  <c r="T603" i="28"/>
  <c r="R603" i="28"/>
  <c r="BR603" i="28" s="1"/>
  <c r="BN602" i="28"/>
  <c r="BM602" i="28"/>
  <c r="BL602" i="28"/>
  <c r="BK602" i="28"/>
  <c r="BJ602" i="28"/>
  <c r="BI602" i="28"/>
  <c r="BH602" i="28"/>
  <c r="BG602" i="28"/>
  <c r="BF602" i="28"/>
  <c r="BE602" i="28"/>
  <c r="BD602" i="28"/>
  <c r="BC602" i="28"/>
  <c r="AY602" i="28"/>
  <c r="AT602" i="28"/>
  <c r="AO602" i="28"/>
  <c r="AN602" i="28"/>
  <c r="T602" i="28"/>
  <c r="R602" i="28"/>
  <c r="BR602" i="28"/>
  <c r="BN601" i="28"/>
  <c r="BM601" i="28"/>
  <c r="BL601" i="28"/>
  <c r="BK601" i="28"/>
  <c r="BJ601" i="28"/>
  <c r="BI601" i="28"/>
  <c r="BH601" i="28"/>
  <c r="BG601" i="28"/>
  <c r="BF601" i="28"/>
  <c r="BE601" i="28"/>
  <c r="BD601" i="28"/>
  <c r="BC601" i="28"/>
  <c r="AY601" i="28"/>
  <c r="AT601" i="28"/>
  <c r="AO601" i="28"/>
  <c r="AN601" i="28"/>
  <c r="T601" i="28"/>
  <c r="R601" i="28"/>
  <c r="BR601" i="28"/>
  <c r="BN600" i="28"/>
  <c r="BM600" i="28"/>
  <c r="BL600" i="28"/>
  <c r="BK600" i="28"/>
  <c r="BJ600" i="28"/>
  <c r="BI600" i="28"/>
  <c r="BH600" i="28"/>
  <c r="BG600" i="28"/>
  <c r="BF600" i="28"/>
  <c r="BE600" i="28"/>
  <c r="BD600" i="28"/>
  <c r="BC600" i="28"/>
  <c r="AY600" i="28"/>
  <c r="AT600" i="28"/>
  <c r="AO600" i="28"/>
  <c r="AN600" i="28"/>
  <c r="T600" i="28"/>
  <c r="R600" i="28"/>
  <c r="BR600" i="28" s="1"/>
  <c r="BN599" i="28"/>
  <c r="BM599" i="28"/>
  <c r="BL599" i="28"/>
  <c r="BK599" i="28"/>
  <c r="BJ599" i="28"/>
  <c r="BI599" i="28"/>
  <c r="BH599" i="28"/>
  <c r="BG599" i="28"/>
  <c r="BF599" i="28"/>
  <c r="BE599" i="28"/>
  <c r="BD599" i="28"/>
  <c r="BC599" i="28"/>
  <c r="AY599" i="28"/>
  <c r="AT599" i="28"/>
  <c r="AO599" i="28"/>
  <c r="AN599" i="28"/>
  <c r="T599" i="28"/>
  <c r="R599" i="28"/>
  <c r="BR599" i="28" s="1"/>
  <c r="BN598" i="28"/>
  <c r="BM598" i="28"/>
  <c r="BL598" i="28"/>
  <c r="BK598" i="28"/>
  <c r="BJ598" i="28"/>
  <c r="BI598" i="28"/>
  <c r="BH598" i="28"/>
  <c r="BG598" i="28"/>
  <c r="BF598" i="28"/>
  <c r="BE598" i="28"/>
  <c r="BD598" i="28"/>
  <c r="BC598" i="28"/>
  <c r="AY598" i="28"/>
  <c r="AT598" i="28"/>
  <c r="AO598" i="28"/>
  <c r="AN598" i="28"/>
  <c r="T598" i="28"/>
  <c r="R598" i="28"/>
  <c r="BR598" i="28"/>
  <c r="BN597" i="28"/>
  <c r="BM597" i="28"/>
  <c r="BL597" i="28"/>
  <c r="BK597" i="28"/>
  <c r="BJ597" i="28"/>
  <c r="BI597" i="28"/>
  <c r="BH597" i="28"/>
  <c r="BG597" i="28"/>
  <c r="BF597" i="28"/>
  <c r="BE597" i="28"/>
  <c r="BD597" i="28"/>
  <c r="BC597" i="28"/>
  <c r="AY597" i="28"/>
  <c r="AT597" i="28"/>
  <c r="AO597" i="28"/>
  <c r="AN597" i="28"/>
  <c r="T597" i="28"/>
  <c r="R597" i="28"/>
  <c r="BR597" i="28" s="1"/>
  <c r="BN596" i="28"/>
  <c r="BM596" i="28"/>
  <c r="BL596" i="28"/>
  <c r="BK596" i="28"/>
  <c r="BJ596" i="28"/>
  <c r="BI596" i="28"/>
  <c r="BH596" i="28"/>
  <c r="BG596" i="28"/>
  <c r="BF596" i="28"/>
  <c r="BE596" i="28"/>
  <c r="BD596" i="28"/>
  <c r="BC596" i="28"/>
  <c r="AY596" i="28"/>
  <c r="AT596" i="28"/>
  <c r="AO596" i="28"/>
  <c r="AN596" i="28"/>
  <c r="T596" i="28"/>
  <c r="R596" i="28"/>
  <c r="BR596" i="28" s="1"/>
  <c r="BN595" i="28"/>
  <c r="BM595" i="28"/>
  <c r="BL595" i="28"/>
  <c r="BK595" i="28"/>
  <c r="BJ595" i="28"/>
  <c r="BI595" i="28"/>
  <c r="BH595" i="28"/>
  <c r="BG595" i="28"/>
  <c r="BF595" i="28"/>
  <c r="BE595" i="28"/>
  <c r="BD595" i="28"/>
  <c r="BC595" i="28"/>
  <c r="AY595" i="28"/>
  <c r="AT595" i="28"/>
  <c r="AO595" i="28"/>
  <c r="AN595" i="28"/>
  <c r="T595" i="28"/>
  <c r="R595" i="28"/>
  <c r="BR595" i="28" s="1"/>
  <c r="BN594" i="28"/>
  <c r="BM594" i="28"/>
  <c r="BL594" i="28"/>
  <c r="BK594" i="28"/>
  <c r="BJ594" i="28"/>
  <c r="BI594" i="28"/>
  <c r="BH594" i="28"/>
  <c r="BG594" i="28"/>
  <c r="BF594" i="28"/>
  <c r="BE594" i="28"/>
  <c r="BD594" i="28"/>
  <c r="BC594" i="28"/>
  <c r="AY594" i="28"/>
  <c r="AT594" i="28"/>
  <c r="AO594" i="28"/>
  <c r="AN594" i="28"/>
  <c r="T594" i="28"/>
  <c r="R594" i="28"/>
  <c r="BR594" i="28" s="1"/>
  <c r="BN593" i="28"/>
  <c r="BM593" i="28"/>
  <c r="BL593" i="28"/>
  <c r="BK593" i="28"/>
  <c r="BJ593" i="28"/>
  <c r="BI593" i="28"/>
  <c r="BH593" i="28"/>
  <c r="BG593" i="28"/>
  <c r="BF593" i="28"/>
  <c r="BE593" i="28"/>
  <c r="BD593" i="28"/>
  <c r="BC593" i="28"/>
  <c r="AY593" i="28"/>
  <c r="AT593" i="28"/>
  <c r="AO593" i="28"/>
  <c r="AN593" i="28"/>
  <c r="T593" i="28"/>
  <c r="R593" i="28"/>
  <c r="BR593" i="28" s="1"/>
  <c r="BN592" i="28"/>
  <c r="BM592" i="28"/>
  <c r="BL592" i="28"/>
  <c r="BK592" i="28"/>
  <c r="BJ592" i="28"/>
  <c r="BI592" i="28"/>
  <c r="BH592" i="28"/>
  <c r="BG592" i="28"/>
  <c r="BF592" i="28"/>
  <c r="BE592" i="28"/>
  <c r="BD592" i="28"/>
  <c r="BC592" i="28"/>
  <c r="AY592" i="28"/>
  <c r="AT592" i="28"/>
  <c r="AO592" i="28"/>
  <c r="AN592" i="28"/>
  <c r="T592" i="28"/>
  <c r="R592" i="28"/>
  <c r="BR592" i="28" s="1"/>
  <c r="BN591" i="28"/>
  <c r="BM591" i="28"/>
  <c r="BL591" i="28"/>
  <c r="BK591" i="28"/>
  <c r="BJ591" i="28"/>
  <c r="BI591" i="28"/>
  <c r="BH591" i="28"/>
  <c r="BG591" i="28"/>
  <c r="BF591" i="28"/>
  <c r="BE591" i="28"/>
  <c r="BD591" i="28"/>
  <c r="BC591" i="28"/>
  <c r="AY591" i="28"/>
  <c r="AT591" i="28"/>
  <c r="AO591" i="28"/>
  <c r="AN591" i="28"/>
  <c r="T591" i="28"/>
  <c r="R591" i="28"/>
  <c r="BR591" i="28" s="1"/>
  <c r="BN590" i="28"/>
  <c r="BM590" i="28"/>
  <c r="BL590" i="28"/>
  <c r="BK590" i="28"/>
  <c r="BJ590" i="28"/>
  <c r="BI590" i="28"/>
  <c r="BH590" i="28"/>
  <c r="BG590" i="28"/>
  <c r="BF590" i="28"/>
  <c r="BE590" i="28"/>
  <c r="BD590" i="28"/>
  <c r="BC590" i="28"/>
  <c r="AY590" i="28"/>
  <c r="AT590" i="28"/>
  <c r="AO590" i="28"/>
  <c r="AN590" i="28"/>
  <c r="T590" i="28"/>
  <c r="R590" i="28"/>
  <c r="BR590" i="28" s="1"/>
  <c r="BN589" i="28"/>
  <c r="BM589" i="28"/>
  <c r="BL589" i="28"/>
  <c r="BK589" i="28"/>
  <c r="BJ589" i="28"/>
  <c r="BI589" i="28"/>
  <c r="BH589" i="28"/>
  <c r="BG589" i="28"/>
  <c r="BF589" i="28"/>
  <c r="BE589" i="28"/>
  <c r="BD589" i="28"/>
  <c r="BC589" i="28"/>
  <c r="AY589" i="28"/>
  <c r="AT589" i="28"/>
  <c r="AO589" i="28"/>
  <c r="AN589" i="28"/>
  <c r="T589" i="28"/>
  <c r="R589" i="28"/>
  <c r="BR589" i="28" s="1"/>
  <c r="BN588" i="28"/>
  <c r="BM588" i="28"/>
  <c r="BL588" i="28"/>
  <c r="BK588" i="28"/>
  <c r="BJ588" i="28"/>
  <c r="BI588" i="28"/>
  <c r="BH588" i="28"/>
  <c r="BG588" i="28"/>
  <c r="BF588" i="28"/>
  <c r="BE588" i="28"/>
  <c r="BD588" i="28"/>
  <c r="BC588" i="28"/>
  <c r="AY588" i="28"/>
  <c r="AT588" i="28"/>
  <c r="AO588" i="28"/>
  <c r="AN588" i="28"/>
  <c r="T588" i="28"/>
  <c r="R588" i="28"/>
  <c r="BR588" i="28" s="1"/>
  <c r="BN587" i="28"/>
  <c r="BM587" i="28"/>
  <c r="BL587" i="28"/>
  <c r="BK587" i="28"/>
  <c r="BJ587" i="28"/>
  <c r="BI587" i="28"/>
  <c r="BH587" i="28"/>
  <c r="BG587" i="28"/>
  <c r="BF587" i="28"/>
  <c r="BE587" i="28"/>
  <c r="BD587" i="28"/>
  <c r="BC587" i="28"/>
  <c r="AY587" i="28"/>
  <c r="AT587" i="28"/>
  <c r="AO587" i="28"/>
  <c r="AN587" i="28"/>
  <c r="T587" i="28"/>
  <c r="R587" i="28"/>
  <c r="BR587" i="28" s="1"/>
  <c r="BN586" i="28"/>
  <c r="BM586" i="28"/>
  <c r="BL586" i="28"/>
  <c r="BK586" i="28"/>
  <c r="BJ586" i="28"/>
  <c r="BI586" i="28"/>
  <c r="BH586" i="28"/>
  <c r="BG586" i="28"/>
  <c r="BF586" i="28"/>
  <c r="BE586" i="28"/>
  <c r="BD586" i="28"/>
  <c r="BC586" i="28"/>
  <c r="AY586" i="28"/>
  <c r="AT586" i="28"/>
  <c r="AO586" i="28"/>
  <c r="AN586" i="28"/>
  <c r="T586" i="28"/>
  <c r="R586" i="28"/>
  <c r="BR586" i="28" s="1"/>
  <c r="BN585" i="28"/>
  <c r="BM585" i="28"/>
  <c r="BL585" i="28"/>
  <c r="BK585" i="28"/>
  <c r="BJ585" i="28"/>
  <c r="BI585" i="28"/>
  <c r="BH585" i="28"/>
  <c r="BG585" i="28"/>
  <c r="BF585" i="28"/>
  <c r="BE585" i="28"/>
  <c r="BD585" i="28"/>
  <c r="BC585" i="28"/>
  <c r="AY585" i="28"/>
  <c r="AO585" i="28"/>
  <c r="AN585" i="28"/>
  <c r="T585" i="28"/>
  <c r="R585" i="28"/>
  <c r="BR585" i="28" s="1"/>
  <c r="BN584" i="28"/>
  <c r="BM584" i="28"/>
  <c r="BL584" i="28"/>
  <c r="BK584" i="28"/>
  <c r="BJ584" i="28"/>
  <c r="BI584" i="28"/>
  <c r="BH584" i="28"/>
  <c r="BG584" i="28"/>
  <c r="BF584" i="28"/>
  <c r="BE584" i="28"/>
  <c r="BD584" i="28"/>
  <c r="BC584" i="28"/>
  <c r="AY584" i="28"/>
  <c r="AT584" i="28"/>
  <c r="AO584" i="28"/>
  <c r="AN584" i="28"/>
  <c r="T584" i="28"/>
  <c r="R584" i="28"/>
  <c r="BR584" i="28" s="1"/>
  <c r="BN583" i="28"/>
  <c r="BM583" i="28"/>
  <c r="BL583" i="28"/>
  <c r="BK583" i="28"/>
  <c r="BJ583" i="28"/>
  <c r="BI583" i="28"/>
  <c r="BH583" i="28"/>
  <c r="BG583" i="28"/>
  <c r="BF583" i="28"/>
  <c r="BE583" i="28"/>
  <c r="BD583" i="28"/>
  <c r="BC583" i="28"/>
  <c r="AY583" i="28"/>
  <c r="AT583" i="28"/>
  <c r="AO583" i="28"/>
  <c r="AN583" i="28"/>
  <c r="T583" i="28"/>
  <c r="R583" i="28"/>
  <c r="BR583" i="28" s="1"/>
  <c r="BN582" i="28"/>
  <c r="BM582" i="28"/>
  <c r="BL582" i="28"/>
  <c r="BK582" i="28"/>
  <c r="BJ582" i="28"/>
  <c r="BI582" i="28"/>
  <c r="BH582" i="28"/>
  <c r="BG582" i="28"/>
  <c r="BF582" i="28"/>
  <c r="BE582" i="28"/>
  <c r="BD582" i="28"/>
  <c r="BC582" i="28"/>
  <c r="AY582" i="28"/>
  <c r="AT582" i="28"/>
  <c r="AO582" i="28"/>
  <c r="AN582" i="28"/>
  <c r="T582" i="28"/>
  <c r="R582" i="28"/>
  <c r="BR582" i="28"/>
  <c r="BN581" i="28"/>
  <c r="BM581" i="28"/>
  <c r="BL581" i="28"/>
  <c r="BK581" i="28"/>
  <c r="BJ581" i="28"/>
  <c r="BI581" i="28"/>
  <c r="BH581" i="28"/>
  <c r="BG581" i="28"/>
  <c r="BF581" i="28"/>
  <c r="BE581" i="28"/>
  <c r="BD581" i="28"/>
  <c r="BC581" i="28"/>
  <c r="AY581" i="28"/>
  <c r="AT581" i="28"/>
  <c r="AO581" i="28"/>
  <c r="AN581" i="28"/>
  <c r="T581" i="28"/>
  <c r="R581" i="28"/>
  <c r="BR581" i="28" s="1"/>
  <c r="BN580" i="28"/>
  <c r="BM580" i="28"/>
  <c r="BL580" i="28"/>
  <c r="BK580" i="28"/>
  <c r="BJ580" i="28"/>
  <c r="BI580" i="28"/>
  <c r="BH580" i="28"/>
  <c r="BG580" i="28"/>
  <c r="BF580" i="28"/>
  <c r="BE580" i="28"/>
  <c r="BD580" i="28"/>
  <c r="BC580" i="28"/>
  <c r="AY580" i="28"/>
  <c r="AT580" i="28"/>
  <c r="AO580" i="28"/>
  <c r="AN580" i="28"/>
  <c r="T580" i="28"/>
  <c r="R580" i="28"/>
  <c r="BR580" i="28" s="1"/>
  <c r="BN579" i="28"/>
  <c r="BM579" i="28"/>
  <c r="BL579" i="28"/>
  <c r="BK579" i="28"/>
  <c r="BJ579" i="28"/>
  <c r="BI579" i="28"/>
  <c r="BH579" i="28"/>
  <c r="BG579" i="28"/>
  <c r="BF579" i="28"/>
  <c r="BE579" i="28"/>
  <c r="BD579" i="28"/>
  <c r="BC579" i="28"/>
  <c r="AY579" i="28"/>
  <c r="AT579" i="28"/>
  <c r="AO579" i="28"/>
  <c r="AN579" i="28"/>
  <c r="T579" i="28"/>
  <c r="R579" i="28"/>
  <c r="BR579" i="28" s="1"/>
  <c r="BN578" i="28"/>
  <c r="BM578" i="28"/>
  <c r="BL578" i="28"/>
  <c r="BK578" i="28"/>
  <c r="BJ578" i="28"/>
  <c r="BI578" i="28"/>
  <c r="BH578" i="28"/>
  <c r="BG578" i="28"/>
  <c r="BF578" i="28"/>
  <c r="BE578" i="28"/>
  <c r="BD578" i="28"/>
  <c r="BC578" i="28"/>
  <c r="AY578" i="28"/>
  <c r="AT578" i="28"/>
  <c r="AO578" i="28"/>
  <c r="AN578" i="28"/>
  <c r="T578" i="28"/>
  <c r="R578" i="28"/>
  <c r="BR578" i="28" s="1"/>
  <c r="BN577" i="28"/>
  <c r="BM577" i="28"/>
  <c r="BL577" i="28"/>
  <c r="BK577" i="28"/>
  <c r="BJ577" i="28"/>
  <c r="BI577" i="28"/>
  <c r="BH577" i="28"/>
  <c r="BG577" i="28"/>
  <c r="BF577" i="28"/>
  <c r="BE577" i="28"/>
  <c r="BD577" i="28"/>
  <c r="BC577" i="28"/>
  <c r="AY577" i="28"/>
  <c r="AT577" i="28"/>
  <c r="AO577" i="28"/>
  <c r="AN577" i="28"/>
  <c r="T577" i="28"/>
  <c r="R577" i="28"/>
  <c r="BR577" i="28" s="1"/>
  <c r="BN576" i="28"/>
  <c r="BM576" i="28"/>
  <c r="BL576" i="28"/>
  <c r="BK576" i="28"/>
  <c r="BJ576" i="28"/>
  <c r="BI576" i="28"/>
  <c r="BH576" i="28"/>
  <c r="BG576" i="28"/>
  <c r="BF576" i="28"/>
  <c r="BE576" i="28"/>
  <c r="BD576" i="28"/>
  <c r="BC576" i="28"/>
  <c r="AY576" i="28"/>
  <c r="AT576" i="28"/>
  <c r="AO576" i="28"/>
  <c r="AN576" i="28"/>
  <c r="T576" i="28"/>
  <c r="R576" i="28"/>
  <c r="BR576" i="28" s="1"/>
  <c r="BN575" i="28"/>
  <c r="BM575" i="28"/>
  <c r="BL575" i="28"/>
  <c r="BK575" i="28"/>
  <c r="BJ575" i="28"/>
  <c r="BI575" i="28"/>
  <c r="BH575" i="28"/>
  <c r="BG575" i="28"/>
  <c r="BF575" i="28"/>
  <c r="BE575" i="28"/>
  <c r="BD575" i="28"/>
  <c r="BC575" i="28"/>
  <c r="AY575" i="28"/>
  <c r="AT575" i="28"/>
  <c r="AO575" i="28"/>
  <c r="AN575" i="28"/>
  <c r="T575" i="28"/>
  <c r="R575" i="28"/>
  <c r="BR575" i="28" s="1"/>
  <c r="BN574" i="28"/>
  <c r="BM574" i="28"/>
  <c r="BL574" i="28"/>
  <c r="BK574" i="28"/>
  <c r="BJ574" i="28"/>
  <c r="BI574" i="28"/>
  <c r="BH574" i="28"/>
  <c r="BG574" i="28"/>
  <c r="BF574" i="28"/>
  <c r="BE574" i="28"/>
  <c r="BD574" i="28"/>
  <c r="BC574" i="28"/>
  <c r="AY574" i="28"/>
  <c r="AT574" i="28"/>
  <c r="AO574" i="28"/>
  <c r="AN574" i="28"/>
  <c r="T574" i="28"/>
  <c r="R574" i="28"/>
  <c r="BR574" i="28" s="1"/>
  <c r="BN573" i="28"/>
  <c r="BM573" i="28"/>
  <c r="BL573" i="28"/>
  <c r="BK573" i="28"/>
  <c r="BJ573" i="28"/>
  <c r="BI573" i="28"/>
  <c r="BH573" i="28"/>
  <c r="BG573" i="28"/>
  <c r="BF573" i="28"/>
  <c r="BE573" i="28"/>
  <c r="BD573" i="28"/>
  <c r="BC573" i="28"/>
  <c r="AY573" i="28"/>
  <c r="AO573" i="28"/>
  <c r="AN573" i="28"/>
  <c r="T573" i="28"/>
  <c r="R573" i="28"/>
  <c r="BR573" i="28" s="1"/>
  <c r="BN572" i="28"/>
  <c r="BM572" i="28"/>
  <c r="BL572" i="28"/>
  <c r="BK572" i="28"/>
  <c r="BJ572" i="28"/>
  <c r="BI572" i="28"/>
  <c r="BH572" i="28"/>
  <c r="BG572" i="28"/>
  <c r="BF572" i="28"/>
  <c r="BE572" i="28"/>
  <c r="BD572" i="28"/>
  <c r="BC572" i="28"/>
  <c r="AY572" i="28"/>
  <c r="AO572" i="28"/>
  <c r="AN572" i="28"/>
  <c r="T572" i="28"/>
  <c r="R572" i="28"/>
  <c r="BR572" i="28" s="1"/>
  <c r="BN571" i="28"/>
  <c r="BM571" i="28"/>
  <c r="BL571" i="28"/>
  <c r="BK571" i="28"/>
  <c r="BJ571" i="28"/>
  <c r="BI571" i="28"/>
  <c r="BH571" i="28"/>
  <c r="BG571" i="28"/>
  <c r="BF571" i="28"/>
  <c r="BE571" i="28"/>
  <c r="BD571" i="28"/>
  <c r="BC571" i="28"/>
  <c r="AY571" i="28"/>
  <c r="AO571" i="28"/>
  <c r="AN571" i="28"/>
  <c r="T571" i="28"/>
  <c r="R571" i="28"/>
  <c r="BR571" i="28" s="1"/>
  <c r="BN570" i="28"/>
  <c r="BM570" i="28"/>
  <c r="BL570" i="28"/>
  <c r="BK570" i="28"/>
  <c r="BJ570" i="28"/>
  <c r="BI570" i="28"/>
  <c r="BH570" i="28"/>
  <c r="BG570" i="28"/>
  <c r="BF570" i="28"/>
  <c r="BE570" i="28"/>
  <c r="BD570" i="28"/>
  <c r="BC570" i="28"/>
  <c r="AY570" i="28"/>
  <c r="AO570" i="28"/>
  <c r="AN570" i="28"/>
  <c r="T570" i="28"/>
  <c r="R570" i="28"/>
  <c r="BR570" i="28" s="1"/>
  <c r="BN569" i="28"/>
  <c r="BM569" i="28"/>
  <c r="BL569" i="28"/>
  <c r="BK569" i="28"/>
  <c r="BJ569" i="28"/>
  <c r="BI569" i="28"/>
  <c r="BH569" i="28"/>
  <c r="BG569" i="28"/>
  <c r="BF569" i="28"/>
  <c r="BE569" i="28"/>
  <c r="BD569" i="28"/>
  <c r="BC569" i="28"/>
  <c r="AY569" i="28"/>
  <c r="AO569" i="28"/>
  <c r="AN569" i="28"/>
  <c r="T569" i="28"/>
  <c r="R569" i="28"/>
  <c r="BR569" i="28" s="1"/>
  <c r="BN568" i="28"/>
  <c r="BM568" i="28"/>
  <c r="BL568" i="28"/>
  <c r="BK568" i="28"/>
  <c r="BJ568" i="28"/>
  <c r="BI568" i="28"/>
  <c r="BH568" i="28"/>
  <c r="BG568" i="28"/>
  <c r="BF568" i="28"/>
  <c r="BE568" i="28"/>
  <c r="BC568" i="28"/>
  <c r="AY568" i="28"/>
  <c r="AO568" i="28"/>
  <c r="AN568" i="28"/>
  <c r="T568" i="28"/>
  <c r="R568" i="28"/>
  <c r="BR568" i="28" s="1"/>
  <c r="BN567" i="28"/>
  <c r="BM567" i="28"/>
  <c r="BL567" i="28"/>
  <c r="BK567" i="28"/>
  <c r="BJ567" i="28"/>
  <c r="BI567" i="28"/>
  <c r="BH567" i="28"/>
  <c r="BG567" i="28"/>
  <c r="BF567" i="28"/>
  <c r="BE567" i="28"/>
  <c r="BD567" i="28"/>
  <c r="BC567" i="28"/>
  <c r="AY567" i="28"/>
  <c r="AO567" i="28"/>
  <c r="AN567" i="28"/>
  <c r="T567" i="28"/>
  <c r="R567" i="28"/>
  <c r="BR567" i="28"/>
  <c r="BN566" i="28"/>
  <c r="BM566" i="28"/>
  <c r="BL566" i="28"/>
  <c r="BK566" i="28"/>
  <c r="BJ566" i="28"/>
  <c r="BI566" i="28"/>
  <c r="BH566" i="28"/>
  <c r="BG566" i="28"/>
  <c r="BF566" i="28"/>
  <c r="BE566" i="28"/>
  <c r="BC566" i="28"/>
  <c r="AY566" i="28"/>
  <c r="AO566" i="28"/>
  <c r="AN566" i="28"/>
  <c r="T566" i="28"/>
  <c r="R566" i="28"/>
  <c r="BR566" i="28" s="1"/>
  <c r="BN565" i="28"/>
  <c r="BM565" i="28"/>
  <c r="BL565" i="28"/>
  <c r="BK565" i="28"/>
  <c r="BJ565" i="28"/>
  <c r="BI565" i="28"/>
  <c r="BH565" i="28"/>
  <c r="BG565" i="28"/>
  <c r="BF565" i="28"/>
  <c r="BE565" i="28"/>
  <c r="BD565" i="28"/>
  <c r="BC565" i="28"/>
  <c r="AY565" i="28"/>
  <c r="AT565" i="28"/>
  <c r="AO565" i="28"/>
  <c r="AN565" i="28"/>
  <c r="T565" i="28"/>
  <c r="R565" i="28"/>
  <c r="BR565" i="28" s="1"/>
  <c r="BN564" i="28"/>
  <c r="BM564" i="28"/>
  <c r="BL564" i="28"/>
  <c r="BK564" i="28"/>
  <c r="BJ564" i="28"/>
  <c r="BI564" i="28"/>
  <c r="BH564" i="28"/>
  <c r="BG564" i="28"/>
  <c r="BF564" i="28"/>
  <c r="BE564" i="28"/>
  <c r="BD564" i="28"/>
  <c r="BC564" i="28"/>
  <c r="AY564" i="28"/>
  <c r="AT564" i="28"/>
  <c r="AO564" i="28"/>
  <c r="AN564" i="28"/>
  <c r="T564" i="28"/>
  <c r="R564" i="28"/>
  <c r="BR564" i="28" s="1"/>
  <c r="BN563" i="28"/>
  <c r="BM563" i="28"/>
  <c r="BL563" i="28"/>
  <c r="BK563" i="28"/>
  <c r="BJ563" i="28"/>
  <c r="BI563" i="28"/>
  <c r="BH563" i="28"/>
  <c r="BG563" i="28"/>
  <c r="BF563" i="28"/>
  <c r="BE563" i="28"/>
  <c r="BD563" i="28"/>
  <c r="BC563" i="28"/>
  <c r="AY563" i="28"/>
  <c r="AT563" i="28"/>
  <c r="AO563" i="28"/>
  <c r="AN563" i="28"/>
  <c r="T563" i="28"/>
  <c r="R563" i="28"/>
  <c r="BR563" i="28" s="1"/>
  <c r="BN562" i="28"/>
  <c r="BM562" i="28"/>
  <c r="BL562" i="28"/>
  <c r="BK562" i="28"/>
  <c r="BJ562" i="28"/>
  <c r="BI562" i="28"/>
  <c r="BH562" i="28"/>
  <c r="BG562" i="28"/>
  <c r="BF562" i="28"/>
  <c r="BE562" i="28"/>
  <c r="BD562" i="28"/>
  <c r="BC562" i="28"/>
  <c r="AY562" i="28"/>
  <c r="AT562" i="28"/>
  <c r="AO562" i="28"/>
  <c r="AN562" i="28"/>
  <c r="T562" i="28"/>
  <c r="R562" i="28"/>
  <c r="BR562" i="28" s="1"/>
  <c r="BN561" i="28"/>
  <c r="BM561" i="28"/>
  <c r="BL561" i="28"/>
  <c r="BK561" i="28"/>
  <c r="BJ561" i="28"/>
  <c r="BI561" i="28"/>
  <c r="BH561" i="28"/>
  <c r="BG561" i="28"/>
  <c r="BF561" i="28"/>
  <c r="BE561" i="28"/>
  <c r="BD561" i="28"/>
  <c r="BC561" i="28"/>
  <c r="AY561" i="28"/>
  <c r="AT561" i="28"/>
  <c r="AO561" i="28"/>
  <c r="AN561" i="28"/>
  <c r="T561" i="28"/>
  <c r="R561" i="28"/>
  <c r="BR561" i="28" s="1"/>
  <c r="BN560" i="28"/>
  <c r="BM560" i="28"/>
  <c r="BL560" i="28"/>
  <c r="BK560" i="28"/>
  <c r="BJ560" i="28"/>
  <c r="BI560" i="28"/>
  <c r="BH560" i="28"/>
  <c r="BG560" i="28"/>
  <c r="BF560" i="28"/>
  <c r="BE560" i="28"/>
  <c r="BD560" i="28"/>
  <c r="BC560" i="28"/>
  <c r="AY560" i="28"/>
  <c r="AT560" i="28"/>
  <c r="AO560" i="28"/>
  <c r="AN560" i="28"/>
  <c r="T560" i="28"/>
  <c r="R560" i="28"/>
  <c r="BR560" i="28"/>
  <c r="BN559" i="28"/>
  <c r="BM559" i="28"/>
  <c r="BL559" i="28"/>
  <c r="BK559" i="28"/>
  <c r="BJ559" i="28"/>
  <c r="BI559" i="28"/>
  <c r="BH559" i="28"/>
  <c r="BG559" i="28"/>
  <c r="BF559" i="28"/>
  <c r="BE559" i="28"/>
  <c r="BD559" i="28"/>
  <c r="BC559" i="28"/>
  <c r="AY559" i="28"/>
  <c r="AT559" i="28"/>
  <c r="AO559" i="28"/>
  <c r="AN559" i="28"/>
  <c r="T559" i="28"/>
  <c r="R559" i="28"/>
  <c r="BR559" i="28" s="1"/>
  <c r="BN558" i="28"/>
  <c r="BM558" i="28"/>
  <c r="BL558" i="28"/>
  <c r="BK558" i="28"/>
  <c r="BJ558" i="28"/>
  <c r="BI558" i="28"/>
  <c r="BH558" i="28"/>
  <c r="BG558" i="28"/>
  <c r="BF558" i="28"/>
  <c r="BE558" i="28"/>
  <c r="BD558" i="28"/>
  <c r="BC558" i="28"/>
  <c r="AY558" i="28"/>
  <c r="AT558" i="28"/>
  <c r="AO558" i="28"/>
  <c r="AN558" i="28"/>
  <c r="T558" i="28"/>
  <c r="R558" i="28"/>
  <c r="BR558" i="28" s="1"/>
  <c r="BN557" i="28"/>
  <c r="BM557" i="28"/>
  <c r="BL557" i="28"/>
  <c r="BK557" i="28"/>
  <c r="BJ557" i="28"/>
  <c r="BI557" i="28"/>
  <c r="BH557" i="28"/>
  <c r="BG557" i="28"/>
  <c r="BF557" i="28"/>
  <c r="BE557" i="28"/>
  <c r="BD557" i="28"/>
  <c r="BC557" i="28"/>
  <c r="AY557" i="28"/>
  <c r="AT557" i="28"/>
  <c r="AO557" i="28"/>
  <c r="AN557" i="28"/>
  <c r="T557" i="28"/>
  <c r="R557" i="28"/>
  <c r="BR557" i="28" s="1"/>
  <c r="BN556" i="28"/>
  <c r="BM556" i="28"/>
  <c r="BL556" i="28"/>
  <c r="BK556" i="28"/>
  <c r="BJ556" i="28"/>
  <c r="BI556" i="28"/>
  <c r="BH556" i="28"/>
  <c r="BG556" i="28"/>
  <c r="BF556" i="28"/>
  <c r="BE556" i="28"/>
  <c r="BD556" i="28"/>
  <c r="BC556" i="28"/>
  <c r="AY556" i="28"/>
  <c r="AT556" i="28"/>
  <c r="AO556" i="28"/>
  <c r="AN556" i="28"/>
  <c r="T556" i="28"/>
  <c r="R556" i="28"/>
  <c r="BR556" i="28" s="1"/>
  <c r="BN555" i="28"/>
  <c r="BM555" i="28"/>
  <c r="BL555" i="28"/>
  <c r="BK555" i="28"/>
  <c r="BJ555" i="28"/>
  <c r="BI555" i="28"/>
  <c r="BH555" i="28"/>
  <c r="BG555" i="28"/>
  <c r="BF555" i="28"/>
  <c r="BE555" i="28"/>
  <c r="BD555" i="28"/>
  <c r="BC555" i="28"/>
  <c r="AY555" i="28"/>
  <c r="AO555" i="28"/>
  <c r="AN555" i="28"/>
  <c r="T555" i="28"/>
  <c r="R555" i="28"/>
  <c r="BR555" i="28" s="1"/>
  <c r="BN554" i="28"/>
  <c r="BM554" i="28"/>
  <c r="BL554" i="28"/>
  <c r="BK554" i="28"/>
  <c r="BJ554" i="28"/>
  <c r="BI554" i="28"/>
  <c r="BH554" i="28"/>
  <c r="BG554" i="28"/>
  <c r="BF554" i="28"/>
  <c r="BE554" i="28"/>
  <c r="BD554" i="28"/>
  <c r="BC554" i="28"/>
  <c r="AY554" i="28"/>
  <c r="AT554" i="28"/>
  <c r="AO554" i="28"/>
  <c r="AN554" i="28"/>
  <c r="T554" i="28"/>
  <c r="R554" i="28"/>
  <c r="BR554" i="28" s="1"/>
  <c r="BN553" i="28"/>
  <c r="BM553" i="28"/>
  <c r="BL553" i="28"/>
  <c r="BK553" i="28"/>
  <c r="BJ553" i="28"/>
  <c r="BI553" i="28"/>
  <c r="BH553" i="28"/>
  <c r="BG553" i="28"/>
  <c r="BF553" i="28"/>
  <c r="BE553" i="28"/>
  <c r="BD553" i="28"/>
  <c r="BC553" i="28"/>
  <c r="AY553" i="28"/>
  <c r="AT553" i="28"/>
  <c r="AO553" i="28"/>
  <c r="AN553" i="28"/>
  <c r="T553" i="28"/>
  <c r="R553" i="28"/>
  <c r="BR553" i="28"/>
  <c r="BN552" i="28"/>
  <c r="BM552" i="28"/>
  <c r="BL552" i="28"/>
  <c r="BK552" i="28"/>
  <c r="BJ552" i="28"/>
  <c r="BI552" i="28"/>
  <c r="BH552" i="28"/>
  <c r="BG552" i="28"/>
  <c r="BF552" i="28"/>
  <c r="BE552" i="28"/>
  <c r="BD552" i="28"/>
  <c r="BC552" i="28"/>
  <c r="AY552" i="28"/>
  <c r="AT552" i="28"/>
  <c r="AO552" i="28"/>
  <c r="AN552" i="28"/>
  <c r="T552" i="28"/>
  <c r="R552" i="28"/>
  <c r="BR552" i="28" s="1"/>
  <c r="BN551" i="28"/>
  <c r="BM551" i="28"/>
  <c r="BL551" i="28"/>
  <c r="BK551" i="28"/>
  <c r="BJ551" i="28"/>
  <c r="BI551" i="28"/>
  <c r="BH551" i="28"/>
  <c r="BG551" i="28"/>
  <c r="BF551" i="28"/>
  <c r="BE551" i="28"/>
  <c r="BD551" i="28"/>
  <c r="BC551" i="28"/>
  <c r="AY551" i="28"/>
  <c r="AT551" i="28"/>
  <c r="AO551" i="28"/>
  <c r="AN551" i="28"/>
  <c r="T551" i="28"/>
  <c r="R551" i="28"/>
  <c r="BR551" i="28" s="1"/>
  <c r="BN550" i="28"/>
  <c r="BM550" i="28"/>
  <c r="BL550" i="28"/>
  <c r="BK550" i="28"/>
  <c r="BJ550" i="28"/>
  <c r="BI550" i="28"/>
  <c r="BH550" i="28"/>
  <c r="BG550" i="28"/>
  <c r="BF550" i="28"/>
  <c r="BE550" i="28"/>
  <c r="BD550" i="28"/>
  <c r="BC550" i="28"/>
  <c r="AY550" i="28"/>
  <c r="AT550" i="28"/>
  <c r="AO550" i="28"/>
  <c r="AN550" i="28"/>
  <c r="T550" i="28"/>
  <c r="R550" i="28"/>
  <c r="BR550" i="28" s="1"/>
  <c r="BN549" i="28"/>
  <c r="BM549" i="28"/>
  <c r="BL549" i="28"/>
  <c r="BK549" i="28"/>
  <c r="BJ549" i="28"/>
  <c r="BI549" i="28"/>
  <c r="BH549" i="28"/>
  <c r="BG549" i="28"/>
  <c r="BF549" i="28"/>
  <c r="BE549" i="28"/>
  <c r="BD549" i="28"/>
  <c r="BC549" i="28"/>
  <c r="AY549" i="28"/>
  <c r="AO549" i="28"/>
  <c r="AN549" i="28"/>
  <c r="T549" i="28"/>
  <c r="R549" i="28"/>
  <c r="BR549" i="28" s="1"/>
  <c r="BN548" i="28"/>
  <c r="BM548" i="28"/>
  <c r="BL548" i="28"/>
  <c r="BK548" i="28"/>
  <c r="BJ548" i="28"/>
  <c r="BI548" i="28"/>
  <c r="BH548" i="28"/>
  <c r="BG548" i="28"/>
  <c r="BF548" i="28"/>
  <c r="BE548" i="28"/>
  <c r="BD548" i="28"/>
  <c r="BC548" i="28"/>
  <c r="AY548" i="28"/>
  <c r="AO548" i="28"/>
  <c r="AN548" i="28"/>
  <c r="T548" i="28"/>
  <c r="R548" i="28"/>
  <c r="BR548" i="28" s="1"/>
  <c r="BN547" i="28"/>
  <c r="BM547" i="28"/>
  <c r="BL547" i="28"/>
  <c r="BK547" i="28"/>
  <c r="BJ547" i="28"/>
  <c r="BI547" i="28"/>
  <c r="BH547" i="28"/>
  <c r="BG547" i="28"/>
  <c r="BF547" i="28"/>
  <c r="BE547" i="28"/>
  <c r="BD547" i="28"/>
  <c r="BC547" i="28"/>
  <c r="AY547" i="28"/>
  <c r="AO547" i="28"/>
  <c r="AN547" i="28"/>
  <c r="T547" i="28"/>
  <c r="R547" i="28"/>
  <c r="BR547" i="28" s="1"/>
  <c r="BN546" i="28"/>
  <c r="BM546" i="28"/>
  <c r="BL546" i="28"/>
  <c r="BK546" i="28"/>
  <c r="BJ546" i="28"/>
  <c r="BI546" i="28"/>
  <c r="BH546" i="28"/>
  <c r="BG546" i="28"/>
  <c r="BF546" i="28"/>
  <c r="BE546" i="28"/>
  <c r="BD546" i="28"/>
  <c r="BC546" i="28"/>
  <c r="AY546" i="28"/>
  <c r="AO546" i="28"/>
  <c r="AN546" i="28"/>
  <c r="T546" i="28"/>
  <c r="R546" i="28"/>
  <c r="BR546" i="28"/>
  <c r="BN545" i="28"/>
  <c r="BM545" i="28"/>
  <c r="BL545" i="28"/>
  <c r="BK545" i="28"/>
  <c r="BJ545" i="28"/>
  <c r="BI545" i="28"/>
  <c r="BH545" i="28"/>
  <c r="BG545" i="28"/>
  <c r="BF545" i="28"/>
  <c r="BE545" i="28"/>
  <c r="BD545" i="28"/>
  <c r="BC545" i="28"/>
  <c r="AY545" i="28"/>
  <c r="AO545" i="28"/>
  <c r="AN545" i="28"/>
  <c r="T545" i="28"/>
  <c r="R545" i="28"/>
  <c r="BR545" i="28" s="1"/>
  <c r="BN544" i="28"/>
  <c r="BM544" i="28"/>
  <c r="BL544" i="28"/>
  <c r="BK544" i="28"/>
  <c r="BJ544" i="28"/>
  <c r="BI544" i="28"/>
  <c r="BH544" i="28"/>
  <c r="BG544" i="28"/>
  <c r="BF544" i="28"/>
  <c r="BE544" i="28"/>
  <c r="BD544" i="28"/>
  <c r="BC544" i="28"/>
  <c r="AY544" i="28"/>
  <c r="AO544" i="28"/>
  <c r="AN544" i="28"/>
  <c r="T544" i="28"/>
  <c r="R544" i="28"/>
  <c r="BR544" i="28" s="1"/>
  <c r="BN543" i="28"/>
  <c r="BM543" i="28"/>
  <c r="BL543" i="28"/>
  <c r="BK543" i="28"/>
  <c r="BJ543" i="28"/>
  <c r="BI543" i="28"/>
  <c r="BH543" i="28"/>
  <c r="BG543" i="28"/>
  <c r="BF543" i="28"/>
  <c r="BE543" i="28"/>
  <c r="BD543" i="28"/>
  <c r="BC543" i="28"/>
  <c r="AY543" i="28"/>
  <c r="AO543" i="28"/>
  <c r="AN543" i="28"/>
  <c r="T543" i="28"/>
  <c r="R543" i="28"/>
  <c r="BR543" i="28" s="1"/>
  <c r="BN542" i="28"/>
  <c r="BM542" i="28"/>
  <c r="BL542" i="28"/>
  <c r="BK542" i="28"/>
  <c r="BJ542" i="28"/>
  <c r="BI542" i="28"/>
  <c r="BH542" i="28"/>
  <c r="BG542" i="28"/>
  <c r="BF542" i="28"/>
  <c r="BE542" i="28"/>
  <c r="BD542" i="28"/>
  <c r="BC542" i="28"/>
  <c r="AY542" i="28"/>
  <c r="AO542" i="28"/>
  <c r="AN542" i="28"/>
  <c r="T542" i="28"/>
  <c r="R542" i="28"/>
  <c r="BR542" i="28"/>
  <c r="BN541" i="28"/>
  <c r="BM541" i="28"/>
  <c r="BL541" i="28"/>
  <c r="BK541" i="28"/>
  <c r="BJ541" i="28"/>
  <c r="BI541" i="28"/>
  <c r="BH541" i="28"/>
  <c r="BG541" i="28"/>
  <c r="BF541" i="28"/>
  <c r="BE541" i="28"/>
  <c r="BD541" i="28"/>
  <c r="BC541" i="28"/>
  <c r="AY541" i="28"/>
  <c r="AO541" i="28"/>
  <c r="AN541" i="28"/>
  <c r="T541" i="28"/>
  <c r="R541" i="28"/>
  <c r="BR541" i="28" s="1"/>
  <c r="BN540" i="28"/>
  <c r="BM540" i="28"/>
  <c r="BL540" i="28"/>
  <c r="BK540" i="28"/>
  <c r="BJ540" i="28"/>
  <c r="BI540" i="28"/>
  <c r="BH540" i="28"/>
  <c r="BG540" i="28"/>
  <c r="BF540" i="28"/>
  <c r="BE540" i="28"/>
  <c r="BD540" i="28"/>
  <c r="BC540" i="28"/>
  <c r="AY540" i="28"/>
  <c r="AO540" i="28"/>
  <c r="AN540" i="28"/>
  <c r="T540" i="28"/>
  <c r="R540" i="28"/>
  <c r="BR540" i="28"/>
  <c r="BN539" i="28"/>
  <c r="BM539" i="28"/>
  <c r="BL539" i="28"/>
  <c r="BK539" i="28"/>
  <c r="BJ539" i="28"/>
  <c r="BI539" i="28"/>
  <c r="BH539" i="28"/>
  <c r="BG539" i="28"/>
  <c r="BF539" i="28"/>
  <c r="BE539" i="28"/>
  <c r="BD539" i="28"/>
  <c r="AY539" i="28"/>
  <c r="AO539" i="28"/>
  <c r="AN539" i="28"/>
  <c r="T539" i="28"/>
  <c r="R539" i="28"/>
  <c r="BR539" i="28" s="1"/>
  <c r="BN538" i="28"/>
  <c r="BM538" i="28"/>
  <c r="BL538" i="28"/>
  <c r="BK538" i="28"/>
  <c r="BJ538" i="28"/>
  <c r="BI538" i="28"/>
  <c r="BH538" i="28"/>
  <c r="BG538" i="28"/>
  <c r="BF538" i="28"/>
  <c r="BE538" i="28"/>
  <c r="BD538" i="28"/>
  <c r="BC538" i="28"/>
  <c r="AY538" i="28"/>
  <c r="AO538" i="28"/>
  <c r="AN538" i="28"/>
  <c r="T538" i="28"/>
  <c r="R538" i="28"/>
  <c r="BR538" i="28"/>
  <c r="BN537" i="28"/>
  <c r="BM537" i="28"/>
  <c r="BL537" i="28"/>
  <c r="BK537" i="28"/>
  <c r="BJ537" i="28"/>
  <c r="BI537" i="28"/>
  <c r="BH537" i="28"/>
  <c r="BG537" i="28"/>
  <c r="BF537" i="28"/>
  <c r="BE537" i="28"/>
  <c r="BD537" i="28"/>
  <c r="BC537" i="28"/>
  <c r="AY537" i="28"/>
  <c r="AO537" i="28"/>
  <c r="AN537" i="28"/>
  <c r="T537" i="28"/>
  <c r="R537" i="28"/>
  <c r="BR537" i="28" s="1"/>
  <c r="BN536" i="28"/>
  <c r="BM536" i="28"/>
  <c r="BL536" i="28"/>
  <c r="BK536" i="28"/>
  <c r="BJ536" i="28"/>
  <c r="BI536" i="28"/>
  <c r="BH536" i="28"/>
  <c r="BG536" i="28"/>
  <c r="BF536" i="28"/>
  <c r="BE536" i="28"/>
  <c r="BD536" i="28"/>
  <c r="BC536" i="28"/>
  <c r="AY536" i="28"/>
  <c r="AO536" i="28"/>
  <c r="AN536" i="28"/>
  <c r="T536" i="28"/>
  <c r="R536" i="28"/>
  <c r="BR536" i="28" s="1"/>
  <c r="BN535" i="28"/>
  <c r="BM535" i="28"/>
  <c r="BL535" i="28"/>
  <c r="BK535" i="28"/>
  <c r="BJ535" i="28"/>
  <c r="BI535" i="28"/>
  <c r="BH535" i="28"/>
  <c r="BG535" i="28"/>
  <c r="BF535" i="28"/>
  <c r="BE535" i="28"/>
  <c r="BD535" i="28"/>
  <c r="BC535" i="28"/>
  <c r="AY535" i="28"/>
  <c r="AT535" i="28"/>
  <c r="AO535" i="28"/>
  <c r="AN535" i="28"/>
  <c r="T535" i="28"/>
  <c r="R535" i="28"/>
  <c r="BR535" i="28" s="1"/>
  <c r="BN534" i="28"/>
  <c r="BM534" i="28"/>
  <c r="BL534" i="28"/>
  <c r="BK534" i="28"/>
  <c r="BJ534" i="28"/>
  <c r="BI534" i="28"/>
  <c r="BH534" i="28"/>
  <c r="BG534" i="28"/>
  <c r="BF534" i="28"/>
  <c r="BE534" i="28"/>
  <c r="BD534" i="28"/>
  <c r="BC534" i="28"/>
  <c r="AY534" i="28"/>
  <c r="AT534" i="28"/>
  <c r="AO534" i="28"/>
  <c r="AN534" i="28"/>
  <c r="T534" i="28"/>
  <c r="R534" i="28"/>
  <c r="BR534" i="28" s="1"/>
  <c r="BN533" i="28"/>
  <c r="BM533" i="28"/>
  <c r="BL533" i="28"/>
  <c r="BK533" i="28"/>
  <c r="BJ533" i="28"/>
  <c r="BI533" i="28"/>
  <c r="BH533" i="28"/>
  <c r="BG533" i="28"/>
  <c r="BF533" i="28"/>
  <c r="BE533" i="28"/>
  <c r="BD533" i="28"/>
  <c r="BC533" i="28"/>
  <c r="AY533" i="28"/>
  <c r="AO533" i="28"/>
  <c r="AN533" i="28"/>
  <c r="T533" i="28"/>
  <c r="R533" i="28"/>
  <c r="BR533" i="28"/>
  <c r="BN532" i="28"/>
  <c r="BM532" i="28"/>
  <c r="BL532" i="28"/>
  <c r="BK532" i="28"/>
  <c r="BJ532" i="28"/>
  <c r="BI532" i="28"/>
  <c r="BH532" i="28"/>
  <c r="BG532" i="28"/>
  <c r="BF532" i="28"/>
  <c r="BE532" i="28"/>
  <c r="BD532" i="28"/>
  <c r="BC532" i="28"/>
  <c r="AY532" i="28"/>
  <c r="AO532" i="28"/>
  <c r="AN532" i="28"/>
  <c r="T532" i="28"/>
  <c r="R532" i="28"/>
  <c r="BR532" i="28" s="1"/>
  <c r="BN531" i="28"/>
  <c r="BM531" i="28"/>
  <c r="BL531" i="28"/>
  <c r="BK531" i="28"/>
  <c r="BJ531" i="28"/>
  <c r="BI531" i="28"/>
  <c r="BH531" i="28"/>
  <c r="BG531" i="28"/>
  <c r="BF531" i="28"/>
  <c r="BE531" i="28"/>
  <c r="BD531" i="28"/>
  <c r="BC531" i="28"/>
  <c r="AY531" i="28"/>
  <c r="AO531" i="28"/>
  <c r="AN531" i="28"/>
  <c r="T531" i="28"/>
  <c r="R531" i="28"/>
  <c r="BR531" i="28" s="1"/>
  <c r="BN530" i="28"/>
  <c r="BM530" i="28"/>
  <c r="BL530" i="28"/>
  <c r="BK530" i="28"/>
  <c r="BJ530" i="28"/>
  <c r="BI530" i="28"/>
  <c r="BH530" i="28"/>
  <c r="BG530" i="28"/>
  <c r="BF530" i="28"/>
  <c r="BE530" i="28"/>
  <c r="BD530" i="28"/>
  <c r="BC530" i="28"/>
  <c r="AY530" i="28"/>
  <c r="AO530" i="28"/>
  <c r="AN530" i="28"/>
  <c r="T530" i="28"/>
  <c r="R530" i="28"/>
  <c r="BR530" i="28" s="1"/>
  <c r="BN529" i="28"/>
  <c r="BM529" i="28"/>
  <c r="BL529" i="28"/>
  <c r="BK529" i="28"/>
  <c r="BJ529" i="28"/>
  <c r="BI529" i="28"/>
  <c r="BH529" i="28"/>
  <c r="BG529" i="28"/>
  <c r="BF529" i="28"/>
  <c r="BE529" i="28"/>
  <c r="BD529" i="28"/>
  <c r="BC529" i="28"/>
  <c r="AY529" i="28"/>
  <c r="AO529" i="28"/>
  <c r="AN529" i="28"/>
  <c r="T529" i="28"/>
  <c r="R529" i="28"/>
  <c r="BR529" i="28" s="1"/>
  <c r="BN528" i="28"/>
  <c r="BM528" i="28"/>
  <c r="BL528" i="28"/>
  <c r="BK528" i="28"/>
  <c r="BJ528" i="28"/>
  <c r="BI528" i="28"/>
  <c r="BH528" i="28"/>
  <c r="BG528" i="28"/>
  <c r="BF528" i="28"/>
  <c r="BE528" i="28"/>
  <c r="BC528" i="28"/>
  <c r="AY528" i="28"/>
  <c r="AO528" i="28"/>
  <c r="AN528" i="28"/>
  <c r="T528" i="28"/>
  <c r="R528" i="28"/>
  <c r="BR528" i="28"/>
  <c r="BN527" i="28"/>
  <c r="BM527" i="28"/>
  <c r="BL527" i="28"/>
  <c r="BK527" i="28"/>
  <c r="BJ527" i="28"/>
  <c r="BI527" i="28"/>
  <c r="BH527" i="28"/>
  <c r="BG527" i="28"/>
  <c r="BF527" i="28"/>
  <c r="BE527" i="28"/>
  <c r="BD527" i="28"/>
  <c r="BC527" i="28"/>
  <c r="AY527" i="28"/>
  <c r="AT527" i="28"/>
  <c r="AO527" i="28"/>
  <c r="AN527" i="28"/>
  <c r="T527" i="28"/>
  <c r="R527" i="28"/>
  <c r="BR527" i="28" s="1"/>
  <c r="BN526" i="28"/>
  <c r="BM526" i="28"/>
  <c r="BL526" i="28"/>
  <c r="BK526" i="28"/>
  <c r="BJ526" i="28"/>
  <c r="BI526" i="28"/>
  <c r="BH526" i="28"/>
  <c r="BG526" i="28"/>
  <c r="BF526" i="28"/>
  <c r="BE526" i="28"/>
  <c r="BD526" i="28"/>
  <c r="BC526" i="28"/>
  <c r="AY526" i="28"/>
  <c r="AT526" i="28"/>
  <c r="AO526" i="28"/>
  <c r="AN526" i="28"/>
  <c r="T526" i="28"/>
  <c r="R526" i="28"/>
  <c r="BR526" i="28" s="1"/>
  <c r="BN525" i="28"/>
  <c r="BM525" i="28"/>
  <c r="BL525" i="28"/>
  <c r="BK525" i="28"/>
  <c r="BJ525" i="28"/>
  <c r="BI525" i="28"/>
  <c r="BH525" i="28"/>
  <c r="BG525" i="28"/>
  <c r="BF525" i="28"/>
  <c r="BE525" i="28"/>
  <c r="BD525" i="28"/>
  <c r="BC525" i="28"/>
  <c r="AY525" i="28"/>
  <c r="AT525" i="28"/>
  <c r="AO525" i="28"/>
  <c r="AN525" i="28"/>
  <c r="T525" i="28"/>
  <c r="R525" i="28"/>
  <c r="BR525" i="28" s="1"/>
  <c r="BN524" i="28"/>
  <c r="BM524" i="28"/>
  <c r="BL524" i="28"/>
  <c r="BK524" i="28"/>
  <c r="BJ524" i="28"/>
  <c r="BI524" i="28"/>
  <c r="BH524" i="28"/>
  <c r="BG524" i="28"/>
  <c r="BF524" i="28"/>
  <c r="BE524" i="28"/>
  <c r="BD524" i="28"/>
  <c r="BC524" i="28"/>
  <c r="AY524" i="28"/>
  <c r="AT524" i="28"/>
  <c r="AO524" i="28"/>
  <c r="AN524" i="28"/>
  <c r="T524" i="28"/>
  <c r="R524" i="28"/>
  <c r="BR524" i="28" s="1"/>
  <c r="BN523" i="28"/>
  <c r="BM523" i="28"/>
  <c r="BL523" i="28"/>
  <c r="BK523" i="28"/>
  <c r="BJ523" i="28"/>
  <c r="BI523" i="28"/>
  <c r="BH523" i="28"/>
  <c r="BG523" i="28"/>
  <c r="BF523" i="28"/>
  <c r="BE523" i="28"/>
  <c r="BD523" i="28"/>
  <c r="BC523" i="28"/>
  <c r="AY523" i="28"/>
  <c r="AT523" i="28"/>
  <c r="AO523" i="28"/>
  <c r="AN523" i="28"/>
  <c r="T523" i="28"/>
  <c r="R523" i="28"/>
  <c r="BR523" i="28"/>
  <c r="BN522" i="28"/>
  <c r="BM522" i="28"/>
  <c r="BL522" i="28"/>
  <c r="BK522" i="28"/>
  <c r="BJ522" i="28"/>
  <c r="BI522" i="28"/>
  <c r="BH522" i="28"/>
  <c r="BG522" i="28"/>
  <c r="BF522" i="28"/>
  <c r="BE522" i="28"/>
  <c r="BD522" i="28"/>
  <c r="BC522" i="28"/>
  <c r="AY522" i="28"/>
  <c r="AO522" i="28"/>
  <c r="AN522" i="28"/>
  <c r="T522" i="28"/>
  <c r="R522" i="28"/>
  <c r="BR522" i="28" s="1"/>
  <c r="BN521" i="28"/>
  <c r="BM521" i="28"/>
  <c r="BL521" i="28"/>
  <c r="BK521" i="28"/>
  <c r="BJ521" i="28"/>
  <c r="BI521" i="28"/>
  <c r="BH521" i="28"/>
  <c r="BG521" i="28"/>
  <c r="BF521" i="28"/>
  <c r="BE521" i="28"/>
  <c r="BD521" i="28"/>
  <c r="BC521" i="28"/>
  <c r="AY521" i="28"/>
  <c r="AT521" i="28"/>
  <c r="AO521" i="28"/>
  <c r="AN521" i="28"/>
  <c r="T521" i="28"/>
  <c r="R521" i="28"/>
  <c r="BR521" i="28"/>
  <c r="BN520" i="28"/>
  <c r="BM520" i="28"/>
  <c r="BL520" i="28"/>
  <c r="BK520" i="28"/>
  <c r="BJ520" i="28"/>
  <c r="BI520" i="28"/>
  <c r="BH520" i="28"/>
  <c r="BG520" i="28"/>
  <c r="BF520" i="28"/>
  <c r="BE520" i="28"/>
  <c r="BD520" i="28"/>
  <c r="BC520" i="28"/>
  <c r="AY520" i="28"/>
  <c r="AT520" i="28"/>
  <c r="AO520" i="28"/>
  <c r="AN520" i="28"/>
  <c r="T520" i="28"/>
  <c r="R520" i="28"/>
  <c r="BR520" i="28" s="1"/>
  <c r="BN519" i="28"/>
  <c r="BM519" i="28"/>
  <c r="BL519" i="28"/>
  <c r="BK519" i="28"/>
  <c r="BJ519" i="28"/>
  <c r="BI519" i="28"/>
  <c r="BH519" i="28"/>
  <c r="BG519" i="28"/>
  <c r="BF519" i="28"/>
  <c r="BE519" i="28"/>
  <c r="BD519" i="28"/>
  <c r="BC519" i="28"/>
  <c r="AY519" i="28"/>
  <c r="AT519" i="28"/>
  <c r="AO519" i="28"/>
  <c r="AN519" i="28"/>
  <c r="T519" i="28"/>
  <c r="R519" i="28"/>
  <c r="BR519" i="28" s="1"/>
  <c r="BN518" i="28"/>
  <c r="BM518" i="28"/>
  <c r="BL518" i="28"/>
  <c r="BK518" i="28"/>
  <c r="BJ518" i="28"/>
  <c r="BI518" i="28"/>
  <c r="BH518" i="28"/>
  <c r="BG518" i="28"/>
  <c r="BF518" i="28"/>
  <c r="BE518" i="28"/>
  <c r="BD518" i="28"/>
  <c r="BC518" i="28"/>
  <c r="AY518" i="28"/>
  <c r="AO518" i="28"/>
  <c r="AN518" i="28"/>
  <c r="T518" i="28"/>
  <c r="R518" i="28"/>
  <c r="BR518" i="28" s="1"/>
  <c r="BN517" i="28"/>
  <c r="BM517" i="28"/>
  <c r="BL517" i="28"/>
  <c r="BK517" i="28"/>
  <c r="BJ517" i="28"/>
  <c r="BI517" i="28"/>
  <c r="BH517" i="28"/>
  <c r="BG517" i="28"/>
  <c r="BF517" i="28"/>
  <c r="BE517" i="28"/>
  <c r="BD517" i="28"/>
  <c r="BC517" i="28"/>
  <c r="AY517" i="28"/>
  <c r="AO517" i="28"/>
  <c r="AN517" i="28"/>
  <c r="T517" i="28"/>
  <c r="R517" i="28"/>
  <c r="BR517" i="28" s="1"/>
  <c r="BN516" i="28"/>
  <c r="BM516" i="28"/>
  <c r="BL516" i="28"/>
  <c r="BK516" i="28"/>
  <c r="BJ516" i="28"/>
  <c r="BI516" i="28"/>
  <c r="BH516" i="28"/>
  <c r="BG516" i="28"/>
  <c r="BF516" i="28"/>
  <c r="BE516" i="28"/>
  <c r="BD516" i="28"/>
  <c r="BC516" i="28"/>
  <c r="AY516" i="28"/>
  <c r="AO516" i="28"/>
  <c r="AN516" i="28"/>
  <c r="T516" i="28"/>
  <c r="R516" i="28"/>
  <c r="BR516" i="28"/>
  <c r="BN515" i="28"/>
  <c r="BM515" i="28"/>
  <c r="BL515" i="28"/>
  <c r="BK515" i="28"/>
  <c r="BJ515" i="28"/>
  <c r="BI515" i="28"/>
  <c r="BH515" i="28"/>
  <c r="BG515" i="28"/>
  <c r="BF515" i="28"/>
  <c r="BE515" i="28"/>
  <c r="BD515" i="28"/>
  <c r="BC515" i="28"/>
  <c r="AY515" i="28"/>
  <c r="AO515" i="28"/>
  <c r="AN515" i="28"/>
  <c r="T515" i="28"/>
  <c r="R515" i="28"/>
  <c r="BR515" i="28" s="1"/>
  <c r="BN514" i="28"/>
  <c r="BM514" i="28"/>
  <c r="BL514" i="28"/>
  <c r="BK514" i="28"/>
  <c r="BJ514" i="28"/>
  <c r="BI514" i="28"/>
  <c r="BH514" i="28"/>
  <c r="BG514" i="28"/>
  <c r="BF514" i="28"/>
  <c r="BE514" i="28"/>
  <c r="BD514" i="28"/>
  <c r="BC514" i="28"/>
  <c r="AY514" i="28"/>
  <c r="AO514" i="28"/>
  <c r="AN514" i="28"/>
  <c r="T514" i="28"/>
  <c r="R514" i="28"/>
  <c r="BR514" i="28" s="1"/>
  <c r="BN513" i="28"/>
  <c r="BM513" i="28"/>
  <c r="BL513" i="28"/>
  <c r="BK513" i="28"/>
  <c r="BJ513" i="28"/>
  <c r="BI513" i="28"/>
  <c r="BH513" i="28"/>
  <c r="BG513" i="28"/>
  <c r="BF513" i="28"/>
  <c r="BE513" i="28"/>
  <c r="BD513" i="28"/>
  <c r="BC513" i="28"/>
  <c r="AY513" i="28"/>
  <c r="AO513" i="28"/>
  <c r="AN513" i="28"/>
  <c r="T513" i="28"/>
  <c r="R513" i="28"/>
  <c r="BR513" i="28" s="1"/>
  <c r="BN512" i="28"/>
  <c r="BM512" i="28"/>
  <c r="BL512" i="28"/>
  <c r="BK512" i="28"/>
  <c r="BJ512" i="28"/>
  <c r="BI512" i="28"/>
  <c r="BH512" i="28"/>
  <c r="BG512" i="28"/>
  <c r="BF512" i="28"/>
  <c r="BE512" i="28"/>
  <c r="BD512" i="28"/>
  <c r="BC512" i="28"/>
  <c r="AY512" i="28"/>
  <c r="AO512" i="28"/>
  <c r="AN512" i="28"/>
  <c r="T512" i="28"/>
  <c r="R512" i="28"/>
  <c r="BR512" i="28" s="1"/>
  <c r="BN511" i="28"/>
  <c r="BM511" i="28"/>
  <c r="BL511" i="28"/>
  <c r="BK511" i="28"/>
  <c r="BJ511" i="28"/>
  <c r="BI511" i="28"/>
  <c r="BH511" i="28"/>
  <c r="BG511" i="28"/>
  <c r="BF511" i="28"/>
  <c r="BE511" i="28"/>
  <c r="BD511" i="28"/>
  <c r="BC511" i="28"/>
  <c r="AY511" i="28"/>
  <c r="AT511" i="28"/>
  <c r="AO511" i="28"/>
  <c r="AN511" i="28"/>
  <c r="T511" i="28"/>
  <c r="R511" i="28"/>
  <c r="BR511" i="28" s="1"/>
  <c r="BN510" i="28"/>
  <c r="BM510" i="28"/>
  <c r="BL510" i="28"/>
  <c r="BK510" i="28"/>
  <c r="BJ510" i="28"/>
  <c r="BI510" i="28"/>
  <c r="BH510" i="28"/>
  <c r="BG510" i="28"/>
  <c r="BF510" i="28"/>
  <c r="BE510" i="28"/>
  <c r="BD510" i="28"/>
  <c r="BC510" i="28"/>
  <c r="AY510" i="28"/>
  <c r="AT510" i="28"/>
  <c r="AO510" i="28"/>
  <c r="AN510" i="28"/>
  <c r="T510" i="28"/>
  <c r="R510" i="28"/>
  <c r="BR510" i="28" s="1"/>
  <c r="BN509" i="28"/>
  <c r="BM509" i="28"/>
  <c r="BL509" i="28"/>
  <c r="BK509" i="28"/>
  <c r="BJ509" i="28"/>
  <c r="BI509" i="28"/>
  <c r="BH509" i="28"/>
  <c r="BG509" i="28"/>
  <c r="BF509" i="28"/>
  <c r="BE509" i="28"/>
  <c r="BD509" i="28"/>
  <c r="BC509" i="28"/>
  <c r="AY509" i="28"/>
  <c r="AO509" i="28"/>
  <c r="AN509" i="28"/>
  <c r="T509" i="28"/>
  <c r="R509" i="28"/>
  <c r="BR509" i="28" s="1"/>
  <c r="BN508" i="28"/>
  <c r="BM508" i="28"/>
  <c r="BL508" i="28"/>
  <c r="BK508" i="28"/>
  <c r="BJ508" i="28"/>
  <c r="BI508" i="28"/>
  <c r="BH508" i="28"/>
  <c r="BG508" i="28"/>
  <c r="BF508" i="28"/>
  <c r="BE508" i="28"/>
  <c r="BD508" i="28"/>
  <c r="BC508" i="28"/>
  <c r="AY508" i="28"/>
  <c r="AO508" i="28"/>
  <c r="AN508" i="28"/>
  <c r="T508" i="28"/>
  <c r="R508" i="28"/>
  <c r="BR508" i="28" s="1"/>
  <c r="BN507" i="28"/>
  <c r="BM507" i="28"/>
  <c r="BL507" i="28"/>
  <c r="BK507" i="28"/>
  <c r="BJ507" i="28"/>
  <c r="BI507" i="28"/>
  <c r="BH507" i="28"/>
  <c r="BG507" i="28"/>
  <c r="BF507" i="28"/>
  <c r="BE507" i="28"/>
  <c r="BD507" i="28"/>
  <c r="BC507" i="28"/>
  <c r="AY507" i="28"/>
  <c r="AT507" i="28"/>
  <c r="AO507" i="28"/>
  <c r="AN507" i="28"/>
  <c r="T507" i="28"/>
  <c r="R507" i="28"/>
  <c r="BR507" i="28" s="1"/>
  <c r="BN506" i="28"/>
  <c r="BM506" i="28"/>
  <c r="BL506" i="28"/>
  <c r="BK506" i="28"/>
  <c r="BJ506" i="28"/>
  <c r="BI506" i="28"/>
  <c r="BH506" i="28"/>
  <c r="BG506" i="28"/>
  <c r="BF506" i="28"/>
  <c r="BE506" i="28"/>
  <c r="BD506" i="28"/>
  <c r="BC506" i="28"/>
  <c r="AY506" i="28"/>
  <c r="AT506" i="28"/>
  <c r="AO506" i="28"/>
  <c r="AN506" i="28"/>
  <c r="T506" i="28"/>
  <c r="R506" i="28"/>
  <c r="BR506" i="28" s="1"/>
  <c r="BN505" i="28"/>
  <c r="BM505" i="28"/>
  <c r="BL505" i="28"/>
  <c r="BK505" i="28"/>
  <c r="BJ505" i="28"/>
  <c r="BI505" i="28"/>
  <c r="BH505" i="28"/>
  <c r="BG505" i="28"/>
  <c r="BF505" i="28"/>
  <c r="BE505" i="28"/>
  <c r="BD505" i="28"/>
  <c r="BC505" i="28"/>
  <c r="AY505" i="28"/>
  <c r="AO505" i="28"/>
  <c r="AN505" i="28"/>
  <c r="T505" i="28"/>
  <c r="R505" i="28"/>
  <c r="BR505" i="28" s="1"/>
  <c r="BN504" i="28"/>
  <c r="BM504" i="28"/>
  <c r="BL504" i="28"/>
  <c r="BK504" i="28"/>
  <c r="BJ504" i="28"/>
  <c r="BI504" i="28"/>
  <c r="BH504" i="28"/>
  <c r="BG504" i="28"/>
  <c r="BF504" i="28"/>
  <c r="BE504" i="28"/>
  <c r="BC504" i="28"/>
  <c r="AY504" i="28"/>
  <c r="AO504" i="28"/>
  <c r="AN504" i="28"/>
  <c r="T504" i="28"/>
  <c r="R504" i="28"/>
  <c r="BR504" i="28"/>
  <c r="AY503" i="28"/>
  <c r="AT503" i="28"/>
  <c r="AO503" i="28"/>
  <c r="AN503" i="28"/>
  <c r="T503" i="28"/>
  <c r="R503" i="28"/>
  <c r="BR503" i="28" s="1"/>
  <c r="AY502" i="28"/>
  <c r="AT502" i="28"/>
  <c r="AO502" i="28"/>
  <c r="AN502" i="28"/>
  <c r="T502" i="28"/>
  <c r="R502" i="28"/>
  <c r="BR502" i="28" s="1"/>
  <c r="AY501" i="28"/>
  <c r="AT501" i="28"/>
  <c r="AO501" i="28"/>
  <c r="AN501" i="28"/>
  <c r="T501" i="28"/>
  <c r="R501" i="28"/>
  <c r="BR501" i="28" s="1"/>
  <c r="AY500" i="28"/>
  <c r="AT500" i="28"/>
  <c r="AO500" i="28"/>
  <c r="AN500" i="28"/>
  <c r="T500" i="28"/>
  <c r="R500" i="28"/>
  <c r="BR500" i="28" s="1"/>
  <c r="AY499" i="28"/>
  <c r="AT499" i="28"/>
  <c r="AO499" i="28"/>
  <c r="AN499" i="28"/>
  <c r="T499" i="28"/>
  <c r="R499" i="28"/>
  <c r="BR499" i="28" s="1"/>
  <c r="AY498" i="28"/>
  <c r="AT498" i="28"/>
  <c r="AO498" i="28"/>
  <c r="AN498" i="28"/>
  <c r="T498" i="28"/>
  <c r="R498" i="28"/>
  <c r="BR498" i="28" s="1"/>
  <c r="AY497" i="28"/>
  <c r="AO497" i="28"/>
  <c r="AN497" i="28"/>
  <c r="T497" i="28"/>
  <c r="R497" i="28"/>
  <c r="BR497" i="28" s="1"/>
  <c r="AY496" i="28"/>
  <c r="AT496" i="28"/>
  <c r="AO496" i="28"/>
  <c r="AN496" i="28"/>
  <c r="T496" i="28"/>
  <c r="R496" i="28"/>
  <c r="BR496" i="28" s="1"/>
  <c r="AY495" i="28"/>
  <c r="AT495" i="28"/>
  <c r="AO495" i="28"/>
  <c r="AN495" i="28"/>
  <c r="T495" i="28"/>
  <c r="R495" i="28"/>
  <c r="BR495" i="28" s="1"/>
  <c r="AY494" i="28"/>
  <c r="AO494" i="28"/>
  <c r="AN494" i="28"/>
  <c r="T494" i="28"/>
  <c r="R494" i="28"/>
  <c r="BR494" i="28" s="1"/>
  <c r="AY493" i="28"/>
  <c r="AO493" i="28"/>
  <c r="AN493" i="28"/>
  <c r="T493" i="28"/>
  <c r="R493" i="28"/>
  <c r="BR493" i="28"/>
  <c r="AY492" i="28"/>
  <c r="AO492" i="28"/>
  <c r="AN492" i="28"/>
  <c r="T492" i="28"/>
  <c r="R492" i="28"/>
  <c r="BR492" i="28"/>
  <c r="AY491" i="28"/>
  <c r="AO491" i="28"/>
  <c r="AN491" i="28"/>
  <c r="T491" i="28"/>
  <c r="R491" i="28"/>
  <c r="BR491" i="28" s="1"/>
  <c r="AY490" i="28"/>
  <c r="AO490" i="28"/>
  <c r="AN490" i="28"/>
  <c r="T490" i="28"/>
  <c r="R490" i="28"/>
  <c r="BR490" i="28" s="1"/>
  <c r="AY489" i="28"/>
  <c r="AT489" i="28"/>
  <c r="AO489" i="28"/>
  <c r="AN489" i="28"/>
  <c r="T489" i="28"/>
  <c r="R489" i="28"/>
  <c r="BR489" i="28" s="1"/>
  <c r="AY488" i="28"/>
  <c r="AO488" i="28"/>
  <c r="AN488" i="28"/>
  <c r="T488" i="28"/>
  <c r="R488" i="28"/>
  <c r="BR488" i="28" s="1"/>
  <c r="AY487" i="28"/>
  <c r="AO487" i="28"/>
  <c r="AN487" i="28"/>
  <c r="T487" i="28"/>
  <c r="R487" i="28"/>
  <c r="BR487" i="28" s="1"/>
  <c r="AY486" i="28"/>
  <c r="AO486" i="28"/>
  <c r="AN486" i="28"/>
  <c r="T486" i="28"/>
  <c r="R486" i="28"/>
  <c r="BR486" i="28" s="1"/>
  <c r="AY485" i="28"/>
  <c r="AO485" i="28"/>
  <c r="AN485" i="28"/>
  <c r="T485" i="28"/>
  <c r="R485" i="28"/>
  <c r="BR485" i="28" s="1"/>
  <c r="AY484" i="28"/>
  <c r="AO484" i="28"/>
  <c r="AN484" i="28"/>
  <c r="T484" i="28"/>
  <c r="R484" i="28"/>
  <c r="BR484" i="28" s="1"/>
  <c r="AY483" i="28"/>
  <c r="AO483" i="28"/>
  <c r="AN483" i="28"/>
  <c r="T483" i="28"/>
  <c r="R483" i="28"/>
  <c r="BR483" i="28" s="1"/>
  <c r="AY482" i="28"/>
  <c r="AT482" i="28"/>
  <c r="AO482" i="28"/>
  <c r="AN482" i="28"/>
  <c r="T482" i="28"/>
  <c r="R482" i="28"/>
  <c r="BR482" i="28" s="1"/>
  <c r="AY481" i="28"/>
  <c r="AT481" i="28"/>
  <c r="AO481" i="28"/>
  <c r="AN481" i="28"/>
  <c r="T481" i="28"/>
  <c r="R481" i="28"/>
  <c r="BR481" i="28" s="1"/>
  <c r="AY480" i="28"/>
  <c r="AT480" i="28"/>
  <c r="AO480" i="28"/>
  <c r="AN480" i="28"/>
  <c r="T480" i="28"/>
  <c r="R480" i="28"/>
  <c r="BR480" i="28"/>
  <c r="AY479" i="28"/>
  <c r="AT479" i="28"/>
  <c r="AO479" i="28"/>
  <c r="AN479" i="28"/>
  <c r="T479" i="28"/>
  <c r="R479" i="28"/>
  <c r="BR479" i="28" s="1"/>
  <c r="AY478" i="28"/>
  <c r="AO478" i="28"/>
  <c r="AN478" i="28"/>
  <c r="T478" i="28"/>
  <c r="R478" i="28"/>
  <c r="BR478" i="28" s="1"/>
  <c r="AY477" i="28"/>
  <c r="AO477" i="28"/>
  <c r="AN477" i="28"/>
  <c r="T477" i="28"/>
  <c r="R477" i="28"/>
  <c r="BR477" i="28" s="1"/>
  <c r="AY476" i="28"/>
  <c r="AO476" i="28"/>
  <c r="AN476" i="28"/>
  <c r="T476" i="28"/>
  <c r="R476" i="28"/>
  <c r="BR476" i="28" s="1"/>
  <c r="AY475" i="28"/>
  <c r="AO475" i="28"/>
  <c r="AN475" i="28"/>
  <c r="T475" i="28"/>
  <c r="R475" i="28"/>
  <c r="BR475" i="28" s="1"/>
  <c r="AY474" i="28"/>
  <c r="AO474" i="28"/>
  <c r="AN474" i="28"/>
  <c r="T474" i="28"/>
  <c r="R474" i="28"/>
  <c r="BR474" i="28" s="1"/>
  <c r="AY473" i="28"/>
  <c r="AO473" i="28"/>
  <c r="AN473" i="28"/>
  <c r="T473" i="28"/>
  <c r="R473" i="28"/>
  <c r="BR473" i="28"/>
  <c r="AY472" i="28"/>
  <c r="AT472" i="28"/>
  <c r="AO472" i="28"/>
  <c r="AN472" i="28"/>
  <c r="T472" i="28"/>
  <c r="R472" i="28"/>
  <c r="BR472" i="28" s="1"/>
  <c r="AY471" i="28"/>
  <c r="AT471" i="28"/>
  <c r="AO471" i="28"/>
  <c r="AN471" i="28"/>
  <c r="T471" i="28"/>
  <c r="R471" i="28"/>
  <c r="BR471" i="28" s="1"/>
  <c r="AY470" i="28"/>
  <c r="AT470" i="28"/>
  <c r="AO470" i="28"/>
  <c r="AN470" i="28"/>
  <c r="T470" i="28"/>
  <c r="R470" i="28"/>
  <c r="BR470" i="28" s="1"/>
  <c r="AY469" i="28"/>
  <c r="AO469" i="28"/>
  <c r="AN469" i="28"/>
  <c r="T469" i="28"/>
  <c r="R469" i="28"/>
  <c r="BR469" i="28"/>
  <c r="AY468" i="28"/>
  <c r="AO468" i="28"/>
  <c r="AN468" i="28"/>
  <c r="T468" i="28"/>
  <c r="R468" i="28"/>
  <c r="BR468" i="28"/>
  <c r="AY467" i="28"/>
  <c r="AO467" i="28"/>
  <c r="AN467" i="28"/>
  <c r="T467" i="28"/>
  <c r="R467" i="28"/>
  <c r="BR467" i="28" s="1"/>
  <c r="AY466" i="28"/>
  <c r="AO466" i="28"/>
  <c r="AN466" i="28"/>
  <c r="T466" i="28"/>
  <c r="R466" i="28"/>
  <c r="BR466" i="28" s="1"/>
  <c r="AY465" i="28"/>
  <c r="AO465" i="28"/>
  <c r="AN465" i="28"/>
  <c r="T465" i="28"/>
  <c r="R465" i="28"/>
  <c r="BR465" i="28" s="1"/>
  <c r="AY464" i="28"/>
  <c r="AO464" i="28"/>
  <c r="AN464" i="28"/>
  <c r="T464" i="28"/>
  <c r="R464" i="28"/>
  <c r="BR464" i="28" s="1"/>
  <c r="AY463" i="28"/>
  <c r="AO463" i="28"/>
  <c r="AN463" i="28"/>
  <c r="T463" i="28"/>
  <c r="R463" i="28"/>
  <c r="BR463" i="28" s="1"/>
  <c r="AY462" i="28"/>
  <c r="AO462" i="28"/>
  <c r="AN462" i="28"/>
  <c r="T462" i="28"/>
  <c r="R462" i="28"/>
  <c r="BR462" i="28" s="1"/>
  <c r="AY461" i="28"/>
  <c r="AT461" i="28"/>
  <c r="AO461" i="28"/>
  <c r="AN461" i="28"/>
  <c r="T461" i="28"/>
  <c r="R461" i="28"/>
  <c r="BR461" i="28" s="1"/>
  <c r="AY460" i="28"/>
  <c r="AO460" i="28"/>
  <c r="AN460" i="28"/>
  <c r="T460" i="28"/>
  <c r="R460" i="28"/>
  <c r="BR460" i="28" s="1"/>
  <c r="AY459" i="28"/>
  <c r="AO459" i="28"/>
  <c r="AN459" i="28"/>
  <c r="T459" i="28"/>
  <c r="R459" i="28"/>
  <c r="BR459" i="28" s="1"/>
  <c r="AY458" i="28"/>
  <c r="AO458" i="28"/>
  <c r="AN458" i="28"/>
  <c r="T458" i="28"/>
  <c r="R458" i="28"/>
  <c r="BR458" i="28" s="1"/>
  <c r="AY457" i="28"/>
  <c r="AO457" i="28"/>
  <c r="AN457" i="28"/>
  <c r="T457" i="28"/>
  <c r="R457" i="28"/>
  <c r="BR457" i="28" s="1"/>
  <c r="AY456" i="28"/>
  <c r="AO456" i="28"/>
  <c r="AN456" i="28"/>
  <c r="T456" i="28"/>
  <c r="R456" i="28"/>
  <c r="BR456" i="28"/>
  <c r="AY455" i="28"/>
  <c r="AO455" i="28"/>
  <c r="AN455" i="28"/>
  <c r="T455" i="28"/>
  <c r="R455" i="28"/>
  <c r="BR455" i="28" s="1"/>
  <c r="AY454" i="28"/>
  <c r="AO454" i="28"/>
  <c r="AN454" i="28"/>
  <c r="T454" i="28"/>
  <c r="R454" i="28"/>
  <c r="BR454" i="28" s="1"/>
  <c r="AY453" i="28"/>
  <c r="AO453" i="28"/>
  <c r="AN453" i="28"/>
  <c r="T453" i="28"/>
  <c r="R453" i="28"/>
  <c r="BR453" i="28" s="1"/>
  <c r="AY452" i="28"/>
  <c r="AO452" i="28"/>
  <c r="AN452" i="28"/>
  <c r="T452" i="28"/>
  <c r="R452" i="28"/>
  <c r="BR452" i="28" s="1"/>
  <c r="AY451" i="28"/>
  <c r="AO451" i="28"/>
  <c r="AN451" i="28"/>
  <c r="T451" i="28"/>
  <c r="R451" i="28"/>
  <c r="BR451" i="28" s="1"/>
  <c r="AY450" i="28"/>
  <c r="AO450" i="28"/>
  <c r="AN450" i="28"/>
  <c r="T450" i="28"/>
  <c r="R450" i="28"/>
  <c r="BR450" i="28" s="1"/>
  <c r="AY449" i="28"/>
  <c r="AO449" i="28"/>
  <c r="AN449" i="28"/>
  <c r="T449" i="28"/>
  <c r="R449" i="28"/>
  <c r="BR449" i="28"/>
  <c r="AY448" i="28"/>
  <c r="AO448" i="28"/>
  <c r="AN448" i="28"/>
  <c r="T448" i="28"/>
  <c r="R448" i="28"/>
  <c r="BR448" i="28" s="1"/>
  <c r="AY447" i="28"/>
  <c r="AO447" i="28"/>
  <c r="AN447" i="28"/>
  <c r="T447" i="28"/>
  <c r="R447" i="28"/>
  <c r="BR447" i="28" s="1"/>
  <c r="AY446" i="28"/>
  <c r="AO446" i="28"/>
  <c r="AN446" i="28"/>
  <c r="T446" i="28"/>
  <c r="R446" i="28"/>
  <c r="BR446" i="28" s="1"/>
  <c r="AY445" i="28"/>
  <c r="AT445" i="28"/>
  <c r="AO445" i="28"/>
  <c r="AN445" i="28"/>
  <c r="T445" i="28"/>
  <c r="R445" i="28"/>
  <c r="BR445" i="28"/>
  <c r="AY444" i="28"/>
  <c r="AO444" i="28"/>
  <c r="AN444" i="28"/>
  <c r="T444" i="28"/>
  <c r="R444" i="28"/>
  <c r="BR444" i="28"/>
  <c r="AY443" i="28"/>
  <c r="AT443" i="28"/>
  <c r="AO443" i="28"/>
  <c r="AN443" i="28"/>
  <c r="T443" i="28"/>
  <c r="R443" i="28"/>
  <c r="BR443" i="28" s="1"/>
  <c r="AY442" i="28"/>
  <c r="AO442" i="28"/>
  <c r="AN442" i="28"/>
  <c r="T442" i="28"/>
  <c r="R442" i="28"/>
  <c r="BR442" i="28" s="1"/>
  <c r="AY441" i="28"/>
  <c r="AT441" i="28"/>
  <c r="AO441" i="28"/>
  <c r="AN441" i="28"/>
  <c r="T441" i="28"/>
  <c r="R441" i="28"/>
  <c r="BR441" i="28" s="1"/>
  <c r="AY440" i="28"/>
  <c r="AO440" i="28"/>
  <c r="AN440" i="28"/>
  <c r="T440" i="28"/>
  <c r="R440" i="28"/>
  <c r="BR440" i="28" s="1"/>
  <c r="AY439" i="28"/>
  <c r="AO439" i="28"/>
  <c r="AN439" i="28"/>
  <c r="T439" i="28"/>
  <c r="R439" i="28"/>
  <c r="BR439" i="28" s="1"/>
  <c r="AY438" i="28"/>
  <c r="AO438" i="28"/>
  <c r="AN438" i="28"/>
  <c r="T438" i="28"/>
  <c r="R438" i="28"/>
  <c r="BR438" i="28" s="1"/>
  <c r="AY437" i="28"/>
  <c r="AT437" i="28"/>
  <c r="AO437" i="28"/>
  <c r="AN437" i="28"/>
  <c r="T437" i="28"/>
  <c r="R437" i="28"/>
  <c r="BR437" i="28" s="1"/>
  <c r="AY436" i="28"/>
  <c r="AO436" i="28"/>
  <c r="AN436" i="28"/>
  <c r="T436" i="28"/>
  <c r="R436" i="28"/>
  <c r="BR436" i="28" s="1"/>
  <c r="AY435" i="28"/>
  <c r="AT435" i="28"/>
  <c r="AO435" i="28"/>
  <c r="AN435" i="28"/>
  <c r="T435" i="28"/>
  <c r="R435" i="28"/>
  <c r="BR435" i="28" s="1"/>
  <c r="AY434" i="28"/>
  <c r="AO434" i="28"/>
  <c r="AN434" i="28"/>
  <c r="T434" i="28"/>
  <c r="R434" i="28"/>
  <c r="BR434" i="28" s="1"/>
  <c r="AY433" i="28"/>
  <c r="AO433" i="28"/>
  <c r="AN433" i="28"/>
  <c r="T433" i="28"/>
  <c r="R433" i="28"/>
  <c r="BR433" i="28" s="1"/>
  <c r="AY432" i="28"/>
  <c r="AO432" i="28"/>
  <c r="AN432" i="28"/>
  <c r="T432" i="28"/>
  <c r="R432" i="28"/>
  <c r="BR432" i="28"/>
  <c r="AY431" i="28"/>
  <c r="AO431" i="28"/>
  <c r="AN431" i="28"/>
  <c r="T431" i="28"/>
  <c r="R431" i="28"/>
  <c r="BR431" i="28" s="1"/>
  <c r="AY430" i="28"/>
  <c r="AT430" i="28"/>
  <c r="AO430" i="28"/>
  <c r="AN430" i="28"/>
  <c r="T430" i="28"/>
  <c r="R430" i="28"/>
  <c r="BR430" i="28" s="1"/>
  <c r="AY429" i="28"/>
  <c r="AO429" i="28"/>
  <c r="AN429" i="28"/>
  <c r="T429" i="28"/>
  <c r="R429" i="28"/>
  <c r="BR429" i="28" s="1"/>
  <c r="AY428" i="28"/>
  <c r="AO428" i="28"/>
  <c r="AN428" i="28"/>
  <c r="T428" i="28"/>
  <c r="R428" i="28"/>
  <c r="BR428" i="28" s="1"/>
  <c r="AY427" i="28"/>
  <c r="AO427" i="28"/>
  <c r="AN427" i="28"/>
  <c r="T427" i="28"/>
  <c r="R427" i="28"/>
  <c r="BR427" i="28" s="1"/>
  <c r="AY426" i="28"/>
  <c r="AT426" i="28"/>
  <c r="AO426" i="28"/>
  <c r="AN426" i="28"/>
  <c r="T426" i="28"/>
  <c r="R426" i="28"/>
  <c r="BR426" i="28" s="1"/>
  <c r="AY425" i="28"/>
  <c r="AT425" i="28"/>
  <c r="AO425" i="28"/>
  <c r="AN425" i="28"/>
  <c r="T425" i="28"/>
  <c r="R425" i="28"/>
  <c r="BR425" i="28"/>
  <c r="AY424" i="28"/>
  <c r="AT424" i="28"/>
  <c r="AO424" i="28"/>
  <c r="AN424" i="28"/>
  <c r="T424" i="28"/>
  <c r="R424" i="28"/>
  <c r="BR424" i="28" s="1"/>
  <c r="AY423" i="28"/>
  <c r="AT423" i="28"/>
  <c r="AO423" i="28"/>
  <c r="AN423" i="28"/>
  <c r="T423" i="28"/>
  <c r="R423" i="28"/>
  <c r="BR423" i="28" s="1"/>
  <c r="AY422" i="28"/>
  <c r="AO422" i="28"/>
  <c r="AN422" i="28"/>
  <c r="T422" i="28"/>
  <c r="R422" i="28"/>
  <c r="BR422" i="28" s="1"/>
  <c r="AY421" i="28"/>
  <c r="AO421" i="28"/>
  <c r="AN421" i="28"/>
  <c r="T421" i="28"/>
  <c r="R421" i="28"/>
  <c r="BR421" i="28" s="1"/>
  <c r="AY420" i="28"/>
  <c r="AO420" i="28"/>
  <c r="AN420" i="28"/>
  <c r="T420" i="28"/>
  <c r="R420" i="28"/>
  <c r="BR420" i="28" s="1"/>
  <c r="AY419" i="28"/>
  <c r="AO419" i="28"/>
  <c r="AN419" i="28"/>
  <c r="T419" i="28"/>
  <c r="R419" i="28"/>
  <c r="BR419" i="28" s="1"/>
  <c r="AY418" i="28"/>
  <c r="AT418" i="28"/>
  <c r="AO418" i="28"/>
  <c r="AN418" i="28"/>
  <c r="T418" i="28"/>
  <c r="R418" i="28"/>
  <c r="BR418" i="28" s="1"/>
  <c r="AY417" i="28"/>
  <c r="AT417" i="28"/>
  <c r="AO417" i="28"/>
  <c r="AN417" i="28"/>
  <c r="T417" i="28"/>
  <c r="R417" i="28"/>
  <c r="BR417" i="28" s="1"/>
  <c r="AY416" i="28"/>
  <c r="AT416" i="28"/>
  <c r="AO416" i="28"/>
  <c r="AN416" i="28"/>
  <c r="T416" i="28"/>
  <c r="R416" i="28"/>
  <c r="BR416" i="28" s="1"/>
  <c r="AY415" i="28"/>
  <c r="AT415" i="28"/>
  <c r="AO415" i="28"/>
  <c r="AN415" i="28"/>
  <c r="T415" i="28"/>
  <c r="R415" i="28"/>
  <c r="BR415" i="28" s="1"/>
  <c r="AY414" i="28"/>
  <c r="AO414" i="28"/>
  <c r="AN414" i="28"/>
  <c r="T414" i="28"/>
  <c r="R414" i="28"/>
  <c r="BR414" i="28" s="1"/>
  <c r="AY413" i="28"/>
  <c r="AT413" i="28"/>
  <c r="AO413" i="28"/>
  <c r="AN413" i="28"/>
  <c r="T413" i="28"/>
  <c r="R413" i="28"/>
  <c r="BR413" i="28"/>
  <c r="AY412" i="28"/>
  <c r="AT412" i="28"/>
  <c r="AO412" i="28"/>
  <c r="AN412" i="28"/>
  <c r="T412" i="28"/>
  <c r="R412" i="28"/>
  <c r="BR412" i="28" s="1"/>
  <c r="AY411" i="28"/>
  <c r="AT411" i="28"/>
  <c r="AO411" i="28"/>
  <c r="AN411" i="28"/>
  <c r="T411" i="28"/>
  <c r="R411" i="28"/>
  <c r="BR411" i="28" s="1"/>
  <c r="AY410" i="28"/>
  <c r="AT410" i="28"/>
  <c r="AO410" i="28"/>
  <c r="AN410" i="28"/>
  <c r="T410" i="28"/>
  <c r="R410" i="28"/>
  <c r="BR410" i="28" s="1"/>
  <c r="AY409" i="28"/>
  <c r="AT409" i="28"/>
  <c r="AO409" i="28"/>
  <c r="AN409" i="28"/>
  <c r="T409" i="28"/>
  <c r="R409" i="28"/>
  <c r="BR409" i="28" s="1"/>
  <c r="AY408" i="28"/>
  <c r="AT408" i="28"/>
  <c r="AO408" i="28"/>
  <c r="AN408" i="28"/>
  <c r="T408" i="28"/>
  <c r="R408" i="28"/>
  <c r="BR408" i="28" s="1"/>
  <c r="AY407" i="28"/>
  <c r="AT407" i="28"/>
  <c r="AO407" i="28"/>
  <c r="AN407" i="28"/>
  <c r="T407" i="28"/>
  <c r="R407" i="28"/>
  <c r="BR407" i="28" s="1"/>
  <c r="AY406" i="28"/>
  <c r="AT406" i="28"/>
  <c r="AO406" i="28"/>
  <c r="AN406" i="28"/>
  <c r="T406" i="28"/>
  <c r="R406" i="28"/>
  <c r="BR406" i="28" s="1"/>
  <c r="AY405" i="28"/>
  <c r="AT405" i="28"/>
  <c r="AO405" i="28"/>
  <c r="AN405" i="28"/>
  <c r="T405" i="28"/>
  <c r="R405" i="28"/>
  <c r="BR405" i="28"/>
  <c r="AY404" i="28"/>
  <c r="AT404" i="28"/>
  <c r="AO404" i="28"/>
  <c r="AN404" i="28"/>
  <c r="T404" i="28"/>
  <c r="R404" i="28"/>
  <c r="BR404" i="28" s="1"/>
  <c r="AY403" i="28"/>
  <c r="AO403" i="28"/>
  <c r="AN403" i="28"/>
  <c r="T403" i="28"/>
  <c r="R403" i="28"/>
  <c r="BR403" i="28"/>
  <c r="AY402" i="28"/>
  <c r="AO402" i="28"/>
  <c r="AN402" i="28"/>
  <c r="T402" i="28"/>
  <c r="R402" i="28"/>
  <c r="BR402" i="28" s="1"/>
  <c r="AY401" i="28"/>
  <c r="AO401" i="28"/>
  <c r="AN401" i="28"/>
  <c r="T401" i="28"/>
  <c r="R401" i="28"/>
  <c r="BR401" i="28" s="1"/>
  <c r="AY400" i="28"/>
  <c r="AO400" i="28"/>
  <c r="AN400" i="28"/>
  <c r="T400" i="28"/>
  <c r="R400" i="28"/>
  <c r="BR400" i="28" s="1"/>
  <c r="AY399" i="28"/>
  <c r="AO399" i="28"/>
  <c r="AN399" i="28"/>
  <c r="T399" i="28"/>
  <c r="R399" i="28"/>
  <c r="BR399" i="28" s="1"/>
  <c r="AY398" i="28"/>
  <c r="AO398" i="28"/>
  <c r="AN398" i="28"/>
  <c r="T398" i="28"/>
  <c r="R398" i="28"/>
  <c r="BR398" i="28" s="1"/>
  <c r="AY397" i="28"/>
  <c r="AO397" i="28"/>
  <c r="AN397" i="28"/>
  <c r="T397" i="28"/>
  <c r="R397" i="28"/>
  <c r="BR397" i="28" s="1"/>
  <c r="AY396" i="28"/>
  <c r="AO396" i="28"/>
  <c r="AN396" i="28"/>
  <c r="T396" i="28"/>
  <c r="R396" i="28"/>
  <c r="BR396" i="28" s="1"/>
  <c r="AY395" i="28"/>
  <c r="AO395" i="28"/>
  <c r="AN395" i="28"/>
  <c r="T395" i="28"/>
  <c r="R395" i="28"/>
  <c r="BR395" i="28"/>
  <c r="AY394" i="28"/>
  <c r="AO394" i="28"/>
  <c r="AN394" i="28"/>
  <c r="T394" i="28"/>
  <c r="R394" i="28"/>
  <c r="BR394" i="28" s="1"/>
  <c r="AY393" i="28"/>
  <c r="AO393" i="28"/>
  <c r="AN393" i="28"/>
  <c r="T393" i="28"/>
  <c r="R393" i="28"/>
  <c r="BR393" i="28" s="1"/>
  <c r="AY392" i="28"/>
  <c r="AO392" i="28"/>
  <c r="AN392" i="28"/>
  <c r="T392" i="28"/>
  <c r="R392" i="28"/>
  <c r="BR392" i="28" s="1"/>
  <c r="AY391" i="28"/>
  <c r="AT391" i="28"/>
  <c r="AO391" i="28"/>
  <c r="AN391" i="28"/>
  <c r="T391" i="28"/>
  <c r="R391" i="28"/>
  <c r="BR391" i="28" s="1"/>
  <c r="AY390" i="28"/>
  <c r="AT390" i="28"/>
  <c r="AO390" i="28"/>
  <c r="AN390" i="28"/>
  <c r="T390" i="28"/>
  <c r="R390" i="28"/>
  <c r="BR390" i="28" s="1"/>
  <c r="AY389" i="28"/>
  <c r="AT389" i="28"/>
  <c r="AO389" i="28"/>
  <c r="AN389" i="28"/>
  <c r="T389" i="28"/>
  <c r="R389" i="28"/>
  <c r="BR389" i="28"/>
  <c r="AY388" i="28"/>
  <c r="AT388" i="28"/>
  <c r="AO388" i="28"/>
  <c r="AN388" i="28"/>
  <c r="T388" i="28"/>
  <c r="R388" i="28"/>
  <c r="BR388" i="28" s="1"/>
  <c r="AY387" i="28"/>
  <c r="AT387" i="28"/>
  <c r="AO387" i="28"/>
  <c r="AN387" i="28"/>
  <c r="T387" i="28"/>
  <c r="R387" i="28"/>
  <c r="BR387" i="28" s="1"/>
  <c r="AY386" i="28"/>
  <c r="AT386" i="28"/>
  <c r="AO386" i="28"/>
  <c r="AN386" i="28"/>
  <c r="T386" i="28"/>
  <c r="R386" i="28"/>
  <c r="BR386" i="28" s="1"/>
  <c r="AY385" i="28"/>
  <c r="AT385" i="28"/>
  <c r="AO385" i="28"/>
  <c r="AN385" i="28"/>
  <c r="T385" i="28"/>
  <c r="R385" i="28"/>
  <c r="BR385" i="28" s="1"/>
  <c r="AY384" i="28"/>
  <c r="AT384" i="28"/>
  <c r="AO384" i="28"/>
  <c r="AN384" i="28"/>
  <c r="T384" i="28"/>
  <c r="R384" i="28"/>
  <c r="BR384" i="28" s="1"/>
  <c r="AY383" i="28"/>
  <c r="AT383" i="28"/>
  <c r="AO383" i="28"/>
  <c r="AN383" i="28"/>
  <c r="T383" i="28"/>
  <c r="R383" i="28"/>
  <c r="BR383" i="28" s="1"/>
  <c r="AY382" i="28"/>
  <c r="AT382" i="28"/>
  <c r="AO382" i="28"/>
  <c r="AN382" i="28"/>
  <c r="T382" i="28"/>
  <c r="R382" i="28"/>
  <c r="BR382" i="28" s="1"/>
  <c r="AY381" i="28"/>
  <c r="AT381" i="28"/>
  <c r="AO381" i="28"/>
  <c r="AN381" i="28"/>
  <c r="T381" i="28"/>
  <c r="R381" i="28"/>
  <c r="BR381" i="28"/>
  <c r="AY380" i="28"/>
  <c r="AT380" i="28"/>
  <c r="AO380" i="28"/>
  <c r="AN380" i="28"/>
  <c r="T380" i="28"/>
  <c r="R380" i="28"/>
  <c r="BR380" i="28" s="1"/>
  <c r="AY379" i="28"/>
  <c r="AT379" i="28"/>
  <c r="AO379" i="28"/>
  <c r="AN379" i="28"/>
  <c r="T379" i="28"/>
  <c r="R379" i="28"/>
  <c r="BR379" i="28" s="1"/>
  <c r="AY378" i="28"/>
  <c r="AT378" i="28"/>
  <c r="AO378" i="28"/>
  <c r="AN378" i="28"/>
  <c r="T378" i="28"/>
  <c r="R378" i="28"/>
  <c r="BR378" i="28" s="1"/>
  <c r="AY377" i="28"/>
  <c r="AT377" i="28"/>
  <c r="AO377" i="28"/>
  <c r="AN377" i="28"/>
  <c r="T377" i="28"/>
  <c r="R377" i="28"/>
  <c r="BR377" i="28" s="1"/>
  <c r="AY376" i="28"/>
  <c r="AT376" i="28"/>
  <c r="AO376" i="28"/>
  <c r="AN376" i="28"/>
  <c r="T376" i="28"/>
  <c r="R376" i="28"/>
  <c r="BR376" i="28" s="1"/>
  <c r="AY375" i="28"/>
  <c r="AT375" i="28"/>
  <c r="AO375" i="28"/>
  <c r="AN375" i="28"/>
  <c r="T375" i="28"/>
  <c r="R375" i="28"/>
  <c r="BR375" i="28" s="1"/>
  <c r="AY374" i="28"/>
  <c r="AT374" i="28"/>
  <c r="AO374" i="28"/>
  <c r="AN374" i="28"/>
  <c r="T374" i="28"/>
  <c r="R374" i="28"/>
  <c r="BR374" i="28" s="1"/>
  <c r="AY373" i="28"/>
  <c r="AT373" i="28"/>
  <c r="AO373" i="28"/>
  <c r="AN373" i="28"/>
  <c r="T373" i="28"/>
  <c r="R373" i="28"/>
  <c r="BR373" i="28"/>
  <c r="AY372" i="28"/>
  <c r="AT372" i="28"/>
  <c r="AO372" i="28"/>
  <c r="AN372" i="28"/>
  <c r="T372" i="28"/>
  <c r="R372" i="28"/>
  <c r="BR372" i="28" s="1"/>
  <c r="AY371" i="28"/>
  <c r="AT371" i="28"/>
  <c r="AO371" i="28"/>
  <c r="AN371" i="28"/>
  <c r="T371" i="28"/>
  <c r="R371" i="28"/>
  <c r="BR371" i="28" s="1"/>
  <c r="AY370" i="28"/>
  <c r="AT370" i="28"/>
  <c r="AO370" i="28"/>
  <c r="AN370" i="28"/>
  <c r="T370" i="28"/>
  <c r="R370" i="28"/>
  <c r="BR370" i="28" s="1"/>
  <c r="AY369" i="28"/>
  <c r="AT369" i="28"/>
  <c r="AO369" i="28"/>
  <c r="AN369" i="28"/>
  <c r="T369" i="28"/>
  <c r="R369" i="28"/>
  <c r="BR369" i="28" s="1"/>
  <c r="AY368" i="28"/>
  <c r="AT368" i="28"/>
  <c r="AO368" i="28"/>
  <c r="AN368" i="28"/>
  <c r="T368" i="28"/>
  <c r="R368" i="28"/>
  <c r="BR368" i="28" s="1"/>
  <c r="AY367" i="28"/>
  <c r="AT367" i="28"/>
  <c r="AO367" i="28"/>
  <c r="AN367" i="28"/>
  <c r="T367" i="28"/>
  <c r="R367" i="28"/>
  <c r="BR367" i="28" s="1"/>
  <c r="AY366" i="28"/>
  <c r="AT366" i="28"/>
  <c r="AO366" i="28"/>
  <c r="AN366" i="28"/>
  <c r="T366" i="28"/>
  <c r="R366" i="28"/>
  <c r="BR366" i="28" s="1"/>
  <c r="AY365" i="28"/>
  <c r="AT365" i="28"/>
  <c r="AO365" i="28"/>
  <c r="AN365" i="28"/>
  <c r="T365" i="28"/>
  <c r="R365" i="28"/>
  <c r="BR365" i="28"/>
  <c r="AY364" i="28"/>
  <c r="AT364" i="28"/>
  <c r="AO364" i="28"/>
  <c r="AN364" i="28"/>
  <c r="T364" i="28"/>
  <c r="R364" i="28"/>
  <c r="BR364" i="28" s="1"/>
  <c r="AY363" i="28"/>
  <c r="AT363" i="28"/>
  <c r="AO363" i="28"/>
  <c r="AN363" i="28"/>
  <c r="T363" i="28"/>
  <c r="R363" i="28"/>
  <c r="BR363" i="28" s="1"/>
  <c r="AY362" i="28"/>
  <c r="AT362" i="28"/>
  <c r="AO362" i="28"/>
  <c r="AN362" i="28"/>
  <c r="T362" i="28"/>
  <c r="R362" i="28"/>
  <c r="BR362" i="28" s="1"/>
  <c r="AY361" i="28"/>
  <c r="AT361" i="28"/>
  <c r="AO361" i="28"/>
  <c r="AN361" i="28"/>
  <c r="T361" i="28"/>
  <c r="R361" i="28"/>
  <c r="BR361" i="28" s="1"/>
  <c r="AY360" i="28"/>
  <c r="AT360" i="28"/>
  <c r="AO360" i="28"/>
  <c r="AN360" i="28"/>
  <c r="T360" i="28"/>
  <c r="R360" i="28"/>
  <c r="BR360" i="28" s="1"/>
  <c r="AY359" i="28"/>
  <c r="AT359" i="28"/>
  <c r="AO359" i="28"/>
  <c r="AN359" i="28"/>
  <c r="T359" i="28"/>
  <c r="R359" i="28"/>
  <c r="BR359" i="28" s="1"/>
  <c r="AY358" i="28"/>
  <c r="AT358" i="28"/>
  <c r="AO358" i="28"/>
  <c r="AN358" i="28"/>
  <c r="T358" i="28"/>
  <c r="R358" i="28"/>
  <c r="BR358" i="28" s="1"/>
  <c r="AY357" i="28"/>
  <c r="AT357" i="28"/>
  <c r="AO357" i="28"/>
  <c r="AN357" i="28"/>
  <c r="T357" i="28"/>
  <c r="R357" i="28"/>
  <c r="BR357" i="28"/>
  <c r="AY356" i="28"/>
  <c r="AT356" i="28"/>
  <c r="AO356" i="28"/>
  <c r="AN356" i="28"/>
  <c r="T356" i="28"/>
  <c r="R356" i="28"/>
  <c r="BR356" i="28" s="1"/>
  <c r="AY355" i="28"/>
  <c r="AT355" i="28"/>
  <c r="AO355" i="28"/>
  <c r="AN355" i="28"/>
  <c r="T355" i="28"/>
  <c r="R355" i="28"/>
  <c r="BR355" i="28" s="1"/>
  <c r="AY354" i="28"/>
  <c r="AT354" i="28"/>
  <c r="AO354" i="28"/>
  <c r="AN354" i="28"/>
  <c r="T354" i="28"/>
  <c r="R354" i="28"/>
  <c r="BR354" i="28" s="1"/>
  <c r="AY353" i="28"/>
  <c r="AT353" i="28"/>
  <c r="AO353" i="28"/>
  <c r="AN353" i="28"/>
  <c r="T353" i="28"/>
  <c r="R353" i="28"/>
  <c r="BR353" i="28" s="1"/>
  <c r="AY352" i="28"/>
  <c r="AT352" i="28"/>
  <c r="AO352" i="28"/>
  <c r="AN352" i="28"/>
  <c r="T352" i="28"/>
  <c r="R352" i="28"/>
  <c r="BR352" i="28" s="1"/>
  <c r="AY351" i="28"/>
  <c r="AT351" i="28"/>
  <c r="AO351" i="28"/>
  <c r="AN351" i="28"/>
  <c r="T351" i="28"/>
  <c r="R351" i="28"/>
  <c r="BR351" i="28" s="1"/>
  <c r="AY350" i="28"/>
  <c r="AT350" i="28"/>
  <c r="AO350" i="28"/>
  <c r="AN350" i="28"/>
  <c r="T350" i="28"/>
  <c r="R350" i="28"/>
  <c r="BR350" i="28" s="1"/>
  <c r="AY349" i="28"/>
  <c r="AT349" i="28"/>
  <c r="AO349" i="28"/>
  <c r="AN349" i="28"/>
  <c r="T349" i="28"/>
  <c r="R349" i="28"/>
  <c r="BR349" i="28"/>
  <c r="AY348" i="28"/>
  <c r="AT348" i="28"/>
  <c r="AO348" i="28"/>
  <c r="AN348" i="28"/>
  <c r="T348" i="28"/>
  <c r="R348" i="28"/>
  <c r="BR348" i="28" s="1"/>
  <c r="AY347" i="28"/>
  <c r="AT347" i="28"/>
  <c r="AO347" i="28"/>
  <c r="AN347" i="28"/>
  <c r="T347" i="28"/>
  <c r="R347" i="28"/>
  <c r="BR347" i="28" s="1"/>
  <c r="AY346" i="28"/>
  <c r="AT346" i="28"/>
  <c r="AO346" i="28"/>
  <c r="AN346" i="28"/>
  <c r="T346" i="28"/>
  <c r="R346" i="28"/>
  <c r="BR346" i="28"/>
  <c r="AY345" i="28"/>
  <c r="AT345" i="28"/>
  <c r="AO345" i="28"/>
  <c r="AN345" i="28"/>
  <c r="T345" i="28"/>
  <c r="R345" i="28"/>
  <c r="BR345" i="28" s="1"/>
  <c r="AY344" i="28"/>
  <c r="AT344" i="28"/>
  <c r="AO344" i="28"/>
  <c r="AN344" i="28"/>
  <c r="T344" i="28"/>
  <c r="R344" i="28"/>
  <c r="BR344" i="28" s="1"/>
  <c r="AY343" i="28"/>
  <c r="AT343" i="28"/>
  <c r="AO343" i="28"/>
  <c r="AN343" i="28"/>
  <c r="T343" i="28"/>
  <c r="R343" i="28"/>
  <c r="BR343" i="28" s="1"/>
  <c r="AY342" i="28"/>
  <c r="AT342" i="28"/>
  <c r="AO342" i="28"/>
  <c r="AN342" i="28"/>
  <c r="T342" i="28"/>
  <c r="R342" i="28"/>
  <c r="BR342" i="28" s="1"/>
  <c r="AY341" i="28"/>
  <c r="AT341" i="28"/>
  <c r="AO341" i="28"/>
  <c r="AN341" i="28"/>
  <c r="T341" i="28"/>
  <c r="R341" i="28"/>
  <c r="BR341" i="28"/>
  <c r="AY340" i="28"/>
  <c r="AT340" i="28"/>
  <c r="AO340" i="28"/>
  <c r="AN340" i="28"/>
  <c r="T340" i="28"/>
  <c r="R340" i="28"/>
  <c r="BR340" i="28" s="1"/>
  <c r="AY339" i="28"/>
  <c r="AT339" i="28"/>
  <c r="AO339" i="28"/>
  <c r="AN339" i="28"/>
  <c r="T339" i="28"/>
  <c r="R339" i="28"/>
  <c r="BR339" i="28" s="1"/>
  <c r="AY338" i="28"/>
  <c r="AT338" i="28"/>
  <c r="AO338" i="28"/>
  <c r="AN338" i="28"/>
  <c r="T338" i="28"/>
  <c r="R338" i="28"/>
  <c r="BR338" i="28" s="1"/>
  <c r="AY337" i="28"/>
  <c r="AT337" i="28"/>
  <c r="AO337" i="28"/>
  <c r="AN337" i="28"/>
  <c r="T337" i="28"/>
  <c r="R337" i="28"/>
  <c r="BR337" i="28" s="1"/>
  <c r="AY336" i="28"/>
  <c r="AT336" i="28"/>
  <c r="AO336" i="28"/>
  <c r="AN336" i="28"/>
  <c r="T336" i="28"/>
  <c r="R336" i="28"/>
  <c r="BR336" i="28" s="1"/>
  <c r="AY335" i="28"/>
  <c r="AT335" i="28"/>
  <c r="AO335" i="28"/>
  <c r="AN335" i="28"/>
  <c r="T335" i="28"/>
  <c r="R335" i="28"/>
  <c r="BR335" i="28" s="1"/>
  <c r="AY334" i="28"/>
  <c r="AT334" i="28"/>
  <c r="AO334" i="28"/>
  <c r="AN334" i="28"/>
  <c r="T334" i="28"/>
  <c r="R334" i="28"/>
  <c r="BR334" i="28" s="1"/>
  <c r="AY333" i="28"/>
  <c r="AT333" i="28"/>
  <c r="AO333" i="28"/>
  <c r="AN333" i="28"/>
  <c r="T333" i="28"/>
  <c r="R333" i="28"/>
  <c r="BR333" i="28"/>
  <c r="AY332" i="28"/>
  <c r="AT332" i="28"/>
  <c r="AO332" i="28"/>
  <c r="AN332" i="28"/>
  <c r="T332" i="28"/>
  <c r="R332" i="28"/>
  <c r="BR332" i="28" s="1"/>
  <c r="AY331" i="28"/>
  <c r="AT331" i="28"/>
  <c r="AO331" i="28"/>
  <c r="AN331" i="28"/>
  <c r="T331" i="28"/>
  <c r="R331" i="28"/>
  <c r="BR331" i="28" s="1"/>
  <c r="AY330" i="28"/>
  <c r="AT330" i="28"/>
  <c r="AO330" i="28"/>
  <c r="AN330" i="28"/>
  <c r="T330" i="28"/>
  <c r="R330" i="28"/>
  <c r="BR330" i="28" s="1"/>
  <c r="AY329" i="28"/>
  <c r="AT329" i="28"/>
  <c r="AO329" i="28"/>
  <c r="AN329" i="28"/>
  <c r="T329" i="28"/>
  <c r="R329" i="28"/>
  <c r="BR329" i="28" s="1"/>
  <c r="AY328" i="28"/>
  <c r="AT328" i="28"/>
  <c r="AO328" i="28"/>
  <c r="AN328" i="28"/>
  <c r="T328" i="28"/>
  <c r="R328" i="28"/>
  <c r="BR328" i="28" s="1"/>
  <c r="AY327" i="28"/>
  <c r="AT327" i="28"/>
  <c r="AO327" i="28"/>
  <c r="AN327" i="28"/>
  <c r="T327" i="28"/>
  <c r="R327" i="28"/>
  <c r="BR327" i="28" s="1"/>
  <c r="AY326" i="28"/>
  <c r="AT326" i="28"/>
  <c r="AO326" i="28"/>
  <c r="AN326" i="28"/>
  <c r="T326" i="28"/>
  <c r="R326" i="28"/>
  <c r="BR326" i="28" s="1"/>
  <c r="AY325" i="28"/>
  <c r="AT325" i="28"/>
  <c r="AO325" i="28"/>
  <c r="AN325" i="28"/>
  <c r="T325" i="28"/>
  <c r="R325" i="28"/>
  <c r="BR325" i="28"/>
  <c r="AY324" i="28"/>
  <c r="AT324" i="28"/>
  <c r="AO324" i="28"/>
  <c r="AN324" i="28"/>
  <c r="T324" i="28"/>
  <c r="R324" i="28"/>
  <c r="BR324" i="28" s="1"/>
  <c r="AY323" i="28"/>
  <c r="AT323" i="28"/>
  <c r="AO323" i="28"/>
  <c r="AN323" i="28"/>
  <c r="T323" i="28"/>
  <c r="R323" i="28"/>
  <c r="BR323" i="28" s="1"/>
  <c r="AY322" i="28"/>
  <c r="AT322" i="28"/>
  <c r="AO322" i="28"/>
  <c r="AN322" i="28"/>
  <c r="T322" i="28"/>
  <c r="R322" i="28"/>
  <c r="BR322" i="28" s="1"/>
  <c r="AY321" i="28"/>
  <c r="AT321" i="28"/>
  <c r="AO321" i="28"/>
  <c r="AN321" i="28"/>
  <c r="T321" i="28"/>
  <c r="R321" i="28"/>
  <c r="BR321" i="28" s="1"/>
  <c r="AY320" i="28"/>
  <c r="AT320" i="28"/>
  <c r="AO320" i="28"/>
  <c r="AN320" i="28"/>
  <c r="T320" i="28"/>
  <c r="R320" i="28"/>
  <c r="BR320" i="28" s="1"/>
  <c r="AY319" i="28"/>
  <c r="AT319" i="28"/>
  <c r="AO319" i="28"/>
  <c r="AN319" i="28"/>
  <c r="T319" i="28"/>
  <c r="R319" i="28"/>
  <c r="BR319" i="28" s="1"/>
  <c r="AY318" i="28"/>
  <c r="AT318" i="28"/>
  <c r="AO318" i="28"/>
  <c r="AN318" i="28"/>
  <c r="T318" i="28"/>
  <c r="R318" i="28"/>
  <c r="BR318" i="28" s="1"/>
  <c r="AY317" i="28"/>
  <c r="AT317" i="28"/>
  <c r="AO317" i="28"/>
  <c r="AN317" i="28"/>
  <c r="T317" i="28"/>
  <c r="R317" i="28"/>
  <c r="BR317" i="28"/>
  <c r="AY316" i="28"/>
  <c r="AT316" i="28"/>
  <c r="AO316" i="28"/>
  <c r="AN316" i="28"/>
  <c r="T316" i="28"/>
  <c r="R316" i="28"/>
  <c r="BR316" i="28" s="1"/>
  <c r="AY315" i="28"/>
  <c r="AT315" i="28"/>
  <c r="AO315" i="28"/>
  <c r="AN315" i="28"/>
  <c r="T315" i="28"/>
  <c r="R315" i="28"/>
  <c r="BR315" i="28" s="1"/>
  <c r="AY314" i="28"/>
  <c r="AT314" i="28"/>
  <c r="AO314" i="28"/>
  <c r="AN314" i="28"/>
  <c r="T314" i="28"/>
  <c r="R314" i="28"/>
  <c r="BR314" i="28" s="1"/>
  <c r="AY313" i="28"/>
  <c r="AT313" i="28"/>
  <c r="AO313" i="28"/>
  <c r="AN313" i="28"/>
  <c r="T313" i="28"/>
  <c r="R313" i="28"/>
  <c r="BR313" i="28" s="1"/>
  <c r="AY312" i="28"/>
  <c r="AT312" i="28"/>
  <c r="AO312" i="28"/>
  <c r="AN312" i="28"/>
  <c r="T312" i="28"/>
  <c r="R312" i="28"/>
  <c r="BR312" i="28" s="1"/>
  <c r="AY311" i="28"/>
  <c r="AT311" i="28"/>
  <c r="AO311" i="28"/>
  <c r="AN311" i="28"/>
  <c r="T311" i="28"/>
  <c r="R311" i="28"/>
  <c r="BR311" i="28" s="1"/>
  <c r="AY310" i="28"/>
  <c r="AT310" i="28"/>
  <c r="AO310" i="28"/>
  <c r="T310" i="28"/>
  <c r="R310" i="28"/>
  <c r="BR310" i="28"/>
  <c r="AY309" i="28"/>
  <c r="AT309" i="28"/>
  <c r="AO309" i="28"/>
  <c r="AN309" i="28"/>
  <c r="T309" i="28"/>
  <c r="R309" i="28"/>
  <c r="BR309" i="28" s="1"/>
  <c r="AY308" i="28"/>
  <c r="AT308" i="28"/>
  <c r="AO308" i="28"/>
  <c r="AN308" i="28"/>
  <c r="T308" i="28"/>
  <c r="R308" i="28"/>
  <c r="BR308" i="28" s="1"/>
  <c r="AY307" i="28"/>
  <c r="AT307" i="28"/>
  <c r="AO307" i="28"/>
  <c r="AN307" i="28"/>
  <c r="T307" i="28"/>
  <c r="R307" i="28"/>
  <c r="BR307" i="28" s="1"/>
  <c r="AY306" i="28"/>
  <c r="AT306" i="28"/>
  <c r="AO306" i="28"/>
  <c r="AN306" i="28"/>
  <c r="T306" i="28"/>
  <c r="R306" i="28"/>
  <c r="BR306" i="28" s="1"/>
  <c r="AY305" i="28"/>
  <c r="AT305" i="28"/>
  <c r="AO305" i="28"/>
  <c r="AN305" i="28"/>
  <c r="T305" i="28"/>
  <c r="R305" i="28"/>
  <c r="BR305" i="28" s="1"/>
  <c r="AY304" i="28"/>
  <c r="AT304" i="28"/>
  <c r="AO304" i="28"/>
  <c r="AN304" i="28"/>
  <c r="T304" i="28"/>
  <c r="R304" i="28"/>
  <c r="BR304" i="28" s="1"/>
  <c r="AY303" i="28"/>
  <c r="AT303" i="28"/>
  <c r="AO303" i="28"/>
  <c r="AN303" i="28"/>
  <c r="T303" i="28"/>
  <c r="R303" i="28"/>
  <c r="BR303" i="28" s="1"/>
  <c r="AY302" i="28"/>
  <c r="AT302" i="28"/>
  <c r="AO302" i="28"/>
  <c r="AN302" i="28"/>
  <c r="T302" i="28"/>
  <c r="R302" i="28"/>
  <c r="BR302" i="28"/>
  <c r="AY301" i="28"/>
  <c r="AT301" i="28"/>
  <c r="AO301" i="28"/>
  <c r="T301" i="28"/>
  <c r="R301" i="28"/>
  <c r="BR301" i="28" s="1"/>
  <c r="AY300" i="28"/>
  <c r="AT300" i="28"/>
  <c r="AO300" i="28"/>
  <c r="AN300" i="28"/>
  <c r="T300" i="28"/>
  <c r="R300" i="28"/>
  <c r="BR300" i="28"/>
  <c r="AY299" i="28"/>
  <c r="AT299" i="28"/>
  <c r="AO299" i="28"/>
  <c r="AN299" i="28"/>
  <c r="T299" i="28"/>
  <c r="R299" i="28"/>
  <c r="BR299" i="28" s="1"/>
  <c r="AY298" i="28"/>
  <c r="AT298" i="28"/>
  <c r="AO298" i="28"/>
  <c r="AN298" i="28"/>
  <c r="T298" i="28"/>
  <c r="R298" i="28"/>
  <c r="BR298" i="28" s="1"/>
  <c r="AY297" i="28"/>
  <c r="AT297" i="28"/>
  <c r="AO297" i="28"/>
  <c r="AN297" i="28"/>
  <c r="T297" i="28"/>
  <c r="R297" i="28"/>
  <c r="BR297" i="28" s="1"/>
  <c r="AY296" i="28"/>
  <c r="AT296" i="28"/>
  <c r="AO296" i="28"/>
  <c r="AN296" i="28"/>
  <c r="T296" i="28"/>
  <c r="R296" i="28"/>
  <c r="BR296" i="28" s="1"/>
  <c r="AY295" i="28"/>
  <c r="AT295" i="28"/>
  <c r="AO295" i="28"/>
  <c r="AN295" i="28"/>
  <c r="T295" i="28"/>
  <c r="R295" i="28"/>
  <c r="BR295" i="28" s="1"/>
  <c r="AY294" i="28"/>
  <c r="AT294" i="28"/>
  <c r="AO294" i="28"/>
  <c r="AN294" i="28"/>
  <c r="T294" i="28"/>
  <c r="R294" i="28"/>
  <c r="BR294" i="28" s="1"/>
  <c r="AY293" i="28"/>
  <c r="AT293" i="28"/>
  <c r="AO293" i="28"/>
  <c r="AN293" i="28"/>
  <c r="T293" i="28"/>
  <c r="R293" i="28"/>
  <c r="BR293" i="28" s="1"/>
  <c r="AY292" i="28"/>
  <c r="AT292" i="28"/>
  <c r="AO292" i="28"/>
  <c r="AN292" i="28"/>
  <c r="T292" i="28"/>
  <c r="R292" i="28"/>
  <c r="BR292" i="28"/>
  <c r="AY291" i="28"/>
  <c r="AT291" i="28"/>
  <c r="AO291" i="28"/>
  <c r="AN291" i="28"/>
  <c r="T291" i="28"/>
  <c r="R291" i="28"/>
  <c r="BR291" i="28" s="1"/>
  <c r="AY290" i="28"/>
  <c r="AT290" i="28"/>
  <c r="AO290" i="28"/>
  <c r="AN290" i="28"/>
  <c r="T290" i="28"/>
  <c r="R290" i="28"/>
  <c r="BR290" i="28" s="1"/>
  <c r="AY289" i="28"/>
  <c r="AT289" i="28"/>
  <c r="AO289" i="28"/>
  <c r="AN289" i="28"/>
  <c r="T289" i="28"/>
  <c r="R289" i="28"/>
  <c r="BR289" i="28" s="1"/>
  <c r="AY288" i="28"/>
  <c r="AO288" i="28"/>
  <c r="AN288" i="28"/>
  <c r="T288" i="28"/>
  <c r="R288" i="28"/>
  <c r="BR288" i="28" s="1"/>
  <c r="AY287" i="28"/>
  <c r="AT287" i="28"/>
  <c r="AO287" i="28"/>
  <c r="AN287" i="28"/>
  <c r="T287" i="28"/>
  <c r="R287" i="28"/>
  <c r="BR287" i="28" s="1"/>
  <c r="AY286" i="28"/>
  <c r="AT286" i="28"/>
  <c r="AO286" i="28"/>
  <c r="AN286" i="28"/>
  <c r="T286" i="28"/>
  <c r="R286" i="28"/>
  <c r="BR286" i="28" s="1"/>
  <c r="AY285" i="28"/>
  <c r="AT285" i="28"/>
  <c r="AO285" i="28"/>
  <c r="AN285" i="28"/>
  <c r="T285" i="28"/>
  <c r="R285" i="28"/>
  <c r="BR285" i="28"/>
  <c r="AY284" i="28"/>
  <c r="AT284" i="28"/>
  <c r="AO284" i="28"/>
  <c r="AN284" i="28"/>
  <c r="T284" i="28"/>
  <c r="R284" i="28"/>
  <c r="BR284" i="28" s="1"/>
  <c r="AY283" i="28"/>
  <c r="AT283" i="28"/>
  <c r="AO283" i="28"/>
  <c r="AN283" i="28"/>
  <c r="T283" i="28"/>
  <c r="R283" i="28"/>
  <c r="BR283" i="28" s="1"/>
  <c r="AY282" i="28"/>
  <c r="AT282" i="28"/>
  <c r="AO282" i="28"/>
  <c r="AN282" i="28"/>
  <c r="T282" i="28"/>
  <c r="R282" i="28"/>
  <c r="BR282" i="28" s="1"/>
  <c r="AY281" i="28"/>
  <c r="AT281" i="28"/>
  <c r="AO281" i="28"/>
  <c r="AN281" i="28"/>
  <c r="T281" i="28"/>
  <c r="R281" i="28"/>
  <c r="BR281" i="28" s="1"/>
  <c r="AY280" i="28"/>
  <c r="AT280" i="28"/>
  <c r="AO280" i="28"/>
  <c r="AN280" i="28"/>
  <c r="T280" i="28"/>
  <c r="R280" i="28"/>
  <c r="BR280" i="28"/>
  <c r="AY279" i="28"/>
  <c r="AT279" i="28"/>
  <c r="AO279" i="28"/>
  <c r="AN279" i="28"/>
  <c r="T279" i="28"/>
  <c r="R279" i="28"/>
  <c r="BR279" i="28" s="1"/>
  <c r="AY278" i="28"/>
  <c r="AT278" i="28"/>
  <c r="AO278" i="28"/>
  <c r="AN278" i="28"/>
  <c r="T278" i="28"/>
  <c r="R278" i="28"/>
  <c r="BR278" i="28" s="1"/>
  <c r="AY277" i="28"/>
  <c r="AT277" i="28"/>
  <c r="AO277" i="28"/>
  <c r="AN277" i="28"/>
  <c r="T277" i="28"/>
  <c r="R277" i="28"/>
  <c r="BR277" i="28"/>
  <c r="AY276" i="28"/>
  <c r="AT276" i="28"/>
  <c r="AO276" i="28"/>
  <c r="AN276" i="28"/>
  <c r="T276" i="28"/>
  <c r="R276" i="28"/>
  <c r="BR276" i="28" s="1"/>
  <c r="AY275" i="28"/>
  <c r="AT275" i="28"/>
  <c r="AO275" i="28"/>
  <c r="AN275" i="28"/>
  <c r="T275" i="28"/>
  <c r="R275" i="28"/>
  <c r="BR275" i="28" s="1"/>
  <c r="AY274" i="28"/>
  <c r="AT274" i="28"/>
  <c r="AO274" i="28"/>
  <c r="AN274" i="28"/>
  <c r="T274" i="28"/>
  <c r="R274" i="28"/>
  <c r="BR274" i="28" s="1"/>
  <c r="AY273" i="28"/>
  <c r="AT273" i="28"/>
  <c r="AO273" i="28"/>
  <c r="AN273" i="28"/>
  <c r="T273" i="28"/>
  <c r="R273" i="28"/>
  <c r="BR273" i="28" s="1"/>
  <c r="AY272" i="28"/>
  <c r="AT272" i="28"/>
  <c r="AO272" i="28"/>
  <c r="AN272" i="28"/>
  <c r="T272" i="28"/>
  <c r="R272" i="28"/>
  <c r="BR272" i="28" s="1"/>
  <c r="AY271" i="28"/>
  <c r="AT271" i="28"/>
  <c r="AO271" i="28"/>
  <c r="AN271" i="28"/>
  <c r="T271" i="28"/>
  <c r="R271" i="28"/>
  <c r="BR271" i="28" s="1"/>
  <c r="AY270" i="28"/>
  <c r="AT270" i="28"/>
  <c r="AO270" i="28"/>
  <c r="AN270" i="28"/>
  <c r="T270" i="28"/>
  <c r="R270" i="28"/>
  <c r="BR270" i="28" s="1"/>
  <c r="AY269" i="28"/>
  <c r="AT269" i="28"/>
  <c r="AO269" i="28"/>
  <c r="AN269" i="28"/>
  <c r="T269" i="28"/>
  <c r="R269" i="28"/>
  <c r="BR269" i="28"/>
  <c r="AY268" i="28"/>
  <c r="AT268" i="28"/>
  <c r="AO268" i="28"/>
  <c r="AN268" i="28"/>
  <c r="T268" i="28"/>
  <c r="R268" i="28"/>
  <c r="BR268" i="28" s="1"/>
  <c r="AY267" i="28"/>
  <c r="AO267" i="28"/>
  <c r="AN267" i="28"/>
  <c r="T267" i="28"/>
  <c r="R267" i="28"/>
  <c r="BR267" i="28" s="1"/>
  <c r="AY266" i="28"/>
  <c r="AT266" i="28"/>
  <c r="AO266" i="28"/>
  <c r="AN266" i="28"/>
  <c r="T266" i="28"/>
  <c r="R266" i="28"/>
  <c r="BR266" i="28" s="1"/>
  <c r="AY265" i="28"/>
  <c r="AT265" i="28"/>
  <c r="AO265" i="28"/>
  <c r="AN265" i="28"/>
  <c r="T265" i="28"/>
  <c r="R265" i="28"/>
  <c r="BR265" i="28"/>
  <c r="AY264" i="28"/>
  <c r="AT264" i="28"/>
  <c r="AO264" i="28"/>
  <c r="T264" i="28"/>
  <c r="R264" i="28"/>
  <c r="BR264" i="28" s="1"/>
  <c r="AY263" i="28"/>
  <c r="AT263" i="28"/>
  <c r="AO263" i="28"/>
  <c r="AN263" i="28"/>
  <c r="T263" i="28"/>
  <c r="R263" i="28"/>
  <c r="BR263" i="28" s="1"/>
  <c r="AY262" i="28"/>
  <c r="AT262" i="28"/>
  <c r="AO262" i="28"/>
  <c r="AN262" i="28"/>
  <c r="T262" i="28"/>
  <c r="R262" i="28"/>
  <c r="BR262" i="28"/>
  <c r="AY261" i="28"/>
  <c r="AT261" i="28"/>
  <c r="AO261" i="28"/>
  <c r="AN261" i="28"/>
  <c r="T261" i="28"/>
  <c r="R261" i="28"/>
  <c r="BR261" i="28" s="1"/>
  <c r="AY260" i="28"/>
  <c r="AT260" i="28"/>
  <c r="AO260" i="28"/>
  <c r="AN260" i="28"/>
  <c r="T260" i="28"/>
  <c r="R260" i="28"/>
  <c r="BR260" i="28" s="1"/>
  <c r="AY259" i="28"/>
  <c r="AT259" i="28"/>
  <c r="AO259" i="28"/>
  <c r="AN259" i="28"/>
  <c r="T259" i="28"/>
  <c r="R259" i="28"/>
  <c r="BR259" i="28" s="1"/>
  <c r="AY258" i="28"/>
  <c r="AT258" i="28"/>
  <c r="AO258" i="28"/>
  <c r="AN258" i="28"/>
  <c r="T258" i="28"/>
  <c r="R258" i="28"/>
  <c r="BR258" i="28" s="1"/>
  <c r="AY257" i="28"/>
  <c r="AT257" i="28"/>
  <c r="AO257" i="28"/>
  <c r="AN257" i="28"/>
  <c r="T257" i="28"/>
  <c r="R257" i="28"/>
  <c r="BR257" i="28" s="1"/>
  <c r="AY256" i="28"/>
  <c r="AT256" i="28"/>
  <c r="AO256" i="28"/>
  <c r="AN256" i="28"/>
  <c r="T256" i="28"/>
  <c r="R256" i="28"/>
  <c r="BR256" i="28" s="1"/>
  <c r="AY255" i="28"/>
  <c r="AT255" i="28"/>
  <c r="AO255" i="28"/>
  <c r="AN255" i="28"/>
  <c r="T255" i="28"/>
  <c r="R255" i="28"/>
  <c r="BR255" i="28" s="1"/>
  <c r="AY254" i="28"/>
  <c r="AT254" i="28"/>
  <c r="AO254" i="28"/>
  <c r="AN254" i="28"/>
  <c r="T254" i="28"/>
  <c r="R254" i="28"/>
  <c r="BR254" i="28"/>
  <c r="AY253" i="28"/>
  <c r="AT253" i="28"/>
  <c r="AO253" i="28"/>
  <c r="AN253" i="28"/>
  <c r="T253" i="28"/>
  <c r="R253" i="28"/>
  <c r="BR253" i="28" s="1"/>
  <c r="AY252" i="28"/>
  <c r="AT252" i="28"/>
  <c r="AO252" i="28"/>
  <c r="AN252" i="28"/>
  <c r="T252" i="28"/>
  <c r="R252" i="28"/>
  <c r="BR252" i="28" s="1"/>
  <c r="AY251" i="28"/>
  <c r="AT251" i="28"/>
  <c r="AO251" i="28"/>
  <c r="AN251" i="28"/>
  <c r="T251" i="28"/>
  <c r="R251" i="28"/>
  <c r="BR251" i="28" s="1"/>
  <c r="AY250" i="28"/>
  <c r="AT250" i="28"/>
  <c r="AO250" i="28"/>
  <c r="AN250" i="28"/>
  <c r="T250" i="28"/>
  <c r="R250" i="28"/>
  <c r="BR250" i="28" s="1"/>
  <c r="AY249" i="28"/>
  <c r="AT249" i="28"/>
  <c r="AO249" i="28"/>
  <c r="AN249" i="28"/>
  <c r="T249" i="28"/>
  <c r="R249" i="28"/>
  <c r="BR249" i="28"/>
  <c r="AY248" i="28"/>
  <c r="AT248" i="28"/>
  <c r="AO248" i="28"/>
  <c r="AN248" i="28"/>
  <c r="T248" i="28"/>
  <c r="R248" i="28"/>
  <c r="BR248" i="28" s="1"/>
  <c r="AY247" i="28"/>
  <c r="AT247" i="28"/>
  <c r="AO247" i="28"/>
  <c r="AN247" i="28"/>
  <c r="T247" i="28"/>
  <c r="R247" i="28"/>
  <c r="BR247" i="28" s="1"/>
  <c r="AY246" i="28"/>
  <c r="AT246" i="28"/>
  <c r="AO246" i="28"/>
  <c r="AN246" i="28"/>
  <c r="T246" i="28"/>
  <c r="R246" i="28"/>
  <c r="BR246" i="28" s="1"/>
  <c r="AY245" i="28"/>
  <c r="AT245" i="28"/>
  <c r="AO245" i="28"/>
  <c r="AN245" i="28"/>
  <c r="T245" i="28"/>
  <c r="R245" i="28"/>
  <c r="BR245" i="28" s="1"/>
  <c r="AY244" i="28"/>
  <c r="AT244" i="28"/>
  <c r="AO244" i="28"/>
  <c r="AN244" i="28"/>
  <c r="T244" i="28"/>
  <c r="R244" i="28"/>
  <c r="BR244" i="28" s="1"/>
  <c r="AY243" i="28"/>
  <c r="AT243" i="28"/>
  <c r="AO243" i="28"/>
  <c r="AN243" i="28"/>
  <c r="T243" i="28"/>
  <c r="R243" i="28"/>
  <c r="BR243" i="28" s="1"/>
  <c r="AY242" i="28"/>
  <c r="AT242" i="28"/>
  <c r="AO242" i="28"/>
  <c r="AN242" i="28"/>
  <c r="T242" i="28"/>
  <c r="R242" i="28"/>
  <c r="BR242" i="28"/>
  <c r="AY241" i="28"/>
  <c r="AT241" i="28"/>
  <c r="AO241" i="28"/>
  <c r="AN241" i="28"/>
  <c r="T241" i="28"/>
  <c r="R241" i="28"/>
  <c r="BR241" i="28" s="1"/>
  <c r="AY240" i="28"/>
  <c r="AT240" i="28"/>
  <c r="AO240" i="28"/>
  <c r="AN240" i="28"/>
  <c r="T240" i="28"/>
  <c r="R240" i="28"/>
  <c r="BR240" i="28" s="1"/>
  <c r="AY239" i="28"/>
  <c r="AT239" i="28"/>
  <c r="AO239" i="28"/>
  <c r="AN239" i="28"/>
  <c r="T239" i="28"/>
  <c r="R239" i="28"/>
  <c r="BR239" i="28" s="1"/>
  <c r="AY238" i="28"/>
  <c r="AT238" i="28"/>
  <c r="AO238" i="28"/>
  <c r="AN238" i="28"/>
  <c r="T238" i="28"/>
  <c r="R238" i="28"/>
  <c r="BR238" i="28" s="1"/>
  <c r="AY237" i="28"/>
  <c r="AT237" i="28"/>
  <c r="AO237" i="28"/>
  <c r="AN237" i="28"/>
  <c r="T237" i="28"/>
  <c r="R237" i="28"/>
  <c r="BR237" i="28" s="1"/>
  <c r="AY236" i="28"/>
  <c r="AT236" i="28"/>
  <c r="AO236" i="28"/>
  <c r="AN236" i="28"/>
  <c r="T236" i="28"/>
  <c r="R236" i="28"/>
  <c r="BR236" i="28" s="1"/>
  <c r="AY235" i="28"/>
  <c r="AT235" i="28"/>
  <c r="AO235" i="28"/>
  <c r="AN235" i="28"/>
  <c r="T235" i="28"/>
  <c r="R235" i="28"/>
  <c r="BR235" i="28" s="1"/>
  <c r="AY234" i="28"/>
  <c r="AT234" i="28"/>
  <c r="AO234" i="28"/>
  <c r="AN234" i="28"/>
  <c r="T234" i="28"/>
  <c r="R234" i="28"/>
  <c r="BR234" i="28" s="1"/>
  <c r="AY233" i="28"/>
  <c r="AT233" i="28"/>
  <c r="AO233" i="28"/>
  <c r="AN233" i="28"/>
  <c r="T233" i="28"/>
  <c r="R233" i="28"/>
  <c r="BR233" i="28" s="1"/>
  <c r="AY232" i="28"/>
  <c r="AT232" i="28"/>
  <c r="AO232" i="28"/>
  <c r="AN232" i="28"/>
  <c r="T232" i="28"/>
  <c r="R232" i="28"/>
  <c r="BR232" i="28" s="1"/>
  <c r="AY231" i="28"/>
  <c r="AT231" i="28"/>
  <c r="AO231" i="28"/>
  <c r="AN231" i="28"/>
  <c r="T231" i="28"/>
  <c r="R231" i="28"/>
  <c r="BR231" i="28" s="1"/>
  <c r="AY230" i="28"/>
  <c r="AT230" i="28"/>
  <c r="AO230" i="28"/>
  <c r="AN230" i="28"/>
  <c r="T230" i="28"/>
  <c r="R230" i="28"/>
  <c r="BR230" i="28"/>
  <c r="AY229" i="28"/>
  <c r="AT229" i="28"/>
  <c r="AO229" i="28"/>
  <c r="AN229" i="28"/>
  <c r="T229" i="28"/>
  <c r="R229" i="28"/>
  <c r="BR229" i="28" s="1"/>
  <c r="AY228" i="28"/>
  <c r="AT228" i="28"/>
  <c r="AO228" i="28"/>
  <c r="AN228" i="28"/>
  <c r="T228" i="28"/>
  <c r="R228" i="28"/>
  <c r="BR228" i="28" s="1"/>
  <c r="AY227" i="28"/>
  <c r="AT227" i="28"/>
  <c r="AO227" i="28"/>
  <c r="AN227" i="28"/>
  <c r="T227" i="28"/>
  <c r="R227" i="28"/>
  <c r="BR227" i="28" s="1"/>
  <c r="AY226" i="28"/>
  <c r="AT226" i="28"/>
  <c r="AO226" i="28"/>
  <c r="AN226" i="28"/>
  <c r="T226" i="28"/>
  <c r="R226" i="28"/>
  <c r="BR226" i="28" s="1"/>
  <c r="AY225" i="28"/>
  <c r="AT225" i="28"/>
  <c r="AO225" i="28"/>
  <c r="AN225" i="28"/>
  <c r="T225" i="28"/>
  <c r="R225" i="28"/>
  <c r="BR225" i="28" s="1"/>
  <c r="AY224" i="28"/>
  <c r="AT224" i="28"/>
  <c r="AO224" i="28"/>
  <c r="AN224" i="28"/>
  <c r="T224" i="28"/>
  <c r="R224" i="28"/>
  <c r="BR224" i="28" s="1"/>
  <c r="AY223" i="28"/>
  <c r="AT223" i="28"/>
  <c r="AO223" i="28"/>
  <c r="AN223" i="28"/>
  <c r="T223" i="28"/>
  <c r="R223" i="28"/>
  <c r="BR223" i="28" s="1"/>
  <c r="AY222" i="28"/>
  <c r="AT222" i="28"/>
  <c r="AO222" i="28"/>
  <c r="AN222" i="28"/>
  <c r="T222" i="28"/>
  <c r="R222" i="28"/>
  <c r="BR222" i="28" s="1"/>
  <c r="AY221" i="28"/>
  <c r="AT221" i="28"/>
  <c r="AO221" i="28"/>
  <c r="AN221" i="28"/>
  <c r="T221" i="28"/>
  <c r="R221" i="28"/>
  <c r="BR221" i="28"/>
  <c r="AY220" i="28"/>
  <c r="AT220" i="28"/>
  <c r="AO220" i="28"/>
  <c r="AN220" i="28"/>
  <c r="T220" i="28"/>
  <c r="R220" i="28"/>
  <c r="BR220" i="28" s="1"/>
  <c r="AY219" i="28"/>
  <c r="AT219" i="28"/>
  <c r="AO219" i="28"/>
  <c r="AN219" i="28"/>
  <c r="T219" i="28"/>
  <c r="R219" i="28"/>
  <c r="BR219" i="28" s="1"/>
  <c r="AY218" i="28"/>
  <c r="AT218" i="28"/>
  <c r="AO218" i="28"/>
  <c r="AN218" i="28"/>
  <c r="T218" i="28"/>
  <c r="R218" i="28"/>
  <c r="BR218" i="28" s="1"/>
  <c r="AY217" i="28"/>
  <c r="AT217" i="28"/>
  <c r="AO217" i="28"/>
  <c r="AN217" i="28"/>
  <c r="T217" i="28"/>
  <c r="R217" i="28"/>
  <c r="BR217" i="28" s="1"/>
  <c r="AY216" i="28"/>
  <c r="AT216" i="28"/>
  <c r="AO216" i="28"/>
  <c r="AN216" i="28"/>
  <c r="T216" i="28"/>
  <c r="R216" i="28"/>
  <c r="BR216" i="28" s="1"/>
  <c r="AY215" i="28"/>
  <c r="AT215" i="28"/>
  <c r="AO215" i="28"/>
  <c r="AN215" i="28"/>
  <c r="T215" i="28"/>
  <c r="R215" i="28"/>
  <c r="BR215" i="28" s="1"/>
  <c r="AY214" i="28"/>
  <c r="AT214" i="28"/>
  <c r="AO214" i="28"/>
  <c r="AN214" i="28"/>
  <c r="T214" i="28"/>
  <c r="R214" i="28"/>
  <c r="BR214" i="28" s="1"/>
  <c r="AY213" i="28"/>
  <c r="AT213" i="28"/>
  <c r="AO213" i="28"/>
  <c r="AN213" i="28"/>
  <c r="T213" i="28"/>
  <c r="R213" i="28"/>
  <c r="BR213" i="28"/>
  <c r="AY212" i="28"/>
  <c r="AT212" i="28"/>
  <c r="AO212" i="28"/>
  <c r="AN212" i="28"/>
  <c r="T212" i="28"/>
  <c r="R212" i="28"/>
  <c r="BR212" i="28" s="1"/>
  <c r="AY211" i="28"/>
  <c r="AT211" i="28"/>
  <c r="AO211" i="28"/>
  <c r="AN211" i="28"/>
  <c r="T211" i="28"/>
  <c r="R211" i="28"/>
  <c r="BR211" i="28" s="1"/>
  <c r="AY210" i="28"/>
  <c r="AT210" i="28"/>
  <c r="AO210" i="28"/>
  <c r="AN210" i="28"/>
  <c r="T210" i="28"/>
  <c r="R210" i="28"/>
  <c r="BR210" i="28" s="1"/>
  <c r="AY209" i="28"/>
  <c r="AT209" i="28"/>
  <c r="AO209" i="28"/>
  <c r="AN209" i="28"/>
  <c r="T209" i="28"/>
  <c r="R209" i="28"/>
  <c r="BR209" i="28"/>
  <c r="AY208" i="28"/>
  <c r="AT208" i="28"/>
  <c r="AO208" i="28"/>
  <c r="AN208" i="28"/>
  <c r="T208" i="28"/>
  <c r="R208" i="28"/>
  <c r="BR208" i="28" s="1"/>
  <c r="AY207" i="28"/>
  <c r="AT207" i="28"/>
  <c r="AO207" i="28"/>
  <c r="AN207" i="28"/>
  <c r="T207" i="28"/>
  <c r="R207" i="28"/>
  <c r="BR207" i="28" s="1"/>
  <c r="AY206" i="28"/>
  <c r="AT206" i="28"/>
  <c r="AO206" i="28"/>
  <c r="AN206" i="28"/>
  <c r="T206" i="28"/>
  <c r="R206" i="28"/>
  <c r="BR206" i="28" s="1"/>
  <c r="AY205" i="28"/>
  <c r="AT205" i="28"/>
  <c r="AO205" i="28"/>
  <c r="AN205" i="28"/>
  <c r="T205" i="28"/>
  <c r="R205" i="28"/>
  <c r="BR205" i="28" s="1"/>
  <c r="AY204" i="28"/>
  <c r="AT204" i="28"/>
  <c r="AO204" i="28"/>
  <c r="AN204" i="28"/>
  <c r="T204" i="28"/>
  <c r="R204" i="28"/>
  <c r="BR204" i="28" s="1"/>
  <c r="AY203" i="28"/>
  <c r="AT203" i="28"/>
  <c r="AO203" i="28"/>
  <c r="AN203" i="28"/>
  <c r="T203" i="28"/>
  <c r="R203" i="28"/>
  <c r="BR203" i="28" s="1"/>
  <c r="AY202" i="28"/>
  <c r="AO202" i="28"/>
  <c r="AN202" i="28"/>
  <c r="T202" i="28"/>
  <c r="R202" i="28"/>
  <c r="BR202" i="28"/>
  <c r="AY201" i="28"/>
  <c r="AT201" i="28"/>
  <c r="AO201" i="28"/>
  <c r="AN201" i="28"/>
  <c r="T201" i="28"/>
  <c r="R201" i="28"/>
  <c r="BR201" i="28" s="1"/>
  <c r="AY200" i="28"/>
  <c r="AT200" i="28"/>
  <c r="AO200" i="28"/>
  <c r="AN200" i="28"/>
  <c r="T200" i="28"/>
  <c r="R200" i="28"/>
  <c r="BR200" i="28" s="1"/>
  <c r="AY199" i="28"/>
  <c r="AT199" i="28"/>
  <c r="AO199" i="28"/>
  <c r="AN199" i="28"/>
  <c r="T199" i="28"/>
  <c r="R199" i="28"/>
  <c r="BR199" i="28" s="1"/>
  <c r="AY198" i="28"/>
  <c r="AT198" i="28"/>
  <c r="AO198" i="28"/>
  <c r="AN198" i="28"/>
  <c r="T198" i="28"/>
  <c r="R198" i="28"/>
  <c r="BR198" i="28" s="1"/>
  <c r="AY197" i="28"/>
  <c r="AT197" i="28"/>
  <c r="AO197" i="28"/>
  <c r="AN197" i="28"/>
  <c r="T197" i="28"/>
  <c r="R197" i="28"/>
  <c r="BR197" i="28" s="1"/>
  <c r="AY196" i="28"/>
  <c r="AT196" i="28"/>
  <c r="AO196" i="28"/>
  <c r="AN196" i="28"/>
  <c r="T196" i="28"/>
  <c r="R196" i="28"/>
  <c r="BR196" i="28" s="1"/>
  <c r="AY195" i="28"/>
  <c r="AT195" i="28"/>
  <c r="AO195" i="28"/>
  <c r="AN195" i="28"/>
  <c r="T195" i="28"/>
  <c r="R195" i="28"/>
  <c r="BR195" i="28" s="1"/>
  <c r="AY194" i="28"/>
  <c r="AT194" i="28"/>
  <c r="AO194" i="28"/>
  <c r="AN194" i="28"/>
  <c r="T194" i="28"/>
  <c r="R194" i="28"/>
  <c r="BR194" i="28" s="1"/>
  <c r="AY193" i="28"/>
  <c r="AT193" i="28"/>
  <c r="AO193" i="28"/>
  <c r="AN193" i="28"/>
  <c r="T193" i="28"/>
  <c r="R193" i="28"/>
  <c r="BR193" i="28" s="1"/>
  <c r="AY192" i="28"/>
  <c r="AT192" i="28"/>
  <c r="AO192" i="28"/>
  <c r="AN192" i="28"/>
  <c r="T192" i="28"/>
  <c r="R192" i="28"/>
  <c r="BR192" i="28" s="1"/>
  <c r="AY191" i="28"/>
  <c r="AT191" i="28"/>
  <c r="AO191" i="28"/>
  <c r="AN191" i="28"/>
  <c r="T191" i="28"/>
  <c r="R191" i="28"/>
  <c r="BR191" i="28" s="1"/>
  <c r="AY190" i="28"/>
  <c r="AT190" i="28"/>
  <c r="AO190" i="28"/>
  <c r="AN190" i="28"/>
  <c r="T190" i="28"/>
  <c r="R190" i="28"/>
  <c r="BR190" i="28" s="1"/>
  <c r="AY189" i="28"/>
  <c r="AT189" i="28"/>
  <c r="AO189" i="28"/>
  <c r="AN189" i="28"/>
  <c r="T189" i="28"/>
  <c r="R189" i="28"/>
  <c r="BR189" i="28" s="1"/>
  <c r="AY188" i="28"/>
  <c r="AT188" i="28"/>
  <c r="AO188" i="28"/>
  <c r="AN188" i="28"/>
  <c r="T188" i="28"/>
  <c r="R188" i="28"/>
  <c r="BR188" i="28" s="1"/>
  <c r="AY187" i="28"/>
  <c r="AT187" i="28"/>
  <c r="AO187" i="28"/>
  <c r="AN187" i="28"/>
  <c r="T187" i="28"/>
  <c r="R187" i="28"/>
  <c r="BR187" i="28" s="1"/>
  <c r="AY186" i="28"/>
  <c r="AT186" i="28"/>
  <c r="AO186" i="28"/>
  <c r="AN186" i="28"/>
  <c r="T186" i="28"/>
  <c r="R186" i="28"/>
  <c r="BR186" i="28"/>
  <c r="AY185" i="28"/>
  <c r="AT185" i="28"/>
  <c r="AO185" i="28"/>
  <c r="AN185" i="28"/>
  <c r="T185" i="28"/>
  <c r="R185" i="28"/>
  <c r="BR185" i="28" s="1"/>
  <c r="AY184" i="28"/>
  <c r="AT184" i="28"/>
  <c r="AO184" i="28"/>
  <c r="AN184" i="28"/>
  <c r="T184" i="28"/>
  <c r="R184" i="28"/>
  <c r="BR184" i="28" s="1"/>
  <c r="AY183" i="28"/>
  <c r="AT183" i="28"/>
  <c r="AO183" i="28"/>
  <c r="AN183" i="28"/>
  <c r="T183" i="28"/>
  <c r="R183" i="28"/>
  <c r="BR183" i="28" s="1"/>
  <c r="AY182" i="28"/>
  <c r="AT182" i="28"/>
  <c r="AO182" i="28"/>
  <c r="AN182" i="28"/>
  <c r="T182" i="28"/>
  <c r="R182" i="28"/>
  <c r="BR182" i="28" s="1"/>
  <c r="AY181" i="28"/>
  <c r="AT181" i="28"/>
  <c r="AO181" i="28"/>
  <c r="AN181" i="28"/>
  <c r="T181" i="28"/>
  <c r="R181" i="28"/>
  <c r="BR181" i="28" s="1"/>
  <c r="AY180" i="28"/>
  <c r="AT180" i="28"/>
  <c r="AO180" i="28"/>
  <c r="AN180" i="28"/>
  <c r="T180" i="28"/>
  <c r="R180" i="28"/>
  <c r="BR180" i="28" s="1"/>
  <c r="AY179" i="28"/>
  <c r="AT179" i="28"/>
  <c r="AO179" i="28"/>
  <c r="AN179" i="28"/>
  <c r="T179" i="28"/>
  <c r="R179" i="28"/>
  <c r="BR179" i="28" s="1"/>
  <c r="AY178" i="28"/>
  <c r="AT178" i="28"/>
  <c r="AO178" i="28"/>
  <c r="AN178" i="28"/>
  <c r="T178" i="28"/>
  <c r="R178" i="28"/>
  <c r="BR178" i="28" s="1"/>
  <c r="AY177" i="28"/>
  <c r="AT177" i="28"/>
  <c r="AO177" i="28"/>
  <c r="AN177" i="28"/>
  <c r="T177" i="28"/>
  <c r="R177" i="28"/>
  <c r="BR177" i="28" s="1"/>
  <c r="AY176" i="28"/>
  <c r="AT176" i="28"/>
  <c r="AO176" i="28"/>
  <c r="AN176" i="28"/>
  <c r="T176" i="28"/>
  <c r="R176" i="28"/>
  <c r="BR176" i="28" s="1"/>
  <c r="AY175" i="28"/>
  <c r="AT175" i="28"/>
  <c r="AO175" i="28"/>
  <c r="AN175" i="28"/>
  <c r="T175" i="28"/>
  <c r="R175" i="28"/>
  <c r="BR175" i="28" s="1"/>
  <c r="AY174" i="28"/>
  <c r="AT174" i="28"/>
  <c r="AO174" i="28"/>
  <c r="AN174" i="28"/>
  <c r="T174" i="28"/>
  <c r="R174" i="28"/>
  <c r="BR174" i="28" s="1"/>
  <c r="AY173" i="28"/>
  <c r="AT173" i="28"/>
  <c r="AO173" i="28"/>
  <c r="AN173" i="28"/>
  <c r="T173" i="28"/>
  <c r="R173" i="28"/>
  <c r="BR173" i="28" s="1"/>
  <c r="AY172" i="28"/>
  <c r="AT172" i="28"/>
  <c r="AO172" i="28"/>
  <c r="AN172" i="28"/>
  <c r="T172" i="28"/>
  <c r="R172" i="28"/>
  <c r="BR172" i="28" s="1"/>
  <c r="AY171" i="28"/>
  <c r="AT171" i="28"/>
  <c r="AO171" i="28"/>
  <c r="AN171" i="28"/>
  <c r="T171" i="28"/>
  <c r="R171" i="28"/>
  <c r="BR171" i="28" s="1"/>
  <c r="AY170" i="28"/>
  <c r="AT170" i="28"/>
  <c r="AO170" i="28"/>
  <c r="AN170" i="28"/>
  <c r="T170" i="28"/>
  <c r="R170" i="28"/>
  <c r="BR170" i="28"/>
  <c r="AY169" i="28"/>
  <c r="AT169" i="28"/>
  <c r="AO169" i="28"/>
  <c r="AN169" i="28"/>
  <c r="T169" i="28"/>
  <c r="R169" i="28"/>
  <c r="BR169" i="28" s="1"/>
  <c r="AY168" i="28"/>
  <c r="AT168" i="28"/>
  <c r="AO168" i="28"/>
  <c r="AN168" i="28"/>
  <c r="T168" i="28"/>
  <c r="R168" i="28"/>
  <c r="BR168" i="28" s="1"/>
  <c r="AY167" i="28"/>
  <c r="AT167" i="28"/>
  <c r="AO167" i="28"/>
  <c r="AN167" i="28"/>
  <c r="T167" i="28"/>
  <c r="R167" i="28"/>
  <c r="BR167" i="28" s="1"/>
  <c r="AY166" i="28"/>
  <c r="AT166" i="28"/>
  <c r="AO166" i="28"/>
  <c r="T166" i="28"/>
  <c r="R166" i="28"/>
  <c r="BR166" i="28"/>
  <c r="AY165" i="28"/>
  <c r="AT165" i="28"/>
  <c r="AO165" i="28"/>
  <c r="T165" i="28"/>
  <c r="R165" i="28"/>
  <c r="BR165" i="28" s="1"/>
  <c r="AY164" i="28"/>
  <c r="AT164" i="28"/>
  <c r="AO164" i="28"/>
  <c r="AN164" i="28"/>
  <c r="T164" i="28"/>
  <c r="R164" i="28"/>
  <c r="BR164" i="28"/>
  <c r="AY163" i="28"/>
  <c r="AT163" i="28"/>
  <c r="AO163" i="28"/>
  <c r="AN163" i="28"/>
  <c r="T163" i="28"/>
  <c r="R163" i="28"/>
  <c r="BR163" i="28" s="1"/>
  <c r="AY162" i="28"/>
  <c r="AT162" i="28"/>
  <c r="AO162" i="28"/>
  <c r="AN162" i="28"/>
  <c r="T162" i="28"/>
  <c r="R162" i="28"/>
  <c r="BR162" i="28" s="1"/>
  <c r="AY161" i="28"/>
  <c r="AT161" i="28"/>
  <c r="AO161" i="28"/>
  <c r="AN161" i="28"/>
  <c r="T161" i="28"/>
  <c r="R161" i="28"/>
  <c r="BR161" i="28" s="1"/>
  <c r="AY160" i="28"/>
  <c r="AT160" i="28"/>
  <c r="AO160" i="28"/>
  <c r="AN160" i="28"/>
  <c r="T160" i="28"/>
  <c r="R160" i="28"/>
  <c r="BR160" i="28" s="1"/>
  <c r="AY159" i="28"/>
  <c r="AT159" i="28"/>
  <c r="AO159" i="28"/>
  <c r="AN159" i="28"/>
  <c r="T159" i="28"/>
  <c r="R159" i="28"/>
  <c r="BR159" i="28" s="1"/>
  <c r="AY158" i="28"/>
  <c r="AT158" i="28"/>
  <c r="AO158" i="28"/>
  <c r="AN158" i="28"/>
  <c r="T158" i="28"/>
  <c r="R158" i="28"/>
  <c r="BR158" i="28" s="1"/>
  <c r="AY157" i="28"/>
  <c r="AT157" i="28"/>
  <c r="AO157" i="28"/>
  <c r="AN157" i="28"/>
  <c r="T157" i="28"/>
  <c r="R157" i="28"/>
  <c r="BR157" i="28" s="1"/>
  <c r="AY156" i="28"/>
  <c r="AT156" i="28"/>
  <c r="AO156" i="28"/>
  <c r="AN156" i="28"/>
  <c r="T156" i="28"/>
  <c r="R156" i="28"/>
  <c r="BR156" i="28" s="1"/>
  <c r="BN155" i="28"/>
  <c r="BM155" i="28"/>
  <c r="BL155" i="28"/>
  <c r="BK155" i="28"/>
  <c r="BJ155" i="28"/>
  <c r="BI155" i="28"/>
  <c r="BH155" i="28"/>
  <c r="BG155" i="28"/>
  <c r="BF155" i="28"/>
  <c r="BE155" i="28"/>
  <c r="BD155" i="28"/>
  <c r="BC155" i="28"/>
  <c r="AY155" i="28"/>
  <c r="AO155" i="28"/>
  <c r="AN155" i="28"/>
  <c r="T155" i="28"/>
  <c r="R155" i="28"/>
  <c r="BR155" i="28" s="1"/>
  <c r="BN154" i="28"/>
  <c r="BM154" i="28"/>
  <c r="BL154" i="28"/>
  <c r="BK154" i="28"/>
  <c r="BJ154" i="28"/>
  <c r="BI154" i="28"/>
  <c r="BH154" i="28"/>
  <c r="BG154" i="28"/>
  <c r="BF154" i="28"/>
  <c r="BD154" i="28"/>
  <c r="BC154" i="28"/>
  <c r="AY154" i="28"/>
  <c r="AO154" i="28"/>
  <c r="AN154" i="28"/>
  <c r="T154" i="28"/>
  <c r="R154" i="28"/>
  <c r="BR154" i="28"/>
  <c r="BN153" i="28"/>
  <c r="BM153" i="28"/>
  <c r="BL153" i="28"/>
  <c r="BK153" i="28"/>
  <c r="BJ153" i="28"/>
  <c r="BI153" i="28"/>
  <c r="BH153" i="28"/>
  <c r="BG153" i="28"/>
  <c r="BF153" i="28"/>
  <c r="BE153" i="28"/>
  <c r="BD153" i="28"/>
  <c r="BC153" i="28"/>
  <c r="AY153" i="28"/>
  <c r="AT153" i="28"/>
  <c r="AO153" i="28"/>
  <c r="AN153" i="28"/>
  <c r="T153" i="28"/>
  <c r="R153" i="28"/>
  <c r="BR153" i="28" s="1"/>
  <c r="BN152" i="28"/>
  <c r="BM152" i="28"/>
  <c r="BL152" i="28"/>
  <c r="BK152" i="28"/>
  <c r="BJ152" i="28"/>
  <c r="BI152" i="28"/>
  <c r="BH152" i="28"/>
  <c r="BG152" i="28"/>
  <c r="BF152" i="28"/>
  <c r="BE152" i="28"/>
  <c r="BD152" i="28"/>
  <c r="BC152" i="28"/>
  <c r="AY152" i="28"/>
  <c r="AT152" i="28"/>
  <c r="AO152" i="28"/>
  <c r="AN152" i="28"/>
  <c r="T152" i="28"/>
  <c r="R152" i="28"/>
  <c r="BR152" i="28" s="1"/>
  <c r="BN151" i="28"/>
  <c r="BM151" i="28"/>
  <c r="BL151" i="28"/>
  <c r="BK151" i="28"/>
  <c r="BJ151" i="28"/>
  <c r="BI151" i="28"/>
  <c r="BH151" i="28"/>
  <c r="BG151" i="28"/>
  <c r="BF151" i="28"/>
  <c r="BE151" i="28"/>
  <c r="BD151" i="28"/>
  <c r="BC151" i="28"/>
  <c r="AY151" i="28"/>
  <c r="AT151" i="28"/>
  <c r="AO151" i="28"/>
  <c r="AN151" i="28"/>
  <c r="T151" i="28"/>
  <c r="R151" i="28"/>
  <c r="BR151" i="28" s="1"/>
  <c r="BN150" i="28"/>
  <c r="BM150" i="28"/>
  <c r="BL150" i="28"/>
  <c r="BK150" i="28"/>
  <c r="BJ150" i="28"/>
  <c r="BI150" i="28"/>
  <c r="BH150" i="28"/>
  <c r="BG150" i="28"/>
  <c r="BF150" i="28"/>
  <c r="BE150" i="28"/>
  <c r="BD150" i="28"/>
  <c r="BC150" i="28"/>
  <c r="AY150" i="28"/>
  <c r="AT150" i="28"/>
  <c r="AO150" i="28"/>
  <c r="AN150" i="28"/>
  <c r="T150" i="28"/>
  <c r="R150" i="28"/>
  <c r="BR150" i="28" s="1"/>
  <c r="BN149" i="28"/>
  <c r="BM149" i="28"/>
  <c r="BL149" i="28"/>
  <c r="BK149" i="28"/>
  <c r="BJ149" i="28"/>
  <c r="BI149" i="28"/>
  <c r="BH149" i="28"/>
  <c r="BG149" i="28"/>
  <c r="BF149" i="28"/>
  <c r="BE149" i="28"/>
  <c r="BD149" i="28"/>
  <c r="BC149" i="28"/>
  <c r="AY149" i="28"/>
  <c r="AT149" i="28"/>
  <c r="AO149" i="28"/>
  <c r="AN149" i="28"/>
  <c r="T149" i="28"/>
  <c r="R149" i="28"/>
  <c r="BR149" i="28" s="1"/>
  <c r="BN148" i="28"/>
  <c r="BM148" i="28"/>
  <c r="BL148" i="28"/>
  <c r="BK148" i="28"/>
  <c r="BJ148" i="28"/>
  <c r="BI148" i="28"/>
  <c r="BH148" i="28"/>
  <c r="BG148" i="28"/>
  <c r="BF148" i="28"/>
  <c r="BE148" i="28"/>
  <c r="BD148" i="28"/>
  <c r="BC148" i="28"/>
  <c r="AY148" i="28"/>
  <c r="AO148" i="28"/>
  <c r="AN148" i="28"/>
  <c r="T148" i="28"/>
  <c r="R148" i="28"/>
  <c r="BR148" i="28" s="1"/>
  <c r="BN147" i="28"/>
  <c r="BM147" i="28"/>
  <c r="BL147" i="28"/>
  <c r="BK147" i="28"/>
  <c r="BJ147" i="28"/>
  <c r="BI147" i="28"/>
  <c r="BH147" i="28"/>
  <c r="BG147" i="28"/>
  <c r="BF147" i="28"/>
  <c r="BE147" i="28"/>
  <c r="BD147" i="28"/>
  <c r="BC147" i="28"/>
  <c r="AY147" i="28"/>
  <c r="AT147" i="28"/>
  <c r="AO147" i="28"/>
  <c r="AN147" i="28"/>
  <c r="T147" i="28"/>
  <c r="R147" i="28"/>
  <c r="BR147" i="28" s="1"/>
  <c r="BN146" i="28"/>
  <c r="BM146" i="28"/>
  <c r="BL146" i="28"/>
  <c r="BK146" i="28"/>
  <c r="BJ146" i="28"/>
  <c r="BI146" i="28"/>
  <c r="BH146" i="28"/>
  <c r="BG146" i="28"/>
  <c r="BF146" i="28"/>
  <c r="BE146" i="28"/>
  <c r="BD146" i="28"/>
  <c r="BC146" i="28"/>
  <c r="AY146" i="28"/>
  <c r="AT146" i="28"/>
  <c r="AO146" i="28"/>
  <c r="AN146" i="28"/>
  <c r="T146" i="28"/>
  <c r="R146" i="28"/>
  <c r="BR146" i="28" s="1"/>
  <c r="BN145" i="28"/>
  <c r="BM145" i="28"/>
  <c r="BL145" i="28"/>
  <c r="BK145" i="28"/>
  <c r="BJ145" i="28"/>
  <c r="BI145" i="28"/>
  <c r="BH145" i="28"/>
  <c r="BG145" i="28"/>
  <c r="BF145" i="28"/>
  <c r="BE145" i="28"/>
  <c r="BD145" i="28"/>
  <c r="BC145" i="28"/>
  <c r="AY145" i="28"/>
  <c r="AO145" i="28"/>
  <c r="AN145" i="28"/>
  <c r="T145" i="28"/>
  <c r="R145" i="28"/>
  <c r="BR145" i="28" s="1"/>
  <c r="BN144" i="28"/>
  <c r="BM144" i="28"/>
  <c r="BL144" i="28"/>
  <c r="BK144" i="28"/>
  <c r="BJ144" i="28"/>
  <c r="BI144" i="28"/>
  <c r="BH144" i="28"/>
  <c r="BG144" i="28"/>
  <c r="BF144" i="28"/>
  <c r="BE144" i="28"/>
  <c r="BD144" i="28"/>
  <c r="BC144" i="28"/>
  <c r="AY144" i="28"/>
  <c r="AO144" i="28"/>
  <c r="AN144" i="28"/>
  <c r="T144" i="28"/>
  <c r="R144" i="28"/>
  <c r="BR144" i="28" s="1"/>
  <c r="BN143" i="28"/>
  <c r="BM143" i="28"/>
  <c r="BL143" i="28"/>
  <c r="BK143" i="28"/>
  <c r="BJ143" i="28"/>
  <c r="BI143" i="28"/>
  <c r="BH143" i="28"/>
  <c r="BG143" i="28"/>
  <c r="BF143" i="28"/>
  <c r="BE143" i="28"/>
  <c r="BC143" i="28"/>
  <c r="AY143" i="28"/>
  <c r="AO143" i="28"/>
  <c r="AN143" i="28"/>
  <c r="T143" i="28"/>
  <c r="R143" i="28"/>
  <c r="BR143" i="28" s="1"/>
  <c r="BN142" i="28"/>
  <c r="BM142" i="28"/>
  <c r="BL142" i="28"/>
  <c r="BK142" i="28"/>
  <c r="BJ142" i="28"/>
  <c r="BI142" i="28"/>
  <c r="BH142" i="28"/>
  <c r="BG142" i="28"/>
  <c r="BF142" i="28"/>
  <c r="BE142" i="28"/>
  <c r="BD142" i="28"/>
  <c r="BC142" i="28"/>
  <c r="AY142" i="28"/>
  <c r="AT142" i="28"/>
  <c r="AO142" i="28"/>
  <c r="AN142" i="28"/>
  <c r="T142" i="28"/>
  <c r="R142" i="28"/>
  <c r="BR142" i="28" s="1"/>
  <c r="BN141" i="28"/>
  <c r="BM141" i="28"/>
  <c r="BL141" i="28"/>
  <c r="BK141" i="28"/>
  <c r="BJ141" i="28"/>
  <c r="BI141" i="28"/>
  <c r="BH141" i="28"/>
  <c r="BG141" i="28"/>
  <c r="BF141" i="28"/>
  <c r="BE141" i="28"/>
  <c r="BD141" i="28"/>
  <c r="BC141" i="28"/>
  <c r="AY141" i="28"/>
  <c r="AO141" i="28"/>
  <c r="AN141" i="28"/>
  <c r="T141" i="28"/>
  <c r="R141" i="28"/>
  <c r="BR141" i="28" s="1"/>
  <c r="BN140" i="28"/>
  <c r="BM140" i="28"/>
  <c r="BL140" i="28"/>
  <c r="BK140" i="28"/>
  <c r="BJ140" i="28"/>
  <c r="BI140" i="28"/>
  <c r="BH140" i="28"/>
  <c r="BG140" i="28"/>
  <c r="BF140" i="28"/>
  <c r="BE140" i="28"/>
  <c r="BC140" i="28"/>
  <c r="AY140" i="28"/>
  <c r="AO140" i="28"/>
  <c r="AN140" i="28"/>
  <c r="T140" i="28"/>
  <c r="R140" i="28"/>
  <c r="BR140" i="28"/>
  <c r="BN139" i="28"/>
  <c r="BM139" i="28"/>
  <c r="BL139" i="28"/>
  <c r="BK139" i="28"/>
  <c r="BJ139" i="28"/>
  <c r="BI139" i="28"/>
  <c r="BH139" i="28"/>
  <c r="BG139" i="28"/>
  <c r="BF139" i="28"/>
  <c r="BE139" i="28"/>
  <c r="BD139" i="28"/>
  <c r="BC139" i="28"/>
  <c r="AY139" i="28"/>
  <c r="AO139" i="28"/>
  <c r="AN139" i="28"/>
  <c r="T139" i="28"/>
  <c r="R139" i="28"/>
  <c r="BR139" i="28" s="1"/>
  <c r="BN138" i="28"/>
  <c r="BM138" i="28"/>
  <c r="BL138" i="28"/>
  <c r="BK138" i="28"/>
  <c r="BJ138" i="28"/>
  <c r="BI138" i="28"/>
  <c r="BH138" i="28"/>
  <c r="BG138" i="28"/>
  <c r="BF138" i="28"/>
  <c r="BE138" i="28"/>
  <c r="BD138" i="28"/>
  <c r="BC138" i="28"/>
  <c r="AY138" i="28"/>
  <c r="AO138" i="28"/>
  <c r="AN138" i="28"/>
  <c r="T138" i="28"/>
  <c r="R138" i="28"/>
  <c r="BR138" i="28" s="1"/>
  <c r="BN137" i="28"/>
  <c r="BM137" i="28"/>
  <c r="BL137" i="28"/>
  <c r="BK137" i="28"/>
  <c r="BJ137" i="28"/>
  <c r="BI137" i="28"/>
  <c r="BH137" i="28"/>
  <c r="BG137" i="28"/>
  <c r="BF137" i="28"/>
  <c r="BE137" i="28"/>
  <c r="BC137" i="28"/>
  <c r="AY137" i="28"/>
  <c r="AO137" i="28"/>
  <c r="AN137" i="28"/>
  <c r="T137" i="28"/>
  <c r="R137" i="28"/>
  <c r="BR137" i="28" s="1"/>
  <c r="BN136" i="28"/>
  <c r="BM136" i="28"/>
  <c r="BL136" i="28"/>
  <c r="BK136" i="28"/>
  <c r="BJ136" i="28"/>
  <c r="BI136" i="28"/>
  <c r="BH136" i="28"/>
  <c r="BG136" i="28"/>
  <c r="BF136" i="28"/>
  <c r="BE136" i="28"/>
  <c r="BC136" i="28"/>
  <c r="AY136" i="28"/>
  <c r="AO136" i="28"/>
  <c r="AN136" i="28"/>
  <c r="T136" i="28"/>
  <c r="R136" i="28"/>
  <c r="BR136" i="28" s="1"/>
  <c r="BN135" i="28"/>
  <c r="BM135" i="28"/>
  <c r="BL135" i="28"/>
  <c r="BK135" i="28"/>
  <c r="BJ135" i="28"/>
  <c r="BI135" i="28"/>
  <c r="BH135" i="28"/>
  <c r="BG135" i="28"/>
  <c r="BF135" i="28"/>
  <c r="BE135" i="28"/>
  <c r="BD135" i="28"/>
  <c r="BC135" i="28"/>
  <c r="AY135" i="28"/>
  <c r="AO135" i="28"/>
  <c r="AN135" i="28"/>
  <c r="T135" i="28"/>
  <c r="R135" i="28"/>
  <c r="BR135" i="28" s="1"/>
  <c r="BN134" i="28"/>
  <c r="BM134" i="28"/>
  <c r="BL134" i="28"/>
  <c r="BK134" i="28"/>
  <c r="BJ134" i="28"/>
  <c r="BI134" i="28"/>
  <c r="BH134" i="28"/>
  <c r="BG134" i="28"/>
  <c r="BF134" i="28"/>
  <c r="BE134" i="28"/>
  <c r="BC134" i="28"/>
  <c r="AY134" i="28"/>
  <c r="AO134" i="28"/>
  <c r="AN134" i="28"/>
  <c r="T134" i="28"/>
  <c r="R134" i="28"/>
  <c r="BR134" i="28" s="1"/>
  <c r="BN133" i="28"/>
  <c r="BM133" i="28"/>
  <c r="BL133" i="28"/>
  <c r="BK133" i="28"/>
  <c r="BJ133" i="28"/>
  <c r="BI133" i="28"/>
  <c r="BH133" i="28"/>
  <c r="BG133" i="28"/>
  <c r="BF133" i="28"/>
  <c r="BE133" i="28"/>
  <c r="BD133" i="28"/>
  <c r="BC133" i="28"/>
  <c r="AY133" i="28"/>
  <c r="AT133" i="28"/>
  <c r="AO133" i="28"/>
  <c r="AN133" i="28"/>
  <c r="T133" i="28"/>
  <c r="R133" i="28"/>
  <c r="BR133" i="28" s="1"/>
  <c r="BN132" i="28"/>
  <c r="BM132" i="28"/>
  <c r="BL132" i="28"/>
  <c r="BK132" i="28"/>
  <c r="BJ132" i="28"/>
  <c r="BI132" i="28"/>
  <c r="BH132" i="28"/>
  <c r="BG132" i="28"/>
  <c r="BF132" i="28"/>
  <c r="BE132" i="28"/>
  <c r="BD132" i="28"/>
  <c r="BC132" i="28"/>
  <c r="AY132" i="28"/>
  <c r="AO132" i="28"/>
  <c r="AN132" i="28"/>
  <c r="T132" i="28"/>
  <c r="R132" i="28"/>
  <c r="BR132" i="28" s="1"/>
  <c r="BN131" i="28"/>
  <c r="BM131" i="28"/>
  <c r="BL131" i="28"/>
  <c r="BK131" i="28"/>
  <c r="BJ131" i="28"/>
  <c r="BI131" i="28"/>
  <c r="BH131" i="28"/>
  <c r="BG131" i="28"/>
  <c r="BF131" i="28"/>
  <c r="BE131" i="28"/>
  <c r="BD131" i="28"/>
  <c r="BC131" i="28"/>
  <c r="AY131" i="28"/>
  <c r="AO131" i="28"/>
  <c r="AN131" i="28"/>
  <c r="T131" i="28"/>
  <c r="R131" i="28"/>
  <c r="BR131" i="28" s="1"/>
  <c r="BN130" i="28"/>
  <c r="BM130" i="28"/>
  <c r="BL130" i="28"/>
  <c r="BK130" i="28"/>
  <c r="BJ130" i="28"/>
  <c r="BI130" i="28"/>
  <c r="BH130" i="28"/>
  <c r="BG130" i="28"/>
  <c r="BF130" i="28"/>
  <c r="BE130" i="28"/>
  <c r="BD130" i="28"/>
  <c r="BC130" i="28"/>
  <c r="AY130" i="28"/>
  <c r="AT130" i="28"/>
  <c r="AO130" i="28"/>
  <c r="AN130" i="28"/>
  <c r="T130" i="28"/>
  <c r="R130" i="28"/>
  <c r="BR130" i="28"/>
  <c r="BN129" i="28"/>
  <c r="BM129" i="28"/>
  <c r="BL129" i="28"/>
  <c r="BK129" i="28"/>
  <c r="BJ129" i="28"/>
  <c r="BI129" i="28"/>
  <c r="BH129" i="28"/>
  <c r="BG129" i="28"/>
  <c r="BF129" i="28"/>
  <c r="BE129" i="28"/>
  <c r="BD129" i="28"/>
  <c r="BC129" i="28"/>
  <c r="AY129" i="28"/>
  <c r="AO129" i="28"/>
  <c r="AN129" i="28"/>
  <c r="T129" i="28"/>
  <c r="R129" i="28"/>
  <c r="BR129" i="28" s="1"/>
  <c r="BN128" i="28"/>
  <c r="BM128" i="28"/>
  <c r="BL128" i="28"/>
  <c r="BK128" i="28"/>
  <c r="BJ128" i="28"/>
  <c r="BI128" i="28"/>
  <c r="BH128" i="28"/>
  <c r="BG128" i="28"/>
  <c r="BF128" i="28"/>
  <c r="BE128" i="28"/>
  <c r="BC128" i="28"/>
  <c r="AY128" i="28"/>
  <c r="AO128" i="28"/>
  <c r="AN128" i="28"/>
  <c r="T128" i="28"/>
  <c r="R128" i="28"/>
  <c r="BR128" i="28" s="1"/>
  <c r="BN127" i="28"/>
  <c r="BM127" i="28"/>
  <c r="BL127" i="28"/>
  <c r="BK127" i="28"/>
  <c r="BJ127" i="28"/>
  <c r="BI127" i="28"/>
  <c r="BH127" i="28"/>
  <c r="BG127" i="28"/>
  <c r="BF127" i="28"/>
  <c r="BE127" i="28"/>
  <c r="BC127" i="28"/>
  <c r="AY127" i="28"/>
  <c r="AO127" i="28"/>
  <c r="AN127" i="28"/>
  <c r="T127" i="28"/>
  <c r="R127" i="28"/>
  <c r="BR127" i="28"/>
  <c r="BN126" i="28"/>
  <c r="BM126" i="28"/>
  <c r="BL126" i="28"/>
  <c r="BK126" i="28"/>
  <c r="BJ126" i="28"/>
  <c r="BI126" i="28"/>
  <c r="BH126" i="28"/>
  <c r="BG126" i="28"/>
  <c r="BF126" i="28"/>
  <c r="BE126" i="28"/>
  <c r="BD126" i="28"/>
  <c r="BC126" i="28"/>
  <c r="AY126" i="28"/>
  <c r="AO126" i="28"/>
  <c r="AN126" i="28"/>
  <c r="T126" i="28"/>
  <c r="R126" i="28"/>
  <c r="BR126" i="28" s="1"/>
  <c r="BN125" i="28"/>
  <c r="BM125" i="28"/>
  <c r="BL125" i="28"/>
  <c r="BK125" i="28"/>
  <c r="BJ125" i="28"/>
  <c r="BI125" i="28"/>
  <c r="BH125" i="28"/>
  <c r="BG125" i="28"/>
  <c r="BF125" i="28"/>
  <c r="BE125" i="28"/>
  <c r="BD125" i="28"/>
  <c r="BC125" i="28"/>
  <c r="AY125" i="28"/>
  <c r="AO125" i="28"/>
  <c r="AN125" i="28"/>
  <c r="T125" i="28"/>
  <c r="R125" i="28"/>
  <c r="BR125" i="28" s="1"/>
  <c r="BN124" i="28"/>
  <c r="BM124" i="28"/>
  <c r="BL124" i="28"/>
  <c r="BK124" i="28"/>
  <c r="BJ124" i="28"/>
  <c r="BI124" i="28"/>
  <c r="BH124" i="28"/>
  <c r="BG124" i="28"/>
  <c r="BF124" i="28"/>
  <c r="BE124" i="28"/>
  <c r="BD124" i="28"/>
  <c r="BC124" i="28"/>
  <c r="AY124" i="28"/>
  <c r="AT124" i="28"/>
  <c r="AO124" i="28"/>
  <c r="AN124" i="28"/>
  <c r="T124" i="28"/>
  <c r="R124" i="28"/>
  <c r="BR124" i="28" s="1"/>
  <c r="BN123" i="28"/>
  <c r="BM123" i="28"/>
  <c r="BL123" i="28"/>
  <c r="BK123" i="28"/>
  <c r="BJ123" i="28"/>
  <c r="BI123" i="28"/>
  <c r="BH123" i="28"/>
  <c r="BG123" i="28"/>
  <c r="BF123" i="28"/>
  <c r="BE123" i="28"/>
  <c r="BD123" i="28"/>
  <c r="BC123" i="28"/>
  <c r="AY123" i="28"/>
  <c r="AO123" i="28"/>
  <c r="AN123" i="28"/>
  <c r="T123" i="28"/>
  <c r="R123" i="28"/>
  <c r="BR123" i="28" s="1"/>
  <c r="BN122" i="28"/>
  <c r="BM122" i="28"/>
  <c r="BL122" i="28"/>
  <c r="BK122" i="28"/>
  <c r="BJ122" i="28"/>
  <c r="BI122" i="28"/>
  <c r="BH122" i="28"/>
  <c r="BG122" i="28"/>
  <c r="BF122" i="28"/>
  <c r="BE122" i="28"/>
  <c r="BD122" i="28"/>
  <c r="BC122" i="28"/>
  <c r="AY122" i="28"/>
  <c r="AO122" i="28"/>
  <c r="AN122" i="28"/>
  <c r="T122" i="28"/>
  <c r="R122" i="28"/>
  <c r="BR122" i="28" s="1"/>
  <c r="BN121" i="28"/>
  <c r="BM121" i="28"/>
  <c r="BL121" i="28"/>
  <c r="BK121" i="28"/>
  <c r="BJ121" i="28"/>
  <c r="BI121" i="28"/>
  <c r="BH121" i="28"/>
  <c r="BG121" i="28"/>
  <c r="BF121" i="28"/>
  <c r="BE121" i="28"/>
  <c r="BD121" i="28"/>
  <c r="BC121" i="28"/>
  <c r="AY121" i="28"/>
  <c r="AO121" i="28"/>
  <c r="AN121" i="28"/>
  <c r="T121" i="28"/>
  <c r="R121" i="28"/>
  <c r="BR121" i="28" s="1"/>
  <c r="BN120" i="28"/>
  <c r="BM120" i="28"/>
  <c r="BL120" i="28"/>
  <c r="BK120" i="28"/>
  <c r="BJ120" i="28"/>
  <c r="BI120" i="28"/>
  <c r="BH120" i="28"/>
  <c r="BG120" i="28"/>
  <c r="BF120" i="28"/>
  <c r="BE120" i="28"/>
  <c r="BD120" i="28"/>
  <c r="BC120" i="28"/>
  <c r="AY120" i="28"/>
  <c r="AO120" i="28"/>
  <c r="AN120" i="28"/>
  <c r="T120" i="28"/>
  <c r="R120" i="28"/>
  <c r="BR120" i="28" s="1"/>
  <c r="BN119" i="28"/>
  <c r="BM119" i="28"/>
  <c r="BL119" i="28"/>
  <c r="BK119" i="28"/>
  <c r="BJ119" i="28"/>
  <c r="BI119" i="28"/>
  <c r="BH119" i="28"/>
  <c r="BG119" i="28"/>
  <c r="BF119" i="28"/>
  <c r="BE119" i="28"/>
  <c r="BC119" i="28"/>
  <c r="AY119" i="28"/>
  <c r="AO119" i="28"/>
  <c r="AN119" i="28"/>
  <c r="T119" i="28"/>
  <c r="R119" i="28"/>
  <c r="BR119" i="28" s="1"/>
  <c r="BN118" i="28"/>
  <c r="BM118" i="28"/>
  <c r="BL118" i="28"/>
  <c r="BK118" i="28"/>
  <c r="BJ118" i="28"/>
  <c r="BI118" i="28"/>
  <c r="BH118" i="28"/>
  <c r="BG118" i="28"/>
  <c r="BF118" i="28"/>
  <c r="BE118" i="28"/>
  <c r="BC118" i="28"/>
  <c r="AY118" i="28"/>
  <c r="AO118" i="28"/>
  <c r="AN118" i="28"/>
  <c r="T118" i="28"/>
  <c r="R118" i="28"/>
  <c r="BR118" i="28" s="1"/>
  <c r="BN117" i="28"/>
  <c r="BM117" i="28"/>
  <c r="BL117" i="28"/>
  <c r="BK117" i="28"/>
  <c r="BJ117" i="28"/>
  <c r="BI117" i="28"/>
  <c r="BH117" i="28"/>
  <c r="BG117" i="28"/>
  <c r="BF117" i="28"/>
  <c r="BE117" i="28"/>
  <c r="BD117" i="28"/>
  <c r="BC117" i="28"/>
  <c r="AY117" i="28"/>
  <c r="AO117" i="28"/>
  <c r="AN117" i="28"/>
  <c r="T117" i="28"/>
  <c r="R117" i="28"/>
  <c r="BR117" i="28" s="1"/>
  <c r="BN116" i="28"/>
  <c r="BM116" i="28"/>
  <c r="BL116" i="28"/>
  <c r="BK116" i="28"/>
  <c r="BJ116" i="28"/>
  <c r="BI116" i="28"/>
  <c r="BH116" i="28"/>
  <c r="BG116" i="28"/>
  <c r="BF116" i="28"/>
  <c r="BE116" i="28"/>
  <c r="BD116" i="28"/>
  <c r="BC116" i="28"/>
  <c r="AY116" i="28"/>
  <c r="AO116" i="28"/>
  <c r="AN116" i="28"/>
  <c r="T116" i="28"/>
  <c r="R116" i="28"/>
  <c r="BR116" i="28" s="1"/>
  <c r="BN115" i="28"/>
  <c r="BM115" i="28"/>
  <c r="BL115" i="28"/>
  <c r="BK115" i="28"/>
  <c r="BJ115" i="28"/>
  <c r="BI115" i="28"/>
  <c r="BH115" i="28"/>
  <c r="BG115" i="28"/>
  <c r="BF115" i="28"/>
  <c r="BE115" i="28"/>
  <c r="BD115" i="28"/>
  <c r="BC115" i="28"/>
  <c r="AY115" i="28"/>
  <c r="AT115" i="28"/>
  <c r="AO115" i="28"/>
  <c r="AN115" i="28"/>
  <c r="T115" i="28"/>
  <c r="R115" i="28"/>
  <c r="BR115" i="28"/>
  <c r="BN114" i="28"/>
  <c r="BM114" i="28"/>
  <c r="BL114" i="28"/>
  <c r="BK114" i="28"/>
  <c r="BJ114" i="28"/>
  <c r="BI114" i="28"/>
  <c r="BH114" i="28"/>
  <c r="BG114" i="28"/>
  <c r="BF114" i="28"/>
  <c r="BE114" i="28"/>
  <c r="BD114" i="28"/>
  <c r="BC114" i="28"/>
  <c r="AY114" i="28"/>
  <c r="AO114" i="28"/>
  <c r="AN114" i="28"/>
  <c r="T114" i="28"/>
  <c r="R114" i="28"/>
  <c r="BR114" i="28" s="1"/>
  <c r="BN113" i="28"/>
  <c r="BM113" i="28"/>
  <c r="BL113" i="28"/>
  <c r="BK113" i="28"/>
  <c r="BJ113" i="28"/>
  <c r="BI113" i="28"/>
  <c r="BH113" i="28"/>
  <c r="BG113" i="28"/>
  <c r="BF113" i="28"/>
  <c r="BE113" i="28"/>
  <c r="BD113" i="28"/>
  <c r="BC113" i="28"/>
  <c r="AY113" i="28"/>
  <c r="AO113" i="28"/>
  <c r="AN113" i="28"/>
  <c r="T113" i="28"/>
  <c r="R113" i="28"/>
  <c r="BR113" i="28" s="1"/>
  <c r="BN112" i="28"/>
  <c r="BM112" i="28"/>
  <c r="BL112" i="28"/>
  <c r="BK112" i="28"/>
  <c r="BJ112" i="28"/>
  <c r="BI112" i="28"/>
  <c r="BH112" i="28"/>
  <c r="BG112" i="28"/>
  <c r="BF112" i="28"/>
  <c r="BE112" i="28"/>
  <c r="BD112" i="28"/>
  <c r="BC112" i="28"/>
  <c r="AY112" i="28"/>
  <c r="AO112" i="28"/>
  <c r="AN112" i="28"/>
  <c r="T112" i="28"/>
  <c r="R112" i="28"/>
  <c r="BR112" i="28" s="1"/>
  <c r="BN111" i="28"/>
  <c r="BM111" i="28"/>
  <c r="BL111" i="28"/>
  <c r="BK111" i="28"/>
  <c r="BJ111" i="28"/>
  <c r="BI111" i="28"/>
  <c r="BH111" i="28"/>
  <c r="BG111" i="28"/>
  <c r="BF111" i="28"/>
  <c r="BE111" i="28"/>
  <c r="BD111" i="28"/>
  <c r="BC111" i="28"/>
  <c r="AY111" i="28"/>
  <c r="AO111" i="28"/>
  <c r="AN111" i="28"/>
  <c r="T111" i="28"/>
  <c r="R111" i="28"/>
  <c r="BR111" i="28" s="1"/>
  <c r="BN110" i="28"/>
  <c r="BM110" i="28"/>
  <c r="BL110" i="28"/>
  <c r="BK110" i="28"/>
  <c r="BJ110" i="28"/>
  <c r="BI110" i="28"/>
  <c r="BH110" i="28"/>
  <c r="BG110" i="28"/>
  <c r="BF110" i="28"/>
  <c r="BE110" i="28"/>
  <c r="BC110" i="28"/>
  <c r="AY110" i="28"/>
  <c r="AO110" i="28"/>
  <c r="AN110" i="28"/>
  <c r="T110" i="28"/>
  <c r="R110" i="28"/>
  <c r="BR110" i="28" s="1"/>
  <c r="BN109" i="28"/>
  <c r="BM109" i="28"/>
  <c r="BL109" i="28"/>
  <c r="BK109" i="28"/>
  <c r="BJ109" i="28"/>
  <c r="BI109" i="28"/>
  <c r="BH109" i="28"/>
  <c r="BG109" i="28"/>
  <c r="BF109" i="28"/>
  <c r="BE109" i="28"/>
  <c r="BC109" i="28"/>
  <c r="AY109" i="28"/>
  <c r="AO109" i="28"/>
  <c r="AN109" i="28"/>
  <c r="T109" i="28"/>
  <c r="R109" i="28"/>
  <c r="BR109" i="28" s="1"/>
  <c r="BN108" i="28"/>
  <c r="BM108" i="28"/>
  <c r="BL108" i="28"/>
  <c r="BK108" i="28"/>
  <c r="BJ108" i="28"/>
  <c r="BI108" i="28"/>
  <c r="BH108" i="28"/>
  <c r="BG108" i="28"/>
  <c r="BF108" i="28"/>
  <c r="BE108" i="28"/>
  <c r="BD108" i="28"/>
  <c r="BC108" i="28"/>
  <c r="AY108" i="28"/>
  <c r="AO108" i="28"/>
  <c r="AN108" i="28"/>
  <c r="T108" i="28"/>
  <c r="R108" i="28"/>
  <c r="BR108" i="28" s="1"/>
  <c r="BN107" i="28"/>
  <c r="BM107" i="28"/>
  <c r="BL107" i="28"/>
  <c r="BK107" i="28"/>
  <c r="BJ107" i="28"/>
  <c r="BI107" i="28"/>
  <c r="BH107" i="28"/>
  <c r="BG107" i="28"/>
  <c r="BF107" i="28"/>
  <c r="BE107" i="28"/>
  <c r="BD107" i="28"/>
  <c r="BC107" i="28"/>
  <c r="AY107" i="28"/>
  <c r="AO107" i="28"/>
  <c r="AN107" i="28"/>
  <c r="T107" i="28"/>
  <c r="R107" i="28"/>
  <c r="BR107" i="28" s="1"/>
  <c r="BN106" i="28"/>
  <c r="BM106" i="28"/>
  <c r="BL106" i="28"/>
  <c r="BK106" i="28"/>
  <c r="BJ106" i="28"/>
  <c r="BI106" i="28"/>
  <c r="BH106" i="28"/>
  <c r="BG106" i="28"/>
  <c r="BF106" i="28"/>
  <c r="BE106" i="28"/>
  <c r="BD106" i="28"/>
  <c r="BC106" i="28"/>
  <c r="AY106" i="28"/>
  <c r="AT106" i="28"/>
  <c r="AO106" i="28"/>
  <c r="AN106" i="28"/>
  <c r="T106" i="28"/>
  <c r="R106" i="28"/>
  <c r="BR106" i="28" s="1"/>
  <c r="BN105" i="28"/>
  <c r="BM105" i="28"/>
  <c r="BL105" i="28"/>
  <c r="BK105" i="28"/>
  <c r="BJ105" i="28"/>
  <c r="BI105" i="28"/>
  <c r="BH105" i="28"/>
  <c r="BG105" i="28"/>
  <c r="BF105" i="28"/>
  <c r="BE105" i="28"/>
  <c r="BD105" i="28"/>
  <c r="BC105" i="28"/>
  <c r="AY105" i="28"/>
  <c r="AO105" i="28"/>
  <c r="AN105" i="28"/>
  <c r="T105" i="28"/>
  <c r="R105" i="28"/>
  <c r="BR105" i="28" s="1"/>
  <c r="BN104" i="28"/>
  <c r="BM104" i="28"/>
  <c r="BL104" i="28"/>
  <c r="BK104" i="28"/>
  <c r="BJ104" i="28"/>
  <c r="BI104" i="28"/>
  <c r="BH104" i="28"/>
  <c r="BG104" i="28"/>
  <c r="BF104" i="28"/>
  <c r="BE104" i="28"/>
  <c r="BC104" i="28"/>
  <c r="AY104" i="28"/>
  <c r="AO104" i="28"/>
  <c r="AN104" i="28"/>
  <c r="T104" i="28"/>
  <c r="R104" i="28"/>
  <c r="BR104" i="28" s="1"/>
  <c r="BN103" i="28"/>
  <c r="BM103" i="28"/>
  <c r="BL103" i="28"/>
  <c r="BK103" i="28"/>
  <c r="BJ103" i="28"/>
  <c r="BI103" i="28"/>
  <c r="BH103" i="28"/>
  <c r="BG103" i="28"/>
  <c r="BF103" i="28"/>
  <c r="BE103" i="28"/>
  <c r="BD103" i="28"/>
  <c r="BC103" i="28"/>
  <c r="AY103" i="28"/>
  <c r="AO103" i="28"/>
  <c r="AN103" i="28"/>
  <c r="T103" i="28"/>
  <c r="R103" i="28"/>
  <c r="BR103" i="28" s="1"/>
  <c r="BN102" i="28"/>
  <c r="BM102" i="28"/>
  <c r="BL102" i="28"/>
  <c r="BK102" i="28"/>
  <c r="BJ102" i="28"/>
  <c r="BI102" i="28"/>
  <c r="BH102" i="28"/>
  <c r="BG102" i="28"/>
  <c r="BF102" i="28"/>
  <c r="BE102" i="28"/>
  <c r="BD102" i="28"/>
  <c r="BC102" i="28"/>
  <c r="AY102" i="28"/>
  <c r="AO102" i="28"/>
  <c r="AN102" i="28"/>
  <c r="T102" i="28"/>
  <c r="R102" i="28"/>
  <c r="BR102" i="28" s="1"/>
  <c r="BN101" i="28"/>
  <c r="BM101" i="28"/>
  <c r="BL101" i="28"/>
  <c r="BK101" i="28"/>
  <c r="BJ101" i="28"/>
  <c r="BI101" i="28"/>
  <c r="BH101" i="28"/>
  <c r="BG101" i="28"/>
  <c r="BF101" i="28"/>
  <c r="BE101" i="28"/>
  <c r="BD101" i="28"/>
  <c r="BC101" i="28"/>
  <c r="AY101" i="28"/>
  <c r="AO101" i="28"/>
  <c r="AN101" i="28"/>
  <c r="T101" i="28"/>
  <c r="R101" i="28"/>
  <c r="BR101" i="28" s="1"/>
  <c r="BN100" i="28"/>
  <c r="BM100" i="28"/>
  <c r="BL100" i="28"/>
  <c r="BK100" i="28"/>
  <c r="BJ100" i="28"/>
  <c r="BI100" i="28"/>
  <c r="BH100" i="28"/>
  <c r="BG100" i="28"/>
  <c r="BF100" i="28"/>
  <c r="BE100" i="28"/>
  <c r="BC100" i="28"/>
  <c r="AY100" i="28"/>
  <c r="AO100" i="28"/>
  <c r="AN100" i="28"/>
  <c r="T100" i="28"/>
  <c r="R100" i="28"/>
  <c r="BR100" i="28" s="1"/>
  <c r="BN99" i="28"/>
  <c r="BM99" i="28"/>
  <c r="BL99" i="28"/>
  <c r="BK99" i="28"/>
  <c r="BJ99" i="28"/>
  <c r="BI99" i="28"/>
  <c r="BH99" i="28"/>
  <c r="BG99" i="28"/>
  <c r="BF99" i="28"/>
  <c r="BE99" i="28"/>
  <c r="BC99" i="28"/>
  <c r="AY99" i="28"/>
  <c r="AO99" i="28"/>
  <c r="AN99" i="28"/>
  <c r="T99" i="28"/>
  <c r="R99" i="28"/>
  <c r="BR99" i="28" s="1"/>
  <c r="BN98" i="28"/>
  <c r="BM98" i="28"/>
  <c r="BL98" i="28"/>
  <c r="BK98" i="28"/>
  <c r="BJ98" i="28"/>
  <c r="BI98" i="28"/>
  <c r="BH98" i="28"/>
  <c r="BG98" i="28"/>
  <c r="BF98" i="28"/>
  <c r="BE98" i="28"/>
  <c r="BC98" i="28"/>
  <c r="AY98" i="28"/>
  <c r="AO98" i="28"/>
  <c r="AN98" i="28"/>
  <c r="T98" i="28"/>
  <c r="R98" i="28"/>
  <c r="BR98" i="28" s="1"/>
  <c r="BN97" i="28"/>
  <c r="BM97" i="28"/>
  <c r="BL97" i="28"/>
  <c r="BK97" i="28"/>
  <c r="BJ97" i="28"/>
  <c r="BI97" i="28"/>
  <c r="BH97" i="28"/>
  <c r="BG97" i="28"/>
  <c r="BF97" i="28"/>
  <c r="BE97" i="28"/>
  <c r="BC97" i="28"/>
  <c r="AY97" i="28"/>
  <c r="AO97" i="28"/>
  <c r="AN97" i="28"/>
  <c r="T97" i="28"/>
  <c r="R97" i="28"/>
  <c r="BR97" i="28" s="1"/>
  <c r="BN96" i="28"/>
  <c r="BM96" i="28"/>
  <c r="BL96" i="28"/>
  <c r="BK96" i="28"/>
  <c r="BJ96" i="28"/>
  <c r="BI96" i="28"/>
  <c r="BH96" i="28"/>
  <c r="BG96" i="28"/>
  <c r="BF96" i="28"/>
  <c r="BE96" i="28"/>
  <c r="BC96" i="28"/>
  <c r="AY96" i="28"/>
  <c r="AO96" i="28"/>
  <c r="AN96" i="28"/>
  <c r="T96" i="28"/>
  <c r="R96" i="28"/>
  <c r="BR96" i="28" s="1"/>
  <c r="BN95" i="28"/>
  <c r="BM95" i="28"/>
  <c r="BL95" i="28"/>
  <c r="BK95" i="28"/>
  <c r="BJ95" i="28"/>
  <c r="BI95" i="28"/>
  <c r="BH95" i="28"/>
  <c r="BG95" i="28"/>
  <c r="BF95" i="28"/>
  <c r="BE95" i="28"/>
  <c r="BC95" i="28"/>
  <c r="AY95" i="28"/>
  <c r="AO95" i="28"/>
  <c r="AN95" i="28"/>
  <c r="T95" i="28"/>
  <c r="R95" i="28"/>
  <c r="BR95" i="28" s="1"/>
  <c r="BN94" i="28"/>
  <c r="BM94" i="28"/>
  <c r="BL94" i="28"/>
  <c r="BK94" i="28"/>
  <c r="BJ94" i="28"/>
  <c r="BI94" i="28"/>
  <c r="BH94" i="28"/>
  <c r="BG94" i="28"/>
  <c r="BF94" i="28"/>
  <c r="BE94" i="28"/>
  <c r="BD94" i="28"/>
  <c r="BC94" i="28"/>
  <c r="AY94" i="28"/>
  <c r="AO94" i="28"/>
  <c r="T94" i="28"/>
  <c r="R94" i="28"/>
  <c r="BR94" i="28" s="1"/>
  <c r="BN93" i="28"/>
  <c r="BM93" i="28"/>
  <c r="BL93" i="28"/>
  <c r="BK93" i="28"/>
  <c r="BJ93" i="28"/>
  <c r="BI93" i="28"/>
  <c r="BH93" i="28"/>
  <c r="BG93" i="28"/>
  <c r="BF93" i="28"/>
  <c r="BE93" i="28"/>
  <c r="BD93" i="28"/>
  <c r="BC93" i="28"/>
  <c r="AY93" i="28"/>
  <c r="AO93" i="28"/>
  <c r="AN93" i="28"/>
  <c r="T93" i="28"/>
  <c r="R93" i="28"/>
  <c r="BR93" i="28" s="1"/>
  <c r="BN92" i="28"/>
  <c r="BM92" i="28"/>
  <c r="BL92" i="28"/>
  <c r="BK92" i="28"/>
  <c r="BJ92" i="28"/>
  <c r="BI92" i="28"/>
  <c r="BH92" i="28"/>
  <c r="BG92" i="28"/>
  <c r="BF92" i="28"/>
  <c r="BE92" i="28"/>
  <c r="BC92" i="28"/>
  <c r="AY92" i="28"/>
  <c r="AO92" i="28"/>
  <c r="AN92" i="28"/>
  <c r="T92" i="28"/>
  <c r="R92" i="28"/>
  <c r="BR92" i="28" s="1"/>
  <c r="BN91" i="28"/>
  <c r="BM91" i="28"/>
  <c r="BL91" i="28"/>
  <c r="BK91" i="28"/>
  <c r="BJ91" i="28"/>
  <c r="BI91" i="28"/>
  <c r="BH91" i="28"/>
  <c r="BG91" i="28"/>
  <c r="BF91" i="28"/>
  <c r="BE91" i="28"/>
  <c r="BD91" i="28"/>
  <c r="BC91" i="28"/>
  <c r="AY91" i="28"/>
  <c r="AO91" i="28"/>
  <c r="AN91" i="28"/>
  <c r="T91" i="28"/>
  <c r="R91" i="28"/>
  <c r="BR91" i="28" s="1"/>
  <c r="BN90" i="28"/>
  <c r="BM90" i="28"/>
  <c r="BL90" i="28"/>
  <c r="BK90" i="28"/>
  <c r="BJ90" i="28"/>
  <c r="BI90" i="28"/>
  <c r="BH90" i="28"/>
  <c r="BG90" i="28"/>
  <c r="BF90" i="28"/>
  <c r="BE90" i="28"/>
  <c r="BD90" i="28"/>
  <c r="BC90" i="28"/>
  <c r="AY90" i="28"/>
  <c r="AO90" i="28"/>
  <c r="AN90" i="28"/>
  <c r="T90" i="28"/>
  <c r="R90" i="28"/>
  <c r="BR90" i="28" s="1"/>
  <c r="BN89" i="28"/>
  <c r="BM89" i="28"/>
  <c r="BL89" i="28"/>
  <c r="BK89" i="28"/>
  <c r="BJ89" i="28"/>
  <c r="BI89" i="28"/>
  <c r="BH89" i="28"/>
  <c r="BG89" i="28"/>
  <c r="BF89" i="28"/>
  <c r="BE89" i="28"/>
  <c r="BD89" i="28"/>
  <c r="BC89" i="28"/>
  <c r="AY89" i="28"/>
  <c r="AT89" i="28"/>
  <c r="AO89" i="28"/>
  <c r="AN89" i="28"/>
  <c r="T89" i="28"/>
  <c r="R89" i="28"/>
  <c r="BR89" i="28" s="1"/>
  <c r="BN88" i="28"/>
  <c r="BM88" i="28"/>
  <c r="BL88" i="28"/>
  <c r="BK88" i="28"/>
  <c r="BJ88" i="28"/>
  <c r="BI88" i="28"/>
  <c r="BH88" i="28"/>
  <c r="BG88" i="28"/>
  <c r="BF88" i="28"/>
  <c r="BE88" i="28"/>
  <c r="BD88" i="28"/>
  <c r="BC88" i="28"/>
  <c r="AY88" i="28"/>
  <c r="AT88" i="28"/>
  <c r="AO88" i="28"/>
  <c r="AN88" i="28"/>
  <c r="T88" i="28"/>
  <c r="R88" i="28"/>
  <c r="BR88" i="28" s="1"/>
  <c r="BN87" i="28"/>
  <c r="BM87" i="28"/>
  <c r="BL87" i="28"/>
  <c r="BK87" i="28"/>
  <c r="BJ87" i="28"/>
  <c r="BI87" i="28"/>
  <c r="BH87" i="28"/>
  <c r="BG87" i="28"/>
  <c r="BF87" i="28"/>
  <c r="BE87" i="28"/>
  <c r="BD87" i="28"/>
  <c r="BC87" i="28"/>
  <c r="AY87" i="28"/>
  <c r="AO87" i="28"/>
  <c r="AN87" i="28"/>
  <c r="T87" i="28"/>
  <c r="R87" i="28"/>
  <c r="BR87" i="28" s="1"/>
  <c r="BN86" i="28"/>
  <c r="BM86" i="28"/>
  <c r="BL86" i="28"/>
  <c r="BK86" i="28"/>
  <c r="BJ86" i="28"/>
  <c r="BI86" i="28"/>
  <c r="BH86" i="28"/>
  <c r="BG86" i="28"/>
  <c r="BF86" i="28"/>
  <c r="BE86" i="28"/>
  <c r="BD86" i="28"/>
  <c r="BC86" i="28"/>
  <c r="AY86" i="28"/>
  <c r="AT86" i="28"/>
  <c r="AO86" i="28"/>
  <c r="AN86" i="28"/>
  <c r="T86" i="28"/>
  <c r="R86" i="28"/>
  <c r="BR86" i="28" s="1"/>
  <c r="BN85" i="28"/>
  <c r="BM85" i="28"/>
  <c r="BL85" i="28"/>
  <c r="BK85" i="28"/>
  <c r="BJ85" i="28"/>
  <c r="BI85" i="28"/>
  <c r="BH85" i="28"/>
  <c r="BG85" i="28"/>
  <c r="BF85" i="28"/>
  <c r="BE85" i="28"/>
  <c r="BD85" i="28"/>
  <c r="BC85" i="28"/>
  <c r="AY85" i="28"/>
  <c r="AO85" i="28"/>
  <c r="AN85" i="28"/>
  <c r="T85" i="28"/>
  <c r="R85" i="28"/>
  <c r="BR85" i="28" s="1"/>
  <c r="BN84" i="28"/>
  <c r="BM84" i="28"/>
  <c r="BL84" i="28"/>
  <c r="BK84" i="28"/>
  <c r="BJ84" i="28"/>
  <c r="BI84" i="28"/>
  <c r="BH84" i="28"/>
  <c r="BG84" i="28"/>
  <c r="BF84" i="28"/>
  <c r="BE84" i="28"/>
  <c r="BD84" i="28"/>
  <c r="BC84" i="28"/>
  <c r="AY84" i="28"/>
  <c r="AO84" i="28"/>
  <c r="AN84" i="28"/>
  <c r="T84" i="28"/>
  <c r="R84" i="28"/>
  <c r="BR84" i="28" s="1"/>
  <c r="BN83" i="28"/>
  <c r="BM83" i="28"/>
  <c r="BL83" i="28"/>
  <c r="BK83" i="28"/>
  <c r="BJ83" i="28"/>
  <c r="BI83" i="28"/>
  <c r="BH83" i="28"/>
  <c r="BG83" i="28"/>
  <c r="BF83" i="28"/>
  <c r="BE83" i="28"/>
  <c r="BD83" i="28"/>
  <c r="BC83" i="28"/>
  <c r="AY83" i="28"/>
  <c r="AT83" i="28"/>
  <c r="AO83" i="28"/>
  <c r="AN83" i="28"/>
  <c r="T83" i="28"/>
  <c r="R83" i="28"/>
  <c r="BR83" i="28" s="1"/>
  <c r="BN82" i="28"/>
  <c r="BM82" i="28"/>
  <c r="BL82" i="28"/>
  <c r="BK82" i="28"/>
  <c r="BJ82" i="28"/>
  <c r="BI82" i="28"/>
  <c r="BH82" i="28"/>
  <c r="BG82" i="28"/>
  <c r="BF82" i="28"/>
  <c r="BE82" i="28"/>
  <c r="BD82" i="28"/>
  <c r="BC82" i="28"/>
  <c r="AY82" i="28"/>
  <c r="AO82" i="28"/>
  <c r="AN82" i="28"/>
  <c r="T82" i="28"/>
  <c r="R82" i="28"/>
  <c r="BR82" i="28" s="1"/>
  <c r="BN81" i="28"/>
  <c r="BM81" i="28"/>
  <c r="BL81" i="28"/>
  <c r="BK81" i="28"/>
  <c r="BJ81" i="28"/>
  <c r="BI81" i="28"/>
  <c r="BH81" i="28"/>
  <c r="BG81" i="28"/>
  <c r="BF81" i="28"/>
  <c r="BE81" i="28"/>
  <c r="BC81" i="28"/>
  <c r="AY81" i="28"/>
  <c r="AO81" i="28"/>
  <c r="AN81" i="28"/>
  <c r="T81" i="28"/>
  <c r="R81" i="28"/>
  <c r="BR81" i="28" s="1"/>
  <c r="BN80" i="28"/>
  <c r="BM80" i="28"/>
  <c r="BL80" i="28"/>
  <c r="BK80" i="28"/>
  <c r="BJ80" i="28"/>
  <c r="BI80" i="28"/>
  <c r="BH80" i="28"/>
  <c r="BG80" i="28"/>
  <c r="BF80" i="28"/>
  <c r="BE80" i="28"/>
  <c r="BD80" i="28"/>
  <c r="BC80" i="28"/>
  <c r="AY80" i="28"/>
  <c r="AT80" i="28"/>
  <c r="AO80" i="28"/>
  <c r="AN80" i="28"/>
  <c r="T80" i="28"/>
  <c r="R80" i="28"/>
  <c r="BR80" i="28" s="1"/>
  <c r="BN79" i="28"/>
  <c r="BM79" i="28"/>
  <c r="BL79" i="28"/>
  <c r="BK79" i="28"/>
  <c r="BJ79" i="28"/>
  <c r="BI79" i="28"/>
  <c r="BH79" i="28"/>
  <c r="BG79" i="28"/>
  <c r="BF79" i="28"/>
  <c r="BE79" i="28"/>
  <c r="BD79" i="28"/>
  <c r="BC79" i="28"/>
  <c r="AY79" i="28"/>
  <c r="AT79" i="28"/>
  <c r="AO79" i="28"/>
  <c r="AN79" i="28"/>
  <c r="T79" i="28"/>
  <c r="R79" i="28"/>
  <c r="BR79" i="28"/>
  <c r="BN78" i="28"/>
  <c r="BM78" i="28"/>
  <c r="BL78" i="28"/>
  <c r="BK78" i="28"/>
  <c r="BJ78" i="28"/>
  <c r="BI78" i="28"/>
  <c r="BH78" i="28"/>
  <c r="BG78" i="28"/>
  <c r="BF78" i="28"/>
  <c r="BE78" i="28"/>
  <c r="BD78" i="28"/>
  <c r="BC78" i="28"/>
  <c r="AY78" i="28"/>
  <c r="AT78" i="28"/>
  <c r="AO78" i="28"/>
  <c r="AN78" i="28"/>
  <c r="T78" i="28"/>
  <c r="R78" i="28"/>
  <c r="BR78" i="28" s="1"/>
  <c r="BN77" i="28"/>
  <c r="BM77" i="28"/>
  <c r="BL77" i="28"/>
  <c r="BK77" i="28"/>
  <c r="BJ77" i="28"/>
  <c r="BI77" i="28"/>
  <c r="BH77" i="28"/>
  <c r="BG77" i="28"/>
  <c r="BF77" i="28"/>
  <c r="BE77" i="28"/>
  <c r="BD77" i="28"/>
  <c r="BC77" i="28"/>
  <c r="AY77" i="28"/>
  <c r="AT77" i="28"/>
  <c r="AO77" i="28"/>
  <c r="AN77" i="28"/>
  <c r="T77" i="28"/>
  <c r="R77" i="28"/>
  <c r="BR77" i="28" s="1"/>
  <c r="BN76" i="28"/>
  <c r="BM76" i="28"/>
  <c r="BL76" i="28"/>
  <c r="BK76" i="28"/>
  <c r="BJ76" i="28"/>
  <c r="BI76" i="28"/>
  <c r="BH76" i="28"/>
  <c r="BG76" i="28"/>
  <c r="BF76" i="28"/>
  <c r="BE76" i="28"/>
  <c r="BD76" i="28"/>
  <c r="BC76" i="28"/>
  <c r="AY76" i="28"/>
  <c r="AT76" i="28"/>
  <c r="AO76" i="28"/>
  <c r="AN76" i="28"/>
  <c r="T76" i="28"/>
  <c r="R76" i="28"/>
  <c r="BR76" i="28" s="1"/>
  <c r="BN75" i="28"/>
  <c r="BM75" i="28"/>
  <c r="BL75" i="28"/>
  <c r="BK75" i="28"/>
  <c r="BJ75" i="28"/>
  <c r="BI75" i="28"/>
  <c r="BH75" i="28"/>
  <c r="BG75" i="28"/>
  <c r="BF75" i="28"/>
  <c r="BE75" i="28"/>
  <c r="BD75" i="28"/>
  <c r="BC75" i="28"/>
  <c r="AY75" i="28"/>
  <c r="AT75" i="28"/>
  <c r="AO75" i="28"/>
  <c r="AN75" i="28"/>
  <c r="T75" i="28"/>
  <c r="R75" i="28"/>
  <c r="BR75" i="28" s="1"/>
  <c r="BN74" i="28"/>
  <c r="BM74" i="28"/>
  <c r="BL74" i="28"/>
  <c r="BK74" i="28"/>
  <c r="BJ74" i="28"/>
  <c r="BI74" i="28"/>
  <c r="BH74" i="28"/>
  <c r="BG74" i="28"/>
  <c r="BF74" i="28"/>
  <c r="BE74" i="28"/>
  <c r="BD74" i="28"/>
  <c r="BC74" i="28"/>
  <c r="AY74" i="28"/>
  <c r="AT74" i="28"/>
  <c r="AO74" i="28"/>
  <c r="AN74" i="28"/>
  <c r="T74" i="28"/>
  <c r="R74" i="28"/>
  <c r="BR74" i="28" s="1"/>
  <c r="BN73" i="28"/>
  <c r="BM73" i="28"/>
  <c r="BL73" i="28"/>
  <c r="BK73" i="28"/>
  <c r="BJ73" i="28"/>
  <c r="BI73" i="28"/>
  <c r="BH73" i="28"/>
  <c r="BG73" i="28"/>
  <c r="BF73" i="28"/>
  <c r="BE73" i="28"/>
  <c r="BD73" i="28"/>
  <c r="BC73" i="28"/>
  <c r="AY73" i="28"/>
  <c r="AT73" i="28"/>
  <c r="AO73" i="28"/>
  <c r="AN73" i="28"/>
  <c r="T73" i="28"/>
  <c r="R73" i="28"/>
  <c r="BR73" i="28"/>
  <c r="BN72" i="28"/>
  <c r="BM72" i="28"/>
  <c r="BL72" i="28"/>
  <c r="BK72" i="28"/>
  <c r="BJ72" i="28"/>
  <c r="BI72" i="28"/>
  <c r="BH72" i="28"/>
  <c r="BG72" i="28"/>
  <c r="BF72" i="28"/>
  <c r="BE72" i="28"/>
  <c r="BD72" i="28"/>
  <c r="BC72" i="28"/>
  <c r="AY72" i="28"/>
  <c r="AO72" i="28"/>
  <c r="AN72" i="28"/>
  <c r="T72" i="28"/>
  <c r="R72" i="28"/>
  <c r="BR72" i="28" s="1"/>
  <c r="BN71" i="28"/>
  <c r="BM71" i="28"/>
  <c r="BL71" i="28"/>
  <c r="BK71" i="28"/>
  <c r="BJ71" i="28"/>
  <c r="BI71" i="28"/>
  <c r="BH71" i="28"/>
  <c r="BG71" i="28"/>
  <c r="BF71" i="28"/>
  <c r="BE71" i="28"/>
  <c r="BD71" i="28"/>
  <c r="BC71" i="28"/>
  <c r="AY71" i="28"/>
  <c r="AO71" i="28"/>
  <c r="AN71" i="28"/>
  <c r="T71" i="28"/>
  <c r="R71" i="28"/>
  <c r="BR71" i="28" s="1"/>
  <c r="BN70" i="28"/>
  <c r="BM70" i="28"/>
  <c r="BL70" i="28"/>
  <c r="BK70" i="28"/>
  <c r="BJ70" i="28"/>
  <c r="BI70" i="28"/>
  <c r="BH70" i="28"/>
  <c r="BG70" i="28"/>
  <c r="BF70" i="28"/>
  <c r="BE70" i="28"/>
  <c r="BD70" i="28"/>
  <c r="BC70" i="28"/>
  <c r="AY70" i="28"/>
  <c r="AT70" i="28"/>
  <c r="AO70" i="28"/>
  <c r="AN70" i="28"/>
  <c r="T70" i="28"/>
  <c r="R70" i="28"/>
  <c r="BR70" i="28" s="1"/>
  <c r="BN69" i="28"/>
  <c r="BM69" i="28"/>
  <c r="BL69" i="28"/>
  <c r="BK69" i="28"/>
  <c r="BJ69" i="28"/>
  <c r="BI69" i="28"/>
  <c r="BH69" i="28"/>
  <c r="BG69" i="28"/>
  <c r="BF69" i="28"/>
  <c r="BE69" i="28"/>
  <c r="BD69" i="28"/>
  <c r="BC69" i="28"/>
  <c r="AY69" i="28"/>
  <c r="AT69" i="28"/>
  <c r="AO69" i="28"/>
  <c r="AN69" i="28"/>
  <c r="T69" i="28"/>
  <c r="R69" i="28"/>
  <c r="BR69" i="28" s="1"/>
  <c r="BN68" i="28"/>
  <c r="BM68" i="28"/>
  <c r="BL68" i="28"/>
  <c r="BK68" i="28"/>
  <c r="BJ68" i="28"/>
  <c r="BI68" i="28"/>
  <c r="BH68" i="28"/>
  <c r="BG68" i="28"/>
  <c r="BF68" i="28"/>
  <c r="BE68" i="28"/>
  <c r="BD68" i="28"/>
  <c r="BC68" i="28"/>
  <c r="AY68" i="28"/>
  <c r="AT68" i="28"/>
  <c r="AO68" i="28"/>
  <c r="AN68" i="28"/>
  <c r="T68" i="28"/>
  <c r="R68" i="28"/>
  <c r="BR68" i="28" s="1"/>
  <c r="BN67" i="28"/>
  <c r="BM67" i="28"/>
  <c r="BL67" i="28"/>
  <c r="BK67" i="28"/>
  <c r="BJ67" i="28"/>
  <c r="BI67" i="28"/>
  <c r="BH67" i="28"/>
  <c r="BG67" i="28"/>
  <c r="BF67" i="28"/>
  <c r="BE67" i="28"/>
  <c r="BD67" i="28"/>
  <c r="BC67" i="28"/>
  <c r="AY67" i="28"/>
  <c r="AT67" i="28"/>
  <c r="AO67" i="28"/>
  <c r="AN67" i="28"/>
  <c r="T67" i="28"/>
  <c r="R67" i="28"/>
  <c r="BR67" i="28" s="1"/>
  <c r="BN66" i="28"/>
  <c r="BM66" i="28"/>
  <c r="BL66" i="28"/>
  <c r="BK66" i="28"/>
  <c r="BJ66" i="28"/>
  <c r="BI66" i="28"/>
  <c r="BH66" i="28"/>
  <c r="BG66" i="28"/>
  <c r="BF66" i="28"/>
  <c r="BE66" i="28"/>
  <c r="BD66" i="28"/>
  <c r="BC66" i="28"/>
  <c r="AY66" i="28"/>
  <c r="AT66" i="28"/>
  <c r="AO66" i="28"/>
  <c r="AN66" i="28"/>
  <c r="T66" i="28"/>
  <c r="R66" i="28"/>
  <c r="BR66" i="28" s="1"/>
  <c r="BN65" i="28"/>
  <c r="BM65" i="28"/>
  <c r="BL65" i="28"/>
  <c r="BK65" i="28"/>
  <c r="BJ65" i="28"/>
  <c r="BI65" i="28"/>
  <c r="BH65" i="28"/>
  <c r="BG65" i="28"/>
  <c r="BF65" i="28"/>
  <c r="BE65" i="28"/>
  <c r="BD65" i="28"/>
  <c r="BC65" i="28"/>
  <c r="AY65" i="28"/>
  <c r="AO65" i="28"/>
  <c r="AN65" i="28"/>
  <c r="T65" i="28"/>
  <c r="R65" i="28"/>
  <c r="BR65" i="28" s="1"/>
  <c r="BN64" i="28"/>
  <c r="BM64" i="28"/>
  <c r="BL64" i="28"/>
  <c r="BK64" i="28"/>
  <c r="BJ64" i="28"/>
  <c r="BI64" i="28"/>
  <c r="BH64" i="28"/>
  <c r="BG64" i="28"/>
  <c r="BF64" i="28"/>
  <c r="BE64" i="28"/>
  <c r="BD64" i="28"/>
  <c r="BC64" i="28"/>
  <c r="AY64" i="28"/>
  <c r="AT64" i="28"/>
  <c r="AO64" i="28"/>
  <c r="AN64" i="28"/>
  <c r="T64" i="28"/>
  <c r="R64" i="28"/>
  <c r="BR64" i="28" s="1"/>
  <c r="BN63" i="28"/>
  <c r="BM63" i="28"/>
  <c r="BL63" i="28"/>
  <c r="BK63" i="28"/>
  <c r="BJ63" i="28"/>
  <c r="BI63" i="28"/>
  <c r="BH63" i="28"/>
  <c r="BG63" i="28"/>
  <c r="BF63" i="28"/>
  <c r="BE63" i="28"/>
  <c r="BD63" i="28"/>
  <c r="BC63" i="28"/>
  <c r="AY63" i="28"/>
  <c r="AO63" i="28"/>
  <c r="AN63" i="28"/>
  <c r="T63" i="28"/>
  <c r="R63" i="28"/>
  <c r="BR63" i="28" s="1"/>
  <c r="BN62" i="28"/>
  <c r="BM62" i="28"/>
  <c r="BL62" i="28"/>
  <c r="BK62" i="28"/>
  <c r="BJ62" i="28"/>
  <c r="BI62" i="28"/>
  <c r="BH62" i="28"/>
  <c r="BG62" i="28"/>
  <c r="BF62" i="28"/>
  <c r="BE62" i="28"/>
  <c r="BC62" i="28"/>
  <c r="AY62" i="28"/>
  <c r="AO62" i="28"/>
  <c r="AN62" i="28"/>
  <c r="T62" i="28"/>
  <c r="R62" i="28"/>
  <c r="BR62" i="28" s="1"/>
  <c r="BN61" i="28"/>
  <c r="BM61" i="28"/>
  <c r="BL61" i="28"/>
  <c r="BK61" i="28"/>
  <c r="BJ61" i="28"/>
  <c r="BI61" i="28"/>
  <c r="BH61" i="28"/>
  <c r="BG61" i="28"/>
  <c r="BF61" i="28"/>
  <c r="BE61" i="28"/>
  <c r="BD61" i="28"/>
  <c r="BC61" i="28"/>
  <c r="AY61" i="28"/>
  <c r="AT61" i="28"/>
  <c r="AO61" i="28"/>
  <c r="AN61" i="28"/>
  <c r="T61" i="28"/>
  <c r="R61" i="28"/>
  <c r="BR61" i="28" s="1"/>
  <c r="BN60" i="28"/>
  <c r="BM60" i="28"/>
  <c r="BL60" i="28"/>
  <c r="BK60" i="28"/>
  <c r="BJ60" i="28"/>
  <c r="BI60" i="28"/>
  <c r="BH60" i="28"/>
  <c r="BG60" i="28"/>
  <c r="BF60" i="28"/>
  <c r="BE60" i="28"/>
  <c r="BD60" i="28"/>
  <c r="BC60" i="28"/>
  <c r="AY60" i="28"/>
  <c r="AT60" i="28"/>
  <c r="AO60" i="28"/>
  <c r="AN60" i="28"/>
  <c r="T60" i="28"/>
  <c r="R60" i="28"/>
  <c r="BR60" i="28" s="1"/>
  <c r="BN59" i="28"/>
  <c r="BM59" i="28"/>
  <c r="BL59" i="28"/>
  <c r="BK59" i="28"/>
  <c r="BJ59" i="28"/>
  <c r="BI59" i="28"/>
  <c r="BH59" i="28"/>
  <c r="BG59" i="28"/>
  <c r="BF59" i="28"/>
  <c r="BE59" i="28"/>
  <c r="BD59" i="28"/>
  <c r="BC59" i="28"/>
  <c r="AY59" i="28"/>
  <c r="AO59" i="28"/>
  <c r="AN59" i="28"/>
  <c r="T59" i="28"/>
  <c r="R59" i="28"/>
  <c r="BR59" i="28" s="1"/>
  <c r="BN58" i="28"/>
  <c r="BM58" i="28"/>
  <c r="BL58" i="28"/>
  <c r="BK58" i="28"/>
  <c r="BJ58" i="28"/>
  <c r="BI58" i="28"/>
  <c r="BH58" i="28"/>
  <c r="BG58" i="28"/>
  <c r="BF58" i="28"/>
  <c r="BE58" i="28"/>
  <c r="BD58" i="28"/>
  <c r="BC58" i="28"/>
  <c r="AY58" i="28"/>
  <c r="AT58" i="28"/>
  <c r="AO58" i="28"/>
  <c r="AN58" i="28"/>
  <c r="T58" i="28"/>
  <c r="R58" i="28"/>
  <c r="BR58" i="28" s="1"/>
  <c r="BN57" i="28"/>
  <c r="BM57" i="28"/>
  <c r="BL57" i="28"/>
  <c r="BK57" i="28"/>
  <c r="BJ57" i="28"/>
  <c r="BI57" i="28"/>
  <c r="BH57" i="28"/>
  <c r="BG57" i="28"/>
  <c r="BF57" i="28"/>
  <c r="BE57" i="28"/>
  <c r="BD57" i="28"/>
  <c r="BC57" i="28"/>
  <c r="AY57" i="28"/>
  <c r="AO57" i="28"/>
  <c r="AN57" i="28"/>
  <c r="T57" i="28"/>
  <c r="R57" i="28"/>
  <c r="BR57" i="28" s="1"/>
  <c r="BN56" i="28"/>
  <c r="BM56" i="28"/>
  <c r="BL56" i="28"/>
  <c r="BK56" i="28"/>
  <c r="BJ56" i="28"/>
  <c r="BI56" i="28"/>
  <c r="BH56" i="28"/>
  <c r="BG56" i="28"/>
  <c r="BF56" i="28"/>
  <c r="BE56" i="28"/>
  <c r="BD56" i="28"/>
  <c r="BC56" i="28"/>
  <c r="AY56" i="28"/>
  <c r="AT56" i="28"/>
  <c r="AO56" i="28"/>
  <c r="AN56" i="28"/>
  <c r="T56" i="28"/>
  <c r="R56" i="28"/>
  <c r="BR56" i="28"/>
  <c r="BN55" i="28"/>
  <c r="BM55" i="28"/>
  <c r="BL55" i="28"/>
  <c r="BK55" i="28"/>
  <c r="BJ55" i="28"/>
  <c r="BI55" i="28"/>
  <c r="BH55" i="28"/>
  <c r="BG55" i="28"/>
  <c r="BF55" i="28"/>
  <c r="BE55" i="28"/>
  <c r="BD55" i="28"/>
  <c r="BC55" i="28"/>
  <c r="AY55" i="28"/>
  <c r="AT55" i="28"/>
  <c r="AO55" i="28"/>
  <c r="AN55" i="28"/>
  <c r="T55" i="28"/>
  <c r="R55" i="28"/>
  <c r="BR55" i="28" s="1"/>
  <c r="BN54" i="28"/>
  <c r="BM54" i="28"/>
  <c r="BL54" i="28"/>
  <c r="BK54" i="28"/>
  <c r="BJ54" i="28"/>
  <c r="BI54" i="28"/>
  <c r="BH54" i="28"/>
  <c r="BG54" i="28"/>
  <c r="BF54" i="28"/>
  <c r="BE54" i="28"/>
  <c r="BD54" i="28"/>
  <c r="BC54" i="28"/>
  <c r="AY54" i="28"/>
  <c r="AO54" i="28"/>
  <c r="AN54" i="28"/>
  <c r="T54" i="28"/>
  <c r="R54" i="28"/>
  <c r="BR54" i="28" s="1"/>
  <c r="BN53" i="28"/>
  <c r="BM53" i="28"/>
  <c r="BL53" i="28"/>
  <c r="BK53" i="28"/>
  <c r="BJ53" i="28"/>
  <c r="BI53" i="28"/>
  <c r="BH53" i="28"/>
  <c r="BG53" i="28"/>
  <c r="BF53" i="28"/>
  <c r="BE53" i="28"/>
  <c r="BD53" i="28"/>
  <c r="BC53" i="28"/>
  <c r="AY53" i="28"/>
  <c r="AT53" i="28"/>
  <c r="AO53" i="28"/>
  <c r="AN53" i="28"/>
  <c r="T53" i="28"/>
  <c r="R53" i="28"/>
  <c r="BR53" i="28" s="1"/>
  <c r="BN52" i="28"/>
  <c r="BM52" i="28"/>
  <c r="BL52" i="28"/>
  <c r="BK52" i="28"/>
  <c r="BJ52" i="28"/>
  <c r="BI52" i="28"/>
  <c r="BH52" i="28"/>
  <c r="BG52" i="28"/>
  <c r="BF52" i="28"/>
  <c r="BE52" i="28"/>
  <c r="BD52" i="28"/>
  <c r="BC52" i="28"/>
  <c r="AY52" i="28"/>
  <c r="AT52" i="28"/>
  <c r="AO52" i="28"/>
  <c r="AN52" i="28"/>
  <c r="T52" i="28"/>
  <c r="R52" i="28"/>
  <c r="BR52" i="28" s="1"/>
  <c r="BN51" i="28"/>
  <c r="BM51" i="28"/>
  <c r="BL51" i="28"/>
  <c r="BK51" i="28"/>
  <c r="BJ51" i="28"/>
  <c r="BI51" i="28"/>
  <c r="BH51" i="28"/>
  <c r="BG51" i="28"/>
  <c r="BF51" i="28"/>
  <c r="BE51" i="28"/>
  <c r="BD51" i="28"/>
  <c r="BC51" i="28"/>
  <c r="AY51" i="28"/>
  <c r="AT51" i="28"/>
  <c r="AO51" i="28"/>
  <c r="AN51" i="28"/>
  <c r="T51" i="28"/>
  <c r="R51" i="28"/>
  <c r="BR51" i="28" s="1"/>
  <c r="BN50" i="28"/>
  <c r="BM50" i="28"/>
  <c r="BL50" i="28"/>
  <c r="BK50" i="28"/>
  <c r="BJ50" i="28"/>
  <c r="BI50" i="28"/>
  <c r="BH50" i="28"/>
  <c r="BG50" i="28"/>
  <c r="BF50" i="28"/>
  <c r="BE50" i="28"/>
  <c r="BD50" i="28"/>
  <c r="BC50" i="28"/>
  <c r="AY50" i="28"/>
  <c r="AT50" i="28"/>
  <c r="AO50" i="28"/>
  <c r="AN50" i="28"/>
  <c r="T50" i="28"/>
  <c r="R50" i="28"/>
  <c r="BR50" i="28" s="1"/>
  <c r="BN49" i="28"/>
  <c r="BM49" i="28"/>
  <c r="BL49" i="28"/>
  <c r="BK49" i="28"/>
  <c r="BJ49" i="28"/>
  <c r="BI49" i="28"/>
  <c r="BH49" i="28"/>
  <c r="BG49" i="28"/>
  <c r="BF49" i="28"/>
  <c r="BE49" i="28"/>
  <c r="BD49" i="28"/>
  <c r="BC49" i="28"/>
  <c r="AY49" i="28"/>
  <c r="AT49" i="28"/>
  <c r="AO49" i="28"/>
  <c r="AN49" i="28"/>
  <c r="T49" i="28"/>
  <c r="R49" i="28"/>
  <c r="BR49" i="28"/>
  <c r="BN48" i="28"/>
  <c r="BM48" i="28"/>
  <c r="BL48" i="28"/>
  <c r="BK48" i="28"/>
  <c r="BJ48" i="28"/>
  <c r="BI48" i="28"/>
  <c r="BH48" i="28"/>
  <c r="BG48" i="28"/>
  <c r="BF48" i="28"/>
  <c r="BE48" i="28"/>
  <c r="BD48" i="28"/>
  <c r="BC48" i="28"/>
  <c r="AY48" i="28"/>
  <c r="AT48" i="28"/>
  <c r="AO48" i="28"/>
  <c r="AN48" i="28"/>
  <c r="T48" i="28"/>
  <c r="R48" i="28"/>
  <c r="BR48" i="28" s="1"/>
  <c r="BN47" i="28"/>
  <c r="BM47" i="28"/>
  <c r="BL47" i="28"/>
  <c r="BK47" i="28"/>
  <c r="BJ47" i="28"/>
  <c r="BI47" i="28"/>
  <c r="BH47" i="28"/>
  <c r="BG47" i="28"/>
  <c r="BF47" i="28"/>
  <c r="BE47" i="28"/>
  <c r="BD47" i="28"/>
  <c r="BC47" i="28"/>
  <c r="AY47" i="28"/>
  <c r="AT47" i="28"/>
  <c r="AO47" i="28"/>
  <c r="AN47" i="28"/>
  <c r="T47" i="28"/>
  <c r="R47" i="28"/>
  <c r="BR47" i="28" s="1"/>
  <c r="BN46" i="28"/>
  <c r="BM46" i="28"/>
  <c r="BL46" i="28"/>
  <c r="BK46" i="28"/>
  <c r="BJ46" i="28"/>
  <c r="BI46" i="28"/>
  <c r="BH46" i="28"/>
  <c r="BG46" i="28"/>
  <c r="BF46" i="28"/>
  <c r="BE46" i="28"/>
  <c r="BD46" i="28"/>
  <c r="BC46" i="28"/>
  <c r="AY46" i="28"/>
  <c r="AT46" i="28"/>
  <c r="AO46" i="28"/>
  <c r="AN46" i="28"/>
  <c r="T46" i="28"/>
  <c r="R46" i="28"/>
  <c r="BR46" i="28" s="1"/>
  <c r="BN45" i="28"/>
  <c r="BM45" i="28"/>
  <c r="BL45" i="28"/>
  <c r="BK45" i="28"/>
  <c r="BJ45" i="28"/>
  <c r="BI45" i="28"/>
  <c r="BH45" i="28"/>
  <c r="BG45" i="28"/>
  <c r="BF45" i="28"/>
  <c r="BE45" i="28"/>
  <c r="BD45" i="28"/>
  <c r="BC45" i="28"/>
  <c r="AY45" i="28"/>
  <c r="AT45" i="28"/>
  <c r="AO45" i="28"/>
  <c r="AN45" i="28"/>
  <c r="T45" i="28"/>
  <c r="R45" i="28"/>
  <c r="BR45" i="28" s="1"/>
  <c r="BN44" i="28"/>
  <c r="BM44" i="28"/>
  <c r="BL44" i="28"/>
  <c r="BK44" i="28"/>
  <c r="BJ44" i="28"/>
  <c r="BI44" i="28"/>
  <c r="BH44" i="28"/>
  <c r="BG44" i="28"/>
  <c r="BF44" i="28"/>
  <c r="BE44" i="28"/>
  <c r="BD44" i="28"/>
  <c r="BC44" i="28"/>
  <c r="AY44" i="28"/>
  <c r="AT44" i="28"/>
  <c r="AO44" i="28"/>
  <c r="AN44" i="28"/>
  <c r="T44" i="28"/>
  <c r="R44" i="28"/>
  <c r="BR44" i="28" s="1"/>
  <c r="BN43" i="28"/>
  <c r="BM43" i="28"/>
  <c r="BL43" i="28"/>
  <c r="BK43" i="28"/>
  <c r="BJ43" i="28"/>
  <c r="BI43" i="28"/>
  <c r="BH43" i="28"/>
  <c r="BG43" i="28"/>
  <c r="BF43" i="28"/>
  <c r="BE43" i="28"/>
  <c r="BD43" i="28"/>
  <c r="BC43" i="28"/>
  <c r="AY43" i="28"/>
  <c r="AT43" i="28"/>
  <c r="AO43" i="28"/>
  <c r="AN43" i="28"/>
  <c r="T43" i="28"/>
  <c r="R43" i="28"/>
  <c r="BR43" i="28" s="1"/>
  <c r="BN42" i="28"/>
  <c r="BM42" i="28"/>
  <c r="BL42" i="28"/>
  <c r="BK42" i="28"/>
  <c r="BJ42" i="28"/>
  <c r="BI42" i="28"/>
  <c r="BH42" i="28"/>
  <c r="BG42" i="28"/>
  <c r="BF42" i="28"/>
  <c r="BE42" i="28"/>
  <c r="BD42" i="28"/>
  <c r="BC42" i="28"/>
  <c r="AY42" i="28"/>
  <c r="AT42" i="28"/>
  <c r="AO42" i="28"/>
  <c r="AN42" i="28"/>
  <c r="T42" i="28"/>
  <c r="R42" i="28"/>
  <c r="BR42" i="28" s="1"/>
  <c r="BN41" i="28"/>
  <c r="BM41" i="28"/>
  <c r="BL41" i="28"/>
  <c r="BK41" i="28"/>
  <c r="BJ41" i="28"/>
  <c r="BI41" i="28"/>
  <c r="BH41" i="28"/>
  <c r="BG41" i="28"/>
  <c r="BF41" i="28"/>
  <c r="BE41" i="28"/>
  <c r="BD41" i="28"/>
  <c r="BC41" i="28"/>
  <c r="AY41" i="28"/>
  <c r="AT41" i="28"/>
  <c r="AO41" i="28"/>
  <c r="AN41" i="28"/>
  <c r="T41" i="28"/>
  <c r="R41" i="28"/>
  <c r="BR41" i="28"/>
  <c r="BN40" i="28"/>
  <c r="BM40" i="28"/>
  <c r="BL40" i="28"/>
  <c r="BK40" i="28"/>
  <c r="BJ40" i="28"/>
  <c r="BI40" i="28"/>
  <c r="BH40" i="28"/>
  <c r="BG40" i="28"/>
  <c r="BF40" i="28"/>
  <c r="BE40" i="28"/>
  <c r="BD40" i="28"/>
  <c r="BC40" i="28"/>
  <c r="AY40" i="28"/>
  <c r="AT40" i="28"/>
  <c r="AO40" i="28"/>
  <c r="AN40" i="28"/>
  <c r="T40" i="28"/>
  <c r="R40" i="28"/>
  <c r="BR40" i="28" s="1"/>
  <c r="BN39" i="28"/>
  <c r="BM39" i="28"/>
  <c r="BL39" i="28"/>
  <c r="BK39" i="28"/>
  <c r="BJ39" i="28"/>
  <c r="BI39" i="28"/>
  <c r="BH39" i="28"/>
  <c r="BG39" i="28"/>
  <c r="BF39" i="28"/>
  <c r="BE39" i="28"/>
  <c r="BD39" i="28"/>
  <c r="BC39" i="28"/>
  <c r="AY39" i="28"/>
  <c r="AO39" i="28"/>
  <c r="AN39" i="28"/>
  <c r="T39" i="28"/>
  <c r="R39" i="28"/>
  <c r="BR39" i="28" s="1"/>
  <c r="BN38" i="28"/>
  <c r="BM38" i="28"/>
  <c r="BL38" i="28"/>
  <c r="BK38" i="28"/>
  <c r="BJ38" i="28"/>
  <c r="BI38" i="28"/>
  <c r="BH38" i="28"/>
  <c r="BG38" i="28"/>
  <c r="BF38" i="28"/>
  <c r="BE38" i="28"/>
  <c r="BD38" i="28"/>
  <c r="BC38" i="28"/>
  <c r="AY38" i="28"/>
  <c r="AO38" i="28"/>
  <c r="AN38" i="28"/>
  <c r="T38" i="28"/>
  <c r="R38" i="28"/>
  <c r="BR38" i="28" s="1"/>
  <c r="BN37" i="28"/>
  <c r="BM37" i="28"/>
  <c r="BL37" i="28"/>
  <c r="BK37" i="28"/>
  <c r="BJ37" i="28"/>
  <c r="BI37" i="28"/>
  <c r="BH37" i="28"/>
  <c r="BG37" i="28"/>
  <c r="BF37" i="28"/>
  <c r="BE37" i="28"/>
  <c r="BD37" i="28"/>
  <c r="BC37" i="28"/>
  <c r="AY37" i="28"/>
  <c r="AO37" i="28"/>
  <c r="AN37" i="28"/>
  <c r="T37" i="28"/>
  <c r="R37" i="28"/>
  <c r="BR37" i="28" s="1"/>
  <c r="BN36" i="28"/>
  <c r="BM36" i="28"/>
  <c r="BL36" i="28"/>
  <c r="BK36" i="28"/>
  <c r="BJ36" i="28"/>
  <c r="BI36" i="28"/>
  <c r="BH36" i="28"/>
  <c r="BG36" i="28"/>
  <c r="BF36" i="28"/>
  <c r="BE36" i="28"/>
  <c r="BD36" i="28"/>
  <c r="BC36" i="28"/>
  <c r="AY36" i="28"/>
  <c r="AT36" i="28"/>
  <c r="AO36" i="28"/>
  <c r="AN36" i="28"/>
  <c r="T36" i="28"/>
  <c r="R36" i="28"/>
  <c r="BR36" i="28"/>
  <c r="BN35" i="28"/>
  <c r="BM35" i="28"/>
  <c r="BL35" i="28"/>
  <c r="BK35" i="28"/>
  <c r="BJ35" i="28"/>
  <c r="BI35" i="28"/>
  <c r="BH35" i="28"/>
  <c r="BG35" i="28"/>
  <c r="BF35" i="28"/>
  <c r="BE35" i="28"/>
  <c r="BD35" i="28"/>
  <c r="BC35" i="28"/>
  <c r="AY35" i="28"/>
  <c r="AT35" i="28"/>
  <c r="AO35" i="28"/>
  <c r="AN35" i="28"/>
  <c r="T35" i="28"/>
  <c r="R35" i="28"/>
  <c r="BR35" i="28" s="1"/>
  <c r="BN34" i="28"/>
  <c r="BM34" i="28"/>
  <c r="BL34" i="28"/>
  <c r="BK34" i="28"/>
  <c r="BJ34" i="28"/>
  <c r="BI34" i="28"/>
  <c r="BH34" i="28"/>
  <c r="BG34" i="28"/>
  <c r="BF34" i="28"/>
  <c r="BE34" i="28"/>
  <c r="BD34" i="28"/>
  <c r="BC34" i="28"/>
  <c r="AY34" i="28"/>
  <c r="AO34" i="28"/>
  <c r="AN34" i="28"/>
  <c r="T34" i="28"/>
  <c r="R34" i="28"/>
  <c r="BR34" i="28" s="1"/>
  <c r="BN33" i="28"/>
  <c r="BM33" i="28"/>
  <c r="BL33" i="28"/>
  <c r="BK33" i="28"/>
  <c r="BJ33" i="28"/>
  <c r="BI33" i="28"/>
  <c r="BH33" i="28"/>
  <c r="BG33" i="28"/>
  <c r="BF33" i="28"/>
  <c r="BE33" i="28"/>
  <c r="BD33" i="28"/>
  <c r="BC33" i="28"/>
  <c r="AY33" i="28"/>
  <c r="AO33" i="28"/>
  <c r="AN33" i="28"/>
  <c r="T33" i="28"/>
  <c r="R33" i="28"/>
  <c r="BR33" i="28" s="1"/>
  <c r="BN32" i="28"/>
  <c r="BM32" i="28"/>
  <c r="BL32" i="28"/>
  <c r="BK32" i="28"/>
  <c r="BJ32" i="28"/>
  <c r="BI32" i="28"/>
  <c r="BH32" i="28"/>
  <c r="BG32" i="28"/>
  <c r="BF32" i="28"/>
  <c r="BE32" i="28"/>
  <c r="BD32" i="28"/>
  <c r="BC32" i="28"/>
  <c r="AY32" i="28"/>
  <c r="AO32" i="28"/>
  <c r="AN32" i="28"/>
  <c r="T32" i="28"/>
  <c r="R32" i="28"/>
  <c r="BR32" i="28" s="1"/>
  <c r="BN31" i="28"/>
  <c r="BM31" i="28"/>
  <c r="BL31" i="28"/>
  <c r="BK31" i="28"/>
  <c r="BJ31" i="28"/>
  <c r="BI31" i="28"/>
  <c r="BH31" i="28"/>
  <c r="BG31" i="28"/>
  <c r="BF31" i="28"/>
  <c r="BE31" i="28"/>
  <c r="BD31" i="28"/>
  <c r="BC31" i="28"/>
  <c r="AY31" i="28"/>
  <c r="AO31" i="28"/>
  <c r="AN31" i="28"/>
  <c r="T31" i="28"/>
  <c r="R31" i="28"/>
  <c r="BR31" i="28" s="1"/>
  <c r="BN30" i="28"/>
  <c r="BM30" i="28"/>
  <c r="BL30" i="28"/>
  <c r="BK30" i="28"/>
  <c r="BJ30" i="28"/>
  <c r="BI30" i="28"/>
  <c r="BH30" i="28"/>
  <c r="BG30" i="28"/>
  <c r="BF30" i="28"/>
  <c r="BE30" i="28"/>
  <c r="BD30" i="28"/>
  <c r="BC30" i="28"/>
  <c r="AY30" i="28"/>
  <c r="AO30" i="28"/>
  <c r="AN30" i="28"/>
  <c r="T30" i="28"/>
  <c r="R30" i="28"/>
  <c r="BR30" i="28" s="1"/>
  <c r="BN29" i="28"/>
  <c r="BM29" i="28"/>
  <c r="BL29" i="28"/>
  <c r="BK29" i="28"/>
  <c r="BJ29" i="28"/>
  <c r="BI29" i="28"/>
  <c r="BH29" i="28"/>
  <c r="BG29" i="28"/>
  <c r="BF29" i="28"/>
  <c r="BE29" i="28"/>
  <c r="BD29" i="28"/>
  <c r="BC29" i="28"/>
  <c r="AY29" i="28"/>
  <c r="AO29" i="28"/>
  <c r="AN29" i="28"/>
  <c r="T29" i="28"/>
  <c r="R29" i="28"/>
  <c r="BR29" i="28" s="1"/>
  <c r="BN28" i="28"/>
  <c r="BM28" i="28"/>
  <c r="BL28" i="28"/>
  <c r="BK28" i="28"/>
  <c r="BJ28" i="28"/>
  <c r="BI28" i="28"/>
  <c r="BH28" i="28"/>
  <c r="BG28" i="28"/>
  <c r="BF28" i="28"/>
  <c r="BE28" i="28"/>
  <c r="BD28" i="28"/>
  <c r="BC28" i="28"/>
  <c r="AY28" i="28"/>
  <c r="AO28" i="28"/>
  <c r="AN28" i="28"/>
  <c r="T28" i="28"/>
  <c r="R28" i="28"/>
  <c r="BR28" i="28" s="1"/>
  <c r="BN27" i="28"/>
  <c r="BM27" i="28"/>
  <c r="BL27" i="28"/>
  <c r="BK27" i="28"/>
  <c r="BJ27" i="28"/>
  <c r="BI27" i="28"/>
  <c r="BH27" i="28"/>
  <c r="BG27" i="28"/>
  <c r="BF27" i="28"/>
  <c r="BE27" i="28"/>
  <c r="BD27" i="28"/>
  <c r="BC27" i="28"/>
  <c r="AY27" i="28"/>
  <c r="AO27" i="28"/>
  <c r="AN27" i="28"/>
  <c r="T27" i="28"/>
  <c r="R27" i="28"/>
  <c r="BR27" i="28" s="1"/>
  <c r="BN26" i="28"/>
  <c r="BM26" i="28"/>
  <c r="BL26" i="28"/>
  <c r="BK26" i="28"/>
  <c r="BJ26" i="28"/>
  <c r="BI26" i="28"/>
  <c r="BH26" i="28"/>
  <c r="BG26" i="28"/>
  <c r="BF26" i="28"/>
  <c r="BE26" i="28"/>
  <c r="BD26" i="28"/>
  <c r="BC26" i="28"/>
  <c r="AY26" i="28"/>
  <c r="AO26" i="28"/>
  <c r="AN26" i="28"/>
  <c r="T26" i="28"/>
  <c r="R26" i="28"/>
  <c r="BR26" i="28" s="1"/>
  <c r="BN25" i="28"/>
  <c r="BM25" i="28"/>
  <c r="BL25" i="28"/>
  <c r="BK25" i="28"/>
  <c r="BJ25" i="28"/>
  <c r="BI25" i="28"/>
  <c r="BH25" i="28"/>
  <c r="BG25" i="28"/>
  <c r="BF25" i="28"/>
  <c r="BE25" i="28"/>
  <c r="BD25" i="28"/>
  <c r="BC25" i="28"/>
  <c r="AY25" i="28"/>
  <c r="AO25" i="28"/>
  <c r="AN25" i="28"/>
  <c r="T25" i="28"/>
  <c r="R25" i="28"/>
  <c r="BR25" i="28" s="1"/>
  <c r="BN24" i="28"/>
  <c r="BM24" i="28"/>
  <c r="BL24" i="28"/>
  <c r="BK24" i="28"/>
  <c r="BJ24" i="28"/>
  <c r="BI24" i="28"/>
  <c r="BH24" i="28"/>
  <c r="BG24" i="28"/>
  <c r="BF24" i="28"/>
  <c r="BE24" i="28"/>
  <c r="BD24" i="28"/>
  <c r="BC24" i="28"/>
  <c r="AY24" i="28"/>
  <c r="AT24" i="28"/>
  <c r="AO24" i="28"/>
  <c r="AN24" i="28"/>
  <c r="T24" i="28"/>
  <c r="R24" i="28"/>
  <c r="BR24" i="28" s="1"/>
  <c r="BN23" i="28"/>
  <c r="BM23" i="28"/>
  <c r="BL23" i="28"/>
  <c r="BK23" i="28"/>
  <c r="BJ23" i="28"/>
  <c r="BI23" i="28"/>
  <c r="BH23" i="28"/>
  <c r="BG23" i="28"/>
  <c r="BF23" i="28"/>
  <c r="BE23" i="28"/>
  <c r="BD23" i="28"/>
  <c r="BC23" i="28"/>
  <c r="AY23" i="28"/>
  <c r="AT23" i="28"/>
  <c r="AO23" i="28"/>
  <c r="AN23" i="28"/>
  <c r="T23" i="28"/>
  <c r="R23" i="28"/>
  <c r="BR23" i="28" s="1"/>
  <c r="BN22" i="28"/>
  <c r="BM22" i="28"/>
  <c r="BL22" i="28"/>
  <c r="BK22" i="28"/>
  <c r="BJ22" i="28"/>
  <c r="BI22" i="28"/>
  <c r="BH22" i="28"/>
  <c r="BG22" i="28"/>
  <c r="BF22" i="28"/>
  <c r="BE22" i="28"/>
  <c r="BD22" i="28"/>
  <c r="BC22" i="28"/>
  <c r="AY22" i="28"/>
  <c r="AT22" i="28"/>
  <c r="AO22" i="28"/>
  <c r="AN22" i="28"/>
  <c r="T22" i="28"/>
  <c r="R22" i="28"/>
  <c r="BR22" i="28"/>
  <c r="BN21" i="28"/>
  <c r="BM21" i="28"/>
  <c r="BL21" i="28"/>
  <c r="BK21" i="28"/>
  <c r="BJ21" i="28"/>
  <c r="BI21" i="28"/>
  <c r="BH21" i="28"/>
  <c r="BG21" i="28"/>
  <c r="BF21" i="28"/>
  <c r="BE21" i="28"/>
  <c r="BD21" i="28"/>
  <c r="BC21" i="28"/>
  <c r="AY21" i="28"/>
  <c r="AT21" i="28"/>
  <c r="AO21" i="28"/>
  <c r="AN21" i="28"/>
  <c r="T21" i="28"/>
  <c r="R21" i="28"/>
  <c r="BR21" i="28" s="1"/>
  <c r="BN20" i="28"/>
  <c r="BM20" i="28"/>
  <c r="BL20" i="28"/>
  <c r="BK20" i="28"/>
  <c r="BJ20" i="28"/>
  <c r="BI20" i="28"/>
  <c r="BH20" i="28"/>
  <c r="BG20" i="28"/>
  <c r="BF20" i="28"/>
  <c r="BE20" i="28"/>
  <c r="BD20" i="28"/>
  <c r="BC20" i="28"/>
  <c r="AY20" i="28"/>
  <c r="AT20" i="28"/>
  <c r="AO20" i="28"/>
  <c r="AN20" i="28"/>
  <c r="T20" i="28"/>
  <c r="R20" i="28"/>
  <c r="BR20" i="28" s="1"/>
  <c r="BN19" i="28"/>
  <c r="BM19" i="28"/>
  <c r="BL19" i="28"/>
  <c r="BK19" i="28"/>
  <c r="BJ19" i="28"/>
  <c r="BI19" i="28"/>
  <c r="BH19" i="28"/>
  <c r="BG19" i="28"/>
  <c r="BF19" i="28"/>
  <c r="BE19" i="28"/>
  <c r="BD19" i="28"/>
  <c r="BC19" i="28"/>
  <c r="AY19" i="28"/>
  <c r="AT19" i="28"/>
  <c r="AO19" i="28"/>
  <c r="AN19" i="28"/>
  <c r="T19" i="28"/>
  <c r="R19" i="28"/>
  <c r="BR19" i="28" s="1"/>
  <c r="BN18" i="28"/>
  <c r="BM18" i="28"/>
  <c r="BL18" i="28"/>
  <c r="BK18" i="28"/>
  <c r="BJ18" i="28"/>
  <c r="BI18" i="28"/>
  <c r="BH18" i="28"/>
  <c r="BG18" i="28"/>
  <c r="BF18" i="28"/>
  <c r="BE18" i="28"/>
  <c r="BD18" i="28"/>
  <c r="BC18" i="28"/>
  <c r="AY18" i="28"/>
  <c r="AO18" i="28"/>
  <c r="AN18" i="28"/>
  <c r="T18" i="28"/>
  <c r="R18" i="28"/>
  <c r="BR18" i="28" s="1"/>
  <c r="BN17" i="28"/>
  <c r="BM17" i="28"/>
  <c r="BL17" i="28"/>
  <c r="BK17" i="28"/>
  <c r="BJ17" i="28"/>
  <c r="BI17" i="28"/>
  <c r="BH17" i="28"/>
  <c r="BG17" i="28"/>
  <c r="BF17" i="28"/>
  <c r="BE17" i="28"/>
  <c r="BD17" i="28"/>
  <c r="BC17" i="28"/>
  <c r="AY17" i="28"/>
  <c r="AT17" i="28"/>
  <c r="AO17" i="28"/>
  <c r="AN17" i="28"/>
  <c r="T17" i="28"/>
  <c r="R17" i="28"/>
  <c r="BR17" i="28" s="1"/>
  <c r="BN16" i="28"/>
  <c r="BM16" i="28"/>
  <c r="BL16" i="28"/>
  <c r="BK16" i="28"/>
  <c r="BJ16" i="28"/>
  <c r="BI16" i="28"/>
  <c r="BH16" i="28"/>
  <c r="BG16" i="28"/>
  <c r="BF16" i="28"/>
  <c r="BE16" i="28"/>
  <c r="BD16" i="28"/>
  <c r="BC16" i="28"/>
  <c r="AY16" i="28"/>
  <c r="AO16" i="28"/>
  <c r="AN16" i="28"/>
  <c r="T16" i="28"/>
  <c r="R16" i="28"/>
  <c r="BR16" i="28" s="1"/>
  <c r="BN15" i="28"/>
  <c r="BM15" i="28"/>
  <c r="BL15" i="28"/>
  <c r="BK15" i="28"/>
  <c r="BJ15" i="28"/>
  <c r="BI15" i="28"/>
  <c r="BH15" i="28"/>
  <c r="BG15" i="28"/>
  <c r="BF15" i="28"/>
  <c r="BE15" i="28"/>
  <c r="BD15" i="28"/>
  <c r="BC15" i="28"/>
  <c r="AY15" i="28"/>
  <c r="AO15" i="28"/>
  <c r="AN15" i="28"/>
  <c r="T15" i="28"/>
  <c r="R15" i="28"/>
  <c r="BR15" i="28" s="1"/>
  <c r="BN14" i="28"/>
  <c r="BM14" i="28"/>
  <c r="BL14" i="28"/>
  <c r="BK14" i="28"/>
  <c r="BJ14" i="28"/>
  <c r="BI14" i="28"/>
  <c r="BH14" i="28"/>
  <c r="BG14" i="28"/>
  <c r="BF14" i="28"/>
  <c r="BE14" i="28"/>
  <c r="BD14" i="28"/>
  <c r="BC14" i="28"/>
  <c r="AY14" i="28"/>
  <c r="AT14" i="28"/>
  <c r="AO14" i="28"/>
  <c r="AN14" i="28"/>
  <c r="T14" i="28"/>
  <c r="R14" i="28"/>
  <c r="BR14" i="28" s="1"/>
  <c r="BN13" i="28"/>
  <c r="BM13" i="28"/>
  <c r="BL13" i="28"/>
  <c r="BK13" i="28"/>
  <c r="BJ13" i="28"/>
  <c r="BI13" i="28"/>
  <c r="BH13" i="28"/>
  <c r="BG13" i="28"/>
  <c r="BF13" i="28"/>
  <c r="BE13" i="28"/>
  <c r="BD13" i="28"/>
  <c r="BC13" i="28"/>
  <c r="AY13" i="28"/>
  <c r="AO13" i="28"/>
  <c r="AN13" i="28"/>
  <c r="T13" i="28"/>
  <c r="R13" i="28"/>
  <c r="BR13" i="28" s="1"/>
  <c r="BN12" i="28"/>
  <c r="BM12" i="28"/>
  <c r="BL12" i="28"/>
  <c r="BK12" i="28"/>
  <c r="BJ12" i="28"/>
  <c r="BI12" i="28"/>
  <c r="BH12" i="28"/>
  <c r="BG12" i="28"/>
  <c r="BF12" i="28"/>
  <c r="BE12" i="28"/>
  <c r="BD12" i="28"/>
  <c r="BC12" i="28"/>
  <c r="AY12" i="28"/>
  <c r="AT12" i="28"/>
  <c r="AO12" i="28"/>
  <c r="AN12" i="28"/>
  <c r="T12" i="28"/>
  <c r="R12" i="28"/>
  <c r="BR12" i="28" s="1"/>
  <c r="BN11" i="28"/>
  <c r="BM11" i="28"/>
  <c r="BL11" i="28"/>
  <c r="BK11" i="28"/>
  <c r="BJ11" i="28"/>
  <c r="BI11" i="28"/>
  <c r="BH11" i="28"/>
  <c r="BG11" i="28"/>
  <c r="BF11" i="28"/>
  <c r="BE11" i="28"/>
  <c r="BD11" i="28"/>
  <c r="BC11" i="28"/>
  <c r="AY11" i="28"/>
  <c r="AO11" i="28"/>
  <c r="AN11" i="28"/>
  <c r="T11" i="28"/>
  <c r="R11" i="28"/>
  <c r="BR11" i="28" s="1"/>
  <c r="BN10" i="28"/>
  <c r="BM10" i="28"/>
  <c r="BL10" i="28"/>
  <c r="BK10" i="28"/>
  <c r="BJ10" i="28"/>
  <c r="BI10" i="28"/>
  <c r="BH10" i="28"/>
  <c r="BG10" i="28"/>
  <c r="BF10" i="28"/>
  <c r="BE10" i="28"/>
  <c r="BD10" i="28"/>
  <c r="BC10" i="28"/>
  <c r="AY10" i="28"/>
  <c r="AO10" i="28"/>
  <c r="AN10" i="28"/>
  <c r="T10" i="28"/>
  <c r="R10" i="28"/>
  <c r="BR10" i="28" s="1"/>
  <c r="BN9" i="28"/>
  <c r="BM9" i="28"/>
  <c r="BL9" i="28"/>
  <c r="BK9" i="28"/>
  <c r="BJ9" i="28"/>
  <c r="BI9" i="28"/>
  <c r="BH9" i="28"/>
  <c r="BG9" i="28"/>
  <c r="BF9" i="28"/>
  <c r="BE9" i="28"/>
  <c r="BD9" i="28"/>
  <c r="BC9" i="28"/>
  <c r="AY9" i="28"/>
  <c r="AT9" i="28"/>
  <c r="AO9" i="28"/>
  <c r="AN9" i="28"/>
  <c r="T9" i="28"/>
  <c r="R9" i="28"/>
  <c r="BR9" i="28" s="1"/>
  <c r="BN8" i="28"/>
  <c r="BM8" i="28"/>
  <c r="BL8" i="28"/>
  <c r="BK8" i="28"/>
  <c r="BJ8" i="28"/>
  <c r="BI8" i="28"/>
  <c r="BH8" i="28"/>
  <c r="BG8" i="28"/>
  <c r="BF8" i="28"/>
  <c r="BE8" i="28"/>
  <c r="BD8" i="28"/>
  <c r="BC8" i="28"/>
  <c r="AT8" i="28"/>
  <c r="AO8" i="28"/>
  <c r="AN8" i="28"/>
  <c r="T8" i="28"/>
  <c r="R8" i="28"/>
  <c r="BR8" i="28" s="1"/>
  <c r="BN7" i="28"/>
  <c r="BM7" i="28"/>
  <c r="BL7" i="28"/>
  <c r="BK7" i="28"/>
  <c r="BJ7" i="28"/>
  <c r="BI7" i="28"/>
  <c r="BH7" i="28"/>
  <c r="BG7" i="28"/>
  <c r="BF7" i="28"/>
  <c r="BE7" i="28"/>
  <c r="BD7" i="28"/>
  <c r="BC7" i="28"/>
  <c r="AO7" i="28"/>
  <c r="AN7" i="28"/>
  <c r="T7" i="28"/>
  <c r="R7" i="28"/>
  <c r="BR7" i="28" s="1"/>
  <c r="BN6" i="28"/>
  <c r="BM6" i="28"/>
  <c r="BL6" i="28"/>
  <c r="BK6" i="28"/>
  <c r="BJ6" i="28"/>
  <c r="BI6" i="28"/>
  <c r="BH6" i="28"/>
  <c r="BG6" i="28"/>
  <c r="BF6" i="28"/>
  <c r="BE6" i="28"/>
  <c r="BD6" i="28"/>
  <c r="BC6" i="28"/>
  <c r="AO6" i="28"/>
  <c r="AN6" i="28"/>
  <c r="T6" i="28"/>
  <c r="R6" i="28"/>
  <c r="BR6" i="28" s="1"/>
  <c r="BN5" i="28"/>
  <c r="BM5" i="28"/>
  <c r="BL5" i="28"/>
  <c r="BK5" i="28"/>
  <c r="BJ5" i="28"/>
  <c r="BI5" i="28"/>
  <c r="BH5" i="28"/>
  <c r="BG5" i="28"/>
  <c r="BF5" i="28"/>
  <c r="BE5" i="28"/>
  <c r="BD5" i="28"/>
  <c r="BC5" i="28"/>
  <c r="AO5" i="28"/>
  <c r="AN5" i="28"/>
  <c r="T5" i="28"/>
  <c r="R5" i="28"/>
  <c r="BR5" i="28" s="1"/>
  <c r="J167" i="22"/>
  <c r="K167" i="22"/>
  <c r="L167" i="22"/>
  <c r="M167" i="22"/>
  <c r="N167" i="22"/>
  <c r="J168" i="22"/>
  <c r="K168" i="22"/>
  <c r="L168" i="22"/>
  <c r="M168" i="22"/>
  <c r="N168" i="22"/>
  <c r="J169" i="22"/>
  <c r="K169" i="22"/>
  <c r="L169" i="22"/>
  <c r="M169" i="22"/>
  <c r="N169" i="22"/>
  <c r="J170" i="22"/>
  <c r="K170" i="22"/>
  <c r="L170" i="22"/>
  <c r="M170" i="22"/>
  <c r="N170" i="22"/>
  <c r="J171" i="22"/>
  <c r="K171" i="22"/>
  <c r="L171" i="22"/>
  <c r="M171" i="22"/>
  <c r="N171" i="22"/>
  <c r="J172" i="22"/>
  <c r="K172" i="22"/>
  <c r="L172" i="22"/>
  <c r="M172" i="22"/>
  <c r="N172" i="22"/>
  <c r="J173" i="22"/>
  <c r="K173" i="22"/>
  <c r="L173" i="22"/>
  <c r="M173" i="22"/>
  <c r="N173" i="22"/>
  <c r="J174" i="22"/>
  <c r="K174" i="22"/>
  <c r="L174" i="22"/>
  <c r="M174" i="22"/>
  <c r="N174" i="22"/>
  <c r="J175" i="22"/>
  <c r="K175" i="22"/>
  <c r="L175" i="22"/>
  <c r="M175" i="22"/>
  <c r="N175" i="22"/>
  <c r="J176" i="22"/>
  <c r="K176" i="22"/>
  <c r="L176" i="22"/>
  <c r="M176" i="22"/>
  <c r="N176" i="22"/>
  <c r="J107" i="22"/>
  <c r="K107" i="22"/>
  <c r="L107" i="22"/>
  <c r="M107" i="22"/>
  <c r="N107" i="22"/>
  <c r="J108" i="22"/>
  <c r="K108" i="22"/>
  <c r="L108" i="22"/>
  <c r="M108" i="22"/>
  <c r="N108" i="22"/>
  <c r="J109" i="22"/>
  <c r="K109" i="22"/>
  <c r="L109" i="22"/>
  <c r="M109" i="22"/>
  <c r="N109" i="22"/>
  <c r="J110" i="22"/>
  <c r="K110" i="22"/>
  <c r="L110" i="22"/>
  <c r="M110" i="22"/>
  <c r="N110" i="22"/>
  <c r="J111" i="22"/>
  <c r="K111" i="22"/>
  <c r="L111" i="22"/>
  <c r="M111" i="22"/>
  <c r="N111" i="22"/>
  <c r="J112" i="22"/>
  <c r="K112" i="22"/>
  <c r="L112" i="22"/>
  <c r="M112" i="22"/>
  <c r="N112" i="22"/>
  <c r="J113" i="22"/>
  <c r="K113" i="22"/>
  <c r="L113" i="22"/>
  <c r="M113" i="22"/>
  <c r="N113" i="22"/>
  <c r="J114" i="22"/>
  <c r="K114" i="22"/>
  <c r="L114" i="22"/>
  <c r="M114" i="22"/>
  <c r="N114" i="22"/>
  <c r="J115" i="22"/>
  <c r="K115" i="22"/>
  <c r="L115" i="22"/>
  <c r="M115" i="22"/>
  <c r="N115" i="22"/>
  <c r="J116" i="22"/>
  <c r="K116" i="22"/>
  <c r="L116" i="22"/>
  <c r="M116" i="22"/>
  <c r="N116" i="22"/>
  <c r="J117" i="22"/>
  <c r="K117" i="22"/>
  <c r="L117" i="22"/>
  <c r="M117" i="22"/>
  <c r="N117" i="22"/>
  <c r="J118" i="22"/>
  <c r="K118" i="22"/>
  <c r="L118" i="22"/>
  <c r="M118" i="22"/>
  <c r="N118" i="22"/>
  <c r="J119" i="22"/>
  <c r="K119" i="22"/>
  <c r="L119" i="22"/>
  <c r="M119" i="22"/>
  <c r="N119" i="22"/>
  <c r="J120" i="22"/>
  <c r="K120" i="22"/>
  <c r="L120" i="22"/>
  <c r="M120" i="22"/>
  <c r="N120" i="22"/>
  <c r="J121" i="22"/>
  <c r="K121" i="22"/>
  <c r="L121" i="22"/>
  <c r="M121" i="22"/>
  <c r="N121" i="22"/>
  <c r="J122" i="22"/>
  <c r="K122" i="22"/>
  <c r="L122" i="22"/>
  <c r="M122" i="22"/>
  <c r="N122" i="22"/>
  <c r="J123" i="22"/>
  <c r="K123" i="22"/>
  <c r="L123" i="22"/>
  <c r="M123" i="22"/>
  <c r="N123" i="22"/>
  <c r="J124" i="22"/>
  <c r="K124" i="22"/>
  <c r="L124" i="22"/>
  <c r="M124" i="22"/>
  <c r="N124" i="22"/>
  <c r="J125" i="22"/>
  <c r="K125" i="22"/>
  <c r="L125" i="22"/>
  <c r="M125" i="22"/>
  <c r="N125" i="22"/>
  <c r="J126" i="22"/>
  <c r="K126" i="22"/>
  <c r="L126" i="22"/>
  <c r="M126" i="22"/>
  <c r="N126" i="22"/>
  <c r="J127" i="22"/>
  <c r="K127" i="22"/>
  <c r="L127" i="22"/>
  <c r="M127" i="22"/>
  <c r="N127" i="22"/>
  <c r="J128" i="22"/>
  <c r="K128" i="22"/>
  <c r="L128" i="22"/>
  <c r="M128" i="22"/>
  <c r="N128" i="22"/>
  <c r="J129" i="22"/>
  <c r="K129" i="22"/>
  <c r="L129" i="22"/>
  <c r="M129" i="22"/>
  <c r="N129" i="22"/>
  <c r="J130" i="22"/>
  <c r="K130" i="22"/>
  <c r="L130" i="22"/>
  <c r="M130" i="22"/>
  <c r="N130" i="22"/>
  <c r="J131" i="22"/>
  <c r="K131" i="22"/>
  <c r="L131" i="22"/>
  <c r="M131" i="22"/>
  <c r="N131" i="22"/>
  <c r="J132" i="22"/>
  <c r="K132" i="22"/>
  <c r="L132" i="22"/>
  <c r="M132" i="22"/>
  <c r="N132" i="22"/>
  <c r="J133" i="22"/>
  <c r="K133" i="22"/>
  <c r="L133" i="22"/>
  <c r="M133" i="22"/>
  <c r="N133" i="22"/>
  <c r="J134" i="22"/>
  <c r="K134" i="22"/>
  <c r="L134" i="22"/>
  <c r="M134" i="22"/>
  <c r="N134" i="22"/>
  <c r="J135" i="22"/>
  <c r="K135" i="22"/>
  <c r="L135" i="22"/>
  <c r="M135" i="22"/>
  <c r="N135" i="22"/>
  <c r="J136" i="22"/>
  <c r="K136" i="22"/>
  <c r="L136" i="22"/>
  <c r="M136" i="22"/>
  <c r="N136" i="22"/>
  <c r="J137" i="22"/>
  <c r="K137" i="22"/>
  <c r="L137" i="22"/>
  <c r="M137" i="22"/>
  <c r="N137" i="22"/>
  <c r="J138" i="22"/>
  <c r="K138" i="22"/>
  <c r="L138" i="22"/>
  <c r="M138" i="22"/>
  <c r="N138" i="22"/>
  <c r="J139" i="22"/>
  <c r="K139" i="22"/>
  <c r="L139" i="22"/>
  <c r="M139" i="22"/>
  <c r="N139" i="22"/>
  <c r="J140" i="22"/>
  <c r="K140" i="22"/>
  <c r="L140" i="22"/>
  <c r="M140" i="22"/>
  <c r="N140" i="22"/>
  <c r="J141" i="22"/>
  <c r="K141" i="22"/>
  <c r="L141" i="22"/>
  <c r="M141" i="22"/>
  <c r="N141" i="22"/>
  <c r="J142" i="22"/>
  <c r="K142" i="22"/>
  <c r="L142" i="22"/>
  <c r="M142" i="22"/>
  <c r="N142" i="22"/>
  <c r="J143" i="22"/>
  <c r="K143" i="22"/>
  <c r="L143" i="22"/>
  <c r="M143" i="22"/>
  <c r="N143" i="22"/>
  <c r="J144" i="22"/>
  <c r="K144" i="22"/>
  <c r="L144" i="22"/>
  <c r="M144" i="22"/>
  <c r="N144" i="22"/>
  <c r="J145" i="22"/>
  <c r="K145" i="22"/>
  <c r="L145" i="22"/>
  <c r="M145" i="22"/>
  <c r="N145" i="22"/>
  <c r="J146" i="22"/>
  <c r="K146" i="22"/>
  <c r="L146" i="22"/>
  <c r="M146" i="22"/>
  <c r="N146" i="22"/>
  <c r="J147" i="22"/>
  <c r="K147" i="22"/>
  <c r="L147" i="22"/>
  <c r="M147" i="22"/>
  <c r="N147" i="22"/>
  <c r="J148" i="22"/>
  <c r="K148" i="22"/>
  <c r="L148" i="22"/>
  <c r="M148" i="22"/>
  <c r="N148" i="22"/>
  <c r="J149" i="22"/>
  <c r="K149" i="22"/>
  <c r="L149" i="22"/>
  <c r="M149" i="22"/>
  <c r="N149" i="22"/>
  <c r="J150" i="22"/>
  <c r="K150" i="22"/>
  <c r="L150" i="22"/>
  <c r="M150" i="22"/>
  <c r="N150" i="22"/>
  <c r="J151" i="22"/>
  <c r="K151" i="22"/>
  <c r="L151" i="22"/>
  <c r="M151" i="22"/>
  <c r="N151" i="22"/>
  <c r="J152" i="22"/>
  <c r="K152" i="22"/>
  <c r="L152" i="22"/>
  <c r="M152" i="22"/>
  <c r="N152" i="22"/>
  <c r="J153" i="22"/>
  <c r="K153" i="22"/>
  <c r="L153" i="22"/>
  <c r="M153" i="22"/>
  <c r="N153" i="22"/>
  <c r="J154" i="22"/>
  <c r="K154" i="22"/>
  <c r="L154" i="22"/>
  <c r="M154" i="22"/>
  <c r="N154" i="22"/>
  <c r="J155" i="22"/>
  <c r="K155" i="22"/>
  <c r="L155" i="22"/>
  <c r="M155" i="22"/>
  <c r="N155" i="22"/>
  <c r="J156" i="22"/>
  <c r="K156" i="22"/>
  <c r="L156" i="22"/>
  <c r="M156" i="22"/>
  <c r="N156" i="22"/>
  <c r="J157" i="22"/>
  <c r="K157" i="22"/>
  <c r="L157" i="22"/>
  <c r="M157" i="22"/>
  <c r="N157" i="22"/>
  <c r="J158" i="22"/>
  <c r="K158" i="22"/>
  <c r="L158" i="22"/>
  <c r="M158" i="22"/>
  <c r="N158" i="22"/>
  <c r="J159" i="22"/>
  <c r="K159" i="22"/>
  <c r="L159" i="22"/>
  <c r="M159" i="22"/>
  <c r="N159" i="22"/>
  <c r="J160" i="22"/>
  <c r="K160" i="22"/>
  <c r="L160" i="22"/>
  <c r="M160" i="22"/>
  <c r="N160" i="22"/>
  <c r="J161" i="22"/>
  <c r="K161" i="22"/>
  <c r="L161" i="22"/>
  <c r="M161" i="22"/>
  <c r="N161" i="22"/>
  <c r="J162" i="22"/>
  <c r="K162" i="22"/>
  <c r="L162" i="22"/>
  <c r="M162" i="22"/>
  <c r="N162" i="22"/>
  <c r="J163" i="22"/>
  <c r="K163" i="22"/>
  <c r="L163" i="22"/>
  <c r="M163" i="22"/>
  <c r="N163" i="22"/>
  <c r="J164" i="22"/>
  <c r="K164" i="22"/>
  <c r="L164" i="22"/>
  <c r="M164" i="22"/>
  <c r="N164" i="22"/>
  <c r="J165" i="22"/>
  <c r="K165" i="22"/>
  <c r="L165" i="22"/>
  <c r="M165" i="22"/>
  <c r="N165" i="22"/>
  <c r="J166" i="22"/>
  <c r="K166" i="22"/>
  <c r="L166" i="22"/>
  <c r="M166" i="22"/>
  <c r="N166" i="22"/>
  <c r="J101" i="22"/>
  <c r="K101" i="22"/>
  <c r="L101" i="22"/>
  <c r="M101" i="22"/>
  <c r="N101" i="22"/>
  <c r="J102" i="22"/>
  <c r="K102" i="22"/>
  <c r="L102" i="22"/>
  <c r="M102" i="22"/>
  <c r="N102" i="22"/>
  <c r="J103" i="22"/>
  <c r="K103" i="22"/>
  <c r="L103" i="22"/>
  <c r="M103" i="22"/>
  <c r="N103" i="22"/>
  <c r="J104" i="22"/>
  <c r="K104" i="22"/>
  <c r="L104" i="22"/>
  <c r="M104" i="22"/>
  <c r="N104" i="22"/>
  <c r="J105" i="22"/>
  <c r="K105" i="22"/>
  <c r="L105" i="22"/>
  <c r="M105" i="22"/>
  <c r="N105" i="22"/>
  <c r="J106" i="22"/>
  <c r="K106" i="22"/>
  <c r="L106" i="22"/>
  <c r="M106" i="22"/>
  <c r="N106" i="22"/>
  <c r="J58" i="22"/>
  <c r="K58" i="22"/>
  <c r="L58" i="22"/>
  <c r="M58" i="22"/>
  <c r="N58" i="22"/>
  <c r="J59" i="22"/>
  <c r="K59" i="22"/>
  <c r="L59" i="22"/>
  <c r="M59" i="22"/>
  <c r="N59" i="22"/>
  <c r="J60" i="22"/>
  <c r="K60" i="22"/>
  <c r="L60" i="22"/>
  <c r="M60" i="22"/>
  <c r="N60" i="22"/>
  <c r="J61" i="22"/>
  <c r="K61" i="22"/>
  <c r="L61" i="22"/>
  <c r="M61" i="22"/>
  <c r="N61" i="22"/>
  <c r="J62" i="22"/>
  <c r="K62" i="22"/>
  <c r="L62" i="22"/>
  <c r="M62" i="22"/>
  <c r="N62" i="22"/>
  <c r="J63" i="22"/>
  <c r="K63" i="22"/>
  <c r="L63" i="22"/>
  <c r="M63" i="22"/>
  <c r="N63" i="22"/>
  <c r="J64" i="22"/>
  <c r="K64" i="22"/>
  <c r="L64" i="22"/>
  <c r="M64" i="22"/>
  <c r="N64" i="22"/>
  <c r="J65" i="22"/>
  <c r="K65" i="22"/>
  <c r="L65" i="22"/>
  <c r="M65" i="22"/>
  <c r="N65" i="22"/>
  <c r="J66" i="22"/>
  <c r="K66" i="22"/>
  <c r="L66" i="22"/>
  <c r="M66" i="22"/>
  <c r="N66" i="22"/>
  <c r="J67" i="22"/>
  <c r="K67" i="22"/>
  <c r="L67" i="22"/>
  <c r="M67" i="22"/>
  <c r="N67" i="22"/>
  <c r="J68" i="22"/>
  <c r="K68" i="22"/>
  <c r="L68" i="22"/>
  <c r="M68" i="22"/>
  <c r="N68" i="22"/>
  <c r="J69" i="22"/>
  <c r="K69" i="22"/>
  <c r="L69" i="22"/>
  <c r="M69" i="22"/>
  <c r="N69" i="22"/>
  <c r="J70" i="22"/>
  <c r="K70" i="22"/>
  <c r="L70" i="22"/>
  <c r="M70" i="22"/>
  <c r="N70" i="22"/>
  <c r="J71" i="22"/>
  <c r="K71" i="22"/>
  <c r="L71" i="22"/>
  <c r="M71" i="22"/>
  <c r="N71" i="22"/>
  <c r="J72" i="22"/>
  <c r="K72" i="22"/>
  <c r="L72" i="22"/>
  <c r="M72" i="22"/>
  <c r="N72" i="22"/>
  <c r="J73" i="22"/>
  <c r="K73" i="22"/>
  <c r="L73" i="22"/>
  <c r="M73" i="22"/>
  <c r="N73" i="22"/>
  <c r="J74" i="22"/>
  <c r="K74" i="22"/>
  <c r="L74" i="22"/>
  <c r="M74" i="22"/>
  <c r="N74" i="22"/>
  <c r="J75" i="22"/>
  <c r="K75" i="22"/>
  <c r="L75" i="22"/>
  <c r="M75" i="22"/>
  <c r="N75" i="22"/>
  <c r="J76" i="22"/>
  <c r="K76" i="22"/>
  <c r="L76" i="22"/>
  <c r="M76" i="22"/>
  <c r="N76" i="22"/>
  <c r="J77" i="22"/>
  <c r="K77" i="22"/>
  <c r="L77" i="22"/>
  <c r="M77" i="22"/>
  <c r="N77" i="22"/>
  <c r="J78" i="22"/>
  <c r="K78" i="22"/>
  <c r="L78" i="22"/>
  <c r="M78" i="22"/>
  <c r="N78" i="22"/>
  <c r="J79" i="22"/>
  <c r="K79" i="22"/>
  <c r="L79" i="22"/>
  <c r="M79" i="22"/>
  <c r="N79" i="22"/>
  <c r="J80" i="22"/>
  <c r="K80" i="22"/>
  <c r="L80" i="22"/>
  <c r="M80" i="22"/>
  <c r="N80" i="22"/>
  <c r="J81" i="22"/>
  <c r="K81" i="22"/>
  <c r="L81" i="22"/>
  <c r="M81" i="22"/>
  <c r="N81" i="22"/>
  <c r="J82" i="22"/>
  <c r="K82" i="22"/>
  <c r="L82" i="22"/>
  <c r="M82" i="22"/>
  <c r="N82" i="22"/>
  <c r="J83" i="22"/>
  <c r="K83" i="22"/>
  <c r="L83" i="22"/>
  <c r="M83" i="22"/>
  <c r="N83" i="22"/>
  <c r="J84" i="22"/>
  <c r="K84" i="22"/>
  <c r="L84" i="22"/>
  <c r="M84" i="22"/>
  <c r="N84" i="22"/>
  <c r="J85" i="22"/>
  <c r="K85" i="22"/>
  <c r="L85" i="22"/>
  <c r="M85" i="22"/>
  <c r="N85" i="22"/>
  <c r="J86" i="22"/>
  <c r="K86" i="22"/>
  <c r="L86" i="22"/>
  <c r="M86" i="22"/>
  <c r="N86" i="22"/>
  <c r="J87" i="22"/>
  <c r="K87" i="22"/>
  <c r="L87" i="22"/>
  <c r="M87" i="22"/>
  <c r="N87" i="22"/>
  <c r="J88" i="22"/>
  <c r="K88" i="22"/>
  <c r="L88" i="22"/>
  <c r="M88" i="22"/>
  <c r="N88" i="22"/>
  <c r="J89" i="22"/>
  <c r="K89" i="22"/>
  <c r="L89" i="22"/>
  <c r="M89" i="22"/>
  <c r="N89" i="22"/>
  <c r="J90" i="22"/>
  <c r="K90" i="22"/>
  <c r="L90" i="22"/>
  <c r="M90" i="22"/>
  <c r="N90" i="22"/>
  <c r="J91" i="22"/>
  <c r="K91" i="22"/>
  <c r="L91" i="22"/>
  <c r="M91" i="22"/>
  <c r="N91" i="22"/>
  <c r="J92" i="22"/>
  <c r="K92" i="22"/>
  <c r="L92" i="22"/>
  <c r="M92" i="22"/>
  <c r="N92" i="22"/>
  <c r="J93" i="22"/>
  <c r="K93" i="22"/>
  <c r="L93" i="22"/>
  <c r="M93" i="22"/>
  <c r="N93" i="22"/>
  <c r="J94" i="22"/>
  <c r="K94" i="22"/>
  <c r="L94" i="22"/>
  <c r="M94" i="22"/>
  <c r="N94" i="22"/>
  <c r="J95" i="22"/>
  <c r="K95" i="22"/>
  <c r="L95" i="22"/>
  <c r="M95" i="22"/>
  <c r="N95" i="22"/>
  <c r="J96" i="22"/>
  <c r="K96" i="22"/>
  <c r="L96" i="22"/>
  <c r="M96" i="22"/>
  <c r="N96" i="22"/>
  <c r="J97" i="22"/>
  <c r="K97" i="22"/>
  <c r="L97" i="22"/>
  <c r="M97" i="22"/>
  <c r="N97" i="22"/>
  <c r="J98" i="22"/>
  <c r="K98" i="22"/>
  <c r="L98" i="22"/>
  <c r="M98" i="22"/>
  <c r="N98" i="22"/>
  <c r="J99" i="22"/>
  <c r="K99" i="22"/>
  <c r="L99" i="22"/>
  <c r="M99" i="22"/>
  <c r="N99" i="22"/>
  <c r="J100" i="22"/>
  <c r="K100" i="22"/>
  <c r="L100" i="22"/>
  <c r="M100" i="22"/>
  <c r="N100" i="22"/>
  <c r="J48" i="22"/>
  <c r="K48" i="22"/>
  <c r="L48" i="22"/>
  <c r="M48" i="22"/>
  <c r="N48" i="22"/>
  <c r="J49" i="22"/>
  <c r="K49" i="22"/>
  <c r="L49" i="22"/>
  <c r="M49" i="22"/>
  <c r="N49" i="22"/>
  <c r="J50" i="22"/>
  <c r="K50" i="22"/>
  <c r="L50" i="22"/>
  <c r="M50" i="22"/>
  <c r="N50" i="22"/>
  <c r="J51" i="22"/>
  <c r="K51" i="22"/>
  <c r="L51" i="22"/>
  <c r="M51" i="22"/>
  <c r="N51" i="22"/>
  <c r="J52" i="22"/>
  <c r="K52" i="22"/>
  <c r="L52" i="22"/>
  <c r="M52" i="22"/>
  <c r="N52" i="22"/>
  <c r="J53" i="22"/>
  <c r="K53" i="22"/>
  <c r="L53" i="22"/>
  <c r="M53" i="22"/>
  <c r="N53" i="22"/>
  <c r="J54" i="22"/>
  <c r="K54" i="22"/>
  <c r="L54" i="22"/>
  <c r="M54" i="22"/>
  <c r="N54" i="22"/>
  <c r="J55" i="22"/>
  <c r="K55" i="22"/>
  <c r="L55" i="22"/>
  <c r="M55" i="22"/>
  <c r="N55" i="22"/>
  <c r="J56" i="22"/>
  <c r="K56" i="22"/>
  <c r="L56" i="22"/>
  <c r="M56" i="22"/>
  <c r="N56" i="22"/>
  <c r="J57" i="22"/>
  <c r="K57" i="22"/>
  <c r="L57" i="22"/>
  <c r="M57" i="22"/>
  <c r="N57" i="22"/>
  <c r="AC5" i="7"/>
  <c r="AC6" i="7"/>
  <c r="CY6" i="7" s="1"/>
  <c r="AC7" i="7"/>
  <c r="CY7" i="7" s="1"/>
  <c r="AC8" i="7"/>
  <c r="CY8" i="7" s="1"/>
  <c r="AC9" i="7"/>
  <c r="AC10" i="7"/>
  <c r="AC11" i="7"/>
  <c r="AC12" i="7"/>
  <c r="CY12" i="7" s="1"/>
  <c r="AC13" i="7"/>
  <c r="CY13" i="7" s="1"/>
  <c r="CY14" i="7"/>
  <c r="AC15" i="7"/>
  <c r="AC16" i="7"/>
  <c r="CY16" i="7" s="1"/>
  <c r="AC17" i="7"/>
  <c r="CY17" i="7" s="1"/>
  <c r="AC18" i="7"/>
  <c r="CY18" i="7" s="1"/>
  <c r="AC19" i="7"/>
  <c r="CY19" i="7" s="1"/>
  <c r="AC20" i="7"/>
  <c r="CY20" i="7" s="1"/>
  <c r="AC21" i="7"/>
  <c r="CY21" i="7" s="1"/>
  <c r="AC22" i="7"/>
  <c r="AC23" i="7"/>
  <c r="N65" i="19" s="1"/>
  <c r="AC24" i="7"/>
  <c r="CY24" i="7" s="1"/>
  <c r="AC25" i="7"/>
  <c r="CY25" i="7" s="1"/>
  <c r="AC26" i="7"/>
  <c r="CY26" i="7" s="1"/>
  <c r="AC27" i="7"/>
  <c r="AC28" i="7"/>
  <c r="CY28" i="7" s="1"/>
  <c r="AC29" i="7"/>
  <c r="CY29" i="7" s="1"/>
  <c r="AC30" i="7"/>
  <c r="AC31" i="7"/>
  <c r="AC32" i="7"/>
  <c r="CY32" i="7" s="1"/>
  <c r="AC33" i="7"/>
  <c r="AC34" i="7"/>
  <c r="CY34" i="7" s="1"/>
  <c r="AC35" i="7"/>
  <c r="AC36" i="7"/>
  <c r="O344" i="14" s="1"/>
  <c r="AC37" i="7"/>
  <c r="CY37" i="7" s="1"/>
  <c r="AC38" i="7"/>
  <c r="AC39" i="7"/>
  <c r="CY39" i="7" s="1"/>
  <c r="AC40" i="7"/>
  <c r="CY40" i="7" s="1"/>
  <c r="AC41" i="7"/>
  <c r="CY41" i="7" s="1"/>
  <c r="AC42" i="7"/>
  <c r="CY42" i="7" s="1"/>
  <c r="AC43" i="7"/>
  <c r="AC44" i="7"/>
  <c r="CY44" i="7" s="1"/>
  <c r="AC45" i="7"/>
  <c r="CY45" i="7" s="1"/>
  <c r="AC46" i="7"/>
  <c r="CY46" i="7" s="1"/>
  <c r="AC47" i="7"/>
  <c r="AC48" i="7"/>
  <c r="CY48" i="7" s="1"/>
  <c r="AC49" i="7"/>
  <c r="CY49" i="7" s="1"/>
  <c r="AC50" i="7"/>
  <c r="CY50" i="7" s="1"/>
  <c r="AC51" i="7"/>
  <c r="CY51" i="7" s="1"/>
  <c r="AC52" i="7"/>
  <c r="CY52" i="7" s="1"/>
  <c r="AC53" i="7"/>
  <c r="CY53" i="7" s="1"/>
  <c r="AC54" i="7"/>
  <c r="AC55" i="7"/>
  <c r="CY55" i="7" s="1"/>
  <c r="AC56" i="7"/>
  <c r="AC57" i="7"/>
  <c r="AC58" i="7"/>
  <c r="CY58" i="7" s="1"/>
  <c r="AC59" i="7"/>
  <c r="CY59" i="7" s="1"/>
  <c r="AC60" i="7"/>
  <c r="CY60" i="7" s="1"/>
  <c r="AC61" i="7"/>
  <c r="CY61" i="7" s="1"/>
  <c r="AC62" i="7"/>
  <c r="AC63" i="7"/>
  <c r="N68" i="19" s="1"/>
  <c r="AC64" i="7"/>
  <c r="AC65" i="7"/>
  <c r="AC66" i="7"/>
  <c r="CY66" i="7" s="1"/>
  <c r="AC67" i="7"/>
  <c r="CY67" i="7" s="1"/>
  <c r="AC68" i="7"/>
  <c r="CY68" i="7" s="1"/>
  <c r="AC69" i="7"/>
  <c r="AC70" i="7"/>
  <c r="AC71" i="7"/>
  <c r="CY71" i="7" s="1"/>
  <c r="AC72" i="7"/>
  <c r="CY72" i="7" s="1"/>
  <c r="AC73" i="7"/>
  <c r="AC74" i="7"/>
  <c r="CY74" i="7" s="1"/>
  <c r="AC75" i="7"/>
  <c r="CY75" i="7" s="1"/>
  <c r="AC76" i="7"/>
  <c r="AC77" i="7"/>
  <c r="AC78" i="7"/>
  <c r="AC79" i="7"/>
  <c r="AC80" i="7"/>
  <c r="CY80" i="7" s="1"/>
  <c r="AC81" i="7"/>
  <c r="CY81" i="7" s="1"/>
  <c r="AC82" i="7"/>
  <c r="O335" i="14" s="1"/>
  <c r="AC83" i="7"/>
  <c r="CY83" i="7" s="1"/>
  <c r="AC84" i="7"/>
  <c r="CY84" i="7" s="1"/>
  <c r="AC85" i="7"/>
  <c r="CY85" i="7" s="1"/>
  <c r="AC86" i="7"/>
  <c r="CY86" i="7" s="1"/>
  <c r="AC87" i="7"/>
  <c r="CY87" i="7" s="1"/>
  <c r="AC88" i="7"/>
  <c r="AC89" i="7"/>
  <c r="CY89" i="7" s="1"/>
  <c r="AC90" i="7"/>
  <c r="CY90" i="7" s="1"/>
  <c r="AC91" i="7"/>
  <c r="CY91" i="7" s="1"/>
  <c r="AC92" i="7"/>
  <c r="AC93" i="7"/>
  <c r="CY93" i="7" s="1"/>
  <c r="AC94" i="7"/>
  <c r="CY94" i="7" s="1"/>
  <c r="AC95" i="7"/>
  <c r="CY95" i="7" s="1"/>
  <c r="AC96" i="7"/>
  <c r="CY96" i="7" s="1"/>
  <c r="AC97" i="7"/>
  <c r="CY97" i="7" s="1"/>
  <c r="AC98" i="7"/>
  <c r="CY98" i="7" s="1"/>
  <c r="AC99" i="7"/>
  <c r="CY99" i="7" s="1"/>
  <c r="AC100" i="7"/>
  <c r="CY100" i="7" s="1"/>
  <c r="AC101" i="7"/>
  <c r="CY101" i="7" s="1"/>
  <c r="AC102" i="7"/>
  <c r="CY102" i="7" s="1"/>
  <c r="AC103" i="7"/>
  <c r="CY103" i="7" s="1"/>
  <c r="AC104" i="7"/>
  <c r="CY104" i="7" s="1"/>
  <c r="AC105" i="7"/>
  <c r="CY105" i="7" s="1"/>
  <c r="AC106" i="7"/>
  <c r="CY106" i="7" s="1"/>
  <c r="AC107" i="7"/>
  <c r="AC108" i="7"/>
  <c r="CY108" i="7" s="1"/>
  <c r="AC109" i="7"/>
  <c r="CY109" i="7" s="1"/>
  <c r="AC110" i="7"/>
  <c r="CY110" i="7" s="1"/>
  <c r="AC111" i="7"/>
  <c r="AC112" i="7"/>
  <c r="AC113" i="7"/>
  <c r="CY113" i="7" s="1"/>
  <c r="AC114" i="7"/>
  <c r="CY114" i="7" s="1"/>
  <c r="AC115" i="7"/>
  <c r="CY115" i="7" s="1"/>
  <c r="J6" i="22"/>
  <c r="K6" i="22"/>
  <c r="L6" i="22"/>
  <c r="M6" i="22"/>
  <c r="N6" i="22"/>
  <c r="J7" i="22"/>
  <c r="K7" i="22"/>
  <c r="L7" i="22"/>
  <c r="M7" i="22"/>
  <c r="N7" i="22"/>
  <c r="J8" i="22"/>
  <c r="K8" i="22"/>
  <c r="L8" i="22"/>
  <c r="M8" i="22"/>
  <c r="N8" i="22"/>
  <c r="J9" i="22"/>
  <c r="K9" i="22"/>
  <c r="L9" i="22"/>
  <c r="M9" i="22"/>
  <c r="N9" i="22"/>
  <c r="J10" i="22"/>
  <c r="K10" i="22"/>
  <c r="L10" i="22"/>
  <c r="M10" i="22"/>
  <c r="N10" i="22"/>
  <c r="J11" i="22"/>
  <c r="K11" i="22"/>
  <c r="L11" i="22"/>
  <c r="M11" i="22"/>
  <c r="N11" i="22"/>
  <c r="J12" i="22"/>
  <c r="K12" i="22"/>
  <c r="L12" i="22"/>
  <c r="M12" i="22"/>
  <c r="N12" i="22"/>
  <c r="J13" i="22"/>
  <c r="K13" i="22"/>
  <c r="L13" i="22"/>
  <c r="M13" i="22"/>
  <c r="N13" i="22"/>
  <c r="J14" i="22"/>
  <c r="K14" i="22"/>
  <c r="L14" i="22"/>
  <c r="M14" i="22"/>
  <c r="N14" i="22"/>
  <c r="J15" i="22"/>
  <c r="K15" i="22"/>
  <c r="L15" i="22"/>
  <c r="M15" i="22"/>
  <c r="N15" i="22"/>
  <c r="J16" i="22"/>
  <c r="K16" i="22"/>
  <c r="L16" i="22"/>
  <c r="M16" i="22"/>
  <c r="N16" i="22"/>
  <c r="J17" i="22"/>
  <c r="K17" i="22"/>
  <c r="L17" i="22"/>
  <c r="M17" i="22"/>
  <c r="N17" i="22"/>
  <c r="J18" i="22"/>
  <c r="K18" i="22"/>
  <c r="L18" i="22"/>
  <c r="M18" i="22"/>
  <c r="N18" i="22"/>
  <c r="J19" i="22"/>
  <c r="K19" i="22"/>
  <c r="L19" i="22"/>
  <c r="M19" i="22"/>
  <c r="N19" i="22"/>
  <c r="J20" i="22"/>
  <c r="K20" i="22"/>
  <c r="L20" i="22"/>
  <c r="M20" i="22"/>
  <c r="N20" i="22"/>
  <c r="J21" i="22"/>
  <c r="K21" i="22"/>
  <c r="L21" i="22"/>
  <c r="M21" i="22"/>
  <c r="N21" i="22"/>
  <c r="J22" i="22"/>
  <c r="K22" i="22"/>
  <c r="L22" i="22"/>
  <c r="M22" i="22"/>
  <c r="N22" i="22"/>
  <c r="J23" i="22"/>
  <c r="K23" i="22"/>
  <c r="L23" i="22"/>
  <c r="M23" i="22"/>
  <c r="N23" i="22"/>
  <c r="J24" i="22"/>
  <c r="K24" i="22"/>
  <c r="L24" i="22"/>
  <c r="M24" i="22"/>
  <c r="N24" i="22"/>
  <c r="J25" i="22"/>
  <c r="K25" i="22"/>
  <c r="L25" i="22"/>
  <c r="M25" i="22"/>
  <c r="N25" i="22"/>
  <c r="J26" i="22"/>
  <c r="K26" i="22"/>
  <c r="L26" i="22"/>
  <c r="M26" i="22"/>
  <c r="N26" i="22"/>
  <c r="J27" i="22"/>
  <c r="K27" i="22"/>
  <c r="L27" i="22"/>
  <c r="M27" i="22"/>
  <c r="N27" i="22"/>
  <c r="J28" i="22"/>
  <c r="K28" i="22"/>
  <c r="L28" i="22"/>
  <c r="M28" i="22"/>
  <c r="N28" i="22"/>
  <c r="J29" i="22"/>
  <c r="K29" i="22"/>
  <c r="L29" i="22"/>
  <c r="M29" i="22"/>
  <c r="N29" i="22"/>
  <c r="J30" i="22"/>
  <c r="K30" i="22"/>
  <c r="L30" i="22"/>
  <c r="M30" i="22"/>
  <c r="N30" i="22"/>
  <c r="J31" i="22"/>
  <c r="K31" i="22"/>
  <c r="L31" i="22"/>
  <c r="M31" i="22"/>
  <c r="N31" i="22"/>
  <c r="J32" i="22"/>
  <c r="K32" i="22"/>
  <c r="L32" i="22"/>
  <c r="M32" i="22"/>
  <c r="N32" i="22"/>
  <c r="J33" i="22"/>
  <c r="K33" i="22"/>
  <c r="L33" i="22"/>
  <c r="M33" i="22"/>
  <c r="N33" i="22"/>
  <c r="J34" i="22"/>
  <c r="K34" i="22"/>
  <c r="L34" i="22"/>
  <c r="M34" i="22"/>
  <c r="N34" i="22"/>
  <c r="J35" i="22"/>
  <c r="K35" i="22"/>
  <c r="L35" i="22"/>
  <c r="M35" i="22"/>
  <c r="N35" i="22"/>
  <c r="J36" i="22"/>
  <c r="K36" i="22"/>
  <c r="L36" i="22"/>
  <c r="M36" i="22"/>
  <c r="N36" i="22"/>
  <c r="J37" i="22"/>
  <c r="K37" i="22"/>
  <c r="L37" i="22"/>
  <c r="M37" i="22"/>
  <c r="N37" i="22"/>
  <c r="J38" i="22"/>
  <c r="K38" i="22"/>
  <c r="L38" i="22"/>
  <c r="M38" i="22"/>
  <c r="N38" i="22"/>
  <c r="J39" i="22"/>
  <c r="K39" i="22"/>
  <c r="L39" i="22"/>
  <c r="M39" i="22"/>
  <c r="N39" i="22"/>
  <c r="J40" i="22"/>
  <c r="K40" i="22"/>
  <c r="L40" i="22"/>
  <c r="M40" i="22"/>
  <c r="N40" i="22"/>
  <c r="J41" i="22"/>
  <c r="K41" i="22"/>
  <c r="L41" i="22"/>
  <c r="M41" i="22"/>
  <c r="N41" i="22"/>
  <c r="J42" i="22"/>
  <c r="K42" i="22"/>
  <c r="L42" i="22"/>
  <c r="M42" i="22"/>
  <c r="N42" i="22"/>
  <c r="J43" i="22"/>
  <c r="K43" i="22"/>
  <c r="L43" i="22"/>
  <c r="M43" i="22"/>
  <c r="N43" i="22"/>
  <c r="J44" i="22"/>
  <c r="K44" i="22"/>
  <c r="L44" i="22"/>
  <c r="M44" i="22"/>
  <c r="N44" i="22"/>
  <c r="J45" i="22"/>
  <c r="K45" i="22"/>
  <c r="L45" i="22"/>
  <c r="M45" i="22"/>
  <c r="N45" i="22"/>
  <c r="J46" i="22"/>
  <c r="K46" i="22"/>
  <c r="L46" i="22"/>
  <c r="M46" i="22"/>
  <c r="N46" i="22"/>
  <c r="J47" i="22"/>
  <c r="K47" i="22"/>
  <c r="L47" i="22"/>
  <c r="M47" i="22"/>
  <c r="N47" i="22"/>
  <c r="BI5" i="7"/>
  <c r="BI6" i="7"/>
  <c r="BI7" i="7"/>
  <c r="BI8" i="7"/>
  <c r="BI9" i="7"/>
  <c r="BI10" i="7"/>
  <c r="BI11" i="7"/>
  <c r="BI12" i="7"/>
  <c r="BI13" i="7"/>
  <c r="BI14" i="7"/>
  <c r="BI15" i="7"/>
  <c r="BI16" i="7"/>
  <c r="BI17" i="7"/>
  <c r="BI18" i="7"/>
  <c r="BI19" i="7"/>
  <c r="BI20" i="7"/>
  <c r="BI21" i="7"/>
  <c r="BI22" i="7"/>
  <c r="BI23" i="7"/>
  <c r="AH65" i="19" s="1"/>
  <c r="AJ65" i="19" s="1"/>
  <c r="BI24" i="7"/>
  <c r="BI25" i="7"/>
  <c r="BI26" i="7"/>
  <c r="BI27" i="7"/>
  <c r="BI28" i="7"/>
  <c r="BI29" i="7"/>
  <c r="BI30" i="7"/>
  <c r="BI34" i="7"/>
  <c r="BI35" i="7"/>
  <c r="BI36" i="7"/>
  <c r="BI37" i="7"/>
  <c r="BI42" i="7"/>
  <c r="BI43" i="7"/>
  <c r="BI46" i="7"/>
  <c r="BI47" i="7"/>
  <c r="BI48" i="7"/>
  <c r="BI49" i="7"/>
  <c r="BI50" i="7"/>
  <c r="BI51" i="7"/>
  <c r="BI52" i="7"/>
  <c r="BI53" i="7"/>
  <c r="BI54" i="7"/>
  <c r="AH46" i="19" s="1"/>
  <c r="AJ46" i="19" s="1"/>
  <c r="BI55" i="7"/>
  <c r="BI56" i="7"/>
  <c r="BI57" i="7"/>
  <c r="BI58" i="7"/>
  <c r="BI59" i="7"/>
  <c r="BI60" i="7"/>
  <c r="BI61" i="7"/>
  <c r="BI62" i="7"/>
  <c r="BI63" i="7"/>
  <c r="AH68" i="19" s="1"/>
  <c r="AJ68" i="19" s="1"/>
  <c r="BI64" i="7"/>
  <c r="BI65" i="7"/>
  <c r="BI66" i="7"/>
  <c r="BI67" i="7"/>
  <c r="BI68" i="7"/>
  <c r="BI69" i="7"/>
  <c r="BI70" i="7"/>
  <c r="BI71" i="7"/>
  <c r="BI72" i="7"/>
  <c r="BI73" i="7"/>
  <c r="BI74" i="7"/>
  <c r="BI75" i="7"/>
  <c r="BI76" i="7"/>
  <c r="BI77" i="7"/>
  <c r="BI78" i="7"/>
  <c r="BI79" i="7"/>
  <c r="BI80" i="7"/>
  <c r="BI81" i="7"/>
  <c r="BI82" i="7"/>
  <c r="BI83" i="7"/>
  <c r="BI84" i="7"/>
  <c r="BI85" i="7"/>
  <c r="BI86" i="7"/>
  <c r="BI87" i="7"/>
  <c r="BI88" i="7"/>
  <c r="BI89" i="7"/>
  <c r="BI90" i="7"/>
  <c r="BI91" i="7"/>
  <c r="BI92" i="7"/>
  <c r="BI93" i="7"/>
  <c r="BI94" i="7"/>
  <c r="BI95" i="7"/>
  <c r="AH47" i="19" s="1"/>
  <c r="AJ47" i="19" s="1"/>
  <c r="BI96" i="7"/>
  <c r="BI97" i="7"/>
  <c r="BI98" i="7"/>
  <c r="BI99" i="7"/>
  <c r="BI100" i="7"/>
  <c r="BI101" i="7"/>
  <c r="BI102" i="7"/>
  <c r="BI103" i="7"/>
  <c r="BI104" i="7"/>
  <c r="BI105" i="7"/>
  <c r="BI106" i="7"/>
  <c r="BI107" i="7"/>
  <c r="BI108" i="7"/>
  <c r="BI109" i="7"/>
  <c r="BI110" i="7"/>
  <c r="BI111" i="7"/>
  <c r="BI112" i="7"/>
  <c r="BI113" i="7"/>
  <c r="BI114" i="7"/>
  <c r="BI115" i="7"/>
  <c r="V165" i="18"/>
  <c r="V164" i="18"/>
  <c r="V163" i="18"/>
  <c r="V162" i="18"/>
  <c r="V161" i="18"/>
  <c r="V160" i="18"/>
  <c r="Z102" i="28"/>
  <c r="BE720" i="28"/>
  <c r="BE723" i="28"/>
  <c r="BE154" i="28"/>
  <c r="Z168" i="28"/>
  <c r="Z12" i="28"/>
  <c r="Z519" i="28"/>
  <c r="Z339" i="28"/>
  <c r="Z255" i="28"/>
  <c r="Z195" i="28"/>
  <c r="Z111" i="28"/>
  <c r="Z51" i="28"/>
  <c r="Z234" i="28"/>
  <c r="Z222" i="28"/>
  <c r="Z210" i="28"/>
  <c r="Z198" i="28"/>
  <c r="Z186" i="28"/>
  <c r="Z174" i="28"/>
  <c r="Z150" i="28"/>
  <c r="Z126" i="28"/>
  <c r="Z114" i="28"/>
  <c r="Z90" i="28"/>
  <c r="Z78" i="28"/>
  <c r="Z66" i="28"/>
  <c r="Z54" i="28"/>
  <c r="Z42" i="28"/>
  <c r="Z30" i="28"/>
  <c r="Z18" i="28"/>
  <c r="Z374" i="28"/>
  <c r="Z362" i="28"/>
  <c r="Z350" i="28"/>
  <c r="Z338" i="28"/>
  <c r="Z326" i="28"/>
  <c r="Z314" i="28"/>
  <c r="Z302" i="28"/>
  <c r="Z290" i="28"/>
  <c r="Z278" i="28"/>
  <c r="Z266" i="28"/>
  <c r="Z254" i="28"/>
  <c r="Z242" i="28"/>
  <c r="Z230" i="28"/>
  <c r="Z218" i="28"/>
  <c r="Z206" i="28"/>
  <c r="Z194" i="28"/>
  <c r="Z182" i="28"/>
  <c r="Z170" i="28"/>
  <c r="Z122" i="28"/>
  <c r="Z86" i="28"/>
  <c r="Z74" i="28"/>
  <c r="Z62" i="28"/>
  <c r="Z50" i="28"/>
  <c r="Z38" i="28"/>
  <c r="Z26" i="28"/>
  <c r="Z14" i="28"/>
  <c r="Z43" i="28"/>
  <c r="Z157" i="28"/>
  <c r="Z133" i="28"/>
  <c r="Z109" i="28"/>
  <c r="Z97" i="28"/>
  <c r="Z73" i="28"/>
  <c r="Z61" i="28"/>
  <c r="Z49" i="28"/>
  <c r="Z37" i="28"/>
  <c r="Z25" i="28"/>
  <c r="Z618" i="28"/>
  <c r="Z594" i="28"/>
  <c r="Z582" i="28"/>
  <c r="Z570" i="28"/>
  <c r="Z558" i="28"/>
  <c r="Z534" i="28"/>
  <c r="Z522" i="28"/>
  <c r="Z510" i="28"/>
  <c r="Z414" i="28"/>
  <c r="Z402" i="28"/>
  <c r="Z390" i="28"/>
  <c r="Z378" i="28"/>
  <c r="Z366" i="28"/>
  <c r="Z354" i="28"/>
  <c r="Z342" i="28"/>
  <c r="Z330" i="28"/>
  <c r="Z318" i="28"/>
  <c r="Z306" i="28"/>
  <c r="Z294" i="28"/>
  <c r="Z282" i="28"/>
  <c r="Z270" i="28"/>
  <c r="Z258" i="28"/>
  <c r="Z368" i="28"/>
  <c r="Z248" i="28"/>
  <c r="Z236" i="28"/>
  <c r="Z188" i="28"/>
  <c r="Z176" i="28"/>
  <c r="Z152" i="28"/>
  <c r="Z140" i="28"/>
  <c r="Z116" i="28"/>
  <c r="Z92" i="28"/>
  <c r="Z80" i="28"/>
  <c r="Z68" i="28"/>
  <c r="Z56" i="28"/>
  <c r="Z44" i="28"/>
  <c r="Z32" i="28"/>
  <c r="Z20" i="28"/>
  <c r="Z295" i="28"/>
  <c r="Z151" i="28"/>
  <c r="Z115" i="28"/>
  <c r="Z91" i="28"/>
  <c r="Z55" i="28"/>
  <c r="Z369" i="28"/>
  <c r="Z81" i="28"/>
  <c r="Z69" i="28"/>
  <c r="Z557" i="28"/>
  <c r="Z101" i="28"/>
  <c r="Z782" i="28"/>
  <c r="Z770" i="28"/>
  <c r="Z758" i="28"/>
  <c r="Z746" i="28"/>
  <c r="Z710" i="28"/>
  <c r="Z698" i="28"/>
  <c r="Z686" i="28"/>
  <c r="Z674" i="28"/>
  <c r="Z662" i="28"/>
  <c r="Z650" i="28"/>
  <c r="Z638" i="28"/>
  <c r="Z626" i="28"/>
  <c r="Z614" i="28"/>
  <c r="Z602" i="28"/>
  <c r="Z590" i="28"/>
  <c r="Z578" i="28"/>
  <c r="Z554" i="28"/>
  <c r="Z530" i="28"/>
  <c r="Z518" i="28"/>
  <c r="Z506" i="28"/>
  <c r="Z410" i="28"/>
  <c r="Z386" i="28"/>
  <c r="Z508" i="28"/>
  <c r="Z232" i="28"/>
  <c r="Z88" i="28"/>
  <c r="Z517" i="28"/>
  <c r="DG166" i="18"/>
  <c r="DF166" i="18"/>
  <c r="DE166" i="18"/>
  <c r="DD166" i="18"/>
  <c r="DC166" i="18"/>
  <c r="DB166" i="18"/>
  <c r="DA166" i="18"/>
  <c r="CZ166" i="18"/>
  <c r="CY166" i="18"/>
  <c r="CW166" i="18"/>
  <c r="CO166" i="18"/>
  <c r="CG166" i="18"/>
  <c r="BY166" i="18"/>
  <c r="DH166" i="18" s="1"/>
  <c r="BQ166" i="18"/>
  <c r="BI166" i="18"/>
  <c r="BA166" i="18"/>
  <c r="AS166" i="18"/>
  <c r="AK166" i="18"/>
  <c r="AJ166" i="18"/>
  <c r="AC166" i="18"/>
  <c r="DG165" i="18"/>
  <c r="DF165" i="18"/>
  <c r="DE165" i="18"/>
  <c r="DD165" i="18"/>
  <c r="DC165" i="18"/>
  <c r="DB165" i="18"/>
  <c r="DA165" i="18"/>
  <c r="CZ165" i="18"/>
  <c r="CY165" i="18"/>
  <c r="CW165" i="18"/>
  <c r="CO165" i="18"/>
  <c r="CG165" i="18"/>
  <c r="BY165" i="18"/>
  <c r="DH165" i="18" s="1"/>
  <c r="BQ165" i="18"/>
  <c r="BI165" i="18"/>
  <c r="BA165" i="18"/>
  <c r="AS165" i="18"/>
  <c r="AK165" i="18"/>
  <c r="AJ165" i="18"/>
  <c r="AC165" i="18"/>
  <c r="DG164" i="18"/>
  <c r="DF164" i="18"/>
  <c r="DE164" i="18"/>
  <c r="DD164" i="18"/>
  <c r="DC164" i="18"/>
  <c r="DB164" i="18"/>
  <c r="DA164" i="18"/>
  <c r="CZ164" i="18"/>
  <c r="CY164" i="18"/>
  <c r="CW164" i="18"/>
  <c r="CO164" i="18"/>
  <c r="CG164" i="18"/>
  <c r="BY164" i="18"/>
  <c r="DH164" i="18" s="1"/>
  <c r="BQ164" i="18"/>
  <c r="BI164" i="18"/>
  <c r="BA164" i="18"/>
  <c r="AS164" i="18"/>
  <c r="AK164" i="18"/>
  <c r="AJ164" i="18"/>
  <c r="R164" i="18" s="1"/>
  <c r="AC164" i="18"/>
  <c r="DG163" i="18"/>
  <c r="DF163" i="18"/>
  <c r="DE163" i="18"/>
  <c r="DD163" i="18"/>
  <c r="DC163" i="18"/>
  <c r="DB163" i="18"/>
  <c r="DA163" i="18"/>
  <c r="CZ163" i="18"/>
  <c r="CY163" i="18"/>
  <c r="CW163" i="18"/>
  <c r="CO163" i="18"/>
  <c r="CG163" i="18"/>
  <c r="BY163" i="18"/>
  <c r="DH163" i="18" s="1"/>
  <c r="BQ163" i="18"/>
  <c r="BI163" i="18"/>
  <c r="BA163" i="18"/>
  <c r="AS163" i="18"/>
  <c r="AK163" i="18"/>
  <c r="AJ163" i="18"/>
  <c r="R163" i="18" s="1"/>
  <c r="AC163" i="18"/>
  <c r="DG162" i="18"/>
  <c r="DF162" i="18"/>
  <c r="DE162" i="18"/>
  <c r="DD162" i="18"/>
  <c r="DC162" i="18"/>
  <c r="DB162" i="18"/>
  <c r="DA162" i="18"/>
  <c r="CZ162" i="18"/>
  <c r="CY162" i="18"/>
  <c r="CW162" i="18"/>
  <c r="CO162" i="18"/>
  <c r="CG162" i="18"/>
  <c r="BY162" i="18"/>
  <c r="DH162" i="18" s="1"/>
  <c r="BQ162" i="18"/>
  <c r="BI162" i="18"/>
  <c r="BA162" i="18"/>
  <c r="AS162" i="18"/>
  <c r="AK162" i="18"/>
  <c r="AJ162" i="18"/>
  <c r="R162" i="18" s="1"/>
  <c r="AC162" i="18"/>
  <c r="DG161" i="18"/>
  <c r="DF161" i="18"/>
  <c r="DE161" i="18"/>
  <c r="DD161" i="18"/>
  <c r="DC161" i="18"/>
  <c r="DB161" i="18"/>
  <c r="DA161" i="18"/>
  <c r="CZ161" i="18"/>
  <c r="CY161" i="18"/>
  <c r="CW161" i="18"/>
  <c r="CO161" i="18"/>
  <c r="CG161" i="18"/>
  <c r="BY161" i="18"/>
  <c r="DH161" i="18" s="1"/>
  <c r="BQ161" i="18"/>
  <c r="BI161" i="18"/>
  <c r="BA161" i="18"/>
  <c r="AS161" i="18"/>
  <c r="AK161" i="18"/>
  <c r="AJ161" i="18"/>
  <c r="AC161" i="18"/>
  <c r="AU158" i="14"/>
  <c r="AU159" i="14"/>
  <c r="AU160" i="14"/>
  <c r="AU161" i="14"/>
  <c r="AU162" i="14"/>
  <c r="AU163" i="14"/>
  <c r="AU164" i="14"/>
  <c r="AU165" i="14"/>
  <c r="AU166" i="14"/>
  <c r="AU167" i="14"/>
  <c r="AU168" i="14"/>
  <c r="AU169" i="14"/>
  <c r="DG160" i="18"/>
  <c r="DF160" i="18"/>
  <c r="DE160" i="18"/>
  <c r="DD160" i="18"/>
  <c r="DC160" i="18"/>
  <c r="DB160" i="18"/>
  <c r="DA160" i="18"/>
  <c r="CZ160" i="18"/>
  <c r="CY160" i="18"/>
  <c r="CW160" i="18"/>
  <c r="CO160" i="18"/>
  <c r="CG160" i="18"/>
  <c r="BY160" i="18"/>
  <c r="DH160" i="18" s="1"/>
  <c r="BQ160" i="18"/>
  <c r="BI160" i="18"/>
  <c r="BA160" i="18"/>
  <c r="AS160" i="18"/>
  <c r="AK160" i="18"/>
  <c r="AJ160" i="18"/>
  <c r="R160" i="18" s="1"/>
  <c r="AC160" i="18"/>
  <c r="AC154" i="18"/>
  <c r="AC153" i="18"/>
  <c r="AC152" i="18"/>
  <c r="BG169" i="14"/>
  <c r="BB169" i="14"/>
  <c r="BG168" i="14"/>
  <c r="BB168" i="14"/>
  <c r="BG167" i="14"/>
  <c r="BB167" i="14"/>
  <c r="BG166" i="14"/>
  <c r="BB166" i="14"/>
  <c r="BG165" i="14"/>
  <c r="BB165" i="14"/>
  <c r="BG164" i="14"/>
  <c r="BB164" i="14"/>
  <c r="BG163" i="14"/>
  <c r="BB163" i="14"/>
  <c r="BG162" i="14"/>
  <c r="BB162" i="14"/>
  <c r="BG161" i="14"/>
  <c r="BB161" i="14"/>
  <c r="BG160" i="14"/>
  <c r="BB160" i="14"/>
  <c r="BG159" i="14"/>
  <c r="BB159" i="14"/>
  <c r="BG158" i="14"/>
  <c r="BB158" i="14"/>
  <c r="BH115" i="7"/>
  <c r="BH114" i="7"/>
  <c r="BH113" i="7"/>
  <c r="BH112" i="7"/>
  <c r="BH111" i="7"/>
  <c r="BH110" i="7"/>
  <c r="BH109" i="7"/>
  <c r="BH108" i="7"/>
  <c r="BH107" i="7"/>
  <c r="BH106" i="7"/>
  <c r="BH105" i="7"/>
  <c r="BH104" i="7"/>
  <c r="BH103" i="7"/>
  <c r="DG159" i="18"/>
  <c r="DF159" i="18"/>
  <c r="DE159" i="18"/>
  <c r="DD159" i="18"/>
  <c r="DC159" i="18"/>
  <c r="DB159" i="18"/>
  <c r="DA159" i="18"/>
  <c r="CZ159" i="18"/>
  <c r="CY159" i="18"/>
  <c r="CW159" i="18"/>
  <c r="CO159" i="18"/>
  <c r="CG159" i="18"/>
  <c r="BY159" i="18"/>
  <c r="DH159" i="18" s="1"/>
  <c r="BQ159" i="18"/>
  <c r="BI159" i="18"/>
  <c r="BA159" i="18"/>
  <c r="AS159" i="18"/>
  <c r="AK159" i="18"/>
  <c r="AJ159" i="18"/>
  <c r="R159" i="18" s="1"/>
  <c r="AC159" i="18"/>
  <c r="V159" i="18"/>
  <c r="DG158" i="18"/>
  <c r="DF158" i="18"/>
  <c r="DE158" i="18"/>
  <c r="DD158" i="18"/>
  <c r="DC158" i="18"/>
  <c r="DB158" i="18"/>
  <c r="DA158" i="18"/>
  <c r="CZ158" i="18"/>
  <c r="CY158" i="18"/>
  <c r="CW158" i="18"/>
  <c r="CO158" i="18"/>
  <c r="CG158" i="18"/>
  <c r="BY158" i="18"/>
  <c r="DH158" i="18" s="1"/>
  <c r="BQ158" i="18"/>
  <c r="BI158" i="18"/>
  <c r="BA158" i="18"/>
  <c r="AS158" i="18"/>
  <c r="AK158" i="18"/>
  <c r="AC158" i="18"/>
  <c r="V158" i="18"/>
  <c r="DG157" i="18"/>
  <c r="DF157" i="18"/>
  <c r="DE157" i="18"/>
  <c r="DD157" i="18"/>
  <c r="DC157" i="18"/>
  <c r="DB157" i="18"/>
  <c r="DA157" i="18"/>
  <c r="CZ157" i="18"/>
  <c r="CY157" i="18"/>
  <c r="CW157" i="18"/>
  <c r="CO157" i="18"/>
  <c r="CG157" i="18"/>
  <c r="BY157" i="18"/>
  <c r="DH157" i="18" s="1"/>
  <c r="BQ157" i="18"/>
  <c r="BI157" i="18"/>
  <c r="BA157" i="18"/>
  <c r="AS157" i="18"/>
  <c r="AK157" i="18"/>
  <c r="AC157" i="18"/>
  <c r="V157" i="18"/>
  <c r="DG156" i="18"/>
  <c r="DF156" i="18"/>
  <c r="DE156" i="18"/>
  <c r="DD156" i="18"/>
  <c r="DC156" i="18"/>
  <c r="DB156" i="18"/>
  <c r="DA156" i="18"/>
  <c r="CZ156" i="18"/>
  <c r="CY156" i="18"/>
  <c r="CW156" i="18"/>
  <c r="CO156" i="18"/>
  <c r="CG156" i="18"/>
  <c r="BY156" i="18"/>
  <c r="DH156" i="18" s="1"/>
  <c r="BQ156" i="18"/>
  <c r="BI156" i="18"/>
  <c r="BA156" i="18"/>
  <c r="AS156" i="18"/>
  <c r="AK156" i="18"/>
  <c r="AC156" i="18"/>
  <c r="V156" i="18"/>
  <c r="DG155" i="18"/>
  <c r="DF155" i="18"/>
  <c r="DE155" i="18"/>
  <c r="DD155" i="18"/>
  <c r="DC155" i="18"/>
  <c r="DB155" i="18"/>
  <c r="DA155" i="18"/>
  <c r="CZ155" i="18"/>
  <c r="CY155" i="18"/>
  <c r="CW155" i="18"/>
  <c r="CO155" i="18"/>
  <c r="CG155" i="18"/>
  <c r="BY155" i="18"/>
  <c r="DH155" i="18" s="1"/>
  <c r="BQ155" i="18"/>
  <c r="BI155" i="18"/>
  <c r="BA155" i="18"/>
  <c r="AS155" i="18"/>
  <c r="AK155" i="18"/>
  <c r="AJ155" i="18"/>
  <c r="R155" i="18" s="1"/>
  <c r="AC155" i="18"/>
  <c r="V155" i="18"/>
  <c r="DG154" i="18"/>
  <c r="DF154" i="18"/>
  <c r="DE154" i="18"/>
  <c r="DD154" i="18"/>
  <c r="DC154" i="18"/>
  <c r="DB154" i="18"/>
  <c r="DA154" i="18"/>
  <c r="CZ154" i="18"/>
  <c r="CY154" i="18"/>
  <c r="CW154" i="18"/>
  <c r="CO154" i="18"/>
  <c r="CG154" i="18"/>
  <c r="BY154" i="18"/>
  <c r="DH154" i="18" s="1"/>
  <c r="BQ154" i="18"/>
  <c r="BI154" i="18"/>
  <c r="BA154" i="18"/>
  <c r="AS154" i="18"/>
  <c r="AK154" i="18"/>
  <c r="V154" i="18"/>
  <c r="DG153" i="18"/>
  <c r="DF153" i="18"/>
  <c r="DE153" i="18"/>
  <c r="DD153" i="18"/>
  <c r="DC153" i="18"/>
  <c r="DB153" i="18"/>
  <c r="DA153" i="18"/>
  <c r="CZ153" i="18"/>
  <c r="CY153" i="18"/>
  <c r="CW153" i="18"/>
  <c r="CO153" i="18"/>
  <c r="CG153" i="18"/>
  <c r="BY153" i="18"/>
  <c r="DH153" i="18" s="1"/>
  <c r="BQ153" i="18"/>
  <c r="BI153" i="18"/>
  <c r="BA153" i="18"/>
  <c r="AS153" i="18"/>
  <c r="AK153" i="18"/>
  <c r="V153" i="18"/>
  <c r="DG152" i="18"/>
  <c r="DF152" i="18"/>
  <c r="DE152" i="18"/>
  <c r="DD152" i="18"/>
  <c r="DC152" i="18"/>
  <c r="DB152" i="18"/>
  <c r="DA152" i="18"/>
  <c r="CZ152" i="18"/>
  <c r="CY152" i="18"/>
  <c r="CW152" i="18"/>
  <c r="CO152" i="18"/>
  <c r="CG152" i="18"/>
  <c r="BY152" i="18"/>
  <c r="DH152" i="18" s="1"/>
  <c r="BQ152" i="18"/>
  <c r="BI152" i="18"/>
  <c r="BA152" i="18"/>
  <c r="AS152" i="18"/>
  <c r="AK152" i="18"/>
  <c r="V152" i="18"/>
  <c r="DG151" i="18"/>
  <c r="DF151" i="18"/>
  <c r="DE151" i="18"/>
  <c r="DD151" i="18"/>
  <c r="DC151" i="18"/>
  <c r="DB151" i="18"/>
  <c r="DA151" i="18"/>
  <c r="CZ151" i="18"/>
  <c r="CY151" i="18"/>
  <c r="CW151" i="18"/>
  <c r="CO151" i="18"/>
  <c r="CG151" i="18"/>
  <c r="BY151" i="18"/>
  <c r="DH151" i="18" s="1"/>
  <c r="BQ151" i="18"/>
  <c r="BI151" i="18"/>
  <c r="BA151" i="18"/>
  <c r="AS151" i="18"/>
  <c r="AK151" i="18"/>
  <c r="AJ151" i="18"/>
  <c r="R151" i="18" s="1"/>
  <c r="AC151" i="18"/>
  <c r="V151" i="18"/>
  <c r="DG150" i="18"/>
  <c r="DF150" i="18"/>
  <c r="DE150" i="18"/>
  <c r="DD150" i="18"/>
  <c r="DC150" i="18"/>
  <c r="DB150" i="18"/>
  <c r="DA150" i="18"/>
  <c r="CZ150" i="18"/>
  <c r="CY150" i="18"/>
  <c r="CW150" i="18"/>
  <c r="CO150" i="18"/>
  <c r="CG150" i="18"/>
  <c r="BY150" i="18"/>
  <c r="DH150" i="18" s="1"/>
  <c r="BQ150" i="18"/>
  <c r="BI150" i="18"/>
  <c r="BA150" i="18"/>
  <c r="AS150" i="18"/>
  <c r="AK150" i="18"/>
  <c r="AJ150" i="18"/>
  <c r="R150" i="18" s="1"/>
  <c r="AC150" i="18"/>
  <c r="V150" i="18"/>
  <c r="DG149" i="18"/>
  <c r="DF149" i="18"/>
  <c r="DE149" i="18"/>
  <c r="DD149" i="18"/>
  <c r="DC149" i="18"/>
  <c r="DB149" i="18"/>
  <c r="DA149" i="18"/>
  <c r="CZ149" i="18"/>
  <c r="CY149" i="18"/>
  <c r="CW149" i="18"/>
  <c r="CO149" i="18"/>
  <c r="CG149" i="18"/>
  <c r="BY149" i="18"/>
  <c r="DH149" i="18" s="1"/>
  <c r="BQ149" i="18"/>
  <c r="BI149" i="18"/>
  <c r="BA149" i="18"/>
  <c r="AS149" i="18"/>
  <c r="AK149" i="18"/>
  <c r="AC149" i="18"/>
  <c r="V149" i="18"/>
  <c r="DG148" i="18"/>
  <c r="DF148" i="18"/>
  <c r="DE148" i="18"/>
  <c r="DD148" i="18"/>
  <c r="DC148" i="18"/>
  <c r="DB148" i="18"/>
  <c r="DA148" i="18"/>
  <c r="CZ148" i="18"/>
  <c r="CY148" i="18"/>
  <c r="CW148" i="18"/>
  <c r="CO148" i="18"/>
  <c r="CG148" i="18"/>
  <c r="BY148" i="18"/>
  <c r="DH148" i="18" s="1"/>
  <c r="BQ148" i="18"/>
  <c r="BI148" i="18"/>
  <c r="BA148" i="18"/>
  <c r="AS148" i="18"/>
  <c r="AK148" i="18"/>
  <c r="AJ148" i="18"/>
  <c r="R148" i="18" s="1"/>
  <c r="AC148" i="18"/>
  <c r="V148" i="18"/>
  <c r="DG147" i="18"/>
  <c r="DF147" i="18"/>
  <c r="DE147" i="18"/>
  <c r="DD147" i="18"/>
  <c r="DC147" i="18"/>
  <c r="DB147" i="18"/>
  <c r="DA147" i="18"/>
  <c r="CZ147" i="18"/>
  <c r="CY147" i="18"/>
  <c r="CW147" i="18"/>
  <c r="CO147" i="18"/>
  <c r="CG147" i="18"/>
  <c r="BY147" i="18"/>
  <c r="DH147" i="18" s="1"/>
  <c r="BQ147" i="18"/>
  <c r="BI147" i="18"/>
  <c r="BA147" i="18"/>
  <c r="AS147" i="18"/>
  <c r="AK147" i="18"/>
  <c r="AJ147" i="18"/>
  <c r="R147" i="18" s="1"/>
  <c r="AC147" i="18"/>
  <c r="V147" i="18"/>
  <c r="DG146" i="18"/>
  <c r="DF146" i="18"/>
  <c r="DE146" i="18"/>
  <c r="DD146" i="18"/>
  <c r="DC146" i="18"/>
  <c r="DB146" i="18"/>
  <c r="DA146" i="18"/>
  <c r="CZ146" i="18"/>
  <c r="CY146" i="18"/>
  <c r="CW146" i="18"/>
  <c r="CO146" i="18"/>
  <c r="CG146" i="18"/>
  <c r="BY146" i="18"/>
  <c r="DH146" i="18" s="1"/>
  <c r="BQ146" i="18"/>
  <c r="BI146" i="18"/>
  <c r="BA146" i="18"/>
  <c r="AS146" i="18"/>
  <c r="AK146" i="18"/>
  <c r="AC146" i="18"/>
  <c r="V146" i="18"/>
  <c r="DG145" i="18"/>
  <c r="DF145" i="18"/>
  <c r="DE145" i="18"/>
  <c r="DD145" i="18"/>
  <c r="DC145" i="18"/>
  <c r="DB145" i="18"/>
  <c r="DA145" i="18"/>
  <c r="CZ145" i="18"/>
  <c r="CY145" i="18"/>
  <c r="CW145" i="18"/>
  <c r="CO145" i="18"/>
  <c r="CG145" i="18"/>
  <c r="BY145" i="18"/>
  <c r="DH145" i="18" s="1"/>
  <c r="BQ145" i="18"/>
  <c r="BI145" i="18"/>
  <c r="BA145" i="18"/>
  <c r="AS145" i="18"/>
  <c r="AK145" i="18"/>
  <c r="AC145" i="18"/>
  <c r="V145" i="18"/>
  <c r="AF2" i="26"/>
  <c r="AQ81" i="18"/>
  <c r="AQ78" i="18"/>
  <c r="R78" i="18" s="1"/>
  <c r="AQ71" i="18"/>
  <c r="R71" i="18" s="1"/>
  <c r="AK69" i="18"/>
  <c r="AK70" i="18"/>
  <c r="AK71" i="18"/>
  <c r="AK72" i="18"/>
  <c r="AK73" i="18"/>
  <c r="AK74" i="18"/>
  <c r="AK75" i="18"/>
  <c r="AK76" i="18"/>
  <c r="AK77" i="18"/>
  <c r="AK78" i="18"/>
  <c r="AK79" i="18"/>
  <c r="AK80" i="18"/>
  <c r="AK81" i="18"/>
  <c r="AK82" i="18"/>
  <c r="AK83" i="18"/>
  <c r="AK84" i="18"/>
  <c r="AK85" i="18"/>
  <c r="AK86" i="18"/>
  <c r="AK87" i="18"/>
  <c r="AK88" i="18"/>
  <c r="AK89" i="18"/>
  <c r="AK90" i="18"/>
  <c r="AK91" i="18"/>
  <c r="AK92" i="18"/>
  <c r="AK93" i="18"/>
  <c r="AK94" i="18"/>
  <c r="AK95" i="18"/>
  <c r="AK96" i="18"/>
  <c r="AK97" i="18"/>
  <c r="AK98" i="18"/>
  <c r="AK99" i="18"/>
  <c r="AK100" i="18"/>
  <c r="AK101" i="18"/>
  <c r="AK102" i="18"/>
  <c r="AK103" i="18"/>
  <c r="AK104" i="18"/>
  <c r="AK105" i="18"/>
  <c r="AK106" i="18"/>
  <c r="AK107" i="18"/>
  <c r="AK108" i="18"/>
  <c r="AK109" i="18"/>
  <c r="AK110" i="18"/>
  <c r="DG144" i="18"/>
  <c r="DF144" i="18"/>
  <c r="DE144" i="18"/>
  <c r="DD144" i="18"/>
  <c r="DC144" i="18"/>
  <c r="DB144" i="18"/>
  <c r="DA144" i="18"/>
  <c r="CZ144" i="18"/>
  <c r="CY144" i="18"/>
  <c r="CW144" i="18"/>
  <c r="CO144" i="18"/>
  <c r="CG144" i="18"/>
  <c r="BY144" i="18"/>
  <c r="DH144" i="18" s="1"/>
  <c r="BQ144" i="18"/>
  <c r="BI144" i="18"/>
  <c r="BA144" i="18"/>
  <c r="AS144" i="18"/>
  <c r="AK144" i="18"/>
  <c r="AC144" i="18"/>
  <c r="V144" i="18"/>
  <c r="DG143" i="18"/>
  <c r="DF143" i="18"/>
  <c r="DE143" i="18"/>
  <c r="DD143" i="18"/>
  <c r="DC143" i="18"/>
  <c r="DB143" i="18"/>
  <c r="DA143" i="18"/>
  <c r="CZ143" i="18"/>
  <c r="CY143" i="18"/>
  <c r="CW143" i="18"/>
  <c r="CO143" i="18"/>
  <c r="CG143" i="18"/>
  <c r="BY143" i="18"/>
  <c r="DH143" i="18" s="1"/>
  <c r="BQ143" i="18"/>
  <c r="BI143" i="18"/>
  <c r="BA143" i="18"/>
  <c r="AS143" i="18"/>
  <c r="AK143" i="18"/>
  <c r="AJ143" i="18"/>
  <c r="R143" i="18" s="1"/>
  <c r="AC143" i="18"/>
  <c r="V143" i="18"/>
  <c r="BG157" i="14"/>
  <c r="AU157" i="14"/>
  <c r="BG156" i="14"/>
  <c r="AU156" i="14"/>
  <c r="BG155" i="14"/>
  <c r="AU155" i="14"/>
  <c r="BG154" i="14"/>
  <c r="AU154" i="14"/>
  <c r="BG153" i="14"/>
  <c r="AU153" i="14"/>
  <c r="BG152" i="14"/>
  <c r="AU152" i="14"/>
  <c r="BG151" i="14"/>
  <c r="AU151" i="14"/>
  <c r="BG150" i="14"/>
  <c r="AU150" i="14"/>
  <c r="BG149" i="14"/>
  <c r="AU149" i="14"/>
  <c r="BG148" i="14"/>
  <c r="AU148" i="14"/>
  <c r="BG147" i="14"/>
  <c r="AU147" i="14"/>
  <c r="BG146" i="14"/>
  <c r="AU146" i="14"/>
  <c r="BG145" i="14"/>
  <c r="AU145" i="14"/>
  <c r="BG144" i="14"/>
  <c r="AU144" i="14"/>
  <c r="BG143" i="14"/>
  <c r="AU143" i="14"/>
  <c r="BG142" i="14"/>
  <c r="AU142" i="14"/>
  <c r="BG141" i="14"/>
  <c r="AU141" i="14"/>
  <c r="BG140" i="14"/>
  <c r="AU140" i="14"/>
  <c r="J5" i="22"/>
  <c r="BD99" i="28"/>
  <c r="BD100" i="28"/>
  <c r="BD568" i="28"/>
  <c r="K5" i="22"/>
  <c r="L5" i="22"/>
  <c r="M5" i="22"/>
  <c r="N5" i="22"/>
  <c r="DG142" i="18"/>
  <c r="DF142" i="18"/>
  <c r="DE142" i="18"/>
  <c r="DD142" i="18"/>
  <c r="DC142" i="18"/>
  <c r="DB142" i="18"/>
  <c r="DA142" i="18"/>
  <c r="CZ142" i="18"/>
  <c r="CY142" i="18"/>
  <c r="CW142" i="18"/>
  <c r="CO142" i="18"/>
  <c r="CG142" i="18"/>
  <c r="BY142" i="18"/>
  <c r="DH142" i="18" s="1"/>
  <c r="BQ142" i="18"/>
  <c r="BI142" i="18"/>
  <c r="BA142" i="18"/>
  <c r="AS142" i="18"/>
  <c r="AK142" i="18"/>
  <c r="AJ142" i="18"/>
  <c r="AC142" i="18"/>
  <c r="V142" i="18"/>
  <c r="DG141" i="18"/>
  <c r="DF141" i="18"/>
  <c r="DE141" i="18"/>
  <c r="DD141" i="18"/>
  <c r="DC141" i="18"/>
  <c r="DB141" i="18"/>
  <c r="DA141" i="18"/>
  <c r="CZ141" i="18"/>
  <c r="CY141" i="18"/>
  <c r="CW141" i="18"/>
  <c r="CO141" i="18"/>
  <c r="CG141" i="18"/>
  <c r="BY141" i="18"/>
  <c r="DH141" i="18" s="1"/>
  <c r="BQ141" i="18"/>
  <c r="BI141" i="18"/>
  <c r="BA141" i="18"/>
  <c r="AS141" i="18"/>
  <c r="AK141" i="18"/>
  <c r="AJ141" i="18"/>
  <c r="AC141" i="18"/>
  <c r="V141" i="18"/>
  <c r="DG140" i="18"/>
  <c r="DF140" i="18"/>
  <c r="DE140" i="18"/>
  <c r="DD140" i="18"/>
  <c r="DC140" i="18"/>
  <c r="DB140" i="18"/>
  <c r="DA140" i="18"/>
  <c r="CZ140" i="18"/>
  <c r="CY140" i="18"/>
  <c r="CW140" i="18"/>
  <c r="CO140" i="18"/>
  <c r="CG140" i="18"/>
  <c r="BY140" i="18"/>
  <c r="DH140" i="18" s="1"/>
  <c r="BQ140" i="18"/>
  <c r="BI140" i="18"/>
  <c r="BA140" i="18"/>
  <c r="AS140" i="18"/>
  <c r="AK140" i="18"/>
  <c r="AJ140" i="18"/>
  <c r="AC140" i="18"/>
  <c r="V140" i="18"/>
  <c r="BD81" i="28"/>
  <c r="BD137" i="28"/>
  <c r="BD127" i="28"/>
  <c r="BD110" i="28"/>
  <c r="BD96" i="28"/>
  <c r="BD730" i="28"/>
  <c r="BD504" i="28"/>
  <c r="BD566" i="28"/>
  <c r="BD136" i="28"/>
  <c r="BD128" i="28"/>
  <c r="BD109" i="28"/>
  <c r="BD97" i="28"/>
  <c r="BD731" i="28"/>
  <c r="BD134" i="28"/>
  <c r="BD92" i="28"/>
  <c r="BD98" i="28"/>
  <c r="BD143" i="28"/>
  <c r="BD119" i="28"/>
  <c r="BD140" i="28"/>
  <c r="BD118" i="28"/>
  <c r="BD95" i="28"/>
  <c r="BD104" i="28"/>
  <c r="BD62" i="28"/>
  <c r="BD528" i="28"/>
  <c r="P2" i="14"/>
  <c r="P3" i="14"/>
  <c r="P4" i="14"/>
  <c r="P5" i="14"/>
  <c r="P6" i="14"/>
  <c r="P7" i="14"/>
  <c r="P8" i="14"/>
  <c r="P9" i="14"/>
  <c r="P10" i="14"/>
  <c r="P11" i="14"/>
  <c r="P12" i="14"/>
  <c r="P13" i="14"/>
  <c r="P14" i="14"/>
  <c r="P15" i="14"/>
  <c r="P16" i="14"/>
  <c r="P17" i="14"/>
  <c r="P18" i="14"/>
  <c r="P19" i="14"/>
  <c r="P20" i="14"/>
  <c r="P21" i="14"/>
  <c r="P22" i="14"/>
  <c r="P23" i="14"/>
  <c r="P24" i="14"/>
  <c r="P25" i="14"/>
  <c r="P26" i="14"/>
  <c r="P27" i="14"/>
  <c r="P28" i="14"/>
  <c r="P29" i="14"/>
  <c r="P30" i="14"/>
  <c r="P31" i="14"/>
  <c r="P32" i="14"/>
  <c r="P33" i="14"/>
  <c r="P34" i="14"/>
  <c r="P35" i="14"/>
  <c r="P36" i="14"/>
  <c r="P37" i="14"/>
  <c r="P38" i="14"/>
  <c r="P39" i="14"/>
  <c r="P40" i="14"/>
  <c r="P41" i="14"/>
  <c r="P42" i="14"/>
  <c r="P43" i="14"/>
  <c r="P44" i="14"/>
  <c r="P45" i="14"/>
  <c r="P46" i="14"/>
  <c r="P47" i="14"/>
  <c r="P48" i="14"/>
  <c r="P49" i="14"/>
  <c r="P50" i="14"/>
  <c r="P51" i="14"/>
  <c r="P52" i="14"/>
  <c r="P53" i="14"/>
  <c r="P54" i="14"/>
  <c r="P55" i="14"/>
  <c r="P56" i="14"/>
  <c r="P57" i="14"/>
  <c r="P58" i="14"/>
  <c r="P59" i="14"/>
  <c r="P60" i="14"/>
  <c r="P61" i="14"/>
  <c r="P62" i="14"/>
  <c r="P63" i="14"/>
  <c r="P64" i="14"/>
  <c r="P65" i="14"/>
  <c r="P66" i="14"/>
  <c r="P67" i="14"/>
  <c r="P68" i="14"/>
  <c r="P69" i="14"/>
  <c r="P70" i="14"/>
  <c r="P71" i="14"/>
  <c r="P72" i="14"/>
  <c r="P73" i="14"/>
  <c r="P74" i="14"/>
  <c r="P75" i="14"/>
  <c r="P76" i="14"/>
  <c r="P77" i="14"/>
  <c r="P78" i="14"/>
  <c r="P79" i="14"/>
  <c r="P80" i="14"/>
  <c r="P81" i="14"/>
  <c r="P82" i="14"/>
  <c r="P83" i="14"/>
  <c r="P84" i="14"/>
  <c r="P85" i="14"/>
  <c r="P86" i="14"/>
  <c r="P87" i="14"/>
  <c r="P88" i="14"/>
  <c r="P89" i="14"/>
  <c r="P90" i="14"/>
  <c r="P91" i="14"/>
  <c r="P92" i="14"/>
  <c r="P93" i="14"/>
  <c r="P94" i="14"/>
  <c r="P95" i="14"/>
  <c r="P96" i="14"/>
  <c r="P97" i="14"/>
  <c r="P98" i="14"/>
  <c r="P99" i="14"/>
  <c r="P100" i="14"/>
  <c r="P101" i="14"/>
  <c r="P102" i="14"/>
  <c r="P103" i="14"/>
  <c r="P104" i="14"/>
  <c r="P105" i="14"/>
  <c r="P106" i="14"/>
  <c r="P107" i="14"/>
  <c r="P108" i="14"/>
  <c r="P109" i="14"/>
  <c r="P110" i="14"/>
  <c r="P111" i="14"/>
  <c r="P112" i="14"/>
  <c r="P113" i="14"/>
  <c r="P114" i="14"/>
  <c r="P115" i="14"/>
  <c r="P116" i="14"/>
  <c r="P117" i="14"/>
  <c r="P118" i="14"/>
  <c r="P119" i="14"/>
  <c r="P121" i="14"/>
  <c r="P122" i="14"/>
  <c r="P123" i="14"/>
  <c r="P124" i="14"/>
  <c r="P125" i="14"/>
  <c r="P126" i="14"/>
  <c r="P127" i="14"/>
  <c r="P128" i="14"/>
  <c r="P129" i="14"/>
  <c r="P130" i="14"/>
  <c r="P131" i="14"/>
  <c r="P132" i="14"/>
  <c r="P133" i="14"/>
  <c r="Q2" i="14"/>
  <c r="Q3" i="14"/>
  <c r="Q4" i="14"/>
  <c r="Q5" i="14"/>
  <c r="Q6" i="14"/>
  <c r="Q7" i="14"/>
  <c r="Q8" i="14"/>
  <c r="Q9" i="14"/>
  <c r="Q10" i="14"/>
  <c r="Q11" i="14"/>
  <c r="Q12" i="14"/>
  <c r="Q13" i="14"/>
  <c r="Q14" i="14"/>
  <c r="Q15" i="14"/>
  <c r="Q16" i="14"/>
  <c r="Q17" i="14"/>
  <c r="Q18" i="14"/>
  <c r="Q19" i="14"/>
  <c r="Q20" i="14"/>
  <c r="Q21" i="14"/>
  <c r="Q22" i="14"/>
  <c r="Q23" i="14"/>
  <c r="Q24" i="14"/>
  <c r="Q25" i="14"/>
  <c r="Q26" i="14"/>
  <c r="Q27" i="14"/>
  <c r="Q28" i="14"/>
  <c r="Q29" i="14"/>
  <c r="Q30" i="14"/>
  <c r="Q31" i="14"/>
  <c r="Q32" i="14"/>
  <c r="Q33" i="14"/>
  <c r="Q34" i="14"/>
  <c r="Q35" i="14"/>
  <c r="Q36" i="14"/>
  <c r="Q37" i="14"/>
  <c r="Q38" i="14"/>
  <c r="Q39" i="14"/>
  <c r="Q40" i="14"/>
  <c r="Q41" i="14"/>
  <c r="Q42" i="14"/>
  <c r="Q43" i="14"/>
  <c r="Q44" i="14"/>
  <c r="Q45"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102" i="14"/>
  <c r="Q103" i="14"/>
  <c r="Q104" i="14"/>
  <c r="Q105" i="14"/>
  <c r="Q106" i="14"/>
  <c r="Q107" i="14"/>
  <c r="Q108" i="14"/>
  <c r="Q109" i="14"/>
  <c r="Q110" i="14"/>
  <c r="Q111" i="14"/>
  <c r="Q112" i="14"/>
  <c r="Q113" i="14"/>
  <c r="Q114" i="14"/>
  <c r="Q115" i="14"/>
  <c r="Q116" i="14"/>
  <c r="Q117" i="14"/>
  <c r="Q118" i="14"/>
  <c r="Q119" i="14"/>
  <c r="Q121" i="14"/>
  <c r="Q122" i="14"/>
  <c r="Q123" i="14"/>
  <c r="Q124" i="14"/>
  <c r="Q125" i="14"/>
  <c r="Q126" i="14"/>
  <c r="Q127" i="14"/>
  <c r="Q128" i="14"/>
  <c r="Q129" i="14"/>
  <c r="Q130" i="14"/>
  <c r="Q131" i="14"/>
  <c r="Q132" i="14"/>
  <c r="Q133" i="14"/>
  <c r="T2" i="14"/>
  <c r="T3" i="14"/>
  <c r="T4" i="14"/>
  <c r="T5" i="14"/>
  <c r="T6" i="14"/>
  <c r="T7" i="14"/>
  <c r="T8" i="14"/>
  <c r="T9" i="14"/>
  <c r="T10" i="14"/>
  <c r="T11" i="14"/>
  <c r="T12" i="14"/>
  <c r="T13" i="14"/>
  <c r="T14" i="14"/>
  <c r="T15" i="14"/>
  <c r="T16" i="14"/>
  <c r="T17" i="14"/>
  <c r="T18" i="14"/>
  <c r="T19" i="14"/>
  <c r="T20" i="14"/>
  <c r="T21" i="14"/>
  <c r="T22" i="14"/>
  <c r="T23" i="14"/>
  <c r="T24" i="14"/>
  <c r="T25" i="14"/>
  <c r="T26" i="14"/>
  <c r="T27" i="14"/>
  <c r="T28" i="14"/>
  <c r="T29" i="14"/>
  <c r="T30" i="14"/>
  <c r="T31" i="14"/>
  <c r="T32" i="14"/>
  <c r="T33" i="14"/>
  <c r="T34" i="14"/>
  <c r="T35" i="14"/>
  <c r="T36" i="14"/>
  <c r="T37" i="14"/>
  <c r="T38" i="14"/>
  <c r="T39" i="14"/>
  <c r="T40" i="14"/>
  <c r="T41" i="14"/>
  <c r="T42" i="14"/>
  <c r="T43" i="14"/>
  <c r="T44" i="14"/>
  <c r="T45" i="14"/>
  <c r="T46" i="14"/>
  <c r="T47" i="14"/>
  <c r="T48" i="14"/>
  <c r="T49" i="14"/>
  <c r="T50" i="14"/>
  <c r="T51" i="14"/>
  <c r="T52" i="14"/>
  <c r="T53" i="14"/>
  <c r="T54" i="14"/>
  <c r="T55" i="14"/>
  <c r="T56" i="14"/>
  <c r="T57" i="14"/>
  <c r="T58" i="14"/>
  <c r="T59" i="14"/>
  <c r="T60" i="14"/>
  <c r="T61" i="14"/>
  <c r="T62" i="14"/>
  <c r="T63" i="14"/>
  <c r="T64" i="14"/>
  <c r="T65" i="14"/>
  <c r="T66" i="14"/>
  <c r="T67" i="14"/>
  <c r="T68" i="14"/>
  <c r="T69" i="14"/>
  <c r="T70" i="14"/>
  <c r="T71" i="14"/>
  <c r="T72" i="14"/>
  <c r="T73" i="14"/>
  <c r="T74" i="14"/>
  <c r="T75" i="14"/>
  <c r="T76" i="14"/>
  <c r="T77" i="14"/>
  <c r="T78" i="14"/>
  <c r="T79" i="14"/>
  <c r="T80" i="14"/>
  <c r="T81" i="14"/>
  <c r="T82" i="14"/>
  <c r="T83" i="14"/>
  <c r="T84" i="14"/>
  <c r="T85" i="14"/>
  <c r="T86" i="14"/>
  <c r="T87" i="14"/>
  <c r="T88" i="14"/>
  <c r="T89" i="14"/>
  <c r="T90" i="14"/>
  <c r="T91" i="14"/>
  <c r="T92" i="14"/>
  <c r="T93" i="14"/>
  <c r="T94" i="14"/>
  <c r="T95" i="14"/>
  <c r="T96" i="14"/>
  <c r="T97" i="14"/>
  <c r="T98" i="14"/>
  <c r="T99" i="14"/>
  <c r="T100" i="14"/>
  <c r="T101" i="14"/>
  <c r="T102" i="14"/>
  <c r="T103" i="14"/>
  <c r="T104" i="14"/>
  <c r="T105" i="14"/>
  <c r="T106" i="14"/>
  <c r="T107" i="14"/>
  <c r="T108" i="14"/>
  <c r="T109" i="14"/>
  <c r="T110" i="14"/>
  <c r="T111" i="14"/>
  <c r="T112" i="14"/>
  <c r="T113" i="14"/>
  <c r="T114" i="14"/>
  <c r="T115" i="14"/>
  <c r="T116" i="14"/>
  <c r="T117" i="14"/>
  <c r="T118" i="14"/>
  <c r="T119" i="14"/>
  <c r="T121" i="14"/>
  <c r="T122" i="14"/>
  <c r="T123" i="14"/>
  <c r="T124" i="14"/>
  <c r="T125" i="14"/>
  <c r="T126" i="14"/>
  <c r="T127" i="14"/>
  <c r="T128" i="14"/>
  <c r="T129" i="14"/>
  <c r="T130" i="14"/>
  <c r="T131" i="14"/>
  <c r="T132" i="14"/>
  <c r="T133" i="14"/>
  <c r="S2" i="14"/>
  <c r="S3" i="14"/>
  <c r="S4" i="14"/>
  <c r="S5" i="14"/>
  <c r="S6" i="14"/>
  <c r="S7" i="14"/>
  <c r="S8" i="14"/>
  <c r="S9" i="14"/>
  <c r="S10" i="14"/>
  <c r="S11" i="14"/>
  <c r="S12" i="14"/>
  <c r="S13" i="14"/>
  <c r="S14" i="14"/>
  <c r="S15" i="14"/>
  <c r="S16" i="14"/>
  <c r="S17" i="14"/>
  <c r="S18" i="14"/>
  <c r="S19" i="14"/>
  <c r="S20" i="14"/>
  <c r="S21" i="14"/>
  <c r="S22" i="14"/>
  <c r="S23" i="14"/>
  <c r="S24" i="14"/>
  <c r="S25" i="14"/>
  <c r="S26" i="14"/>
  <c r="S27" i="14"/>
  <c r="S28" i="14"/>
  <c r="S29" i="14"/>
  <c r="S30" i="14"/>
  <c r="S31" i="14"/>
  <c r="S32" i="14"/>
  <c r="S33" i="14"/>
  <c r="S34" i="14"/>
  <c r="S35" i="14"/>
  <c r="S36" i="14"/>
  <c r="S37" i="14"/>
  <c r="S38" i="14"/>
  <c r="S39" i="14"/>
  <c r="S40" i="14"/>
  <c r="S41" i="14"/>
  <c r="S42" i="14"/>
  <c r="S43" i="14"/>
  <c r="S44" i="14"/>
  <c r="S45" i="14"/>
  <c r="S46" i="14"/>
  <c r="S47" i="14"/>
  <c r="S48" i="14"/>
  <c r="S49" i="14"/>
  <c r="S50" i="14"/>
  <c r="S51" i="14"/>
  <c r="S52" i="14"/>
  <c r="S53" i="14"/>
  <c r="S54" i="14"/>
  <c r="S55" i="14"/>
  <c r="S56" i="14"/>
  <c r="S57" i="14"/>
  <c r="S58" i="14"/>
  <c r="S59" i="14"/>
  <c r="S60" i="14"/>
  <c r="S61" i="14"/>
  <c r="S62" i="14"/>
  <c r="S63" i="14"/>
  <c r="S64" i="14"/>
  <c r="S65" i="14"/>
  <c r="S66" i="14"/>
  <c r="S67" i="14"/>
  <c r="S68" i="14"/>
  <c r="S69" i="14"/>
  <c r="S70" i="14"/>
  <c r="S71" i="14"/>
  <c r="S72" i="14"/>
  <c r="S73" i="14"/>
  <c r="S74" i="14"/>
  <c r="S75" i="14"/>
  <c r="S76" i="14"/>
  <c r="S77" i="14"/>
  <c r="S78" i="14"/>
  <c r="S79" i="14"/>
  <c r="S80" i="14"/>
  <c r="S81" i="14"/>
  <c r="S82" i="14"/>
  <c r="S83" i="14"/>
  <c r="S84" i="14"/>
  <c r="S85" i="14"/>
  <c r="S86" i="14"/>
  <c r="S87" i="14"/>
  <c r="S88" i="14"/>
  <c r="S89" i="14"/>
  <c r="S90" i="14"/>
  <c r="S91" i="14"/>
  <c r="S92" i="14"/>
  <c r="S93" i="14"/>
  <c r="S94" i="14"/>
  <c r="S95" i="14"/>
  <c r="S96" i="14"/>
  <c r="S97" i="14"/>
  <c r="S98" i="14"/>
  <c r="S99" i="14"/>
  <c r="S100" i="14"/>
  <c r="S101" i="14"/>
  <c r="S102" i="14"/>
  <c r="S103" i="14"/>
  <c r="S104" i="14"/>
  <c r="S105" i="14"/>
  <c r="S106" i="14"/>
  <c r="S107" i="14"/>
  <c r="S108" i="14"/>
  <c r="S109" i="14"/>
  <c r="S110" i="14"/>
  <c r="S111" i="14"/>
  <c r="S112" i="14"/>
  <c r="S113" i="14"/>
  <c r="S114" i="14"/>
  <c r="S115" i="14"/>
  <c r="S116" i="14"/>
  <c r="S117" i="14"/>
  <c r="S118" i="14"/>
  <c r="S119" i="14"/>
  <c r="S121" i="14"/>
  <c r="S122" i="14"/>
  <c r="S123" i="14"/>
  <c r="S124" i="14"/>
  <c r="S125" i="14"/>
  <c r="S126" i="14"/>
  <c r="S127" i="14"/>
  <c r="S128" i="14"/>
  <c r="S129" i="14"/>
  <c r="S130" i="14"/>
  <c r="S131" i="14"/>
  <c r="S132" i="14"/>
  <c r="S133" i="14"/>
  <c r="R2" i="14"/>
  <c r="R3" i="14"/>
  <c r="R4" i="14"/>
  <c r="R5" i="14"/>
  <c r="R6" i="14"/>
  <c r="R7" i="14"/>
  <c r="R8" i="14"/>
  <c r="R9" i="14"/>
  <c r="R10" i="14"/>
  <c r="R11" i="14"/>
  <c r="R12" i="14"/>
  <c r="R13" i="14"/>
  <c r="R14" i="14"/>
  <c r="R15" i="14"/>
  <c r="R16" i="14"/>
  <c r="R17" i="14"/>
  <c r="R18" i="14"/>
  <c r="R19" i="14"/>
  <c r="R20" i="14"/>
  <c r="R21" i="14"/>
  <c r="R22" i="14"/>
  <c r="R23" i="14"/>
  <c r="R24" i="14"/>
  <c r="R25" i="14"/>
  <c r="R26" i="14"/>
  <c r="R27" i="14"/>
  <c r="R28" i="14"/>
  <c r="R29" i="14"/>
  <c r="R30" i="14"/>
  <c r="R31" i="14"/>
  <c r="R32" i="14"/>
  <c r="R33" i="14"/>
  <c r="R34" i="14"/>
  <c r="R35" i="14"/>
  <c r="R36" i="14"/>
  <c r="R37" i="14"/>
  <c r="R38" i="14"/>
  <c r="R39" i="14"/>
  <c r="R40" i="14"/>
  <c r="R41" i="14"/>
  <c r="R42" i="14"/>
  <c r="R43" i="14"/>
  <c r="R44" i="14"/>
  <c r="R45" i="14"/>
  <c r="R46" i="14"/>
  <c r="R47" i="14"/>
  <c r="R48" i="14"/>
  <c r="R49" i="14"/>
  <c r="R50" i="14"/>
  <c r="R51" i="14"/>
  <c r="R52" i="14"/>
  <c r="R53" i="14"/>
  <c r="R54" i="14"/>
  <c r="R55" i="14"/>
  <c r="R56" i="14"/>
  <c r="R57" i="14"/>
  <c r="R58" i="14"/>
  <c r="R59" i="14"/>
  <c r="R60" i="14"/>
  <c r="R61" i="14"/>
  <c r="R62" i="14"/>
  <c r="R63" i="14"/>
  <c r="R64" i="14"/>
  <c r="R65" i="14"/>
  <c r="R66" i="14"/>
  <c r="R67" i="14"/>
  <c r="R68" i="14"/>
  <c r="R69" i="14"/>
  <c r="R70" i="14"/>
  <c r="R71" i="14"/>
  <c r="R72" i="14"/>
  <c r="R73" i="14"/>
  <c r="R74" i="14"/>
  <c r="R75" i="14"/>
  <c r="R76" i="14"/>
  <c r="R77" i="14"/>
  <c r="R78" i="14"/>
  <c r="R79" i="14"/>
  <c r="R80" i="14"/>
  <c r="R81" i="14"/>
  <c r="R82" i="14"/>
  <c r="R83" i="14"/>
  <c r="R84" i="14"/>
  <c r="R85" i="14"/>
  <c r="R86" i="14"/>
  <c r="R87" i="14"/>
  <c r="R88" i="14"/>
  <c r="R89" i="14"/>
  <c r="R90" i="14"/>
  <c r="R91" i="14"/>
  <c r="R92" i="14"/>
  <c r="R93" i="14"/>
  <c r="R94" i="14"/>
  <c r="R95" i="14"/>
  <c r="R96" i="14"/>
  <c r="R97" i="14"/>
  <c r="R98" i="14"/>
  <c r="R99" i="14"/>
  <c r="R100" i="14"/>
  <c r="R101" i="14"/>
  <c r="R102" i="14"/>
  <c r="R103" i="14"/>
  <c r="R104" i="14"/>
  <c r="R105" i="14"/>
  <c r="R106" i="14"/>
  <c r="R107" i="14"/>
  <c r="R108" i="14"/>
  <c r="R109" i="14"/>
  <c r="R110" i="14"/>
  <c r="R111" i="14"/>
  <c r="R112" i="14"/>
  <c r="R113" i="14"/>
  <c r="R114" i="14"/>
  <c r="R115" i="14"/>
  <c r="R116" i="14"/>
  <c r="R117" i="14"/>
  <c r="R118" i="14"/>
  <c r="R119" i="14"/>
  <c r="R121" i="14"/>
  <c r="R122" i="14"/>
  <c r="R123" i="14"/>
  <c r="R124" i="14"/>
  <c r="R125" i="14"/>
  <c r="R126" i="14"/>
  <c r="R127" i="14"/>
  <c r="R128" i="14"/>
  <c r="R129" i="14"/>
  <c r="R130" i="14"/>
  <c r="R131" i="14"/>
  <c r="R132" i="14"/>
  <c r="R133" i="14"/>
  <c r="V121" i="18"/>
  <c r="AV504" i="28"/>
  <c r="BG139" i="14"/>
  <c r="BB139" i="14"/>
  <c r="AU139" i="14"/>
  <c r="BG138" i="14"/>
  <c r="BB138" i="14"/>
  <c r="AU138" i="14"/>
  <c r="BG137" i="14"/>
  <c r="BB137" i="14"/>
  <c r="AU137" i="14"/>
  <c r="BG136" i="14"/>
  <c r="BB136" i="14"/>
  <c r="AU136" i="14"/>
  <c r="BG135" i="14"/>
  <c r="BB135" i="14"/>
  <c r="AU135" i="14"/>
  <c r="BG134" i="14"/>
  <c r="BB134" i="14"/>
  <c r="AU134" i="14"/>
  <c r="BG133" i="14"/>
  <c r="BB133" i="14"/>
  <c r="AU133" i="14"/>
  <c r="BG132" i="14"/>
  <c r="BB132" i="14"/>
  <c r="AU132" i="14"/>
  <c r="BG131" i="14"/>
  <c r="BB131" i="14"/>
  <c r="AU131" i="14"/>
  <c r="BG130" i="14"/>
  <c r="BB130" i="14"/>
  <c r="AU130" i="14"/>
  <c r="BG129" i="14"/>
  <c r="BB129" i="14"/>
  <c r="AU129" i="14"/>
  <c r="BG128" i="14"/>
  <c r="BB128" i="14"/>
  <c r="AU128" i="14"/>
  <c r="BG127" i="14"/>
  <c r="BB127" i="14"/>
  <c r="AU127" i="14"/>
  <c r="BG126" i="14"/>
  <c r="BB126" i="14"/>
  <c r="AU126" i="14"/>
  <c r="BG125" i="14"/>
  <c r="BB125" i="14"/>
  <c r="AU125" i="14"/>
  <c r="BG124" i="14"/>
  <c r="BB124" i="14"/>
  <c r="AU124" i="14"/>
  <c r="BG123" i="14"/>
  <c r="BB123" i="14"/>
  <c r="AU123" i="14"/>
  <c r="BG122" i="14"/>
  <c r="BB122" i="14"/>
  <c r="AU122" i="14"/>
  <c r="BG121" i="14"/>
  <c r="BB121" i="14"/>
  <c r="AU121" i="14"/>
  <c r="DG139" i="18"/>
  <c r="DF139" i="18"/>
  <c r="DE139" i="18"/>
  <c r="DD139" i="18"/>
  <c r="DC139" i="18"/>
  <c r="DB139" i="18"/>
  <c r="DA139" i="18"/>
  <c r="CZ139" i="18"/>
  <c r="CY139" i="18"/>
  <c r="CW139" i="18"/>
  <c r="CO139" i="18"/>
  <c r="CG139" i="18"/>
  <c r="BY139" i="18"/>
  <c r="DH139" i="18" s="1"/>
  <c r="BQ139" i="18"/>
  <c r="BI139" i="18"/>
  <c r="BA139" i="18"/>
  <c r="AS139" i="18"/>
  <c r="AK139" i="18"/>
  <c r="AJ139" i="18"/>
  <c r="AC139" i="18"/>
  <c r="V139" i="18"/>
  <c r="DG138" i="18"/>
  <c r="DF138" i="18"/>
  <c r="DE138" i="18"/>
  <c r="DD138" i="18"/>
  <c r="DC138" i="18"/>
  <c r="DB138" i="18"/>
  <c r="DA138" i="18"/>
  <c r="CZ138" i="18"/>
  <c r="CY138" i="18"/>
  <c r="CW138" i="18"/>
  <c r="CO138" i="18"/>
  <c r="CG138" i="18"/>
  <c r="BY138" i="18"/>
  <c r="DH138" i="18" s="1"/>
  <c r="BQ138" i="18"/>
  <c r="BI138" i="18"/>
  <c r="BA138" i="18"/>
  <c r="AS138" i="18"/>
  <c r="AK138" i="18"/>
  <c r="AJ138" i="18"/>
  <c r="R138" i="18" s="1"/>
  <c r="AC138" i="18"/>
  <c r="V138" i="18"/>
  <c r="DG137" i="18"/>
  <c r="DF137" i="18"/>
  <c r="DE137" i="18"/>
  <c r="DD137" i="18"/>
  <c r="DC137" i="18"/>
  <c r="DB137" i="18"/>
  <c r="DA137" i="18"/>
  <c r="CZ137" i="18"/>
  <c r="CY137" i="18"/>
  <c r="CW137" i="18"/>
  <c r="CO137" i="18"/>
  <c r="CG137" i="18"/>
  <c r="BY137" i="18"/>
  <c r="DH137" i="18" s="1"/>
  <c r="BQ137" i="18"/>
  <c r="BI137" i="18"/>
  <c r="BA137" i="18"/>
  <c r="AS137" i="18"/>
  <c r="AK137" i="18"/>
  <c r="AC137" i="18"/>
  <c r="V137" i="18"/>
  <c r="DG136" i="18"/>
  <c r="DF136" i="18"/>
  <c r="DE136" i="18"/>
  <c r="DD136" i="18"/>
  <c r="DC136" i="18"/>
  <c r="DB136" i="18"/>
  <c r="DA136" i="18"/>
  <c r="CZ136" i="18"/>
  <c r="CY136" i="18"/>
  <c r="CW136" i="18"/>
  <c r="CO136" i="18"/>
  <c r="CG136" i="18"/>
  <c r="BY136" i="18"/>
  <c r="DH136" i="18" s="1"/>
  <c r="BQ136" i="18"/>
  <c r="BI136" i="18"/>
  <c r="BA136" i="18"/>
  <c r="AS136" i="18"/>
  <c r="AK136" i="18"/>
  <c r="AJ136" i="18"/>
  <c r="AC136" i="18"/>
  <c r="V136" i="18"/>
  <c r="DG135" i="18"/>
  <c r="DF135" i="18"/>
  <c r="DE135" i="18"/>
  <c r="DD135" i="18"/>
  <c r="DC135" i="18"/>
  <c r="DB135" i="18"/>
  <c r="DA135" i="18"/>
  <c r="CZ135" i="18"/>
  <c r="CY135" i="18"/>
  <c r="CW135" i="18"/>
  <c r="CO135" i="18"/>
  <c r="CG135" i="18"/>
  <c r="BY135" i="18"/>
  <c r="DH135" i="18" s="1"/>
  <c r="BQ135" i="18"/>
  <c r="BI135" i="18"/>
  <c r="BA135" i="18"/>
  <c r="AS135" i="18"/>
  <c r="AK135" i="18"/>
  <c r="AC135" i="18"/>
  <c r="V135" i="18"/>
  <c r="DG134" i="18"/>
  <c r="DF134" i="18"/>
  <c r="DE134" i="18"/>
  <c r="DD134" i="18"/>
  <c r="DC134" i="18"/>
  <c r="DB134" i="18"/>
  <c r="DA134" i="18"/>
  <c r="CZ134" i="18"/>
  <c r="CY134" i="18"/>
  <c r="CW134" i="18"/>
  <c r="CO134" i="18"/>
  <c r="CG134" i="18"/>
  <c r="BY134" i="18"/>
  <c r="DH134" i="18" s="1"/>
  <c r="BQ134" i="18"/>
  <c r="BI134" i="18"/>
  <c r="BA134" i="18"/>
  <c r="AS134" i="18"/>
  <c r="AK134" i="18"/>
  <c r="AJ134" i="18"/>
  <c r="R134" i="18" s="1"/>
  <c r="AC134" i="18"/>
  <c r="V134" i="18"/>
  <c r="DG133" i="18"/>
  <c r="DF133" i="18"/>
  <c r="DE133" i="18"/>
  <c r="DD133" i="18"/>
  <c r="DC133" i="18"/>
  <c r="DB133" i="18"/>
  <c r="DA133" i="18"/>
  <c r="CZ133" i="18"/>
  <c r="CY133" i="18"/>
  <c r="CW133" i="18"/>
  <c r="CO133" i="18"/>
  <c r="CG133" i="18"/>
  <c r="BY133" i="18"/>
  <c r="DH133" i="18" s="1"/>
  <c r="BQ133" i="18"/>
  <c r="BI133" i="18"/>
  <c r="BA133" i="18"/>
  <c r="AS133" i="18"/>
  <c r="AK133" i="18"/>
  <c r="AC133" i="18"/>
  <c r="V133" i="18"/>
  <c r="DG132" i="18"/>
  <c r="DF132" i="18"/>
  <c r="DE132" i="18"/>
  <c r="DD132" i="18"/>
  <c r="DC132" i="18"/>
  <c r="DB132" i="18"/>
  <c r="DA132" i="18"/>
  <c r="CZ132" i="18"/>
  <c r="CY132" i="18"/>
  <c r="CW132" i="18"/>
  <c r="CO132" i="18"/>
  <c r="CG132" i="18"/>
  <c r="BY132" i="18"/>
  <c r="DH132" i="18" s="1"/>
  <c r="BQ132" i="18"/>
  <c r="BI132" i="18"/>
  <c r="BA132" i="18"/>
  <c r="AS132" i="18"/>
  <c r="AK132" i="18"/>
  <c r="AC132" i="18"/>
  <c r="V132" i="18"/>
  <c r="DG131" i="18"/>
  <c r="DF131" i="18"/>
  <c r="DE131" i="18"/>
  <c r="DD131" i="18"/>
  <c r="DC131" i="18"/>
  <c r="DB131" i="18"/>
  <c r="DA131" i="18"/>
  <c r="CZ131" i="18"/>
  <c r="CY131" i="18"/>
  <c r="CW131" i="18"/>
  <c r="CO131" i="18"/>
  <c r="CG131" i="18"/>
  <c r="BY131" i="18"/>
  <c r="DH131" i="18" s="1"/>
  <c r="BQ131" i="18"/>
  <c r="BI131" i="18"/>
  <c r="BA131" i="18"/>
  <c r="AS131" i="18"/>
  <c r="AK131" i="18"/>
  <c r="AC131" i="18"/>
  <c r="V131" i="18"/>
  <c r="DG130" i="18"/>
  <c r="DF130" i="18"/>
  <c r="DE130" i="18"/>
  <c r="DD130" i="18"/>
  <c r="DC130" i="18"/>
  <c r="DB130" i="18"/>
  <c r="DA130" i="18"/>
  <c r="CZ130" i="18"/>
  <c r="CY130" i="18"/>
  <c r="CW130" i="18"/>
  <c r="CO130" i="18"/>
  <c r="CG130" i="18"/>
  <c r="BY130" i="18"/>
  <c r="DH130" i="18" s="1"/>
  <c r="BQ130" i="18"/>
  <c r="BI130" i="18"/>
  <c r="BA130" i="18"/>
  <c r="AS130" i="18"/>
  <c r="AK130" i="18"/>
  <c r="AC130" i="18"/>
  <c r="V130" i="18"/>
  <c r="DG129" i="18"/>
  <c r="DF129" i="18"/>
  <c r="DE129" i="18"/>
  <c r="DD129" i="18"/>
  <c r="DC129" i="18"/>
  <c r="DB129" i="18"/>
  <c r="DA129" i="18"/>
  <c r="CZ129" i="18"/>
  <c r="CY129" i="18"/>
  <c r="CW129" i="18"/>
  <c r="CO129" i="18"/>
  <c r="CG129" i="18"/>
  <c r="BY129" i="18"/>
  <c r="DH129" i="18" s="1"/>
  <c r="BQ129" i="18"/>
  <c r="BI129" i="18"/>
  <c r="BA129" i="18"/>
  <c r="AS129" i="18"/>
  <c r="AK129" i="18"/>
  <c r="AC129" i="18"/>
  <c r="V129" i="18"/>
  <c r="DG128" i="18"/>
  <c r="DF128" i="18"/>
  <c r="DE128" i="18"/>
  <c r="DD128" i="18"/>
  <c r="DC128" i="18"/>
  <c r="DB128" i="18"/>
  <c r="DA128" i="18"/>
  <c r="CZ128" i="18"/>
  <c r="CY128" i="18"/>
  <c r="CW128" i="18"/>
  <c r="CO128" i="18"/>
  <c r="CG128" i="18"/>
  <c r="BY128" i="18"/>
  <c r="DH128" i="18" s="1"/>
  <c r="BQ128" i="18"/>
  <c r="BI128" i="18"/>
  <c r="BA128" i="18"/>
  <c r="AS128" i="18"/>
  <c r="AK128" i="18"/>
  <c r="AC128" i="18"/>
  <c r="V128" i="18"/>
  <c r="DG127" i="18"/>
  <c r="DF127" i="18"/>
  <c r="DE127" i="18"/>
  <c r="DD127" i="18"/>
  <c r="DC127" i="18"/>
  <c r="DB127" i="18"/>
  <c r="DA127" i="18"/>
  <c r="CZ127" i="18"/>
  <c r="CY127" i="18"/>
  <c r="CW127" i="18"/>
  <c r="CO127" i="18"/>
  <c r="CG127" i="18"/>
  <c r="BY127" i="18"/>
  <c r="DH127" i="18" s="1"/>
  <c r="BQ127" i="18"/>
  <c r="BI127" i="18"/>
  <c r="BA127" i="18"/>
  <c r="AS127" i="18"/>
  <c r="AK127" i="18"/>
  <c r="AC127" i="18"/>
  <c r="V127" i="18"/>
  <c r="DG126" i="18"/>
  <c r="DF126" i="18"/>
  <c r="DE126" i="18"/>
  <c r="DD126" i="18"/>
  <c r="DC126" i="18"/>
  <c r="DB126" i="18"/>
  <c r="DA126" i="18"/>
  <c r="CZ126" i="18"/>
  <c r="CY126" i="18"/>
  <c r="CW126" i="18"/>
  <c r="CO126" i="18"/>
  <c r="CG126" i="18"/>
  <c r="BY126" i="18"/>
  <c r="DH126" i="18" s="1"/>
  <c r="BQ126" i="18"/>
  <c r="BI126" i="18"/>
  <c r="BA126" i="18"/>
  <c r="AS126" i="18"/>
  <c r="AK126" i="18"/>
  <c r="AC126" i="18"/>
  <c r="V126" i="18"/>
  <c r="DG125" i="18"/>
  <c r="DF125" i="18"/>
  <c r="DE125" i="18"/>
  <c r="DD125" i="18"/>
  <c r="DC125" i="18"/>
  <c r="DB125" i="18"/>
  <c r="DA125" i="18"/>
  <c r="CZ125" i="18"/>
  <c r="CY125" i="18"/>
  <c r="CW125" i="18"/>
  <c r="CO125" i="18"/>
  <c r="CG125" i="18"/>
  <c r="BY125" i="18"/>
  <c r="DH125" i="18" s="1"/>
  <c r="BQ125" i="18"/>
  <c r="BI125" i="18"/>
  <c r="BA125" i="18"/>
  <c r="AS125" i="18"/>
  <c r="AK125" i="18"/>
  <c r="AC125" i="18"/>
  <c r="V125" i="18"/>
  <c r="DG124" i="18"/>
  <c r="DF124" i="18"/>
  <c r="DE124" i="18"/>
  <c r="DD124" i="18"/>
  <c r="DC124" i="18"/>
  <c r="DB124" i="18"/>
  <c r="DA124" i="18"/>
  <c r="CZ124" i="18"/>
  <c r="CY124" i="18"/>
  <c r="CW124" i="18"/>
  <c r="CO124" i="18"/>
  <c r="CG124" i="18"/>
  <c r="BY124" i="18"/>
  <c r="DH124" i="18" s="1"/>
  <c r="BQ124" i="18"/>
  <c r="BI124" i="18"/>
  <c r="BA124" i="18"/>
  <c r="AS124" i="18"/>
  <c r="AK124" i="18"/>
  <c r="AJ124" i="18"/>
  <c r="AC124" i="18"/>
  <c r="V124" i="18"/>
  <c r="DG123" i="18"/>
  <c r="DF123" i="18"/>
  <c r="DE123" i="18"/>
  <c r="DD123" i="18"/>
  <c r="DC123" i="18"/>
  <c r="DB123" i="18"/>
  <c r="DA123" i="18"/>
  <c r="CZ123" i="18"/>
  <c r="CY123" i="18"/>
  <c r="CW123" i="18"/>
  <c r="CO123" i="18"/>
  <c r="CG123" i="18"/>
  <c r="BY123" i="18"/>
  <c r="DH123" i="18" s="1"/>
  <c r="BQ123" i="18"/>
  <c r="BI123" i="18"/>
  <c r="BA123" i="18"/>
  <c r="AS123" i="18"/>
  <c r="AK123" i="18"/>
  <c r="AJ123" i="18"/>
  <c r="AC123" i="18"/>
  <c r="V123" i="18"/>
  <c r="DG122" i="18"/>
  <c r="DF122" i="18"/>
  <c r="DE122" i="18"/>
  <c r="DD122" i="18"/>
  <c r="DC122" i="18"/>
  <c r="DB122" i="18"/>
  <c r="DA122" i="18"/>
  <c r="CZ122" i="18"/>
  <c r="CY122" i="18"/>
  <c r="CW122" i="18"/>
  <c r="CO122" i="18"/>
  <c r="CG122" i="18"/>
  <c r="BY122" i="18"/>
  <c r="DH122" i="18" s="1"/>
  <c r="BQ122" i="18"/>
  <c r="BI122" i="18"/>
  <c r="BA122" i="18"/>
  <c r="AS122" i="18"/>
  <c r="AK122" i="18"/>
  <c r="AJ122" i="18"/>
  <c r="AC122" i="18"/>
  <c r="V122" i="18"/>
  <c r="DG121" i="18"/>
  <c r="DF121" i="18"/>
  <c r="DE121" i="18"/>
  <c r="DD121" i="18"/>
  <c r="DC121" i="18"/>
  <c r="DB121" i="18"/>
  <c r="DA121" i="18"/>
  <c r="CZ121" i="18"/>
  <c r="CY121" i="18"/>
  <c r="CW121" i="18"/>
  <c r="CO121" i="18"/>
  <c r="CG121" i="18"/>
  <c r="BY121" i="18"/>
  <c r="DH121" i="18" s="1"/>
  <c r="BQ121" i="18"/>
  <c r="BI121" i="18"/>
  <c r="BA121" i="18"/>
  <c r="AS121" i="18"/>
  <c r="AK121" i="18"/>
  <c r="AJ121" i="18"/>
  <c r="AC121" i="18"/>
  <c r="DG120" i="18"/>
  <c r="DF120" i="18"/>
  <c r="DE120" i="18"/>
  <c r="DD120" i="18"/>
  <c r="DC120" i="18"/>
  <c r="DB120" i="18"/>
  <c r="DA120" i="18"/>
  <c r="CZ120" i="18"/>
  <c r="CY120" i="18"/>
  <c r="CW120" i="18"/>
  <c r="CO120" i="18"/>
  <c r="CG120" i="18"/>
  <c r="BY120" i="18"/>
  <c r="DH120" i="18" s="1"/>
  <c r="BQ120" i="18"/>
  <c r="BI120" i="18"/>
  <c r="BA120" i="18"/>
  <c r="AS120" i="18"/>
  <c r="AK120" i="18"/>
  <c r="AJ120" i="18"/>
  <c r="R120" i="18" s="1"/>
  <c r="AC120" i="18"/>
  <c r="V120" i="18"/>
  <c r="DG119" i="18"/>
  <c r="DF119" i="18"/>
  <c r="DE119" i="18"/>
  <c r="DD119" i="18"/>
  <c r="DC119" i="18"/>
  <c r="DB119" i="18"/>
  <c r="DA119" i="18"/>
  <c r="CZ119" i="18"/>
  <c r="CY119" i="18"/>
  <c r="CW119" i="18"/>
  <c r="CO119" i="18"/>
  <c r="CG119" i="18"/>
  <c r="BY119" i="18"/>
  <c r="DH119" i="18" s="1"/>
  <c r="BQ119" i="18"/>
  <c r="BI119" i="18"/>
  <c r="BA119" i="18"/>
  <c r="AS119" i="18"/>
  <c r="AK119" i="18"/>
  <c r="AC119" i="18"/>
  <c r="V119" i="18"/>
  <c r="DG118" i="18"/>
  <c r="DF118" i="18"/>
  <c r="DE118" i="18"/>
  <c r="DD118" i="18"/>
  <c r="DC118" i="18"/>
  <c r="DB118" i="18"/>
  <c r="DA118" i="18"/>
  <c r="CZ118" i="18"/>
  <c r="CY118" i="18"/>
  <c r="CW118" i="18"/>
  <c r="CO118" i="18"/>
  <c r="CG118" i="18"/>
  <c r="BY118" i="18"/>
  <c r="DH118" i="18" s="1"/>
  <c r="BQ118" i="18"/>
  <c r="BI118" i="18"/>
  <c r="BA118" i="18"/>
  <c r="AS118" i="18"/>
  <c r="AK118" i="18"/>
  <c r="AC118" i="18"/>
  <c r="V118" i="18"/>
  <c r="DG117" i="18"/>
  <c r="DF117" i="18"/>
  <c r="DE117" i="18"/>
  <c r="DD117" i="18"/>
  <c r="DC117" i="18"/>
  <c r="DB117" i="18"/>
  <c r="DA117" i="18"/>
  <c r="CZ117" i="18"/>
  <c r="CY117" i="18"/>
  <c r="CW117" i="18"/>
  <c r="CO117" i="18"/>
  <c r="CG117" i="18"/>
  <c r="BY117" i="18"/>
  <c r="DH117" i="18" s="1"/>
  <c r="BQ117" i="18"/>
  <c r="BI117" i="18"/>
  <c r="BA117" i="18"/>
  <c r="AS117" i="18"/>
  <c r="AK117" i="18"/>
  <c r="AJ117" i="18"/>
  <c r="AC117" i="18"/>
  <c r="V117" i="18"/>
  <c r="DG116" i="18"/>
  <c r="DF116" i="18"/>
  <c r="DE116" i="18"/>
  <c r="DD116" i="18"/>
  <c r="DC116" i="18"/>
  <c r="DB116" i="18"/>
  <c r="DA116" i="18"/>
  <c r="CZ116" i="18"/>
  <c r="CY116" i="18"/>
  <c r="CW116" i="18"/>
  <c r="CO116" i="18"/>
  <c r="CG116" i="18"/>
  <c r="BY116" i="18"/>
  <c r="DH116" i="18" s="1"/>
  <c r="BQ116" i="18"/>
  <c r="BI116" i="18"/>
  <c r="BA116" i="18"/>
  <c r="AS116" i="18"/>
  <c r="AK116" i="18"/>
  <c r="AJ116" i="18"/>
  <c r="AC116" i="18"/>
  <c r="V116" i="18"/>
  <c r="DG115" i="18"/>
  <c r="DF115" i="18"/>
  <c r="DE115" i="18"/>
  <c r="DD115" i="18"/>
  <c r="DC115" i="18"/>
  <c r="DB115" i="18"/>
  <c r="DA115" i="18"/>
  <c r="CZ115" i="18"/>
  <c r="CY115" i="18"/>
  <c r="CW115" i="18"/>
  <c r="CO115" i="18"/>
  <c r="CG115" i="18"/>
  <c r="BY115" i="18"/>
  <c r="DH115" i="18" s="1"/>
  <c r="BQ115" i="18"/>
  <c r="BI115" i="18"/>
  <c r="BA115" i="18"/>
  <c r="AS115" i="18"/>
  <c r="AK115" i="18"/>
  <c r="AC115" i="18"/>
  <c r="V115" i="18"/>
  <c r="DG114" i="18"/>
  <c r="DF114" i="18"/>
  <c r="DE114" i="18"/>
  <c r="DD114" i="18"/>
  <c r="DC114" i="18"/>
  <c r="DB114" i="18"/>
  <c r="DA114" i="18"/>
  <c r="CZ114" i="18"/>
  <c r="CY114" i="18"/>
  <c r="CW114" i="18"/>
  <c r="CO114" i="18"/>
  <c r="CG114" i="18"/>
  <c r="BY114" i="18"/>
  <c r="DH114" i="18" s="1"/>
  <c r="BQ114" i="18"/>
  <c r="BI114" i="18"/>
  <c r="BA114" i="18"/>
  <c r="AS114" i="18"/>
  <c r="AK114" i="18"/>
  <c r="AJ114" i="18"/>
  <c r="AC114" i="18"/>
  <c r="V114" i="18"/>
  <c r="DG113" i="18"/>
  <c r="DF113" i="18"/>
  <c r="DE113" i="18"/>
  <c r="DD113" i="18"/>
  <c r="DC113" i="18"/>
  <c r="DB113" i="18"/>
  <c r="DA113" i="18"/>
  <c r="CZ113" i="18"/>
  <c r="CY113" i="18"/>
  <c r="CW113" i="18"/>
  <c r="CO113" i="18"/>
  <c r="CG113" i="18"/>
  <c r="BY113" i="18"/>
  <c r="DH113" i="18" s="1"/>
  <c r="BQ113" i="18"/>
  <c r="BI113" i="18"/>
  <c r="BA113" i="18"/>
  <c r="AS113" i="18"/>
  <c r="AK113" i="18"/>
  <c r="AC113" i="18"/>
  <c r="V113" i="18"/>
  <c r="DG112" i="18"/>
  <c r="DF112" i="18"/>
  <c r="DE112" i="18"/>
  <c r="DD112" i="18"/>
  <c r="DC112" i="18"/>
  <c r="DB112" i="18"/>
  <c r="DA112" i="18"/>
  <c r="CZ112" i="18"/>
  <c r="CY112" i="18"/>
  <c r="CW112" i="18"/>
  <c r="CO112" i="18"/>
  <c r="CG112" i="18"/>
  <c r="BY112" i="18"/>
  <c r="DH112" i="18" s="1"/>
  <c r="BQ112" i="18"/>
  <c r="BI112" i="18"/>
  <c r="BA112" i="18"/>
  <c r="AS112" i="18"/>
  <c r="AK112" i="18"/>
  <c r="AC112" i="18"/>
  <c r="V112" i="18"/>
  <c r="DG111" i="18"/>
  <c r="DF111" i="18"/>
  <c r="DE111" i="18"/>
  <c r="DD111" i="18"/>
  <c r="DC111" i="18"/>
  <c r="DB111" i="18"/>
  <c r="DA111" i="18"/>
  <c r="CZ111" i="18"/>
  <c r="CY111" i="18"/>
  <c r="CW111" i="18"/>
  <c r="CO111" i="18"/>
  <c r="CG111" i="18"/>
  <c r="BY111" i="18"/>
  <c r="DH111" i="18" s="1"/>
  <c r="BQ111" i="18"/>
  <c r="BI111" i="18"/>
  <c r="BA111" i="18"/>
  <c r="AS111" i="18"/>
  <c r="AK111" i="18"/>
  <c r="AC111" i="18"/>
  <c r="V111" i="18"/>
  <c r="DG110" i="18"/>
  <c r="DF110" i="18"/>
  <c r="DE110" i="18"/>
  <c r="DD110" i="18"/>
  <c r="DC110" i="18"/>
  <c r="DB110" i="18"/>
  <c r="DA110" i="18"/>
  <c r="CZ110" i="18"/>
  <c r="CY110" i="18"/>
  <c r="CW110" i="18"/>
  <c r="CO110" i="18"/>
  <c r="CG110" i="18"/>
  <c r="BY110" i="18"/>
  <c r="DH110" i="18" s="1"/>
  <c r="BQ110" i="18"/>
  <c r="BI110" i="18"/>
  <c r="BA110" i="18"/>
  <c r="AC110" i="18"/>
  <c r="V110" i="18"/>
  <c r="DG109" i="18"/>
  <c r="DF109" i="18"/>
  <c r="DE109" i="18"/>
  <c r="DD109" i="18"/>
  <c r="DC109" i="18"/>
  <c r="DB109" i="18"/>
  <c r="DA109" i="18"/>
  <c r="CZ109" i="18"/>
  <c r="CY109" i="18"/>
  <c r="CW109" i="18"/>
  <c r="CO109" i="18"/>
  <c r="CG109" i="18"/>
  <c r="BY109" i="18"/>
  <c r="DH109" i="18" s="1"/>
  <c r="BQ109" i="18"/>
  <c r="BI109" i="18"/>
  <c r="BA109" i="18"/>
  <c r="AC109" i="18"/>
  <c r="V109" i="18"/>
  <c r="DG108" i="18"/>
  <c r="DF108" i="18"/>
  <c r="DE108" i="18"/>
  <c r="DD108" i="18"/>
  <c r="DC108" i="18"/>
  <c r="DB108" i="18"/>
  <c r="DA108" i="18"/>
  <c r="CZ108" i="18"/>
  <c r="CY108" i="18"/>
  <c r="CW108" i="18"/>
  <c r="CO108" i="18"/>
  <c r="CG108" i="18"/>
  <c r="BY108" i="18"/>
  <c r="DH108" i="18" s="1"/>
  <c r="BQ108" i="18"/>
  <c r="BI108" i="18"/>
  <c r="BA108" i="18"/>
  <c r="AC108" i="18"/>
  <c r="V108" i="18"/>
  <c r="DG107" i="18"/>
  <c r="DF107" i="18"/>
  <c r="DE107" i="18"/>
  <c r="DD107" i="18"/>
  <c r="DC107" i="18"/>
  <c r="DB107" i="18"/>
  <c r="DA107" i="18"/>
  <c r="CZ107" i="18"/>
  <c r="CY107" i="18"/>
  <c r="CW107" i="18"/>
  <c r="CO107" i="18"/>
  <c r="CG107" i="18"/>
  <c r="BY107" i="18"/>
  <c r="DH107" i="18" s="1"/>
  <c r="BQ107" i="18"/>
  <c r="BI107" i="18"/>
  <c r="BA107" i="18"/>
  <c r="AC107" i="18"/>
  <c r="V107" i="18"/>
  <c r="DG106" i="18"/>
  <c r="DF106" i="18"/>
  <c r="DE106" i="18"/>
  <c r="DD106" i="18"/>
  <c r="DC106" i="18"/>
  <c r="DB106" i="18"/>
  <c r="DA106" i="18"/>
  <c r="CZ106" i="18"/>
  <c r="CY106" i="18"/>
  <c r="CW106" i="18"/>
  <c r="CO106" i="18"/>
  <c r="CG106" i="18"/>
  <c r="BY106" i="18"/>
  <c r="DH106" i="18" s="1"/>
  <c r="BQ106" i="18"/>
  <c r="BI106" i="18"/>
  <c r="BA106" i="18"/>
  <c r="AC106" i="18"/>
  <c r="V106" i="18"/>
  <c r="DG105" i="18"/>
  <c r="DF105" i="18"/>
  <c r="DE105" i="18"/>
  <c r="DD105" i="18"/>
  <c r="DC105" i="18"/>
  <c r="DB105" i="18"/>
  <c r="DA105" i="18"/>
  <c r="CZ105" i="18"/>
  <c r="CY105" i="18"/>
  <c r="CW105" i="18"/>
  <c r="CO105" i="18"/>
  <c r="CG105" i="18"/>
  <c r="BY105" i="18"/>
  <c r="DH105" i="18" s="1"/>
  <c r="BQ105" i="18"/>
  <c r="BI105" i="18"/>
  <c r="BA105" i="18"/>
  <c r="AC105" i="18"/>
  <c r="V105" i="18"/>
  <c r="DG104" i="18"/>
  <c r="DF104" i="18"/>
  <c r="DE104" i="18"/>
  <c r="DD104" i="18"/>
  <c r="DC104" i="18"/>
  <c r="DB104" i="18"/>
  <c r="DA104" i="18"/>
  <c r="CZ104" i="18"/>
  <c r="CY104" i="18"/>
  <c r="CW104" i="18"/>
  <c r="CO104" i="18"/>
  <c r="CG104" i="18"/>
  <c r="BY104" i="18"/>
  <c r="DH104" i="18" s="1"/>
  <c r="BQ104" i="18"/>
  <c r="BI104" i="18"/>
  <c r="BA104" i="18"/>
  <c r="AC104" i="18"/>
  <c r="V104" i="18"/>
  <c r="DG103" i="18"/>
  <c r="DF103" i="18"/>
  <c r="DE103" i="18"/>
  <c r="DD103" i="18"/>
  <c r="DC103" i="18"/>
  <c r="DB103" i="18"/>
  <c r="DA103" i="18"/>
  <c r="CZ103" i="18"/>
  <c r="CY103" i="18"/>
  <c r="CW103" i="18"/>
  <c r="CO103" i="18"/>
  <c r="CG103" i="18"/>
  <c r="BY103" i="18"/>
  <c r="DH103" i="18" s="1"/>
  <c r="BQ103" i="18"/>
  <c r="BI103" i="18"/>
  <c r="BA103" i="18"/>
  <c r="AC103" i="18"/>
  <c r="V103" i="18"/>
  <c r="DG102" i="18"/>
  <c r="DF102" i="18"/>
  <c r="DE102" i="18"/>
  <c r="DD102" i="18"/>
  <c r="DC102" i="18"/>
  <c r="DB102" i="18"/>
  <c r="DA102" i="18"/>
  <c r="CZ102" i="18"/>
  <c r="CY102" i="18"/>
  <c r="CW102" i="18"/>
  <c r="CO102" i="18"/>
  <c r="CG102" i="18"/>
  <c r="BY102" i="18"/>
  <c r="DH102" i="18" s="1"/>
  <c r="BQ102" i="18"/>
  <c r="BI102" i="18"/>
  <c r="BA102" i="18"/>
  <c r="AC102" i="18"/>
  <c r="V102" i="18"/>
  <c r="DG101" i="18"/>
  <c r="DF101" i="18"/>
  <c r="DE101" i="18"/>
  <c r="DD101" i="18"/>
  <c r="DC101" i="18"/>
  <c r="DB101" i="18"/>
  <c r="DA101" i="18"/>
  <c r="CZ101" i="18"/>
  <c r="CY101" i="18"/>
  <c r="CW101" i="18"/>
  <c r="CO101" i="18"/>
  <c r="CG101" i="18"/>
  <c r="BY101" i="18"/>
  <c r="DH101" i="18" s="1"/>
  <c r="BQ101" i="18"/>
  <c r="BI101" i="18"/>
  <c r="BA101" i="18"/>
  <c r="AC101" i="18"/>
  <c r="V101" i="18"/>
  <c r="DG100" i="18"/>
  <c r="DF100" i="18"/>
  <c r="DE100" i="18"/>
  <c r="DD100" i="18"/>
  <c r="DC100" i="18"/>
  <c r="DB100" i="18"/>
  <c r="DA100" i="18"/>
  <c r="CZ100" i="18"/>
  <c r="CY100" i="18"/>
  <c r="CW100" i="18"/>
  <c r="CO100" i="18"/>
  <c r="CG100" i="18"/>
  <c r="BY100" i="18"/>
  <c r="DH100" i="18" s="1"/>
  <c r="BQ100" i="18"/>
  <c r="BI100" i="18"/>
  <c r="BA100" i="18"/>
  <c r="AC100" i="18"/>
  <c r="V100" i="18"/>
  <c r="DG99" i="18"/>
  <c r="DF99" i="18"/>
  <c r="DE99" i="18"/>
  <c r="DD99" i="18"/>
  <c r="DC99" i="18"/>
  <c r="DB99" i="18"/>
  <c r="DA99" i="18"/>
  <c r="CZ99" i="18"/>
  <c r="CY99" i="18"/>
  <c r="CW99" i="18"/>
  <c r="CO99" i="18"/>
  <c r="CG99" i="18"/>
  <c r="BY99" i="18"/>
  <c r="DH99" i="18" s="1"/>
  <c r="BQ99" i="18"/>
  <c r="BI99" i="18"/>
  <c r="BA99" i="18"/>
  <c r="AC99" i="18"/>
  <c r="V99" i="18"/>
  <c r="DG98" i="18"/>
  <c r="DF98" i="18"/>
  <c r="DE98" i="18"/>
  <c r="DD98" i="18"/>
  <c r="DC98" i="18"/>
  <c r="DB98" i="18"/>
  <c r="DA98" i="18"/>
  <c r="CZ98" i="18"/>
  <c r="CY98" i="18"/>
  <c r="CW98" i="18"/>
  <c r="CO98" i="18"/>
  <c r="CG98" i="18"/>
  <c r="BY98" i="18"/>
  <c r="DH98" i="18" s="1"/>
  <c r="BQ98" i="18"/>
  <c r="BI98" i="18"/>
  <c r="BA98" i="18"/>
  <c r="AC98" i="18"/>
  <c r="V98" i="18"/>
  <c r="DG97" i="18"/>
  <c r="DF97" i="18"/>
  <c r="DE97" i="18"/>
  <c r="DD97" i="18"/>
  <c r="DC97" i="18"/>
  <c r="DB97" i="18"/>
  <c r="DA97" i="18"/>
  <c r="CZ97" i="18"/>
  <c r="CY97" i="18"/>
  <c r="CW97" i="18"/>
  <c r="CO97" i="18"/>
  <c r="CG97" i="18"/>
  <c r="BY97" i="18"/>
  <c r="DH97" i="18" s="1"/>
  <c r="BQ97" i="18"/>
  <c r="BI97" i="18"/>
  <c r="BA97" i="18"/>
  <c r="AC97" i="18"/>
  <c r="V97" i="18"/>
  <c r="DG96" i="18"/>
  <c r="DF96" i="18"/>
  <c r="DE96" i="18"/>
  <c r="DD96" i="18"/>
  <c r="DC96" i="18"/>
  <c r="DB96" i="18"/>
  <c r="DA96" i="18"/>
  <c r="CZ96" i="18"/>
  <c r="CY96" i="18"/>
  <c r="CW96" i="18"/>
  <c r="CO96" i="18"/>
  <c r="CG96" i="18"/>
  <c r="BY96" i="18"/>
  <c r="DH96" i="18" s="1"/>
  <c r="BQ96" i="18"/>
  <c r="BI96" i="18"/>
  <c r="BA96" i="18"/>
  <c r="AC96" i="18"/>
  <c r="V96" i="18"/>
  <c r="DG95" i="18"/>
  <c r="DF95" i="18"/>
  <c r="DE95" i="18"/>
  <c r="DD95" i="18"/>
  <c r="DC95" i="18"/>
  <c r="DB95" i="18"/>
  <c r="DA95" i="18"/>
  <c r="CZ95" i="18"/>
  <c r="CY95" i="18"/>
  <c r="CW95" i="18"/>
  <c r="CO95" i="18"/>
  <c r="CG95" i="18"/>
  <c r="BY95" i="18"/>
  <c r="DH95" i="18" s="1"/>
  <c r="BQ95" i="18"/>
  <c r="BI95" i="18"/>
  <c r="BA95" i="18"/>
  <c r="AC95" i="18"/>
  <c r="V95" i="18"/>
  <c r="DG94" i="18"/>
  <c r="DF94" i="18"/>
  <c r="DE94" i="18"/>
  <c r="DD94" i="18"/>
  <c r="DC94" i="18"/>
  <c r="DB94" i="18"/>
  <c r="DA94" i="18"/>
  <c r="CZ94" i="18"/>
  <c r="CY94" i="18"/>
  <c r="CW94" i="18"/>
  <c r="CO94" i="18"/>
  <c r="CG94" i="18"/>
  <c r="BY94" i="18"/>
  <c r="DH94" i="18" s="1"/>
  <c r="BQ94" i="18"/>
  <c r="BI94" i="18"/>
  <c r="BA94" i="18"/>
  <c r="AC94" i="18"/>
  <c r="V94" i="18"/>
  <c r="DG93" i="18"/>
  <c r="DF93" i="18"/>
  <c r="DE93" i="18"/>
  <c r="DD93" i="18"/>
  <c r="DC93" i="18"/>
  <c r="DB93" i="18"/>
  <c r="DA93" i="18"/>
  <c r="CZ93" i="18"/>
  <c r="CY93" i="18"/>
  <c r="CW93" i="18"/>
  <c r="CO93" i="18"/>
  <c r="CG93" i="18"/>
  <c r="BY93" i="18"/>
  <c r="DH93" i="18" s="1"/>
  <c r="BQ93" i="18"/>
  <c r="BI93" i="18"/>
  <c r="BA93" i="18"/>
  <c r="AC93" i="18"/>
  <c r="V93" i="18"/>
  <c r="DG92" i="18"/>
  <c r="DF92" i="18"/>
  <c r="DE92" i="18"/>
  <c r="DD92" i="18"/>
  <c r="DC92" i="18"/>
  <c r="DB92" i="18"/>
  <c r="DA92" i="18"/>
  <c r="CZ92" i="18"/>
  <c r="CY92" i="18"/>
  <c r="CW92" i="18"/>
  <c r="CO92" i="18"/>
  <c r="CG92" i="18"/>
  <c r="BY92" i="18"/>
  <c r="DH92" i="18" s="1"/>
  <c r="BQ92" i="18"/>
  <c r="BI92" i="18"/>
  <c r="BA92" i="18"/>
  <c r="AC92" i="18"/>
  <c r="V92" i="18"/>
  <c r="DG91" i="18"/>
  <c r="DF91" i="18"/>
  <c r="DE91" i="18"/>
  <c r="DD91" i="18"/>
  <c r="DC91" i="18"/>
  <c r="DB91" i="18"/>
  <c r="DA91" i="18"/>
  <c r="CZ91" i="18"/>
  <c r="CY91" i="18"/>
  <c r="CW91" i="18"/>
  <c r="CO91" i="18"/>
  <c r="CG91" i="18"/>
  <c r="BY91" i="18"/>
  <c r="DH91" i="18" s="1"/>
  <c r="BQ91" i="18"/>
  <c r="BI91" i="18"/>
  <c r="BA91" i="18"/>
  <c r="AC91" i="18"/>
  <c r="V91" i="18"/>
  <c r="DG90" i="18"/>
  <c r="DF90" i="18"/>
  <c r="DE90" i="18"/>
  <c r="DD90" i="18"/>
  <c r="DC90" i="18"/>
  <c r="DB90" i="18"/>
  <c r="DA90" i="18"/>
  <c r="CZ90" i="18"/>
  <c r="CY90" i="18"/>
  <c r="CW90" i="18"/>
  <c r="CO90" i="18"/>
  <c r="CG90" i="18"/>
  <c r="BY90" i="18"/>
  <c r="DH90" i="18" s="1"/>
  <c r="BQ90" i="18"/>
  <c r="BI90" i="18"/>
  <c r="BA90" i="18"/>
  <c r="AC90" i="18"/>
  <c r="V90" i="18"/>
  <c r="DG89" i="18"/>
  <c r="DF89" i="18"/>
  <c r="DE89" i="18"/>
  <c r="DD89" i="18"/>
  <c r="DC89" i="18"/>
  <c r="DB89" i="18"/>
  <c r="DA89" i="18"/>
  <c r="CZ89" i="18"/>
  <c r="CY89" i="18"/>
  <c r="CW89" i="18"/>
  <c r="CO89" i="18"/>
  <c r="CG89" i="18"/>
  <c r="BY89" i="18"/>
  <c r="DH89" i="18" s="1"/>
  <c r="BQ89" i="18"/>
  <c r="BI89" i="18"/>
  <c r="BA89" i="18"/>
  <c r="AC89" i="18"/>
  <c r="V89" i="18"/>
  <c r="DG88" i="18"/>
  <c r="DF88" i="18"/>
  <c r="DE88" i="18"/>
  <c r="DD88" i="18"/>
  <c r="DC88" i="18"/>
  <c r="DB88" i="18"/>
  <c r="DA88" i="18"/>
  <c r="CZ88" i="18"/>
  <c r="CY88" i="18"/>
  <c r="CW88" i="18"/>
  <c r="CO88" i="18"/>
  <c r="CG88" i="18"/>
  <c r="BY88" i="18"/>
  <c r="DH88" i="18" s="1"/>
  <c r="BQ88" i="18"/>
  <c r="BI88" i="18"/>
  <c r="BA88" i="18"/>
  <c r="AC88" i="18"/>
  <c r="V88" i="18"/>
  <c r="DG87" i="18"/>
  <c r="DF87" i="18"/>
  <c r="DE87" i="18"/>
  <c r="DD87" i="18"/>
  <c r="DC87" i="18"/>
  <c r="DB87" i="18"/>
  <c r="DA87" i="18"/>
  <c r="CZ87" i="18"/>
  <c r="CY87" i="18"/>
  <c r="CW87" i="18"/>
  <c r="CO87" i="18"/>
  <c r="CG87" i="18"/>
  <c r="BY87" i="18"/>
  <c r="DH87" i="18" s="1"/>
  <c r="BQ87" i="18"/>
  <c r="BI87" i="18"/>
  <c r="BA87" i="18"/>
  <c r="AC87" i="18"/>
  <c r="V87" i="18"/>
  <c r="DG86" i="18"/>
  <c r="DF86" i="18"/>
  <c r="DE86" i="18"/>
  <c r="DD86" i="18"/>
  <c r="DC86" i="18"/>
  <c r="DB86" i="18"/>
  <c r="DA86" i="18"/>
  <c r="CZ86" i="18"/>
  <c r="CY86" i="18"/>
  <c r="CW86" i="18"/>
  <c r="CO86" i="18"/>
  <c r="CG86" i="18"/>
  <c r="BY86" i="18"/>
  <c r="DH86" i="18" s="1"/>
  <c r="BQ86" i="18"/>
  <c r="BI86" i="18"/>
  <c r="BA86" i="18"/>
  <c r="AC86" i="18"/>
  <c r="V86" i="18"/>
  <c r="DG85" i="18"/>
  <c r="DF85" i="18"/>
  <c r="DE85" i="18"/>
  <c r="DD85" i="18"/>
  <c r="DC85" i="18"/>
  <c r="DB85" i="18"/>
  <c r="DA85" i="18"/>
  <c r="CZ85" i="18"/>
  <c r="CY85" i="18"/>
  <c r="CW85" i="18"/>
  <c r="CO85" i="18"/>
  <c r="CG85" i="18"/>
  <c r="BY85" i="18"/>
  <c r="DH85" i="18" s="1"/>
  <c r="BQ85" i="18"/>
  <c r="BI85" i="18"/>
  <c r="BA85" i="18"/>
  <c r="AC85" i="18"/>
  <c r="V85" i="18"/>
  <c r="DG84" i="18"/>
  <c r="DF84" i="18"/>
  <c r="DE84" i="18"/>
  <c r="DD84" i="18"/>
  <c r="DC84" i="18"/>
  <c r="DB84" i="18"/>
  <c r="DA84" i="18"/>
  <c r="CZ84" i="18"/>
  <c r="CY84" i="18"/>
  <c r="CW84" i="18"/>
  <c r="CO84" i="18"/>
  <c r="CG84" i="18"/>
  <c r="BY84" i="18"/>
  <c r="DH84" i="18" s="1"/>
  <c r="BQ84" i="18"/>
  <c r="BI84" i="18"/>
  <c r="BA84" i="18"/>
  <c r="AC84" i="18"/>
  <c r="V84" i="18"/>
  <c r="DG83" i="18"/>
  <c r="DF83" i="18"/>
  <c r="DE83" i="18"/>
  <c r="DD83" i="18"/>
  <c r="DC83" i="18"/>
  <c r="DB83" i="18"/>
  <c r="DA83" i="18"/>
  <c r="CZ83" i="18"/>
  <c r="CY83" i="18"/>
  <c r="CW83" i="18"/>
  <c r="CO83" i="18"/>
  <c r="CG83" i="18"/>
  <c r="BY83" i="18"/>
  <c r="DH83" i="18" s="1"/>
  <c r="BQ83" i="18"/>
  <c r="BI83" i="18"/>
  <c r="BA83" i="18"/>
  <c r="AC83" i="18"/>
  <c r="V83" i="18"/>
  <c r="DG82" i="18"/>
  <c r="DF82" i="18"/>
  <c r="DE82" i="18"/>
  <c r="DD82" i="18"/>
  <c r="DC82" i="18"/>
  <c r="DB82" i="18"/>
  <c r="DA82" i="18"/>
  <c r="CZ82" i="18"/>
  <c r="CY82" i="18"/>
  <c r="CW82" i="18"/>
  <c r="CO82" i="18"/>
  <c r="CG82" i="18"/>
  <c r="BY82" i="18"/>
  <c r="DH82" i="18" s="1"/>
  <c r="BQ82" i="18"/>
  <c r="BI82" i="18"/>
  <c r="BA82" i="18"/>
  <c r="AC82" i="18"/>
  <c r="V82" i="18"/>
  <c r="DG81" i="18"/>
  <c r="DF81" i="18"/>
  <c r="DE81" i="18"/>
  <c r="DD81" i="18"/>
  <c r="DC81" i="18"/>
  <c r="DB81" i="18"/>
  <c r="DA81" i="18"/>
  <c r="CZ81" i="18"/>
  <c r="CY81" i="18"/>
  <c r="CW81" i="18"/>
  <c r="CO81" i="18"/>
  <c r="CG81" i="18"/>
  <c r="BY81" i="18"/>
  <c r="DH81" i="18" s="1"/>
  <c r="BQ81" i="18"/>
  <c r="BI81" i="18"/>
  <c r="BA81" i="18"/>
  <c r="AC81" i="18"/>
  <c r="V81" i="18"/>
  <c r="DG80" i="18"/>
  <c r="DF80" i="18"/>
  <c r="DE80" i="18"/>
  <c r="DD80" i="18"/>
  <c r="DC80" i="18"/>
  <c r="DB80" i="18"/>
  <c r="DA80" i="18"/>
  <c r="CZ80" i="18"/>
  <c r="CY80" i="18"/>
  <c r="CW80" i="18"/>
  <c r="CO80" i="18"/>
  <c r="CG80" i="18"/>
  <c r="BY80" i="18"/>
  <c r="DH80" i="18" s="1"/>
  <c r="BQ80" i="18"/>
  <c r="BI80" i="18"/>
  <c r="BA80" i="18"/>
  <c r="AC80" i="18"/>
  <c r="V80" i="18"/>
  <c r="DG79" i="18"/>
  <c r="DF79" i="18"/>
  <c r="DE79" i="18"/>
  <c r="DD79" i="18"/>
  <c r="DC79" i="18"/>
  <c r="DB79" i="18"/>
  <c r="DA79" i="18"/>
  <c r="CZ79" i="18"/>
  <c r="CY79" i="18"/>
  <c r="CW79" i="18"/>
  <c r="CO79" i="18"/>
  <c r="CG79" i="18"/>
  <c r="BY79" i="18"/>
  <c r="DH79" i="18" s="1"/>
  <c r="BQ79" i="18"/>
  <c r="BI79" i="18"/>
  <c r="BA79" i="18"/>
  <c r="AC79" i="18"/>
  <c r="V79" i="18"/>
  <c r="DG78" i="18"/>
  <c r="DF78" i="18"/>
  <c r="DE78" i="18"/>
  <c r="DD78" i="18"/>
  <c r="DC78" i="18"/>
  <c r="DB78" i="18"/>
  <c r="DA78" i="18"/>
  <c r="CZ78" i="18"/>
  <c r="CY78" i="18"/>
  <c r="CW78" i="18"/>
  <c r="CO78" i="18"/>
  <c r="CG78" i="18"/>
  <c r="BY78" i="18"/>
  <c r="DH78" i="18" s="1"/>
  <c r="BQ78" i="18"/>
  <c r="BI78" i="18"/>
  <c r="BA78" i="18"/>
  <c r="AC78" i="18"/>
  <c r="V78" i="18"/>
  <c r="DG77" i="18"/>
  <c r="DF77" i="18"/>
  <c r="DE77" i="18"/>
  <c r="DD77" i="18"/>
  <c r="DC77" i="18"/>
  <c r="DB77" i="18"/>
  <c r="DA77" i="18"/>
  <c r="CZ77" i="18"/>
  <c r="CY77" i="18"/>
  <c r="CW77" i="18"/>
  <c r="CO77" i="18"/>
  <c r="CG77" i="18"/>
  <c r="BY77" i="18"/>
  <c r="DH77" i="18" s="1"/>
  <c r="BQ77" i="18"/>
  <c r="BI77" i="18"/>
  <c r="BA77" i="18"/>
  <c r="AC77" i="18"/>
  <c r="V77" i="18"/>
  <c r="DG76" i="18"/>
  <c r="DF76" i="18"/>
  <c r="DE76" i="18"/>
  <c r="DD76" i="18"/>
  <c r="DC76" i="18"/>
  <c r="DB76" i="18"/>
  <c r="DA76" i="18"/>
  <c r="CZ76" i="18"/>
  <c r="CY76" i="18"/>
  <c r="CW76" i="18"/>
  <c r="CO76" i="18"/>
  <c r="CG76" i="18"/>
  <c r="BY76" i="18"/>
  <c r="DH76" i="18" s="1"/>
  <c r="BQ76" i="18"/>
  <c r="BI76" i="18"/>
  <c r="BA76" i="18"/>
  <c r="AC76" i="18"/>
  <c r="V76" i="18"/>
  <c r="DG75" i="18"/>
  <c r="DF75" i="18"/>
  <c r="DE75" i="18"/>
  <c r="DD75" i="18"/>
  <c r="DC75" i="18"/>
  <c r="DB75" i="18"/>
  <c r="DA75" i="18"/>
  <c r="CZ75" i="18"/>
  <c r="CY75" i="18"/>
  <c r="CW75" i="18"/>
  <c r="CO75" i="18"/>
  <c r="CG75" i="18"/>
  <c r="BY75" i="18"/>
  <c r="DH75" i="18" s="1"/>
  <c r="BQ75" i="18"/>
  <c r="BI75" i="18"/>
  <c r="BA75" i="18"/>
  <c r="AC75" i="18"/>
  <c r="V75" i="18"/>
  <c r="DG74" i="18"/>
  <c r="DF74" i="18"/>
  <c r="DE74" i="18"/>
  <c r="DD74" i="18"/>
  <c r="DC74" i="18"/>
  <c r="DB74" i="18"/>
  <c r="DA74" i="18"/>
  <c r="CZ74" i="18"/>
  <c r="CY74" i="18"/>
  <c r="CW74" i="18"/>
  <c r="CO74" i="18"/>
  <c r="CG74" i="18"/>
  <c r="BY74" i="18"/>
  <c r="DH74" i="18" s="1"/>
  <c r="BQ74" i="18"/>
  <c r="BI74" i="18"/>
  <c r="BA74" i="18"/>
  <c r="AC74" i="18"/>
  <c r="V74" i="18"/>
  <c r="DG73" i="18"/>
  <c r="DF73" i="18"/>
  <c r="DE73" i="18"/>
  <c r="DD73" i="18"/>
  <c r="DC73" i="18"/>
  <c r="DB73" i="18"/>
  <c r="DA73" i="18"/>
  <c r="CZ73" i="18"/>
  <c r="CY73" i="18"/>
  <c r="CW73" i="18"/>
  <c r="CO73" i="18"/>
  <c r="CG73" i="18"/>
  <c r="BY73" i="18"/>
  <c r="DH73" i="18" s="1"/>
  <c r="BQ73" i="18"/>
  <c r="BI73" i="18"/>
  <c r="BA73" i="18"/>
  <c r="AC73" i="18"/>
  <c r="V73" i="18"/>
  <c r="DG72" i="18"/>
  <c r="DF72" i="18"/>
  <c r="DE72" i="18"/>
  <c r="DD72" i="18"/>
  <c r="DC72" i="18"/>
  <c r="DB72" i="18"/>
  <c r="DA72" i="18"/>
  <c r="CZ72" i="18"/>
  <c r="CY72" i="18"/>
  <c r="CW72" i="18"/>
  <c r="CO72" i="18"/>
  <c r="CG72" i="18"/>
  <c r="BY72" i="18"/>
  <c r="DH72" i="18" s="1"/>
  <c r="BQ72" i="18"/>
  <c r="BI72" i="18"/>
  <c r="BA72" i="18"/>
  <c r="AC72" i="18"/>
  <c r="V72" i="18"/>
  <c r="DG71" i="18"/>
  <c r="DF71" i="18"/>
  <c r="DE71" i="18"/>
  <c r="DD71" i="18"/>
  <c r="DC71" i="18"/>
  <c r="DB71" i="18"/>
  <c r="DA71" i="18"/>
  <c r="CZ71" i="18"/>
  <c r="CY71" i="18"/>
  <c r="CW71" i="18"/>
  <c r="CO71" i="18"/>
  <c r="CG71" i="18"/>
  <c r="BY71" i="18"/>
  <c r="DH71" i="18" s="1"/>
  <c r="BQ71" i="18"/>
  <c r="BI71" i="18"/>
  <c r="BA71" i="18"/>
  <c r="AC71" i="18"/>
  <c r="V71" i="18"/>
  <c r="DG70" i="18"/>
  <c r="DF70" i="18"/>
  <c r="DE70" i="18"/>
  <c r="DD70" i="18"/>
  <c r="DC70" i="18"/>
  <c r="DB70" i="18"/>
  <c r="DA70" i="18"/>
  <c r="CZ70" i="18"/>
  <c r="CY70" i="18"/>
  <c r="CW70" i="18"/>
  <c r="CO70" i="18"/>
  <c r="CG70" i="18"/>
  <c r="BY70" i="18"/>
  <c r="DH70" i="18" s="1"/>
  <c r="BQ70" i="18"/>
  <c r="BI70" i="18"/>
  <c r="BA70" i="18"/>
  <c r="AC70" i="18"/>
  <c r="V70" i="18"/>
  <c r="DG69" i="18"/>
  <c r="DF69" i="18"/>
  <c r="DE69" i="18"/>
  <c r="DD69" i="18"/>
  <c r="DC69" i="18"/>
  <c r="DB69" i="18"/>
  <c r="DA69" i="18"/>
  <c r="CZ69" i="18"/>
  <c r="CY69" i="18"/>
  <c r="CW69" i="18"/>
  <c r="CO69" i="18"/>
  <c r="CG69" i="18"/>
  <c r="BY69" i="18"/>
  <c r="DH69" i="18" s="1"/>
  <c r="BQ69" i="18"/>
  <c r="BI69" i="18"/>
  <c r="BA69" i="18"/>
  <c r="AC69" i="18"/>
  <c r="V69" i="18"/>
  <c r="DG68" i="18"/>
  <c r="DF68" i="18"/>
  <c r="DE68" i="18"/>
  <c r="DD68" i="18"/>
  <c r="DC68" i="18"/>
  <c r="DB68" i="18"/>
  <c r="DA68" i="18"/>
  <c r="CZ68" i="18"/>
  <c r="CY68" i="18"/>
  <c r="CW68" i="18"/>
  <c r="CO68" i="18"/>
  <c r="CG68" i="18"/>
  <c r="BY68" i="18"/>
  <c r="DH68" i="18" s="1"/>
  <c r="BQ68" i="18"/>
  <c r="BI68" i="18"/>
  <c r="BA68" i="18"/>
  <c r="AS68" i="18"/>
  <c r="AK68" i="18"/>
  <c r="AC68" i="18"/>
  <c r="V68" i="18"/>
  <c r="DG67" i="18"/>
  <c r="DF67" i="18"/>
  <c r="DE67" i="18"/>
  <c r="DD67" i="18"/>
  <c r="DC67" i="18"/>
  <c r="DB67" i="18"/>
  <c r="DA67" i="18"/>
  <c r="CZ67" i="18"/>
  <c r="CY67" i="18"/>
  <c r="CW67" i="18"/>
  <c r="CO67" i="18"/>
  <c r="CG67" i="18"/>
  <c r="BY67" i="18"/>
  <c r="DH67" i="18" s="1"/>
  <c r="BQ67" i="18"/>
  <c r="BI67" i="18"/>
  <c r="BA67" i="18"/>
  <c r="AS67" i="18"/>
  <c r="AK67" i="18"/>
  <c r="AJ67" i="18"/>
  <c r="AC67" i="18"/>
  <c r="V67" i="18"/>
  <c r="DG66" i="18"/>
  <c r="DF66" i="18"/>
  <c r="DE66" i="18"/>
  <c r="DD66" i="18"/>
  <c r="DC66" i="18"/>
  <c r="DB66" i="18"/>
  <c r="DA66" i="18"/>
  <c r="CZ66" i="18"/>
  <c r="CY66" i="18"/>
  <c r="CW66" i="18"/>
  <c r="CO66" i="18"/>
  <c r="CG66" i="18"/>
  <c r="BY66" i="18"/>
  <c r="DH66" i="18" s="1"/>
  <c r="BQ66" i="18"/>
  <c r="BI66" i="18"/>
  <c r="BA66" i="18"/>
  <c r="AS66" i="18"/>
  <c r="AK66" i="18"/>
  <c r="AJ66" i="18"/>
  <c r="AC66" i="18"/>
  <c r="V66" i="18"/>
  <c r="DG65" i="18"/>
  <c r="DF65" i="18"/>
  <c r="DE65" i="18"/>
  <c r="DD65" i="18"/>
  <c r="DC65" i="18"/>
  <c r="DB65" i="18"/>
  <c r="DA65" i="18"/>
  <c r="CZ65" i="18"/>
  <c r="CY65" i="18"/>
  <c r="CW65" i="18"/>
  <c r="CO65" i="18"/>
  <c r="CG65" i="18"/>
  <c r="BY65" i="18"/>
  <c r="DH65" i="18" s="1"/>
  <c r="BQ65" i="18"/>
  <c r="BI65" i="18"/>
  <c r="BA65" i="18"/>
  <c r="AS65" i="18"/>
  <c r="AK65" i="18"/>
  <c r="AC65" i="18"/>
  <c r="V65" i="18"/>
  <c r="DG64" i="18"/>
  <c r="DF64" i="18"/>
  <c r="DE64" i="18"/>
  <c r="DD64" i="18"/>
  <c r="DC64" i="18"/>
  <c r="DB64" i="18"/>
  <c r="DA64" i="18"/>
  <c r="CZ64" i="18"/>
  <c r="CY64" i="18"/>
  <c r="CW64" i="18"/>
  <c r="CO64" i="18"/>
  <c r="CG64" i="18"/>
  <c r="BY64" i="18"/>
  <c r="DH64" i="18" s="1"/>
  <c r="BQ64" i="18"/>
  <c r="BI64" i="18"/>
  <c r="BA64" i="18"/>
  <c r="AS64" i="18"/>
  <c r="AK64" i="18"/>
  <c r="AJ64" i="18"/>
  <c r="AC64" i="18"/>
  <c r="V64" i="18"/>
  <c r="DG63" i="18"/>
  <c r="DF63" i="18"/>
  <c r="DE63" i="18"/>
  <c r="DD63" i="18"/>
  <c r="DC63" i="18"/>
  <c r="DB63" i="18"/>
  <c r="DA63" i="18"/>
  <c r="CZ63" i="18"/>
  <c r="CY63" i="18"/>
  <c r="CW63" i="18"/>
  <c r="CO63" i="18"/>
  <c r="CG63" i="18"/>
  <c r="BY63" i="18"/>
  <c r="DH63" i="18" s="1"/>
  <c r="BQ63" i="18"/>
  <c r="BI63" i="18"/>
  <c r="BA63" i="18"/>
  <c r="AS63" i="18"/>
  <c r="AK63" i="18"/>
  <c r="AJ63" i="18"/>
  <c r="AC63" i="18"/>
  <c r="V63" i="18"/>
  <c r="DG62" i="18"/>
  <c r="DF62" i="18"/>
  <c r="DE62" i="18"/>
  <c r="DD62" i="18"/>
  <c r="DC62" i="18"/>
  <c r="DB62" i="18"/>
  <c r="DA62" i="18"/>
  <c r="CZ62" i="18"/>
  <c r="CY62" i="18"/>
  <c r="CW62" i="18"/>
  <c r="CO62" i="18"/>
  <c r="CG62" i="18"/>
  <c r="BY62" i="18"/>
  <c r="DH62" i="18" s="1"/>
  <c r="BQ62" i="18"/>
  <c r="BI62" i="18"/>
  <c r="BA62" i="18"/>
  <c r="AS62" i="18"/>
  <c r="AK62" i="18"/>
  <c r="AJ62" i="18"/>
  <c r="AC62" i="18"/>
  <c r="V62" i="18"/>
  <c r="DG61" i="18"/>
  <c r="DF61" i="18"/>
  <c r="DE61" i="18"/>
  <c r="DD61" i="18"/>
  <c r="DC61" i="18"/>
  <c r="DB61" i="18"/>
  <c r="DA61" i="18"/>
  <c r="CZ61" i="18"/>
  <c r="CY61" i="18"/>
  <c r="CW61" i="18"/>
  <c r="CO61" i="18"/>
  <c r="CG61" i="18"/>
  <c r="BY61" i="18"/>
  <c r="DH61" i="18" s="1"/>
  <c r="BQ61" i="18"/>
  <c r="BI61" i="18"/>
  <c r="BA61" i="18"/>
  <c r="AS61" i="18"/>
  <c r="AK61" i="18"/>
  <c r="AC61" i="18"/>
  <c r="V61" i="18"/>
  <c r="DG60" i="18"/>
  <c r="DF60" i="18"/>
  <c r="DE60" i="18"/>
  <c r="DD60" i="18"/>
  <c r="DC60" i="18"/>
  <c r="DB60" i="18"/>
  <c r="DA60" i="18"/>
  <c r="CZ60" i="18"/>
  <c r="CY60" i="18"/>
  <c r="CW60" i="18"/>
  <c r="CO60" i="18"/>
  <c r="CG60" i="18"/>
  <c r="BY60" i="18"/>
  <c r="DH60" i="18" s="1"/>
  <c r="BQ60" i="18"/>
  <c r="BI60" i="18"/>
  <c r="BA60" i="18"/>
  <c r="AS60" i="18"/>
  <c r="AK60" i="18"/>
  <c r="AJ60" i="18"/>
  <c r="AC60" i="18"/>
  <c r="V60" i="18"/>
  <c r="DG59" i="18"/>
  <c r="DF59" i="18"/>
  <c r="DE59" i="18"/>
  <c r="DD59" i="18"/>
  <c r="DC59" i="18"/>
  <c r="DB59" i="18"/>
  <c r="DA59" i="18"/>
  <c r="CZ59" i="18"/>
  <c r="CY59" i="18"/>
  <c r="CW59" i="18"/>
  <c r="CO59" i="18"/>
  <c r="CG59" i="18"/>
  <c r="BY59" i="18"/>
  <c r="DH59" i="18" s="1"/>
  <c r="BQ59" i="18"/>
  <c r="BI59" i="18"/>
  <c r="BA59" i="18"/>
  <c r="AS59" i="18"/>
  <c r="AK59" i="18"/>
  <c r="AJ59" i="18"/>
  <c r="AC59" i="18"/>
  <c r="V59" i="18"/>
  <c r="DG58" i="18"/>
  <c r="DF58" i="18"/>
  <c r="DE58" i="18"/>
  <c r="DD58" i="18"/>
  <c r="DC58" i="18"/>
  <c r="DB58" i="18"/>
  <c r="DA58" i="18"/>
  <c r="CZ58" i="18"/>
  <c r="CY58" i="18"/>
  <c r="CW58" i="18"/>
  <c r="CO58" i="18"/>
  <c r="CG58" i="18"/>
  <c r="BY58" i="18"/>
  <c r="DH58" i="18" s="1"/>
  <c r="BQ58" i="18"/>
  <c r="BI58" i="18"/>
  <c r="BA58" i="18"/>
  <c r="AS58" i="18"/>
  <c r="AK58" i="18"/>
  <c r="AJ58" i="18"/>
  <c r="AC58" i="18"/>
  <c r="V58" i="18"/>
  <c r="DG57" i="18"/>
  <c r="DF57" i="18"/>
  <c r="DE57" i="18"/>
  <c r="DD57" i="18"/>
  <c r="DC57" i="18"/>
  <c r="DB57" i="18"/>
  <c r="DA57" i="18"/>
  <c r="CZ57" i="18"/>
  <c r="CY57" i="18"/>
  <c r="CW57" i="18"/>
  <c r="CO57" i="18"/>
  <c r="CG57" i="18"/>
  <c r="BY57" i="18"/>
  <c r="DH57" i="18" s="1"/>
  <c r="BQ57" i="18"/>
  <c r="BI57" i="18"/>
  <c r="BA57" i="18"/>
  <c r="AS57" i="18"/>
  <c r="AK57" i="18"/>
  <c r="AC57" i="18"/>
  <c r="V57" i="18"/>
  <c r="DG56" i="18"/>
  <c r="DF56" i="18"/>
  <c r="DE56" i="18"/>
  <c r="DD56" i="18"/>
  <c r="DC56" i="18"/>
  <c r="DB56" i="18"/>
  <c r="DA56" i="18"/>
  <c r="CZ56" i="18"/>
  <c r="CY56" i="18"/>
  <c r="CW56" i="18"/>
  <c r="CO56" i="18"/>
  <c r="CG56" i="18"/>
  <c r="BY56" i="18"/>
  <c r="DH56" i="18" s="1"/>
  <c r="BQ56" i="18"/>
  <c r="BI56" i="18"/>
  <c r="BA56" i="18"/>
  <c r="AS56" i="18"/>
  <c r="AK56" i="18"/>
  <c r="AJ56" i="18"/>
  <c r="AC56" i="18"/>
  <c r="V56" i="18"/>
  <c r="DG55" i="18"/>
  <c r="DF55" i="18"/>
  <c r="DE55" i="18"/>
  <c r="DD55" i="18"/>
  <c r="DC55" i="18"/>
  <c r="DB55" i="18"/>
  <c r="DA55" i="18"/>
  <c r="CZ55" i="18"/>
  <c r="CY55" i="18"/>
  <c r="CW55" i="18"/>
  <c r="CO55" i="18"/>
  <c r="CG55" i="18"/>
  <c r="BY55" i="18"/>
  <c r="DH55" i="18" s="1"/>
  <c r="BQ55" i="18"/>
  <c r="BI55" i="18"/>
  <c r="BA55" i="18"/>
  <c r="AS55" i="18"/>
  <c r="AK55" i="18"/>
  <c r="AJ55" i="18"/>
  <c r="AC55" i="18"/>
  <c r="V55" i="18"/>
  <c r="DG54" i="18"/>
  <c r="DF54" i="18"/>
  <c r="DE54" i="18"/>
  <c r="DD54" i="18"/>
  <c r="DC54" i="18"/>
  <c r="DB54" i="18"/>
  <c r="DA54" i="18"/>
  <c r="CZ54" i="18"/>
  <c r="CY54" i="18"/>
  <c r="CW54" i="18"/>
  <c r="CO54" i="18"/>
  <c r="CG54" i="18"/>
  <c r="BY54" i="18"/>
  <c r="DH54" i="18" s="1"/>
  <c r="BQ54" i="18"/>
  <c r="BI54" i="18"/>
  <c r="BA54" i="18"/>
  <c r="AS54" i="18"/>
  <c r="AK54" i="18"/>
  <c r="AC54" i="18"/>
  <c r="V54" i="18"/>
  <c r="DG53" i="18"/>
  <c r="DF53" i="18"/>
  <c r="DE53" i="18"/>
  <c r="DD53" i="18"/>
  <c r="DC53" i="18"/>
  <c r="DB53" i="18"/>
  <c r="DA53" i="18"/>
  <c r="CZ53" i="18"/>
  <c r="CY53" i="18"/>
  <c r="CW53" i="18"/>
  <c r="CO53" i="18"/>
  <c r="CG53" i="18"/>
  <c r="BY53" i="18"/>
  <c r="DH53" i="18" s="1"/>
  <c r="BQ53" i="18"/>
  <c r="BI53" i="18"/>
  <c r="BA53" i="18"/>
  <c r="AS53" i="18"/>
  <c r="AK53" i="18"/>
  <c r="AC53" i="18"/>
  <c r="V53" i="18"/>
  <c r="DG52" i="18"/>
  <c r="DF52" i="18"/>
  <c r="DE52" i="18"/>
  <c r="DD52" i="18"/>
  <c r="DC52" i="18"/>
  <c r="DB52" i="18"/>
  <c r="DA52" i="18"/>
  <c r="CZ52" i="18"/>
  <c r="CY52" i="18"/>
  <c r="CW52" i="18"/>
  <c r="CO52" i="18"/>
  <c r="CG52" i="18"/>
  <c r="BY52" i="18"/>
  <c r="DH52" i="18" s="1"/>
  <c r="BQ52" i="18"/>
  <c r="BI52" i="18"/>
  <c r="BA52" i="18"/>
  <c r="AS52" i="18"/>
  <c r="AK52" i="18"/>
  <c r="AC52" i="18"/>
  <c r="V52" i="18"/>
  <c r="DG51" i="18"/>
  <c r="DF51" i="18"/>
  <c r="DE51" i="18"/>
  <c r="DD51" i="18"/>
  <c r="DC51" i="18"/>
  <c r="DB51" i="18"/>
  <c r="DA51" i="18"/>
  <c r="CZ51" i="18"/>
  <c r="CY51" i="18"/>
  <c r="CW51" i="18"/>
  <c r="CO51" i="18"/>
  <c r="CG51" i="18"/>
  <c r="BY51" i="18"/>
  <c r="DH51" i="18" s="1"/>
  <c r="BQ51" i="18"/>
  <c r="BI51" i="18"/>
  <c r="BA51" i="18"/>
  <c r="AS51" i="18"/>
  <c r="AK51" i="18"/>
  <c r="AC51" i="18"/>
  <c r="V51" i="18"/>
  <c r="DG50" i="18"/>
  <c r="DF50" i="18"/>
  <c r="DE50" i="18"/>
  <c r="DD50" i="18"/>
  <c r="DC50" i="18"/>
  <c r="DB50" i="18"/>
  <c r="DA50" i="18"/>
  <c r="CZ50" i="18"/>
  <c r="CY50" i="18"/>
  <c r="CW50" i="18"/>
  <c r="CO50" i="18"/>
  <c r="CG50" i="18"/>
  <c r="BY50" i="18"/>
  <c r="DH50" i="18" s="1"/>
  <c r="BQ50" i="18"/>
  <c r="BI50" i="18"/>
  <c r="BA50" i="18"/>
  <c r="AS50" i="18"/>
  <c r="AK50" i="18"/>
  <c r="AC50" i="18"/>
  <c r="V50" i="18"/>
  <c r="DG49" i="18"/>
  <c r="DF49" i="18"/>
  <c r="DE49" i="18"/>
  <c r="DD49" i="18"/>
  <c r="DC49" i="18"/>
  <c r="DB49" i="18"/>
  <c r="DA49" i="18"/>
  <c r="CZ49" i="18"/>
  <c r="CY49" i="18"/>
  <c r="CW49" i="18"/>
  <c r="CO49" i="18"/>
  <c r="CG49" i="18"/>
  <c r="BY49" i="18"/>
  <c r="DH49" i="18" s="1"/>
  <c r="BQ49" i="18"/>
  <c r="BI49" i="18"/>
  <c r="BA49" i="18"/>
  <c r="AS49" i="18"/>
  <c r="AK49" i="18"/>
  <c r="AC49" i="18"/>
  <c r="V49" i="18"/>
  <c r="DG48" i="18"/>
  <c r="DF48" i="18"/>
  <c r="DE48" i="18"/>
  <c r="DD48" i="18"/>
  <c r="DC48" i="18"/>
  <c r="DB48" i="18"/>
  <c r="DA48" i="18"/>
  <c r="CZ48" i="18"/>
  <c r="CY48" i="18"/>
  <c r="CW48" i="18"/>
  <c r="CO48" i="18"/>
  <c r="CG48" i="18"/>
  <c r="BY48" i="18"/>
  <c r="DH48" i="18" s="1"/>
  <c r="BQ48" i="18"/>
  <c r="BI48" i="18"/>
  <c r="BA48" i="18"/>
  <c r="AS48" i="18"/>
  <c r="AK48" i="18"/>
  <c r="AC48" i="18"/>
  <c r="V48" i="18"/>
  <c r="BG120" i="14"/>
  <c r="BB120" i="14"/>
  <c r="AU120" i="14"/>
  <c r="BG119" i="14"/>
  <c r="BB119" i="14"/>
  <c r="AU119" i="14"/>
  <c r="N119" i="14"/>
  <c r="M119" i="14"/>
  <c r="L119" i="14"/>
  <c r="K119" i="14"/>
  <c r="J119" i="14"/>
  <c r="I119" i="14"/>
  <c r="H119" i="14"/>
  <c r="G119" i="14"/>
  <c r="F119" i="14"/>
  <c r="E119" i="14"/>
  <c r="BI119" i="14" s="1"/>
  <c r="D119" i="14"/>
  <c r="C119" i="14"/>
  <c r="B119" i="14"/>
  <c r="BH119" i="14" s="1"/>
  <c r="BG118" i="14"/>
  <c r="BB118" i="14"/>
  <c r="AU118" i="14"/>
  <c r="N118" i="14"/>
  <c r="M118" i="14"/>
  <c r="L118" i="14"/>
  <c r="K118" i="14"/>
  <c r="J118" i="14"/>
  <c r="I118" i="14"/>
  <c r="H118" i="14"/>
  <c r="G118" i="14"/>
  <c r="F118" i="14"/>
  <c r="E118" i="14"/>
  <c r="BI118" i="14" s="1"/>
  <c r="D118" i="14"/>
  <c r="C118" i="14"/>
  <c r="B118" i="14"/>
  <c r="BH118" i="14" s="1"/>
  <c r="BG117" i="14"/>
  <c r="BB117" i="14"/>
  <c r="AU117" i="14"/>
  <c r="N117" i="14"/>
  <c r="M117" i="14"/>
  <c r="L117" i="14"/>
  <c r="K117" i="14"/>
  <c r="J117" i="14"/>
  <c r="I117" i="14"/>
  <c r="H117" i="14"/>
  <c r="G117" i="14"/>
  <c r="F117" i="14"/>
  <c r="E117" i="14"/>
  <c r="BI117" i="14" s="1"/>
  <c r="D117" i="14"/>
  <c r="C117" i="14"/>
  <c r="B117" i="14"/>
  <c r="BH117" i="14" s="1"/>
  <c r="BG116" i="14"/>
  <c r="BB116" i="14"/>
  <c r="AU116" i="14"/>
  <c r="N116" i="14"/>
  <c r="M116" i="14"/>
  <c r="L116" i="14"/>
  <c r="K116" i="14"/>
  <c r="J116" i="14"/>
  <c r="I116" i="14"/>
  <c r="H116" i="14"/>
  <c r="G116" i="14"/>
  <c r="F116" i="14"/>
  <c r="E116" i="14"/>
  <c r="BI116" i="14" s="1"/>
  <c r="D116" i="14"/>
  <c r="C116" i="14"/>
  <c r="B116" i="14"/>
  <c r="BH116" i="14" s="1"/>
  <c r="BG115" i="14"/>
  <c r="BB115" i="14"/>
  <c r="AU115" i="14"/>
  <c r="N115" i="14"/>
  <c r="M115" i="14"/>
  <c r="L115" i="14"/>
  <c r="K115" i="14"/>
  <c r="J115" i="14"/>
  <c r="I115" i="14"/>
  <c r="H115" i="14"/>
  <c r="G115" i="14"/>
  <c r="F115" i="14"/>
  <c r="E115" i="14"/>
  <c r="BI115" i="14" s="1"/>
  <c r="D115" i="14"/>
  <c r="C115" i="14"/>
  <c r="B115" i="14"/>
  <c r="BH115" i="14" s="1"/>
  <c r="BG114" i="14"/>
  <c r="BB114" i="14"/>
  <c r="AU114" i="14"/>
  <c r="N114" i="14"/>
  <c r="M114" i="14"/>
  <c r="L114" i="14"/>
  <c r="K114" i="14"/>
  <c r="J114" i="14"/>
  <c r="I114" i="14"/>
  <c r="H114" i="14"/>
  <c r="G114" i="14"/>
  <c r="F114" i="14"/>
  <c r="E114" i="14"/>
  <c r="BI114" i="14" s="1"/>
  <c r="D114" i="14"/>
  <c r="C114" i="14"/>
  <c r="B114" i="14"/>
  <c r="BH114" i="14" s="1"/>
  <c r="BG113" i="14"/>
  <c r="BB113" i="14"/>
  <c r="AU113" i="14"/>
  <c r="N113" i="14"/>
  <c r="M113" i="14"/>
  <c r="L113" i="14"/>
  <c r="K113" i="14"/>
  <c r="J113" i="14"/>
  <c r="I113" i="14"/>
  <c r="H113" i="14"/>
  <c r="G113" i="14"/>
  <c r="F113" i="14"/>
  <c r="E113" i="14"/>
  <c r="BI113" i="14" s="1"/>
  <c r="D113" i="14"/>
  <c r="C113" i="14"/>
  <c r="B113" i="14"/>
  <c r="BH113" i="14" s="1"/>
  <c r="BG112" i="14"/>
  <c r="BB112" i="14"/>
  <c r="AU112" i="14"/>
  <c r="N112" i="14"/>
  <c r="M112" i="14"/>
  <c r="L112" i="14"/>
  <c r="K112" i="14"/>
  <c r="J112" i="14"/>
  <c r="I112" i="14"/>
  <c r="H112" i="14"/>
  <c r="G112" i="14"/>
  <c r="F112" i="14"/>
  <c r="E112" i="14"/>
  <c r="BI112" i="14" s="1"/>
  <c r="D112" i="14"/>
  <c r="C112" i="14"/>
  <c r="B112" i="14"/>
  <c r="BH112" i="14" s="1"/>
  <c r="BG111" i="14"/>
  <c r="BB111" i="14"/>
  <c r="AU111" i="14"/>
  <c r="N111" i="14"/>
  <c r="M111" i="14"/>
  <c r="L111" i="14"/>
  <c r="K111" i="14"/>
  <c r="J111" i="14"/>
  <c r="I111" i="14"/>
  <c r="H111" i="14"/>
  <c r="G111" i="14"/>
  <c r="F111" i="14"/>
  <c r="E111" i="14"/>
  <c r="BI111" i="14" s="1"/>
  <c r="D111" i="14"/>
  <c r="C111" i="14"/>
  <c r="B111" i="14"/>
  <c r="BH111" i="14" s="1"/>
  <c r="BG110" i="14"/>
  <c r="BB110" i="14"/>
  <c r="AU110" i="14"/>
  <c r="N110" i="14"/>
  <c r="M110" i="14"/>
  <c r="L110" i="14"/>
  <c r="K110" i="14"/>
  <c r="J110" i="14"/>
  <c r="I110" i="14"/>
  <c r="H110" i="14"/>
  <c r="G110" i="14"/>
  <c r="F110" i="14"/>
  <c r="E110" i="14"/>
  <c r="BI110" i="14" s="1"/>
  <c r="D110" i="14"/>
  <c r="C110" i="14"/>
  <c r="B110" i="14"/>
  <c r="BH110" i="14" s="1"/>
  <c r="BG109" i="14"/>
  <c r="BB109" i="14"/>
  <c r="AU109" i="14"/>
  <c r="N109" i="14"/>
  <c r="M109" i="14"/>
  <c r="L109" i="14"/>
  <c r="K109" i="14"/>
  <c r="J109" i="14"/>
  <c r="I109" i="14"/>
  <c r="H109" i="14"/>
  <c r="G109" i="14"/>
  <c r="F109" i="14"/>
  <c r="E109" i="14"/>
  <c r="BI109" i="14" s="1"/>
  <c r="D109" i="14"/>
  <c r="C109" i="14"/>
  <c r="B109" i="14"/>
  <c r="BH109" i="14" s="1"/>
  <c r="BG108" i="14"/>
  <c r="BB108" i="14"/>
  <c r="AU108" i="14"/>
  <c r="N108" i="14"/>
  <c r="M108" i="14"/>
  <c r="L108" i="14"/>
  <c r="K108" i="14"/>
  <c r="J108" i="14"/>
  <c r="I108" i="14"/>
  <c r="H108" i="14"/>
  <c r="G108" i="14"/>
  <c r="F108" i="14"/>
  <c r="E108" i="14"/>
  <c r="BI108" i="14" s="1"/>
  <c r="D108" i="14"/>
  <c r="C108" i="14"/>
  <c r="B108" i="14"/>
  <c r="BH108" i="14" s="1"/>
  <c r="BG107" i="14"/>
  <c r="BB107" i="14"/>
  <c r="AU107" i="14"/>
  <c r="N107" i="14"/>
  <c r="M107" i="14"/>
  <c r="L107" i="14"/>
  <c r="K107" i="14"/>
  <c r="J107" i="14"/>
  <c r="I107" i="14"/>
  <c r="H107" i="14"/>
  <c r="G107" i="14"/>
  <c r="F107" i="14"/>
  <c r="E107" i="14"/>
  <c r="BI107" i="14" s="1"/>
  <c r="D107" i="14"/>
  <c r="C107" i="14"/>
  <c r="B107" i="14"/>
  <c r="BH107" i="14" s="1"/>
  <c r="BG106" i="14"/>
  <c r="BB106" i="14"/>
  <c r="AU106" i="14"/>
  <c r="N106" i="14"/>
  <c r="M106" i="14"/>
  <c r="L106" i="14"/>
  <c r="K106" i="14"/>
  <c r="J106" i="14"/>
  <c r="I106" i="14"/>
  <c r="H106" i="14"/>
  <c r="G106" i="14"/>
  <c r="F106" i="14"/>
  <c r="E106" i="14"/>
  <c r="BI106" i="14" s="1"/>
  <c r="D106" i="14"/>
  <c r="C106" i="14"/>
  <c r="B106" i="14"/>
  <c r="BH106" i="14" s="1"/>
  <c r="BG105" i="14"/>
  <c r="BB105" i="14"/>
  <c r="AU105" i="14"/>
  <c r="N105" i="14"/>
  <c r="M105" i="14"/>
  <c r="L105" i="14"/>
  <c r="K105" i="14"/>
  <c r="J105" i="14"/>
  <c r="I105" i="14"/>
  <c r="H105" i="14"/>
  <c r="G105" i="14"/>
  <c r="F105" i="14"/>
  <c r="E105" i="14"/>
  <c r="BI105" i="14" s="1"/>
  <c r="D105" i="14"/>
  <c r="C105" i="14"/>
  <c r="B105" i="14"/>
  <c r="BH105" i="14" s="1"/>
  <c r="BG104" i="14"/>
  <c r="BB104" i="14"/>
  <c r="AU104" i="14"/>
  <c r="N104" i="14"/>
  <c r="M104" i="14"/>
  <c r="L104" i="14"/>
  <c r="K104" i="14"/>
  <c r="J104" i="14"/>
  <c r="I104" i="14"/>
  <c r="H104" i="14"/>
  <c r="G104" i="14"/>
  <c r="F104" i="14"/>
  <c r="E104" i="14"/>
  <c r="BI104" i="14" s="1"/>
  <c r="D104" i="14"/>
  <c r="C104" i="14"/>
  <c r="B104" i="14"/>
  <c r="BH104" i="14" s="1"/>
  <c r="BG103" i="14"/>
  <c r="BB103" i="14"/>
  <c r="AU103" i="14"/>
  <c r="N103" i="14"/>
  <c r="M103" i="14"/>
  <c r="L103" i="14"/>
  <c r="K103" i="14"/>
  <c r="J103" i="14"/>
  <c r="I103" i="14"/>
  <c r="H103" i="14"/>
  <c r="G103" i="14"/>
  <c r="F103" i="14"/>
  <c r="E103" i="14"/>
  <c r="BI103" i="14" s="1"/>
  <c r="D103" i="14"/>
  <c r="C103" i="14"/>
  <c r="B103" i="14"/>
  <c r="BH103" i="14" s="1"/>
  <c r="BG102" i="14"/>
  <c r="BB102" i="14"/>
  <c r="AU102" i="14"/>
  <c r="N102" i="14"/>
  <c r="M102" i="14"/>
  <c r="L102" i="14"/>
  <c r="K102" i="14"/>
  <c r="J102" i="14"/>
  <c r="I102" i="14"/>
  <c r="H102" i="14"/>
  <c r="G102" i="14"/>
  <c r="F102" i="14"/>
  <c r="E102" i="14"/>
  <c r="BI102" i="14" s="1"/>
  <c r="D102" i="14"/>
  <c r="C102" i="14"/>
  <c r="B102" i="14"/>
  <c r="BH102" i="14" s="1"/>
  <c r="BG101" i="14"/>
  <c r="BB101" i="14"/>
  <c r="AU101" i="14"/>
  <c r="N101" i="14"/>
  <c r="M101" i="14"/>
  <c r="L101" i="14"/>
  <c r="K101" i="14"/>
  <c r="J101" i="14"/>
  <c r="I101" i="14"/>
  <c r="H101" i="14"/>
  <c r="G101" i="14"/>
  <c r="F101" i="14"/>
  <c r="E101" i="14"/>
  <c r="BI101" i="14" s="1"/>
  <c r="D101" i="14"/>
  <c r="C101" i="14"/>
  <c r="B101" i="14"/>
  <c r="BH101" i="14" s="1"/>
  <c r="BG100" i="14"/>
  <c r="BB100" i="14"/>
  <c r="AU100" i="14"/>
  <c r="N100" i="14"/>
  <c r="M100" i="14"/>
  <c r="L100" i="14"/>
  <c r="K100" i="14"/>
  <c r="J100" i="14"/>
  <c r="I100" i="14"/>
  <c r="H100" i="14"/>
  <c r="G100" i="14"/>
  <c r="F100" i="14"/>
  <c r="E100" i="14"/>
  <c r="BI100" i="14" s="1"/>
  <c r="D100" i="14"/>
  <c r="C100" i="14"/>
  <c r="B100" i="14"/>
  <c r="BH100" i="14" s="1"/>
  <c r="BG99" i="14"/>
  <c r="BB99" i="14"/>
  <c r="AU99" i="14"/>
  <c r="N99" i="14"/>
  <c r="M99" i="14"/>
  <c r="L99" i="14"/>
  <c r="K99" i="14"/>
  <c r="J99" i="14"/>
  <c r="I99" i="14"/>
  <c r="H99" i="14"/>
  <c r="G99" i="14"/>
  <c r="F99" i="14"/>
  <c r="E99" i="14"/>
  <c r="BI99" i="14" s="1"/>
  <c r="D99" i="14"/>
  <c r="C99" i="14"/>
  <c r="B99" i="14"/>
  <c r="BH99" i="14" s="1"/>
  <c r="BG98" i="14"/>
  <c r="BB98" i="14"/>
  <c r="AU98" i="14"/>
  <c r="N98" i="14"/>
  <c r="M98" i="14"/>
  <c r="L98" i="14"/>
  <c r="K98" i="14"/>
  <c r="J98" i="14"/>
  <c r="I98" i="14"/>
  <c r="H98" i="14"/>
  <c r="G98" i="14"/>
  <c r="F98" i="14"/>
  <c r="E98" i="14"/>
  <c r="BI98" i="14" s="1"/>
  <c r="D98" i="14"/>
  <c r="C98" i="14"/>
  <c r="B98" i="14"/>
  <c r="BH98" i="14" s="1"/>
  <c r="BG97" i="14"/>
  <c r="BB97" i="14"/>
  <c r="AU97" i="14"/>
  <c r="N97" i="14"/>
  <c r="M97" i="14"/>
  <c r="L97" i="14"/>
  <c r="K97" i="14"/>
  <c r="J97" i="14"/>
  <c r="I97" i="14"/>
  <c r="H97" i="14"/>
  <c r="G97" i="14"/>
  <c r="F97" i="14"/>
  <c r="E97" i="14"/>
  <c r="BI97" i="14" s="1"/>
  <c r="D97" i="14"/>
  <c r="C97" i="14"/>
  <c r="B97" i="14"/>
  <c r="BH97" i="14" s="1"/>
  <c r="BG96" i="14"/>
  <c r="BB96" i="14"/>
  <c r="AU96" i="14"/>
  <c r="N96" i="14"/>
  <c r="M96" i="14"/>
  <c r="L96" i="14"/>
  <c r="K96" i="14"/>
  <c r="J96" i="14"/>
  <c r="I96" i="14"/>
  <c r="H96" i="14"/>
  <c r="G96" i="14"/>
  <c r="F96" i="14"/>
  <c r="E96" i="14"/>
  <c r="BI96" i="14" s="1"/>
  <c r="D96" i="14"/>
  <c r="C96" i="14"/>
  <c r="B96" i="14"/>
  <c r="BH96" i="14" s="1"/>
  <c r="BG95" i="14"/>
  <c r="BB95" i="14"/>
  <c r="AU95" i="14"/>
  <c r="N95" i="14"/>
  <c r="M95" i="14"/>
  <c r="L95" i="14"/>
  <c r="K95" i="14"/>
  <c r="J95" i="14"/>
  <c r="I95" i="14"/>
  <c r="H95" i="14"/>
  <c r="G95" i="14"/>
  <c r="F95" i="14"/>
  <c r="E95" i="14"/>
  <c r="BI95" i="14" s="1"/>
  <c r="D95" i="14"/>
  <c r="C95" i="14"/>
  <c r="B95" i="14"/>
  <c r="BH95" i="14" s="1"/>
  <c r="BG94" i="14"/>
  <c r="BB94" i="14"/>
  <c r="AU94" i="14"/>
  <c r="N94" i="14"/>
  <c r="M94" i="14"/>
  <c r="L94" i="14"/>
  <c r="K94" i="14"/>
  <c r="J94" i="14"/>
  <c r="I94" i="14"/>
  <c r="H94" i="14"/>
  <c r="G94" i="14"/>
  <c r="F94" i="14"/>
  <c r="E94" i="14"/>
  <c r="BI94" i="14" s="1"/>
  <c r="D94" i="14"/>
  <c r="C94" i="14"/>
  <c r="B94" i="14"/>
  <c r="BH94" i="14" s="1"/>
  <c r="BG93" i="14"/>
  <c r="BB93" i="14"/>
  <c r="AU93" i="14"/>
  <c r="N93" i="14"/>
  <c r="M93" i="14"/>
  <c r="L93" i="14"/>
  <c r="K93" i="14"/>
  <c r="J93" i="14"/>
  <c r="I93" i="14"/>
  <c r="H93" i="14"/>
  <c r="G93" i="14"/>
  <c r="F93" i="14"/>
  <c r="E93" i="14"/>
  <c r="BI93" i="14" s="1"/>
  <c r="D93" i="14"/>
  <c r="C93" i="14"/>
  <c r="B93" i="14"/>
  <c r="BH93" i="14" s="1"/>
  <c r="DG47" i="18"/>
  <c r="DF47" i="18"/>
  <c r="DE47" i="18"/>
  <c r="DD47" i="18"/>
  <c r="DC47" i="18"/>
  <c r="DB47" i="18"/>
  <c r="DA47" i="18"/>
  <c r="CZ47" i="18"/>
  <c r="CY47" i="18"/>
  <c r="CW47" i="18"/>
  <c r="CO47" i="18"/>
  <c r="CG47" i="18"/>
  <c r="BY47" i="18"/>
  <c r="DH47" i="18" s="1"/>
  <c r="BQ47" i="18"/>
  <c r="BI47" i="18"/>
  <c r="BA47" i="18"/>
  <c r="AS47" i="18"/>
  <c r="AK47" i="18"/>
  <c r="AC47" i="18"/>
  <c r="V47" i="18"/>
  <c r="DG46" i="18"/>
  <c r="DF46" i="18"/>
  <c r="DE46" i="18"/>
  <c r="DD46" i="18"/>
  <c r="DC46" i="18"/>
  <c r="DB46" i="18"/>
  <c r="DA46" i="18"/>
  <c r="CZ46" i="18"/>
  <c r="CY46" i="18"/>
  <c r="CW46" i="18"/>
  <c r="CO46" i="18"/>
  <c r="CG46" i="18"/>
  <c r="BY46" i="18"/>
  <c r="DH46" i="18" s="1"/>
  <c r="BQ46" i="18"/>
  <c r="BI46" i="18"/>
  <c r="BA46" i="18"/>
  <c r="AS46" i="18"/>
  <c r="AK46" i="18"/>
  <c r="AC46" i="18"/>
  <c r="V46" i="18"/>
  <c r="DG45" i="18"/>
  <c r="DF45" i="18"/>
  <c r="DE45" i="18"/>
  <c r="DD45" i="18"/>
  <c r="DC45" i="18"/>
  <c r="DB45" i="18"/>
  <c r="DA45" i="18"/>
  <c r="CZ45" i="18"/>
  <c r="CY45" i="18"/>
  <c r="CW45" i="18"/>
  <c r="CO45" i="18"/>
  <c r="CG45" i="18"/>
  <c r="BY45" i="18"/>
  <c r="DH45" i="18" s="1"/>
  <c r="BQ45" i="18"/>
  <c r="BI45" i="18"/>
  <c r="BA45" i="18"/>
  <c r="AS45" i="18"/>
  <c r="AK45" i="18"/>
  <c r="AC45" i="18"/>
  <c r="V45" i="18"/>
  <c r="DG44" i="18"/>
  <c r="DF44" i="18"/>
  <c r="DE44" i="18"/>
  <c r="DD44" i="18"/>
  <c r="DC44" i="18"/>
  <c r="DB44" i="18"/>
  <c r="DA44" i="18"/>
  <c r="CZ44" i="18"/>
  <c r="CY44" i="18"/>
  <c r="CW44" i="18"/>
  <c r="CO44" i="18"/>
  <c r="CG44" i="18"/>
  <c r="BY44" i="18"/>
  <c r="DH44" i="18" s="1"/>
  <c r="BQ44" i="18"/>
  <c r="BI44" i="18"/>
  <c r="BA44" i="18"/>
  <c r="AS44" i="18"/>
  <c r="AK44" i="18"/>
  <c r="AC44" i="18"/>
  <c r="V44" i="18"/>
  <c r="DG43" i="18"/>
  <c r="DF43" i="18"/>
  <c r="DE43" i="18"/>
  <c r="DD43" i="18"/>
  <c r="DC43" i="18"/>
  <c r="DB43" i="18"/>
  <c r="DA43" i="18"/>
  <c r="CZ43" i="18"/>
  <c r="CY43" i="18"/>
  <c r="CW43" i="18"/>
  <c r="CO43" i="18"/>
  <c r="CG43" i="18"/>
  <c r="BY43" i="18"/>
  <c r="DH43" i="18" s="1"/>
  <c r="BQ43" i="18"/>
  <c r="BI43" i="18"/>
  <c r="BA43" i="18"/>
  <c r="AS43" i="18"/>
  <c r="AK43" i="18"/>
  <c r="AC43" i="18"/>
  <c r="V43" i="18"/>
  <c r="DG42" i="18"/>
  <c r="DF42" i="18"/>
  <c r="DE42" i="18"/>
  <c r="DD42" i="18"/>
  <c r="DC42" i="18"/>
  <c r="DB42" i="18"/>
  <c r="DA42" i="18"/>
  <c r="CZ42" i="18"/>
  <c r="CY42" i="18"/>
  <c r="CW42" i="18"/>
  <c r="CO42" i="18"/>
  <c r="CG42" i="18"/>
  <c r="BY42" i="18"/>
  <c r="DH42" i="18" s="1"/>
  <c r="BQ42" i="18"/>
  <c r="BI42" i="18"/>
  <c r="BA42" i="18"/>
  <c r="AS42" i="18"/>
  <c r="AK42" i="18"/>
  <c r="AC42" i="18"/>
  <c r="V42" i="18"/>
  <c r="DG41" i="18"/>
  <c r="DF41" i="18"/>
  <c r="DE41" i="18"/>
  <c r="DD41" i="18"/>
  <c r="DC41" i="18"/>
  <c r="DB41" i="18"/>
  <c r="DA41" i="18"/>
  <c r="CZ41" i="18"/>
  <c r="CY41" i="18"/>
  <c r="CW41" i="18"/>
  <c r="CO41" i="18"/>
  <c r="CG41" i="18"/>
  <c r="BY41" i="18"/>
  <c r="DH41" i="18" s="1"/>
  <c r="BQ41" i="18"/>
  <c r="BI41" i="18"/>
  <c r="BA41" i="18"/>
  <c r="AS41" i="18"/>
  <c r="AK41" i="18"/>
  <c r="AC41" i="18"/>
  <c r="V41" i="18"/>
  <c r="DG40" i="18"/>
  <c r="DF40" i="18"/>
  <c r="DE40" i="18"/>
  <c r="DD40" i="18"/>
  <c r="DC40" i="18"/>
  <c r="DB40" i="18"/>
  <c r="DA40" i="18"/>
  <c r="CZ40" i="18"/>
  <c r="CY40" i="18"/>
  <c r="CW40" i="18"/>
  <c r="CO40" i="18"/>
  <c r="CG40" i="18"/>
  <c r="BY40" i="18"/>
  <c r="DH40" i="18" s="1"/>
  <c r="BQ40" i="18"/>
  <c r="BI40" i="18"/>
  <c r="BA40" i="18"/>
  <c r="AS40" i="18"/>
  <c r="AK40" i="18"/>
  <c r="AC40" i="18"/>
  <c r="V40" i="18"/>
  <c r="DG39" i="18"/>
  <c r="DF39" i="18"/>
  <c r="DE39" i="18"/>
  <c r="DD39" i="18"/>
  <c r="DC39" i="18"/>
  <c r="DB39" i="18"/>
  <c r="DA39" i="18"/>
  <c r="CZ39" i="18"/>
  <c r="CY39" i="18"/>
  <c r="CW39" i="18"/>
  <c r="CO39" i="18"/>
  <c r="CG39" i="18"/>
  <c r="BY39" i="18"/>
  <c r="DH39" i="18" s="1"/>
  <c r="BQ39" i="18"/>
  <c r="BI39" i="18"/>
  <c r="BA39" i="18"/>
  <c r="AS39" i="18"/>
  <c r="AK39" i="18"/>
  <c r="AC39" i="18"/>
  <c r="V39" i="18"/>
  <c r="DG38" i="18"/>
  <c r="DF38" i="18"/>
  <c r="DE38" i="18"/>
  <c r="DD38" i="18"/>
  <c r="DC38" i="18"/>
  <c r="DB38" i="18"/>
  <c r="DA38" i="18"/>
  <c r="CZ38" i="18"/>
  <c r="CY38" i="18"/>
  <c r="CW38" i="18"/>
  <c r="CO38" i="18"/>
  <c r="CG38" i="18"/>
  <c r="BY38" i="18"/>
  <c r="DH38" i="18" s="1"/>
  <c r="BQ38" i="18"/>
  <c r="BI38" i="18"/>
  <c r="BA38" i="18"/>
  <c r="AS38" i="18"/>
  <c r="AK38" i="18"/>
  <c r="AJ38" i="18"/>
  <c r="AC38" i="18"/>
  <c r="V38" i="18"/>
  <c r="D2" i="14"/>
  <c r="D3" i="14"/>
  <c r="D4" i="14"/>
  <c r="D5" i="14"/>
  <c r="D6" i="14"/>
  <c r="D7" i="14"/>
  <c r="D8" i="14"/>
  <c r="D9" i="14"/>
  <c r="D10"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C2" i="14"/>
  <c r="C3" i="14"/>
  <c r="C4" i="14"/>
  <c r="C5" i="14"/>
  <c r="C6" i="14"/>
  <c r="C7" i="14"/>
  <c r="C8" i="14"/>
  <c r="C9" i="14"/>
  <c r="C10" i="14"/>
  <c r="C11" i="14"/>
  <c r="C12" i="14"/>
  <c r="C13" i="14"/>
  <c r="C14" i="14"/>
  <c r="C15" i="14"/>
  <c r="C16" i="14"/>
  <c r="C17" i="14"/>
  <c r="C18" i="14"/>
  <c r="C19" i="14"/>
  <c r="C20" i="14"/>
  <c r="C21" i="14"/>
  <c r="C22" i="14"/>
  <c r="C23" i="14"/>
  <c r="C24" i="14"/>
  <c r="C25" i="14"/>
  <c r="C26" i="14"/>
  <c r="C27" i="14"/>
  <c r="C28" i="14"/>
  <c r="C29" i="14"/>
  <c r="C30" i="14"/>
  <c r="C31" i="14"/>
  <c r="C32" i="14"/>
  <c r="C33" i="14"/>
  <c r="C34" i="14"/>
  <c r="C35" i="14"/>
  <c r="C36" i="14"/>
  <c r="C37" i="14"/>
  <c r="C38" i="14"/>
  <c r="C39" i="14"/>
  <c r="C40" i="14"/>
  <c r="C41" i="14"/>
  <c r="C42" i="14"/>
  <c r="C43" i="14"/>
  <c r="C44" i="14"/>
  <c r="C45" i="14"/>
  <c r="C46" i="14"/>
  <c r="C47" i="14"/>
  <c r="C48" i="14"/>
  <c r="C49" i="14"/>
  <c r="C50" i="14"/>
  <c r="C51" i="14"/>
  <c r="C52" i="14"/>
  <c r="C53" i="14"/>
  <c r="C54" i="14"/>
  <c r="C55" i="14"/>
  <c r="C56" i="14"/>
  <c r="C57" i="14"/>
  <c r="C58" i="14"/>
  <c r="C59" i="14"/>
  <c r="C60" i="14"/>
  <c r="C61" i="14"/>
  <c r="C62" i="14"/>
  <c r="C63" i="14"/>
  <c r="C64" i="14"/>
  <c r="C65" i="14"/>
  <c r="C66" i="14"/>
  <c r="C67" i="14"/>
  <c r="C68" i="14"/>
  <c r="C69" i="14"/>
  <c r="C70" i="14"/>
  <c r="C71" i="14"/>
  <c r="C72" i="14"/>
  <c r="C73" i="14"/>
  <c r="C74" i="14"/>
  <c r="C75" i="14"/>
  <c r="C76" i="14"/>
  <c r="C77" i="14"/>
  <c r="C78" i="14"/>
  <c r="C79" i="14"/>
  <c r="C80" i="14"/>
  <c r="C81" i="14"/>
  <c r="C82" i="14"/>
  <c r="C83" i="14"/>
  <c r="C84" i="14"/>
  <c r="C85" i="14"/>
  <c r="C86" i="14"/>
  <c r="C87" i="14"/>
  <c r="C88" i="14"/>
  <c r="C89" i="14"/>
  <c r="C90" i="14"/>
  <c r="C91" i="14"/>
  <c r="C92" i="14"/>
  <c r="B2" i="14"/>
  <c r="BH2" i="14" s="1"/>
  <c r="B3" i="14"/>
  <c r="BH3" i="14" s="1"/>
  <c r="B4" i="14"/>
  <c r="BH4" i="14" s="1"/>
  <c r="B5" i="14"/>
  <c r="BH5" i="14" s="1"/>
  <c r="B6" i="14"/>
  <c r="BH6" i="14" s="1"/>
  <c r="B7" i="14"/>
  <c r="BH7" i="14" s="1"/>
  <c r="B8" i="14"/>
  <c r="BH8" i="14" s="1"/>
  <c r="B9" i="14"/>
  <c r="BH9" i="14" s="1"/>
  <c r="B10" i="14"/>
  <c r="BH10" i="14" s="1"/>
  <c r="B11" i="14"/>
  <c r="BH11" i="14" s="1"/>
  <c r="B12" i="14"/>
  <c r="BH12" i="14" s="1"/>
  <c r="B13" i="14"/>
  <c r="BH13" i="14" s="1"/>
  <c r="B14" i="14"/>
  <c r="BH14" i="14" s="1"/>
  <c r="B15" i="14"/>
  <c r="BH15" i="14" s="1"/>
  <c r="B16" i="14"/>
  <c r="BH16" i="14" s="1"/>
  <c r="B17" i="14"/>
  <c r="BH17" i="14" s="1"/>
  <c r="B18" i="14"/>
  <c r="BH18" i="14" s="1"/>
  <c r="B19" i="14"/>
  <c r="BH19" i="14" s="1"/>
  <c r="B20" i="14"/>
  <c r="BH20" i="14" s="1"/>
  <c r="B21" i="14"/>
  <c r="BH21" i="14" s="1"/>
  <c r="B22" i="14"/>
  <c r="BH22" i="14" s="1"/>
  <c r="B23" i="14"/>
  <c r="BH23" i="14" s="1"/>
  <c r="B24" i="14"/>
  <c r="BH24" i="14" s="1"/>
  <c r="B25" i="14"/>
  <c r="BH25" i="14" s="1"/>
  <c r="B26" i="14"/>
  <c r="BH26" i="14" s="1"/>
  <c r="B27" i="14"/>
  <c r="BH27" i="14" s="1"/>
  <c r="B28" i="14"/>
  <c r="BH28" i="14" s="1"/>
  <c r="B29" i="14"/>
  <c r="BH29" i="14" s="1"/>
  <c r="B30" i="14"/>
  <c r="BH30" i="14" s="1"/>
  <c r="B31" i="14"/>
  <c r="BH31" i="14" s="1"/>
  <c r="B32" i="14"/>
  <c r="BH32" i="14" s="1"/>
  <c r="B33" i="14"/>
  <c r="BH33" i="14" s="1"/>
  <c r="B34" i="14"/>
  <c r="BH34" i="14" s="1"/>
  <c r="B35" i="14"/>
  <c r="BH35" i="14" s="1"/>
  <c r="B36" i="14"/>
  <c r="BH36" i="14" s="1"/>
  <c r="B37" i="14"/>
  <c r="BH37" i="14" s="1"/>
  <c r="B38" i="14"/>
  <c r="BH38" i="14" s="1"/>
  <c r="B39" i="14"/>
  <c r="BH39" i="14" s="1"/>
  <c r="B40" i="14"/>
  <c r="BH40" i="14" s="1"/>
  <c r="B41" i="14"/>
  <c r="BH41" i="14" s="1"/>
  <c r="B42" i="14"/>
  <c r="BH42" i="14" s="1"/>
  <c r="B43" i="14"/>
  <c r="BH43" i="14" s="1"/>
  <c r="B44" i="14"/>
  <c r="BH44" i="14" s="1"/>
  <c r="B45" i="14"/>
  <c r="BH45" i="14" s="1"/>
  <c r="B46" i="14"/>
  <c r="BH46" i="14" s="1"/>
  <c r="B47" i="14"/>
  <c r="BH47" i="14" s="1"/>
  <c r="B48" i="14"/>
  <c r="BH48" i="14" s="1"/>
  <c r="B49" i="14"/>
  <c r="BH49" i="14" s="1"/>
  <c r="B50" i="14"/>
  <c r="BH50" i="14" s="1"/>
  <c r="B51" i="14"/>
  <c r="BH51" i="14" s="1"/>
  <c r="B52" i="14"/>
  <c r="BH52" i="14" s="1"/>
  <c r="B53" i="14"/>
  <c r="BH53" i="14" s="1"/>
  <c r="B54" i="14"/>
  <c r="BH54" i="14" s="1"/>
  <c r="B55" i="14"/>
  <c r="BH55" i="14" s="1"/>
  <c r="B56" i="14"/>
  <c r="BH56" i="14" s="1"/>
  <c r="B57" i="14"/>
  <c r="BH57" i="14" s="1"/>
  <c r="B58" i="14"/>
  <c r="BH58" i="14" s="1"/>
  <c r="B59" i="14"/>
  <c r="BH59" i="14" s="1"/>
  <c r="B60" i="14"/>
  <c r="BH60" i="14" s="1"/>
  <c r="B61" i="14"/>
  <c r="BH61" i="14" s="1"/>
  <c r="B62" i="14"/>
  <c r="BH62" i="14" s="1"/>
  <c r="B63" i="14"/>
  <c r="BH63" i="14" s="1"/>
  <c r="B64" i="14"/>
  <c r="BH64" i="14" s="1"/>
  <c r="B65" i="14"/>
  <c r="BH65" i="14" s="1"/>
  <c r="B66" i="14"/>
  <c r="BH66" i="14" s="1"/>
  <c r="B67" i="14"/>
  <c r="BH67" i="14" s="1"/>
  <c r="B68" i="14"/>
  <c r="BH68" i="14" s="1"/>
  <c r="B69" i="14"/>
  <c r="BH69" i="14" s="1"/>
  <c r="B70" i="14"/>
  <c r="BH70" i="14" s="1"/>
  <c r="B71" i="14"/>
  <c r="BH71" i="14" s="1"/>
  <c r="B72" i="14"/>
  <c r="BH72" i="14" s="1"/>
  <c r="B73" i="14"/>
  <c r="BH73" i="14" s="1"/>
  <c r="B74" i="14"/>
  <c r="BH74" i="14" s="1"/>
  <c r="B75" i="14"/>
  <c r="BH75" i="14" s="1"/>
  <c r="B76" i="14"/>
  <c r="BH76" i="14" s="1"/>
  <c r="B77" i="14"/>
  <c r="BH77" i="14" s="1"/>
  <c r="B78" i="14"/>
  <c r="BH78" i="14" s="1"/>
  <c r="B79" i="14"/>
  <c r="BH79" i="14" s="1"/>
  <c r="B80" i="14"/>
  <c r="BH80" i="14" s="1"/>
  <c r="B81" i="14"/>
  <c r="BH81" i="14" s="1"/>
  <c r="B82" i="14"/>
  <c r="BH82" i="14" s="1"/>
  <c r="B83" i="14"/>
  <c r="BH83" i="14" s="1"/>
  <c r="B84" i="14"/>
  <c r="BH84" i="14" s="1"/>
  <c r="B85" i="14"/>
  <c r="BH85" i="14" s="1"/>
  <c r="B86" i="14"/>
  <c r="BH86" i="14" s="1"/>
  <c r="B87" i="14"/>
  <c r="BH87" i="14" s="1"/>
  <c r="B88" i="14"/>
  <c r="BH88" i="14" s="1"/>
  <c r="B89" i="14"/>
  <c r="BH89" i="14" s="1"/>
  <c r="B90" i="14"/>
  <c r="BH90" i="14" s="1"/>
  <c r="B91" i="14"/>
  <c r="BH91" i="14" s="1"/>
  <c r="B92" i="14"/>
  <c r="BH92" i="14" s="1"/>
  <c r="E2" i="14"/>
  <c r="BI2" i="14" s="1"/>
  <c r="E3" i="14"/>
  <c r="BI3" i="14" s="1"/>
  <c r="E4" i="14"/>
  <c r="BI4" i="14" s="1"/>
  <c r="E5" i="14"/>
  <c r="BI5" i="14" s="1"/>
  <c r="E6" i="14"/>
  <c r="BI6" i="14" s="1"/>
  <c r="E7" i="14"/>
  <c r="BI7" i="14" s="1"/>
  <c r="E8" i="14"/>
  <c r="BI8" i="14" s="1"/>
  <c r="E9" i="14"/>
  <c r="BI9" i="14" s="1"/>
  <c r="E10" i="14"/>
  <c r="BI10" i="14" s="1"/>
  <c r="E11" i="14"/>
  <c r="BI11" i="14" s="1"/>
  <c r="E12" i="14"/>
  <c r="BI12" i="14" s="1"/>
  <c r="E13" i="14"/>
  <c r="BI13" i="14" s="1"/>
  <c r="E14" i="14"/>
  <c r="BI14" i="14" s="1"/>
  <c r="E15" i="14"/>
  <c r="BI15" i="14" s="1"/>
  <c r="E16" i="14"/>
  <c r="BI16" i="14" s="1"/>
  <c r="E17" i="14"/>
  <c r="BI17" i="14" s="1"/>
  <c r="E18" i="14"/>
  <c r="BI18" i="14" s="1"/>
  <c r="E19" i="14"/>
  <c r="BI19" i="14" s="1"/>
  <c r="E20" i="14"/>
  <c r="BI20" i="14" s="1"/>
  <c r="E21" i="14"/>
  <c r="BI21" i="14" s="1"/>
  <c r="E22" i="14"/>
  <c r="BI22" i="14" s="1"/>
  <c r="E23" i="14"/>
  <c r="BI23" i="14" s="1"/>
  <c r="E24" i="14"/>
  <c r="BI24" i="14" s="1"/>
  <c r="E25" i="14"/>
  <c r="BI25" i="14" s="1"/>
  <c r="E26" i="14"/>
  <c r="BI26" i="14" s="1"/>
  <c r="E27" i="14"/>
  <c r="BI27" i="14" s="1"/>
  <c r="E28" i="14"/>
  <c r="BI28" i="14" s="1"/>
  <c r="E29" i="14"/>
  <c r="BI29" i="14" s="1"/>
  <c r="E30" i="14"/>
  <c r="BI30" i="14" s="1"/>
  <c r="E31" i="14"/>
  <c r="BI31" i="14" s="1"/>
  <c r="E32" i="14"/>
  <c r="BI32" i="14" s="1"/>
  <c r="E33" i="14"/>
  <c r="BI33" i="14" s="1"/>
  <c r="E34" i="14"/>
  <c r="BI34" i="14" s="1"/>
  <c r="E35" i="14"/>
  <c r="BI35" i="14" s="1"/>
  <c r="E36" i="14"/>
  <c r="BI36" i="14" s="1"/>
  <c r="E37" i="14"/>
  <c r="BI37" i="14" s="1"/>
  <c r="E38" i="14"/>
  <c r="BI38" i="14" s="1"/>
  <c r="E39" i="14"/>
  <c r="BI39" i="14" s="1"/>
  <c r="E40" i="14"/>
  <c r="BI40" i="14" s="1"/>
  <c r="E41" i="14"/>
  <c r="BI41" i="14" s="1"/>
  <c r="E42" i="14"/>
  <c r="BI42" i="14" s="1"/>
  <c r="E43" i="14"/>
  <c r="BI43" i="14" s="1"/>
  <c r="E44" i="14"/>
  <c r="BI44" i="14" s="1"/>
  <c r="E45" i="14"/>
  <c r="BI45" i="14" s="1"/>
  <c r="E46" i="14"/>
  <c r="BI46" i="14" s="1"/>
  <c r="E47" i="14"/>
  <c r="BI47" i="14" s="1"/>
  <c r="E48" i="14"/>
  <c r="BI48" i="14" s="1"/>
  <c r="E49" i="14"/>
  <c r="BI49" i="14" s="1"/>
  <c r="E50" i="14"/>
  <c r="BI50" i="14" s="1"/>
  <c r="E51" i="14"/>
  <c r="BI51" i="14" s="1"/>
  <c r="E52" i="14"/>
  <c r="BI52" i="14" s="1"/>
  <c r="E53" i="14"/>
  <c r="BI53" i="14" s="1"/>
  <c r="E54" i="14"/>
  <c r="BI54" i="14" s="1"/>
  <c r="E55" i="14"/>
  <c r="BI55" i="14" s="1"/>
  <c r="E56" i="14"/>
  <c r="BI56" i="14" s="1"/>
  <c r="E57" i="14"/>
  <c r="BI57" i="14" s="1"/>
  <c r="E58" i="14"/>
  <c r="BI58" i="14" s="1"/>
  <c r="E59" i="14"/>
  <c r="BI59" i="14" s="1"/>
  <c r="E60" i="14"/>
  <c r="BI60" i="14" s="1"/>
  <c r="E61" i="14"/>
  <c r="BI61" i="14" s="1"/>
  <c r="E62" i="14"/>
  <c r="BI62" i="14" s="1"/>
  <c r="E63" i="14"/>
  <c r="BI63" i="14" s="1"/>
  <c r="E64" i="14"/>
  <c r="BI64" i="14" s="1"/>
  <c r="E65" i="14"/>
  <c r="BI65" i="14" s="1"/>
  <c r="E66" i="14"/>
  <c r="BI66" i="14" s="1"/>
  <c r="E67" i="14"/>
  <c r="BI67" i="14" s="1"/>
  <c r="E68" i="14"/>
  <c r="BI68" i="14" s="1"/>
  <c r="E69" i="14"/>
  <c r="BI69" i="14" s="1"/>
  <c r="E70" i="14"/>
  <c r="BI70" i="14" s="1"/>
  <c r="E71" i="14"/>
  <c r="BI71" i="14" s="1"/>
  <c r="E72" i="14"/>
  <c r="BI72" i="14" s="1"/>
  <c r="E73" i="14"/>
  <c r="BI73" i="14" s="1"/>
  <c r="E74" i="14"/>
  <c r="BI74" i="14" s="1"/>
  <c r="E75" i="14"/>
  <c r="BI75" i="14" s="1"/>
  <c r="E76" i="14"/>
  <c r="BI76" i="14" s="1"/>
  <c r="E77" i="14"/>
  <c r="BI77" i="14" s="1"/>
  <c r="E78" i="14"/>
  <c r="BI78" i="14" s="1"/>
  <c r="E79" i="14"/>
  <c r="BI79" i="14" s="1"/>
  <c r="E80" i="14"/>
  <c r="BI80" i="14" s="1"/>
  <c r="E81" i="14"/>
  <c r="BI81" i="14" s="1"/>
  <c r="E82" i="14"/>
  <c r="BI82" i="14" s="1"/>
  <c r="E83" i="14"/>
  <c r="BI83" i="14" s="1"/>
  <c r="E84" i="14"/>
  <c r="BI84" i="14" s="1"/>
  <c r="E85" i="14"/>
  <c r="BI85" i="14" s="1"/>
  <c r="E86" i="14"/>
  <c r="BI86" i="14" s="1"/>
  <c r="E87" i="14"/>
  <c r="BI87" i="14" s="1"/>
  <c r="E88" i="14"/>
  <c r="BI88" i="14" s="1"/>
  <c r="E89" i="14"/>
  <c r="BI89" i="14" s="1"/>
  <c r="E90" i="14"/>
  <c r="BI90" i="14" s="1"/>
  <c r="E91" i="14"/>
  <c r="BI91" i="14" s="1"/>
  <c r="E92" i="14"/>
  <c r="BI92" i="14" s="1"/>
  <c r="F2" i="14"/>
  <c r="F3" i="14"/>
  <c r="F4" i="14"/>
  <c r="F5" i="14"/>
  <c r="F6" i="14"/>
  <c r="F7" i="14"/>
  <c r="F8" i="14"/>
  <c r="F9" i="14"/>
  <c r="F10" i="14"/>
  <c r="F11" i="14"/>
  <c r="F12" i="14"/>
  <c r="F13" i="14"/>
  <c r="F14" i="14"/>
  <c r="F15" i="14"/>
  <c r="F16" i="14"/>
  <c r="F17" i="14"/>
  <c r="F18" i="14"/>
  <c r="F19" i="14"/>
  <c r="F20" i="14"/>
  <c r="F21" i="14"/>
  <c r="F22" i="14"/>
  <c r="F23" i="14"/>
  <c r="F24" i="14"/>
  <c r="F25" i="14"/>
  <c r="F26" i="14"/>
  <c r="F27" i="14"/>
  <c r="F28" i="14"/>
  <c r="F29" i="14"/>
  <c r="F30" i="14"/>
  <c r="F31" i="14"/>
  <c r="F32" i="14"/>
  <c r="F33" i="14"/>
  <c r="F34" i="14"/>
  <c r="F35" i="14"/>
  <c r="F36" i="14"/>
  <c r="F37" i="14"/>
  <c r="F38" i="14"/>
  <c r="F39" i="14"/>
  <c r="F40" i="14"/>
  <c r="F41" i="14"/>
  <c r="F42" i="14"/>
  <c r="F43" i="14"/>
  <c r="F44" i="14"/>
  <c r="F45" i="14"/>
  <c r="F46" i="14"/>
  <c r="F47" i="14"/>
  <c r="F48" i="14"/>
  <c r="F49" i="14"/>
  <c r="F50" i="14"/>
  <c r="F51" i="14"/>
  <c r="F52" i="14"/>
  <c r="F53" i="14"/>
  <c r="F54" i="14"/>
  <c r="F55" i="14"/>
  <c r="F56" i="14"/>
  <c r="F57" i="14"/>
  <c r="F58" i="14"/>
  <c r="F59" i="14"/>
  <c r="F60" i="14"/>
  <c r="F61" i="14"/>
  <c r="F62" i="14"/>
  <c r="F63" i="14"/>
  <c r="F64" i="14"/>
  <c r="F65" i="14"/>
  <c r="F66" i="14"/>
  <c r="F67" i="14"/>
  <c r="F68" i="14"/>
  <c r="F69" i="14"/>
  <c r="F70" i="14"/>
  <c r="F71" i="14"/>
  <c r="F72" i="14"/>
  <c r="F73" i="14"/>
  <c r="F74" i="14"/>
  <c r="F75" i="14"/>
  <c r="F76" i="14"/>
  <c r="F77" i="14"/>
  <c r="F78" i="14"/>
  <c r="F79" i="14"/>
  <c r="F80" i="14"/>
  <c r="F81" i="14"/>
  <c r="F82" i="14"/>
  <c r="F83" i="14"/>
  <c r="F84" i="14"/>
  <c r="F85" i="14"/>
  <c r="F86" i="14"/>
  <c r="F87" i="14"/>
  <c r="F88" i="14"/>
  <c r="F89" i="14"/>
  <c r="F90" i="14"/>
  <c r="F91" i="14"/>
  <c r="F92" i="14"/>
  <c r="G2" i="14"/>
  <c r="G3" i="14"/>
  <c r="G4" i="14"/>
  <c r="G5" i="14"/>
  <c r="G6" i="14"/>
  <c r="G7" i="14"/>
  <c r="G8" i="14"/>
  <c r="G9" i="14"/>
  <c r="G10" i="14"/>
  <c r="G11" i="14"/>
  <c r="G12" i="14"/>
  <c r="G13" i="14"/>
  <c r="G14" i="14"/>
  <c r="G15" i="14"/>
  <c r="G16" i="14"/>
  <c r="G17" i="14"/>
  <c r="G18" i="14"/>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54" i="14"/>
  <c r="G55" i="14"/>
  <c r="G56" i="14"/>
  <c r="G57" i="14"/>
  <c r="G58" i="14"/>
  <c r="G59" i="14"/>
  <c r="G60" i="14"/>
  <c r="G61" i="14"/>
  <c r="G62" i="14"/>
  <c r="G63" i="14"/>
  <c r="G64" i="14"/>
  <c r="G65" i="14"/>
  <c r="G66" i="14"/>
  <c r="G67" i="14"/>
  <c r="G68" i="14"/>
  <c r="G69" i="14"/>
  <c r="G70" i="14"/>
  <c r="G71" i="14"/>
  <c r="G72" i="14"/>
  <c r="G73" i="14"/>
  <c r="G74" i="14"/>
  <c r="G75" i="14"/>
  <c r="G76" i="14"/>
  <c r="G77" i="14"/>
  <c r="G78" i="14"/>
  <c r="G79" i="14"/>
  <c r="G80" i="14"/>
  <c r="G81" i="14"/>
  <c r="G82" i="14"/>
  <c r="G83" i="14"/>
  <c r="G84" i="14"/>
  <c r="G85" i="14"/>
  <c r="G86" i="14"/>
  <c r="G87" i="14"/>
  <c r="G88" i="14"/>
  <c r="G89" i="14"/>
  <c r="G90" i="14"/>
  <c r="G91" i="14"/>
  <c r="G92" i="14"/>
  <c r="H2" i="14"/>
  <c r="H3" i="14"/>
  <c r="H4" i="14"/>
  <c r="H5" i="14"/>
  <c r="H6" i="14"/>
  <c r="H7" i="14"/>
  <c r="H8" i="14"/>
  <c r="H9" i="14"/>
  <c r="H10" i="14"/>
  <c r="H11" i="14"/>
  <c r="H12" i="14"/>
  <c r="H13" i="14"/>
  <c r="H14" i="14"/>
  <c r="H15" i="14"/>
  <c r="H16" i="14"/>
  <c r="H17" i="14"/>
  <c r="H18" i="14"/>
  <c r="H19" i="14"/>
  <c r="H20" i="14"/>
  <c r="H21" i="14"/>
  <c r="H22" i="14"/>
  <c r="H23" i="14"/>
  <c r="H24" i="14"/>
  <c r="H25" i="14"/>
  <c r="H26" i="14"/>
  <c r="H27" i="14"/>
  <c r="H28" i="14"/>
  <c r="H29" i="14"/>
  <c r="H30" i="14"/>
  <c r="H31" i="14"/>
  <c r="H32" i="14"/>
  <c r="H33" i="14"/>
  <c r="H34" i="14"/>
  <c r="H35" i="14"/>
  <c r="H36" i="14"/>
  <c r="H37" i="14"/>
  <c r="H38" i="14"/>
  <c r="H39" i="14"/>
  <c r="H40" i="14"/>
  <c r="H41" i="14"/>
  <c r="H42" i="14"/>
  <c r="H43" i="14"/>
  <c r="H44" i="14"/>
  <c r="H45" i="14"/>
  <c r="H46" i="14"/>
  <c r="H47" i="14"/>
  <c r="H48" i="14"/>
  <c r="H49" i="14"/>
  <c r="H50" i="14"/>
  <c r="H51" i="14"/>
  <c r="H52" i="14"/>
  <c r="H53" i="14"/>
  <c r="H54" i="14"/>
  <c r="H55" i="14"/>
  <c r="H56" i="14"/>
  <c r="H57" i="14"/>
  <c r="H58" i="14"/>
  <c r="H59" i="14"/>
  <c r="H60" i="14"/>
  <c r="H61" i="14"/>
  <c r="H62" i="14"/>
  <c r="H63" i="14"/>
  <c r="H64" i="14"/>
  <c r="H65" i="14"/>
  <c r="H66" i="14"/>
  <c r="H67" i="14"/>
  <c r="H68" i="14"/>
  <c r="H69" i="14"/>
  <c r="H70" i="14"/>
  <c r="H71" i="14"/>
  <c r="H72" i="14"/>
  <c r="H73" i="14"/>
  <c r="H74" i="14"/>
  <c r="H75" i="14"/>
  <c r="H76" i="14"/>
  <c r="H77" i="14"/>
  <c r="H78" i="14"/>
  <c r="H79" i="14"/>
  <c r="H80" i="14"/>
  <c r="H81" i="14"/>
  <c r="H82" i="14"/>
  <c r="H83" i="14"/>
  <c r="H84" i="14"/>
  <c r="H85" i="14"/>
  <c r="H86" i="14"/>
  <c r="H87" i="14"/>
  <c r="H88" i="14"/>
  <c r="H89" i="14"/>
  <c r="H90" i="14"/>
  <c r="H91" i="14"/>
  <c r="H92" i="14"/>
  <c r="I2" i="14"/>
  <c r="I3" i="14"/>
  <c r="I4" i="14"/>
  <c r="I5" i="14"/>
  <c r="I6" i="14"/>
  <c r="I7" i="14"/>
  <c r="I8" i="14"/>
  <c r="I9" i="14"/>
  <c r="I10" i="14"/>
  <c r="I11" i="14"/>
  <c r="I12" i="14"/>
  <c r="I13" i="14"/>
  <c r="I14" i="14"/>
  <c r="I15" i="14"/>
  <c r="I16" i="14"/>
  <c r="I17" i="14"/>
  <c r="I18" i="14"/>
  <c r="I19" i="14"/>
  <c r="I20" i="14"/>
  <c r="I21" i="14"/>
  <c r="I22" i="14"/>
  <c r="I23" i="14"/>
  <c r="I24" i="14"/>
  <c r="I25" i="14"/>
  <c r="I26" i="14"/>
  <c r="I27" i="14"/>
  <c r="I28" i="14"/>
  <c r="I29" i="14"/>
  <c r="I30" i="14"/>
  <c r="I31" i="14"/>
  <c r="I32" i="14"/>
  <c r="I33" i="14"/>
  <c r="I34" i="14"/>
  <c r="I35" i="14"/>
  <c r="I36" i="14"/>
  <c r="I37" i="14"/>
  <c r="I38" i="14"/>
  <c r="I39" i="14"/>
  <c r="I40" i="14"/>
  <c r="I41" i="14"/>
  <c r="I42" i="14"/>
  <c r="I43" i="14"/>
  <c r="I44" i="14"/>
  <c r="I45" i="14"/>
  <c r="I46" i="14"/>
  <c r="I47" i="14"/>
  <c r="I48" i="14"/>
  <c r="I49" i="14"/>
  <c r="I50" i="14"/>
  <c r="I51" i="14"/>
  <c r="I52" i="14"/>
  <c r="I53" i="14"/>
  <c r="I54" i="14"/>
  <c r="I55" i="14"/>
  <c r="I56" i="14"/>
  <c r="I57" i="14"/>
  <c r="I58" i="14"/>
  <c r="I59" i="14"/>
  <c r="I60" i="14"/>
  <c r="I61" i="14"/>
  <c r="I62" i="14"/>
  <c r="I63" i="14"/>
  <c r="I64" i="14"/>
  <c r="I65" i="14"/>
  <c r="I66" i="14"/>
  <c r="I67" i="14"/>
  <c r="I68" i="14"/>
  <c r="I69" i="14"/>
  <c r="I70" i="14"/>
  <c r="I71" i="14"/>
  <c r="I72" i="14"/>
  <c r="I73" i="14"/>
  <c r="I74" i="14"/>
  <c r="I75" i="14"/>
  <c r="I76" i="14"/>
  <c r="I77" i="14"/>
  <c r="I78" i="14"/>
  <c r="I79" i="14"/>
  <c r="I80" i="14"/>
  <c r="I81" i="14"/>
  <c r="I82" i="14"/>
  <c r="I83" i="14"/>
  <c r="I84" i="14"/>
  <c r="I85" i="14"/>
  <c r="I86" i="14"/>
  <c r="I87" i="14"/>
  <c r="I88" i="14"/>
  <c r="I89" i="14"/>
  <c r="I90" i="14"/>
  <c r="I91" i="14"/>
  <c r="I92" i="14"/>
  <c r="J2" i="14"/>
  <c r="J3" i="14"/>
  <c r="J4" i="14"/>
  <c r="J5" i="14"/>
  <c r="J6" i="14"/>
  <c r="J7" i="14"/>
  <c r="J8" i="14"/>
  <c r="J9" i="14"/>
  <c r="J10" i="14"/>
  <c r="J11"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K2" i="14"/>
  <c r="K3" i="14"/>
  <c r="K4" i="14"/>
  <c r="K5" i="14"/>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L2" i="14"/>
  <c r="L3" i="14"/>
  <c r="L4" i="14"/>
  <c r="L5" i="14"/>
  <c r="L6" i="14"/>
  <c r="L7" i="14"/>
  <c r="L8" i="14"/>
  <c r="L9" i="14"/>
  <c r="L10" i="14"/>
  <c r="L11" i="14"/>
  <c r="L12" i="14"/>
  <c r="L13" i="14"/>
  <c r="L14" i="14"/>
  <c r="L15" i="14"/>
  <c r="L16" i="14"/>
  <c r="L17" i="14"/>
  <c r="L18" i="14"/>
  <c r="L19" i="14"/>
  <c r="L20" i="14"/>
  <c r="L21" i="14"/>
  <c r="L22" i="14"/>
  <c r="L23" i="14"/>
  <c r="L24" i="14"/>
  <c r="L25" i="14"/>
  <c r="L26" i="14"/>
  <c r="L27" i="14"/>
  <c r="L28" i="14"/>
  <c r="L29" i="14"/>
  <c r="L30" i="14"/>
  <c r="L31" i="14"/>
  <c r="L32" i="14"/>
  <c r="L33" i="14"/>
  <c r="L34" i="14"/>
  <c r="L35" i="14"/>
  <c r="L36" i="14"/>
  <c r="L37" i="14"/>
  <c r="L38" i="14"/>
  <c r="L39" i="14"/>
  <c r="L40" i="14"/>
  <c r="L41" i="14"/>
  <c r="L42" i="14"/>
  <c r="L43" i="14"/>
  <c r="L44" i="14"/>
  <c r="L45" i="14"/>
  <c r="L46" i="14"/>
  <c r="L47" i="14"/>
  <c r="L48" i="14"/>
  <c r="L49" i="14"/>
  <c r="L50" i="14"/>
  <c r="L51" i="14"/>
  <c r="L52" i="14"/>
  <c r="L53" i="14"/>
  <c r="L54" i="14"/>
  <c r="L55" i="14"/>
  <c r="L56" i="14"/>
  <c r="L57" i="14"/>
  <c r="L58" i="14"/>
  <c r="L59" i="14"/>
  <c r="L60" i="14"/>
  <c r="L61" i="14"/>
  <c r="L62" i="14"/>
  <c r="L63" i="14"/>
  <c r="L64" i="14"/>
  <c r="L65" i="14"/>
  <c r="L66" i="14"/>
  <c r="L67" i="14"/>
  <c r="L68" i="14"/>
  <c r="L69" i="14"/>
  <c r="L70" i="14"/>
  <c r="L71" i="14"/>
  <c r="L72" i="14"/>
  <c r="L73" i="14"/>
  <c r="L74" i="14"/>
  <c r="L75" i="14"/>
  <c r="L76" i="14"/>
  <c r="L77" i="14"/>
  <c r="L78" i="14"/>
  <c r="L79" i="14"/>
  <c r="L80" i="14"/>
  <c r="L81" i="14"/>
  <c r="L82" i="14"/>
  <c r="L83" i="14"/>
  <c r="L84" i="14"/>
  <c r="L85" i="14"/>
  <c r="L86" i="14"/>
  <c r="L87" i="14"/>
  <c r="L88" i="14"/>
  <c r="L89" i="14"/>
  <c r="L90" i="14"/>
  <c r="L91" i="14"/>
  <c r="L92" i="14"/>
  <c r="M2" i="14"/>
  <c r="M3" i="14"/>
  <c r="M4" i="14"/>
  <c r="M5" i="14"/>
  <c r="M6" i="14"/>
  <c r="M7" i="14"/>
  <c r="M8" i="14"/>
  <c r="M9" i="14"/>
  <c r="M10" i="14"/>
  <c r="M11" i="14"/>
  <c r="M12" i="14"/>
  <c r="M13" i="14"/>
  <c r="M14" i="14"/>
  <c r="M15" i="14"/>
  <c r="M16" i="14"/>
  <c r="M17" i="14"/>
  <c r="M18" i="14"/>
  <c r="M19" i="14"/>
  <c r="M20" i="14"/>
  <c r="M21" i="14"/>
  <c r="M22" i="14"/>
  <c r="M23" i="14"/>
  <c r="M24" i="14"/>
  <c r="M25" i="14"/>
  <c r="M26" i="14"/>
  <c r="M27" i="14"/>
  <c r="M28" i="14"/>
  <c r="M29" i="14"/>
  <c r="M30" i="14"/>
  <c r="M31" i="14"/>
  <c r="M32" i="14"/>
  <c r="M33" i="14"/>
  <c r="M34" i="14"/>
  <c r="M35" i="14"/>
  <c r="M36" i="14"/>
  <c r="M37" i="14"/>
  <c r="M38" i="14"/>
  <c r="M39" i="14"/>
  <c r="M40" i="14"/>
  <c r="M41" i="14"/>
  <c r="M42" i="14"/>
  <c r="M43" i="14"/>
  <c r="M44" i="14"/>
  <c r="M45" i="14"/>
  <c r="M46" i="14"/>
  <c r="M47" i="14"/>
  <c r="M48" i="14"/>
  <c r="M49" i="14"/>
  <c r="M50" i="14"/>
  <c r="M51" i="14"/>
  <c r="M52" i="14"/>
  <c r="M53" i="14"/>
  <c r="M54" i="14"/>
  <c r="M55" i="14"/>
  <c r="M56" i="14"/>
  <c r="M57" i="14"/>
  <c r="M58" i="14"/>
  <c r="M59" i="14"/>
  <c r="M60" i="14"/>
  <c r="M61" i="14"/>
  <c r="M62" i="14"/>
  <c r="M63" i="14"/>
  <c r="M64" i="14"/>
  <c r="M65" i="14"/>
  <c r="M66" i="14"/>
  <c r="M67" i="14"/>
  <c r="M68" i="14"/>
  <c r="M69" i="14"/>
  <c r="M70" i="14"/>
  <c r="M71" i="14"/>
  <c r="M72" i="14"/>
  <c r="M73" i="14"/>
  <c r="M74" i="14"/>
  <c r="M75" i="14"/>
  <c r="M76" i="14"/>
  <c r="M77" i="14"/>
  <c r="M78" i="14"/>
  <c r="M79" i="14"/>
  <c r="M80" i="14"/>
  <c r="M81" i="14"/>
  <c r="M82" i="14"/>
  <c r="M83" i="14"/>
  <c r="M84" i="14"/>
  <c r="M85" i="14"/>
  <c r="M86" i="14"/>
  <c r="M87" i="14"/>
  <c r="M88" i="14"/>
  <c r="M89" i="14"/>
  <c r="M90" i="14"/>
  <c r="M91" i="14"/>
  <c r="M92" i="14"/>
  <c r="N2" i="14"/>
  <c r="N3" i="14"/>
  <c r="N4" i="14"/>
  <c r="N5" i="14"/>
  <c r="N6" i="14"/>
  <c r="N7" i="14"/>
  <c r="N8" i="14"/>
  <c r="N9" i="14"/>
  <c r="N10" i="14"/>
  <c r="N11" i="14"/>
  <c r="N12" i="14"/>
  <c r="N13" i="14"/>
  <c r="N14" i="14"/>
  <c r="N15" i="14"/>
  <c r="N16" i="14"/>
  <c r="N17" i="14"/>
  <c r="N18" i="14"/>
  <c r="N19" i="14"/>
  <c r="N20" i="14"/>
  <c r="N21" i="14"/>
  <c r="N22" i="14"/>
  <c r="N23" i="14"/>
  <c r="N24" i="14"/>
  <c r="N25" i="14"/>
  <c r="N26" i="14"/>
  <c r="N27" i="14"/>
  <c r="N28" i="14"/>
  <c r="N29" i="14"/>
  <c r="N30" i="14"/>
  <c r="N31" i="14"/>
  <c r="N32" i="14"/>
  <c r="N33" i="14"/>
  <c r="N34" i="14"/>
  <c r="N35" i="14"/>
  <c r="N36" i="14"/>
  <c r="N37" i="14"/>
  <c r="N38" i="14"/>
  <c r="N39" i="14"/>
  <c r="N40" i="14"/>
  <c r="N41" i="14"/>
  <c r="N42" i="14"/>
  <c r="N43" i="14"/>
  <c r="N44" i="14"/>
  <c r="N45" i="14"/>
  <c r="N46" i="14"/>
  <c r="N47" i="14"/>
  <c r="N48" i="14"/>
  <c r="N49" i="14"/>
  <c r="N50" i="14"/>
  <c r="N51" i="14"/>
  <c r="N52" i="14"/>
  <c r="N53" i="14"/>
  <c r="N54" i="14"/>
  <c r="N55" i="14"/>
  <c r="N56" i="14"/>
  <c r="N57" i="14"/>
  <c r="N58" i="14"/>
  <c r="N59" i="14"/>
  <c r="N60" i="14"/>
  <c r="N61" i="14"/>
  <c r="N62" i="14"/>
  <c r="N63" i="14"/>
  <c r="N64" i="14"/>
  <c r="N65" i="14"/>
  <c r="N66" i="14"/>
  <c r="N67" i="14"/>
  <c r="N68" i="14"/>
  <c r="N69" i="14"/>
  <c r="N70" i="14"/>
  <c r="N71" i="14"/>
  <c r="N72" i="14"/>
  <c r="N73" i="14"/>
  <c r="N74" i="14"/>
  <c r="N75" i="14"/>
  <c r="N76" i="14"/>
  <c r="N77" i="14"/>
  <c r="N78" i="14"/>
  <c r="N79" i="14"/>
  <c r="N80" i="14"/>
  <c r="N81" i="14"/>
  <c r="N82" i="14"/>
  <c r="N83" i="14"/>
  <c r="N84" i="14"/>
  <c r="N85" i="14"/>
  <c r="N86" i="14"/>
  <c r="N87" i="14"/>
  <c r="N88" i="14"/>
  <c r="N89" i="14"/>
  <c r="N90" i="14"/>
  <c r="N91" i="14"/>
  <c r="N92" i="14"/>
  <c r="BG92" i="14"/>
  <c r="BB92" i="14"/>
  <c r="AU92" i="14"/>
  <c r="BG91" i="14"/>
  <c r="BB91" i="14"/>
  <c r="AU91" i="14"/>
  <c r="BG90" i="14"/>
  <c r="BB90" i="14"/>
  <c r="AU90" i="14"/>
  <c r="BG89" i="14"/>
  <c r="BB89" i="14"/>
  <c r="AU89" i="14"/>
  <c r="BG88" i="14"/>
  <c r="BB88" i="14"/>
  <c r="AU88" i="14"/>
  <c r="BG87" i="14"/>
  <c r="BB87" i="14"/>
  <c r="AU87" i="14"/>
  <c r="DG37" i="18"/>
  <c r="DF37" i="18"/>
  <c r="DE37" i="18"/>
  <c r="DD37" i="18"/>
  <c r="DC37" i="18"/>
  <c r="DB37" i="18"/>
  <c r="DA37" i="18"/>
  <c r="CZ37" i="18"/>
  <c r="CY37" i="18"/>
  <c r="CW37" i="18"/>
  <c r="CO37" i="18"/>
  <c r="CG37" i="18"/>
  <c r="BY37" i="18"/>
  <c r="DH37" i="18" s="1"/>
  <c r="BQ37" i="18"/>
  <c r="BI37" i="18"/>
  <c r="BA37" i="18"/>
  <c r="AS37" i="18"/>
  <c r="AK37" i="18"/>
  <c r="AJ37" i="18"/>
  <c r="AC37" i="18"/>
  <c r="V37" i="18"/>
  <c r="DG36" i="18"/>
  <c r="DF36" i="18"/>
  <c r="DE36" i="18"/>
  <c r="DD36" i="18"/>
  <c r="DC36" i="18"/>
  <c r="DB36" i="18"/>
  <c r="DA36" i="18"/>
  <c r="CZ36" i="18"/>
  <c r="CY36" i="18"/>
  <c r="CW36" i="18"/>
  <c r="CO36" i="18"/>
  <c r="CG36" i="18"/>
  <c r="BY36" i="18"/>
  <c r="DH36" i="18" s="1"/>
  <c r="BQ36" i="18"/>
  <c r="BI36" i="18"/>
  <c r="BA36" i="18"/>
  <c r="AS36" i="18"/>
  <c r="AK36" i="18"/>
  <c r="AJ36" i="18"/>
  <c r="AC36" i="18"/>
  <c r="V36" i="18"/>
  <c r="DG35" i="18"/>
  <c r="DF35" i="18"/>
  <c r="DE35" i="18"/>
  <c r="DD35" i="18"/>
  <c r="DC35" i="18"/>
  <c r="DB35" i="18"/>
  <c r="DA35" i="18"/>
  <c r="CZ35" i="18"/>
  <c r="CY35" i="18"/>
  <c r="CW35" i="18"/>
  <c r="CO35" i="18"/>
  <c r="CG35" i="18"/>
  <c r="BY35" i="18"/>
  <c r="DH35" i="18" s="1"/>
  <c r="BQ35" i="18"/>
  <c r="BI35" i="18"/>
  <c r="BA35" i="18"/>
  <c r="AS35" i="18"/>
  <c r="AK35" i="18"/>
  <c r="AC35" i="18"/>
  <c r="V35" i="18"/>
  <c r="DG34" i="18"/>
  <c r="DF34" i="18"/>
  <c r="DE34" i="18"/>
  <c r="DD34" i="18"/>
  <c r="DC34" i="18"/>
  <c r="DB34" i="18"/>
  <c r="DA34" i="18"/>
  <c r="CZ34" i="18"/>
  <c r="CY34" i="18"/>
  <c r="CW34" i="18"/>
  <c r="CO34" i="18"/>
  <c r="CG34" i="18"/>
  <c r="BY34" i="18"/>
  <c r="DH34" i="18" s="1"/>
  <c r="BQ34" i="18"/>
  <c r="BI34" i="18"/>
  <c r="BA34" i="18"/>
  <c r="AS34" i="18"/>
  <c r="AK34" i="18"/>
  <c r="AJ34" i="18"/>
  <c r="AC34" i="18"/>
  <c r="V34" i="18"/>
  <c r="DG33" i="18"/>
  <c r="DF33" i="18"/>
  <c r="DE33" i="18"/>
  <c r="DD33" i="18"/>
  <c r="DC33" i="18"/>
  <c r="DB33" i="18"/>
  <c r="DA33" i="18"/>
  <c r="CZ33" i="18"/>
  <c r="CY33" i="18"/>
  <c r="CW33" i="18"/>
  <c r="CO33" i="18"/>
  <c r="CG33" i="18"/>
  <c r="BY33" i="18"/>
  <c r="DH33" i="18" s="1"/>
  <c r="BQ33" i="18"/>
  <c r="BI33" i="18"/>
  <c r="BA33" i="18"/>
  <c r="AS33" i="18"/>
  <c r="AK33" i="18"/>
  <c r="AC33" i="18"/>
  <c r="V33" i="18"/>
  <c r="DG32" i="18"/>
  <c r="DF32" i="18"/>
  <c r="DE32" i="18"/>
  <c r="DD32" i="18"/>
  <c r="DC32" i="18"/>
  <c r="DB32" i="18"/>
  <c r="DA32" i="18"/>
  <c r="CZ32" i="18"/>
  <c r="CY32" i="18"/>
  <c r="CW32" i="18"/>
  <c r="CO32" i="18"/>
  <c r="CG32" i="18"/>
  <c r="BY32" i="18"/>
  <c r="DH32" i="18" s="1"/>
  <c r="BQ32" i="18"/>
  <c r="BI32" i="18"/>
  <c r="BA32" i="18"/>
  <c r="AS32" i="18"/>
  <c r="AK32" i="18"/>
  <c r="AC32" i="18"/>
  <c r="V32" i="18"/>
  <c r="DG31" i="18"/>
  <c r="DF31" i="18"/>
  <c r="DE31" i="18"/>
  <c r="DD31" i="18"/>
  <c r="DC31" i="18"/>
  <c r="DB31" i="18"/>
  <c r="DA31" i="18"/>
  <c r="CZ31" i="18"/>
  <c r="CY31" i="18"/>
  <c r="CW31" i="18"/>
  <c r="CO31" i="18"/>
  <c r="CG31" i="18"/>
  <c r="BY31" i="18"/>
  <c r="DH31" i="18" s="1"/>
  <c r="BQ31" i="18"/>
  <c r="BI31" i="18"/>
  <c r="BA31" i="18"/>
  <c r="AS31" i="18"/>
  <c r="AK31" i="18"/>
  <c r="AC31" i="18"/>
  <c r="V31" i="18"/>
  <c r="DG30" i="18"/>
  <c r="DF30" i="18"/>
  <c r="DE30" i="18"/>
  <c r="DD30" i="18"/>
  <c r="DC30" i="18"/>
  <c r="DB30" i="18"/>
  <c r="DA30" i="18"/>
  <c r="CZ30" i="18"/>
  <c r="CY30" i="18"/>
  <c r="CW30" i="18"/>
  <c r="CO30" i="18"/>
  <c r="CG30" i="18"/>
  <c r="BY30" i="18"/>
  <c r="DH30" i="18" s="1"/>
  <c r="BQ30" i="18"/>
  <c r="BI30" i="18"/>
  <c r="BA30" i="18"/>
  <c r="AS30" i="18"/>
  <c r="AK30" i="18"/>
  <c r="AJ30" i="18"/>
  <c r="AC30" i="18"/>
  <c r="V30" i="18"/>
  <c r="DG29" i="18"/>
  <c r="DF29" i="18"/>
  <c r="DE29" i="18"/>
  <c r="DD29" i="18"/>
  <c r="DC29" i="18"/>
  <c r="DB29" i="18"/>
  <c r="DA29" i="18"/>
  <c r="CZ29" i="18"/>
  <c r="CY29" i="18"/>
  <c r="CW29" i="18"/>
  <c r="CO29" i="18"/>
  <c r="CG29" i="18"/>
  <c r="BY29" i="18"/>
  <c r="DH29" i="18" s="1"/>
  <c r="BQ29" i="18"/>
  <c r="BI29" i="18"/>
  <c r="BA29" i="18"/>
  <c r="AS29" i="18"/>
  <c r="AK29" i="18"/>
  <c r="AJ29" i="18"/>
  <c r="AC29" i="18"/>
  <c r="V29" i="18"/>
  <c r="DG28" i="18"/>
  <c r="DF28" i="18"/>
  <c r="DE28" i="18"/>
  <c r="DD28" i="18"/>
  <c r="DC28" i="18"/>
  <c r="DB28" i="18"/>
  <c r="DA28" i="18"/>
  <c r="CZ28" i="18"/>
  <c r="CY28" i="18"/>
  <c r="CW28" i="18"/>
  <c r="CO28" i="18"/>
  <c r="CG28" i="18"/>
  <c r="BY28" i="18"/>
  <c r="DH28" i="18" s="1"/>
  <c r="BQ28" i="18"/>
  <c r="BI28" i="18"/>
  <c r="BA28" i="18"/>
  <c r="AS28" i="18"/>
  <c r="AK28" i="18"/>
  <c r="AJ28" i="18"/>
  <c r="AC28" i="18"/>
  <c r="V28" i="18"/>
  <c r="DG27" i="18"/>
  <c r="DF27" i="18"/>
  <c r="DE27" i="18"/>
  <c r="DD27" i="18"/>
  <c r="DC27" i="18"/>
  <c r="DB27" i="18"/>
  <c r="DA27" i="18"/>
  <c r="CZ27" i="18"/>
  <c r="CY27" i="18"/>
  <c r="CW27" i="18"/>
  <c r="CO27" i="18"/>
  <c r="CG27" i="18"/>
  <c r="BY27" i="18"/>
  <c r="DH27" i="18" s="1"/>
  <c r="BQ27" i="18"/>
  <c r="BI27" i="18"/>
  <c r="BA27" i="18"/>
  <c r="AS27" i="18"/>
  <c r="AK27" i="18"/>
  <c r="AC27" i="18"/>
  <c r="V27" i="18"/>
  <c r="DG26" i="18"/>
  <c r="DF26" i="18"/>
  <c r="DE26" i="18"/>
  <c r="DD26" i="18"/>
  <c r="DC26" i="18"/>
  <c r="DB26" i="18"/>
  <c r="DA26" i="18"/>
  <c r="CZ26" i="18"/>
  <c r="CY26" i="18"/>
  <c r="CW26" i="18"/>
  <c r="CO26" i="18"/>
  <c r="CG26" i="18"/>
  <c r="BY26" i="18"/>
  <c r="DH26" i="18" s="1"/>
  <c r="BQ26" i="18"/>
  <c r="BI26" i="18"/>
  <c r="BA26" i="18"/>
  <c r="AS26" i="18"/>
  <c r="AK26" i="18"/>
  <c r="AC26" i="18"/>
  <c r="V26" i="18"/>
  <c r="DG25" i="18"/>
  <c r="DF25" i="18"/>
  <c r="DE25" i="18"/>
  <c r="DD25" i="18"/>
  <c r="DC25" i="18"/>
  <c r="DB25" i="18"/>
  <c r="DA25" i="18"/>
  <c r="CZ25" i="18"/>
  <c r="CY25" i="18"/>
  <c r="CW25" i="18"/>
  <c r="CO25" i="18"/>
  <c r="CG25" i="18"/>
  <c r="BY25" i="18"/>
  <c r="DH25" i="18" s="1"/>
  <c r="BQ25" i="18"/>
  <c r="BI25" i="18"/>
  <c r="BA25" i="18"/>
  <c r="AS25" i="18"/>
  <c r="AK25" i="18"/>
  <c r="AC25" i="18"/>
  <c r="V25" i="18"/>
  <c r="DG24" i="18"/>
  <c r="DF24" i="18"/>
  <c r="DE24" i="18"/>
  <c r="DD24" i="18"/>
  <c r="DC24" i="18"/>
  <c r="DB24" i="18"/>
  <c r="DA24" i="18"/>
  <c r="CZ24" i="18"/>
  <c r="CY24" i="18"/>
  <c r="CW24" i="18"/>
  <c r="CO24" i="18"/>
  <c r="CG24" i="18"/>
  <c r="BY24" i="18"/>
  <c r="DH24" i="18" s="1"/>
  <c r="BQ24" i="18"/>
  <c r="BI24" i="18"/>
  <c r="BA24" i="18"/>
  <c r="AS24" i="18"/>
  <c r="AC24" i="18"/>
  <c r="V24" i="18"/>
  <c r="DG23" i="18"/>
  <c r="DF23" i="18"/>
  <c r="DE23" i="18"/>
  <c r="DD23" i="18"/>
  <c r="DC23" i="18"/>
  <c r="DB23" i="18"/>
  <c r="DA23" i="18"/>
  <c r="CZ23" i="18"/>
  <c r="CY23" i="18"/>
  <c r="CW23" i="18"/>
  <c r="CO23" i="18"/>
  <c r="CG23" i="18"/>
  <c r="BY23" i="18"/>
  <c r="DH23" i="18" s="1"/>
  <c r="BQ23" i="18"/>
  <c r="BI23" i="18"/>
  <c r="BA23" i="18"/>
  <c r="AS23" i="18"/>
  <c r="AC23" i="18"/>
  <c r="V23" i="18"/>
  <c r="DG22" i="18"/>
  <c r="DF22" i="18"/>
  <c r="DE22" i="18"/>
  <c r="DD22" i="18"/>
  <c r="DC22" i="18"/>
  <c r="DB22" i="18"/>
  <c r="DA22" i="18"/>
  <c r="CZ22" i="18"/>
  <c r="CY22" i="18"/>
  <c r="CW22" i="18"/>
  <c r="CO22" i="18"/>
  <c r="CG22" i="18"/>
  <c r="BY22" i="18"/>
  <c r="DH22" i="18" s="1"/>
  <c r="BQ22" i="18"/>
  <c r="BI22" i="18"/>
  <c r="BA22" i="18"/>
  <c r="AS22" i="18"/>
  <c r="AK22" i="18"/>
  <c r="AC22" i="18"/>
  <c r="V22" i="18"/>
  <c r="DG21" i="18"/>
  <c r="DF21" i="18"/>
  <c r="DE21" i="18"/>
  <c r="DD21" i="18"/>
  <c r="DC21" i="18"/>
  <c r="DB21" i="18"/>
  <c r="DA21" i="18"/>
  <c r="CZ21" i="18"/>
  <c r="CY21" i="18"/>
  <c r="CW21" i="18"/>
  <c r="CO21" i="18"/>
  <c r="CG21" i="18"/>
  <c r="BY21" i="18"/>
  <c r="DH21" i="18" s="1"/>
  <c r="BQ21" i="18"/>
  <c r="BI21" i="18"/>
  <c r="BA21" i="18"/>
  <c r="AS21" i="18"/>
  <c r="AK21" i="18"/>
  <c r="AC21" i="18"/>
  <c r="V21" i="18"/>
  <c r="DG20" i="18"/>
  <c r="DF20" i="18"/>
  <c r="DE20" i="18"/>
  <c r="DD20" i="18"/>
  <c r="DC20" i="18"/>
  <c r="DB20" i="18"/>
  <c r="DA20" i="18"/>
  <c r="CZ20" i="18"/>
  <c r="CY20" i="18"/>
  <c r="CW20" i="18"/>
  <c r="CO20" i="18"/>
  <c r="CG20" i="18"/>
  <c r="BY20" i="18"/>
  <c r="DH20" i="18" s="1"/>
  <c r="BQ20" i="18"/>
  <c r="BI20" i="18"/>
  <c r="BA20" i="18"/>
  <c r="AS20" i="18"/>
  <c r="AK20" i="18"/>
  <c r="AC20" i="18"/>
  <c r="V20" i="18"/>
  <c r="DG19" i="18"/>
  <c r="DF19" i="18"/>
  <c r="DE19" i="18"/>
  <c r="DD19" i="18"/>
  <c r="DC19" i="18"/>
  <c r="DB19" i="18"/>
  <c r="DA19" i="18"/>
  <c r="CZ19" i="18"/>
  <c r="CY19" i="18"/>
  <c r="CW19" i="18"/>
  <c r="CO19" i="18"/>
  <c r="CG19" i="18"/>
  <c r="BY19" i="18"/>
  <c r="DH19" i="18" s="1"/>
  <c r="BQ19" i="18"/>
  <c r="BI19" i="18"/>
  <c r="BA19" i="18"/>
  <c r="AS19" i="18"/>
  <c r="AK19" i="18"/>
  <c r="AC19" i="18"/>
  <c r="V19" i="18"/>
  <c r="DG18" i="18"/>
  <c r="DF18" i="18"/>
  <c r="DE18" i="18"/>
  <c r="DD18" i="18"/>
  <c r="DC18" i="18"/>
  <c r="DB18" i="18"/>
  <c r="DA18" i="18"/>
  <c r="CZ18" i="18"/>
  <c r="CY18" i="18"/>
  <c r="CW18" i="18"/>
  <c r="CO18" i="18"/>
  <c r="CG18" i="18"/>
  <c r="BY18" i="18"/>
  <c r="DH18" i="18" s="1"/>
  <c r="BQ18" i="18"/>
  <c r="BI18" i="18"/>
  <c r="BA18" i="18"/>
  <c r="AS18" i="18"/>
  <c r="AK18" i="18"/>
  <c r="AC18" i="18"/>
  <c r="V18" i="18"/>
  <c r="DG17" i="18"/>
  <c r="DF17" i="18"/>
  <c r="DE17" i="18"/>
  <c r="DD17" i="18"/>
  <c r="DC17" i="18"/>
  <c r="DB17" i="18"/>
  <c r="DA17" i="18"/>
  <c r="CZ17" i="18"/>
  <c r="CY17" i="18"/>
  <c r="CW17" i="18"/>
  <c r="CO17" i="18"/>
  <c r="CG17" i="18"/>
  <c r="BY17" i="18"/>
  <c r="DH17" i="18" s="1"/>
  <c r="BQ17" i="18"/>
  <c r="BI17" i="18"/>
  <c r="BA17" i="18"/>
  <c r="AS17" i="18"/>
  <c r="AK17" i="18"/>
  <c r="AC17" i="18"/>
  <c r="V17" i="18"/>
  <c r="DG16" i="18"/>
  <c r="DF16" i="18"/>
  <c r="DE16" i="18"/>
  <c r="DD16" i="18"/>
  <c r="DC16" i="18"/>
  <c r="DB16" i="18"/>
  <c r="DA16" i="18"/>
  <c r="CZ16" i="18"/>
  <c r="CY16" i="18"/>
  <c r="CW16" i="18"/>
  <c r="CO16" i="18"/>
  <c r="CG16" i="18"/>
  <c r="BY16" i="18"/>
  <c r="DH16" i="18" s="1"/>
  <c r="BQ16" i="18"/>
  <c r="BI16" i="18"/>
  <c r="BA16" i="18"/>
  <c r="AS16" i="18"/>
  <c r="AK16" i="18"/>
  <c r="AC16" i="18"/>
  <c r="V16" i="18"/>
  <c r="DG15" i="18"/>
  <c r="DF15" i="18"/>
  <c r="DE15" i="18"/>
  <c r="DD15" i="18"/>
  <c r="DC15" i="18"/>
  <c r="DB15" i="18"/>
  <c r="DA15" i="18"/>
  <c r="CZ15" i="18"/>
  <c r="CY15" i="18"/>
  <c r="CW15" i="18"/>
  <c r="CO15" i="18"/>
  <c r="CG15" i="18"/>
  <c r="BY15" i="18"/>
  <c r="DH15" i="18" s="1"/>
  <c r="BQ15" i="18"/>
  <c r="BI15" i="18"/>
  <c r="BA15" i="18"/>
  <c r="AS15" i="18"/>
  <c r="AK15" i="18"/>
  <c r="AJ15" i="18"/>
  <c r="AC15" i="18"/>
  <c r="V15" i="18"/>
  <c r="DG14" i="18"/>
  <c r="DF14" i="18"/>
  <c r="DE14" i="18"/>
  <c r="DD14" i="18"/>
  <c r="DC14" i="18"/>
  <c r="DB14" i="18"/>
  <c r="DA14" i="18"/>
  <c r="CZ14" i="18"/>
  <c r="CY14" i="18"/>
  <c r="CW14" i="18"/>
  <c r="CO14" i="18"/>
  <c r="CG14" i="18"/>
  <c r="BY14" i="18"/>
  <c r="DH14" i="18" s="1"/>
  <c r="BQ14" i="18"/>
  <c r="BI14" i="18"/>
  <c r="BA14" i="18"/>
  <c r="AS14" i="18"/>
  <c r="AK14" i="18"/>
  <c r="AC14" i="18"/>
  <c r="V14" i="18"/>
  <c r="DG13" i="18"/>
  <c r="DF13" i="18"/>
  <c r="DE13" i="18"/>
  <c r="DD13" i="18"/>
  <c r="DC13" i="18"/>
  <c r="DB13" i="18"/>
  <c r="DA13" i="18"/>
  <c r="CZ13" i="18"/>
  <c r="CY13" i="18"/>
  <c r="CW13" i="18"/>
  <c r="CO13" i="18"/>
  <c r="CG13" i="18"/>
  <c r="BY13" i="18"/>
  <c r="DH13" i="18" s="1"/>
  <c r="BQ13" i="18"/>
  <c r="BI13" i="18"/>
  <c r="BA13" i="18"/>
  <c r="AS13" i="18"/>
  <c r="AK13" i="18"/>
  <c r="AC13" i="18"/>
  <c r="V13" i="18"/>
  <c r="DG12" i="18"/>
  <c r="DF12" i="18"/>
  <c r="DE12" i="18"/>
  <c r="DD12" i="18"/>
  <c r="DC12" i="18"/>
  <c r="DB12" i="18"/>
  <c r="DA12" i="18"/>
  <c r="CZ12" i="18"/>
  <c r="CY12" i="18"/>
  <c r="CW12" i="18"/>
  <c r="CO12" i="18"/>
  <c r="CG12" i="18"/>
  <c r="BY12" i="18"/>
  <c r="DH12" i="18" s="1"/>
  <c r="BQ12" i="18"/>
  <c r="BI12" i="18"/>
  <c r="BA12" i="18"/>
  <c r="AS12" i="18"/>
  <c r="AK12" i="18"/>
  <c r="AC12" i="18"/>
  <c r="V12" i="18"/>
  <c r="DG11" i="18"/>
  <c r="DF11" i="18"/>
  <c r="DE11" i="18"/>
  <c r="DD11" i="18"/>
  <c r="DC11" i="18"/>
  <c r="DB11" i="18"/>
  <c r="DA11" i="18"/>
  <c r="CZ11" i="18"/>
  <c r="CY11" i="18"/>
  <c r="CW11" i="18"/>
  <c r="CO11" i="18"/>
  <c r="CG11" i="18"/>
  <c r="BY11" i="18"/>
  <c r="DH11" i="18" s="1"/>
  <c r="BQ11" i="18"/>
  <c r="BI11" i="18"/>
  <c r="BA11" i="18"/>
  <c r="AS11" i="18"/>
  <c r="AK11" i="18"/>
  <c r="AJ11" i="18"/>
  <c r="AC11" i="18"/>
  <c r="V11" i="18"/>
  <c r="DG10" i="18"/>
  <c r="DF10" i="18"/>
  <c r="DE10" i="18"/>
  <c r="DD10" i="18"/>
  <c r="DC10" i="18"/>
  <c r="DB10" i="18"/>
  <c r="DA10" i="18"/>
  <c r="CZ10" i="18"/>
  <c r="CY10" i="18"/>
  <c r="CW10" i="18"/>
  <c r="CO10" i="18"/>
  <c r="CG10" i="18"/>
  <c r="BY10" i="18"/>
  <c r="DH10" i="18" s="1"/>
  <c r="BQ10" i="18"/>
  <c r="BI10" i="18"/>
  <c r="BA10" i="18"/>
  <c r="AS10" i="18"/>
  <c r="AK10" i="18"/>
  <c r="AC10" i="18"/>
  <c r="V10" i="18"/>
  <c r="DG9" i="18"/>
  <c r="DF9" i="18"/>
  <c r="DE9" i="18"/>
  <c r="DD9" i="18"/>
  <c r="DC9" i="18"/>
  <c r="DB9" i="18"/>
  <c r="DA9" i="18"/>
  <c r="CZ9" i="18"/>
  <c r="CY9" i="18"/>
  <c r="CW9" i="18"/>
  <c r="CO9" i="18"/>
  <c r="CG9" i="18"/>
  <c r="BY9" i="18"/>
  <c r="DH9" i="18" s="1"/>
  <c r="BQ9" i="18"/>
  <c r="BI9" i="18"/>
  <c r="BA9" i="18"/>
  <c r="AS9" i="18"/>
  <c r="AK9" i="18"/>
  <c r="AC9" i="18"/>
  <c r="V9" i="18"/>
  <c r="DG8" i="18"/>
  <c r="DF8" i="18"/>
  <c r="DE8" i="18"/>
  <c r="DD8" i="18"/>
  <c r="DC8" i="18"/>
  <c r="DB8" i="18"/>
  <c r="DA8" i="18"/>
  <c r="CZ8" i="18"/>
  <c r="CY8" i="18"/>
  <c r="CW8" i="18"/>
  <c r="CO8" i="18"/>
  <c r="CG8" i="18"/>
  <c r="BY8" i="18"/>
  <c r="DH8" i="18" s="1"/>
  <c r="BQ8" i="18"/>
  <c r="BI8" i="18"/>
  <c r="BA8" i="18"/>
  <c r="AS8" i="18"/>
  <c r="AK8" i="18"/>
  <c r="AC8" i="18"/>
  <c r="V8" i="18"/>
  <c r="DG7" i="18"/>
  <c r="DF7" i="18"/>
  <c r="DE7" i="18"/>
  <c r="DD7" i="18"/>
  <c r="DC7" i="18"/>
  <c r="DB7" i="18"/>
  <c r="DA7" i="18"/>
  <c r="CZ7" i="18"/>
  <c r="CY7" i="18"/>
  <c r="CW7" i="18"/>
  <c r="CO7" i="18"/>
  <c r="CG7" i="18"/>
  <c r="BY7" i="18"/>
  <c r="DH7" i="18" s="1"/>
  <c r="BQ7" i="18"/>
  <c r="BI7" i="18"/>
  <c r="BA7" i="18"/>
  <c r="AS7" i="18"/>
  <c r="AK7" i="18"/>
  <c r="AC7" i="18"/>
  <c r="V7" i="18"/>
  <c r="DG5" i="18"/>
  <c r="DF5" i="18"/>
  <c r="DE5" i="18"/>
  <c r="DD5" i="18"/>
  <c r="DC5" i="18"/>
  <c r="DB5" i="18"/>
  <c r="DA5" i="18"/>
  <c r="CZ5" i="18"/>
  <c r="CY5" i="18"/>
  <c r="CW5" i="18"/>
  <c r="CO5" i="18"/>
  <c r="CG5" i="18"/>
  <c r="BY5" i="18"/>
  <c r="DH5" i="18" s="1"/>
  <c r="BQ5" i="18"/>
  <c r="BI5" i="18"/>
  <c r="BA5" i="18"/>
  <c r="AS5" i="18"/>
  <c r="AK5" i="18"/>
  <c r="AC5" i="18"/>
  <c r="V5" i="18"/>
  <c r="DG4" i="18"/>
  <c r="DF4" i="18"/>
  <c r="DE4" i="18"/>
  <c r="DD4" i="18"/>
  <c r="DC4" i="18"/>
  <c r="DB4" i="18"/>
  <c r="DA4" i="18"/>
  <c r="CZ4" i="18"/>
  <c r="CY4" i="18"/>
  <c r="CW4" i="18"/>
  <c r="CO4" i="18"/>
  <c r="CG4" i="18"/>
  <c r="BY4" i="18"/>
  <c r="DH4" i="18" s="1"/>
  <c r="BQ4" i="18"/>
  <c r="BI4" i="18"/>
  <c r="BA4" i="18"/>
  <c r="AS4" i="18"/>
  <c r="AK4" i="18"/>
  <c r="AC4" i="18"/>
  <c r="V4" i="18"/>
  <c r="V6" i="18"/>
  <c r="V3" i="18"/>
  <c r="AN5" i="7"/>
  <c r="AN6" i="7"/>
  <c r="AN7" i="7"/>
  <c r="AN8" i="7"/>
  <c r="AN9" i="7"/>
  <c r="AN10" i="7"/>
  <c r="AN11" i="7"/>
  <c r="AN12" i="7"/>
  <c r="AN13" i="7"/>
  <c r="AN14" i="7"/>
  <c r="AN15" i="7"/>
  <c r="AN16" i="7"/>
  <c r="AN17" i="7"/>
  <c r="AN18" i="7"/>
  <c r="AN19" i="7"/>
  <c r="AN20" i="7"/>
  <c r="AN21" i="7"/>
  <c r="AN22" i="7"/>
  <c r="AN23" i="7"/>
  <c r="AN24" i="7"/>
  <c r="AN25" i="7"/>
  <c r="AN26" i="7"/>
  <c r="AN27" i="7"/>
  <c r="AN28" i="7"/>
  <c r="AN29" i="7"/>
  <c r="AN30" i="7"/>
  <c r="AN31" i="7"/>
  <c r="AN32" i="7"/>
  <c r="AN33" i="7"/>
  <c r="AN34" i="7"/>
  <c r="AN35" i="7"/>
  <c r="AN36" i="7"/>
  <c r="AN37" i="7"/>
  <c r="AN38" i="7"/>
  <c r="AN39" i="7"/>
  <c r="AN40" i="7"/>
  <c r="AN41" i="7"/>
  <c r="AN42" i="7"/>
  <c r="AN43" i="7"/>
  <c r="AN44" i="7"/>
  <c r="AN45" i="7"/>
  <c r="AN46" i="7"/>
  <c r="AN47" i="7"/>
  <c r="AN48" i="7"/>
  <c r="AN49" i="7"/>
  <c r="AN50" i="7"/>
  <c r="AN51" i="7"/>
  <c r="AN52" i="7"/>
  <c r="AN53" i="7"/>
  <c r="AN54" i="7"/>
  <c r="AN55" i="7"/>
  <c r="AN56" i="7"/>
  <c r="AN57" i="7"/>
  <c r="AN58" i="7"/>
  <c r="AN59" i="7"/>
  <c r="AN60" i="7"/>
  <c r="AN61" i="7"/>
  <c r="AN62" i="7"/>
  <c r="AN63" i="7"/>
  <c r="AN64" i="7"/>
  <c r="AN65" i="7"/>
  <c r="AN66" i="7"/>
  <c r="AN67" i="7"/>
  <c r="AN68" i="7"/>
  <c r="AN69" i="7"/>
  <c r="AN70" i="7"/>
  <c r="AN71" i="7"/>
  <c r="AN72" i="7"/>
  <c r="AN73" i="7"/>
  <c r="AN74" i="7"/>
  <c r="AN75" i="7"/>
  <c r="AN76" i="7"/>
  <c r="AN77" i="7"/>
  <c r="AN78" i="7"/>
  <c r="AN79" i="7"/>
  <c r="AN80" i="7"/>
  <c r="AN81" i="7"/>
  <c r="AN82" i="7"/>
  <c r="AN83" i="7"/>
  <c r="AN84" i="7"/>
  <c r="AN85" i="7"/>
  <c r="AN86" i="7"/>
  <c r="AN87" i="7"/>
  <c r="AN88" i="7"/>
  <c r="AN89" i="7"/>
  <c r="AU62" i="14"/>
  <c r="BG86" i="14"/>
  <c r="BB86" i="14"/>
  <c r="BG85" i="14"/>
  <c r="BB85" i="14"/>
  <c r="BG84" i="14"/>
  <c r="BB84" i="14"/>
  <c r="BG83" i="14"/>
  <c r="BB83" i="14"/>
  <c r="BG82" i="14"/>
  <c r="BB82" i="14"/>
  <c r="BG81" i="14"/>
  <c r="BB81" i="14"/>
  <c r="BG80" i="14"/>
  <c r="BB80" i="14"/>
  <c r="BG79" i="14"/>
  <c r="BB79" i="14"/>
  <c r="BG78" i="14"/>
  <c r="BB78" i="14"/>
  <c r="BG77" i="14"/>
  <c r="BB77" i="14"/>
  <c r="BG76" i="14"/>
  <c r="BB76" i="14"/>
  <c r="BG75" i="14"/>
  <c r="BB75" i="14"/>
  <c r="BG74" i="14"/>
  <c r="BB74" i="14"/>
  <c r="BG73" i="14"/>
  <c r="BB73" i="14"/>
  <c r="BG72" i="14"/>
  <c r="BB72" i="14"/>
  <c r="BG71" i="14"/>
  <c r="BB71" i="14"/>
  <c r="BG70" i="14"/>
  <c r="BB70" i="14"/>
  <c r="BG69" i="14"/>
  <c r="BB69" i="14"/>
  <c r="BG68" i="14"/>
  <c r="BB68" i="14"/>
  <c r="BG67" i="14"/>
  <c r="BB67" i="14"/>
  <c r="BG66" i="14"/>
  <c r="BB66" i="14"/>
  <c r="BG65" i="14"/>
  <c r="BB65" i="14"/>
  <c r="BG64" i="14"/>
  <c r="BB64" i="14"/>
  <c r="BG63" i="14"/>
  <c r="BB63" i="14"/>
  <c r="BG62" i="14"/>
  <c r="BB62" i="14"/>
  <c r="BG61" i="14"/>
  <c r="BB61" i="14"/>
  <c r="BG60" i="14"/>
  <c r="BB60" i="14"/>
  <c r="BG59" i="14"/>
  <c r="BB59" i="14"/>
  <c r="BG58" i="14"/>
  <c r="BB58" i="14"/>
  <c r="BG57" i="14"/>
  <c r="BB57" i="14"/>
  <c r="BG56" i="14"/>
  <c r="BB56" i="14"/>
  <c r="BG55" i="14"/>
  <c r="BB55" i="14"/>
  <c r="BG54" i="14"/>
  <c r="BB54" i="14"/>
  <c r="BG53" i="14"/>
  <c r="BB53" i="14"/>
  <c r="BG52" i="14"/>
  <c r="BB52" i="14"/>
  <c r="BG51" i="14"/>
  <c r="BB51" i="14"/>
  <c r="BG50" i="14"/>
  <c r="BB50" i="14"/>
  <c r="BG49" i="14"/>
  <c r="BB49" i="14"/>
  <c r="BG48" i="14"/>
  <c r="BB48" i="14"/>
  <c r="BG47" i="14"/>
  <c r="BB47" i="14"/>
  <c r="BG46" i="14"/>
  <c r="BB46" i="14"/>
  <c r="BG45" i="14"/>
  <c r="BB45" i="14"/>
  <c r="BG44" i="14"/>
  <c r="BB44" i="14"/>
  <c r="BG43" i="14"/>
  <c r="BB43" i="14"/>
  <c r="BG42" i="14"/>
  <c r="BB42" i="14"/>
  <c r="BG41" i="14"/>
  <c r="BB41" i="14"/>
  <c r="BG40" i="14"/>
  <c r="BB40" i="14"/>
  <c r="BG39" i="14"/>
  <c r="BB39" i="14"/>
  <c r="BG38" i="14"/>
  <c r="BB38" i="14"/>
  <c r="BG37" i="14"/>
  <c r="BB37" i="14"/>
  <c r="BG36" i="14"/>
  <c r="BB36" i="14"/>
  <c r="BG35" i="14"/>
  <c r="BB35" i="14"/>
  <c r="BG34" i="14"/>
  <c r="BB34" i="14"/>
  <c r="BG33" i="14"/>
  <c r="BB33" i="14"/>
  <c r="BG32" i="14"/>
  <c r="BB32" i="14"/>
  <c r="BG31" i="14"/>
  <c r="BB31" i="14"/>
  <c r="BG30" i="14"/>
  <c r="BB30" i="14"/>
  <c r="BG29" i="14"/>
  <c r="BB29" i="14"/>
  <c r="BG28" i="14"/>
  <c r="BB28" i="14"/>
  <c r="BG27" i="14"/>
  <c r="BB27" i="14"/>
  <c r="BG26" i="14"/>
  <c r="BB26" i="14"/>
  <c r="BG25" i="14"/>
  <c r="BB25" i="14"/>
  <c r="BG24" i="14"/>
  <c r="BB24" i="14"/>
  <c r="BG23" i="14"/>
  <c r="BB23" i="14"/>
  <c r="BG22" i="14"/>
  <c r="BB22" i="14"/>
  <c r="BG21" i="14"/>
  <c r="BB21" i="14"/>
  <c r="BG20" i="14"/>
  <c r="BB20" i="14"/>
  <c r="BG19" i="14"/>
  <c r="BB19" i="14"/>
  <c r="BG18" i="14"/>
  <c r="BB18" i="14"/>
  <c r="BG17" i="14"/>
  <c r="BB17" i="14"/>
  <c r="BG16" i="14"/>
  <c r="BB16" i="14"/>
  <c r="BG15" i="14"/>
  <c r="BB15" i="14"/>
  <c r="BG14" i="14"/>
  <c r="BB14" i="14"/>
  <c r="BG13" i="14"/>
  <c r="BB13" i="14"/>
  <c r="BG12" i="14"/>
  <c r="BB12" i="14"/>
  <c r="BG11" i="14"/>
  <c r="BB11" i="14"/>
  <c r="BG10" i="14"/>
  <c r="BB10" i="14"/>
  <c r="BG9" i="14"/>
  <c r="BB9" i="14"/>
  <c r="BG8" i="14"/>
  <c r="BB8" i="14"/>
  <c r="BG7" i="14"/>
  <c r="BB7" i="14"/>
  <c r="BG6" i="14"/>
  <c r="BB6" i="14"/>
  <c r="BG5" i="14"/>
  <c r="BB5" i="14"/>
  <c r="BG4" i="14"/>
  <c r="BB4" i="14"/>
  <c r="BG3" i="14"/>
  <c r="BB3" i="14"/>
  <c r="BG2" i="14"/>
  <c r="BB2" i="14"/>
  <c r="BH5" i="7"/>
  <c r="BH6" i="7"/>
  <c r="BH7" i="7"/>
  <c r="BH8" i="7"/>
  <c r="BH9" i="7"/>
  <c r="BH10" i="7"/>
  <c r="BH11" i="7"/>
  <c r="BH12" i="7"/>
  <c r="BH13" i="7"/>
  <c r="BH14" i="7"/>
  <c r="BH15" i="7"/>
  <c r="BH16" i="7"/>
  <c r="BH17" i="7"/>
  <c r="BH18" i="7"/>
  <c r="BH19" i="7"/>
  <c r="BH20" i="7"/>
  <c r="BH21" i="7"/>
  <c r="BH22" i="7"/>
  <c r="BH23" i="7"/>
  <c r="BH24" i="7"/>
  <c r="BH25" i="7"/>
  <c r="BH26" i="7"/>
  <c r="BH27" i="7"/>
  <c r="BH28" i="7"/>
  <c r="BH29" i="7"/>
  <c r="BH30" i="7"/>
  <c r="BH31" i="7"/>
  <c r="BH32" i="7"/>
  <c r="BH33" i="7"/>
  <c r="BH34" i="7"/>
  <c r="BH35" i="7"/>
  <c r="BH36" i="7"/>
  <c r="BH37" i="7"/>
  <c r="BH38" i="7"/>
  <c r="BH39" i="7"/>
  <c r="BH40" i="7"/>
  <c r="BH41" i="7"/>
  <c r="BH42" i="7"/>
  <c r="BH43" i="7"/>
  <c r="BH44" i="7"/>
  <c r="BH45" i="7"/>
  <c r="BH46" i="7"/>
  <c r="BH47" i="7"/>
  <c r="BH48" i="7"/>
  <c r="BH49" i="7"/>
  <c r="BH50" i="7"/>
  <c r="BH51" i="7"/>
  <c r="BH52" i="7"/>
  <c r="BH53" i="7"/>
  <c r="BH54" i="7"/>
  <c r="BH55" i="7"/>
  <c r="BH56" i="7"/>
  <c r="BH57" i="7"/>
  <c r="BH58" i="7"/>
  <c r="BH59" i="7"/>
  <c r="BH60" i="7"/>
  <c r="BH61" i="7"/>
  <c r="BH62" i="7"/>
  <c r="BH63" i="7"/>
  <c r="BH64" i="7"/>
  <c r="BH65" i="7"/>
  <c r="BH66" i="7"/>
  <c r="BH67" i="7"/>
  <c r="BH68" i="7"/>
  <c r="BH69" i="7"/>
  <c r="BH70" i="7"/>
  <c r="BH71" i="7"/>
  <c r="BH72" i="7"/>
  <c r="BH73" i="7"/>
  <c r="BH74" i="7"/>
  <c r="BH75" i="7"/>
  <c r="BH76" i="7"/>
  <c r="BH77" i="7"/>
  <c r="BH78" i="7"/>
  <c r="BH79" i="7"/>
  <c r="BH80" i="7"/>
  <c r="BH81" i="7"/>
  <c r="BH82" i="7"/>
  <c r="BH83" i="7"/>
  <c r="BH84" i="7"/>
  <c r="BH85" i="7"/>
  <c r="BH86" i="7"/>
  <c r="BH87" i="7"/>
  <c r="BH88" i="7"/>
  <c r="BH89" i="7"/>
  <c r="CY2" i="18"/>
  <c r="AW7" i="28"/>
  <c r="DG6" i="18"/>
  <c r="DF6" i="18"/>
  <c r="DE6" i="18"/>
  <c r="DD6" i="18"/>
  <c r="DC6" i="18"/>
  <c r="DB6" i="18"/>
  <c r="DA6" i="18"/>
  <c r="CZ6" i="18"/>
  <c r="CY6" i="18"/>
  <c r="CW6" i="18"/>
  <c r="CO6" i="18"/>
  <c r="CG6" i="18"/>
  <c r="BY6" i="18"/>
  <c r="DH6" i="18" s="1"/>
  <c r="BQ6" i="18"/>
  <c r="BI6" i="18"/>
  <c r="BA6" i="18"/>
  <c r="AS6" i="18"/>
  <c r="AK6" i="18"/>
  <c r="AC6" i="18"/>
  <c r="DG3" i="18"/>
  <c r="DF3" i="18"/>
  <c r="DE3" i="18"/>
  <c r="DD3" i="18"/>
  <c r="DC3" i="18"/>
  <c r="DB3" i="18"/>
  <c r="DA3" i="18"/>
  <c r="CZ3" i="18"/>
  <c r="CY3" i="18"/>
  <c r="CW3" i="18"/>
  <c r="CO3" i="18"/>
  <c r="CG3" i="18"/>
  <c r="BY3" i="18"/>
  <c r="DH3" i="18" s="1"/>
  <c r="BQ3" i="18"/>
  <c r="BI3" i="18"/>
  <c r="BA3" i="18"/>
  <c r="AS3" i="18"/>
  <c r="AK3" i="18"/>
  <c r="AC3" i="18"/>
  <c r="DG2" i="18"/>
  <c r="DF2" i="18"/>
  <c r="DE2" i="18"/>
  <c r="DD2" i="18"/>
  <c r="DC2" i="18"/>
  <c r="DB2" i="18"/>
  <c r="DA2" i="18"/>
  <c r="CZ2" i="18"/>
  <c r="CW2" i="18"/>
  <c r="CO2" i="18"/>
  <c r="CG2" i="18"/>
  <c r="BY2" i="18"/>
  <c r="DH2" i="18" s="1"/>
  <c r="BQ2" i="18"/>
  <c r="BI2" i="18"/>
  <c r="BA2" i="18"/>
  <c r="AS2" i="18"/>
  <c r="AK2" i="18"/>
  <c r="AC2" i="18"/>
  <c r="V2" i="18"/>
  <c r="AG100" i="14"/>
  <c r="AG102" i="14"/>
  <c r="AG106" i="14"/>
  <c r="AG111" i="14"/>
  <c r="AG113" i="14"/>
  <c r="AG96" i="14"/>
  <c r="AG88" i="14"/>
  <c r="AG115" i="14"/>
  <c r="AG116" i="14"/>
  <c r="AG92" i="14"/>
  <c r="AG112" i="14"/>
  <c r="AF113" i="14"/>
  <c r="AF114" i="14"/>
  <c r="AF115" i="14"/>
  <c r="AF116" i="14"/>
  <c r="AG114" i="14"/>
  <c r="AF112" i="14"/>
  <c r="AG109" i="14"/>
  <c r="AG107" i="14"/>
  <c r="AG101" i="14"/>
  <c r="AF109" i="14"/>
  <c r="AF107" i="14"/>
  <c r="AF111" i="14"/>
  <c r="AF106" i="14"/>
  <c r="AF104" i="14"/>
  <c r="AF101" i="14"/>
  <c r="AF99" i="14"/>
  <c r="AF108" i="14"/>
  <c r="AF102" i="14"/>
  <c r="AG110" i="14"/>
  <c r="AF103" i="14"/>
  <c r="AF110" i="14"/>
  <c r="AF105" i="14"/>
  <c r="AG108" i="14"/>
  <c r="AG103" i="14"/>
  <c r="AG99" i="14"/>
  <c r="AG105" i="14"/>
  <c r="AF100" i="14"/>
  <c r="AG104" i="14"/>
  <c r="AF97" i="14"/>
  <c r="AF98" i="14"/>
  <c r="AF88" i="14"/>
  <c r="AF96" i="14"/>
  <c r="AF89" i="14"/>
  <c r="AF93" i="14"/>
  <c r="AG95" i="14"/>
  <c r="AG91" i="14"/>
  <c r="AG90" i="14"/>
  <c r="AG87" i="14"/>
  <c r="AF94" i="14"/>
  <c r="AG89" i="14"/>
  <c r="AG94" i="14"/>
  <c r="AF90" i="14"/>
  <c r="AF92" i="14"/>
  <c r="AF87" i="14"/>
  <c r="AG93" i="14"/>
  <c r="AF95" i="14"/>
  <c r="AG98" i="14"/>
  <c r="AF91" i="14"/>
  <c r="AG97" i="14"/>
  <c r="AG118" i="14"/>
  <c r="AF117" i="14"/>
  <c r="AG117" i="14"/>
  <c r="AF118" i="14"/>
  <c r="AF119" i="14"/>
  <c r="AG120" i="14"/>
  <c r="AG119" i="14"/>
  <c r="AF120" i="14"/>
  <c r="N121" i="14"/>
  <c r="B123" i="14"/>
  <c r="BH123" i="14" s="1"/>
  <c r="B127" i="14"/>
  <c r="BH127" i="14" s="1"/>
  <c r="K121" i="14"/>
  <c r="C126" i="14"/>
  <c r="C124" i="14"/>
  <c r="B133" i="14"/>
  <c r="BH133" i="14" s="1"/>
  <c r="L126" i="14"/>
  <c r="E125" i="14"/>
  <c r="BI125" i="14" s="1"/>
  <c r="G128" i="14"/>
  <c r="N133" i="14"/>
  <c r="AG125" i="14"/>
  <c r="M132" i="14"/>
  <c r="B128" i="14"/>
  <c r="BH128" i="14" s="1"/>
  <c r="G129" i="14"/>
  <c r="H132" i="14"/>
  <c r="N126" i="14"/>
  <c r="M128" i="14"/>
  <c r="B122" i="14"/>
  <c r="BH122" i="14" s="1"/>
  <c r="M125" i="14"/>
  <c r="I128" i="14"/>
  <c r="K131" i="14"/>
  <c r="E130" i="14"/>
  <c r="BI130" i="14" s="1"/>
  <c r="AG132" i="14"/>
  <c r="E131" i="14"/>
  <c r="BI131" i="14" s="1"/>
  <c r="J132" i="14"/>
  <c r="L125" i="14"/>
  <c r="AF129" i="14"/>
  <c r="H124" i="14"/>
  <c r="N124" i="14"/>
  <c r="J121" i="14"/>
  <c r="AF128" i="14"/>
  <c r="C130" i="14"/>
  <c r="M126" i="14"/>
  <c r="K123" i="14"/>
  <c r="AF126" i="14"/>
  <c r="I127" i="14"/>
  <c r="C121" i="14"/>
  <c r="D129" i="14"/>
  <c r="N128" i="14"/>
  <c r="H129" i="14"/>
  <c r="J133" i="14"/>
  <c r="G130" i="14"/>
  <c r="E122" i="14"/>
  <c r="BI122" i="14" s="1"/>
  <c r="J126" i="14"/>
  <c r="I129" i="14"/>
  <c r="H130" i="14"/>
  <c r="M133" i="14"/>
  <c r="J131" i="14"/>
  <c r="E126" i="14"/>
  <c r="BI126" i="14" s="1"/>
  <c r="AG124" i="14"/>
  <c r="AG131" i="14"/>
  <c r="G125" i="14"/>
  <c r="F130" i="14"/>
  <c r="B131" i="14"/>
  <c r="BH131" i="14" s="1"/>
  <c r="D126" i="14"/>
  <c r="AG134" i="14"/>
  <c r="N123" i="14"/>
  <c r="D123" i="14"/>
  <c r="AF137" i="14"/>
  <c r="AF133" i="14"/>
  <c r="H126" i="14"/>
  <c r="F123" i="14"/>
  <c r="L129" i="14"/>
  <c r="D132" i="14"/>
  <c r="F121" i="14"/>
  <c r="K128" i="14"/>
  <c r="F126" i="14"/>
  <c r="AG126" i="14"/>
  <c r="B125" i="14"/>
  <c r="BH125" i="14" s="1"/>
  <c r="H133" i="14"/>
  <c r="D127" i="14"/>
  <c r="G124" i="14"/>
  <c r="C131" i="14"/>
  <c r="F133" i="14"/>
  <c r="C133" i="14"/>
  <c r="I125" i="14"/>
  <c r="L122" i="14"/>
  <c r="H127" i="14"/>
  <c r="G126" i="14"/>
  <c r="AF127" i="14"/>
  <c r="I130" i="14"/>
  <c r="C132" i="14"/>
  <c r="I133" i="14"/>
  <c r="G132" i="14"/>
  <c r="M124" i="14"/>
  <c r="J123" i="14"/>
  <c r="F125" i="14"/>
  <c r="E132" i="14"/>
  <c r="BI132" i="14" s="1"/>
  <c r="G127" i="14"/>
  <c r="N127" i="14"/>
  <c r="AG127" i="14"/>
  <c r="B129" i="14"/>
  <c r="BH129" i="14" s="1"/>
  <c r="J130" i="14"/>
  <c r="D121" i="14"/>
  <c r="AF135" i="14"/>
  <c r="H125" i="14"/>
  <c r="M131" i="14"/>
  <c r="D130" i="14"/>
  <c r="E121" i="14"/>
  <c r="BI121" i="14" s="1"/>
  <c r="G131" i="14"/>
  <c r="C128" i="14"/>
  <c r="M123" i="14"/>
  <c r="F128" i="14"/>
  <c r="N122" i="14"/>
  <c r="N131" i="14"/>
  <c r="L127" i="14"/>
  <c r="C127" i="14"/>
  <c r="H122" i="14"/>
  <c r="B126" i="14"/>
  <c r="BH126" i="14" s="1"/>
  <c r="AG129" i="14"/>
  <c r="F122" i="14"/>
  <c r="N130" i="14"/>
  <c r="I126" i="14"/>
  <c r="H121" i="14"/>
  <c r="J125" i="14"/>
  <c r="I123" i="14"/>
  <c r="M129" i="14"/>
  <c r="H131" i="14"/>
  <c r="I131" i="14"/>
  <c r="G122" i="14"/>
  <c r="N132" i="14"/>
  <c r="AF121" i="14"/>
  <c r="AG136" i="14"/>
  <c r="J124" i="14"/>
  <c r="K125" i="14"/>
  <c r="G133" i="14"/>
  <c r="H128" i="14"/>
  <c r="M122" i="14"/>
  <c r="N129" i="14"/>
  <c r="F131" i="14"/>
  <c r="D128" i="14"/>
  <c r="J129" i="14"/>
  <c r="G123" i="14"/>
  <c r="J128" i="14"/>
  <c r="AG130" i="14"/>
  <c r="L121" i="14"/>
  <c r="I132" i="14"/>
  <c r="K130" i="14"/>
  <c r="AF124" i="14"/>
  <c r="C123" i="14"/>
  <c r="C125" i="14"/>
  <c r="K124" i="14"/>
  <c r="L131" i="14"/>
  <c r="D133" i="14"/>
  <c r="D122" i="14"/>
  <c r="K127" i="14"/>
  <c r="E123" i="14"/>
  <c r="BI123" i="14" s="1"/>
  <c r="C122" i="14"/>
  <c r="AG121" i="14"/>
  <c r="AF136" i="14"/>
  <c r="C129" i="14"/>
  <c r="M121" i="14"/>
  <c r="I121" i="14"/>
  <c r="AF130" i="14"/>
  <c r="AG133" i="14"/>
  <c r="H123" i="14"/>
  <c r="M127" i="14"/>
  <c r="J122" i="14"/>
  <c r="M130" i="14"/>
  <c r="L128" i="14"/>
  <c r="AG135" i="14"/>
  <c r="B130" i="14"/>
  <c r="BH130" i="14" s="1"/>
  <c r="E129" i="14"/>
  <c r="BI129" i="14" s="1"/>
  <c r="B124" i="14"/>
  <c r="BH124" i="14" s="1"/>
  <c r="AF123" i="14"/>
  <c r="E124" i="14"/>
  <c r="BI124" i="14" s="1"/>
  <c r="K129" i="14"/>
  <c r="AF132" i="14"/>
  <c r="I124" i="14"/>
  <c r="AG122" i="14"/>
  <c r="E128" i="14"/>
  <c r="BI128" i="14" s="1"/>
  <c r="L133" i="14"/>
  <c r="D125" i="14"/>
  <c r="B121" i="14"/>
  <c r="BH121" i="14" s="1"/>
  <c r="F129" i="14"/>
  <c r="J127" i="14"/>
  <c r="L130" i="14"/>
  <c r="AG137" i="14"/>
  <c r="AF134" i="14"/>
  <c r="K122" i="14"/>
  <c r="K133" i="14"/>
  <c r="L123" i="14"/>
  <c r="B132" i="14"/>
  <c r="BH132" i="14" s="1"/>
  <c r="AG128" i="14"/>
  <c r="K126" i="14"/>
  <c r="F127" i="14"/>
  <c r="D131" i="14"/>
  <c r="L132" i="14"/>
  <c r="L124" i="14"/>
  <c r="E133" i="14"/>
  <c r="BI133" i="14" s="1"/>
  <c r="AF131" i="14"/>
  <c r="AF122" i="14"/>
  <c r="AF125" i="14"/>
  <c r="F124" i="14"/>
  <c r="E127" i="14"/>
  <c r="BI127" i="14" s="1"/>
  <c r="AG123" i="14"/>
  <c r="K132" i="14"/>
  <c r="G121" i="14"/>
  <c r="D124" i="14"/>
  <c r="I122" i="14"/>
  <c r="F132" i="14"/>
  <c r="N125" i="14"/>
  <c r="AF138" i="14"/>
  <c r="AG138" i="14"/>
  <c r="AG139" i="14"/>
  <c r="AF139" i="14"/>
  <c r="AV6" i="28"/>
  <c r="AV7" i="28"/>
  <c r="AV733" i="28"/>
  <c r="AV729" i="28"/>
  <c r="AV725" i="28"/>
  <c r="AV721" i="28"/>
  <c r="AV154" i="28"/>
  <c r="AV150" i="28"/>
  <c r="AV146" i="28"/>
  <c r="AV142" i="28"/>
  <c r="AV139" i="28"/>
  <c r="AV134" i="28"/>
  <c r="AV131" i="28"/>
  <c r="AV126" i="28"/>
  <c r="AV118" i="28"/>
  <c r="AV115" i="28"/>
  <c r="AV110" i="28"/>
  <c r="AV107" i="28"/>
  <c r="AV102" i="28"/>
  <c r="AV99" i="28"/>
  <c r="AV94" i="28"/>
  <c r="AV90" i="28"/>
  <c r="AV86" i="28"/>
  <c r="AV82" i="28"/>
  <c r="AV78" i="28"/>
  <c r="AV74" i="28"/>
  <c r="AV70" i="28"/>
  <c r="AV66" i="28"/>
  <c r="AV62" i="28"/>
  <c r="AV58" i="28"/>
  <c r="AV54" i="28"/>
  <c r="AV52" i="28"/>
  <c r="AV46" i="28"/>
  <c r="AV44" i="28"/>
  <c r="AV42" i="28"/>
  <c r="AV34" i="28"/>
  <c r="AV30" i="28"/>
  <c r="AV627" i="28"/>
  <c r="AV623" i="28"/>
  <c r="AV619" i="28"/>
  <c r="AV615" i="28"/>
  <c r="AV611" i="28"/>
  <c r="AV607" i="28"/>
  <c r="AV603" i="28"/>
  <c r="AV599" i="28"/>
  <c r="AV595" i="28"/>
  <c r="AV591" i="28"/>
  <c r="AV587" i="28"/>
  <c r="AV583" i="28"/>
  <c r="AV579" i="28"/>
  <c r="AV575" i="28"/>
  <c r="AV571" i="28"/>
  <c r="AV526" i="28"/>
  <c r="AV622" i="28"/>
  <c r="AV574" i="28"/>
  <c r="AV539" i="28"/>
  <c r="AV507" i="28"/>
  <c r="AV561" i="28"/>
  <c r="AV562" i="28"/>
  <c r="AV558" i="28"/>
  <c r="AV554" i="28"/>
  <c r="AV550" i="28"/>
  <c r="AV534" i="28"/>
  <c r="AV22" i="28"/>
  <c r="AV18" i="28"/>
  <c r="AV14" i="28"/>
  <c r="AV522" i="28"/>
  <c r="AV518" i="28"/>
  <c r="AV514" i="28"/>
  <c r="AV155" i="28"/>
  <c r="AV151" i="28"/>
  <c r="AV143" i="28"/>
  <c r="AV138" i="28"/>
  <c r="AV133" i="28"/>
  <c r="AV130" i="28"/>
  <c r="AV127" i="28"/>
  <c r="AV122" i="28"/>
  <c r="AV119" i="28"/>
  <c r="AV114" i="28"/>
  <c r="AV106" i="28"/>
  <c r="AV103" i="28"/>
  <c r="AV101" i="28"/>
  <c r="AV98" i="28"/>
  <c r="AV95" i="28"/>
  <c r="AV91" i="28"/>
  <c r="AV83" i="28"/>
  <c r="AV79" i="28"/>
  <c r="AV71" i="28"/>
  <c r="AV67" i="28"/>
  <c r="AV59" i="28"/>
  <c r="AV53" i="28"/>
  <c r="AV45" i="28"/>
  <c r="AV41" i="28"/>
  <c r="AV33" i="28"/>
  <c r="AV29" i="28"/>
  <c r="AV19" i="28"/>
  <c r="AV15" i="28"/>
  <c r="AZ38" i="28"/>
  <c r="AZ594" i="28"/>
  <c r="BB594" i="28" s="1"/>
  <c r="BC539" i="28"/>
  <c r="AF62" i="14"/>
  <c r="AF38" i="14"/>
  <c r="AG82" i="14"/>
  <c r="AG70" i="14"/>
  <c r="AG46" i="14"/>
  <c r="AG34" i="14"/>
  <c r="AG10" i="14"/>
  <c r="AG85" i="14"/>
  <c r="AG73" i="14"/>
  <c r="AG61" i="14"/>
  <c r="AG49" i="14"/>
  <c r="AG37" i="14"/>
  <c r="AG13" i="14"/>
  <c r="AG74" i="14"/>
  <c r="AG86" i="14"/>
  <c r="AG62" i="14"/>
  <c r="AG50" i="14"/>
  <c r="AG38" i="14"/>
  <c r="AG26" i="14"/>
  <c r="AG14" i="14"/>
  <c r="AG2" i="14"/>
  <c r="AG75" i="14"/>
  <c r="AG6" i="14"/>
  <c r="AG66" i="14"/>
  <c r="AG42" i="14"/>
  <c r="AG30" i="14"/>
  <c r="AG18" i="14"/>
  <c r="AF82" i="14"/>
  <c r="AF70" i="14"/>
  <c r="AF46" i="14"/>
  <c r="AF81" i="14"/>
  <c r="AF69" i="14"/>
  <c r="AF21" i="14"/>
  <c r="AF9" i="14"/>
  <c r="AG76" i="14"/>
  <c r="AG77" i="14"/>
  <c r="AG65" i="14"/>
  <c r="AG53" i="14"/>
  <c r="AG41" i="14"/>
  <c r="AG29" i="14"/>
  <c r="AG17" i="14"/>
  <c r="AG5" i="14"/>
  <c r="AG63" i="14"/>
  <c r="AG51" i="14"/>
  <c r="AG39" i="14"/>
  <c r="AG27" i="14"/>
  <c r="AG15" i="14"/>
  <c r="AG3" i="14"/>
  <c r="AF20" i="14"/>
  <c r="AF56" i="14"/>
  <c r="AF8" i="14"/>
  <c r="AG64" i="14"/>
  <c r="AG52" i="14"/>
  <c r="AG40" i="14"/>
  <c r="AG16" i="14"/>
  <c r="AG4" i="14"/>
  <c r="AF68" i="14"/>
  <c r="AF57" i="14"/>
  <c r="AF45" i="14"/>
  <c r="AF66" i="14"/>
  <c r="AF42" i="14"/>
  <c r="AF30" i="14"/>
  <c r="AF18" i="14"/>
  <c r="AF6" i="14"/>
  <c r="AF79" i="14"/>
  <c r="AF67" i="14"/>
  <c r="AF43" i="14"/>
  <c r="AF31" i="14"/>
  <c r="AF7" i="14"/>
  <c r="AG68" i="14"/>
  <c r="AG56" i="14"/>
  <c r="AG32" i="14"/>
  <c r="AG20" i="14"/>
  <c r="AG8" i="14"/>
  <c r="AF85" i="14"/>
  <c r="AF61" i="14"/>
  <c r="AF49" i="14"/>
  <c r="AF13" i="14"/>
  <c r="AF74" i="14"/>
  <c r="AF50" i="14"/>
  <c r="AF26" i="14"/>
  <c r="AF14" i="14"/>
  <c r="AF2" i="14"/>
  <c r="AG81" i="14"/>
  <c r="AG57" i="14"/>
  <c r="AG45" i="14"/>
  <c r="AG21" i="14"/>
  <c r="AG36" i="14"/>
  <c r="AF40" i="14"/>
  <c r="AF16" i="14"/>
  <c r="AF4" i="14"/>
  <c r="AG83" i="14"/>
  <c r="AG59" i="14"/>
  <c r="AG47" i="14"/>
  <c r="AG35" i="14"/>
  <c r="AG11" i="14"/>
  <c r="AF32" i="14"/>
  <c r="AG79" i="14"/>
  <c r="AG67" i="14"/>
  <c r="AG31" i="14"/>
  <c r="AG7" i="14"/>
  <c r="AF84" i="14"/>
  <c r="AF48" i="14"/>
  <c r="AF36" i="14"/>
  <c r="AF12" i="14"/>
  <c r="AF35" i="14"/>
  <c r="AF86" i="14"/>
  <c r="AF41" i="14"/>
  <c r="AG48" i="14"/>
  <c r="AF39" i="14"/>
  <c r="AF63" i="14"/>
  <c r="AF75" i="14"/>
  <c r="AF3" i="14"/>
  <c r="AF27" i="14"/>
  <c r="AF15" i="14"/>
  <c r="AF19" i="14"/>
  <c r="AF24" i="14"/>
  <c r="AG28" i="14"/>
  <c r="AG33" i="14"/>
  <c r="AG23" i="14"/>
  <c r="AF28" i="14"/>
  <c r="AG44" i="14"/>
  <c r="AF54" i="14"/>
  <c r="AF33" i="14"/>
  <c r="AG54" i="14"/>
  <c r="AG24" i="14"/>
  <c r="AF25" i="14"/>
  <c r="AG19" i="14"/>
  <c r="AF44" i="14"/>
  <c r="AG25" i="14"/>
  <c r="AG22" i="14"/>
  <c r="AG80" i="14"/>
  <c r="AG55" i="14"/>
  <c r="AF80" i="14"/>
  <c r="AG58" i="14"/>
  <c r="AG60" i="14"/>
  <c r="AF60" i="14"/>
  <c r="AG72" i="14"/>
  <c r="AG71" i="14"/>
  <c r="AF72" i="14"/>
  <c r="AF55" i="14"/>
  <c r="AF78" i="14"/>
  <c r="AF58" i="14"/>
  <c r="AG78" i="14"/>
  <c r="AF52" i="14"/>
  <c r="AF73" i="14"/>
  <c r="AG9" i="14"/>
  <c r="AF34" i="14"/>
  <c r="AG69" i="14"/>
  <c r="AF37" i="14"/>
  <c r="AF23" i="14"/>
  <c r="AG43" i="14"/>
  <c r="AF47" i="14"/>
  <c r="AF59" i="14"/>
  <c r="AF71" i="14"/>
  <c r="AF83" i="14"/>
  <c r="AF11" i="14"/>
  <c r="AF10" i="14"/>
  <c r="AG84" i="14"/>
  <c r="AG12" i="14"/>
  <c r="AF22" i="14"/>
  <c r="AF5" i="14"/>
  <c r="AF17" i="14"/>
  <c r="AF29" i="14"/>
  <c r="AF53" i="14"/>
  <c r="AF65" i="14"/>
  <c r="AF77" i="14"/>
  <c r="AF51" i="14"/>
  <c r="AF64" i="14"/>
  <c r="AF76" i="14"/>
  <c r="T145" i="14"/>
  <c r="H146" i="14"/>
  <c r="J142" i="14"/>
  <c r="C145" i="14"/>
  <c r="E142" i="14"/>
  <c r="BI142" i="14" s="1"/>
  <c r="AF145" i="14"/>
  <c r="G140" i="14"/>
  <c r="B143" i="14"/>
  <c r="BH143" i="14" s="1"/>
  <c r="B144" i="14"/>
  <c r="BH144" i="14" s="1"/>
  <c r="K144" i="14"/>
  <c r="Q142" i="14"/>
  <c r="AG142" i="14"/>
  <c r="M140" i="14"/>
  <c r="B142" i="14"/>
  <c r="BH142" i="14" s="1"/>
  <c r="C146" i="14"/>
  <c r="AF142" i="14"/>
  <c r="Q140" i="14"/>
  <c r="T143" i="14"/>
  <c r="C141" i="14"/>
  <c r="I142" i="14"/>
  <c r="I141" i="14"/>
  <c r="AF143" i="14"/>
  <c r="E140" i="14"/>
  <c r="BI140" i="14" s="1"/>
  <c r="K143" i="14"/>
  <c r="L142" i="14"/>
  <c r="N140" i="14"/>
  <c r="F144" i="14"/>
  <c r="T144" i="14"/>
  <c r="S140" i="14"/>
  <c r="F141" i="14"/>
  <c r="M141" i="14"/>
  <c r="S146" i="14"/>
  <c r="B146" i="14"/>
  <c r="BH146" i="14" s="1"/>
  <c r="M142" i="14"/>
  <c r="N145" i="14"/>
  <c r="B145" i="14"/>
  <c r="BH145" i="14" s="1"/>
  <c r="K142" i="14"/>
  <c r="J146" i="14"/>
  <c r="R141" i="14"/>
  <c r="Q145" i="14"/>
  <c r="L144" i="14"/>
  <c r="P146" i="14"/>
  <c r="AF140" i="14"/>
  <c r="B140" i="14"/>
  <c r="BH140" i="14" s="1"/>
  <c r="J141" i="14"/>
  <c r="T140" i="14"/>
  <c r="AG143" i="14"/>
  <c r="H140" i="14"/>
  <c r="H142" i="14"/>
  <c r="R142" i="14"/>
  <c r="P142" i="14"/>
  <c r="AG145" i="14"/>
  <c r="G142" i="14"/>
  <c r="E143" i="14"/>
  <c r="BI143" i="14" s="1"/>
  <c r="L145" i="14"/>
  <c r="G144" i="14"/>
  <c r="D141" i="14"/>
  <c r="F143" i="14"/>
  <c r="D145" i="14"/>
  <c r="N143" i="14"/>
  <c r="J143" i="14"/>
  <c r="S144" i="14"/>
  <c r="N144" i="14"/>
  <c r="D140" i="14"/>
  <c r="AF141" i="14"/>
  <c r="I146" i="14"/>
  <c r="K140" i="14"/>
  <c r="T141" i="14"/>
  <c r="Q144" i="14"/>
  <c r="G143" i="14"/>
  <c r="G146" i="14"/>
  <c r="R146" i="14"/>
  <c r="AG144" i="14"/>
  <c r="D144" i="14"/>
  <c r="E141" i="14"/>
  <c r="BI141" i="14" s="1"/>
  <c r="D142" i="14"/>
  <c r="N141" i="14"/>
  <c r="Q141" i="14"/>
  <c r="L141" i="14"/>
  <c r="G141" i="14"/>
  <c r="R140" i="14"/>
  <c r="H143" i="14"/>
  <c r="C144" i="14"/>
  <c r="AG141" i="14"/>
  <c r="F142" i="14"/>
  <c r="K145" i="14"/>
  <c r="J140" i="14"/>
  <c r="S141" i="14"/>
  <c r="M144" i="14"/>
  <c r="F140" i="14"/>
  <c r="E146" i="14"/>
  <c r="BI146" i="14" s="1"/>
  <c r="R144" i="14"/>
  <c r="E144" i="14"/>
  <c r="BI144" i="14" s="1"/>
  <c r="AF144" i="14"/>
  <c r="K141" i="14"/>
  <c r="P143" i="14"/>
  <c r="P141" i="14"/>
  <c r="K146" i="14"/>
  <c r="I140" i="14"/>
  <c r="I144" i="14"/>
  <c r="N142" i="14"/>
  <c r="L140" i="14"/>
  <c r="E145" i="14"/>
  <c r="BI145" i="14" s="1"/>
  <c r="I143" i="14"/>
  <c r="L146" i="14"/>
  <c r="P145" i="14"/>
  <c r="R145" i="14"/>
  <c r="R143" i="14"/>
  <c r="M146" i="14"/>
  <c r="D146" i="14"/>
  <c r="M145" i="14"/>
  <c r="J145" i="14"/>
  <c r="B141" i="14"/>
  <c r="BH141" i="14" s="1"/>
  <c r="C142" i="14"/>
  <c r="P144" i="14"/>
  <c r="H144" i="14"/>
  <c r="AF146" i="14"/>
  <c r="C143" i="14"/>
  <c r="S142" i="14"/>
  <c r="T146" i="14"/>
  <c r="H141" i="14"/>
  <c r="T142" i="14"/>
  <c r="D143" i="14"/>
  <c r="AG140" i="14"/>
  <c r="P140" i="14"/>
  <c r="I145" i="14"/>
  <c r="AG146" i="14"/>
  <c r="Q143" i="14"/>
  <c r="S145" i="14"/>
  <c r="J144" i="14"/>
  <c r="Q146" i="14"/>
  <c r="M143" i="14"/>
  <c r="N146" i="14"/>
  <c r="F146" i="14"/>
  <c r="G145" i="14"/>
  <c r="L143" i="14"/>
  <c r="H145" i="14"/>
  <c r="S143" i="14"/>
  <c r="C140" i="14"/>
  <c r="F145" i="14"/>
  <c r="AF149" i="14"/>
  <c r="AF148" i="14"/>
  <c r="AG149" i="14"/>
  <c r="AG148" i="14"/>
  <c r="AG147" i="14"/>
  <c r="AF147" i="14"/>
  <c r="AF151" i="14"/>
  <c r="AF150" i="14"/>
  <c r="AG151" i="14"/>
  <c r="AG150" i="14"/>
  <c r="AF152" i="14"/>
  <c r="AF153" i="14"/>
  <c r="AG154" i="14"/>
  <c r="AG157" i="14"/>
  <c r="AF157" i="14"/>
  <c r="AG155" i="14"/>
  <c r="AF156" i="14"/>
  <c r="AG153" i="14"/>
  <c r="AF154" i="14"/>
  <c r="AG156" i="14"/>
  <c r="AG152" i="14"/>
  <c r="AF155" i="14"/>
  <c r="N159" i="14"/>
  <c r="M163" i="14"/>
  <c r="I167" i="14"/>
  <c r="T164" i="14"/>
  <c r="E165" i="14"/>
  <c r="BI165" i="14" s="1"/>
  <c r="N161" i="14"/>
  <c r="K166" i="14"/>
  <c r="G158" i="14"/>
  <c r="L165" i="14"/>
  <c r="I166" i="14"/>
  <c r="G161" i="14"/>
  <c r="C159" i="14"/>
  <c r="J167" i="14"/>
  <c r="Q160" i="14"/>
  <c r="M166" i="14"/>
  <c r="F160" i="14"/>
  <c r="N163" i="14"/>
  <c r="AG164" i="14"/>
  <c r="M158" i="14"/>
  <c r="AG167" i="14"/>
  <c r="F164" i="14"/>
  <c r="F162" i="14"/>
  <c r="K158" i="14"/>
  <c r="T159" i="14"/>
  <c r="E159" i="14"/>
  <c r="BI159" i="14" s="1"/>
  <c r="R167" i="14"/>
  <c r="Q161" i="14"/>
  <c r="AF159" i="14"/>
  <c r="B160" i="14"/>
  <c r="BH160" i="14" s="1"/>
  <c r="P164" i="14"/>
  <c r="B163" i="14"/>
  <c r="BH163" i="14" s="1"/>
  <c r="T163" i="14"/>
  <c r="L158" i="14"/>
  <c r="C158" i="14"/>
  <c r="C164" i="14"/>
  <c r="S160" i="14"/>
  <c r="L163" i="14"/>
  <c r="J164" i="14"/>
  <c r="E161" i="14"/>
  <c r="BI161" i="14" s="1"/>
  <c r="K167" i="14"/>
  <c r="H167" i="14"/>
  <c r="T161" i="14"/>
  <c r="E167" i="14"/>
  <c r="BI167" i="14" s="1"/>
  <c r="AF169" i="14"/>
  <c r="J161" i="14"/>
  <c r="AG160" i="14"/>
  <c r="P166" i="14"/>
  <c r="N160" i="14"/>
  <c r="C163" i="14"/>
  <c r="AF165" i="14"/>
  <c r="F165" i="14"/>
  <c r="AG163" i="14"/>
  <c r="L160" i="14"/>
  <c r="G166" i="14"/>
  <c r="R159" i="14"/>
  <c r="B161" i="14"/>
  <c r="BH161" i="14" s="1"/>
  <c r="P165" i="14"/>
  <c r="L167" i="14"/>
  <c r="R160" i="14"/>
  <c r="T167" i="14"/>
  <c r="E166" i="14"/>
  <c r="BI166" i="14" s="1"/>
  <c r="J160" i="14"/>
  <c r="AF166" i="14"/>
  <c r="D167" i="14"/>
  <c r="K163" i="14"/>
  <c r="K165" i="14"/>
  <c r="M160" i="14"/>
  <c r="AF168" i="14"/>
  <c r="K162" i="14"/>
  <c r="G159" i="14"/>
  <c r="AF160" i="14"/>
  <c r="I160" i="14"/>
  <c r="D161" i="14"/>
  <c r="T166" i="14"/>
  <c r="AG166" i="14"/>
  <c r="AF161" i="14"/>
  <c r="Q159" i="14"/>
  <c r="F161" i="14"/>
  <c r="D165" i="14"/>
  <c r="S164" i="14"/>
  <c r="C166" i="14"/>
  <c r="I162" i="14"/>
  <c r="N158" i="14"/>
  <c r="K161" i="14"/>
  <c r="N164" i="14"/>
  <c r="AG162" i="14"/>
  <c r="AF158" i="14"/>
  <c r="AG165" i="14"/>
  <c r="R164" i="14"/>
  <c r="P167" i="14"/>
  <c r="H165" i="14"/>
  <c r="H161" i="14"/>
  <c r="G163" i="14"/>
  <c r="E158" i="14"/>
  <c r="BI158" i="14" s="1"/>
  <c r="P158" i="14"/>
  <c r="M164" i="14"/>
  <c r="C160" i="14"/>
  <c r="C167" i="14"/>
  <c r="Q165" i="14"/>
  <c r="AF163" i="14"/>
  <c r="P163" i="14"/>
  <c r="H159" i="14"/>
  <c r="AF167" i="14"/>
  <c r="B158" i="14"/>
  <c r="BH158" i="14" s="1"/>
  <c r="AG168" i="14"/>
  <c r="E162" i="14"/>
  <c r="BI162" i="14" s="1"/>
  <c r="I158" i="14"/>
  <c r="N167" i="14"/>
  <c r="P160" i="14"/>
  <c r="Q166" i="14"/>
  <c r="J158" i="14"/>
  <c r="L164" i="14"/>
  <c r="E160" i="14"/>
  <c r="BI160" i="14" s="1"/>
  <c r="H160" i="14"/>
  <c r="J165" i="14"/>
  <c r="Q163" i="14"/>
  <c r="H166" i="14"/>
  <c r="S162" i="14"/>
  <c r="H158" i="14"/>
  <c r="S163" i="14"/>
  <c r="K160" i="14"/>
  <c r="T160" i="14"/>
  <c r="L161" i="14"/>
  <c r="J166" i="14"/>
  <c r="M165" i="14"/>
  <c r="P161" i="14"/>
  <c r="R166" i="14"/>
  <c r="S161" i="14"/>
  <c r="I161" i="14"/>
  <c r="G167" i="14"/>
  <c r="B166" i="14"/>
  <c r="BH166" i="14" s="1"/>
  <c r="C161" i="14"/>
  <c r="AG161" i="14"/>
  <c r="B167" i="14"/>
  <c r="BH167" i="14" s="1"/>
  <c r="D158" i="14"/>
  <c r="L166" i="14"/>
  <c r="M167" i="14"/>
  <c r="R163" i="14"/>
  <c r="D163" i="14"/>
  <c r="AF164" i="14"/>
  <c r="C162" i="14"/>
  <c r="S166" i="14"/>
  <c r="S167" i="14"/>
  <c r="L162" i="14"/>
  <c r="K164" i="14"/>
  <c r="B159" i="14"/>
  <c r="BH159" i="14" s="1"/>
  <c r="R161" i="14"/>
  <c r="G164" i="14"/>
  <c r="R158" i="14"/>
  <c r="H163" i="14"/>
  <c r="S159" i="14"/>
  <c r="R162" i="14"/>
  <c r="F158" i="14"/>
  <c r="S158" i="14"/>
  <c r="B164" i="14"/>
  <c r="BH164" i="14" s="1"/>
  <c r="J159" i="14"/>
  <c r="G162" i="14"/>
  <c r="M162" i="14"/>
  <c r="AG159" i="14"/>
  <c r="E164" i="14"/>
  <c r="BI164" i="14" s="1"/>
  <c r="N162" i="14"/>
  <c r="D166" i="14"/>
  <c r="H162" i="14"/>
  <c r="P159" i="14"/>
  <c r="F159" i="14"/>
  <c r="D159" i="14"/>
  <c r="J162" i="14"/>
  <c r="F166" i="14"/>
  <c r="I165" i="14"/>
  <c r="M159" i="14"/>
  <c r="AG158" i="14"/>
  <c r="K159" i="14"/>
  <c r="I163" i="14"/>
  <c r="N165" i="14"/>
  <c r="M161" i="14"/>
  <c r="AF162" i="14"/>
  <c r="G160" i="14"/>
  <c r="B165" i="14"/>
  <c r="BH165" i="14" s="1"/>
  <c r="Q167" i="14"/>
  <c r="J163" i="14"/>
  <c r="H164" i="14"/>
  <c r="S165" i="14"/>
  <c r="Q162" i="14"/>
  <c r="D160" i="14"/>
  <c r="AG169" i="14"/>
  <c r="Q164" i="14"/>
  <c r="D162" i="14"/>
  <c r="L159" i="14"/>
  <c r="Q158" i="14"/>
  <c r="N166" i="14"/>
  <c r="F163" i="14"/>
  <c r="T165" i="14"/>
  <c r="F167" i="14"/>
  <c r="I159" i="14"/>
  <c r="E163" i="14"/>
  <c r="BI163" i="14" s="1"/>
  <c r="I164" i="14"/>
  <c r="B162" i="14"/>
  <c r="BH162" i="14" s="1"/>
  <c r="R165" i="14"/>
  <c r="T158" i="14"/>
  <c r="P162" i="14"/>
  <c r="C165" i="14"/>
  <c r="G165" i="14"/>
  <c r="T162" i="14"/>
  <c r="D164" i="14"/>
  <c r="AZ391" i="28"/>
  <c r="AZ410" i="28"/>
  <c r="BP410" i="28" s="1"/>
  <c r="BG394" i="28"/>
  <c r="BN334" i="28"/>
  <c r="BH323" i="28"/>
  <c r="BD409" i="28"/>
  <c r="BE415" i="28"/>
  <c r="BL329" i="28"/>
  <c r="BI404" i="28"/>
  <c r="BK406" i="28"/>
  <c r="BD327" i="28"/>
  <c r="BD395" i="28"/>
  <c r="BN396" i="28"/>
  <c r="BD393" i="28"/>
  <c r="BK392" i="28"/>
  <c r="BG391" i="28"/>
  <c r="BC325" i="28"/>
  <c r="BJ412" i="28"/>
  <c r="BE402" i="28"/>
  <c r="BN414" i="28"/>
  <c r="BG289" i="28"/>
  <c r="BL401" i="28"/>
  <c r="BF336" i="28"/>
  <c r="BN404" i="28"/>
  <c r="BM340" i="28"/>
  <c r="BC407" i="28"/>
  <c r="BJ397" i="28"/>
  <c r="BE400" i="28"/>
  <c r="BC323" i="28"/>
  <c r="BD340" i="28"/>
  <c r="BI414" i="28"/>
  <c r="BM410" i="28"/>
  <c r="BH418" i="28"/>
  <c r="BJ407" i="28"/>
  <c r="BI327" i="28"/>
  <c r="BD334" i="28"/>
  <c r="BF402" i="28"/>
  <c r="BG396" i="28"/>
  <c r="BG331" i="28"/>
  <c r="BE412" i="28"/>
  <c r="BH334" i="28"/>
  <c r="BE404" i="28"/>
  <c r="BG412" i="28"/>
  <c r="BJ327" i="28"/>
  <c r="BN325" i="28"/>
  <c r="BJ392" i="28"/>
  <c r="BN399" i="28"/>
  <c r="BJ334" i="28"/>
  <c r="BG393" i="28"/>
  <c r="BL327" i="28"/>
  <c r="BF323" i="28"/>
  <c r="BL414" i="28"/>
  <c r="BH408" i="28"/>
  <c r="BJ414" i="28"/>
  <c r="BL336" i="28"/>
  <c r="BI391" i="28"/>
  <c r="BL391" i="28"/>
  <c r="BK415" i="28"/>
  <c r="BL411" i="28"/>
  <c r="BE414" i="28"/>
  <c r="BH403" i="28"/>
  <c r="BM416" i="28"/>
  <c r="BL338" i="28"/>
  <c r="BK391" i="28"/>
  <c r="BG325" i="28"/>
  <c r="BH327" i="28"/>
  <c r="BH392" i="28"/>
  <c r="BF329" i="28"/>
  <c r="BH395" i="28"/>
  <c r="BK383" i="28"/>
  <c r="BM417" i="28"/>
  <c r="BN406" i="28"/>
  <c r="BI425" i="28"/>
  <c r="BI417" i="28"/>
  <c r="BE413" i="28"/>
  <c r="BI407" i="28"/>
  <c r="BL405" i="28"/>
  <c r="BK400" i="28"/>
  <c r="BE336" i="28"/>
  <c r="BC402" i="28"/>
  <c r="BJ336" i="28"/>
  <c r="BI397" i="28"/>
  <c r="BH338" i="28"/>
  <c r="BD405" i="28"/>
  <c r="BH394" i="28"/>
  <c r="BH484" i="28"/>
  <c r="BJ331" i="28"/>
  <c r="BN397" i="28"/>
  <c r="BG323" i="28"/>
  <c r="BF397" i="28"/>
  <c r="BH410" i="28"/>
  <c r="BG340" i="28"/>
  <c r="BH340" i="28"/>
  <c r="BF391" i="28"/>
  <c r="BJ398" i="28"/>
  <c r="BH413" i="28"/>
  <c r="BH239" i="28"/>
  <c r="BM414" i="28"/>
  <c r="BJ403" i="28"/>
  <c r="BJ406" i="28"/>
  <c r="BN407" i="28"/>
  <c r="BI410" i="28"/>
  <c r="BL748" i="28"/>
  <c r="BG418" i="28"/>
  <c r="BL399" i="28"/>
  <c r="BE334" i="28"/>
  <c r="BF483" i="28"/>
  <c r="BK393" i="28"/>
  <c r="BK396" i="28"/>
  <c r="BK331" i="28"/>
  <c r="BC212" i="28"/>
  <c r="BL404" i="28"/>
  <c r="BM333" i="28"/>
  <c r="BN195" i="28"/>
  <c r="BL334" i="28"/>
  <c r="BC491" i="28"/>
  <c r="BC493" i="28"/>
  <c r="BH397" i="28"/>
  <c r="BM325" i="28"/>
  <c r="BN327" i="28"/>
  <c r="BN159" i="28"/>
  <c r="BN771" i="28"/>
  <c r="BI294" i="28"/>
  <c r="BE769" i="28"/>
  <c r="BG779" i="28"/>
  <c r="BL392" i="28"/>
  <c r="BJ329" i="28"/>
  <c r="BK412" i="28"/>
  <c r="BF307" i="28"/>
  <c r="BH329" i="28"/>
  <c r="BF394" i="28"/>
  <c r="BM391" i="28"/>
  <c r="BC418" i="28"/>
  <c r="BL307" i="28"/>
  <c r="BH414" i="28"/>
  <c r="BK336" i="28"/>
  <c r="BK394" i="28"/>
  <c r="BK477" i="28"/>
  <c r="BI310" i="28"/>
  <c r="BI415" i="28"/>
  <c r="BK250" i="28"/>
  <c r="BE418" i="28"/>
  <c r="BJ430" i="28"/>
  <c r="BK480" i="28"/>
  <c r="BG364" i="28"/>
  <c r="BI369" i="28"/>
  <c r="BN350" i="28"/>
  <c r="BG403" i="28"/>
  <c r="BF327" i="28"/>
  <c r="BL701" i="28"/>
  <c r="BK496" i="28"/>
  <c r="BN410" i="28"/>
  <c r="BN236" i="28"/>
  <c r="BM185" i="28"/>
  <c r="BG401" i="28"/>
  <c r="BM651" i="28"/>
  <c r="BC643" i="28"/>
  <c r="BM283" i="28"/>
  <c r="BK774" i="28"/>
  <c r="BJ457" i="28"/>
  <c r="BJ411" i="28"/>
  <c r="BI392" i="28"/>
  <c r="BL173" i="28"/>
  <c r="BM399" i="28"/>
  <c r="BL715" i="28"/>
  <c r="BF741" i="28"/>
  <c r="BH716" i="28"/>
  <c r="BF321" i="28"/>
  <c r="BC321" i="28"/>
  <c r="BC159" i="28"/>
  <c r="BN675" i="28"/>
  <c r="BF448" i="28"/>
  <c r="BE323" i="28"/>
  <c r="BC388" i="28"/>
  <c r="BJ325" i="28"/>
  <c r="BI708" i="28"/>
  <c r="BJ491" i="28"/>
  <c r="BN739" i="28"/>
  <c r="BN432" i="28"/>
  <c r="BD323" i="28"/>
  <c r="BN179" i="28"/>
  <c r="BL318" i="28"/>
  <c r="BC237" i="28"/>
  <c r="BD659" i="28"/>
  <c r="BM338" i="28"/>
  <c r="BH404" i="28"/>
  <c r="BF445" i="28"/>
  <c r="BK227" i="28"/>
  <c r="BM498" i="28"/>
  <c r="BL448" i="28"/>
  <c r="BL395" i="28"/>
  <c r="BD397" i="28"/>
  <c r="BI325" i="28"/>
  <c r="BN668" i="28"/>
  <c r="BL486" i="28"/>
  <c r="BI212" i="28"/>
  <c r="BG738" i="28"/>
  <c r="BG400" i="28"/>
  <c r="BM173" i="28"/>
  <c r="BI773" i="28"/>
  <c r="BE712" i="28"/>
  <c r="BH750" i="28"/>
  <c r="BD672" i="28"/>
  <c r="BM389" i="28"/>
  <c r="BM393" i="28"/>
  <c r="BK327" i="28"/>
  <c r="BL219" i="28"/>
  <c r="BG435" i="28"/>
  <c r="BE276" i="28"/>
  <c r="BD203" i="28"/>
  <c r="BF205" i="28"/>
  <c r="BN191" i="28"/>
  <c r="BD658" i="28"/>
  <c r="BK738" i="28"/>
  <c r="BJ470" i="28"/>
  <c r="BG193" i="28"/>
  <c r="BK682" i="28"/>
  <c r="BE492" i="28"/>
  <c r="BE324" i="28"/>
  <c r="BG259" i="28"/>
  <c r="BE482" i="28"/>
  <c r="BE674" i="28"/>
  <c r="BH652" i="28"/>
  <c r="BI382" i="28"/>
  <c r="BI422" i="28"/>
  <c r="BH212" i="28"/>
  <c r="BC413" i="28"/>
  <c r="BL190" i="28"/>
  <c r="BK478" i="28"/>
  <c r="BD404" i="28"/>
  <c r="BG485" i="28"/>
  <c r="BI331" i="28"/>
  <c r="BD222" i="28"/>
  <c r="BD257" i="28"/>
  <c r="BL410" i="28"/>
  <c r="BN718" i="28"/>
  <c r="BE653" i="28"/>
  <c r="BI420" i="28"/>
  <c r="BH359" i="28"/>
  <c r="BL678" i="28"/>
  <c r="BK349" i="28"/>
  <c r="BK408" i="28"/>
  <c r="BG655" i="28"/>
  <c r="BF708" i="28"/>
  <c r="BG425" i="28"/>
  <c r="BL363" i="28"/>
  <c r="BC667" i="28"/>
  <c r="BH465" i="28"/>
  <c r="BL412" i="28"/>
  <c r="BM455" i="28"/>
  <c r="BL758" i="28"/>
  <c r="BC416" i="28"/>
  <c r="BI251" i="28"/>
  <c r="BG417" i="28"/>
  <c r="BN356" i="28"/>
  <c r="BI246" i="28"/>
  <c r="BF393" i="28"/>
  <c r="BK707" i="28"/>
  <c r="BC169" i="28"/>
  <c r="BE327" i="28"/>
  <c r="BD392" i="28"/>
  <c r="BN225" i="28"/>
  <c r="BH296" i="28"/>
  <c r="BF399" i="28"/>
  <c r="BC330" i="28"/>
  <c r="BG500" i="28"/>
  <c r="BN440" i="28"/>
  <c r="BE396" i="28"/>
  <c r="BD331" i="28"/>
  <c r="BN187" i="28"/>
  <c r="BL326" i="28"/>
  <c r="BL158" i="28"/>
  <c r="BH487" i="28"/>
  <c r="BJ634" i="28"/>
  <c r="BH399" i="28"/>
  <c r="BM334" i="28"/>
  <c r="BM400" i="28"/>
  <c r="BH335" i="28"/>
  <c r="BI329" i="28"/>
  <c r="BD269" i="28"/>
  <c r="BH761" i="28"/>
  <c r="BF441" i="28"/>
  <c r="BJ480" i="28"/>
  <c r="BL501" i="28"/>
  <c r="BN392" i="28"/>
  <c r="BJ328" i="28"/>
  <c r="BI321" i="28"/>
  <c r="BK269" i="28"/>
  <c r="BH385" i="28"/>
  <c r="BI237" i="28"/>
  <c r="BH458" i="28"/>
  <c r="BL403" i="28"/>
  <c r="BG431" i="28"/>
  <c r="BN487" i="28"/>
  <c r="BE772" i="28"/>
  <c r="BK213" i="28"/>
  <c r="BJ401" i="28"/>
  <c r="BJ275" i="28"/>
  <c r="BL262" i="28"/>
  <c r="BD402" i="28"/>
  <c r="BE641" i="28"/>
  <c r="BI741" i="28"/>
  <c r="BF409" i="28"/>
  <c r="BH344" i="28"/>
  <c r="BE339" i="28"/>
  <c r="BD390" i="28"/>
  <c r="BE273" i="28"/>
  <c r="BN498" i="28"/>
  <c r="BK466" i="28"/>
  <c r="BE391" i="28"/>
  <c r="BM684" i="28"/>
  <c r="BI498" i="28"/>
  <c r="BG402" i="28"/>
  <c r="BN336" i="28"/>
  <c r="BE331" i="28"/>
  <c r="BH659" i="28"/>
  <c r="BH164" i="28"/>
  <c r="BN255" i="28"/>
  <c r="BG317" i="28"/>
  <c r="BF237" i="28"/>
  <c r="BH690" i="28"/>
  <c r="BK313" i="28"/>
  <c r="BE380" i="28"/>
  <c r="BH655" i="28"/>
  <c r="BM761" i="28"/>
  <c r="BC764" i="28"/>
  <c r="BM415" i="28"/>
  <c r="BG406" i="28"/>
  <c r="BI233" i="28"/>
  <c r="BN442" i="28"/>
  <c r="BI424" i="28"/>
  <c r="BN362" i="28"/>
  <c r="BI666" i="28"/>
  <c r="BK353" i="28"/>
  <c r="BJ779" i="28"/>
  <c r="BE660" i="28"/>
  <c r="BC671" i="28"/>
  <c r="BN468" i="28"/>
  <c r="BI416" i="28"/>
  <c r="BG245" i="28"/>
  <c r="BC632" i="28"/>
  <c r="BK345" i="28"/>
  <c r="BE281" i="28"/>
  <c r="BK404" i="28"/>
  <c r="BL781" i="28"/>
  <c r="BM209" i="28"/>
  <c r="BI271" i="28"/>
  <c r="BG702" i="28"/>
  <c r="BH378" i="28"/>
  <c r="BJ159" i="28"/>
  <c r="BD394" i="28"/>
  <c r="BL330" i="28"/>
  <c r="BN665" i="28"/>
  <c r="BK487" i="28"/>
  <c r="BG399" i="28"/>
  <c r="BJ697" i="28"/>
  <c r="BK343" i="28"/>
  <c r="BE279" i="28"/>
  <c r="BK401" i="28"/>
  <c r="BG273" i="28"/>
  <c r="BG228" i="28"/>
  <c r="BG314" i="28"/>
  <c r="BF179" i="28"/>
  <c r="BF657" i="28"/>
  <c r="BD439" i="28"/>
  <c r="BK449" i="28"/>
  <c r="BJ447" i="28"/>
  <c r="BI159" i="28"/>
  <c r="BF675" i="28"/>
  <c r="BN180" i="28"/>
  <c r="BG706" i="28"/>
  <c r="BC391" i="28"/>
  <c r="BI775" i="28"/>
  <c r="BC688" i="28"/>
  <c r="BC642" i="28"/>
  <c r="BM442" i="28"/>
  <c r="BJ680" i="28"/>
  <c r="BH388" i="28"/>
  <c r="BF432" i="28"/>
  <c r="BD700" i="28"/>
  <c r="BF676" i="28"/>
  <c r="BD496" i="28"/>
  <c r="BN418" i="28"/>
  <c r="BI671" i="28"/>
  <c r="BM392" i="28"/>
  <c r="BC383" i="28"/>
  <c r="BM316" i="28"/>
  <c r="BD438" i="28"/>
  <c r="BG169" i="28"/>
  <c r="BJ307" i="28"/>
  <c r="BG361" i="28"/>
  <c r="BK296" i="28"/>
  <c r="BI156" i="28"/>
  <c r="BH260" i="28"/>
  <c r="BH158" i="28"/>
  <c r="BH783" i="28"/>
  <c r="BI715" i="28"/>
  <c r="BI497" i="28"/>
  <c r="BH475" i="28"/>
  <c r="BL650" i="28"/>
  <c r="BF778" i="28"/>
  <c r="BG426" i="28"/>
  <c r="BM201" i="28"/>
  <c r="BL416" i="28"/>
  <c r="BF156" i="28"/>
  <c r="BF481" i="28"/>
  <c r="BM781" i="28"/>
  <c r="BD684" i="28"/>
  <c r="BF660" i="28"/>
  <c r="BD478" i="28"/>
  <c r="BE502" i="28"/>
  <c r="BL376" i="28"/>
  <c r="BL700" i="28"/>
  <c r="BI364" i="28"/>
  <c r="BM657" i="28"/>
  <c r="BC453" i="28"/>
  <c r="BF764" i="28"/>
  <c r="BM670" i="28"/>
  <c r="BJ365" i="28"/>
  <c r="BI739" i="28"/>
  <c r="BC682" i="28"/>
  <c r="BE738" i="28"/>
  <c r="BC427" i="28"/>
  <c r="BD365" i="28"/>
  <c r="BH640" i="28"/>
  <c r="BN369" i="28"/>
  <c r="BC677" i="28"/>
  <c r="BI356" i="28"/>
  <c r="BF415" i="28"/>
  <c r="BH163" i="28"/>
  <c r="BG338" i="28"/>
  <c r="BC282" i="28"/>
  <c r="BD179" i="28"/>
  <c r="BF369" i="28"/>
  <c r="BN250" i="28"/>
  <c r="BI449" i="28"/>
  <c r="BH354" i="28"/>
  <c r="BM692" i="28"/>
  <c r="BM475" i="28"/>
  <c r="BF485" i="28"/>
  <c r="BC692" i="28"/>
  <c r="BC436" i="28"/>
  <c r="BH270" i="28"/>
  <c r="BC439" i="28"/>
  <c r="BF225" i="28"/>
  <c r="BG302" i="28"/>
  <c r="BC177" i="28"/>
  <c r="BG680" i="28"/>
  <c r="BK475" i="28"/>
  <c r="BM438" i="28"/>
  <c r="BF687" i="28"/>
  <c r="BF166" i="28"/>
  <c r="BE781" i="28"/>
  <c r="BN261" i="28"/>
  <c r="BG216" i="28"/>
  <c r="BH303" i="28"/>
  <c r="BM467" i="28"/>
  <c r="BH478" i="28"/>
  <c r="BL711" i="28"/>
  <c r="BC428" i="28"/>
  <c r="BH764" i="28"/>
  <c r="BE695" i="28"/>
  <c r="BC630" i="28"/>
  <c r="BD481" i="28"/>
  <c r="BM634" i="28"/>
  <c r="BF159" i="28"/>
  <c r="BM776" i="28"/>
  <c r="BG208" i="28"/>
  <c r="BH422" i="28"/>
  <c r="BG453" i="28"/>
  <c r="BL194" i="28"/>
  <c r="BK166" i="28"/>
  <c r="BI396" i="28"/>
  <c r="BE241" i="28"/>
  <c r="BF385" i="28"/>
  <c r="BC281" i="28"/>
  <c r="BL168" i="28"/>
  <c r="BD303" i="28"/>
  <c r="BM398" i="28"/>
  <c r="BI293" i="28"/>
  <c r="BL658" i="28"/>
  <c r="BE773" i="28"/>
  <c r="BK649" i="28"/>
  <c r="BD470" i="28"/>
  <c r="BF215" i="28"/>
  <c r="BN635" i="28"/>
  <c r="BE236" i="28"/>
  <c r="BK671" i="28"/>
  <c r="BF186" i="28"/>
  <c r="BD414" i="28"/>
  <c r="BD750" i="28"/>
  <c r="BL661" i="28"/>
  <c r="BG494" i="28"/>
  <c r="BF763" i="28"/>
  <c r="BN251" i="28"/>
  <c r="BK204" i="28"/>
  <c r="BK259" i="28"/>
  <c r="BJ219" i="28"/>
  <c r="BJ715" i="28"/>
  <c r="BG650" i="28"/>
  <c r="BD753" i="28"/>
  <c r="BK641" i="28"/>
  <c r="BK417" i="28"/>
  <c r="BD357" i="28"/>
  <c r="BF707" i="28"/>
  <c r="BM652" i="28"/>
  <c r="BL472" i="28"/>
  <c r="BI421" i="28"/>
  <c r="BK256" i="28"/>
  <c r="BH361" i="28"/>
  <c r="BK251" i="28"/>
  <c r="BM347" i="28"/>
  <c r="BL289" i="28"/>
  <c r="BF290" i="28"/>
  <c r="BM352" i="28"/>
  <c r="BK695" i="28"/>
  <c r="BH389" i="28"/>
  <c r="BM246" i="28"/>
  <c r="BN361" i="28"/>
  <c r="BN663" i="28"/>
  <c r="BD379" i="28"/>
  <c r="BF206" i="28"/>
  <c r="BI418" i="28"/>
  <c r="BJ340" i="28"/>
  <c r="BI335" i="28"/>
  <c r="BF197" i="28"/>
  <c r="BF440" i="28"/>
  <c r="BD708" i="28"/>
  <c r="BI688" i="28"/>
  <c r="BC451" i="28"/>
  <c r="BK160" i="28"/>
  <c r="BC275" i="28"/>
  <c r="BK650" i="28"/>
  <c r="BD363" i="28"/>
  <c r="BE364" i="28"/>
  <c r="BI299" i="28"/>
  <c r="BN309" i="28"/>
  <c r="BE376" i="28"/>
  <c r="BD165" i="28"/>
  <c r="BD219" i="28"/>
  <c r="BC327" i="28"/>
  <c r="BE393" i="28"/>
  <c r="BJ234" i="28"/>
  <c r="BL201" i="28"/>
  <c r="BF413" i="28"/>
  <c r="BJ173" i="28"/>
  <c r="BJ454" i="28"/>
  <c r="BC334" i="28"/>
  <c r="BD196" i="28"/>
  <c r="BG236" i="28"/>
  <c r="BK395" i="28"/>
  <c r="BC278" i="28"/>
  <c r="BL175" i="28"/>
  <c r="BL249" i="28"/>
  <c r="BD368" i="28"/>
  <c r="BD164" i="28"/>
  <c r="BL332" i="28"/>
  <c r="BD399" i="28"/>
  <c r="BF716" i="28"/>
  <c r="BC350" i="28"/>
  <c r="BI253" i="28"/>
  <c r="BJ404" i="28"/>
  <c r="BI340" i="28"/>
  <c r="BG178" i="28"/>
  <c r="BG171" i="28"/>
  <c r="BC217" i="28"/>
  <c r="BM423" i="28"/>
  <c r="BJ313" i="28"/>
  <c r="BC374" i="28"/>
  <c r="BN398" i="28"/>
  <c r="BK221" i="28"/>
  <c r="BG353" i="28"/>
  <c r="BG263" i="28"/>
  <c r="BI323" i="28"/>
  <c r="BF330" i="28"/>
  <c r="BL476" i="28"/>
  <c r="BJ273" i="28"/>
  <c r="BC165" i="28"/>
  <c r="BK778" i="28"/>
  <c r="BC659" i="28"/>
  <c r="BI502" i="28"/>
  <c r="BN451" i="28"/>
  <c r="BN405" i="28"/>
  <c r="BF340" i="28"/>
  <c r="BE335" i="28"/>
  <c r="BN630" i="28"/>
  <c r="BM214" i="28"/>
  <c r="BL673" i="28"/>
  <c r="BG444" i="28"/>
  <c r="BN695" i="28"/>
  <c r="BF461" i="28"/>
  <c r="BJ694" i="28"/>
  <c r="BN408" i="28"/>
  <c r="BJ346" i="28"/>
  <c r="BD410" i="28"/>
  <c r="BL347" i="28"/>
  <c r="BC340" i="28"/>
  <c r="BH415" i="28"/>
  <c r="BF386" i="28"/>
  <c r="BE503" i="28"/>
  <c r="BF771" i="28"/>
  <c r="BI494" i="28"/>
  <c r="BD443" i="28"/>
  <c r="BK398" i="28"/>
  <c r="BL489" i="28"/>
  <c r="BJ740" i="28"/>
  <c r="BL687" i="28"/>
  <c r="BN636" i="28"/>
  <c r="BN401" i="28"/>
  <c r="BG337" i="28"/>
  <c r="BI175" i="28"/>
  <c r="BF403" i="28"/>
  <c r="BC332" i="28"/>
  <c r="BH194" i="28"/>
  <c r="BL230" i="28"/>
  <c r="BE311" i="28"/>
  <c r="BF227" i="28"/>
  <c r="BE652" i="28"/>
  <c r="BH222" i="28"/>
  <c r="BI264" i="28"/>
  <c r="BJ205" i="28"/>
  <c r="BI503" i="28"/>
  <c r="BD212" i="28"/>
  <c r="BI216" i="28"/>
  <c r="BI225" i="28"/>
  <c r="BH417" i="28"/>
  <c r="BC756" i="28"/>
  <c r="BD640" i="28"/>
  <c r="BL754" i="28"/>
  <c r="BN483" i="28"/>
  <c r="BF396" i="28"/>
  <c r="BL269" i="28"/>
  <c r="BM654" i="28"/>
  <c r="BJ163" i="28"/>
  <c r="BC697" i="28"/>
  <c r="BN427" i="28"/>
  <c r="BK764" i="28"/>
  <c r="BH675" i="28"/>
  <c r="BG636" i="28"/>
  <c r="BC437" i="28"/>
  <c r="BK265" i="28"/>
  <c r="BK220" i="28"/>
  <c r="BE406" i="28"/>
  <c r="BF500" i="28"/>
  <c r="BM371" i="28"/>
  <c r="BF633" i="28"/>
  <c r="BJ780" i="28"/>
  <c r="BK657" i="28"/>
  <c r="BK433" i="28"/>
  <c r="BE477" i="28"/>
  <c r="BI757" i="28"/>
  <c r="BI693" i="28"/>
  <c r="BG502" i="28"/>
  <c r="BJ271" i="28"/>
  <c r="BL258" i="28"/>
  <c r="BD375" i="28"/>
  <c r="BD267" i="28"/>
  <c r="BM363" i="28"/>
  <c r="BM303" i="28"/>
  <c r="BJ242" i="28"/>
  <c r="BD413" i="28"/>
  <c r="BC354" i="28"/>
  <c r="BD295" i="28"/>
  <c r="BM368" i="28"/>
  <c r="BC754" i="28"/>
  <c r="BE157" i="28"/>
  <c r="BN259" i="28"/>
  <c r="BH204" i="28"/>
  <c r="BC498" i="28"/>
  <c r="BK712" i="28"/>
  <c r="BM647" i="28"/>
  <c r="BL467" i="28"/>
  <c r="BK750" i="28"/>
  <c r="BC415" i="28"/>
  <c r="BN354" i="28"/>
  <c r="BL349" i="28"/>
  <c r="BJ359" i="28"/>
  <c r="BF346" i="28"/>
  <c r="BI344" i="28"/>
  <c r="BM279" i="28"/>
  <c r="BI403" i="28"/>
  <c r="BG458" i="28"/>
  <c r="BF737" i="28"/>
  <c r="BL703" i="28"/>
  <c r="BN652" i="28"/>
  <c r="BK418" i="28"/>
  <c r="BC254" i="28"/>
  <c r="BL242" i="28"/>
  <c r="BD359" i="28"/>
  <c r="BC249" i="28"/>
  <c r="BE345" i="28"/>
  <c r="BH287" i="28"/>
  <c r="BD781" i="28"/>
  <c r="BK661" i="28"/>
  <c r="BC631" i="28"/>
  <c r="BD454" i="28"/>
  <c r="BD408" i="28"/>
  <c r="BD698" i="28"/>
  <c r="BG450" i="28"/>
  <c r="BJ463" i="28"/>
  <c r="BN696" i="28"/>
  <c r="BD411" i="28"/>
  <c r="BC246" i="28"/>
  <c r="BD237" i="28"/>
  <c r="BH412" i="28"/>
  <c r="BF352" i="28"/>
  <c r="BK342" i="28"/>
  <c r="BJ388" i="28"/>
  <c r="BJ280" i="28"/>
  <c r="BE252" i="28"/>
  <c r="BH366" i="28"/>
  <c r="BJ677" i="28"/>
  <c r="BF380" i="28"/>
  <c r="BD229" i="28"/>
  <c r="BN338" i="28"/>
  <c r="BH402" i="28"/>
  <c r="BK462" i="28"/>
  <c r="BL351" i="28"/>
  <c r="BD278" i="28"/>
  <c r="BL432" i="28"/>
  <c r="BH331" i="28"/>
  <c r="BK324" i="28"/>
  <c r="BG660" i="28"/>
  <c r="BK455" i="28"/>
  <c r="BL766" i="28"/>
  <c r="BG673" i="28"/>
  <c r="BN367" i="28"/>
  <c r="BH249" i="28"/>
  <c r="BE421" i="28"/>
  <c r="BG256" i="28"/>
  <c r="BM411" i="28"/>
  <c r="BN293" i="28"/>
  <c r="BN503" i="28"/>
  <c r="BN776" i="28"/>
  <c r="BK740" i="28"/>
  <c r="BK653" i="28"/>
  <c r="BH367" i="28"/>
  <c r="BM258" i="28"/>
  <c r="BD372" i="28"/>
  <c r="BL253" i="28"/>
  <c r="BC359" i="28"/>
  <c r="BG294" i="28"/>
  <c r="BK447" i="28"/>
  <c r="BD653" i="28"/>
  <c r="BI633" i="28"/>
  <c r="BJ719" i="28"/>
  <c r="BI676" i="28"/>
  <c r="BH473" i="28"/>
  <c r="BL466" i="28"/>
  <c r="BK421" i="28"/>
  <c r="BN211" i="28"/>
  <c r="BI653" i="28"/>
  <c r="BE232" i="28"/>
  <c r="BI686" i="28"/>
  <c r="BN182" i="28"/>
  <c r="BC410" i="28"/>
  <c r="BH393" i="28"/>
  <c r="BK276" i="28"/>
  <c r="BM276" i="28"/>
  <c r="BN287" i="28"/>
  <c r="BH352" i="28"/>
  <c r="BF300" i="28"/>
  <c r="BM196" i="28"/>
  <c r="BH320" i="28"/>
  <c r="BJ413" i="28"/>
  <c r="BI247" i="28"/>
  <c r="BE449" i="28"/>
  <c r="BH462" i="28"/>
  <c r="BL695" i="28"/>
  <c r="BK184" i="28"/>
  <c r="BF411" i="28"/>
  <c r="BH202" i="28"/>
  <c r="BL417" i="28"/>
  <c r="BL238" i="28"/>
  <c r="BC674" i="28"/>
  <c r="BC449" i="28"/>
  <c r="BD705" i="28"/>
  <c r="BM666" i="28"/>
  <c r="BD465" i="28"/>
  <c r="BL243" i="28"/>
  <c r="BI228" i="28"/>
  <c r="BG414" i="28"/>
  <c r="BM249" i="28"/>
  <c r="BF240" i="28"/>
  <c r="BE405" i="28"/>
  <c r="BD288" i="28"/>
  <c r="BC277" i="28"/>
  <c r="BM741" i="28"/>
  <c r="BM632" i="28"/>
  <c r="BH752" i="28"/>
  <c r="BD403" i="28"/>
  <c r="BF698" i="28"/>
  <c r="BH647" i="28"/>
  <c r="BF458" i="28"/>
  <c r="BF650" i="28"/>
  <c r="BL340" i="28"/>
  <c r="BI220" i="28"/>
  <c r="BG750" i="28"/>
  <c r="BH407" i="28"/>
  <c r="BH233" i="28"/>
  <c r="BM181" i="28"/>
  <c r="BK397" i="28"/>
  <c r="BC269" i="28"/>
  <c r="BC224" i="28"/>
  <c r="BD415" i="28"/>
  <c r="BK338" i="28"/>
  <c r="BD385" i="28"/>
  <c r="BC401" i="28"/>
  <c r="BG214" i="28"/>
  <c r="BE292" i="28"/>
  <c r="BJ338" i="28"/>
  <c r="BG262" i="28"/>
  <c r="BN249" i="28"/>
  <c r="BG298" i="28"/>
  <c r="BK325" i="28"/>
  <c r="BG486" i="28"/>
  <c r="BN765" i="28"/>
  <c r="BK702" i="28"/>
  <c r="BM637" i="28"/>
  <c r="BM395" i="28"/>
  <c r="BJ279" i="28"/>
  <c r="BC267" i="28"/>
  <c r="BM408" i="28"/>
  <c r="BD383" i="28"/>
  <c r="BD275" i="28"/>
  <c r="BE373" i="28"/>
  <c r="BL312" i="28"/>
  <c r="BK781" i="28"/>
  <c r="BL664" i="28"/>
  <c r="BK648" i="28"/>
  <c r="BD398" i="28"/>
  <c r="BC678" i="28"/>
  <c r="BN394" i="28"/>
  <c r="BH400" i="28"/>
  <c r="BN283" i="28"/>
  <c r="BH438" i="28"/>
  <c r="BH321" i="28"/>
  <c r="BG478" i="28"/>
  <c r="BI758" i="28"/>
  <c r="BK694" i="28"/>
  <c r="BM503" i="28"/>
  <c r="BF774" i="28"/>
  <c r="BE685" i="28"/>
  <c r="BI478" i="28"/>
  <c r="BK640" i="28"/>
  <c r="BG441" i="28"/>
  <c r="BJ689" i="28"/>
  <c r="BF490" i="28"/>
  <c r="BF387" i="28"/>
  <c r="BM269" i="28"/>
  <c r="BJ168" i="28"/>
  <c r="BM443" i="28"/>
  <c r="BE264" i="28"/>
  <c r="BE219" i="28"/>
  <c r="BJ431" i="28"/>
  <c r="BJ314" i="28"/>
  <c r="BL305" i="28"/>
  <c r="BF171" i="28"/>
  <c r="BF498" i="28"/>
  <c r="BF231" i="28"/>
  <c r="BK266" i="28"/>
  <c r="BK373" i="28"/>
  <c r="BC188" i="28"/>
  <c r="BG415" i="28"/>
  <c r="BK305" i="28"/>
  <c r="BM296" i="28"/>
  <c r="BN162" i="28"/>
  <c r="BD190" i="28"/>
  <c r="BN379" i="28"/>
  <c r="BM162" i="28"/>
  <c r="BL294" i="28"/>
  <c r="BM284" i="28"/>
  <c r="BM239" i="28"/>
  <c r="BM286" i="28"/>
  <c r="BG428" i="28"/>
  <c r="BE261" i="28"/>
  <c r="BL248" i="28"/>
  <c r="BE201" i="28"/>
  <c r="BD706" i="28"/>
  <c r="BM459" i="28"/>
  <c r="BI738" i="28"/>
  <c r="BG651" i="28"/>
  <c r="BJ471" i="28"/>
  <c r="BN704" i="28"/>
  <c r="BC780" i="28"/>
  <c r="BC420" i="28"/>
  <c r="BI255" i="28"/>
  <c r="BN243" i="28"/>
  <c r="BI195" i="28"/>
  <c r="BG421" i="28"/>
  <c r="BF360" i="28"/>
  <c r="BI250" i="28"/>
  <c r="BJ211" i="28"/>
  <c r="BG346" i="28"/>
  <c r="BJ288" i="28"/>
  <c r="BI161" i="28"/>
  <c r="BK659" i="28"/>
  <c r="BE782" i="28"/>
  <c r="BG664" i="28"/>
  <c r="BK459" i="28"/>
  <c r="BF714" i="28"/>
  <c r="BC496" i="28"/>
  <c r="BH770" i="28"/>
  <c r="BG677" i="28"/>
  <c r="BF474" i="28"/>
  <c r="BD646" i="28"/>
  <c r="BF371" i="28"/>
  <c r="BN252" i="28"/>
  <c r="BC239" i="28"/>
  <c r="BG773" i="28"/>
  <c r="BE425" i="28"/>
  <c r="BG260" i="28"/>
  <c r="BD248" i="28"/>
  <c r="BG200" i="28"/>
  <c r="BJ415" i="28"/>
  <c r="BF297" i="28"/>
  <c r="BK287" i="28"/>
  <c r="BF699" i="28"/>
  <c r="BM451" i="28"/>
  <c r="BK754" i="28"/>
  <c r="BG643" i="28"/>
  <c r="BL464" i="28"/>
  <c r="BD647" i="28"/>
  <c r="BL750" i="28"/>
  <c r="BF412" i="28"/>
  <c r="BM774" i="28"/>
  <c r="BK689" i="28"/>
  <c r="BK451" i="28"/>
  <c r="BH707" i="28"/>
  <c r="BJ656" i="28"/>
  <c r="BC763" i="28"/>
  <c r="BG669" i="28"/>
  <c r="BH467" i="28"/>
  <c r="BI649" i="28"/>
  <c r="BH364" i="28"/>
  <c r="BC231" i="28"/>
  <c r="BE417" i="28"/>
  <c r="BG252" i="28"/>
  <c r="BC243" i="28"/>
  <c r="BG192" i="28"/>
  <c r="BM407" i="28"/>
  <c r="BH290" i="28"/>
  <c r="BK279" i="28"/>
  <c r="BK234" i="28"/>
  <c r="BF449" i="28"/>
  <c r="BK224" i="28"/>
  <c r="BH277" i="28"/>
  <c r="BM375" i="28"/>
  <c r="BD282" i="28"/>
  <c r="BE270" i="28"/>
  <c r="BE225" i="28"/>
  <c r="BJ251" i="28"/>
  <c r="BL300" i="28"/>
  <c r="BG416" i="28"/>
  <c r="BM251" i="28"/>
  <c r="BM191" i="28"/>
  <c r="BH193" i="28"/>
  <c r="BG339" i="28"/>
  <c r="BI336" i="28"/>
  <c r="BD227" i="28"/>
  <c r="BG174" i="28"/>
  <c r="BE746" i="28"/>
  <c r="BD778" i="28"/>
  <c r="BC690" i="28"/>
  <c r="BH481" i="28"/>
  <c r="BN741" i="28"/>
  <c r="BC655" i="28"/>
  <c r="BL474" i="28"/>
  <c r="BC431" i="28"/>
  <c r="BJ368" i="28"/>
  <c r="BE260" i="28"/>
  <c r="BN219" i="28"/>
  <c r="BD654" i="28"/>
  <c r="BF373" i="28"/>
  <c r="BN254" i="28"/>
  <c r="BG241" i="28"/>
  <c r="BI360" i="28"/>
  <c r="BM295" i="28"/>
  <c r="BN190" i="28"/>
  <c r="BL418" i="28"/>
  <c r="BG691" i="28"/>
  <c r="BG474" i="28"/>
  <c r="BC755" i="28"/>
  <c r="BF666" i="28"/>
  <c r="BD484" i="28"/>
  <c r="BG718" i="28"/>
  <c r="BM499" i="28"/>
  <c r="BK434" i="28"/>
  <c r="BF269" i="28"/>
  <c r="BH256" i="28"/>
  <c r="BC210" i="28"/>
  <c r="BI436" i="28"/>
  <c r="BN372" i="28"/>
  <c r="BN264" i="28"/>
  <c r="BD224" i="28"/>
  <c r="BM454" i="28"/>
  <c r="BE361" i="28"/>
  <c r="BE301" i="28"/>
  <c r="BM735" i="28"/>
  <c r="BM655" i="28"/>
  <c r="BL770" i="28"/>
  <c r="BK677" i="28"/>
  <c r="BJ474" i="28"/>
  <c r="BD758" i="28"/>
  <c r="BC647" i="28"/>
  <c r="BN467" i="28"/>
  <c r="BC423" i="28"/>
  <c r="BL361" i="28"/>
  <c r="BN711" i="28"/>
  <c r="BG466" i="28"/>
  <c r="BK747" i="28"/>
  <c r="BF477" i="28"/>
  <c r="BJ710" i="28"/>
  <c r="BM491" i="28"/>
  <c r="BI779" i="28"/>
  <c r="BK426" i="28"/>
  <c r="BC262" i="28"/>
  <c r="BJ249" i="28"/>
  <c r="BC202" i="28"/>
  <c r="BE428" i="28"/>
  <c r="BC257" i="28"/>
  <c r="BF217" i="28"/>
  <c r="BN477" i="28"/>
  <c r="BE353" i="28"/>
  <c r="BF294" i="28"/>
  <c r="BK167" i="28"/>
  <c r="BI691" i="28"/>
  <c r="BM309" i="28"/>
  <c r="BE374" i="28"/>
  <c r="BE753" i="28"/>
  <c r="BI190" i="28"/>
  <c r="BL697" i="28"/>
  <c r="BJ394" i="28"/>
  <c r="BG158" i="28"/>
  <c r="BN210" i="28"/>
  <c r="BJ320" i="28"/>
  <c r="BK423" i="28"/>
  <c r="BD178" i="28"/>
  <c r="BE234" i="28"/>
  <c r="BJ248" i="28"/>
  <c r="BG687" i="28"/>
  <c r="BE237" i="28"/>
  <c r="BE282" i="28"/>
  <c r="BH292" i="28"/>
  <c r="BH440" i="28"/>
  <c r="BG157" i="28"/>
  <c r="BL370" i="28"/>
  <c r="BN319" i="28"/>
  <c r="BE718" i="28"/>
  <c r="BL644" i="28"/>
  <c r="BJ426" i="28"/>
  <c r="BH694" i="28"/>
  <c r="BC446" i="28"/>
  <c r="BH759" i="28"/>
  <c r="BJ670" i="28"/>
  <c r="BH488" i="28"/>
  <c r="BI406" i="28"/>
  <c r="BF382" i="28"/>
  <c r="BF274" i="28"/>
  <c r="BJ233" i="28"/>
  <c r="BN674" i="28"/>
  <c r="BI269" i="28"/>
  <c r="BF168" i="28"/>
  <c r="BD719" i="28"/>
  <c r="BI376" i="28"/>
  <c r="BE310" i="28"/>
  <c r="BJ204" i="28"/>
  <c r="BH432" i="28"/>
  <c r="BG707" i="28"/>
  <c r="BG490" i="28"/>
  <c r="BJ769" i="28"/>
  <c r="BE446" i="28"/>
  <c r="BK706" i="28"/>
  <c r="BM641" i="28"/>
  <c r="BI442" i="28"/>
  <c r="BI399" i="28"/>
  <c r="BC271" i="28"/>
  <c r="BC226" i="28"/>
  <c r="BF416" i="28"/>
  <c r="BJ386" i="28"/>
  <c r="BJ278" i="28"/>
  <c r="BN237" i="28"/>
  <c r="BN464" i="28"/>
  <c r="BE377" i="28"/>
  <c r="BD316" i="28"/>
  <c r="BJ753" i="28"/>
  <c r="BN637" i="28"/>
  <c r="BL419" i="28"/>
  <c r="BJ687" i="28"/>
  <c r="BF488" i="28"/>
  <c r="BF752" i="28"/>
  <c r="BL663" i="28"/>
  <c r="BJ481" i="28"/>
  <c r="BE442" i="28"/>
  <c r="BH375" i="28"/>
  <c r="BG699" i="28"/>
  <c r="BG482" i="28"/>
  <c r="BE762" i="28"/>
  <c r="BD673" i="28"/>
  <c r="BK698" i="28"/>
  <c r="BM633" i="28"/>
  <c r="BK442" i="28"/>
  <c r="BD276" i="28"/>
  <c r="BF263" i="28"/>
  <c r="BC218" i="28"/>
  <c r="BN400" i="28"/>
  <c r="BL379" i="28"/>
  <c r="BL271" i="28"/>
  <c r="BM486" i="28"/>
  <c r="BE369" i="28"/>
  <c r="BE309" i="28"/>
  <c r="BK183" i="28"/>
  <c r="BK711" i="28"/>
  <c r="BN260" i="28"/>
  <c r="BG434" i="28"/>
  <c r="BI222" i="28"/>
  <c r="BD739" i="28"/>
  <c r="BI359" i="28"/>
  <c r="BL299" i="28"/>
  <c r="BE174" i="28"/>
  <c r="BJ323" i="28"/>
  <c r="BE390" i="28"/>
  <c r="BM760" i="28"/>
  <c r="BC197" i="28"/>
  <c r="BG694" i="28"/>
  <c r="BI347" i="28"/>
  <c r="BH289" i="28"/>
  <c r="BG162" i="28"/>
  <c r="BI280" i="28"/>
  <c r="BC344" i="28"/>
  <c r="BC448" i="28"/>
  <c r="BJ213" i="28"/>
  <c r="BJ633" i="28"/>
  <c r="BF364" i="28"/>
  <c r="BC255" i="28"/>
  <c r="BJ215" i="28"/>
  <c r="BC750" i="28"/>
  <c r="BI638" i="28"/>
  <c r="BH460" i="28"/>
  <c r="BI700" i="28"/>
  <c r="BI483" i="28"/>
  <c r="BL768" i="28"/>
  <c r="BE677" i="28"/>
  <c r="BI472" i="28"/>
  <c r="BM478" i="28"/>
  <c r="BE367" i="28"/>
  <c r="BE307" i="28"/>
  <c r="BK181" i="28"/>
  <c r="BI698" i="28"/>
  <c r="BG371" i="28"/>
  <c r="BN305" i="28"/>
  <c r="BF200" i="28"/>
  <c r="BG740" i="28"/>
  <c r="BJ410" i="28"/>
  <c r="BI245" i="28"/>
  <c r="BJ236" i="28"/>
  <c r="BI185" i="28"/>
  <c r="BD703" i="28"/>
  <c r="BF652" i="28"/>
  <c r="BN778" i="28"/>
  <c r="BD662" i="28"/>
  <c r="BG483" i="28"/>
  <c r="BG717" i="28"/>
  <c r="BD644" i="28"/>
  <c r="BF433" i="28"/>
  <c r="BF316" i="28"/>
  <c r="BH307" i="28"/>
  <c r="BL447" i="28"/>
  <c r="BC372" i="28"/>
  <c r="BN311" i="28"/>
  <c r="BM186" i="28"/>
  <c r="BI641" i="28"/>
  <c r="BL362" i="28"/>
  <c r="BF244" i="28"/>
  <c r="BK739" i="28"/>
  <c r="BI630" i="28"/>
  <c r="BJ453" i="28"/>
  <c r="BI692" i="28"/>
  <c r="BI475" i="28"/>
  <c r="BG761" i="28"/>
  <c r="BE669" i="28"/>
  <c r="BI464" i="28"/>
  <c r="BM446" i="28"/>
  <c r="BE359" i="28"/>
  <c r="BF696" i="28"/>
  <c r="BH645" i="28"/>
  <c r="BI771" i="28"/>
  <c r="BC680" i="28"/>
  <c r="BG475" i="28"/>
  <c r="BF637" i="28"/>
  <c r="BD419" i="28"/>
  <c r="BH426" i="28"/>
  <c r="BG309" i="28"/>
  <c r="BI300" i="28"/>
  <c r="BD166" i="28"/>
  <c r="BM466" i="28"/>
  <c r="BC364" i="28"/>
  <c r="BC304" i="28"/>
  <c r="BM178" i="28"/>
  <c r="BJ652" i="28"/>
  <c r="BN355" i="28"/>
  <c r="BF341" i="28"/>
  <c r="BC221" i="28"/>
  <c r="BL757" i="28"/>
  <c r="BD300" i="28"/>
  <c r="BJ483" i="28"/>
  <c r="BF202" i="28"/>
  <c r="BJ347" i="28"/>
  <c r="BG211" i="28"/>
  <c r="BC258" i="28"/>
  <c r="BE424" i="28"/>
  <c r="BJ180" i="28"/>
  <c r="BK384" i="28"/>
  <c r="BL322" i="28"/>
  <c r="BG199" i="28"/>
  <c r="BM384" i="28"/>
  <c r="BE767" i="28"/>
  <c r="BK195" i="28"/>
  <c r="BD716" i="28"/>
  <c r="BC346" i="28"/>
  <c r="BF288" i="28"/>
  <c r="BE161" i="28"/>
  <c r="BN653" i="28"/>
  <c r="BL435" i="28"/>
  <c r="BJ703" i="28"/>
  <c r="BK456" i="28"/>
  <c r="BF769" i="28"/>
  <c r="BL679" i="28"/>
  <c r="BK445" i="28"/>
  <c r="BJ432" i="28"/>
  <c r="BH391" i="28"/>
  <c r="BH283" i="28"/>
  <c r="BG243" i="28"/>
  <c r="BJ661" i="28"/>
  <c r="BM344" i="28"/>
  <c r="BC280" i="28"/>
  <c r="BH177" i="28"/>
  <c r="BC387" i="28"/>
  <c r="BM320" i="28"/>
  <c r="BL213" i="28"/>
  <c r="BM158" i="28"/>
  <c r="BJ441" i="28"/>
  <c r="BK718" i="28"/>
  <c r="BH503" i="28"/>
  <c r="BH779" i="28"/>
  <c r="BI661" i="28"/>
  <c r="BM456" i="28"/>
  <c r="BC718" i="28"/>
  <c r="BG652" i="28"/>
  <c r="BI401" i="28"/>
  <c r="BM409" i="28"/>
  <c r="BD292" i="28"/>
  <c r="BK281" i="28"/>
  <c r="BK236" i="28"/>
  <c r="BJ451" i="28"/>
  <c r="BI345" i="28"/>
  <c r="BL287" i="28"/>
  <c r="BG160" i="28"/>
  <c r="BI453" i="28"/>
  <c r="BM387" i="28"/>
  <c r="BF325" i="28"/>
  <c r="BJ735" i="28"/>
  <c r="BN428" i="28"/>
  <c r="BL696" i="28"/>
  <c r="BK448" i="28"/>
  <c r="BN761" i="28"/>
  <c r="BN672" i="28"/>
  <c r="BL490" i="28"/>
  <c r="BK411" i="28"/>
  <c r="BJ384" i="28"/>
  <c r="BE710" i="28"/>
  <c r="BC772" i="28"/>
  <c r="BG683" i="28"/>
  <c r="BM448" i="28"/>
  <c r="BI709" i="28"/>
  <c r="BG644" i="28"/>
  <c r="BD445" i="28"/>
  <c r="BF285" i="28"/>
  <c r="BK273" i="28"/>
  <c r="BK228" i="28"/>
  <c r="BF422" i="28"/>
  <c r="BN388" i="28"/>
  <c r="BN280" i="28"/>
  <c r="BD240" i="28"/>
  <c r="BM379" i="28"/>
  <c r="BH318" i="28"/>
  <c r="BI194" i="28"/>
  <c r="BH711" i="28"/>
  <c r="BL302" i="28"/>
  <c r="BN423" i="28"/>
  <c r="BH156" i="28"/>
  <c r="BH769" i="28"/>
  <c r="BC370" i="28"/>
  <c r="BD310" i="28"/>
  <c r="BM184" i="28"/>
  <c r="BL285" i="28"/>
  <c r="BG347" i="28"/>
  <c r="BE701" i="28"/>
  <c r="BK175" i="28"/>
  <c r="BL708" i="28"/>
  <c r="BF388" i="28"/>
  <c r="BF280" i="28"/>
  <c r="BJ239" i="28"/>
  <c r="BM321" i="28"/>
  <c r="BK386" i="28"/>
  <c r="BG495" i="28"/>
  <c r="BN231" i="28"/>
  <c r="BJ672" i="28"/>
  <c r="BH373" i="28"/>
  <c r="BH265" i="28"/>
  <c r="BL224" i="28"/>
  <c r="BK766" i="28"/>
  <c r="BH447" i="28"/>
  <c r="BH740" i="28"/>
  <c r="BH502" i="28"/>
  <c r="BK409" i="28"/>
  <c r="BL706" i="28"/>
  <c r="BG460" i="28"/>
  <c r="BC669" i="28"/>
  <c r="BI354" i="28"/>
  <c r="BM289" i="28"/>
  <c r="BL185" i="28"/>
  <c r="BC412" i="28"/>
  <c r="BD294" i="28"/>
  <c r="BE284" i="28"/>
  <c r="BE239" i="28"/>
  <c r="BM396" i="28"/>
  <c r="BL331" i="28"/>
  <c r="BE325" i="28"/>
  <c r="BH188" i="28"/>
  <c r="BC468" i="28"/>
  <c r="BI500" i="28"/>
  <c r="BD450" i="28"/>
  <c r="BG716" i="28"/>
  <c r="BI471" i="28"/>
  <c r="BM782" i="28"/>
  <c r="BE665" i="28"/>
  <c r="BI460" i="28"/>
  <c r="BL484" i="28"/>
  <c r="BE355" i="28"/>
  <c r="BK169" i="28"/>
  <c r="BJ683" i="28"/>
  <c r="BG359" i="28"/>
  <c r="BK294" i="28"/>
  <c r="BD737" i="28"/>
  <c r="BC400" i="28"/>
  <c r="BG335" i="28"/>
  <c r="BF759" i="28"/>
  <c r="BD668" i="28"/>
  <c r="BI490" i="28"/>
  <c r="BH718" i="28"/>
  <c r="BK652" i="28"/>
  <c r="BM401" i="28"/>
  <c r="BN699" i="28"/>
  <c r="BG452" i="28"/>
  <c r="BF667" i="28"/>
  <c r="BI346" i="28"/>
  <c r="BD752" i="28"/>
  <c r="BI492" i="28"/>
  <c r="BH441" i="28"/>
  <c r="BF709" i="28"/>
  <c r="BI463" i="28"/>
  <c r="BH775" i="28"/>
  <c r="BM690" i="28"/>
  <c r="BI452" i="28"/>
  <c r="BF457" i="28"/>
  <c r="BE347" i="28"/>
  <c r="BD289" i="28"/>
  <c r="BC162" i="28"/>
  <c r="BM688" i="28"/>
  <c r="BG351" i="28"/>
  <c r="BK286" i="28"/>
  <c r="BD183" i="28"/>
  <c r="BM717" i="28"/>
  <c r="BI393" i="28"/>
  <c r="BG327" i="28"/>
  <c r="BH219" i="28"/>
  <c r="BH165" i="28"/>
  <c r="BF395" i="28"/>
  <c r="BE212" i="28"/>
  <c r="BG266" i="28"/>
  <c r="BE384" i="28"/>
  <c r="BK317" i="28"/>
  <c r="BD211" i="28"/>
  <c r="BE189" i="28"/>
  <c r="BL239" i="28"/>
  <c r="BE249" i="28"/>
  <c r="BL413" i="28"/>
  <c r="BJ291" i="28"/>
  <c r="BH242" i="28"/>
  <c r="BN241" i="28"/>
  <c r="BJ282" i="28"/>
  <c r="BJ390" i="28"/>
  <c r="BC701" i="28"/>
  <c r="BC181" i="28"/>
  <c r="BC717" i="28"/>
  <c r="BE358" i="28"/>
  <c r="BN294" i="28"/>
  <c r="BM708" i="28"/>
  <c r="BM770" i="28"/>
  <c r="BE681" i="28"/>
  <c r="BG447" i="28"/>
  <c r="BC708" i="28"/>
  <c r="BE643" i="28"/>
  <c r="BK443" i="28"/>
  <c r="BL400" i="28"/>
  <c r="BD284" i="28"/>
  <c r="BI272" i="28"/>
  <c r="BI227" i="28"/>
  <c r="BJ418" i="28"/>
  <c r="BL387" i="28"/>
  <c r="BL279" i="28"/>
  <c r="BH469" i="28"/>
  <c r="BG378" i="28"/>
  <c r="BF317" i="28"/>
  <c r="BC193" i="28"/>
  <c r="BN706" i="28"/>
  <c r="BI760" i="28"/>
  <c r="BF669" i="28"/>
  <c r="BN491" i="28"/>
  <c r="BF719" i="28"/>
  <c r="BC654" i="28"/>
  <c r="BC403" i="28"/>
  <c r="BM453" i="28"/>
  <c r="BN671" i="28"/>
  <c r="BK347" i="28"/>
  <c r="BE283" i="28"/>
  <c r="BI405" i="28"/>
  <c r="BH288" i="28"/>
  <c r="BG277" i="28"/>
  <c r="BG232" i="28"/>
  <c r="BG318" i="28"/>
  <c r="BM700" i="28"/>
  <c r="BM483" i="28"/>
  <c r="BH763" i="28"/>
  <c r="BF674" i="28"/>
  <c r="BL492" i="28"/>
  <c r="BC700" i="28"/>
  <c r="BE635" i="28"/>
  <c r="BK435" i="28"/>
  <c r="BC444" i="28"/>
  <c r="BE779" i="28"/>
  <c r="BH662" i="28"/>
  <c r="BK483" i="28"/>
  <c r="BE711" i="28"/>
  <c r="BC646" i="28"/>
  <c r="BD448" i="28"/>
  <c r="BD694" i="28"/>
  <c r="BM445" i="28"/>
  <c r="BI667" i="28"/>
  <c r="BN391" i="28"/>
  <c r="BE275" i="28"/>
  <c r="BD173" i="28"/>
  <c r="BJ281" i="28"/>
  <c r="BG269" i="28"/>
  <c r="BG224" i="28"/>
  <c r="BD436" i="28"/>
  <c r="BD319" i="28"/>
  <c r="BG310" i="28"/>
  <c r="BN175" i="28"/>
  <c r="BL463" i="28"/>
  <c r="BI163" i="28"/>
  <c r="BC288" i="28"/>
  <c r="BN393" i="28"/>
  <c r="BK198" i="28"/>
  <c r="BE426" i="28"/>
  <c r="BN310" i="28"/>
  <c r="BJ167" i="28"/>
  <c r="BH208" i="28"/>
  <c r="BH243" i="28"/>
  <c r="BC347" i="28"/>
  <c r="BI173" i="28"/>
  <c r="BK402" i="28"/>
  <c r="BF299" i="28"/>
  <c r="BE290" i="28"/>
  <c r="BD157" i="28"/>
  <c r="BG784" i="28"/>
  <c r="BD307" i="28"/>
  <c r="BL357" i="28"/>
  <c r="BG436" i="28"/>
  <c r="BD266" i="28"/>
  <c r="BF253" i="28"/>
  <c r="BG206" i="28"/>
  <c r="BF704" i="28"/>
  <c r="BH653" i="28"/>
  <c r="BD780" i="28"/>
  <c r="BF663" i="28"/>
  <c r="BM484" i="28"/>
  <c r="BM718" i="28"/>
  <c r="BF645" i="28"/>
  <c r="BD427" i="28"/>
  <c r="BH434" i="28"/>
  <c r="BH317" i="28"/>
  <c r="BJ308" i="28"/>
  <c r="BD174" i="28"/>
  <c r="BF452" i="28"/>
  <c r="BI373" i="28"/>
  <c r="BE188" i="28"/>
  <c r="BK646" i="28"/>
  <c r="BN363" i="28"/>
  <c r="BH245" i="28"/>
  <c r="BI230" i="28"/>
  <c r="BH771" i="28"/>
  <c r="BM769" i="28"/>
  <c r="BM676" i="28"/>
  <c r="BL473" i="28"/>
  <c r="BN746" i="28"/>
  <c r="BL654" i="28"/>
  <c r="BJ436" i="28"/>
  <c r="BE708" i="28"/>
  <c r="BE491" i="28"/>
  <c r="BF710" i="28"/>
  <c r="BC385" i="28"/>
  <c r="BM318" i="28"/>
  <c r="BM156" i="28"/>
  <c r="BL438" i="28"/>
  <c r="BL321" i="28"/>
  <c r="BI313" i="28"/>
  <c r="BH178" i="28"/>
  <c r="BC425" i="28"/>
  <c r="BH363" i="28"/>
  <c r="BE254" i="28"/>
  <c r="BH697" i="28"/>
  <c r="BJ646" i="28"/>
  <c r="BL772" i="28"/>
  <c r="BM681" i="28"/>
  <c r="BM476" i="28"/>
  <c r="BE754" i="28"/>
  <c r="BH638" i="28"/>
  <c r="BF420" i="28"/>
  <c r="BJ427" i="28"/>
  <c r="BH762" i="28"/>
  <c r="BM668" i="28"/>
  <c r="BN466" i="28"/>
  <c r="BI736" i="28"/>
  <c r="BN647" i="28"/>
  <c r="BL429" i="28"/>
  <c r="BE700" i="28"/>
  <c r="BE483" i="28"/>
  <c r="BN682" i="28"/>
  <c r="BC377" i="28"/>
  <c r="BM310" i="28"/>
  <c r="BD205" i="28"/>
  <c r="BN431" i="28"/>
  <c r="BN314" i="28"/>
  <c r="BJ171" i="28"/>
  <c r="BC417" i="28"/>
  <c r="BJ356" i="28"/>
  <c r="BE246" i="28"/>
  <c r="BN207" i="28"/>
  <c r="BC640" i="28"/>
  <c r="BH215" i="28"/>
  <c r="BD325" i="28"/>
  <c r="BC429" i="28"/>
  <c r="BJ181" i="28"/>
  <c r="BJ486" i="28"/>
  <c r="BN342" i="28"/>
  <c r="BC338" i="28"/>
  <c r="BJ199" i="28"/>
  <c r="BC230" i="28"/>
  <c r="BE381" i="28"/>
  <c r="BD422" i="28"/>
  <c r="BF283" i="28"/>
  <c r="BG271" i="28"/>
  <c r="BG226" i="28"/>
  <c r="BD268" i="28"/>
  <c r="BM434" i="28"/>
  <c r="BD185" i="28"/>
  <c r="BI387" i="28"/>
  <c r="BE202" i="28"/>
  <c r="BE233" i="28"/>
  <c r="BE278" i="28"/>
  <c r="BL434" i="28"/>
  <c r="BD784" i="28"/>
  <c r="BI305" i="28"/>
  <c r="BF167" i="28"/>
  <c r="BL161" i="28"/>
  <c r="BG295" i="28"/>
  <c r="BI304" i="28"/>
  <c r="BN411" i="28"/>
  <c r="BK207" i="28"/>
  <c r="BJ408" i="28"/>
  <c r="BJ302" i="28"/>
  <c r="BD353" i="28"/>
  <c r="BM433" i="28"/>
  <c r="BD252" i="28"/>
  <c r="BE205" i="28"/>
  <c r="BE287" i="28"/>
  <c r="BI409" i="28"/>
  <c r="BI234" i="28"/>
  <c r="BC761" i="28"/>
  <c r="BC366" i="28"/>
  <c r="BC306" i="28"/>
  <c r="BM180" i="28"/>
  <c r="BE169" i="28"/>
  <c r="BJ222" i="28"/>
  <c r="BC331" i="28"/>
  <c r="BC396" i="28"/>
  <c r="BE318" i="28"/>
  <c r="BD175" i="28"/>
  <c r="BG186" i="28"/>
  <c r="BH237" i="28"/>
  <c r="BG246" i="28"/>
  <c r="BH411" i="28"/>
  <c r="BD291" i="28"/>
  <c r="BC211" i="28"/>
  <c r="BI334" i="28"/>
  <c r="BI439" i="28"/>
  <c r="BI221" i="28"/>
  <c r="BE410" i="28"/>
  <c r="BD321" i="28"/>
  <c r="BK312" i="28"/>
  <c r="BN177" i="28"/>
  <c r="BN690" i="28"/>
  <c r="BD376" i="28"/>
  <c r="BL257" i="28"/>
  <c r="BF157" i="28"/>
  <c r="BL167" i="28"/>
  <c r="BK268" i="28"/>
  <c r="BH386" i="28"/>
  <c r="BI286" i="28"/>
  <c r="BE199" i="28"/>
  <c r="BH768" i="28"/>
  <c r="BJ182" i="28"/>
  <c r="BC286" i="28"/>
  <c r="BM350" i="28"/>
  <c r="BE183" i="28"/>
  <c r="BG210" i="28"/>
  <c r="BL256" i="28"/>
  <c r="BJ269" i="28"/>
  <c r="BE443" i="28"/>
  <c r="BH371" i="28"/>
  <c r="BK322" i="28"/>
  <c r="BC166" i="28"/>
  <c r="BG175" i="28"/>
  <c r="BN300" i="28"/>
  <c r="BK360" i="28"/>
  <c r="BC747" i="28"/>
  <c r="BK223" i="28"/>
  <c r="BM439" i="28"/>
  <c r="BM265" i="28"/>
  <c r="BF715" i="28"/>
  <c r="BG470" i="28"/>
  <c r="BG751" i="28"/>
  <c r="BN662" i="28"/>
  <c r="BL480" i="28"/>
  <c r="BM495" i="28"/>
  <c r="BE768" i="28"/>
  <c r="BK430" i="28"/>
  <c r="BN265" i="28"/>
  <c r="BC206" i="28"/>
  <c r="BE432" i="28"/>
  <c r="BH369" i="28"/>
  <c r="BC261" i="28"/>
  <c r="BL220" i="28"/>
  <c r="BL491" i="28"/>
  <c r="BE357" i="28"/>
  <c r="BL297" i="28"/>
  <c r="BK171" i="28"/>
  <c r="BN766" i="28"/>
  <c r="BE675" i="28"/>
  <c r="BI470" i="28"/>
  <c r="BM697" i="28"/>
  <c r="BK632" i="28"/>
  <c r="BF780" i="28"/>
  <c r="BL682" i="28"/>
  <c r="BH483" i="28"/>
  <c r="BG645" i="28"/>
  <c r="BH380" i="28"/>
  <c r="BJ161" i="28"/>
  <c r="BI761" i="28"/>
  <c r="BM435" i="28"/>
  <c r="BD270" i="28"/>
  <c r="BF257" i="28"/>
  <c r="BE211" i="28"/>
  <c r="BL424" i="28"/>
  <c r="BG307" i="28"/>
  <c r="BI298" i="28"/>
  <c r="BH708" i="28"/>
  <c r="BG462" i="28"/>
  <c r="BE654" i="28"/>
  <c r="BN473" i="28"/>
  <c r="BD707" i="28"/>
  <c r="BF656" i="28"/>
  <c r="BL764" i="28"/>
  <c r="BK422" i="28"/>
  <c r="BI759" i="28"/>
  <c r="BE667" i="28"/>
  <c r="BI462" i="28"/>
  <c r="BF717" i="28"/>
  <c r="BK498" i="28"/>
  <c r="BN772" i="28"/>
  <c r="BE680" i="28"/>
  <c r="BJ476" i="28"/>
  <c r="BF655" i="28"/>
  <c r="BJ373" i="28"/>
  <c r="BD255" i="28"/>
  <c r="BK241" i="28"/>
  <c r="BE783" i="28"/>
  <c r="BM427" i="28"/>
  <c r="BE263" i="28"/>
  <c r="BH250" i="28"/>
  <c r="BE203" i="28"/>
  <c r="BN417" i="28"/>
  <c r="BJ299" i="28"/>
  <c r="BI290" i="28"/>
  <c r="BH157" i="28"/>
  <c r="BN485" i="28"/>
  <c r="BH176" i="28"/>
  <c r="BF315" i="28"/>
  <c r="BD366" i="28"/>
  <c r="BE156" i="28"/>
  <c r="BF439" i="28"/>
  <c r="BF291" i="28"/>
  <c r="BM280" i="28"/>
  <c r="BM235" i="28"/>
  <c r="BI219" i="28"/>
  <c r="BN272" i="28"/>
  <c r="BG370" i="28"/>
  <c r="BJ417" i="28"/>
  <c r="BM268" i="28"/>
  <c r="BM223" i="28"/>
  <c r="BN277" i="28"/>
  <c r="BF410" i="28"/>
  <c r="BE245" i="28"/>
  <c r="BF236" i="28"/>
  <c r="BE185" i="28"/>
  <c r="BD635" i="28"/>
  <c r="BH760" i="28"/>
  <c r="BC668" i="28"/>
  <c r="BG463" i="28"/>
  <c r="BN738" i="28"/>
  <c r="BL659" i="28"/>
  <c r="BE408" i="28"/>
  <c r="BD416" i="28"/>
  <c r="BN297" i="28"/>
  <c r="BI288" i="28"/>
  <c r="BG244" i="28"/>
  <c r="BH474" i="28"/>
  <c r="BC352" i="28"/>
  <c r="BH293" i="28"/>
  <c r="BM166" i="28"/>
  <c r="BC480" i="28"/>
  <c r="BL394" i="28"/>
  <c r="BC209" i="28"/>
  <c r="BK715" i="28"/>
  <c r="BF775" i="28"/>
  <c r="BG685" i="28"/>
  <c r="BH455" i="28"/>
  <c r="BC752" i="28"/>
  <c r="BH636" i="28"/>
  <c r="BF418" i="28"/>
  <c r="BL714" i="28"/>
  <c r="BM469" i="28"/>
  <c r="BH698" i="28"/>
  <c r="BK363" i="28"/>
  <c r="BE299" i="28"/>
  <c r="BL193" i="28"/>
  <c r="BH420" i="28"/>
  <c r="BI302" i="28"/>
  <c r="BG293" i="28"/>
  <c r="BF405" i="28"/>
  <c r="BL339" i="28"/>
  <c r="BG334" i="28"/>
  <c r="BN716" i="28"/>
  <c r="BF502" i="28"/>
  <c r="BE778" i="28"/>
  <c r="BC660" i="28"/>
  <c r="BG455" i="28"/>
  <c r="BK716" i="28"/>
  <c r="BE651" i="28"/>
  <c r="BF400" i="28"/>
  <c r="BG408" i="28"/>
  <c r="BN767" i="28"/>
  <c r="BD676" i="28"/>
  <c r="BJ448" i="28"/>
  <c r="BK741" i="28"/>
  <c r="BJ503" i="28"/>
  <c r="BC411" i="28"/>
  <c r="BN707" i="28"/>
  <c r="BM461" i="28"/>
  <c r="BI674" i="28"/>
  <c r="BK355" i="28"/>
  <c r="BE291" i="28"/>
  <c r="BN186" i="28"/>
  <c r="BI413" i="28"/>
  <c r="BF295" i="28"/>
  <c r="BG285" i="28"/>
  <c r="BG240" i="28"/>
  <c r="BC398" i="28"/>
  <c r="BN332" i="28"/>
  <c r="BG326" i="28"/>
  <c r="BJ189" i="28"/>
  <c r="BI473" i="28"/>
  <c r="BC227" i="28"/>
  <c r="BG248" i="28"/>
  <c r="BM403" i="28"/>
  <c r="BK230" i="28"/>
  <c r="BL433" i="28"/>
  <c r="BJ324" i="28"/>
  <c r="BK316" i="28"/>
  <c r="BF181" i="28"/>
  <c r="BC179" i="28"/>
  <c r="BJ303" i="28"/>
  <c r="BF408" i="28"/>
  <c r="BI205" i="28"/>
  <c r="BM432" i="28"/>
  <c r="BF314" i="28"/>
  <c r="BH305" i="28"/>
  <c r="BC214" i="28"/>
  <c r="BF268" i="28"/>
  <c r="BE365" i="28"/>
  <c r="BH416" i="28"/>
  <c r="BN279" i="28"/>
  <c r="BG267" i="28"/>
  <c r="BG222" i="28"/>
  <c r="BE698" i="28"/>
  <c r="BE481" i="28"/>
  <c r="BN489" i="28"/>
  <c r="BI697" i="28"/>
  <c r="BG632" i="28"/>
  <c r="BH782" i="28"/>
  <c r="BI441" i="28"/>
  <c r="BD262" i="28"/>
  <c r="BK216" i="28"/>
  <c r="BH398" i="28"/>
  <c r="BJ378" i="28"/>
  <c r="BJ270" i="28"/>
  <c r="BN229" i="28"/>
  <c r="BG481" i="28"/>
  <c r="BM367" i="28"/>
  <c r="BM307" i="28"/>
  <c r="BI182" i="28"/>
  <c r="BI706" i="28"/>
  <c r="BL776" i="28"/>
  <c r="BG690" i="28"/>
  <c r="BC481" i="28"/>
  <c r="BG708" i="28"/>
  <c r="BI643" i="28"/>
  <c r="BE444" i="28"/>
  <c r="BN691" i="28"/>
  <c r="BH495" i="28"/>
  <c r="BE690" i="28"/>
  <c r="BJ389" i="28"/>
  <c r="BG272" i="28"/>
  <c r="BN170" i="28"/>
  <c r="BI395" i="28"/>
  <c r="BF279" i="28"/>
  <c r="BM266" i="28"/>
  <c r="BM221" i="28"/>
  <c r="BN433" i="28"/>
  <c r="BN316" i="28"/>
  <c r="BD718" i="28"/>
  <c r="BE473" i="28"/>
  <c r="BM753" i="28"/>
  <c r="BD665" i="28"/>
  <c r="BJ716" i="28"/>
  <c r="BG498" i="28"/>
  <c r="BC778" i="28"/>
  <c r="BI433" i="28"/>
  <c r="BG769" i="28"/>
  <c r="BM677" i="28"/>
  <c r="BC473" i="28"/>
  <c r="BG700" i="28"/>
  <c r="BI635" i="28"/>
  <c r="BL782" i="28"/>
  <c r="BL485" i="28"/>
  <c r="BE656" i="28"/>
  <c r="BL382" i="28"/>
  <c r="BG264" i="28"/>
  <c r="BN163" i="28"/>
  <c r="BG771" i="28"/>
  <c r="BG438" i="28"/>
  <c r="BH272" i="28"/>
  <c r="BJ259" i="28"/>
  <c r="BM213" i="28"/>
  <c r="BD301" i="28"/>
  <c r="BL166" i="28"/>
  <c r="BM474" i="28"/>
  <c r="BI352" i="28"/>
  <c r="BI177" i="28"/>
  <c r="BD406" i="28"/>
  <c r="BH300" i="28"/>
  <c r="BG291" i="28"/>
  <c r="BF158" i="28"/>
  <c r="BK176" i="28"/>
  <c r="BI333" i="28"/>
  <c r="BJ380" i="28"/>
  <c r="BG397" i="28"/>
  <c r="BN271" i="28"/>
  <c r="BE213" i="28"/>
  <c r="BG265" i="28"/>
  <c r="BL315" i="28"/>
  <c r="BM421" i="28"/>
  <c r="BM255" i="28"/>
  <c r="BD244" i="28"/>
  <c r="BM195" i="28"/>
  <c r="BC738" i="28"/>
  <c r="BF649" i="28"/>
  <c r="BD431" i="28"/>
  <c r="BI451" i="28"/>
  <c r="BG764" i="28"/>
  <c r="BD675" i="28"/>
  <c r="BD494" i="28"/>
  <c r="BJ416" i="28"/>
  <c r="BN386" i="28"/>
  <c r="BN278" i="28"/>
  <c r="BD238" i="28"/>
  <c r="BC666" i="28"/>
  <c r="BJ391" i="28"/>
  <c r="BK274" i="28"/>
  <c r="BN172" i="28"/>
  <c r="BN698" i="28"/>
  <c r="BK381" i="28"/>
  <c r="BG315" i="28"/>
  <c r="BD209" i="28"/>
  <c r="BM712" i="28"/>
  <c r="BI774" i="28"/>
  <c r="BC689" i="28"/>
  <c r="BG451" i="28"/>
  <c r="BC712" i="28"/>
  <c r="BE647" i="28"/>
  <c r="BJ396" i="28"/>
  <c r="BG404" i="28"/>
  <c r="BJ287" i="28"/>
  <c r="BI276" i="28"/>
  <c r="BI231" i="28"/>
  <c r="BH431" i="28"/>
  <c r="BD391" i="28"/>
  <c r="BD283" i="28"/>
  <c r="BM242" i="28"/>
  <c r="BD483" i="28"/>
  <c r="BG382" i="28"/>
  <c r="BL320" i="28"/>
  <c r="BG715" i="28"/>
  <c r="BH642" i="28"/>
  <c r="BF424" i="28"/>
  <c r="BD692" i="28"/>
  <c r="BH496" i="28"/>
  <c r="BE757" i="28"/>
  <c r="BF668" i="28"/>
  <c r="BD486" i="28"/>
  <c r="BE401" i="28"/>
  <c r="BM704" i="28"/>
  <c r="BM487" i="28"/>
  <c r="BD767" i="28"/>
  <c r="BL677" i="28"/>
  <c r="BL498" i="28"/>
  <c r="BC704" i="28"/>
  <c r="BE639" i="28"/>
  <c r="BK439" i="28"/>
  <c r="BC397" i="28"/>
  <c r="BL280" i="28"/>
  <c r="BI268" i="28"/>
  <c r="BI223" i="28"/>
  <c r="BG411" i="28"/>
  <c r="BF384" i="28"/>
  <c r="BF276" i="28"/>
  <c r="BJ235" i="28"/>
  <c r="BL455" i="28"/>
  <c r="BG374" i="28"/>
  <c r="BN313" i="28"/>
  <c r="BC189" i="28"/>
  <c r="BD693" i="28"/>
  <c r="BM281" i="28"/>
  <c r="BC404" i="28"/>
  <c r="BC233" i="28"/>
  <c r="BF781" i="28"/>
  <c r="BK364" i="28"/>
  <c r="BK304" i="28"/>
  <c r="BG179" i="28"/>
  <c r="BC259" i="28"/>
  <c r="BL367" i="28"/>
  <c r="BH656" i="28"/>
  <c r="BF219" i="28"/>
  <c r="BN638" i="28"/>
  <c r="BC360" i="28"/>
  <c r="BI296" i="28"/>
  <c r="BH189" i="28"/>
  <c r="BC294" i="28"/>
  <c r="BM358" i="28"/>
  <c r="BL281" i="28"/>
  <c r="BL204" i="28"/>
  <c r="BD768" i="28"/>
  <c r="BG676" i="28"/>
  <c r="BK471" i="28"/>
  <c r="BE699" i="28"/>
  <c r="BC634" i="28"/>
  <c r="BI781" i="28"/>
  <c r="BN683" i="28"/>
  <c r="BJ484" i="28"/>
  <c r="BM650" i="28"/>
  <c r="BJ381" i="28"/>
  <c r="BD263" i="28"/>
  <c r="BL162" i="28"/>
  <c r="BH766" i="28"/>
  <c r="BE437" i="28"/>
  <c r="BF271" i="28"/>
  <c r="BH258" i="28"/>
  <c r="BG212" i="28"/>
  <c r="BN425" i="28"/>
  <c r="BM308" i="28"/>
  <c r="BK299" i="28"/>
  <c r="BI165" i="28"/>
  <c r="BG469" i="28"/>
  <c r="BM716" i="28"/>
  <c r="BJ643" i="28"/>
  <c r="BH425" i="28"/>
  <c r="BF693" i="28"/>
  <c r="BH500" i="28"/>
  <c r="BE758" i="28"/>
  <c r="BH669" i="28"/>
  <c r="BF487" i="28"/>
  <c r="BK403" i="28"/>
  <c r="BD381" i="28"/>
  <c r="BD273" i="28"/>
  <c r="BH232" i="28"/>
  <c r="BF670" i="28"/>
  <c r="BN385" i="28"/>
  <c r="BC268" i="28"/>
  <c r="BD167" i="28"/>
  <c r="BC713" i="28"/>
  <c r="BC375" i="28"/>
  <c r="BL760" i="28"/>
  <c r="BG668" i="28"/>
  <c r="BK463" i="28"/>
  <c r="BL718" i="28"/>
  <c r="BC500" i="28"/>
  <c r="BD774" i="28"/>
  <c r="BI681" i="28"/>
  <c r="BL477" i="28"/>
  <c r="BM492" i="28"/>
  <c r="BL374" i="28"/>
  <c r="BG752" i="28"/>
  <c r="BL636" i="28"/>
  <c r="BH686" i="28"/>
  <c r="BD487" i="28"/>
  <c r="BC751" i="28"/>
  <c r="BJ662" i="28"/>
  <c r="BH480" i="28"/>
  <c r="BG439" i="28"/>
  <c r="BF374" i="28"/>
  <c r="BF266" i="28"/>
  <c r="BJ225" i="28"/>
  <c r="BM638" i="28"/>
  <c r="BJ260" i="28"/>
  <c r="BD160" i="28"/>
  <c r="BN709" i="28"/>
  <c r="BC367" i="28"/>
  <c r="BD302" i="28"/>
  <c r="BJ196" i="28"/>
  <c r="BH424" i="28"/>
  <c r="BD200" i="28"/>
  <c r="BD277" i="28"/>
  <c r="BG357" i="28"/>
  <c r="BK292" i="28"/>
  <c r="BF188" i="28"/>
  <c r="BN158" i="28"/>
  <c r="BE333" i="28"/>
  <c r="BG345" i="28"/>
  <c r="BK280" i="28"/>
  <c r="BM496" i="28"/>
  <c r="BF234" i="28"/>
  <c r="BJ363" i="28"/>
  <c r="BD245" i="28"/>
  <c r="BE230" i="28"/>
  <c r="BI776" i="28"/>
  <c r="BE688" i="28"/>
  <c r="BJ456" i="28"/>
  <c r="BF753" i="28"/>
  <c r="BJ637" i="28"/>
  <c r="BH419" i="28"/>
  <c r="BE471" i="28"/>
  <c r="BC365" i="28"/>
  <c r="BG300" i="28"/>
  <c r="BN194" i="28"/>
  <c r="BJ421" i="28"/>
  <c r="BK303" i="28"/>
  <c r="BM294" i="28"/>
  <c r="BD161" i="28"/>
  <c r="BH406" i="28"/>
  <c r="BN340" i="28"/>
  <c r="BM335" i="28"/>
  <c r="BJ197" i="28"/>
  <c r="BL637" i="28"/>
  <c r="BM748" i="28"/>
  <c r="BC637" i="28"/>
  <c r="BF459" i="28"/>
  <c r="BC699" i="28"/>
  <c r="BC482" i="28"/>
  <c r="BI767" i="28"/>
  <c r="BM675" i="28"/>
  <c r="BC471" i="28"/>
  <c r="BG473" i="28"/>
  <c r="BM365" i="28"/>
  <c r="BM305" i="28"/>
  <c r="BI180" i="28"/>
  <c r="BC693" i="28"/>
  <c r="BE370" i="28"/>
  <c r="BL304" i="28"/>
  <c r="BD199" i="28"/>
  <c r="BH735" i="28"/>
  <c r="BH409" i="28"/>
  <c r="BF348" i="28"/>
  <c r="BD769" i="28"/>
  <c r="BF677" i="28"/>
  <c r="BL449" i="28"/>
  <c r="BN745" i="28"/>
  <c r="BL630" i="28"/>
  <c r="BI412" i="28"/>
  <c r="BE463" i="28"/>
  <c r="BK679" i="28"/>
  <c r="BC357" i="28"/>
  <c r="BH738" i="28"/>
  <c r="BC503" i="28"/>
  <c r="BH452" i="28"/>
  <c r="BC691" i="28"/>
  <c r="BC474" i="28"/>
  <c r="BD760" i="28"/>
  <c r="BM667" i="28"/>
  <c r="BC463" i="28"/>
  <c r="BL495" i="28"/>
  <c r="BM357" i="28"/>
  <c r="BF298" i="28"/>
  <c r="BI172" i="28"/>
  <c r="BL692" i="28"/>
  <c r="BE362" i="28"/>
  <c r="BI297" i="28"/>
  <c r="BF192" i="28"/>
  <c r="BI402" i="28"/>
  <c r="BE338" i="28"/>
  <c r="BJ228" i="28"/>
  <c r="BC176" i="28"/>
  <c r="BN307" i="28"/>
  <c r="BC395" i="28"/>
  <c r="BI328" i="28"/>
  <c r="BF220" i="28"/>
  <c r="BG166" i="28"/>
  <c r="BM206" i="28"/>
  <c r="BH261" i="28"/>
  <c r="BM382" i="28"/>
  <c r="BI316" i="28"/>
  <c r="BE784" i="28"/>
  <c r="BM241" i="28"/>
  <c r="BM327" i="28"/>
  <c r="BE344" i="28"/>
  <c r="BI279" i="28"/>
  <c r="BN176" i="28"/>
  <c r="BF661" i="28"/>
  <c r="BI482" i="28"/>
  <c r="BM709" i="28"/>
  <c r="BK644" i="28"/>
  <c r="BJ445" i="28"/>
  <c r="BH499" i="28"/>
  <c r="BC662" i="28"/>
  <c r="BL390" i="28"/>
  <c r="BM273" i="28"/>
  <c r="BL396" i="28"/>
  <c r="BH280" i="28"/>
  <c r="BE268" i="28"/>
  <c r="BE223" i="28"/>
  <c r="BD309" i="28"/>
  <c r="BL174" i="28"/>
  <c r="BD459" i="28"/>
  <c r="BL741" i="28"/>
  <c r="BL652" i="28"/>
  <c r="BJ434" i="28"/>
  <c r="BH702" i="28"/>
  <c r="BI455" i="28"/>
  <c r="BC768" i="28"/>
  <c r="BJ678" i="28"/>
  <c r="BD500" i="28"/>
  <c r="BF390" i="28"/>
  <c r="BF282" i="28"/>
  <c r="BJ241" i="28"/>
  <c r="BI683" i="28"/>
  <c r="BG343" i="28"/>
  <c r="BK278" i="28"/>
  <c r="BF176" i="28"/>
  <c r="BJ712" i="28"/>
  <c r="BK385" i="28"/>
  <c r="BG319" i="28"/>
  <c r="BJ770" i="28"/>
  <c r="BE679" i="28"/>
  <c r="BI474" i="28"/>
  <c r="BM701" i="28"/>
  <c r="BK636" i="28"/>
  <c r="BG437" i="28"/>
  <c r="BD686" i="28"/>
  <c r="BN486" i="28"/>
  <c r="BF662" i="28"/>
  <c r="BN383" i="28"/>
  <c r="BG719" i="28"/>
  <c r="BN645" i="28"/>
  <c r="BL427" i="28"/>
  <c r="BJ695" i="28"/>
  <c r="BI447" i="28"/>
  <c r="BK760" i="28"/>
  <c r="BL671" i="28"/>
  <c r="BJ489" i="28"/>
  <c r="BC409" i="28"/>
  <c r="BH383" i="28"/>
  <c r="BH275" i="28"/>
  <c r="BL234" i="28"/>
  <c r="BH679" i="28"/>
  <c r="BD388" i="28"/>
  <c r="BK270" i="28"/>
  <c r="BH169" i="28"/>
  <c r="BD685" i="28"/>
  <c r="BK377" i="28"/>
  <c r="BG311" i="28"/>
  <c r="BL205" i="28"/>
  <c r="BJ433" i="28"/>
  <c r="BL236" i="28"/>
  <c r="BE368" i="28"/>
  <c r="BH197" i="28"/>
  <c r="BC762" i="28"/>
  <c r="BG204" i="28"/>
  <c r="BK291" i="28"/>
  <c r="BJ387" i="28"/>
  <c r="BC270" i="28"/>
  <c r="BN168" i="28"/>
  <c r="BF697" i="28"/>
  <c r="BF251" i="28"/>
  <c r="BL372" i="28"/>
  <c r="BF254" i="28"/>
  <c r="BM240" i="28"/>
  <c r="BE714" i="28"/>
  <c r="BL775" i="28"/>
  <c r="BM691" i="28"/>
  <c r="BM452" i="28"/>
  <c r="BI713" i="28"/>
  <c r="BG648" i="28"/>
  <c r="BM397" i="28"/>
  <c r="BM405" i="28"/>
  <c r="BL288" i="28"/>
  <c r="BK277" i="28"/>
  <c r="BK232" i="28"/>
  <c r="BG392" i="28"/>
  <c r="BF284" i="28"/>
  <c r="BG156" i="28"/>
  <c r="BL487" i="28"/>
  <c r="BM383" i="28"/>
  <c r="BN321" i="28"/>
  <c r="BI198" i="28"/>
  <c r="BM699" i="28"/>
  <c r="BH765" i="28"/>
  <c r="BN673" i="28"/>
  <c r="BN499" i="28"/>
  <c r="BE739" i="28"/>
  <c r="BD660" i="28"/>
  <c r="BI408" i="28"/>
  <c r="BJ705" i="28"/>
  <c r="BE459" i="28"/>
  <c r="BK663" i="28"/>
  <c r="BC353" i="28"/>
  <c r="BG288" i="28"/>
  <c r="BJ184" i="28"/>
  <c r="BK410" i="28"/>
  <c r="BM282" i="28"/>
  <c r="BM237" i="28"/>
  <c r="BJ395" i="28"/>
  <c r="BJ330" i="28"/>
  <c r="BM323" i="28"/>
  <c r="BE706" i="28"/>
  <c r="BE489" i="28"/>
  <c r="BG768" i="28"/>
  <c r="BN678" i="28"/>
  <c r="BL500" i="28"/>
  <c r="BI705" i="28"/>
  <c r="BG640" i="28"/>
  <c r="BC441" i="28"/>
  <c r="BF398" i="28"/>
  <c r="BC758" i="28"/>
  <c r="BC489" i="28"/>
  <c r="BI651" i="28"/>
  <c r="BJ400" i="28"/>
  <c r="BL698" i="28"/>
  <c r="BE451" i="28"/>
  <c r="BL662" i="28"/>
  <c r="BC345" i="28"/>
  <c r="BG280" i="28"/>
  <c r="BL177" i="28"/>
  <c r="BN402" i="28"/>
  <c r="BD286" i="28"/>
  <c r="BM274" i="28"/>
  <c r="BM229" i="28"/>
  <c r="BL440" i="28"/>
  <c r="BL323" i="28"/>
  <c r="BM315" i="28"/>
  <c r="BH180" i="28"/>
  <c r="BI184" i="28"/>
  <c r="BD308" i="28"/>
  <c r="BN412" i="28"/>
  <c r="BI209" i="28"/>
  <c r="BK437" i="28"/>
  <c r="BH315" i="28"/>
  <c r="BJ306" i="28"/>
  <c r="BD172" i="28"/>
  <c r="BL784" i="28"/>
  <c r="BC312" i="28"/>
  <c r="BF362" i="28"/>
  <c r="BM167" i="28"/>
  <c r="BH221" i="28"/>
  <c r="BK329" i="28"/>
  <c r="BM394" i="28"/>
  <c r="BM312" i="28"/>
  <c r="BJ170" i="28"/>
  <c r="BJ223" i="28"/>
  <c r="BF264" i="28"/>
  <c r="BF372" i="28"/>
  <c r="BG657" i="28"/>
  <c r="BH228" i="28"/>
  <c r="BN643" i="28"/>
  <c r="BI381" i="28"/>
  <c r="BG316" i="28"/>
  <c r="BJ690" i="28"/>
  <c r="BL639" i="28"/>
  <c r="BG765" i="28"/>
  <c r="BI673" i="28"/>
  <c r="BM468" i="28"/>
  <c r="BM746" i="28"/>
  <c r="BJ631" i="28"/>
  <c r="BG413" i="28"/>
  <c r="BL420" i="28"/>
  <c r="BM302" i="28"/>
  <c r="BK293" i="28"/>
  <c r="BF160" i="28"/>
  <c r="BL493" i="28"/>
  <c r="BI357" i="28"/>
  <c r="BE172" i="28"/>
  <c r="BL503" i="28"/>
  <c r="BD350" i="28"/>
  <c r="BJ335" i="28"/>
  <c r="BI214" i="28"/>
  <c r="BK753" i="28"/>
  <c r="BE780" i="28"/>
  <c r="BM660" i="28"/>
  <c r="BN422" i="28"/>
  <c r="BE692" i="28"/>
  <c r="BE475" i="28"/>
  <c r="BD717" i="28"/>
  <c r="BC369" i="28"/>
  <c r="BN303" i="28"/>
  <c r="BF198" i="28"/>
  <c r="BK307" i="28"/>
  <c r="BM298" i="28"/>
  <c r="BJ164" i="28"/>
  <c r="BN409" i="28"/>
  <c r="BN346" i="28"/>
  <c r="BM339" i="28"/>
  <c r="BL683" i="28"/>
  <c r="BN632" i="28"/>
  <c r="BD783" i="28"/>
  <c r="BI665" i="28"/>
  <c r="BM460" i="28"/>
  <c r="BH736" i="28"/>
  <c r="BG656" i="28"/>
  <c r="BG405" i="28"/>
  <c r="BM413" i="28"/>
  <c r="BM772" i="28"/>
  <c r="BL680" i="28"/>
  <c r="BD453" i="28"/>
  <c r="BJ749" i="28"/>
  <c r="BD634" i="28"/>
  <c r="BH712" i="28"/>
  <c r="BE467" i="28"/>
  <c r="BF689" i="28"/>
  <c r="BC361" i="28"/>
  <c r="BG296" i="28"/>
  <c r="BH191" i="28"/>
  <c r="BD418" i="28"/>
  <c r="BN299" i="28"/>
  <c r="BM290" i="28"/>
  <c r="BL157" i="28"/>
  <c r="BH337" i="28"/>
  <c r="BM331" i="28"/>
  <c r="BD194" i="28"/>
  <c r="BJ496" i="28"/>
  <c r="BH160" i="28"/>
  <c r="BJ423" i="28"/>
  <c r="BI241" i="28"/>
  <c r="BD472" i="28"/>
  <c r="BD329" i="28"/>
  <c r="BC322" i="28"/>
  <c r="BN185" i="28"/>
  <c r="BI200" i="28"/>
  <c r="BK323" i="28"/>
  <c r="BK428" i="28"/>
  <c r="BC216" i="28"/>
  <c r="BK399" i="28"/>
  <c r="BN318" i="28"/>
  <c r="BC310" i="28"/>
  <c r="BJ175" i="28"/>
  <c r="BI235" i="28"/>
  <c r="BJ286" i="28"/>
  <c r="BG386" i="28"/>
  <c r="BJ425" i="28"/>
  <c r="BH284" i="28"/>
  <c r="BM272" i="28"/>
  <c r="BM227" i="28"/>
  <c r="BK696" i="28"/>
  <c r="BM631" i="28"/>
  <c r="BL773" i="28"/>
  <c r="BI682" i="28"/>
  <c r="BH756" i="28"/>
  <c r="BC497" i="28"/>
  <c r="BL445" i="28"/>
  <c r="BD401" i="28"/>
  <c r="BL335" i="28"/>
  <c r="BM329" i="28"/>
  <c r="BH192" i="28"/>
  <c r="BI481" i="28"/>
  <c r="BG395" i="28"/>
  <c r="BF331" i="28"/>
  <c r="BG209" i="28"/>
  <c r="BG653" i="28"/>
  <c r="BD382" i="28"/>
  <c r="BL263" i="28"/>
  <c r="BF163" i="28"/>
  <c r="BM773" i="28"/>
  <c r="BE439" i="28"/>
  <c r="BF691" i="28"/>
  <c r="BH493" i="28"/>
  <c r="BC746" i="28"/>
  <c r="BE634" i="28"/>
  <c r="BL456" i="28"/>
  <c r="BD639" i="28"/>
  <c r="BG757" i="28"/>
  <c r="BF404" i="28"/>
  <c r="BE340" i="28"/>
  <c r="BF230" i="28"/>
  <c r="BC178" i="28"/>
  <c r="BJ405" i="28"/>
  <c r="BK334" i="28"/>
  <c r="BL196" i="28"/>
  <c r="BC405" i="28"/>
  <c r="BL381" i="28"/>
  <c r="BL273" i="28"/>
  <c r="BN715" i="28"/>
  <c r="BM497" i="28"/>
  <c r="BG766" i="28"/>
  <c r="BL674" i="28"/>
  <c r="BD447" i="28"/>
  <c r="BC749" i="28"/>
  <c r="BL656" i="28"/>
  <c r="BJ438" i="28"/>
  <c r="BD782" i="28"/>
  <c r="BH684" i="28"/>
  <c r="BD485" i="28"/>
  <c r="BK735" i="28"/>
  <c r="BE500" i="28"/>
  <c r="BN449" i="28"/>
  <c r="BD683" i="28"/>
  <c r="BF632" i="28"/>
  <c r="BK752" i="28"/>
  <c r="BE332" i="28"/>
  <c r="BH223" i="28"/>
  <c r="BC170" i="28"/>
  <c r="BG398" i="28"/>
  <c r="BD333" i="28"/>
  <c r="BK326" i="28"/>
  <c r="BN189" i="28"/>
  <c r="BM440" i="28"/>
  <c r="BN374" i="28"/>
  <c r="BN266" i="28"/>
  <c r="BD226" i="28"/>
  <c r="BM646" i="28"/>
  <c r="BC291" i="28"/>
  <c r="BK354" i="28"/>
  <c r="BK490" i="28"/>
  <c r="BD218" i="28"/>
  <c r="BN651" i="28"/>
  <c r="BJ366" i="28"/>
  <c r="BK257" i="28"/>
  <c r="BN217" i="28"/>
  <c r="BD246" i="28"/>
  <c r="BJ362" i="28"/>
  <c r="BD464" i="28"/>
  <c r="BH196" i="28"/>
  <c r="BD633" i="28"/>
  <c r="BF356" i="28"/>
  <c r="BK245" i="28"/>
  <c r="BJ207" i="28"/>
  <c r="BC195" i="28"/>
  <c r="BI318" i="28"/>
  <c r="BI423" i="28"/>
  <c r="BK214" i="28"/>
  <c r="BE397" i="28"/>
  <c r="BL317" i="28"/>
  <c r="BN308" i="28"/>
  <c r="BH174" i="28"/>
  <c r="BL699" i="28"/>
  <c r="BN648" i="28"/>
  <c r="BE775" i="28"/>
  <c r="BI687" i="28"/>
  <c r="BG479" i="28"/>
  <c r="BK756" i="28"/>
  <c r="BL640" i="28"/>
  <c r="BJ422" i="28"/>
  <c r="BN429" i="28"/>
  <c r="BN312" i="28"/>
  <c r="BJ169" i="28"/>
  <c r="BM482" i="28"/>
  <c r="BC368" i="28"/>
  <c r="BC308" i="28"/>
  <c r="BM182" i="28"/>
  <c r="BI499" i="28"/>
  <c r="BF359" i="28"/>
  <c r="BL345" i="28"/>
  <c r="BC225" i="28"/>
  <c r="BN764" i="28"/>
  <c r="BG671" i="28"/>
  <c r="BD469" i="28"/>
  <c r="BD650" i="28"/>
  <c r="BM702" i="28"/>
  <c r="BM485" i="28"/>
  <c r="BK379" i="28"/>
  <c r="BG313" i="28"/>
  <c r="BH207" i="28"/>
  <c r="BC784" i="28"/>
  <c r="BD434" i="28"/>
  <c r="BD317" i="28"/>
  <c r="BF308" i="28"/>
  <c r="BN173" i="28"/>
  <c r="BK419" i="28"/>
  <c r="BN358" i="28"/>
  <c r="BM248" i="28"/>
  <c r="BN692" i="28"/>
  <c r="BM767" i="28"/>
  <c r="BC676" i="28"/>
  <c r="BG471" i="28"/>
  <c r="BF749" i="28"/>
  <c r="BN633" i="28"/>
  <c r="BL415" i="28"/>
  <c r="BK782" i="28"/>
  <c r="BG663" i="28"/>
  <c r="BF462" i="28"/>
  <c r="BI716" i="28"/>
  <c r="BF643" i="28"/>
  <c r="BD425" i="28"/>
  <c r="BM694" i="28"/>
  <c r="BM477" i="28"/>
  <c r="BK699" i="28"/>
  <c r="BK371" i="28"/>
  <c r="BD306" i="28"/>
  <c r="BJ200" i="28"/>
  <c r="BF427" i="28"/>
  <c r="BF310" i="28"/>
  <c r="BH301" i="28"/>
  <c r="BD412" i="28"/>
  <c r="BG342" i="28"/>
  <c r="BF203" i="28"/>
  <c r="BK492" i="28"/>
  <c r="BD197" i="28"/>
  <c r="BI306" i="28"/>
  <c r="BL408" i="28"/>
  <c r="BH172" i="28"/>
  <c r="BF338" i="28"/>
  <c r="BK332" i="28"/>
  <c r="BC158" i="28"/>
  <c r="BK282" i="28"/>
  <c r="BK389" i="28"/>
  <c r="BK194" i="28"/>
  <c r="BE422" i="28"/>
  <c r="BK309" i="28"/>
  <c r="BM300" i="28"/>
  <c r="BH166" i="28"/>
  <c r="BJ185" i="28"/>
  <c r="BH324" i="28"/>
  <c r="BF375" i="28"/>
  <c r="BG161" i="28"/>
  <c r="BN443" i="28"/>
  <c r="BJ293" i="28"/>
  <c r="BG283" i="28"/>
  <c r="BG238" i="28"/>
  <c r="BG736" i="28"/>
  <c r="BC649" i="28"/>
  <c r="BJ469" i="28"/>
  <c r="BC711" i="28"/>
  <c r="BJ495" i="28"/>
  <c r="BJ778" i="28"/>
  <c r="BN661" i="28"/>
  <c r="BC483" i="28"/>
  <c r="BD467" i="28"/>
  <c r="BM377" i="28"/>
  <c r="BL316" i="28"/>
  <c r="BI192" i="28"/>
  <c r="BE382" i="28"/>
  <c r="BK315" i="28"/>
  <c r="BH209" i="28"/>
  <c r="BI782" i="28"/>
  <c r="BK420" i="28"/>
  <c r="BC256" i="28"/>
  <c r="BH244" i="28"/>
  <c r="BC196" i="28"/>
  <c r="BG423" i="28"/>
  <c r="BF712" i="28"/>
  <c r="BM493" i="28"/>
  <c r="BK762" i="28"/>
  <c r="BF671" i="28"/>
  <c r="BF495" i="28"/>
  <c r="BG745" i="28"/>
  <c r="BF653" i="28"/>
  <c r="BD435" i="28"/>
  <c r="BH442" i="28"/>
  <c r="BH325" i="28"/>
  <c r="BM317" i="28"/>
  <c r="BD182" i="28"/>
  <c r="BF484" i="28"/>
  <c r="BK382" i="28"/>
  <c r="BG197" i="28"/>
  <c r="BH648" i="28"/>
  <c r="BN371" i="28"/>
  <c r="BH253" i="28"/>
  <c r="BI752" i="28"/>
  <c r="BC641" i="28"/>
  <c r="BL462" i="28"/>
  <c r="BC703" i="28"/>
  <c r="BC486" i="28"/>
  <c r="BE771" i="28"/>
  <c r="BM679" i="28"/>
  <c r="BC475" i="28"/>
  <c r="BG489" i="28"/>
  <c r="BM369" i="28"/>
  <c r="BH705" i="28"/>
  <c r="BJ654" i="28"/>
  <c r="BG781" i="28"/>
  <c r="BH664" i="28"/>
  <c r="BE486" i="28"/>
  <c r="BH646" i="28"/>
  <c r="BF428" i="28"/>
  <c r="BJ435" i="28"/>
  <c r="BJ318" i="28"/>
  <c r="BL309" i="28"/>
  <c r="BF175" i="28"/>
  <c r="BN456" i="28"/>
  <c r="BK374" i="28"/>
  <c r="BD314" i="28"/>
  <c r="BG189" i="28"/>
  <c r="BC652" i="28"/>
  <c r="BJ246" i="28"/>
  <c r="BK231" i="28"/>
  <c r="BG776" i="28"/>
  <c r="BE419" i="28"/>
  <c r="BJ492" i="28"/>
  <c r="BJ220" i="28"/>
  <c r="BL356" i="28"/>
  <c r="BD342" i="28"/>
  <c r="BE222" i="28"/>
  <c r="BH182" i="28"/>
  <c r="BC318" i="28"/>
  <c r="BL325" i="28"/>
  <c r="BF438" i="28"/>
  <c r="BC232" i="28"/>
  <c r="BE409" i="28"/>
  <c r="BM253" i="28"/>
  <c r="BI232" i="28"/>
  <c r="BG239" i="28"/>
  <c r="BD253" i="28"/>
  <c r="BJ371" i="28"/>
  <c r="BN247" i="28"/>
  <c r="BC686" i="28"/>
  <c r="BH781" i="28"/>
  <c r="BE662" i="28"/>
  <c r="BD461" i="28"/>
  <c r="BH758" i="28"/>
  <c r="BD642" i="28"/>
  <c r="BG693" i="28"/>
  <c r="BG476" i="28"/>
  <c r="BI694" i="28"/>
  <c r="BI370" i="28"/>
  <c r="BH199" i="28"/>
  <c r="BD426" i="28"/>
  <c r="BC309" i="28"/>
  <c r="BE300" i="28"/>
  <c r="BM165" i="28"/>
  <c r="BF350" i="28"/>
  <c r="BE341" i="28"/>
  <c r="BD202" i="28"/>
  <c r="BL753" i="28"/>
  <c r="BI642" i="28"/>
  <c r="BN463" i="28"/>
  <c r="BI704" i="28"/>
  <c r="BI487" i="28"/>
  <c r="BH772" i="28"/>
  <c r="BF681" i="28"/>
  <c r="BI476" i="28"/>
  <c r="BF496" i="28"/>
  <c r="BE371" i="28"/>
  <c r="BK185" i="28"/>
  <c r="BI714" i="28"/>
  <c r="BG375" i="28"/>
  <c r="BF309" i="28"/>
  <c r="BL203" i="28"/>
  <c r="BF758" i="28"/>
  <c r="BC414" i="28"/>
  <c r="BI249" i="28"/>
  <c r="BC774" i="28"/>
  <c r="BC683" i="28"/>
  <c r="BF454" i="28"/>
  <c r="BM750" i="28"/>
  <c r="BF635" i="28"/>
  <c r="BD417" i="28"/>
  <c r="BJ713" i="28"/>
  <c r="BG468" i="28"/>
  <c r="BN693" i="28"/>
  <c r="BI362" i="28"/>
  <c r="BG746" i="28"/>
  <c r="BI634" i="28"/>
  <c r="BI696" i="28"/>
  <c r="BI479" i="28"/>
  <c r="BC765" i="28"/>
  <c r="BE673" i="28"/>
  <c r="BI468" i="28"/>
  <c r="BM462" i="28"/>
  <c r="BE363" i="28"/>
  <c r="BE303" i="28"/>
  <c r="BK177" i="28"/>
  <c r="BG367" i="28"/>
  <c r="BH302" i="28"/>
  <c r="BN196" i="28"/>
  <c r="BD749" i="28"/>
  <c r="BD407" i="28"/>
  <c r="BI343" i="28"/>
  <c r="BD233" i="28"/>
  <c r="BI181" i="28"/>
  <c r="BJ409" i="28"/>
  <c r="BF184" i="28"/>
  <c r="BM328" i="28"/>
  <c r="BI398" i="28"/>
  <c r="BK333" i="28"/>
  <c r="BN224" i="28"/>
  <c r="BM171" i="28"/>
  <c r="BE228" i="28"/>
  <c r="BG282" i="28"/>
  <c r="BE388" i="28"/>
  <c r="BK321" i="28"/>
  <c r="BJ214" i="28"/>
  <c r="BK159" i="28"/>
  <c r="BL172" i="28"/>
  <c r="BG247" i="28"/>
  <c r="BG349" i="28"/>
  <c r="BK284" i="28"/>
  <c r="BH181" i="28"/>
  <c r="BH692" i="28"/>
  <c r="BH497" i="28"/>
  <c r="BF747" i="28"/>
  <c r="BG635" i="28"/>
  <c r="BN457" i="28"/>
  <c r="BD691" i="28"/>
  <c r="BF640" i="28"/>
  <c r="BL738" i="28"/>
  <c r="BH405" i="28"/>
  <c r="BG341" i="28"/>
  <c r="BH231" i="28"/>
  <c r="BI179" i="28"/>
  <c r="BL406" i="28"/>
  <c r="BD341" i="28"/>
  <c r="BC336" i="28"/>
  <c r="BN197" i="28"/>
  <c r="BK407" i="28"/>
  <c r="BN382" i="28"/>
  <c r="BN274" i="28"/>
  <c r="BD234" i="28"/>
  <c r="BE682" i="28"/>
  <c r="BH767" i="28"/>
  <c r="BD499" i="28"/>
  <c r="BJ700" i="28"/>
  <c r="BL649" i="28"/>
  <c r="BM780" i="28"/>
  <c r="BG661" i="28"/>
  <c r="BJ460" i="28"/>
  <c r="BI491" i="28"/>
  <c r="BJ357" i="28"/>
  <c r="BC223" i="28"/>
  <c r="BK736" i="28"/>
  <c r="BL409" i="28"/>
  <c r="BD349" i="28"/>
  <c r="BL235" i="28"/>
  <c r="BG184" i="28"/>
  <c r="BD400" i="28"/>
  <c r="BJ283" i="28"/>
  <c r="BG783" i="28"/>
  <c r="BJ685" i="28"/>
  <c r="BF486" i="28"/>
  <c r="BN736" i="28"/>
  <c r="BG501" i="28"/>
  <c r="BF684" i="28"/>
  <c r="BH633" i="28"/>
  <c r="BJ757" i="28"/>
  <c r="BE398" i="28"/>
  <c r="BC760" i="28"/>
  <c r="BD671" i="28"/>
  <c r="BL693" i="28"/>
  <c r="BN642" i="28"/>
  <c r="BH773" i="28"/>
  <c r="BG681" i="28"/>
  <c r="BL453" i="28"/>
  <c r="BL350" i="28"/>
  <c r="BD336" i="28"/>
  <c r="BC215" i="28"/>
  <c r="BE751" i="28"/>
  <c r="BM402" i="28"/>
  <c r="BI338" i="28"/>
  <c r="BN228" i="28"/>
  <c r="BG176" i="28"/>
  <c r="BI443" i="28"/>
  <c r="BL276" i="28"/>
  <c r="BN263" i="28"/>
  <c r="BK218" i="28"/>
  <c r="BM404" i="28"/>
  <c r="BM160" i="28"/>
  <c r="BI317" i="28"/>
  <c r="BN366" i="28"/>
  <c r="BM441" i="28"/>
  <c r="BH268" i="28"/>
  <c r="BJ255" i="28"/>
  <c r="BE209" i="28"/>
  <c r="BM270" i="28"/>
  <c r="BF320" i="28"/>
  <c r="BE423" i="28"/>
  <c r="BE257" i="28"/>
  <c r="BN679" i="28"/>
  <c r="BF218" i="28"/>
  <c r="BN684" i="28"/>
  <c r="BE462" i="28"/>
  <c r="BJ165" i="28"/>
  <c r="BN329" i="28"/>
  <c r="BF701" i="28"/>
  <c r="BD498" i="28"/>
  <c r="BD501" i="28"/>
  <c r="BK714" i="28"/>
  <c r="BN289" i="28"/>
  <c r="BJ440" i="28"/>
  <c r="BK199" i="28"/>
  <c r="BD442" i="28"/>
  <c r="BI375" i="28"/>
  <c r="BL159" i="28"/>
  <c r="BE392" i="28"/>
  <c r="BI303" i="28"/>
  <c r="BE178" i="28"/>
  <c r="BF343" i="28"/>
  <c r="BF357" i="28"/>
  <c r="BI675" i="28"/>
  <c r="BK688" i="28"/>
  <c r="BF229" i="28"/>
  <c r="BD751" i="28"/>
  <c r="BJ635" i="28"/>
  <c r="BC783" i="28"/>
  <c r="BF685" i="28"/>
  <c r="BM749" i="28"/>
  <c r="BH661" i="28"/>
  <c r="BF479" i="28"/>
  <c r="BM436" i="28"/>
  <c r="BD373" i="28"/>
  <c r="BD265" i="28"/>
  <c r="BH224" i="28"/>
  <c r="BG633" i="28"/>
  <c r="BN377" i="28"/>
  <c r="BH259" i="28"/>
  <c r="BF705" i="28"/>
  <c r="BK365" i="28"/>
  <c r="BH195" i="28"/>
  <c r="BF423" i="28"/>
  <c r="BM696" i="28"/>
  <c r="BM479" i="28"/>
  <c r="BL759" i="28"/>
  <c r="BN670" i="28"/>
  <c r="BL488" i="28"/>
  <c r="BC696" i="28"/>
  <c r="BE631" i="28"/>
  <c r="BI777" i="28"/>
  <c r="BC440" i="28"/>
  <c r="BN273" i="28"/>
  <c r="BI215" i="28"/>
  <c r="BH377" i="28"/>
  <c r="BH269" i="28"/>
  <c r="BL228" i="28"/>
  <c r="BE476" i="28"/>
  <c r="BG366" i="28"/>
  <c r="BG306" i="28"/>
  <c r="BL740" i="28"/>
  <c r="BL502" i="28"/>
  <c r="BK775" i="28"/>
  <c r="BG684" i="28"/>
  <c r="BD479" i="28"/>
  <c r="BH739" i="28"/>
  <c r="BI652" i="28"/>
  <c r="BH472" i="28"/>
  <c r="BI428" i="28"/>
  <c r="BF366" i="28"/>
  <c r="BL716" i="28"/>
  <c r="BM471" i="28"/>
  <c r="BJ752" i="28"/>
  <c r="BN481" i="28"/>
  <c r="BD715" i="28"/>
  <c r="BE497" i="28"/>
  <c r="BD773" i="28"/>
  <c r="BC432" i="28"/>
  <c r="BD254" i="28"/>
  <c r="BI207" i="28"/>
  <c r="BG433" i="28"/>
  <c r="BJ370" i="28"/>
  <c r="BI262" i="28"/>
  <c r="BN221" i="28"/>
  <c r="BL499" i="28"/>
  <c r="BG358" i="28"/>
  <c r="BN298" i="28"/>
  <c r="BC173" i="28"/>
  <c r="BJ699" i="28"/>
  <c r="BD328" i="28"/>
  <c r="BE394" i="28"/>
  <c r="BI780" i="28"/>
  <c r="BC201" i="28"/>
  <c r="BG710" i="28"/>
  <c r="BK348" i="28"/>
  <c r="BJ290" i="28"/>
  <c r="BM163" i="28"/>
  <c r="BF306" i="28"/>
  <c r="BK370" i="28"/>
  <c r="BC636" i="28"/>
  <c r="BN223" i="28"/>
  <c r="BE636" i="28"/>
  <c r="BK261" i="28"/>
  <c r="BF221" i="28"/>
  <c r="BK243" i="28"/>
  <c r="BF195" i="28"/>
  <c r="BJ502" i="28"/>
  <c r="BD355" i="28"/>
  <c r="BJ350" i="28"/>
  <c r="BH206" i="28"/>
  <c r="BC773" i="28"/>
  <c r="BG682" i="28"/>
  <c r="BC477" i="28"/>
  <c r="BG704" i="28"/>
  <c r="BI639" i="28"/>
  <c r="BE440" i="28"/>
  <c r="BH688" i="28"/>
  <c r="BD489" i="28"/>
  <c r="BH671" i="28"/>
  <c r="BD386" i="28"/>
  <c r="BG268" i="28"/>
  <c r="BH167" i="28"/>
  <c r="BG442" i="28"/>
  <c r="BN275" i="28"/>
  <c r="BM217" i="28"/>
  <c r="BH430" i="28"/>
  <c r="BH313" i="28"/>
  <c r="BJ304" i="28"/>
  <c r="BD170" i="28"/>
  <c r="BM490" i="28"/>
  <c r="BM736" i="28"/>
  <c r="BD648" i="28"/>
  <c r="BN697" i="28"/>
  <c r="BC450" i="28"/>
  <c r="BD763" i="28"/>
  <c r="BD492" i="28"/>
  <c r="BF414" i="28"/>
  <c r="BL385" i="28"/>
  <c r="BL277" i="28"/>
  <c r="BK660" i="28"/>
  <c r="BH390" i="28"/>
  <c r="BI273" i="28"/>
  <c r="BL171" i="28"/>
  <c r="BF694" i="28"/>
  <c r="BI380" i="28"/>
  <c r="BE314" i="28"/>
  <c r="BK765" i="28"/>
  <c r="BM673" i="28"/>
  <c r="BC469" i="28"/>
  <c r="BG696" i="28"/>
  <c r="BI631" i="28"/>
  <c r="BC779" i="28"/>
  <c r="BJ681" i="28"/>
  <c r="BF482" i="28"/>
  <c r="BE640" i="28"/>
  <c r="BF379" i="28"/>
  <c r="BF757" i="28"/>
  <c r="BF641" i="28"/>
  <c r="BD423" i="28"/>
  <c r="BH492" i="28"/>
  <c r="BD667" i="28"/>
  <c r="BL398" i="28"/>
  <c r="BN378" i="28"/>
  <c r="BN270" i="28"/>
  <c r="BD230" i="28"/>
  <c r="BD661" i="28"/>
  <c r="BJ383" i="28"/>
  <c r="BI265" i="28"/>
  <c r="BL164" i="28"/>
  <c r="BI702" i="28"/>
  <c r="BI372" i="28"/>
  <c r="BL306" i="28"/>
  <c r="BD201" i="28"/>
  <c r="BH218" i="28"/>
  <c r="BH295" i="28"/>
  <c r="BM362" i="28"/>
  <c r="BC298" i="28"/>
  <c r="BN192" i="28"/>
  <c r="BE644" i="28"/>
  <c r="BH235" i="28"/>
  <c r="BN230" i="28"/>
  <c r="BH362" i="28"/>
  <c r="BM228" i="28"/>
  <c r="BM337" i="28"/>
  <c r="BL352" i="28"/>
  <c r="BC685" i="28"/>
  <c r="BJ237" i="28"/>
  <c r="BK668" i="28"/>
  <c r="BN376" i="28"/>
  <c r="BN268" i="28"/>
  <c r="BD228" i="28"/>
  <c r="BM211" i="28"/>
  <c r="BN257" i="28"/>
  <c r="BL270" i="28"/>
  <c r="BD396" i="28"/>
  <c r="BC328" i="28"/>
  <c r="BI171" i="28"/>
  <c r="BE229" i="28"/>
  <c r="BE274" i="28"/>
  <c r="BJ285" i="28"/>
  <c r="BL426" i="28"/>
  <c r="BL214" i="28"/>
  <c r="BI349" i="28"/>
  <c r="BE350" i="28"/>
  <c r="BM711" i="28"/>
  <c r="BE164" i="28"/>
  <c r="BK737" i="28"/>
  <c r="BL296" i="28"/>
  <c r="BN469" i="28"/>
  <c r="BI740" i="28"/>
  <c r="BC454" i="28"/>
  <c r="BH423" i="28"/>
  <c r="BM649" i="28"/>
  <c r="BC279" i="28"/>
  <c r="BJ393" i="28"/>
  <c r="BH494" i="28"/>
  <c r="BL314" i="28"/>
  <c r="BE399" i="28"/>
  <c r="BF437" i="28"/>
  <c r="BI363" i="28"/>
  <c r="BC326" i="28"/>
  <c r="BF189" i="28"/>
  <c r="BN203" i="28"/>
  <c r="BL342" i="28"/>
  <c r="BL393" i="28"/>
  <c r="BC172" i="28"/>
  <c r="BH401" i="28"/>
  <c r="BD298" i="28"/>
  <c r="BM288" i="28"/>
  <c r="BH681" i="28"/>
  <c r="BJ630" i="28"/>
  <c r="BK780" i="28"/>
  <c r="BK662" i="28"/>
  <c r="BE458" i="28"/>
  <c r="BM653" i="28"/>
  <c r="BL402" i="28"/>
  <c r="BE411" i="28"/>
  <c r="BF293" i="28"/>
  <c r="BC283" i="28"/>
  <c r="BC238" i="28"/>
  <c r="BD456" i="28"/>
  <c r="BK346" i="28"/>
  <c r="BN288" i="28"/>
  <c r="BM161" i="28"/>
  <c r="BK458" i="28"/>
  <c r="BE389" i="28"/>
  <c r="BH326" i="28"/>
  <c r="BK203" i="28"/>
  <c r="BD736" i="28"/>
  <c r="BG770" i="28"/>
  <c r="BH678" i="28"/>
  <c r="BN450" i="28"/>
  <c r="BD747" i="28"/>
  <c r="BN631" i="28"/>
  <c r="BK413" i="28"/>
  <c r="BD710" i="28"/>
  <c r="BG464" i="28"/>
  <c r="BG688" i="28"/>
  <c r="BI358" i="28"/>
  <c r="BM293" i="28"/>
  <c r="BD189" i="28"/>
  <c r="BN415" i="28"/>
  <c r="BJ297" i="28"/>
  <c r="BE288" i="28"/>
  <c r="BM243" i="28"/>
  <c r="BI400" i="28"/>
  <c r="BD335" i="28"/>
  <c r="BE329" i="28"/>
  <c r="BG711" i="28"/>
  <c r="BF773" i="28"/>
  <c r="BE686" i="28"/>
  <c r="BE450" i="28"/>
  <c r="BK710" i="28"/>
  <c r="BM645" i="28"/>
  <c r="BF447" i="28"/>
  <c r="BE403" i="28"/>
  <c r="BJ671" i="28"/>
  <c r="BN495" i="28"/>
  <c r="BL736" i="28"/>
  <c r="BK656" i="28"/>
  <c r="BK405" i="28"/>
  <c r="BF703" i="28"/>
  <c r="BG456" i="28"/>
  <c r="BI350" i="28"/>
  <c r="BM285" i="28"/>
  <c r="BF182" i="28"/>
  <c r="BC408" i="28"/>
  <c r="BL290" i="28"/>
  <c r="BE280" i="28"/>
  <c r="BE235" i="28"/>
  <c r="BH445" i="28"/>
  <c r="BF328" i="28"/>
  <c r="BE321" i="28"/>
  <c r="BC452" i="28"/>
  <c r="BK205" i="28"/>
  <c r="BC329" i="28"/>
  <c r="BC434" i="28"/>
  <c r="BC220" i="28"/>
  <c r="BG407" i="28"/>
  <c r="BI311" i="28"/>
  <c r="BL176" i="28"/>
  <c r="BN171" i="28"/>
  <c r="BL310" i="28"/>
  <c r="BJ361" i="28"/>
  <c r="BH784" i="28"/>
  <c r="BN435" i="28"/>
  <c r="BD290" i="28"/>
  <c r="BG279" i="28"/>
  <c r="BG234" i="28"/>
  <c r="BK192" i="28"/>
  <c r="BK247" i="28"/>
  <c r="BE395" i="28"/>
  <c r="BC406" i="28"/>
  <c r="BF275" i="28"/>
  <c r="BH262" i="28"/>
  <c r="BE217" i="28"/>
  <c r="BE737" i="28"/>
  <c r="BK501" i="28"/>
  <c r="BF451" i="28"/>
  <c r="BN717" i="28"/>
  <c r="BK472" i="28"/>
  <c r="BN758" i="28"/>
  <c r="BG666" i="28"/>
  <c r="BK461" i="28"/>
  <c r="BF489" i="28"/>
  <c r="BG356" i="28"/>
  <c r="BD297" i="28"/>
  <c r="BC171" i="28"/>
  <c r="BD688" i="28"/>
  <c r="BM360" i="28"/>
  <c r="BC296" i="28"/>
  <c r="BD191" i="28"/>
  <c r="BC745" i="28"/>
  <c r="BF401" i="28"/>
  <c r="BM336" i="28"/>
  <c r="BH227" i="28"/>
  <c r="BK174" i="28"/>
  <c r="BN403" i="28"/>
  <c r="BD643" i="28"/>
  <c r="BC769" i="28"/>
  <c r="BI677" i="28"/>
  <c r="BM472" i="28"/>
  <c r="BI750" i="28"/>
  <c r="BN416" i="28"/>
  <c r="BD424" i="28"/>
  <c r="BM306" i="28"/>
  <c r="BK297" i="28"/>
  <c r="BL163" i="28"/>
  <c r="BE456" i="28"/>
  <c r="BI361" i="28"/>
  <c r="BI301" i="28"/>
  <c r="BE176" i="28"/>
  <c r="BH643" i="28"/>
  <c r="BJ353" i="28"/>
  <c r="BG753" i="28"/>
  <c r="BK493" i="28"/>
  <c r="BJ442" i="28"/>
  <c r="BH710" i="28"/>
  <c r="BK464" i="28"/>
  <c r="BK776" i="28"/>
  <c r="BG658" i="28"/>
  <c r="BK453" i="28"/>
  <c r="BN461" i="28"/>
  <c r="BG348" i="28"/>
  <c r="BD687" i="28"/>
  <c r="BF636" i="28"/>
  <c r="BK761" i="28"/>
  <c r="BI669" i="28"/>
  <c r="BM464" i="28"/>
  <c r="BD740" i="28"/>
  <c r="BD502" i="28"/>
  <c r="BG409" i="28"/>
  <c r="BF417" i="28"/>
  <c r="BK289" i="28"/>
  <c r="BN156" i="28"/>
  <c r="BI353" i="28"/>
  <c r="BJ294" i="28"/>
  <c r="BE168" i="28"/>
  <c r="BI485" i="28"/>
  <c r="BL346" i="28"/>
  <c r="BD332" i="28"/>
  <c r="BI210" i="28"/>
  <c r="BN735" i="28"/>
  <c r="BI263" i="28"/>
  <c r="BG429" i="28"/>
  <c r="BC386" i="28"/>
  <c r="BN323" i="28"/>
  <c r="BM200" i="28"/>
  <c r="BH267" i="28"/>
  <c r="BD380" i="28"/>
  <c r="BH714" i="28"/>
  <c r="BF165" i="28"/>
  <c r="BG257" i="28"/>
  <c r="BE683" i="28"/>
  <c r="BC160" i="28"/>
  <c r="BK683" i="28"/>
  <c r="BH381" i="28"/>
  <c r="BH273" i="28"/>
  <c r="BL232" i="28"/>
  <c r="BF199" i="28"/>
  <c r="BD338" i="28"/>
  <c r="BC168" i="28"/>
  <c r="BL397" i="28"/>
  <c r="BG287" i="28"/>
  <c r="BK242" i="28"/>
  <c r="BN201" i="28"/>
  <c r="BK340" i="28"/>
  <c r="BH349" i="28"/>
  <c r="BI457" i="28"/>
  <c r="BD186" i="28"/>
  <c r="BG443" i="28"/>
  <c r="BF334" i="28"/>
  <c r="BJ224" i="28"/>
  <c r="BL216" i="28"/>
  <c r="BI256" i="28"/>
  <c r="BH365" i="28"/>
  <c r="BD638" i="28"/>
  <c r="BL328" i="28"/>
  <c r="BI285" i="28"/>
  <c r="BF392" i="28"/>
  <c r="BE759" i="28"/>
  <c r="BN657" i="28"/>
  <c r="BC287" i="28"/>
  <c r="BK350" i="28"/>
  <c r="BK474" i="28"/>
  <c r="BJ651" i="28"/>
  <c r="BM766" i="28"/>
  <c r="BD389" i="28"/>
  <c r="BK658" i="28"/>
  <c r="BC399" i="28"/>
  <c r="BC234" i="28"/>
  <c r="BH285" i="28"/>
  <c r="BE385" i="28"/>
  <c r="BE705" i="28"/>
  <c r="BK165" i="28"/>
  <c r="BE190" i="28"/>
  <c r="BG276" i="28"/>
  <c r="BL282" i="28"/>
  <c r="BM311" i="28"/>
  <c r="BI766" i="28"/>
  <c r="BJ332" i="28"/>
  <c r="BF245" i="28"/>
  <c r="BE197" i="28"/>
  <c r="BM222" i="28"/>
  <c r="BE277" i="28"/>
  <c r="BM386" i="28"/>
  <c r="BI320" i="28"/>
  <c r="BH213" i="28"/>
  <c r="BI158" i="28"/>
  <c r="BD766" i="28"/>
  <c r="BM672" i="28"/>
  <c r="BF470" i="28"/>
  <c r="BE740" i="28"/>
  <c r="BF651" i="28"/>
  <c r="BD433" i="28"/>
  <c r="BE704" i="28"/>
  <c r="BE487" i="28"/>
  <c r="BJ696" i="28"/>
  <c r="BC381" i="28"/>
  <c r="BM314" i="28"/>
  <c r="BJ208" i="28"/>
  <c r="BF435" i="28"/>
  <c r="BF318" i="28"/>
  <c r="BH309" i="28"/>
  <c r="BC421" i="28"/>
  <c r="BE250" i="28"/>
  <c r="BF211" i="28"/>
  <c r="BC656" i="28"/>
  <c r="BC740" i="28"/>
  <c r="BC653" i="28"/>
  <c r="BC715" i="28"/>
  <c r="BN500" i="28"/>
  <c r="BF782" i="28"/>
  <c r="BF665" i="28"/>
  <c r="BC487" i="28"/>
  <c r="BN480" i="28"/>
  <c r="BM381" i="28"/>
  <c r="BD320" i="28"/>
  <c r="BI196" i="28"/>
  <c r="BL713" i="28"/>
  <c r="BE386" i="28"/>
  <c r="BK319" i="28"/>
  <c r="BN212" i="28"/>
  <c r="BK157" i="28"/>
  <c r="BD772" i="28"/>
  <c r="BK424" i="28"/>
  <c r="BC260" i="28"/>
  <c r="BN783" i="28"/>
  <c r="BM664" i="28"/>
  <c r="BH463" i="28"/>
  <c r="BK717" i="28"/>
  <c r="BH644" i="28"/>
  <c r="BF426" i="28"/>
  <c r="BE696" i="28"/>
  <c r="BE479" i="28"/>
  <c r="BC705" i="28"/>
  <c r="BC373" i="28"/>
  <c r="BE756" i="28"/>
  <c r="BC645" i="28"/>
  <c r="BD466" i="28"/>
  <c r="BC707" i="28"/>
  <c r="BC490" i="28"/>
  <c r="BN774" i="28"/>
  <c r="BG686" i="28"/>
  <c r="BC479" i="28"/>
  <c r="BH453" i="28"/>
  <c r="BM373" i="28"/>
  <c r="BF313" i="28"/>
  <c r="BI188" i="28"/>
  <c r="BF686" i="28"/>
  <c r="BE378" i="28"/>
  <c r="BK311" i="28"/>
  <c r="BL767" i="28"/>
  <c r="BK416" i="28"/>
  <c r="BC252" i="28"/>
  <c r="BI242" i="28"/>
  <c r="BC192" i="28"/>
  <c r="BG419" i="28"/>
  <c r="BN220" i="28"/>
  <c r="BL268" i="28"/>
  <c r="BN344" i="28"/>
  <c r="BG182" i="28"/>
  <c r="BG185" i="28"/>
  <c r="BD243" i="28"/>
  <c r="BG377" i="28"/>
  <c r="BC311" i="28"/>
  <c r="BH205" i="28"/>
  <c r="BF209" i="28"/>
  <c r="BF286" i="28"/>
  <c r="BE360" i="28"/>
  <c r="BI295" i="28"/>
  <c r="BJ190" i="28"/>
  <c r="BH713" i="28"/>
  <c r="BE495" i="28"/>
  <c r="BN763" i="28"/>
  <c r="BH672" i="28"/>
  <c r="BF497" i="28"/>
  <c r="BJ746" i="28"/>
  <c r="BH654" i="28"/>
  <c r="BF436" i="28"/>
  <c r="BJ443" i="28"/>
  <c r="BJ326" i="28"/>
  <c r="BE319" i="28"/>
  <c r="BF183" i="28"/>
  <c r="BN488" i="28"/>
  <c r="BC384" i="28"/>
  <c r="BD322" i="28"/>
  <c r="BM198" i="28"/>
  <c r="BJ254" i="28"/>
  <c r="BC241" i="28"/>
  <c r="BJ759" i="28"/>
  <c r="BK779" i="28"/>
  <c r="BD682" i="28"/>
  <c r="BN482" i="28"/>
  <c r="BL756" i="28"/>
  <c r="BG497" i="28"/>
  <c r="BD446" i="28"/>
  <c r="BL719" i="28"/>
  <c r="BM739" i="28"/>
  <c r="BI394" i="28"/>
  <c r="BG329" i="28"/>
  <c r="BD221" i="28"/>
  <c r="BI167" i="28"/>
  <c r="BN395" i="28"/>
  <c r="BN330" i="28"/>
  <c r="BC324" i="28"/>
  <c r="BJ187" i="28"/>
  <c r="BE436" i="28"/>
  <c r="BJ372" i="28"/>
  <c r="BJ264" i="28"/>
  <c r="BJ706" i="28"/>
  <c r="BL655" i="28"/>
  <c r="BJ782" i="28"/>
  <c r="BJ665" i="28"/>
  <c r="BG487" i="28"/>
  <c r="BE736" i="28"/>
  <c r="BJ647" i="28"/>
  <c r="BH429" i="28"/>
  <c r="BL436" i="28"/>
  <c r="BF772" i="28"/>
  <c r="BG679" i="28"/>
  <c r="BG749" i="28"/>
  <c r="BN438" i="28"/>
  <c r="BM710" i="28"/>
  <c r="BE693" i="28"/>
  <c r="BK387" i="28"/>
  <c r="BG321" i="28"/>
  <c r="BF214" i="28"/>
  <c r="BG159" i="28"/>
  <c r="BC316" i="28"/>
  <c r="BL180" i="28"/>
  <c r="BK427" i="28"/>
  <c r="BL365" i="28"/>
  <c r="BM256" i="28"/>
  <c r="BF647" i="28"/>
  <c r="BL250" i="28"/>
  <c r="BD367" i="28"/>
  <c r="BH482" i="28"/>
  <c r="BN199" i="28"/>
  <c r="BN646" i="28"/>
  <c r="BH357" i="28"/>
  <c r="BC247" i="28"/>
  <c r="BL208" i="28"/>
  <c r="BL226" i="28"/>
  <c r="BL261" i="28"/>
  <c r="BI368" i="28"/>
  <c r="BC184" i="28"/>
  <c r="BJ217" i="28"/>
  <c r="BJ252" i="28"/>
  <c r="BK357" i="28"/>
  <c r="BK178" i="28"/>
  <c r="BF407" i="28"/>
  <c r="BK301" i="28"/>
  <c r="BM292" i="28"/>
  <c r="BH159" i="28"/>
  <c r="BG217" i="28"/>
  <c r="BM271" i="28"/>
  <c r="BG385" i="28"/>
  <c r="BC319" i="28"/>
  <c r="BF212" i="28"/>
  <c r="BC157" i="28"/>
  <c r="BM192" i="28"/>
  <c r="BC378" i="28"/>
  <c r="BF170" i="28"/>
  <c r="BJ399" i="28"/>
  <c r="BG333" i="28"/>
  <c r="BE210" i="28"/>
  <c r="BN331" i="28"/>
  <c r="BH346" i="28"/>
  <c r="BI469" i="28"/>
  <c r="BK285" i="28"/>
  <c r="BE326" i="28"/>
  <c r="BC394" i="28"/>
  <c r="BK666" i="28"/>
  <c r="BM406" i="28"/>
  <c r="BC242" i="28"/>
  <c r="BF292" i="28"/>
  <c r="BC393" i="28"/>
  <c r="BH433" i="28"/>
  <c r="BH677" i="28"/>
  <c r="BH715" i="28"/>
  <c r="BE454" i="28"/>
  <c r="BE407" i="28"/>
  <c r="BM157" i="28"/>
  <c r="BM322" i="28"/>
  <c r="BK783" i="28"/>
  <c r="BF174" i="28"/>
  <c r="BM225" i="28"/>
  <c r="BC229" i="28"/>
  <c r="BL497" i="28"/>
  <c r="BI275" i="28"/>
  <c r="BH173" i="28"/>
  <c r="BJ658" i="28"/>
  <c r="BD225" i="28"/>
  <c r="BD345" i="28"/>
  <c r="BM224" i="28"/>
  <c r="BL763" i="28"/>
  <c r="BJ674" i="28"/>
  <c r="BD493" i="28"/>
  <c r="BD697" i="28"/>
  <c r="BF646" i="28"/>
  <c r="BD777" i="28"/>
  <c r="BG689" i="28"/>
  <c r="BD457" i="28"/>
  <c r="BL645" i="28"/>
  <c r="BD354" i="28"/>
  <c r="BJ339" i="28"/>
  <c r="BC219" i="28"/>
  <c r="BH745" i="28"/>
  <c r="BF406" i="28"/>
  <c r="BI342" i="28"/>
  <c r="BF232" i="28"/>
  <c r="BG180" i="28"/>
  <c r="BH396" i="28"/>
  <c r="BD280" i="28"/>
  <c r="BK267" i="28"/>
  <c r="BK222" i="28"/>
  <c r="BM412" i="28"/>
  <c r="BI711" i="28"/>
  <c r="BG646" i="28"/>
  <c r="BD762" i="28"/>
  <c r="BI668" i="28"/>
  <c r="BJ466" i="28"/>
  <c r="BH749" i="28"/>
  <c r="BK637" i="28"/>
  <c r="BN459" i="28"/>
  <c r="BN413" i="28"/>
  <c r="BL353" i="28"/>
  <c r="BI495" i="28"/>
  <c r="BH358" i="28"/>
  <c r="BD344" i="28"/>
  <c r="BE224" i="28"/>
  <c r="BK680" i="28"/>
  <c r="BC343" i="28"/>
  <c r="BG278" i="28"/>
  <c r="BJ756" i="28"/>
  <c r="BL667" i="28"/>
  <c r="BJ485" i="28"/>
  <c r="BF690" i="28"/>
  <c r="BH639" i="28"/>
  <c r="BL769" i="28"/>
  <c r="BN677" i="28"/>
  <c r="BF450" i="28"/>
  <c r="BC488" i="28"/>
  <c r="BF347" i="28"/>
  <c r="BI703" i="28"/>
  <c r="BG638" i="28"/>
  <c r="BN779" i="28"/>
  <c r="BI660" i="28"/>
  <c r="BL459" i="28"/>
  <c r="BC739" i="28"/>
  <c r="BK503" i="28"/>
  <c r="BH341" i="28"/>
  <c r="BG336" i="28"/>
  <c r="BD198" i="28"/>
  <c r="BH635" i="28"/>
  <c r="BJ351" i="28"/>
  <c r="BE216" i="28"/>
  <c r="BF678" i="28"/>
  <c r="BN387" i="28"/>
  <c r="BG270" i="28"/>
  <c r="BD169" i="28"/>
  <c r="BF446" i="28"/>
  <c r="BJ738" i="28"/>
  <c r="BE167" i="28"/>
  <c r="BC265" i="28"/>
  <c r="BJ379" i="28"/>
  <c r="BD261" i="28"/>
  <c r="BL160" i="28"/>
  <c r="BD315" i="28"/>
  <c r="BF494" i="28"/>
  <c r="BH336" i="28"/>
  <c r="BG215" i="28"/>
  <c r="BK252" i="28"/>
  <c r="BM418" i="28"/>
  <c r="BH179" i="28"/>
  <c r="BI383" i="28"/>
  <c r="BJ321" i="28"/>
  <c r="BE198" i="28"/>
  <c r="BJ701" i="28"/>
  <c r="BG454" i="28"/>
  <c r="BD757" i="28"/>
  <c r="BE646" i="28"/>
  <c r="BF700" i="28"/>
  <c r="BH649" i="28"/>
  <c r="BG760" i="28"/>
  <c r="BK414" i="28"/>
  <c r="BC250" i="28"/>
  <c r="BJ240" i="28"/>
  <c r="BC190" i="28"/>
  <c r="BE416" i="28"/>
  <c r="BL355" i="28"/>
  <c r="BC245" i="28"/>
  <c r="BN434" i="28"/>
  <c r="BC392" i="28"/>
  <c r="BC156" i="28"/>
  <c r="BH668" i="28"/>
  <c r="BF777" i="28"/>
  <c r="BE659" i="28"/>
  <c r="BI454" i="28"/>
  <c r="BL709" i="28"/>
  <c r="BJ659" i="28"/>
  <c r="BI765" i="28"/>
  <c r="BE672" i="28"/>
  <c r="BL469" i="28"/>
  <c r="BN501" i="28"/>
  <c r="BL366" i="28"/>
  <c r="BF248" i="28"/>
  <c r="BK233" i="28"/>
  <c r="BM778" i="28"/>
  <c r="BM419" i="28"/>
  <c r="BE255" i="28"/>
  <c r="BJ243" i="28"/>
  <c r="BE195" i="28"/>
  <c r="BG410" i="28"/>
  <c r="BL292" i="28"/>
  <c r="BI282" i="28"/>
  <c r="BL694" i="28"/>
  <c r="BG446" i="28"/>
  <c r="BL749" i="28"/>
  <c r="BE638" i="28"/>
  <c r="BD460" i="28"/>
  <c r="BH693" i="28"/>
  <c r="BJ642" i="28"/>
  <c r="BJ751" i="28"/>
  <c r="BL407" i="28"/>
  <c r="BN769" i="28"/>
  <c r="BF680" i="28"/>
  <c r="BI446" i="28"/>
  <c r="BN702" i="28"/>
  <c r="BF783" i="28"/>
  <c r="BE664" i="28"/>
  <c r="BN462" i="28"/>
  <c r="BC502" i="28"/>
  <c r="BN359" i="28"/>
  <c r="BD347" i="28"/>
  <c r="BK225" i="28"/>
  <c r="BI749" i="28"/>
  <c r="BE247" i="28"/>
  <c r="BE187" i="28"/>
  <c r="BJ402" i="28"/>
  <c r="BN285" i="28"/>
  <c r="BI274" i="28"/>
  <c r="BI229" i="28"/>
  <c r="BD429" i="28"/>
  <c r="BI203" i="28"/>
  <c r="BI258" i="28"/>
  <c r="BG354" i="28"/>
  <c r="BI411" i="28"/>
  <c r="BJ277" i="28"/>
  <c r="BM264" i="28"/>
  <c r="BM219" i="28"/>
  <c r="BF161" i="28"/>
  <c r="BF303" i="28"/>
  <c r="BM238" i="28"/>
  <c r="BE293" i="28"/>
  <c r="BM390" i="28"/>
  <c r="BI324" i="28"/>
  <c r="BN216" i="28"/>
  <c r="BI162" i="28"/>
  <c r="BL221" i="28"/>
  <c r="BN357" i="28"/>
  <c r="BH343" i="28"/>
  <c r="BG223" i="28"/>
  <c r="BC290" i="28"/>
  <c r="BM354" i="28"/>
  <c r="BN200" i="28"/>
  <c r="BH306" i="28"/>
  <c r="BE372" i="28"/>
  <c r="BG164" i="28"/>
  <c r="BM784" i="28"/>
  <c r="AT82" i="28"/>
  <c r="AT522" i="28"/>
  <c r="AT288" i="28"/>
  <c r="AT746" i="28"/>
  <c r="AT28" i="28"/>
  <c r="AV410" i="28"/>
  <c r="AV393" i="28"/>
  <c r="AV397" i="28"/>
  <c r="AV411" i="28"/>
  <c r="AW393" i="28"/>
  <c r="AV321" i="28"/>
  <c r="AV417" i="28"/>
  <c r="AV405" i="28"/>
  <c r="AV329" i="28"/>
  <c r="AW325" i="28"/>
  <c r="AV338" i="28"/>
  <c r="AV401" i="28"/>
  <c r="AV323" i="28"/>
  <c r="AV394" i="28"/>
  <c r="AV409" i="28"/>
  <c r="AV398" i="28"/>
  <c r="AV325" i="28"/>
  <c r="AV402" i="28"/>
  <c r="AV340" i="28"/>
  <c r="AV407" i="28"/>
  <c r="AW414" i="28"/>
  <c r="AV403" i="28"/>
  <c r="AV391" i="28"/>
  <c r="AV415" i="28"/>
  <c r="AV334" i="28"/>
  <c r="AV414" i="28"/>
  <c r="AV406" i="28"/>
  <c r="AV395" i="28"/>
  <c r="AV331" i="28"/>
  <c r="AW331" i="28"/>
  <c r="AV399" i="28"/>
  <c r="AW409" i="28"/>
  <c r="AV418" i="28"/>
  <c r="AV413" i="28"/>
  <c r="AF172" i="14"/>
  <c r="AG171" i="14"/>
  <c r="AG170" i="14"/>
  <c r="AG172" i="14"/>
  <c r="AF170" i="14"/>
  <c r="AF171" i="14"/>
  <c r="B207" i="14"/>
  <c r="BH207" i="14" s="1"/>
  <c r="Q212" i="14"/>
  <c r="S212" i="14"/>
  <c r="G207" i="14"/>
  <c r="K211" i="14"/>
  <c r="F207" i="14"/>
  <c r="L216" i="14"/>
  <c r="K208" i="14"/>
  <c r="T214" i="14"/>
  <c r="S206" i="14"/>
  <c r="B208" i="14"/>
  <c r="BH208" i="14" s="1"/>
  <c r="T211" i="14"/>
  <c r="L210" i="14"/>
  <c r="T208" i="14"/>
  <c r="L207" i="14"/>
  <c r="E214" i="14"/>
  <c r="BI214" i="14" s="1"/>
  <c r="D207" i="14"/>
  <c r="I214" i="14"/>
  <c r="K214" i="14"/>
  <c r="E208" i="14"/>
  <c r="BI208" i="14" s="1"/>
  <c r="N214" i="14"/>
  <c r="R215" i="14"/>
  <c r="J214" i="14"/>
  <c r="Q210" i="14"/>
  <c r="C215" i="14"/>
  <c r="N210" i="14"/>
  <c r="S215" i="14"/>
  <c r="G210" i="14"/>
  <c r="E211" i="14"/>
  <c r="BI211" i="14" s="1"/>
  <c r="D214" i="14"/>
  <c r="C206" i="14"/>
  <c r="T215" i="14"/>
  <c r="L214" i="14"/>
  <c r="D211" i="14"/>
  <c r="T212" i="14"/>
  <c r="L211" i="14"/>
  <c r="D208" i="14"/>
  <c r="M208" i="14"/>
  <c r="L208" i="14"/>
  <c r="T206" i="14"/>
  <c r="R206" i="14"/>
  <c r="E212" i="14"/>
  <c r="BI212" i="14" s="1"/>
  <c r="Q207" i="14"/>
  <c r="N215" i="14"/>
  <c r="F214" i="14"/>
  <c r="E206" i="14"/>
  <c r="BI206" i="14" s="1"/>
  <c r="R211" i="14"/>
  <c r="J210" i="14"/>
  <c r="C214" i="14"/>
  <c r="N208" i="14"/>
  <c r="G215" i="14"/>
  <c r="C211" i="14"/>
  <c r="N206" i="14"/>
  <c r="C212" i="14"/>
  <c r="I206" i="14"/>
  <c r="P215" i="14"/>
  <c r="G206" i="14"/>
  <c r="H214" i="14"/>
  <c r="R210" i="14"/>
  <c r="P212" i="14"/>
  <c r="H211" i="14"/>
  <c r="H208" i="14"/>
  <c r="M215" i="14"/>
  <c r="P206" i="14"/>
  <c r="E215" i="14"/>
  <c r="BI215" i="14" s="1"/>
  <c r="G212" i="14"/>
  <c r="C208" i="14"/>
  <c r="R216" i="14"/>
  <c r="J215" i="14"/>
  <c r="Q216" i="14"/>
  <c r="B214" i="14"/>
  <c r="BH214" i="14" s="1"/>
  <c r="M206" i="14"/>
  <c r="N216" i="14"/>
  <c r="F215" i="14"/>
  <c r="N211" i="14"/>
  <c r="R212" i="14"/>
  <c r="J211" i="14"/>
  <c r="K216" i="14"/>
  <c r="B210" i="14"/>
  <c r="BH210" i="14" s="1"/>
  <c r="S214" i="14"/>
  <c r="K210" i="14"/>
  <c r="T216" i="14"/>
  <c r="S208" i="14"/>
  <c r="L215" i="14"/>
  <c r="K207" i="14"/>
  <c r="P216" i="14"/>
  <c r="E216" i="14"/>
  <c r="BI216" i="14" s="1"/>
  <c r="H215" i="14"/>
  <c r="L212" i="14"/>
  <c r="T210" i="14"/>
  <c r="H212" i="14"/>
  <c r="P210" i="14"/>
  <c r="T207" i="14"/>
  <c r="L206" i="14"/>
  <c r="P207" i="14"/>
  <c r="M216" i="14"/>
  <c r="H206" i="14"/>
  <c r="M212" i="14"/>
  <c r="S211" i="14"/>
  <c r="F206" i="14"/>
  <c r="M210" i="14"/>
  <c r="J216" i="14"/>
  <c r="B215" i="14"/>
  <c r="BH215" i="14" s="1"/>
  <c r="M207" i="14"/>
  <c r="N212" i="14"/>
  <c r="S216" i="14"/>
  <c r="F211" i="14"/>
  <c r="K215" i="14"/>
  <c r="R208" i="14"/>
  <c r="C216" i="14"/>
  <c r="K212" i="14"/>
  <c r="J207" i="14"/>
  <c r="S210" i="14"/>
  <c r="N207" i="14"/>
  <c r="C210" i="14"/>
  <c r="K206" i="14"/>
  <c r="C207" i="14"/>
  <c r="D215" i="14"/>
  <c r="F210" i="14"/>
  <c r="D212" i="14"/>
  <c r="I216" i="14"/>
  <c r="I212" i="14"/>
  <c r="Q214" i="14"/>
  <c r="D206" i="14"/>
  <c r="S207" i="14"/>
  <c r="I210" i="14"/>
  <c r="F216" i="14"/>
  <c r="Q208" i="14"/>
  <c r="R207" i="14"/>
  <c r="I207" i="14"/>
  <c r="M211" i="14"/>
  <c r="B216" i="14"/>
  <c r="BH216" i="14" s="1"/>
  <c r="J212" i="14"/>
  <c r="B211" i="14"/>
  <c r="BH211" i="14" s="1"/>
  <c r="F212" i="14"/>
  <c r="G214" i="14"/>
  <c r="J208" i="14"/>
  <c r="B206" i="14"/>
  <c r="BH206" i="14" s="1"/>
  <c r="Q211" i="14"/>
  <c r="H216" i="14"/>
  <c r="G208" i="14"/>
  <c r="P214" i="14"/>
  <c r="J206" i="14"/>
  <c r="E210" i="14"/>
  <c r="BI210" i="14" s="1"/>
  <c r="D216" i="14"/>
  <c r="P211" i="14"/>
  <c r="H210" i="14"/>
  <c r="P208" i="14"/>
  <c r="H207" i="14"/>
  <c r="D210" i="14"/>
  <c r="Q215" i="14"/>
  <c r="G211" i="14"/>
  <c r="I215" i="14"/>
  <c r="I211" i="14"/>
  <c r="I208" i="14"/>
  <c r="R214" i="14"/>
  <c r="Q206" i="14"/>
  <c r="E207" i="14"/>
  <c r="BI207" i="14" s="1"/>
  <c r="B212" i="14"/>
  <c r="BH212" i="14" s="1"/>
  <c r="G216" i="14"/>
  <c r="F208" i="14"/>
  <c r="M214" i="14"/>
  <c r="AT144" i="28"/>
  <c r="AT585" i="28"/>
  <c r="F203" i="14"/>
  <c r="AG204" i="14"/>
  <c r="D204" i="14"/>
  <c r="Q204" i="14"/>
  <c r="E204" i="14"/>
  <c r="BI204" i="14" s="1"/>
  <c r="K205" i="14"/>
  <c r="Q203" i="14"/>
  <c r="H205" i="14"/>
  <c r="B203" i="14"/>
  <c r="BH203" i="14" s="1"/>
  <c r="L205" i="14"/>
  <c r="B205" i="14"/>
  <c r="BH205" i="14" s="1"/>
  <c r="D203" i="14"/>
  <c r="F204" i="14"/>
  <c r="C204" i="14"/>
  <c r="J203" i="14"/>
  <c r="AF201" i="14"/>
  <c r="AG202" i="14"/>
  <c r="AF202" i="14"/>
  <c r="P203" i="14"/>
  <c r="J204" i="14"/>
  <c r="P205" i="14"/>
  <c r="M203" i="14"/>
  <c r="Q205" i="14"/>
  <c r="AF200" i="14"/>
  <c r="T204" i="14"/>
  <c r="G203" i="14"/>
  <c r="M204" i="14"/>
  <c r="I203" i="14"/>
  <c r="N205" i="14"/>
  <c r="S203" i="14"/>
  <c r="G205" i="14"/>
  <c r="R205" i="14"/>
  <c r="L203" i="14"/>
  <c r="AG201" i="14"/>
  <c r="M205" i="14"/>
  <c r="K203" i="14"/>
  <c r="AG205" i="14"/>
  <c r="T205" i="14"/>
  <c r="G204" i="14"/>
  <c r="N204" i="14"/>
  <c r="E203" i="14"/>
  <c r="BI203" i="14" s="1"/>
  <c r="AG200" i="14"/>
  <c r="C203" i="14"/>
  <c r="B204" i="14"/>
  <c r="BH204" i="14" s="1"/>
  <c r="F205" i="14"/>
  <c r="I205" i="14"/>
  <c r="H204" i="14"/>
  <c r="AG203" i="14"/>
  <c r="I204" i="14"/>
  <c r="S205" i="14"/>
  <c r="R203" i="14"/>
  <c r="D205" i="14"/>
  <c r="R204" i="14"/>
  <c r="L204" i="14"/>
  <c r="S204" i="14"/>
  <c r="K204" i="14"/>
  <c r="AF203" i="14"/>
  <c r="T203" i="14"/>
  <c r="P204" i="14"/>
  <c r="AF205" i="14"/>
  <c r="H203" i="14"/>
  <c r="J205" i="14"/>
  <c r="E205" i="14"/>
  <c r="BI205" i="14" s="1"/>
  <c r="C205" i="14"/>
  <c r="N203" i="14"/>
  <c r="AF204" i="14"/>
  <c r="J179" i="14"/>
  <c r="E174" i="14"/>
  <c r="BI174" i="14" s="1"/>
  <c r="R183" i="14"/>
  <c r="H177" i="14"/>
  <c r="C192" i="14"/>
  <c r="B183" i="14"/>
  <c r="BH183" i="14" s="1"/>
  <c r="B188" i="14"/>
  <c r="BH188" i="14" s="1"/>
  <c r="K179" i="14"/>
  <c r="J187" i="14"/>
  <c r="I189" i="14"/>
  <c r="K189" i="14"/>
  <c r="M186" i="14"/>
  <c r="K190" i="14"/>
  <c r="S189" i="14"/>
  <c r="C183" i="14"/>
  <c r="L187" i="14"/>
  <c r="H185" i="14"/>
  <c r="M177" i="14"/>
  <c r="R182" i="14"/>
  <c r="AG197" i="14"/>
  <c r="C187" i="14"/>
  <c r="H187" i="14"/>
  <c r="Q190" i="14"/>
  <c r="P177" i="14"/>
  <c r="J189" i="14"/>
  <c r="P178" i="14"/>
  <c r="AG189" i="14"/>
  <c r="K174" i="14"/>
  <c r="H188" i="14"/>
  <c r="D174" i="14"/>
  <c r="S179" i="14"/>
  <c r="M185" i="14"/>
  <c r="N189" i="14"/>
  <c r="AF194" i="14"/>
  <c r="C186" i="14"/>
  <c r="H184" i="14"/>
  <c r="E185" i="14"/>
  <c r="BI185" i="14" s="1"/>
  <c r="Q174" i="14"/>
  <c r="M174" i="14"/>
  <c r="T185" i="14"/>
  <c r="B179" i="14"/>
  <c r="BH179" i="14" s="1"/>
  <c r="R188" i="14"/>
  <c r="B181" i="14"/>
  <c r="BH181" i="14" s="1"/>
  <c r="S184" i="14"/>
  <c r="D180" i="14"/>
  <c r="F177" i="14"/>
  <c r="AF175" i="14"/>
  <c r="AF186" i="14"/>
  <c r="AG186" i="14"/>
  <c r="S174" i="14"/>
  <c r="S190" i="14"/>
  <c r="L191" i="14"/>
  <c r="S188" i="14"/>
  <c r="M180" i="14"/>
  <c r="I181" i="14"/>
  <c r="Q183" i="14"/>
  <c r="P192" i="14"/>
  <c r="E190" i="14"/>
  <c r="BI190" i="14" s="1"/>
  <c r="AF179" i="14"/>
  <c r="T188" i="14"/>
  <c r="S192" i="14"/>
  <c r="M190" i="14"/>
  <c r="G182" i="14"/>
  <c r="G183" i="14"/>
  <c r="F189" i="14"/>
  <c r="T189" i="14"/>
  <c r="B190" i="14"/>
  <c r="BH190" i="14" s="1"/>
  <c r="L178" i="14"/>
  <c r="K183" i="14"/>
  <c r="AG177" i="14"/>
  <c r="S182" i="14"/>
  <c r="K184" i="14"/>
  <c r="E180" i="14"/>
  <c r="BI180" i="14" s="1"/>
  <c r="E186" i="14"/>
  <c r="BI186" i="14" s="1"/>
  <c r="P180" i="14"/>
  <c r="H182" i="14"/>
  <c r="S186" i="14"/>
  <c r="AF196" i="14"/>
  <c r="E184" i="14"/>
  <c r="BI184" i="14" s="1"/>
  <c r="F179" i="14"/>
  <c r="AF197" i="14"/>
  <c r="G192" i="14"/>
  <c r="R192" i="14"/>
  <c r="G177" i="14"/>
  <c r="D192" i="14"/>
  <c r="J184" i="14"/>
  <c r="E178" i="14"/>
  <c r="BI178" i="14" s="1"/>
  <c r="G191" i="14"/>
  <c r="I177" i="14"/>
  <c r="E191" i="14"/>
  <c r="BI191" i="14" s="1"/>
  <c r="L181" i="14"/>
  <c r="J191" i="14"/>
  <c r="S177" i="14"/>
  <c r="R187" i="14"/>
  <c r="R189" i="14"/>
  <c r="N179" i="14"/>
  <c r="R185" i="14"/>
  <c r="AG181" i="14"/>
  <c r="AF185" i="14"/>
  <c r="D181" i="14"/>
  <c r="AG194" i="14"/>
  <c r="K182" i="14"/>
  <c r="B184" i="14"/>
  <c r="BH184" i="14" s="1"/>
  <c r="D184" i="14"/>
  <c r="D188" i="14"/>
  <c r="B177" i="14"/>
  <c r="BH177" i="14" s="1"/>
  <c r="D178" i="14"/>
  <c r="F178" i="14"/>
  <c r="J177" i="14"/>
  <c r="AG198" i="14"/>
  <c r="B182" i="14"/>
  <c r="BH182" i="14" s="1"/>
  <c r="AG187" i="14"/>
  <c r="T192" i="14"/>
  <c r="D179" i="14"/>
  <c r="D190" i="14"/>
  <c r="T178" i="14"/>
  <c r="C180" i="14"/>
  <c r="AG185" i="14"/>
  <c r="P191" i="14"/>
  <c r="AG192" i="14"/>
  <c r="AG191" i="14"/>
  <c r="AF199" i="14"/>
  <c r="S178" i="14"/>
  <c r="AF188" i="14"/>
  <c r="L185" i="14"/>
  <c r="K178" i="14"/>
  <c r="AG176" i="14"/>
  <c r="C179" i="14"/>
  <c r="B187" i="14"/>
  <c r="BH187" i="14" s="1"/>
  <c r="I174" i="14"/>
  <c r="AG199" i="14"/>
  <c r="M181" i="14"/>
  <c r="L174" i="14"/>
  <c r="P184" i="14"/>
  <c r="K188" i="14"/>
  <c r="M182" i="14"/>
  <c r="E177" i="14"/>
  <c r="BI177" i="14" s="1"/>
  <c r="AF178" i="14"/>
  <c r="K185" i="14"/>
  <c r="Q179" i="14"/>
  <c r="Q181" i="14"/>
  <c r="L184" i="14"/>
  <c r="H190" i="14"/>
  <c r="P183" i="14"/>
  <c r="F190" i="14"/>
  <c r="AG193" i="14"/>
  <c r="AF189" i="14"/>
  <c r="G189" i="14"/>
  <c r="AF177" i="14"/>
  <c r="M184" i="14"/>
  <c r="K186" i="14"/>
  <c r="AF181" i="14"/>
  <c r="I191" i="14"/>
  <c r="R186" i="14"/>
  <c r="Q182" i="14"/>
  <c r="L190" i="14"/>
  <c r="F188" i="14"/>
  <c r="R177" i="14"/>
  <c r="C178" i="14"/>
  <c r="K181" i="14"/>
  <c r="M183" i="14"/>
  <c r="D177" i="14"/>
  <c r="H179" i="14"/>
  <c r="I183" i="14"/>
  <c r="B178" i="14"/>
  <c r="BH178" i="14" s="1"/>
  <c r="B191" i="14"/>
  <c r="BH191" i="14" s="1"/>
  <c r="N191" i="14"/>
  <c r="S183" i="14"/>
  <c r="G184" i="14"/>
  <c r="B189" i="14"/>
  <c r="BH189" i="14" s="1"/>
  <c r="AG183" i="14"/>
  <c r="I186" i="14"/>
  <c r="N178" i="14"/>
  <c r="I187" i="14"/>
  <c r="Q184" i="14"/>
  <c r="S187" i="14"/>
  <c r="AF190" i="14"/>
  <c r="AG180" i="14"/>
  <c r="H174" i="14"/>
  <c r="J190" i="14"/>
  <c r="F180" i="14"/>
  <c r="L183" i="14"/>
  <c r="AG173" i="14"/>
  <c r="R190" i="14"/>
  <c r="N177" i="14"/>
  <c r="N192" i="14"/>
  <c r="Q178" i="14"/>
  <c r="AG196" i="14"/>
  <c r="L189" i="14"/>
  <c r="AF184" i="14"/>
  <c r="D185" i="14"/>
  <c r="F183" i="14"/>
  <c r="D186" i="14"/>
  <c r="AG174" i="14"/>
  <c r="B174" i="14"/>
  <c r="BH174" i="14" s="1"/>
  <c r="P186" i="14"/>
  <c r="AF180" i="14"/>
  <c r="E179" i="14"/>
  <c r="BI179" i="14" s="1"/>
  <c r="I192" i="14"/>
  <c r="S185" i="14"/>
  <c r="N181" i="14"/>
  <c r="Q180" i="14"/>
  <c r="B186" i="14"/>
  <c r="BH186" i="14" s="1"/>
  <c r="N187" i="14"/>
  <c r="AF193" i="14"/>
  <c r="E189" i="14"/>
  <c r="BI189" i="14" s="1"/>
  <c r="J178" i="14"/>
  <c r="F185" i="14"/>
  <c r="G187" i="14"/>
  <c r="T179" i="14"/>
  <c r="N184" i="14"/>
  <c r="N174" i="14"/>
  <c r="T186" i="14"/>
  <c r="K187" i="14"/>
  <c r="N180" i="14"/>
  <c r="AF173" i="14"/>
  <c r="P185" i="14"/>
  <c r="C189" i="14"/>
  <c r="N190" i="14"/>
  <c r="AF198" i="14"/>
  <c r="M191" i="14"/>
  <c r="Q185" i="14"/>
  <c r="C177" i="14"/>
  <c r="J183" i="14"/>
  <c r="R179" i="14"/>
  <c r="J188" i="14"/>
  <c r="B180" i="14"/>
  <c r="BH180" i="14" s="1"/>
  <c r="P181" i="14"/>
  <c r="T181" i="14"/>
  <c r="AF182" i="14"/>
  <c r="L180" i="14"/>
  <c r="N188" i="14"/>
  <c r="J174" i="14"/>
  <c r="K180" i="14"/>
  <c r="G185" i="14"/>
  <c r="K177" i="14"/>
  <c r="AG175" i="14"/>
  <c r="N186" i="14"/>
  <c r="F184" i="14"/>
  <c r="P179" i="14"/>
  <c r="F192" i="14"/>
  <c r="I184" i="14"/>
  <c r="E183" i="14"/>
  <c r="BI183" i="14" s="1"/>
  <c r="AG190" i="14"/>
  <c r="P174" i="14"/>
  <c r="AG195" i="14"/>
  <c r="C188" i="14"/>
  <c r="AF192" i="14"/>
  <c r="M188" i="14"/>
  <c r="M192" i="14"/>
  <c r="J186" i="14"/>
  <c r="P190" i="14"/>
  <c r="Q177" i="14"/>
  <c r="I178" i="14"/>
  <c r="I180" i="14"/>
  <c r="P182" i="14"/>
  <c r="M178" i="14"/>
  <c r="T177" i="14"/>
  <c r="AF174" i="14"/>
  <c r="T182" i="14"/>
  <c r="E192" i="14"/>
  <c r="BI192" i="14" s="1"/>
  <c r="P187" i="14"/>
  <c r="C184" i="14"/>
  <c r="AG178" i="14"/>
  <c r="C185" i="14"/>
  <c r="R178" i="14"/>
  <c r="G179" i="14"/>
  <c r="R181" i="14"/>
  <c r="AG184" i="14"/>
  <c r="G174" i="14"/>
  <c r="T191" i="14"/>
  <c r="H192" i="14"/>
  <c r="L177" i="14"/>
  <c r="G188" i="14"/>
  <c r="K192" i="14"/>
  <c r="E187" i="14"/>
  <c r="BI187" i="14" s="1"/>
  <c r="H180" i="14"/>
  <c r="I182" i="14"/>
  <c r="P189" i="14"/>
  <c r="P188" i="14"/>
  <c r="C182" i="14"/>
  <c r="E181" i="14"/>
  <c r="BI181" i="14" s="1"/>
  <c r="H178" i="14"/>
  <c r="C190" i="14"/>
  <c r="J192" i="14"/>
  <c r="E188" i="14"/>
  <c r="BI188" i="14" s="1"/>
  <c r="R191" i="14"/>
  <c r="D189" i="14"/>
  <c r="M187" i="14"/>
  <c r="G180" i="14"/>
  <c r="H186" i="14"/>
  <c r="C174" i="14"/>
  <c r="M179" i="14"/>
  <c r="H189" i="14"/>
  <c r="C181" i="14"/>
  <c r="H183" i="14"/>
  <c r="S181" i="14"/>
  <c r="J182" i="14"/>
  <c r="D182" i="14"/>
  <c r="T183" i="14"/>
  <c r="R180" i="14"/>
  <c r="F174" i="14"/>
  <c r="D191" i="14"/>
  <c r="E182" i="14"/>
  <c r="BI182" i="14" s="1"/>
  <c r="F182" i="14"/>
  <c r="G181" i="14"/>
  <c r="G178" i="14"/>
  <c r="F181" i="14"/>
  <c r="Q192" i="14"/>
  <c r="L192" i="14"/>
  <c r="N183" i="14"/>
  <c r="B192" i="14"/>
  <c r="BH192" i="14" s="1"/>
  <c r="Q186" i="14"/>
  <c r="I179" i="14"/>
  <c r="D183" i="14"/>
  <c r="I190" i="14"/>
  <c r="N182" i="14"/>
  <c r="L188" i="14"/>
  <c r="J181" i="14"/>
  <c r="S191" i="14"/>
  <c r="Q189" i="14"/>
  <c r="N185" i="14"/>
  <c r="AG179" i="14"/>
  <c r="T174" i="14"/>
  <c r="F191" i="14"/>
  <c r="AF183" i="14"/>
  <c r="AF195" i="14"/>
  <c r="Q188" i="14"/>
  <c r="AF176" i="14"/>
  <c r="I188" i="14"/>
  <c r="S180" i="14"/>
  <c r="H191" i="14"/>
  <c r="I185" i="14"/>
  <c r="T190" i="14"/>
  <c r="D187" i="14"/>
  <c r="J185" i="14"/>
  <c r="Q191" i="14"/>
  <c r="K191" i="14"/>
  <c r="G186" i="14"/>
  <c r="J180" i="14"/>
  <c r="T180" i="14"/>
  <c r="AG182" i="14"/>
  <c r="C191" i="14"/>
  <c r="B185" i="14"/>
  <c r="BH185" i="14" s="1"/>
  <c r="Q187" i="14"/>
  <c r="R174" i="14"/>
  <c r="L186" i="14"/>
  <c r="H181" i="14"/>
  <c r="M189" i="14"/>
  <c r="T187" i="14"/>
  <c r="L182" i="14"/>
  <c r="R184" i="14"/>
  <c r="AF187" i="14"/>
  <c r="F187" i="14"/>
  <c r="AG188" i="14"/>
  <c r="AF191" i="14"/>
  <c r="T184" i="14"/>
  <c r="G190" i="14"/>
  <c r="L179" i="14"/>
  <c r="F186" i="14"/>
  <c r="Z777" i="28"/>
  <c r="Z757" i="28"/>
  <c r="Z701" i="28"/>
  <c r="C15" i="29"/>
  <c r="O340" i="14" l="1"/>
  <c r="N73" i="19"/>
  <c r="CY125" i="7"/>
  <c r="N70" i="19"/>
  <c r="CY92" i="7"/>
  <c r="O345" i="14"/>
  <c r="CY35" i="7"/>
  <c r="O343" i="14"/>
  <c r="CY54" i="7"/>
  <c r="O339" i="14"/>
  <c r="CY22" i="7"/>
  <c r="O342" i="14"/>
  <c r="CY122" i="7"/>
  <c r="N63" i="19"/>
  <c r="O337" i="14"/>
  <c r="L95" i="20"/>
  <c r="AT56" i="7"/>
  <c r="Z470" i="28" s="1"/>
  <c r="CY116" i="7"/>
  <c r="O320" i="14"/>
  <c r="CY33" i="7"/>
  <c r="O321" i="14"/>
  <c r="CY118" i="7"/>
  <c r="O318" i="14"/>
  <c r="CY36" i="7"/>
  <c r="O322" i="14"/>
  <c r="CY63" i="7"/>
  <c r="O324" i="14"/>
  <c r="CY43" i="7"/>
  <c r="O319" i="14"/>
  <c r="CY62" i="7"/>
  <c r="O323" i="14"/>
  <c r="AT44" i="7"/>
  <c r="Z458" i="28" s="1"/>
  <c r="AT8" i="7"/>
  <c r="Z422" i="28" s="1"/>
  <c r="AT80" i="7"/>
  <c r="Z494" i="28" s="1"/>
  <c r="AT68" i="7"/>
  <c r="Z482" i="28" s="1"/>
  <c r="AT32" i="7"/>
  <c r="P224" i="18" s="1"/>
  <c r="AT24" i="7"/>
  <c r="Z438" i="28" s="1"/>
  <c r="AT20" i="7"/>
  <c r="P222" i="18" s="1"/>
  <c r="AT12" i="7"/>
  <c r="Z426" i="28" s="1"/>
  <c r="AT95" i="7"/>
  <c r="Z745" i="28" s="1"/>
  <c r="CY112" i="7"/>
  <c r="O294" i="14"/>
  <c r="O296" i="14"/>
  <c r="CY76" i="7"/>
  <c r="O293" i="14"/>
  <c r="CY111" i="7"/>
  <c r="O291" i="14"/>
  <c r="CY107" i="7"/>
  <c r="O295" i="14"/>
  <c r="CY78" i="7"/>
  <c r="O292" i="14"/>
  <c r="AT25" i="7"/>
  <c r="Z439" i="28" s="1"/>
  <c r="AS48" i="7"/>
  <c r="O228" i="18" s="1"/>
  <c r="AT72" i="7"/>
  <c r="Z486" i="28" s="1"/>
  <c r="AT48" i="7"/>
  <c r="Z462" i="28" s="1"/>
  <c r="AH50" i="14"/>
  <c r="AV50" i="14" s="1"/>
  <c r="AH61" i="14"/>
  <c r="AV61" i="14" s="1"/>
  <c r="AH4" i="14"/>
  <c r="AV4" i="14" s="1"/>
  <c r="BR9" i="7"/>
  <c r="BR21" i="7"/>
  <c r="BR33" i="7"/>
  <c r="BR45" i="7"/>
  <c r="BR57" i="7"/>
  <c r="BR69" i="7"/>
  <c r="BR81" i="7"/>
  <c r="BR93" i="7"/>
  <c r="BQ7" i="7"/>
  <c r="BQ19" i="7"/>
  <c r="BQ31" i="7"/>
  <c r="BQ43" i="7"/>
  <c r="BQ55" i="7"/>
  <c r="BQ67" i="7"/>
  <c r="BQ79" i="7"/>
  <c r="BQ91" i="7"/>
  <c r="BP5" i="7"/>
  <c r="BP17" i="7"/>
  <c r="W14" i="14" s="1"/>
  <c r="BP29" i="7"/>
  <c r="W26" i="14" s="1"/>
  <c r="BP41" i="7"/>
  <c r="W38" i="14" s="1"/>
  <c r="BP53" i="7"/>
  <c r="W50" i="14" s="1"/>
  <c r="BP65" i="7"/>
  <c r="BP77" i="7"/>
  <c r="BP89" i="7"/>
  <c r="W86" i="14" s="1"/>
  <c r="BP131" i="7"/>
  <c r="BR32" i="7"/>
  <c r="BQ66" i="7"/>
  <c r="BR10" i="7"/>
  <c r="BR22" i="7"/>
  <c r="BR34" i="7"/>
  <c r="BR46" i="7"/>
  <c r="BR58" i="7"/>
  <c r="BR70" i="7"/>
  <c r="BR82" i="7"/>
  <c r="BR94" i="7"/>
  <c r="BQ8" i="7"/>
  <c r="BQ20" i="7"/>
  <c r="BQ32" i="7"/>
  <c r="BQ44" i="7"/>
  <c r="BQ56" i="7"/>
  <c r="BQ68" i="7"/>
  <c r="BQ80" i="7"/>
  <c r="BQ92" i="7"/>
  <c r="BP6" i="7"/>
  <c r="W88" i="14" s="1"/>
  <c r="BP18" i="7"/>
  <c r="W15" i="14" s="1"/>
  <c r="BP30" i="7"/>
  <c r="BP42" i="7"/>
  <c r="W39" i="14" s="1"/>
  <c r="BP54" i="7"/>
  <c r="BP66" i="7"/>
  <c r="W63" i="14" s="1"/>
  <c r="BP78" i="7"/>
  <c r="W292" i="14" s="1"/>
  <c r="BP90" i="7"/>
  <c r="W270" i="14" s="1"/>
  <c r="BP132" i="7"/>
  <c r="BQ18" i="7"/>
  <c r="BP40" i="7"/>
  <c r="W37" i="14" s="1"/>
  <c r="BR11" i="7"/>
  <c r="BR23" i="7"/>
  <c r="BR35" i="7"/>
  <c r="BR47" i="7"/>
  <c r="BR59" i="7"/>
  <c r="BR71" i="7"/>
  <c r="BR83" i="7"/>
  <c r="BR95" i="7"/>
  <c r="BQ9" i="7"/>
  <c r="BQ21" i="7"/>
  <c r="BQ33" i="7"/>
  <c r="BQ45" i="7"/>
  <c r="BQ57" i="7"/>
  <c r="BQ69" i="7"/>
  <c r="BQ81" i="7"/>
  <c r="BQ93" i="7"/>
  <c r="BP7" i="7"/>
  <c r="BP19" i="7"/>
  <c r="W16" i="14" s="1"/>
  <c r="BP31" i="7"/>
  <c r="W159" i="14" s="1"/>
  <c r="BP43" i="7"/>
  <c r="BP55" i="7"/>
  <c r="W52" i="14" s="1"/>
  <c r="BP67" i="7"/>
  <c r="W64" i="14" s="1"/>
  <c r="BP79" i="7"/>
  <c r="BP91" i="7"/>
  <c r="W113" i="14" s="1"/>
  <c r="BR68" i="7"/>
  <c r="BQ90" i="7"/>
  <c r="BR12" i="7"/>
  <c r="BR24" i="7"/>
  <c r="BR36" i="7"/>
  <c r="BR48" i="7"/>
  <c r="BR60" i="7"/>
  <c r="BR72" i="7"/>
  <c r="BR84" i="7"/>
  <c r="BR126" i="7"/>
  <c r="BQ10" i="7"/>
  <c r="BQ22" i="7"/>
  <c r="BQ34" i="7"/>
  <c r="BQ46" i="7"/>
  <c r="BQ58" i="7"/>
  <c r="BQ70" i="7"/>
  <c r="BQ82" i="7"/>
  <c r="BQ94" i="7"/>
  <c r="BP8" i="7"/>
  <c r="W5" i="14" s="1"/>
  <c r="BP20" i="7"/>
  <c r="W177" i="14" s="1"/>
  <c r="BP32" i="7"/>
  <c r="W29" i="14" s="1"/>
  <c r="BP44" i="7"/>
  <c r="W41" i="14" s="1"/>
  <c r="BP56" i="7"/>
  <c r="W119" i="14" s="1"/>
  <c r="BP68" i="7"/>
  <c r="W65" i="14" s="1"/>
  <c r="BP80" i="7"/>
  <c r="W77" i="14" s="1"/>
  <c r="BP92" i="7"/>
  <c r="BR20" i="7"/>
  <c r="BQ42" i="7"/>
  <c r="BP76" i="7"/>
  <c r="BR13" i="7"/>
  <c r="BR25" i="7"/>
  <c r="BR37" i="7"/>
  <c r="BR49" i="7"/>
  <c r="BR61" i="7"/>
  <c r="BR73" i="7"/>
  <c r="BR85" i="7"/>
  <c r="BR127" i="7"/>
  <c r="BQ11" i="7"/>
  <c r="BQ23" i="7"/>
  <c r="BQ35" i="7"/>
  <c r="BQ47" i="7"/>
  <c r="BQ59" i="7"/>
  <c r="BQ71" i="7"/>
  <c r="BQ83" i="7"/>
  <c r="BQ95" i="7"/>
  <c r="BP9" i="7"/>
  <c r="BP21" i="7"/>
  <c r="W18" i="14" s="1"/>
  <c r="BP33" i="7"/>
  <c r="BP45" i="7"/>
  <c r="W42" i="14" s="1"/>
  <c r="BP57" i="7"/>
  <c r="W54" i="14" s="1"/>
  <c r="BP69" i="7"/>
  <c r="BP81" i="7"/>
  <c r="W78" i="14" s="1"/>
  <c r="BP93" i="7"/>
  <c r="W115" i="14" s="1"/>
  <c r="BR56" i="7"/>
  <c r="BQ54" i="7"/>
  <c r="BP88" i="7"/>
  <c r="W85" i="14" s="1"/>
  <c r="BR14" i="7"/>
  <c r="BR26" i="7"/>
  <c r="BR38" i="7"/>
  <c r="BR50" i="7"/>
  <c r="BR62" i="7"/>
  <c r="BR74" i="7"/>
  <c r="BR86" i="7"/>
  <c r="BR128" i="7"/>
  <c r="BQ12" i="7"/>
  <c r="BQ24" i="7"/>
  <c r="BQ36" i="7"/>
  <c r="BQ48" i="7"/>
  <c r="BQ60" i="7"/>
  <c r="BQ72" i="7"/>
  <c r="BQ84" i="7"/>
  <c r="BQ126" i="7"/>
  <c r="BP10" i="7"/>
  <c r="BP22" i="7"/>
  <c r="BP34" i="7"/>
  <c r="W179" i="14" s="1"/>
  <c r="BP46" i="7"/>
  <c r="W190" i="14" s="1"/>
  <c r="BP58" i="7"/>
  <c r="BP70" i="7"/>
  <c r="BP82" i="7"/>
  <c r="W335" i="14" s="1"/>
  <c r="BP94" i="7"/>
  <c r="W117" i="14" s="1"/>
  <c r="BQ30" i="7"/>
  <c r="BP64" i="7"/>
  <c r="BR15" i="7"/>
  <c r="BR27" i="7"/>
  <c r="BR39" i="7"/>
  <c r="BR51" i="7"/>
  <c r="BR63" i="7"/>
  <c r="BR75" i="7"/>
  <c r="BR87" i="7"/>
  <c r="BR129" i="7"/>
  <c r="BQ13" i="7"/>
  <c r="BQ25" i="7"/>
  <c r="BQ37" i="7"/>
  <c r="BQ49" i="7"/>
  <c r="BQ61" i="7"/>
  <c r="BQ73" i="7"/>
  <c r="BQ85" i="7"/>
  <c r="BQ127" i="7"/>
  <c r="BP11" i="7"/>
  <c r="BP23" i="7"/>
  <c r="BP35" i="7"/>
  <c r="BP47" i="7"/>
  <c r="W127" i="14" s="1"/>
  <c r="BP59" i="7"/>
  <c r="W56" i="14" s="1"/>
  <c r="BP71" i="7"/>
  <c r="W206" i="14" s="1"/>
  <c r="BP83" i="7"/>
  <c r="W80" i="14" s="1"/>
  <c r="BP95" i="7"/>
  <c r="BR8" i="7"/>
  <c r="BQ78" i="7"/>
  <c r="BR16" i="7"/>
  <c r="BR28" i="7"/>
  <c r="BR40" i="7"/>
  <c r="BR52" i="7"/>
  <c r="BR64" i="7"/>
  <c r="BR76" i="7"/>
  <c r="BR88" i="7"/>
  <c r="BR130" i="7"/>
  <c r="BQ14" i="7"/>
  <c r="BQ26" i="7"/>
  <c r="BQ38" i="7"/>
  <c r="BQ50" i="7"/>
  <c r="BQ62" i="7"/>
  <c r="BQ74" i="7"/>
  <c r="BQ86" i="7"/>
  <c r="BQ128" i="7"/>
  <c r="BP12" i="7"/>
  <c r="W9" i="14" s="1"/>
  <c r="BP24" i="7"/>
  <c r="W21" i="14" s="1"/>
  <c r="BP36" i="7"/>
  <c r="BP48" i="7"/>
  <c r="W45" i="14" s="1"/>
  <c r="BP60" i="7"/>
  <c r="W57" i="14" s="1"/>
  <c r="BP72" i="7"/>
  <c r="W69" i="14" s="1"/>
  <c r="BP84" i="7"/>
  <c r="W81" i="14" s="1"/>
  <c r="BP126" i="7"/>
  <c r="BQ6" i="7"/>
  <c r="BP52" i="7"/>
  <c r="W49" i="14" s="1"/>
  <c r="BR5" i="7"/>
  <c r="BR17" i="7"/>
  <c r="BR29" i="7"/>
  <c r="BR41" i="7"/>
  <c r="BR53" i="7"/>
  <c r="BR65" i="7"/>
  <c r="BR77" i="7"/>
  <c r="BR89" i="7"/>
  <c r="BR131" i="7"/>
  <c r="BQ15" i="7"/>
  <c r="BQ27" i="7"/>
  <c r="BQ39" i="7"/>
  <c r="BQ51" i="7"/>
  <c r="BQ63" i="7"/>
  <c r="BQ75" i="7"/>
  <c r="BQ87" i="7"/>
  <c r="BQ129" i="7"/>
  <c r="BP13" i="7"/>
  <c r="W10" i="14" s="1"/>
  <c r="BP25" i="7"/>
  <c r="W22" i="14" s="1"/>
  <c r="BP37" i="7"/>
  <c r="W180" i="14" s="1"/>
  <c r="BP49" i="7"/>
  <c r="BP61" i="7"/>
  <c r="W58" i="14" s="1"/>
  <c r="BP73" i="7"/>
  <c r="BP85" i="7"/>
  <c r="W82" i="14" s="1"/>
  <c r="BP127" i="7"/>
  <c r="BR44" i="7"/>
  <c r="BQ132" i="7"/>
  <c r="BP130" i="7"/>
  <c r="BR6" i="7"/>
  <c r="BR18" i="7"/>
  <c r="BR30" i="7"/>
  <c r="BR42" i="7"/>
  <c r="BR54" i="7"/>
  <c r="BR66" i="7"/>
  <c r="BR78" i="7"/>
  <c r="BR90" i="7"/>
  <c r="BR132" i="7"/>
  <c r="BQ16" i="7"/>
  <c r="BQ28" i="7"/>
  <c r="BQ40" i="7"/>
  <c r="BQ52" i="7"/>
  <c r="BQ64" i="7"/>
  <c r="BQ76" i="7"/>
  <c r="BQ88" i="7"/>
  <c r="BQ130" i="7"/>
  <c r="BP14" i="7"/>
  <c r="BP26" i="7"/>
  <c r="BP38" i="7"/>
  <c r="W35" i="14" s="1"/>
  <c r="BP50" i="7"/>
  <c r="W47" i="14" s="1"/>
  <c r="BP62" i="7"/>
  <c r="BP74" i="7"/>
  <c r="W71" i="14" s="1"/>
  <c r="BP86" i="7"/>
  <c r="W83" i="14" s="1"/>
  <c r="BP128" i="7"/>
  <c r="W317" i="14" s="1"/>
  <c r="BR92" i="7"/>
  <c r="BP28" i="7"/>
  <c r="BR7" i="7"/>
  <c r="BR19" i="7"/>
  <c r="BR31" i="7"/>
  <c r="BR43" i="7"/>
  <c r="BR55" i="7"/>
  <c r="BR67" i="7"/>
  <c r="BR79" i="7"/>
  <c r="BR91" i="7"/>
  <c r="BQ5" i="7"/>
  <c r="BQ17" i="7"/>
  <c r="BQ29" i="7"/>
  <c r="BQ41" i="7"/>
  <c r="BQ53" i="7"/>
  <c r="BQ65" i="7"/>
  <c r="BQ77" i="7"/>
  <c r="BQ89" i="7"/>
  <c r="BQ131" i="7"/>
  <c r="BP15" i="7"/>
  <c r="W97" i="14" s="1"/>
  <c r="BP27" i="7"/>
  <c r="W158" i="14" s="1"/>
  <c r="BP39" i="7"/>
  <c r="W36" i="14" s="1"/>
  <c r="BP51" i="7"/>
  <c r="BP63" i="7"/>
  <c r="BP75" i="7"/>
  <c r="W144" i="14" s="1"/>
  <c r="BP87" i="7"/>
  <c r="W84" i="14" s="1"/>
  <c r="BP129" i="7"/>
  <c r="BR80" i="7"/>
  <c r="BP16" i="7"/>
  <c r="AH49" i="14"/>
  <c r="AV49" i="14" s="1"/>
  <c r="AH16" i="14"/>
  <c r="AV16" i="14" s="1"/>
  <c r="AH40" i="14"/>
  <c r="AV40" i="14" s="1"/>
  <c r="AH143" i="14"/>
  <c r="AV143" i="14" s="1"/>
  <c r="AH91" i="14"/>
  <c r="AV91" i="14" s="1"/>
  <c r="AT84" i="7"/>
  <c r="Z498" i="28" s="1"/>
  <c r="AT60" i="7"/>
  <c r="Z474" i="28" s="1"/>
  <c r="AT36" i="7"/>
  <c r="Z344" i="14" s="1"/>
  <c r="AG344" i="14" s="1"/>
  <c r="AT43" i="7"/>
  <c r="O53" i="14"/>
  <c r="CY56" i="7"/>
  <c r="O277" i="14"/>
  <c r="CY79" i="7"/>
  <c r="O159" i="14"/>
  <c r="CY31" i="7"/>
  <c r="O275" i="14"/>
  <c r="CY30" i="7"/>
  <c r="O276" i="14"/>
  <c r="CY77" i="7"/>
  <c r="O62" i="14"/>
  <c r="CY65" i="7"/>
  <c r="O266" i="14"/>
  <c r="CY5" i="7"/>
  <c r="O85" i="14"/>
  <c r="CY88" i="7"/>
  <c r="O274" i="14"/>
  <c r="CY64" i="7"/>
  <c r="O107" i="14"/>
  <c r="CY27" i="7"/>
  <c r="O97" i="14"/>
  <c r="CY15" i="7"/>
  <c r="CT96" i="7"/>
  <c r="CQ96" i="7"/>
  <c r="CN96" i="7"/>
  <c r="CK96" i="7"/>
  <c r="BR96" i="7"/>
  <c r="BN96" i="7"/>
  <c r="CU96" i="7"/>
  <c r="CR96" i="7"/>
  <c r="CO96" i="7"/>
  <c r="CL96" i="7"/>
  <c r="BT96" i="7"/>
  <c r="BP96" i="7"/>
  <c r="CS96" i="7"/>
  <c r="CP96" i="7"/>
  <c r="CM96" i="7"/>
  <c r="CJ96" i="7"/>
  <c r="BQ96" i="7"/>
  <c r="O35" i="14"/>
  <c r="CY38" i="7"/>
  <c r="O273" i="14"/>
  <c r="CY73" i="7"/>
  <c r="O109" i="14"/>
  <c r="CY47" i="7"/>
  <c r="O20" i="14"/>
  <c r="CY23" i="7"/>
  <c r="O269" i="14"/>
  <c r="CY11" i="7"/>
  <c r="O79" i="14"/>
  <c r="CY82" i="7"/>
  <c r="O263" i="14"/>
  <c r="CY70" i="7"/>
  <c r="O268" i="14"/>
  <c r="CY10" i="7"/>
  <c r="O272" i="14"/>
  <c r="CY69" i="7"/>
  <c r="O128" i="14"/>
  <c r="CY57" i="7"/>
  <c r="O267" i="14"/>
  <c r="CY9" i="7"/>
  <c r="U266" i="14"/>
  <c r="O112" i="14"/>
  <c r="O270" i="14"/>
  <c r="O262" i="14"/>
  <c r="O271" i="14"/>
  <c r="U27" i="14"/>
  <c r="U275" i="14"/>
  <c r="U61" i="14"/>
  <c r="U274" i="14"/>
  <c r="U239" i="14"/>
  <c r="U273" i="14"/>
  <c r="U262" i="14"/>
  <c r="U271" i="14"/>
  <c r="U112" i="14"/>
  <c r="U270" i="14"/>
  <c r="U122" i="14"/>
  <c r="U268" i="14"/>
  <c r="U91" i="14"/>
  <c r="U267" i="14"/>
  <c r="U67" i="14"/>
  <c r="U263" i="14"/>
  <c r="Z713" i="28"/>
  <c r="AT55" i="7"/>
  <c r="P221" i="18" s="1"/>
  <c r="B233" i="18"/>
  <c r="U233" i="18"/>
  <c r="O69" i="14"/>
  <c r="B241" i="18"/>
  <c r="U241" i="18"/>
  <c r="O57" i="14"/>
  <c r="U282" i="18"/>
  <c r="B282" i="18"/>
  <c r="O45" i="14"/>
  <c r="U228" i="18"/>
  <c r="B228" i="18"/>
  <c r="O17" i="14"/>
  <c r="U222" i="18"/>
  <c r="B222" i="18"/>
  <c r="O80" i="14"/>
  <c r="U244" i="18"/>
  <c r="B244" i="18"/>
  <c r="O76" i="14"/>
  <c r="B267" i="18"/>
  <c r="U267" i="18"/>
  <c r="U264" i="18"/>
  <c r="B264" i="18"/>
  <c r="U239" i="18"/>
  <c r="B239" i="18"/>
  <c r="B281" i="18"/>
  <c r="U281" i="18"/>
  <c r="O16" i="14"/>
  <c r="B217" i="18"/>
  <c r="U217" i="18"/>
  <c r="O192" i="14"/>
  <c r="U235" i="18"/>
  <c r="B235" i="18"/>
  <c r="B243" i="18"/>
  <c r="U243" i="18"/>
  <c r="O67" i="14"/>
  <c r="U240" i="18"/>
  <c r="B240" i="18"/>
  <c r="U257" i="18"/>
  <c r="B257" i="18"/>
  <c r="U229" i="18"/>
  <c r="B229" i="18"/>
  <c r="U275" i="18"/>
  <c r="B275" i="18"/>
  <c r="O239" i="14"/>
  <c r="U242" i="18"/>
  <c r="B242" i="18"/>
  <c r="U216" i="18"/>
  <c r="B216" i="18"/>
  <c r="O141" i="14"/>
  <c r="U238" i="18"/>
  <c r="B238" i="18"/>
  <c r="B237" i="18"/>
  <c r="U237" i="18"/>
  <c r="B265" i="18"/>
  <c r="U265" i="18"/>
  <c r="U248" i="18"/>
  <c r="B248" i="18"/>
  <c r="U253" i="18"/>
  <c r="B253" i="18"/>
  <c r="U251" i="18"/>
  <c r="B251" i="18"/>
  <c r="B256" i="18"/>
  <c r="U256" i="18"/>
  <c r="B234" i="18"/>
  <c r="U234" i="18"/>
  <c r="O61" i="14"/>
  <c r="U258" i="18"/>
  <c r="B258" i="18"/>
  <c r="N46" i="19"/>
  <c r="U232" i="18"/>
  <c r="B232" i="18"/>
  <c r="B255" i="18"/>
  <c r="U255" i="18"/>
  <c r="P46" i="19"/>
  <c r="N232" i="18"/>
  <c r="O49" i="14"/>
  <c r="U231" i="18"/>
  <c r="B231" i="18"/>
  <c r="O52" i="14"/>
  <c r="U221" i="18"/>
  <c r="B221" i="18"/>
  <c r="O48" i="14"/>
  <c r="U230" i="18"/>
  <c r="B230" i="18"/>
  <c r="U246" i="18"/>
  <c r="B246" i="18"/>
  <c r="B220" i="18"/>
  <c r="U220" i="18"/>
  <c r="U225" i="18"/>
  <c r="B225" i="18"/>
  <c r="U245" i="18"/>
  <c r="B245" i="18"/>
  <c r="O33" i="14"/>
  <c r="U219" i="18"/>
  <c r="B219" i="18"/>
  <c r="O29" i="14"/>
  <c r="U224" i="18"/>
  <c r="B224" i="18"/>
  <c r="Z446" i="28"/>
  <c r="U214" i="18"/>
  <c r="B214" i="18"/>
  <c r="B227" i="18"/>
  <c r="U227" i="18"/>
  <c r="O190" i="14"/>
  <c r="U247" i="18"/>
  <c r="B247" i="18"/>
  <c r="O179" i="14"/>
  <c r="U226" i="18"/>
  <c r="B226" i="18"/>
  <c r="U215" i="18"/>
  <c r="B215" i="18"/>
  <c r="U236" i="18"/>
  <c r="B236" i="18"/>
  <c r="U250" i="18"/>
  <c r="B250" i="18"/>
  <c r="O21" i="14"/>
  <c r="U218" i="18"/>
  <c r="B218" i="18"/>
  <c r="U249" i="18"/>
  <c r="B249" i="18"/>
  <c r="U223" i="18"/>
  <c r="B223" i="18"/>
  <c r="P252" i="18"/>
  <c r="U252" i="18"/>
  <c r="B252" i="18"/>
  <c r="P47" i="19"/>
  <c r="N252" i="18"/>
  <c r="AZ22" i="28"/>
  <c r="AZ412" i="28"/>
  <c r="BB412" i="28" s="1"/>
  <c r="AZ54" i="28"/>
  <c r="BB54" i="28" s="1"/>
  <c r="AZ408" i="28"/>
  <c r="BP408" i="28" s="1"/>
  <c r="AZ74" i="28"/>
  <c r="BB74" i="28" s="1"/>
  <c r="AZ396" i="28"/>
  <c r="AZ146" i="28"/>
  <c r="BP146" i="28" s="1"/>
  <c r="AZ416" i="28"/>
  <c r="BP416" i="28" s="1"/>
  <c r="AZ12" i="28"/>
  <c r="AZ518" i="28"/>
  <c r="BB518" i="28" s="1"/>
  <c r="AZ398" i="28"/>
  <c r="BB398" i="28" s="1"/>
  <c r="AZ32" i="28"/>
  <c r="AZ48" i="28"/>
  <c r="AZ400" i="28"/>
  <c r="AZ72" i="28"/>
  <c r="BP72" i="28" s="1"/>
  <c r="AZ96" i="28"/>
  <c r="BB96" i="28" s="1"/>
  <c r="X268" i="14"/>
  <c r="X166" i="14"/>
  <c r="X263" i="14"/>
  <c r="X79" i="14"/>
  <c r="X117" i="14"/>
  <c r="X269" i="14"/>
  <c r="X20" i="14"/>
  <c r="X32" i="14"/>
  <c r="X44" i="14"/>
  <c r="X56" i="14"/>
  <c r="T264" i="18"/>
  <c r="T244" i="18"/>
  <c r="X81" i="14"/>
  <c r="X10" i="14"/>
  <c r="X34" i="14"/>
  <c r="X273" i="14"/>
  <c r="X82" i="14"/>
  <c r="X161" i="14"/>
  <c r="X215" i="14"/>
  <c r="X59" i="14"/>
  <c r="X83" i="14"/>
  <c r="X42" i="14"/>
  <c r="X48" i="14"/>
  <c r="X98" i="14"/>
  <c r="X189" i="14"/>
  <c r="X272" i="14"/>
  <c r="T265" i="18"/>
  <c r="X26" i="14"/>
  <c r="X50" i="14"/>
  <c r="X62" i="14"/>
  <c r="X276" i="14"/>
  <c r="X86" i="14"/>
  <c r="X63" i="14"/>
  <c r="X30" i="14"/>
  <c r="X89" i="14"/>
  <c r="X64" i="14"/>
  <c r="X177" i="14"/>
  <c r="X29" i="14"/>
  <c r="X110" i="14"/>
  <c r="X65" i="14"/>
  <c r="T246" i="18"/>
  <c r="X267" i="14"/>
  <c r="AZ578" i="28"/>
  <c r="BB578" i="28" s="1"/>
  <c r="AZ618" i="28"/>
  <c r="BB618" i="28" s="1"/>
  <c r="AZ534" i="28"/>
  <c r="BB534" i="28" s="1"/>
  <c r="AZ520" i="28"/>
  <c r="BB520" i="28" s="1"/>
  <c r="AZ552" i="28"/>
  <c r="AZ536" i="28"/>
  <c r="BP536" i="28" s="1"/>
  <c r="AZ576" i="28"/>
  <c r="AZ592" i="28"/>
  <c r="BP592" i="28" s="1"/>
  <c r="AZ616" i="28"/>
  <c r="BP616" i="28" s="1"/>
  <c r="AZ136" i="28"/>
  <c r="BP136" i="28" s="1"/>
  <c r="AZ106" i="28"/>
  <c r="AZ550" i="28"/>
  <c r="AZ130" i="28"/>
  <c r="BP130" i="28" s="1"/>
  <c r="BK785" i="28"/>
  <c r="BD785" i="28"/>
  <c r="AV785" i="28"/>
  <c r="BI785" i="28"/>
  <c r="BE785" i="28"/>
  <c r="BO785" i="28" s="1"/>
  <c r="BC785" i="28"/>
  <c r="BL785" i="28"/>
  <c r="BM785" i="28"/>
  <c r="AY785" i="28"/>
  <c r="A786" i="28"/>
  <c r="BF785" i="28"/>
  <c r="BJ785" i="28"/>
  <c r="BN785" i="28"/>
  <c r="BG785" i="28"/>
  <c r="BH785" i="28"/>
  <c r="R81" i="18"/>
  <c r="AW786" i="28"/>
  <c r="AW785" i="28"/>
  <c r="AY784" i="28"/>
  <c r="K37" i="29"/>
  <c r="O5" i="14"/>
  <c r="N47" i="19"/>
  <c r="O36" i="14"/>
  <c r="O19" i="14"/>
  <c r="O105" i="14"/>
  <c r="O10" i="14"/>
  <c r="O101" i="14"/>
  <c r="O99" i="14"/>
  <c r="O25" i="14"/>
  <c r="O238" i="14"/>
  <c r="U238" i="14"/>
  <c r="AZ325" i="28"/>
  <c r="BB325" i="28" s="1"/>
  <c r="AZ334" i="28"/>
  <c r="BP334" i="28" s="1"/>
  <c r="AZ321" i="28"/>
  <c r="BB321" i="28" s="1"/>
  <c r="AZ329" i="28"/>
  <c r="Z708" i="28"/>
  <c r="Z384" i="28"/>
  <c r="O232" i="14"/>
  <c r="Z684" i="28"/>
  <c r="Z636" i="28"/>
  <c r="Z588" i="28"/>
  <c r="Z540" i="28"/>
  <c r="AT78" i="7"/>
  <c r="Z292" i="14" s="1"/>
  <c r="AG292" i="14" s="1"/>
  <c r="AT30" i="7"/>
  <c r="Z275" i="14" s="1"/>
  <c r="AG275" i="14" s="1"/>
  <c r="AT18" i="7"/>
  <c r="Z348" i="28"/>
  <c r="Z300" i="28"/>
  <c r="Z288" i="28"/>
  <c r="Z264" i="28"/>
  <c r="Z252" i="28"/>
  <c r="Z240" i="28"/>
  <c r="Z228" i="28"/>
  <c r="Z216" i="28"/>
  <c r="Z204" i="28"/>
  <c r="Z192" i="28"/>
  <c r="Z180" i="28"/>
  <c r="Z144" i="28"/>
  <c r="Z108" i="28"/>
  <c r="Z60" i="28"/>
  <c r="Z48" i="28"/>
  <c r="Z36" i="28"/>
  <c r="Z24" i="28"/>
  <c r="Y382" i="28"/>
  <c r="Y250" i="28"/>
  <c r="Y22" i="28"/>
  <c r="Z693" i="28"/>
  <c r="Z525" i="28"/>
  <c r="Z513" i="28"/>
  <c r="Z381" i="28"/>
  <c r="Z261" i="28"/>
  <c r="Z237" i="28"/>
  <c r="Z225" i="28"/>
  <c r="Y215" i="28"/>
  <c r="Y191" i="28"/>
  <c r="Y119" i="28"/>
  <c r="R117" i="18"/>
  <c r="R122" i="18"/>
  <c r="R11" i="18"/>
  <c r="R64" i="18"/>
  <c r="R114" i="18"/>
  <c r="R123" i="18"/>
  <c r="R140" i="18"/>
  <c r="R15" i="18"/>
  <c r="R30" i="18"/>
  <c r="R58" i="18"/>
  <c r="R62" i="18"/>
  <c r="R66" i="18"/>
  <c r="R124" i="18"/>
  <c r="R139" i="18"/>
  <c r="R141" i="18"/>
  <c r="R29" i="18"/>
  <c r="R37" i="18"/>
  <c r="R38" i="18"/>
  <c r="R56" i="18"/>
  <c r="R60" i="18"/>
  <c r="R34" i="18"/>
  <c r="R28" i="18"/>
  <c r="R36" i="18"/>
  <c r="R55" i="18"/>
  <c r="R59" i="18"/>
  <c r="R63" i="18"/>
  <c r="R67" i="18"/>
  <c r="R116" i="18"/>
  <c r="R121" i="18"/>
  <c r="R136" i="18"/>
  <c r="R142" i="18"/>
  <c r="R161" i="18"/>
  <c r="R165" i="18"/>
  <c r="R166" i="18"/>
  <c r="Y276" i="28"/>
  <c r="Y240" i="28"/>
  <c r="Y132" i="28"/>
  <c r="AH131" i="14"/>
  <c r="AV131" i="14" s="1"/>
  <c r="AV49" i="28"/>
  <c r="AV10" i="28"/>
  <c r="AV37" i="28"/>
  <c r="Y371" i="28"/>
  <c r="Y335" i="28"/>
  <c r="Y299" i="28"/>
  <c r="Y287" i="28"/>
  <c r="Y275" i="28"/>
  <c r="Y263" i="28"/>
  <c r="Y251" i="28"/>
  <c r="Y203" i="28"/>
  <c r="Y179" i="28"/>
  <c r="Y167" i="28"/>
  <c r="Y59" i="28"/>
  <c r="Y47" i="28"/>
  <c r="AV87" i="28"/>
  <c r="AV50" i="28"/>
  <c r="AV147" i="28"/>
  <c r="AV11" i="28"/>
  <c r="AV63" i="28"/>
  <c r="AV111" i="28"/>
  <c r="AV123" i="28"/>
  <c r="AV38" i="28"/>
  <c r="AV75" i="28"/>
  <c r="AZ785" i="28"/>
  <c r="BP785" i="28" s="1"/>
  <c r="AV9" i="28"/>
  <c r="AS25" i="7"/>
  <c r="O250" i="18" s="1"/>
  <c r="Y391" i="28"/>
  <c r="Y343" i="28"/>
  <c r="Y331" i="28"/>
  <c r="Y319" i="28"/>
  <c r="Y307" i="28"/>
  <c r="Y295" i="28"/>
  <c r="Y283" i="28"/>
  <c r="Y271" i="28"/>
  <c r="Y259" i="28"/>
  <c r="Y247" i="28"/>
  <c r="Y223" i="28"/>
  <c r="Y211" i="28"/>
  <c r="Y199" i="28"/>
  <c r="Y187" i="28"/>
  <c r="Y175" i="28"/>
  <c r="Y163" i="28"/>
  <c r="Y115" i="28"/>
  <c r="Y79" i="28"/>
  <c r="Y67" i="28"/>
  <c r="AA43" i="28"/>
  <c r="AU43" i="28" s="1"/>
  <c r="Y19" i="28"/>
  <c r="AV17" i="28"/>
  <c r="AV590" i="28"/>
  <c r="AV537" i="28"/>
  <c r="AV720" i="28"/>
  <c r="AV105" i="28"/>
  <c r="AV521" i="28"/>
  <c r="AV606" i="28"/>
  <c r="AV28" i="28"/>
  <c r="AV137" i="28"/>
  <c r="AW411" i="28"/>
  <c r="AV61" i="28"/>
  <c r="AV69" i="28"/>
  <c r="AV77" i="28"/>
  <c r="AV85" i="28"/>
  <c r="AV93" i="28"/>
  <c r="AV125" i="28"/>
  <c r="AV145" i="28"/>
  <c r="AV153" i="28"/>
  <c r="AV512" i="28"/>
  <c r="AV565" i="28"/>
  <c r="AV525" i="28"/>
  <c r="AV578" i="28"/>
  <c r="AV594" i="28"/>
  <c r="AV610" i="28"/>
  <c r="AV626" i="28"/>
  <c r="AV724" i="28"/>
  <c r="AV97" i="28"/>
  <c r="AV129" i="28"/>
  <c r="AW403" i="28"/>
  <c r="AV21" i="28"/>
  <c r="AV117" i="28"/>
  <c r="AV553" i="28"/>
  <c r="AV533" i="28"/>
  <c r="AV582" i="28"/>
  <c r="AV598" i="28"/>
  <c r="AV614" i="28"/>
  <c r="AV728" i="28"/>
  <c r="AV32" i="28"/>
  <c r="AV40" i="28"/>
  <c r="AV48" i="28"/>
  <c r="AV56" i="28"/>
  <c r="AV121" i="28"/>
  <c r="AV65" i="28"/>
  <c r="AV73" i="28"/>
  <c r="AV81" i="28"/>
  <c r="AV89" i="28"/>
  <c r="AV109" i="28"/>
  <c r="AV141" i="28"/>
  <c r="AV149" i="28"/>
  <c r="AV506" i="28"/>
  <c r="AV557" i="28"/>
  <c r="AV517" i="28"/>
  <c r="AV586" i="28"/>
  <c r="AV602" i="28"/>
  <c r="AV618" i="28"/>
  <c r="AV732" i="28"/>
  <c r="AV113" i="28"/>
  <c r="AV509" i="28"/>
  <c r="AV549" i="28"/>
  <c r="BJ301" i="28"/>
  <c r="BJ382" i="28"/>
  <c r="BG445" i="28"/>
  <c r="BK489" i="28"/>
  <c r="BE244" i="28"/>
  <c r="BI166" i="28"/>
  <c r="BE457" i="28"/>
  <c r="BM674" i="28"/>
  <c r="BJ263" i="28"/>
  <c r="BN719" i="28"/>
  <c r="BG201" i="28"/>
  <c r="BF648" i="28"/>
  <c r="BN348" i="28"/>
  <c r="BF456" i="28"/>
  <c r="BM636" i="28"/>
  <c r="BM342" i="28"/>
  <c r="BF342" i="28"/>
  <c r="BC658" i="28"/>
  <c r="BH236" i="28"/>
  <c r="BE170" i="28"/>
  <c r="BC213" i="28"/>
  <c r="BC335" i="28"/>
  <c r="BD754" i="28"/>
  <c r="BF767" i="28"/>
  <c r="BH330" i="28"/>
  <c r="BK436" i="28"/>
  <c r="BK700" i="28"/>
  <c r="BH457" i="28"/>
  <c r="BJ500" i="28"/>
  <c r="BD669" i="28"/>
  <c r="BC657" i="28"/>
  <c r="BN759" i="28"/>
  <c r="BM385" i="28"/>
  <c r="BD678" i="28"/>
  <c r="BK390" i="28"/>
  <c r="BL378" i="28"/>
  <c r="BE435" i="28"/>
  <c r="BE238" i="28"/>
  <c r="BE226" i="28"/>
  <c r="BG187" i="28"/>
  <c r="BM693" i="28"/>
  <c r="BG503" i="28"/>
  <c r="BM431" i="28"/>
  <c r="BF421" i="28"/>
  <c r="BE448" i="28"/>
  <c r="BH489" i="28"/>
  <c r="BM444" i="28"/>
  <c r="BG649" i="28"/>
  <c r="BK691" i="28"/>
  <c r="BI458" i="28"/>
  <c r="BE676" i="28"/>
  <c r="BH747" i="28"/>
  <c r="BJ482" i="28"/>
  <c r="BI432" i="28"/>
  <c r="BH374" i="28"/>
  <c r="BE297" i="28"/>
  <c r="BE352" i="28"/>
  <c r="BN426" i="28"/>
  <c r="BG207" i="28"/>
  <c r="BE214" i="28"/>
  <c r="BE472" i="28"/>
  <c r="BF246" i="28"/>
  <c r="BH428" i="28"/>
  <c r="BF311" i="28"/>
  <c r="BE427" i="28"/>
  <c r="BH238" i="28"/>
  <c r="BI174" i="28"/>
  <c r="BG167" i="28"/>
  <c r="BK240" i="28"/>
  <c r="BL380" i="28"/>
  <c r="BK189" i="28"/>
  <c r="BI440" i="28"/>
  <c r="BJ183" i="28"/>
  <c r="BC236" i="28"/>
  <c r="BH198" i="28"/>
  <c r="BK271" i="28"/>
  <c r="BK376" i="28"/>
  <c r="BG194" i="28"/>
  <c r="BC175" i="28"/>
  <c r="BJ195" i="28"/>
  <c r="BM755" i="28"/>
  <c r="BD488" i="28"/>
  <c r="BG477" i="28"/>
  <c r="BF735" i="28"/>
  <c r="BG376" i="28"/>
  <c r="BG493" i="28"/>
  <c r="BD184" i="28"/>
  <c r="BD215" i="28"/>
  <c r="BH746" i="28"/>
  <c r="BI501" i="28"/>
  <c r="BJ702" i="28"/>
  <c r="BG422" i="28"/>
  <c r="BL286" i="28"/>
  <c r="BH663" i="28"/>
  <c r="BC341" i="28"/>
  <c r="BM263" i="28"/>
  <c r="BN208" i="28"/>
  <c r="BJ172" i="28"/>
  <c r="BN282" i="28"/>
  <c r="BJ449" i="28"/>
  <c r="BF692" i="28"/>
  <c r="BJ232" i="28"/>
  <c r="BI337" i="28"/>
  <c r="BG332" i="28"/>
  <c r="BI663" i="28"/>
  <c r="BF296" i="28"/>
  <c r="BH665" i="28"/>
  <c r="BJ675" i="28"/>
  <c r="BI208" i="28"/>
  <c r="BD223" i="28"/>
  <c r="BD258" i="28"/>
  <c r="BM635" i="28"/>
  <c r="BJ736" i="28"/>
  <c r="BD339" i="28"/>
  <c r="BF349" i="28"/>
  <c r="BJ385" i="28"/>
  <c r="BH476" i="28"/>
  <c r="BL668" i="28"/>
  <c r="BK692" i="28"/>
  <c r="BJ450" i="28"/>
  <c r="BF332" i="28"/>
  <c r="BF260" i="28"/>
  <c r="BI662" i="28"/>
  <c r="BI637" i="28"/>
  <c r="BE312" i="28"/>
  <c r="BE763" i="28"/>
  <c r="BK502" i="28"/>
  <c r="BJ258" i="28"/>
  <c r="BL266" i="28"/>
  <c r="BG303" i="28"/>
  <c r="BM754" i="28"/>
  <c r="BI753" i="28"/>
  <c r="BJ376" i="28"/>
  <c r="BF381" i="28"/>
  <c r="BK369" i="28"/>
  <c r="BD713" i="28"/>
  <c r="BD473" i="28"/>
  <c r="BD632" i="28"/>
  <c r="BD746" i="28"/>
  <c r="BL369" i="28"/>
  <c r="BC244" i="28"/>
  <c r="BN419" i="28"/>
  <c r="BI287" i="28"/>
  <c r="BF194" i="28"/>
  <c r="BK208" i="28"/>
  <c r="BL278" i="28"/>
  <c r="BF335" i="28"/>
  <c r="BJ310" i="28"/>
  <c r="BL364" i="28"/>
  <c r="BJ157" i="28"/>
  <c r="BE186" i="28"/>
  <c r="BM259" i="28"/>
  <c r="BD279" i="28"/>
  <c r="BK352" i="28"/>
  <c r="BI718" i="28"/>
  <c r="BF262" i="28"/>
  <c r="BC313" i="28"/>
  <c r="BJ316" i="28"/>
  <c r="BI319" i="28"/>
  <c r="BF755" i="28"/>
  <c r="BN166" i="28"/>
  <c r="BG254" i="28"/>
  <c r="BK643" i="28"/>
  <c r="BM738" i="28"/>
  <c r="BI764" i="28"/>
  <c r="BC478" i="28"/>
  <c r="BL755" i="28"/>
  <c r="BC307" i="28"/>
  <c r="BK202" i="28"/>
  <c r="BM370" i="28"/>
  <c r="BN375" i="28"/>
  <c r="BH778" i="28"/>
  <c r="BL676" i="28"/>
  <c r="BC438" i="28"/>
  <c r="BJ783" i="28"/>
  <c r="BN755" i="28"/>
  <c r="BI699" i="28"/>
  <c r="BH641" i="28"/>
  <c r="BL375" i="28"/>
  <c r="BI477" i="28"/>
  <c r="BC443" i="28"/>
  <c r="BL450" i="28"/>
  <c r="BD681" i="28"/>
  <c r="BM501" i="28"/>
  <c r="BG205" i="28"/>
  <c r="BL246" i="28"/>
  <c r="BK372" i="28"/>
  <c r="BJ776" i="28"/>
  <c r="BN253" i="28"/>
  <c r="BN420" i="28"/>
  <c r="BJ268" i="28"/>
  <c r="BO268" i="28" s="1"/>
  <c r="BH304" i="28"/>
  <c r="BJ641" i="28"/>
  <c r="BI656" i="28"/>
  <c r="BJ691" i="28"/>
  <c r="BL183" i="28"/>
  <c r="BK263" i="28"/>
  <c r="BE221" i="28"/>
  <c r="BG231" i="28"/>
  <c r="BI371" i="28"/>
  <c r="BM199" i="28"/>
  <c r="BD281" i="28"/>
  <c r="BG172" i="28"/>
  <c r="BN326" i="28"/>
  <c r="BK237" i="28"/>
  <c r="BG191" i="28"/>
  <c r="BG420" i="28"/>
  <c r="BK488" i="28"/>
  <c r="BN448" i="28"/>
  <c r="BL681" i="28"/>
  <c r="BD241" i="28"/>
  <c r="BN656" i="28"/>
  <c r="BH737" i="28"/>
  <c r="BN320" i="28"/>
  <c r="BI377" i="28"/>
  <c r="BF367" i="28"/>
  <c r="BD458" i="28"/>
  <c r="BG674" i="28"/>
  <c r="BN700" i="28"/>
  <c r="BN757" i="28"/>
  <c r="BL170" i="28"/>
  <c r="BE184" i="28"/>
  <c r="BI226" i="28"/>
  <c r="BH211" i="28"/>
  <c r="BF277" i="28"/>
  <c r="BI351" i="28"/>
  <c r="BD679" i="28"/>
  <c r="BC782" i="28"/>
  <c r="BL358" i="28"/>
  <c r="BJ424" i="28"/>
  <c r="BK673" i="28"/>
  <c r="BH464" i="28"/>
  <c r="BJ209" i="28"/>
  <c r="BD674" i="28"/>
  <c r="BF672" i="28"/>
  <c r="BE684" i="28"/>
  <c r="BK708" i="28"/>
  <c r="BF464" i="28"/>
  <c r="BH351" i="28"/>
  <c r="BD356" i="28"/>
  <c r="BH754" i="28"/>
  <c r="BC266" i="28"/>
  <c r="BG242" i="28"/>
  <c r="BK388" i="28"/>
  <c r="BI654" i="28"/>
  <c r="BH666" i="28"/>
  <c r="BI261" i="28"/>
  <c r="BE499" i="28"/>
  <c r="BK170" i="28"/>
  <c r="BH437" i="28"/>
  <c r="BC180" i="28"/>
  <c r="BK484" i="28"/>
  <c r="BD420" i="28"/>
  <c r="BL295" i="28"/>
  <c r="BD645" i="28"/>
  <c r="BE496" i="28"/>
  <c r="BK633" i="28"/>
  <c r="BE220" i="28"/>
  <c r="BK687" i="28"/>
  <c r="BF235" i="28"/>
  <c r="BL267" i="28"/>
  <c r="BD247" i="28"/>
  <c r="BN188" i="28"/>
  <c r="BM169" i="28"/>
  <c r="BH777" i="28"/>
  <c r="BG213" i="28"/>
  <c r="BF630" i="28"/>
  <c r="BC770" i="28"/>
  <c r="BG637" i="28"/>
  <c r="BH370" i="28"/>
  <c r="BH312" i="28"/>
  <c r="BK686" i="28"/>
  <c r="BE207" i="28"/>
  <c r="BL688" i="28"/>
  <c r="BN227" i="28"/>
  <c r="BE663" i="28"/>
  <c r="BD370" i="28"/>
  <c r="BN475" i="28"/>
  <c r="BK361" i="28"/>
  <c r="BH286" i="28"/>
  <c r="BM359" i="28"/>
  <c r="BN349" i="28"/>
  <c r="BN341" i="28"/>
  <c r="BG281" i="28"/>
  <c r="BD387" i="28"/>
  <c r="BI266" i="28"/>
  <c r="BK210" i="28"/>
  <c r="BN453" i="28"/>
  <c r="BN315" i="28"/>
  <c r="BD311" i="28"/>
  <c r="BK773" i="28"/>
  <c r="BG372" i="28"/>
  <c r="BM376" i="28"/>
  <c r="BM762" i="28"/>
  <c r="BK190" i="28"/>
  <c r="BM783" i="28"/>
  <c r="BL648" i="28"/>
  <c r="BG312" i="28"/>
  <c r="BH316" i="28"/>
  <c r="BN248" i="28"/>
  <c r="BK697" i="28"/>
  <c r="BK469" i="28"/>
  <c r="BH776" i="28"/>
  <c r="BN641" i="28"/>
  <c r="BE488" i="28"/>
  <c r="BK630" i="28"/>
  <c r="BN756" i="28"/>
  <c r="BD352" i="28"/>
  <c r="BM204" i="28"/>
  <c r="BN292" i="28"/>
  <c r="BC445" i="28"/>
  <c r="BM662" i="28"/>
  <c r="BL344" i="28"/>
  <c r="BM245" i="28"/>
  <c r="BL284" i="28"/>
  <c r="BH717" i="28"/>
  <c r="BD471" i="28"/>
  <c r="BC419" i="28"/>
  <c r="BK642" i="28"/>
  <c r="BI348" i="28"/>
  <c r="BD490" i="28"/>
  <c r="BN454" i="28"/>
  <c r="BM643" i="28"/>
  <c r="BC635" i="28"/>
  <c r="BM341" i="28"/>
  <c r="BJ341" i="28"/>
  <c r="BM275" i="28"/>
  <c r="BG188" i="28"/>
  <c r="BG165" i="28"/>
  <c r="BH252" i="28"/>
  <c r="BL272" i="28"/>
  <c r="BD326" i="28"/>
  <c r="BD474" i="28"/>
  <c r="BI488" i="28"/>
  <c r="BK197" i="28"/>
  <c r="BH170" i="28"/>
  <c r="BN364" i="28"/>
  <c r="BN687" i="28"/>
  <c r="BK180" i="28"/>
  <c r="BJ664" i="28"/>
  <c r="BE173" i="28"/>
  <c r="BD637" i="28"/>
  <c r="BC501" i="28"/>
  <c r="BI445" i="28"/>
  <c r="BC759" i="28"/>
  <c r="BI466" i="28"/>
  <c r="BN160" i="28"/>
  <c r="BH162" i="28"/>
  <c r="BN681" i="28"/>
  <c r="BE258" i="28"/>
  <c r="BE266" i="28"/>
  <c r="BG774" i="28"/>
  <c r="BN161" i="28"/>
  <c r="BF173" i="28"/>
  <c r="BL341" i="28"/>
  <c r="BL260" i="28"/>
  <c r="BD312" i="28"/>
  <c r="BL707" i="28"/>
  <c r="BN437" i="28"/>
  <c r="BD630" i="28"/>
  <c r="BF766" i="28"/>
  <c r="BM480" i="28"/>
  <c r="BI309" i="28"/>
  <c r="BH461" i="28"/>
  <c r="BL189" i="28"/>
  <c r="BI206" i="28"/>
  <c r="BN650" i="28"/>
  <c r="BJ741" i="28"/>
  <c r="BC767" i="28"/>
  <c r="BE248" i="28"/>
  <c r="BF761" i="28"/>
  <c r="BN351" i="28"/>
  <c r="BC670" i="28"/>
  <c r="BK275" i="28"/>
  <c r="BJ188" i="28"/>
  <c r="BI783" i="28"/>
  <c r="BM719" i="28"/>
  <c r="BC777" i="28"/>
  <c r="BL717" i="28"/>
  <c r="BF750" i="28"/>
  <c r="BL186" i="28"/>
  <c r="BM202" i="28"/>
  <c r="BI646" i="28"/>
  <c r="BD776" i="28"/>
  <c r="BE760" i="28"/>
  <c r="BD440" i="28"/>
  <c r="BD475" i="28"/>
  <c r="BF639" i="28"/>
  <c r="BN770" i="28"/>
  <c r="BF361" i="28"/>
  <c r="BE194" i="28"/>
  <c r="BJ761" i="28"/>
  <c r="BN780" i="28"/>
  <c r="BD631" i="28"/>
  <c r="BF222" i="28"/>
  <c r="BL188" i="28"/>
  <c r="BG641" i="28"/>
  <c r="BH691" i="28"/>
  <c r="BH348" i="28"/>
  <c r="BK440" i="28"/>
  <c r="BD477" i="28"/>
  <c r="BG698" i="28"/>
  <c r="BJ684" i="28"/>
  <c r="BN496" i="28"/>
  <c r="BH719" i="28"/>
  <c r="BL165" i="28"/>
  <c r="BL254" i="28"/>
  <c r="BN324" i="28"/>
  <c r="BG198" i="28"/>
  <c r="BM374" i="28"/>
  <c r="BJ345" i="28"/>
  <c r="BH353" i="28"/>
  <c r="BN667" i="28"/>
  <c r="BL431" i="28"/>
  <c r="BK378" i="28"/>
  <c r="BH368" i="28"/>
  <c r="BF478" i="28"/>
  <c r="BG713" i="28"/>
  <c r="BJ216" i="28"/>
  <c r="BF326" i="28"/>
  <c r="BD651" i="28"/>
  <c r="BN424" i="28"/>
  <c r="BH471" i="28"/>
  <c r="BG705" i="28"/>
  <c r="BE316" i="28"/>
  <c r="BH319" i="28"/>
  <c r="BD361" i="28"/>
  <c r="BJ343" i="28"/>
  <c r="BN352" i="28"/>
  <c r="BC301" i="28"/>
  <c r="BC363" i="28"/>
  <c r="BE294" i="28"/>
  <c r="BF768" i="28"/>
  <c r="BI644" i="28"/>
  <c r="BG249" i="28"/>
  <c r="BL245" i="28"/>
  <c r="BE285" i="28"/>
  <c r="BM463" i="28"/>
  <c r="BH657" i="28"/>
  <c r="BF247" i="28"/>
  <c r="BI254" i="28"/>
  <c r="BE645" i="28"/>
  <c r="BE748" i="28"/>
  <c r="BJ352" i="28"/>
  <c r="BG647" i="28"/>
  <c r="BF765" i="28"/>
  <c r="BI191" i="28"/>
  <c r="BD208" i="28"/>
  <c r="BI157" i="28"/>
  <c r="BN685" i="28"/>
  <c r="BJ374" i="28"/>
  <c r="BL192" i="28"/>
  <c r="BH449" i="28"/>
  <c r="BC460" i="28"/>
  <c r="BE632" i="28"/>
  <c r="BF779" i="28"/>
  <c r="BM502" i="28"/>
  <c r="BK719" i="28"/>
  <c r="BK172" i="28"/>
  <c r="BD192" i="28"/>
  <c r="BD711" i="28"/>
  <c r="BF493" i="28"/>
  <c r="BE777" i="28"/>
  <c r="BM494" i="28"/>
  <c r="BG714" i="28"/>
  <c r="BM164" i="28"/>
  <c r="BF185" i="28"/>
  <c r="BJ221" i="28"/>
  <c r="BF460" i="28"/>
  <c r="BK244" i="28"/>
  <c r="BK320" i="28"/>
  <c r="BF304" i="28"/>
  <c r="BJ692" i="28"/>
  <c r="BJ452" i="28"/>
  <c r="BF746" i="28"/>
  <c r="BE175" i="28"/>
  <c r="BI217" i="28"/>
  <c r="BG782" i="28"/>
  <c r="BF455" i="28"/>
  <c r="BH200" i="28"/>
  <c r="BM218" i="28"/>
  <c r="BK751" i="28"/>
  <c r="BM764" i="28"/>
  <c r="BD455" i="28"/>
  <c r="BK486" i="28"/>
  <c r="BF383" i="28"/>
  <c r="BG440" i="28"/>
  <c r="BJ256" i="28"/>
  <c r="BI170" i="28"/>
  <c r="BJ784" i="28"/>
  <c r="BF252" i="28"/>
  <c r="BI450" i="28"/>
  <c r="BE668" i="28"/>
  <c r="BN244" i="28"/>
  <c r="BE251" i="28"/>
  <c r="BF289" i="28"/>
  <c r="BC737" i="28"/>
  <c r="BL735" i="28"/>
  <c r="BG253" i="28"/>
  <c r="BD249" i="28"/>
  <c r="BE289" i="28"/>
  <c r="BH699" i="28"/>
  <c r="BH459" i="28"/>
  <c r="BE649" i="28"/>
  <c r="BN751" i="28"/>
  <c r="BI448" i="28"/>
  <c r="BC205" i="28"/>
  <c r="BD480" i="28"/>
  <c r="BD482" i="28"/>
  <c r="BG675" i="28"/>
  <c r="BD343" i="28"/>
  <c r="BC253" i="28"/>
  <c r="BF453" i="28"/>
  <c r="BC333" i="28"/>
  <c r="BI355" i="28"/>
  <c r="BE765" i="28"/>
  <c r="BM267" i="28"/>
  <c r="BL752" i="28"/>
  <c r="BI465" i="28"/>
  <c r="BF226" i="28"/>
  <c r="BD158" i="28"/>
  <c r="BN664" i="28"/>
  <c r="BK494" i="28"/>
  <c r="BG261" i="28"/>
  <c r="BN206" i="28"/>
  <c r="BN472" i="28"/>
  <c r="BK705" i="28"/>
  <c r="BC187" i="28"/>
  <c r="BL666" i="28"/>
  <c r="BJ177" i="28"/>
  <c r="BJ747" i="28"/>
  <c r="BE468" i="28"/>
  <c r="BL423" i="28"/>
  <c r="BO423" i="28" s="1"/>
  <c r="BH360" i="28"/>
  <c r="BJ337" i="28"/>
  <c r="BC390" i="28"/>
  <c r="BE166" i="28"/>
  <c r="BL461" i="28"/>
  <c r="BC273" i="28"/>
  <c r="BG754" i="28"/>
  <c r="BJ244" i="28"/>
  <c r="BN694" i="28"/>
  <c r="BK759" i="28"/>
  <c r="BL202" i="28"/>
  <c r="BD384" i="28"/>
  <c r="BN373" i="28"/>
  <c r="BG203" i="28"/>
  <c r="BH485" i="28"/>
  <c r="BG387" i="28"/>
  <c r="BC426" i="28"/>
  <c r="BJ767" i="28"/>
  <c r="BF658" i="28"/>
  <c r="BK454" i="28"/>
  <c r="BM500" i="28"/>
  <c r="BF467" i="28"/>
  <c r="BE689" i="28"/>
  <c r="BG491" i="28"/>
  <c r="BC380" i="28"/>
  <c r="BJ369" i="28"/>
  <c r="BG424" i="28"/>
  <c r="BN242" i="28"/>
  <c r="BH171" i="28"/>
  <c r="BE271" i="28"/>
  <c r="BC362" i="28"/>
  <c r="BF683" i="28"/>
  <c r="BL747" i="28"/>
  <c r="BK168" i="28"/>
  <c r="BE438" i="28"/>
  <c r="BM757" i="28"/>
  <c r="BJ640" i="28"/>
  <c r="BN333" i="28"/>
  <c r="BK335" i="28"/>
  <c r="BH274" i="28"/>
  <c r="BJ750" i="28"/>
  <c r="BC389" i="28"/>
  <c r="BL633" i="28"/>
  <c r="BI461" i="28"/>
  <c r="BJ775" i="28"/>
  <c r="BC208" i="28"/>
  <c r="BM425" i="28"/>
  <c r="BN337" i="28"/>
  <c r="BC484" i="28"/>
  <c r="BF238" i="28"/>
  <c r="BE490" i="28"/>
  <c r="BM313" i="28"/>
  <c r="BJ317" i="28"/>
  <c r="BK235" i="28"/>
  <c r="BM751" i="28"/>
  <c r="BM703" i="28"/>
  <c r="BE162" i="28"/>
  <c r="BK318" i="28"/>
  <c r="BK777" i="28"/>
  <c r="BD432" i="28"/>
  <c r="BH741" i="28"/>
  <c r="BG488" i="28"/>
  <c r="BL209" i="28"/>
  <c r="BK310" i="28"/>
  <c r="BG251" i="28"/>
  <c r="BL343" i="28"/>
  <c r="BN193" i="28"/>
  <c r="BK182" i="28"/>
  <c r="BJ160" i="28"/>
  <c r="BC675" i="28"/>
  <c r="BJ465" i="28"/>
  <c r="BL210" i="28"/>
  <c r="BM230" i="28"/>
  <c r="BL181" i="28"/>
  <c r="BE745" i="28"/>
  <c r="BK769" i="28"/>
  <c r="BI199" i="28"/>
  <c r="BL468" i="28"/>
  <c r="BN760" i="28"/>
  <c r="BI636" i="28"/>
  <c r="BL702" i="28"/>
  <c r="BD468" i="28"/>
  <c r="BH439" i="28"/>
  <c r="BL384" i="28"/>
  <c r="BN384" i="28"/>
  <c r="BJ266" i="28"/>
  <c r="BN167" i="28"/>
  <c r="BE719" i="28"/>
  <c r="BI751" i="28"/>
  <c r="BI389" i="28"/>
  <c r="BJ377" i="28"/>
  <c r="BL686" i="28"/>
  <c r="BD452" i="28"/>
  <c r="BJ446" i="28"/>
  <c r="BG492" i="28"/>
  <c r="BD741" i="28"/>
  <c r="BM687" i="28"/>
  <c r="BH443" i="28"/>
  <c r="BH446" i="28"/>
  <c r="BC433" i="28"/>
  <c r="BG499" i="28"/>
  <c r="BI645" i="28"/>
  <c r="BH264" i="28"/>
  <c r="BL184" i="28"/>
  <c r="BC204" i="28"/>
  <c r="BN169" i="28"/>
  <c r="BL641" i="28"/>
  <c r="BH501" i="28"/>
  <c r="BC442" i="28"/>
  <c r="BC663" i="28"/>
  <c r="BJ644" i="28"/>
  <c r="BI659" i="28"/>
  <c r="BD663" i="28"/>
  <c r="BF673" i="28"/>
  <c r="BC698" i="28"/>
  <c r="BK757" i="28"/>
  <c r="BH332" i="28"/>
  <c r="BE265" i="28"/>
  <c r="BC709" i="28"/>
  <c r="BD156" i="28"/>
  <c r="BD162" i="28"/>
  <c r="BL689" i="28"/>
  <c r="BL207" i="28"/>
  <c r="BE196" i="28"/>
  <c r="BF706" i="28"/>
  <c r="BF466" i="28"/>
  <c r="BK229" i="28"/>
  <c r="BH241" i="28"/>
  <c r="BI278" i="28"/>
  <c r="BE657" i="28"/>
  <c r="BI648" i="28"/>
  <c r="BD214" i="28"/>
  <c r="BM234" i="28"/>
  <c r="BE766" i="28"/>
  <c r="BJ648" i="28"/>
  <c r="BN654" i="28"/>
  <c r="BJ764" i="28"/>
  <c r="BI640" i="28"/>
  <c r="BF207" i="28"/>
  <c r="BM226" i="28"/>
  <c r="BM705" i="28"/>
  <c r="BK438" i="28"/>
  <c r="BJ487" i="28"/>
  <c r="BO487" i="28" s="1"/>
  <c r="BG695" i="28"/>
  <c r="BE227" i="28"/>
  <c r="BH175" i="28"/>
  <c r="BG448" i="28"/>
  <c r="BM713" i="28"/>
  <c r="BJ688" i="28"/>
  <c r="BD451" i="28"/>
  <c r="BL496" i="28"/>
  <c r="BG703" i="28"/>
  <c r="BL156" i="28"/>
  <c r="BE431" i="28"/>
  <c r="BD260" i="28"/>
  <c r="BC182" i="28"/>
  <c r="BF281" i="28"/>
  <c r="BN343" i="28"/>
  <c r="BM658" i="28"/>
  <c r="BD495" i="28"/>
  <c r="BN688" i="28"/>
  <c r="BN490" i="28"/>
  <c r="BD362" i="28"/>
  <c r="BJ760" i="28"/>
  <c r="BI684" i="28"/>
  <c r="BH279" i="28"/>
  <c r="BI341" i="28"/>
  <c r="BN737" i="28"/>
  <c r="BM640" i="28"/>
  <c r="BM231" i="28"/>
  <c r="BE317" i="28"/>
  <c r="BG286" i="28"/>
  <c r="BN246" i="28"/>
  <c r="BM250" i="28"/>
  <c r="BK645" i="28"/>
  <c r="BI769" i="28"/>
  <c r="BG665" i="28"/>
  <c r="BK681" i="28"/>
  <c r="BH682" i="28"/>
  <c r="BJ649" i="28"/>
  <c r="BK429" i="28"/>
  <c r="BF480" i="28"/>
  <c r="BK238" i="28"/>
  <c r="BG196" i="28"/>
  <c r="BL783" i="28"/>
  <c r="BH632" i="28"/>
  <c r="BC492" i="28"/>
  <c r="BI778" i="28"/>
  <c r="BH490" i="28"/>
  <c r="BL169" i="28"/>
  <c r="BF187" i="28"/>
  <c r="BJ231" i="28"/>
  <c r="BK158" i="28"/>
  <c r="BI679" i="28"/>
  <c r="BD421" i="28"/>
  <c r="BE642" i="28"/>
  <c r="BJ342" i="28"/>
  <c r="BF740" i="28"/>
  <c r="BM639" i="28"/>
  <c r="BH450" i="28"/>
  <c r="BE420" i="28"/>
  <c r="BH470" i="28"/>
  <c r="BH660" i="28"/>
  <c r="BK500" i="28"/>
  <c r="BK669" i="28"/>
  <c r="BK249" i="28"/>
  <c r="BM470" i="28"/>
  <c r="BN284" i="28"/>
  <c r="BG304" i="28"/>
  <c r="BM740" i="28"/>
  <c r="BJ718" i="28"/>
  <c r="BG465" i="28"/>
  <c r="BK441" i="28"/>
  <c r="BI437" i="28"/>
  <c r="BH486" i="28"/>
  <c r="BE694" i="28"/>
  <c r="BG747" i="28"/>
  <c r="BK748" i="28"/>
  <c r="BF233" i="28"/>
  <c r="BH278" i="28"/>
  <c r="BI701" i="28"/>
  <c r="BE485" i="28"/>
  <c r="BJ305" i="28"/>
  <c r="BC264" i="28"/>
  <c r="BL377" i="28"/>
  <c r="BJ490" i="28"/>
  <c r="BC314" i="28"/>
  <c r="BK444" i="28"/>
  <c r="BC251" i="28"/>
  <c r="BF492" i="28"/>
  <c r="BC263" i="28"/>
  <c r="BI657" i="28"/>
  <c r="BH271" i="28"/>
  <c r="BL337" i="28"/>
  <c r="BH454" i="28"/>
  <c r="BH333" i="28"/>
  <c r="BL451" i="28"/>
  <c r="BC694" i="28"/>
  <c r="BF201" i="28"/>
  <c r="BI183" i="28"/>
  <c r="BI756" i="28"/>
  <c r="BG639" i="28"/>
  <c r="BE269" i="28"/>
  <c r="BN335" i="28"/>
  <c r="BM737" i="28"/>
  <c r="BE637" i="28"/>
  <c r="BD428" i="28"/>
  <c r="BK288" i="28"/>
  <c r="BO288" i="28" s="1"/>
  <c r="BM188" i="28"/>
  <c r="BK356" i="28"/>
  <c r="BJ230" i="28"/>
  <c r="BD207" i="28"/>
  <c r="BI202" i="28"/>
  <c r="BJ295" i="28"/>
  <c r="BK676" i="28"/>
  <c r="BG235" i="28"/>
  <c r="BE180" i="28"/>
  <c r="BF204" i="28"/>
  <c r="BH214" i="28"/>
  <c r="BD210" i="28"/>
  <c r="BM345" i="28"/>
  <c r="BE774" i="28"/>
  <c r="BF659" i="28"/>
  <c r="BH230" i="28"/>
  <c r="BE242" i="28"/>
  <c r="BL240" i="28"/>
  <c r="BK179" i="28"/>
  <c r="BC665" i="28"/>
  <c r="BJ459" i="28"/>
  <c r="BM422" i="28"/>
  <c r="BM759" i="28"/>
  <c r="BL739" i="28"/>
  <c r="BI672" i="28"/>
  <c r="BJ296" i="28"/>
  <c r="BF368" i="28"/>
  <c r="BL264" i="28"/>
  <c r="BN712" i="28"/>
  <c r="BE469" i="28"/>
  <c r="BG290" i="28"/>
  <c r="BF250" i="28"/>
  <c r="BM254" i="28"/>
  <c r="BN476" i="28"/>
  <c r="BF738" i="28"/>
  <c r="BC200" i="28"/>
  <c r="BN773" i="28"/>
  <c r="BI267" i="28"/>
  <c r="BE286" i="28"/>
  <c r="BH384" i="28"/>
  <c r="BK295" i="28"/>
  <c r="BN267" i="28"/>
  <c r="BL259" i="28"/>
  <c r="BI689" i="28"/>
  <c r="BK467" i="28"/>
  <c r="BG758" i="28"/>
  <c r="BJ660" i="28"/>
  <c r="BF312" i="28"/>
  <c r="BL274" i="28"/>
  <c r="BE267" i="28"/>
  <c r="BC638" i="28"/>
  <c r="BM771" i="28"/>
  <c r="BG362" i="28"/>
  <c r="BI211" i="28"/>
  <c r="BL762" i="28"/>
  <c r="BH667" i="28"/>
  <c r="BG219" i="28"/>
  <c r="BN328" i="28"/>
  <c r="BF243" i="28"/>
  <c r="BM346" i="28"/>
  <c r="BH187" i="28"/>
  <c r="BG237" i="28"/>
  <c r="BH216" i="28"/>
  <c r="BF471" i="28"/>
  <c r="BH774" i="28"/>
  <c r="BK654" i="28"/>
  <c r="BL657" i="28"/>
  <c r="BC776" i="28"/>
  <c r="BN157" i="28"/>
  <c r="BF223" i="28"/>
  <c r="BJ748" i="28"/>
  <c r="BH634" i="28"/>
  <c r="BC289" i="28"/>
  <c r="BF249" i="28"/>
  <c r="BI240" i="28"/>
  <c r="BM678" i="28"/>
  <c r="BC461" i="28"/>
  <c r="BN258" i="28"/>
  <c r="BD709" i="28"/>
  <c r="BN290" i="28"/>
  <c r="BG373" i="28"/>
  <c r="BH703" i="28"/>
  <c r="BF239" i="28"/>
  <c r="BJ765" i="28"/>
  <c r="BH650" i="28"/>
  <c r="BH491" i="28"/>
  <c r="BE707" i="28"/>
  <c r="BM324" i="28"/>
  <c r="BC284" i="28"/>
  <c r="BN286" i="28"/>
  <c r="BK685" i="28"/>
  <c r="BK749" i="28"/>
  <c r="BJ322" i="28"/>
  <c r="BM685" i="28"/>
  <c r="BC650" i="28"/>
  <c r="BN782" i="28"/>
  <c r="BL197" i="28"/>
  <c r="BJ261" i="28"/>
  <c r="BL388" i="28"/>
  <c r="BF242" i="28"/>
  <c r="BC714" i="28"/>
  <c r="BD497" i="28"/>
  <c r="BJ367" i="28"/>
  <c r="BL475" i="28"/>
  <c r="BF363" i="28"/>
  <c r="BM686" i="28"/>
  <c r="BJ276" i="28"/>
  <c r="BM210" i="28"/>
  <c r="BE633" i="28"/>
  <c r="BN634" i="28"/>
  <c r="BF339" i="28"/>
  <c r="BC706" i="28"/>
  <c r="BL227" i="28"/>
  <c r="BJ349" i="28"/>
  <c r="BM758" i="28"/>
  <c r="BK298" i="28"/>
  <c r="BF213" i="28"/>
  <c r="BE262" i="28"/>
  <c r="BN218" i="28"/>
  <c r="BC716" i="28"/>
  <c r="BD652" i="28"/>
  <c r="BO652" i="28" s="1"/>
  <c r="BD377" i="28"/>
  <c r="BL225" i="28"/>
  <c r="BH685" i="28"/>
  <c r="BD259" i="28"/>
  <c r="BG324" i="28"/>
  <c r="BK491" i="28"/>
  <c r="BE480" i="28"/>
  <c r="BD677" i="28"/>
  <c r="BO677" i="28" s="1"/>
  <c r="BD236" i="28"/>
  <c r="BD285" i="28"/>
  <c r="BJ650" i="28"/>
  <c r="BC710" i="28"/>
  <c r="BI259" i="28"/>
  <c r="BJ709" i="28"/>
  <c r="BD364" i="28"/>
  <c r="BJ755" i="28"/>
  <c r="BC303" i="28"/>
  <c r="BJ192" i="28"/>
  <c r="BD176" i="28"/>
  <c r="BD701" i="28"/>
  <c r="BG767" i="28"/>
  <c r="BI430" i="28"/>
  <c r="BI390" i="28"/>
  <c r="BL774" i="28"/>
  <c r="BL178" i="28"/>
  <c r="BN708" i="28"/>
  <c r="BM174" i="28"/>
  <c r="BH246" i="28"/>
  <c r="BJ267" i="28"/>
  <c r="BJ763" i="28"/>
  <c r="BN658" i="28"/>
  <c r="BJ226" i="28"/>
  <c r="BJ494" i="28"/>
  <c r="BL265" i="28"/>
  <c r="BM330" i="28"/>
  <c r="BM176" i="28"/>
  <c r="BD318" i="28"/>
  <c r="BG227" i="28"/>
  <c r="BD251" i="28"/>
  <c r="BE315" i="28"/>
  <c r="BE375" i="28"/>
  <c r="BH757" i="28"/>
  <c r="BM428" i="28"/>
  <c r="BI444" i="28"/>
  <c r="BG221" i="28"/>
  <c r="BK665" i="28"/>
  <c r="BG229" i="28"/>
  <c r="BC228" i="28"/>
  <c r="BK768" i="28"/>
  <c r="BM216" i="28"/>
  <c r="BD305" i="28"/>
  <c r="BK635" i="28"/>
  <c r="BM488" i="28"/>
  <c r="BC684" i="28"/>
  <c r="BE259" i="28"/>
  <c r="BD704" i="28"/>
  <c r="BN181" i="28"/>
  <c r="BN262" i="28"/>
  <c r="BE671" i="28"/>
  <c r="BL746" i="28"/>
  <c r="BD348" i="28"/>
  <c r="BJ693" i="28"/>
  <c r="BL779" i="28"/>
  <c r="BJ772" i="28"/>
  <c r="BL669" i="28"/>
  <c r="BE313" i="28"/>
  <c r="BE272" i="28"/>
  <c r="BM277" i="28"/>
  <c r="BH696" i="28"/>
  <c r="BI486" i="28"/>
  <c r="BK187" i="28"/>
  <c r="BH234" i="28"/>
  <c r="BC222" i="28"/>
  <c r="BI438" i="28"/>
  <c r="BJ676" i="28"/>
  <c r="BK163" i="28"/>
  <c r="BG202" i="28"/>
  <c r="BF355" i="28"/>
  <c r="BG778" i="28"/>
  <c r="BL675" i="28"/>
  <c r="BJ455" i="28"/>
  <c r="BD690" i="28"/>
  <c r="BM189" i="28"/>
  <c r="BD759" i="28"/>
  <c r="BK638" i="28"/>
  <c r="BF654" i="28"/>
  <c r="BG772" i="28"/>
  <c r="BH387" i="28"/>
  <c r="BD351" i="28"/>
  <c r="BN644" i="28"/>
  <c r="BE752" i="28"/>
  <c r="BC382" i="28"/>
  <c r="BJ162" i="28"/>
  <c r="BF431" i="28"/>
  <c r="BJ174" i="28"/>
  <c r="BE231" i="28"/>
  <c r="BC351" i="28"/>
  <c r="BF365" i="28"/>
  <c r="BJ360" i="28"/>
  <c r="BM756" i="28"/>
  <c r="BG654" i="28"/>
  <c r="BG759" i="28"/>
  <c r="BD771" i="28"/>
  <c r="BE240" i="28"/>
  <c r="BL218" i="28"/>
  <c r="BJ473" i="28"/>
  <c r="BE687" i="28"/>
  <c r="BK283" i="28"/>
  <c r="BL244" i="28"/>
  <c r="BC235" i="28"/>
  <c r="BN470" i="28"/>
  <c r="BN710" i="28"/>
  <c r="BD188" i="28"/>
  <c r="BJ158" i="28"/>
  <c r="BC342" i="28"/>
  <c r="BF272" i="28"/>
  <c r="BC661" i="28"/>
  <c r="BN239" i="28"/>
  <c r="BJ203" i="28"/>
  <c r="BC186" i="28"/>
  <c r="BM745" i="28"/>
  <c r="BH753" i="28"/>
  <c r="BN460" i="28"/>
  <c r="BK704" i="28"/>
  <c r="BH210" i="28"/>
  <c r="BC194" i="28"/>
  <c r="BD775" i="28"/>
  <c r="BE650" i="28"/>
  <c r="BD177" i="28"/>
  <c r="BG225" i="28"/>
  <c r="BD206" i="28"/>
  <c r="BC639" i="28"/>
  <c r="BG763" i="28"/>
  <c r="BL359" i="28"/>
  <c r="BF376" i="28"/>
  <c r="BI186" i="28"/>
  <c r="BM168" i="28"/>
  <c r="BK211" i="28"/>
  <c r="BI178" i="28"/>
  <c r="BH226" i="28"/>
  <c r="BK212" i="28"/>
  <c r="BK767" i="28"/>
  <c r="BJ668" i="28"/>
  <c r="BN370" i="28"/>
  <c r="BL483" i="28"/>
  <c r="BO483" i="28" s="1"/>
  <c r="BJ311" i="28"/>
  <c r="BN445" i="28"/>
  <c r="BL494" i="28"/>
  <c r="BE702" i="28"/>
  <c r="BC371" i="28"/>
  <c r="BH382" i="28"/>
  <c r="BN689" i="28"/>
  <c r="BF322" i="28"/>
  <c r="BK339" i="28"/>
  <c r="BN360" i="28"/>
  <c r="BN380" i="28"/>
  <c r="BD371" i="28"/>
  <c r="BC376" i="28"/>
  <c r="BH379" i="28"/>
  <c r="BI747" i="28"/>
  <c r="BG631" i="28"/>
  <c r="BF679" i="28"/>
  <c r="BF278" i="28"/>
  <c r="BN234" i="28"/>
  <c r="BL643" i="28"/>
  <c r="BM447" i="28"/>
  <c r="BL386" i="28"/>
  <c r="BH350" i="28"/>
  <c r="BJ458" i="28"/>
  <c r="BC702" i="28"/>
  <c r="BE243" i="28"/>
  <c r="BH186" i="28"/>
  <c r="BN184" i="28"/>
  <c r="BN768" i="28"/>
  <c r="BL251" i="28"/>
  <c r="BH297" i="28"/>
  <c r="BL291" i="28"/>
  <c r="BC775" i="28"/>
  <c r="BK264" i="28"/>
  <c r="BD242" i="28"/>
  <c r="BG322" i="28"/>
  <c r="BH339" i="28"/>
  <c r="BH311" i="28"/>
  <c r="BH342" i="28"/>
  <c r="BK253" i="28"/>
  <c r="BJ478" i="28"/>
  <c r="BL452" i="28"/>
  <c r="BC462" i="28"/>
  <c r="BN750" i="28"/>
  <c r="BF468" i="28"/>
  <c r="BD271" i="28"/>
  <c r="BJ669" i="28"/>
  <c r="BH281" i="28"/>
  <c r="BG737" i="28"/>
  <c r="BK162" i="28"/>
  <c r="BL212" i="28"/>
  <c r="BK196" i="28"/>
  <c r="BD655" i="28"/>
  <c r="BE461" i="28"/>
  <c r="BF463" i="28"/>
  <c r="BM765" i="28"/>
  <c r="BM355" i="28"/>
  <c r="BM430" i="28"/>
  <c r="BI429" i="28"/>
  <c r="BJ479" i="28"/>
  <c r="BD714" i="28"/>
  <c r="BC355" i="28"/>
  <c r="BL368" i="28"/>
  <c r="BK425" i="28"/>
  <c r="BI680" i="28"/>
  <c r="BI168" i="28"/>
  <c r="BG427" i="28"/>
  <c r="BM193" i="28"/>
  <c r="BJ166" i="28"/>
  <c r="BN295" i="28"/>
  <c r="BJ333" i="28"/>
  <c r="BM304" i="28"/>
  <c r="BE433" i="28"/>
  <c r="BD378" i="28"/>
  <c r="BM777" i="28"/>
  <c r="BG672" i="28"/>
  <c r="BE493" i="28"/>
  <c r="BN748" i="28"/>
  <c r="BF429" i="28"/>
  <c r="BE441" i="28"/>
  <c r="BN666" i="28"/>
  <c r="BE703" i="28"/>
  <c r="BF713" i="28"/>
  <c r="BE460" i="28"/>
  <c r="BJ257" i="28"/>
  <c r="BE501" i="28"/>
  <c r="BF756" i="28"/>
  <c r="BN339" i="28"/>
  <c r="BM236" i="28"/>
  <c r="BL670" i="28"/>
  <c r="BM291" i="28"/>
  <c r="BH251" i="28"/>
  <c r="BE256" i="28"/>
  <c r="BC651" i="28"/>
  <c r="BJ501" i="28"/>
  <c r="BJ468" i="28"/>
  <c r="BJ708" i="28"/>
  <c r="BM299" i="28"/>
  <c r="BF258" i="28"/>
  <c r="BC435" i="28"/>
  <c r="BN484" i="28"/>
  <c r="BN749" i="28"/>
  <c r="BH298" i="28"/>
  <c r="BM261" i="28"/>
  <c r="BH372" i="28"/>
  <c r="BK771" i="28"/>
  <c r="BM665" i="28"/>
  <c r="BF377" i="28"/>
  <c r="BL191" i="28"/>
  <c r="BN213" i="28"/>
  <c r="BF333" i="28"/>
  <c r="BF210" i="28"/>
  <c r="BC276" i="28"/>
  <c r="BK452" i="28"/>
  <c r="BF739" i="28"/>
  <c r="BL690" i="28"/>
  <c r="BK479" i="28"/>
  <c r="BM348" i="28"/>
  <c r="BG344" i="28"/>
  <c r="BK460" i="28"/>
  <c r="BH477" i="28"/>
  <c r="BJ439" i="28"/>
  <c r="BJ176" i="28"/>
  <c r="BM449" i="28"/>
  <c r="BE715" i="28"/>
  <c r="BM208" i="28"/>
  <c r="BE445" i="28"/>
  <c r="BK161" i="28"/>
  <c r="BC297" i="28"/>
  <c r="BF178" i="28"/>
  <c r="BL360" i="28"/>
  <c r="BD462" i="28"/>
  <c r="BH356" i="28"/>
  <c r="BN676" i="28"/>
  <c r="BF631" i="28"/>
  <c r="BC679" i="28"/>
  <c r="BE191" i="28"/>
  <c r="BC644" i="28"/>
  <c r="BJ773" i="28"/>
  <c r="BF389" i="28"/>
  <c r="BJ437" i="28"/>
  <c r="BL778" i="28"/>
  <c r="BJ193" i="28"/>
  <c r="BH448" i="28"/>
  <c r="BL685" i="28"/>
  <c r="BN353" i="28"/>
  <c r="BI632" i="28"/>
  <c r="BC337" i="28"/>
  <c r="BD680" i="28"/>
  <c r="BD313" i="28"/>
  <c r="BK173" i="28"/>
  <c r="BI252" i="28"/>
  <c r="BF370" i="28"/>
  <c r="BM326" i="28"/>
  <c r="BF754" i="28"/>
  <c r="BD670" i="28"/>
  <c r="BD738" i="28"/>
  <c r="BE204" i="28"/>
  <c r="BM768" i="28"/>
  <c r="BM642" i="28"/>
  <c r="BN276" i="28"/>
  <c r="BL241" i="28"/>
  <c r="BH701" i="28"/>
  <c r="BL458" i="28"/>
  <c r="BG350" i="28"/>
  <c r="BC424" i="28"/>
  <c r="BC648" i="28"/>
  <c r="BF472" i="28"/>
  <c r="BD337" i="28"/>
  <c r="BD204" i="28"/>
  <c r="BL233" i="28"/>
  <c r="BH436" i="28"/>
  <c r="BF434" i="28"/>
  <c r="BE716" i="28"/>
  <c r="BF443" i="28"/>
  <c r="BD441" i="28"/>
  <c r="BL634" i="28"/>
  <c r="BN649" i="28"/>
  <c r="BL425" i="28"/>
  <c r="BL308" i="28"/>
  <c r="BG258" i="28"/>
  <c r="BK432" i="28"/>
  <c r="BI204" i="28"/>
  <c r="BN479" i="28"/>
  <c r="BM680" i="28"/>
  <c r="BH451" i="28"/>
  <c r="BL373" i="28"/>
  <c r="BC302" i="28"/>
  <c r="BI379" i="28"/>
  <c r="BL229" i="28"/>
  <c r="BM194" i="28"/>
  <c r="BI480" i="28"/>
  <c r="BH376" i="28"/>
  <c r="BL439" i="28"/>
  <c r="BI201" i="28"/>
  <c r="BE383" i="28"/>
  <c r="BH255" i="28"/>
  <c r="BL653" i="28"/>
  <c r="BJ636" i="28"/>
  <c r="BF358" i="28"/>
  <c r="BI224" i="28"/>
  <c r="BF337" i="28"/>
  <c r="BL319" i="28"/>
  <c r="BM689" i="28"/>
  <c r="BE192" i="28"/>
  <c r="BN204" i="28"/>
  <c r="BE328" i="28"/>
  <c r="BN753" i="28"/>
  <c r="BJ247" i="28"/>
  <c r="BN659" i="28"/>
  <c r="BL482" i="28"/>
  <c r="BD360" i="28"/>
  <c r="BI690" i="28"/>
  <c r="BH751" i="28"/>
  <c r="AW408" i="28"/>
  <c r="AW417" i="28"/>
  <c r="AW329" i="28"/>
  <c r="AW391" i="28"/>
  <c r="AW394" i="28"/>
  <c r="AW397" i="28"/>
  <c r="AV743" i="28"/>
  <c r="AX402" i="28"/>
  <c r="AZ744" i="28"/>
  <c r="BB744" i="28" s="1"/>
  <c r="AZ627" i="28"/>
  <c r="BP627" i="28" s="1"/>
  <c r="AZ613" i="28"/>
  <c r="BB613" i="28" s="1"/>
  <c r="AZ533" i="28"/>
  <c r="BP533" i="28" s="1"/>
  <c r="AZ139" i="28"/>
  <c r="BB139" i="28" s="1"/>
  <c r="AZ107" i="28"/>
  <c r="AZ43" i="28"/>
  <c r="AZ11" i="28"/>
  <c r="BP11" i="28" s="1"/>
  <c r="AZ568" i="28"/>
  <c r="BB568" i="28" s="1"/>
  <c r="AZ538" i="28"/>
  <c r="AZ516" i="28"/>
  <c r="BB516" i="28" s="1"/>
  <c r="AZ120" i="28"/>
  <c r="BP120" i="28" s="1"/>
  <c r="AZ30" i="28"/>
  <c r="BP30" i="28" s="1"/>
  <c r="AV400" i="28"/>
  <c r="AV412" i="28"/>
  <c r="AV396" i="28"/>
  <c r="AV392" i="28"/>
  <c r="AV327" i="28"/>
  <c r="AV416" i="28"/>
  <c r="AV585" i="28"/>
  <c r="AX786" i="28"/>
  <c r="AV727" i="28"/>
  <c r="AV336" i="28"/>
  <c r="AV404" i="28"/>
  <c r="AV408" i="28"/>
  <c r="AV547" i="28"/>
  <c r="AV625" i="28"/>
  <c r="AW115" i="28"/>
  <c r="AV593" i="28"/>
  <c r="AV26" i="28"/>
  <c r="AW605" i="28"/>
  <c r="AV577" i="28"/>
  <c r="AV609" i="28"/>
  <c r="AV744" i="28"/>
  <c r="AW415" i="28"/>
  <c r="AV538" i="28"/>
  <c r="AW418" i="28"/>
  <c r="AW405" i="28"/>
  <c r="AW123" i="28"/>
  <c r="AW505" i="28"/>
  <c r="AV552" i="28"/>
  <c r="AV560" i="28"/>
  <c r="AW412" i="28"/>
  <c r="AW327" i="28"/>
  <c r="AW396" i="28"/>
  <c r="AW402" i="28"/>
  <c r="AW99" i="28"/>
  <c r="AW131" i="28"/>
  <c r="AV573" i="28"/>
  <c r="AV581" i="28"/>
  <c r="AV589" i="28"/>
  <c r="AV597" i="28"/>
  <c r="AV605" i="28"/>
  <c r="AV613" i="28"/>
  <c r="AV621" i="28"/>
  <c r="AV629" i="28"/>
  <c r="AW399" i="28"/>
  <c r="AW107" i="28"/>
  <c r="AW139" i="28"/>
  <c r="AV536" i="28"/>
  <c r="AZ307" i="28"/>
  <c r="BP307" i="28" s="1"/>
  <c r="AZ383" i="28"/>
  <c r="BB383" i="28" s="1"/>
  <c r="AZ736" i="28"/>
  <c r="AZ281" i="28"/>
  <c r="AZ352" i="28"/>
  <c r="BF273" i="28"/>
  <c r="BM319" i="28"/>
  <c r="BE330" i="28"/>
  <c r="BN436" i="28"/>
  <c r="BJ206" i="28"/>
  <c r="BG709" i="28"/>
  <c r="BJ477" i="28"/>
  <c r="BG701" i="28"/>
  <c r="BE379" i="28"/>
  <c r="BC422" i="28"/>
  <c r="BJ238" i="28"/>
  <c r="BE305" i="28"/>
  <c r="BE295" i="28"/>
  <c r="BG670" i="28"/>
  <c r="BJ194" i="28"/>
  <c r="BN497" i="28"/>
  <c r="BK497" i="28"/>
  <c r="BK457" i="28"/>
  <c r="BC292" i="28"/>
  <c r="BI291" i="28"/>
  <c r="BC274" i="28"/>
  <c r="BL751" i="28"/>
  <c r="BK302" i="28"/>
  <c r="BJ464" i="28"/>
  <c r="BI710" i="28"/>
  <c r="BF169" i="28"/>
  <c r="BK670" i="28"/>
  <c r="BL777" i="28"/>
  <c r="BJ707" i="28"/>
  <c r="BD163" i="28"/>
  <c r="BD274" i="28"/>
  <c r="BN444" i="28"/>
  <c r="BN165" i="28"/>
  <c r="BD764" i="28"/>
  <c r="BI292" i="28"/>
  <c r="BJ498" i="28"/>
  <c r="BL771" i="28"/>
  <c r="BG459" i="28"/>
  <c r="BE163" i="28"/>
  <c r="BF344" i="28"/>
  <c r="BF419" i="28"/>
  <c r="BD696" i="28"/>
  <c r="BN660" i="28"/>
  <c r="BG388" i="28"/>
  <c r="BI326" i="28"/>
  <c r="BE434" i="28"/>
  <c r="BK495" i="28"/>
  <c r="BG328" i="28"/>
  <c r="BE208" i="28"/>
  <c r="BC781" i="28"/>
  <c r="BD765" i="28"/>
  <c r="BL444" i="28"/>
  <c r="BH498" i="28"/>
  <c r="BL255" i="28"/>
  <c r="BM232" i="28"/>
  <c r="BJ355" i="28"/>
  <c r="BI307" i="28"/>
  <c r="BC695" i="28"/>
  <c r="BG457" i="28"/>
  <c r="BF301" i="28"/>
  <c r="BH755" i="28"/>
  <c r="BH168" i="28"/>
  <c r="BC494" i="28"/>
  <c r="BC470" i="28"/>
  <c r="BL691" i="28"/>
  <c r="BC748" i="28"/>
  <c r="BE304" i="28"/>
  <c r="BD299" i="28"/>
  <c r="BC735" i="28"/>
  <c r="BH328" i="28"/>
  <c r="BN747" i="28"/>
  <c r="BH299" i="28"/>
  <c r="BL465" i="28"/>
  <c r="BM481" i="28"/>
  <c r="BL430" i="28"/>
  <c r="BM244" i="28"/>
  <c r="BH468" i="28"/>
  <c r="BK481" i="28"/>
  <c r="BM380" i="28"/>
  <c r="BI419" i="28"/>
  <c r="AZ377" i="28"/>
  <c r="BB377" i="28" s="1"/>
  <c r="AZ681" i="28"/>
  <c r="AZ268" i="28"/>
  <c r="BM183" i="28"/>
  <c r="BH263" i="28"/>
  <c r="BJ364" i="28"/>
  <c r="BJ737" i="28"/>
  <c r="BG383" i="28"/>
  <c r="BM247" i="28"/>
  <c r="BJ771" i="28"/>
  <c r="BJ156" i="28"/>
  <c r="BI489" i="28"/>
  <c r="BC300" i="28"/>
  <c r="BN713" i="28"/>
  <c r="BM356" i="28"/>
  <c r="BD187" i="28"/>
  <c r="BF770" i="28"/>
  <c r="BN164" i="28"/>
  <c r="BC719" i="28"/>
  <c r="BH637" i="28"/>
  <c r="BI754" i="28"/>
  <c r="BL422" i="28"/>
  <c r="BN178" i="28"/>
  <c r="BH190" i="28"/>
  <c r="BF261" i="28"/>
  <c r="BI467" i="28"/>
  <c r="BG355" i="28"/>
  <c r="BI169" i="28"/>
  <c r="BJ682" i="28"/>
  <c r="BC348" i="28"/>
  <c r="BN174" i="28"/>
  <c r="BK308" i="28"/>
  <c r="BE749" i="28"/>
  <c r="BI431" i="28"/>
  <c r="BN452" i="28"/>
  <c r="BF191" i="28"/>
  <c r="BK651" i="28"/>
  <c r="BJ714" i="28"/>
  <c r="BE200" i="28"/>
  <c r="BN238" i="28"/>
  <c r="BM220" i="28"/>
  <c r="BD745" i="28"/>
  <c r="BC467" i="28"/>
  <c r="BL195" i="28"/>
  <c r="BJ698" i="28"/>
  <c r="BL428" i="28"/>
  <c r="BG181" i="28"/>
  <c r="BM663" i="28"/>
  <c r="BJ766" i="28"/>
  <c r="BN421" i="28"/>
  <c r="BF634" i="28"/>
  <c r="BD193" i="28"/>
  <c r="BI218" i="28"/>
  <c r="BN754" i="28"/>
  <c r="BL283" i="28"/>
  <c r="BL646" i="28"/>
  <c r="BL206" i="28"/>
  <c r="BG777" i="28"/>
  <c r="BC191" i="28"/>
  <c r="BK254" i="28"/>
  <c r="BI719" i="28"/>
  <c r="BK639" i="28"/>
  <c r="BK473" i="28"/>
  <c r="BM372" i="28"/>
  <c r="BK246" i="28"/>
  <c r="BJ202" i="28"/>
  <c r="BF177" i="28"/>
  <c r="BN235" i="28"/>
  <c r="BJ212" i="28"/>
  <c r="BH479" i="28"/>
  <c r="BM714" i="28"/>
  <c r="BD369" i="28"/>
  <c r="BN752" i="28"/>
  <c r="BC766" i="28"/>
  <c r="BI435" i="28"/>
  <c r="BJ472" i="28"/>
  <c r="BM706" i="28"/>
  <c r="BI745" i="28"/>
  <c r="BD503" i="28"/>
  <c r="BG384" i="28"/>
  <c r="BM388" i="28"/>
  <c r="BI427" i="28"/>
  <c r="BE430" i="28"/>
  <c r="BE253" i="28"/>
  <c r="BD264" i="28"/>
  <c r="BE181" i="28"/>
  <c r="BF305" i="28"/>
  <c r="BE465" i="28"/>
  <c r="BH709" i="28"/>
  <c r="BH248" i="28"/>
  <c r="BK255" i="28"/>
  <c r="BD293" i="28"/>
  <c r="BC465" i="28"/>
  <c r="BM683" i="28"/>
  <c r="BH257" i="28"/>
  <c r="BM205" i="28"/>
  <c r="AZ332" i="28"/>
  <c r="BB332" i="28" s="1"/>
  <c r="AZ283" i="28"/>
  <c r="AZ699" i="28"/>
  <c r="BB699" i="28" s="1"/>
  <c r="BN368" i="28"/>
  <c r="BI384" i="28"/>
  <c r="BM159" i="28"/>
  <c r="BF776" i="28"/>
  <c r="BE346" i="28"/>
  <c r="BD748" i="28"/>
  <c r="BN669" i="28"/>
  <c r="BC163" i="28"/>
  <c r="BI650" i="28"/>
  <c r="BF762" i="28"/>
  <c r="BK693" i="28"/>
  <c r="BM457" i="28"/>
  <c r="BG662" i="28"/>
  <c r="BG233" i="28"/>
  <c r="BL215" i="28"/>
  <c r="BE474" i="28"/>
  <c r="BG177" i="28"/>
  <c r="BG697" i="28"/>
  <c r="BJ312" i="28"/>
  <c r="BE466" i="28"/>
  <c r="BL638" i="28"/>
  <c r="BF162" i="28"/>
  <c r="BF287" i="28"/>
  <c r="BE661" i="28"/>
  <c r="BE750" i="28"/>
  <c r="BH689" i="28"/>
  <c r="BD159" i="28"/>
  <c r="BD656" i="28"/>
  <c r="BL631" i="28"/>
  <c r="BG390" i="28"/>
  <c r="BG195" i="28"/>
  <c r="BM262" i="28"/>
  <c r="BL478" i="28"/>
  <c r="BC203" i="28"/>
  <c r="BH266" i="28"/>
  <c r="BF444" i="28"/>
  <c r="BN471" i="28"/>
  <c r="BJ673" i="28"/>
  <c r="BG320" i="28"/>
  <c r="BJ657" i="28"/>
  <c r="BN455" i="28"/>
  <c r="BM301" i="28"/>
  <c r="BE741" i="28"/>
  <c r="BK684" i="28"/>
  <c r="BL311" i="28"/>
  <c r="BD358" i="28"/>
  <c r="BC459" i="28"/>
  <c r="BE470" i="28"/>
  <c r="BC295" i="28"/>
  <c r="BF351" i="28"/>
  <c r="BC358" i="28"/>
  <c r="BC185" i="28"/>
  <c r="BI244" i="28"/>
  <c r="BM698" i="28"/>
  <c r="BN304" i="28"/>
  <c r="BK634" i="28"/>
  <c r="BL660" i="28"/>
  <c r="BI314" i="28"/>
  <c r="BN458" i="28"/>
  <c r="BM473" i="28"/>
  <c r="BJ461" i="28"/>
  <c r="BG368" i="28"/>
  <c r="BH201" i="28"/>
  <c r="BL237" i="28"/>
  <c r="BM252" i="28"/>
  <c r="BI189" i="28"/>
  <c r="BE218" i="28"/>
  <c r="BL479" i="28"/>
  <c r="BC753" i="28"/>
  <c r="BF501" i="28"/>
  <c r="BL217" i="28"/>
  <c r="BC320" i="28"/>
  <c r="BM260" i="28"/>
  <c r="BF664" i="28"/>
  <c r="BH674" i="28"/>
  <c r="BI330" i="28"/>
  <c r="BN269" i="28"/>
  <c r="BK745" i="28"/>
  <c r="BM489" i="28"/>
  <c r="BK655" i="28"/>
  <c r="BK758" i="28"/>
  <c r="BH322" i="28"/>
  <c r="AZ235" i="28"/>
  <c r="BP235" i="28" s="1"/>
  <c r="AZ356" i="28"/>
  <c r="BP356" i="28" s="1"/>
  <c r="AZ172" i="28"/>
  <c r="BB172" i="28" s="1"/>
  <c r="AZ485" i="28"/>
  <c r="BP485" i="28" s="1"/>
  <c r="AZ205" i="28"/>
  <c r="BI283" i="28"/>
  <c r="BN777" i="28"/>
  <c r="BE447" i="28"/>
  <c r="BL442" i="28"/>
  <c r="BE158" i="28"/>
  <c r="BN492" i="28"/>
  <c r="BK763" i="28"/>
  <c r="BJ497" i="28"/>
  <c r="BI197" i="28"/>
  <c r="BK337" i="28"/>
  <c r="BF711" i="28"/>
  <c r="BK465" i="28"/>
  <c r="BI658" i="28"/>
  <c r="BG352" i="28"/>
  <c r="BM332" i="28"/>
  <c r="BM287" i="28"/>
  <c r="BC161" i="28"/>
  <c r="BN306" i="28"/>
  <c r="BE308" i="28"/>
  <c r="BG480" i="28"/>
  <c r="BI717" i="28"/>
  <c r="BL333" i="28"/>
  <c r="BH203" i="28"/>
  <c r="BE354" i="28"/>
  <c r="BL446" i="28"/>
  <c r="BM752" i="28"/>
  <c r="BF354" i="28"/>
  <c r="BM450" i="28"/>
  <c r="BI456" i="28"/>
  <c r="BG467" i="28"/>
  <c r="BM170" i="28"/>
  <c r="BE735" i="28"/>
  <c r="BH294" i="28"/>
  <c r="BM297" i="28"/>
  <c r="BG762" i="28"/>
  <c r="BK770" i="28"/>
  <c r="BD664" i="28"/>
  <c r="BL665" i="28"/>
  <c r="BM671" i="28"/>
  <c r="BK366" i="28"/>
  <c r="BN640" i="28"/>
  <c r="BK358" i="28"/>
  <c r="BE206" i="28"/>
  <c r="BE717" i="28"/>
  <c r="BM715" i="28"/>
  <c r="BJ315" i="28"/>
  <c r="BN639" i="28"/>
  <c r="BG678" i="28"/>
  <c r="BC339" i="28"/>
  <c r="BF353" i="28"/>
  <c r="BF442" i="28"/>
  <c r="BG163" i="28"/>
  <c r="BK431" i="28"/>
  <c r="BN686" i="28"/>
  <c r="BG168" i="28"/>
  <c r="BJ653" i="28"/>
  <c r="BF475" i="28"/>
  <c r="BC199" i="28"/>
  <c r="BI160" i="28"/>
  <c r="BD256" i="28"/>
  <c r="BE193" i="28"/>
  <c r="BN232" i="28"/>
  <c r="BL199" i="28"/>
  <c r="BM656" i="28"/>
  <c r="BK260" i="28"/>
  <c r="BD216" i="28"/>
  <c r="BC681" i="28"/>
  <c r="BG775" i="28"/>
  <c r="BG430" i="28"/>
  <c r="BE302" i="28"/>
  <c r="BC736" i="28"/>
  <c r="BL651" i="28"/>
  <c r="BM661" i="28"/>
  <c r="BJ250" i="28"/>
  <c r="BM257" i="28"/>
  <c r="BC285" i="28"/>
  <c r="BN347" i="28"/>
  <c r="BG275" i="28"/>
  <c r="BE349" i="28"/>
  <c r="BG218" i="28"/>
  <c r="BK341" i="28"/>
  <c r="BJ488" i="28"/>
  <c r="BJ686" i="28"/>
  <c r="BF378" i="28"/>
  <c r="BI762" i="28"/>
  <c r="BN775" i="28"/>
  <c r="BK217" i="28"/>
  <c r="BD231" i="28"/>
  <c r="BK690" i="28"/>
  <c r="BJ444" i="28"/>
  <c r="BD689" i="28"/>
  <c r="BD449" i="28"/>
  <c r="BK209" i="28"/>
  <c r="BF224" i="28"/>
  <c r="BD272" i="28"/>
  <c r="BG297" i="28"/>
  <c r="BM203" i="28"/>
  <c r="BI332" i="28"/>
  <c r="BN256" i="28"/>
  <c r="BI784" i="28"/>
  <c r="BI664" i="28"/>
  <c r="BH456" i="28"/>
  <c r="BJ201" i="28"/>
  <c r="BK664" i="28"/>
  <c r="BM644" i="28"/>
  <c r="BK755" i="28"/>
  <c r="BK188" i="28"/>
  <c r="BN205" i="28"/>
  <c r="BD702" i="28"/>
  <c r="BH310" i="28"/>
  <c r="BE670" i="28"/>
  <c r="BJ227" i="28"/>
  <c r="BC167" i="28"/>
  <c r="BG389" i="28"/>
  <c r="BD695" i="28"/>
  <c r="BN202" i="28"/>
  <c r="BE337" i="28"/>
  <c r="BC673" i="28"/>
  <c r="BH630" i="28"/>
  <c r="BE655" i="28"/>
  <c r="BI284" i="28"/>
  <c r="BK368" i="28"/>
  <c r="BN494" i="28"/>
  <c r="BI695" i="28"/>
  <c r="BF476" i="28"/>
  <c r="BH184" i="28"/>
  <c r="BM775" i="28"/>
  <c r="BI176" i="28"/>
  <c r="BE478" i="28"/>
  <c r="BJ758" i="28"/>
  <c r="BL632" i="28"/>
  <c r="BF256" i="28"/>
  <c r="BJ309" i="28"/>
  <c r="BK647" i="28"/>
  <c r="BF208" i="28"/>
  <c r="BD712" i="28"/>
  <c r="BG308" i="28"/>
  <c r="BH229" i="28"/>
  <c r="BC379" i="28"/>
  <c r="BF324" i="28"/>
  <c r="BE709" i="28"/>
  <c r="BH444" i="28"/>
  <c r="BH220" i="28"/>
  <c r="BN446" i="28"/>
  <c r="BC207" i="28"/>
  <c r="BF760" i="28"/>
  <c r="BH435" i="28"/>
  <c r="BF718" i="28"/>
  <c r="BE697" i="28"/>
  <c r="BK262" i="28"/>
  <c r="BE306" i="28"/>
  <c r="BF216" i="28"/>
  <c r="BE159" i="28"/>
  <c r="BD476" i="28"/>
  <c r="BK200" i="28"/>
  <c r="BF473" i="28"/>
  <c r="BM669" i="28"/>
  <c r="BN478" i="28"/>
  <c r="BJ265" i="28"/>
  <c r="BC293" i="28"/>
  <c r="BM648" i="28"/>
  <c r="BE770" i="28"/>
  <c r="BC457" i="28"/>
  <c r="BI236" i="28"/>
  <c r="BN245" i="28"/>
  <c r="BC240" i="28"/>
  <c r="BG230" i="28"/>
  <c r="BL211" i="28"/>
  <c r="BL231" i="28"/>
  <c r="BG739" i="28"/>
  <c r="BL635" i="28"/>
  <c r="BN226" i="28"/>
  <c r="BK330" i="28"/>
  <c r="BF270" i="28"/>
  <c r="BH673" i="28"/>
  <c r="BC687" i="28"/>
  <c r="BI737" i="28"/>
  <c r="BE179" i="28"/>
  <c r="BL481" i="28"/>
  <c r="BJ717" i="28"/>
  <c r="BG755" i="28"/>
  <c r="BF638" i="28"/>
  <c r="BK482" i="28"/>
  <c r="BG756" i="28"/>
  <c r="BE171" i="28"/>
  <c r="BF259" i="28"/>
  <c r="BE343" i="28"/>
  <c r="BL179" i="28"/>
  <c r="BL223" i="28"/>
  <c r="BG381" i="28"/>
  <c r="BI707" i="28"/>
  <c r="BD463" i="28"/>
  <c r="BD649" i="28"/>
  <c r="BH700" i="28"/>
  <c r="BN465" i="28"/>
  <c r="BF430" i="28"/>
  <c r="BG634" i="28"/>
  <c r="BG735" i="28"/>
  <c r="AZ357" i="28"/>
  <c r="BN345" i="28"/>
  <c r="BJ179" i="28"/>
  <c r="BN317" i="28"/>
  <c r="BG330" i="28"/>
  <c r="BE764" i="28"/>
  <c r="BC299" i="28"/>
  <c r="BI187" i="28"/>
  <c r="BN705" i="28"/>
  <c r="BI670" i="28"/>
  <c r="BI772" i="28"/>
  <c r="BD330" i="28"/>
  <c r="BJ655" i="28"/>
  <c r="BK470" i="28"/>
  <c r="BE182" i="28"/>
  <c r="BH706" i="28"/>
  <c r="BH421" i="28"/>
  <c r="BC499" i="28"/>
  <c r="BN281" i="28"/>
  <c r="BM172" i="28"/>
  <c r="BE761" i="28"/>
  <c r="BK709" i="28"/>
  <c r="BJ777" i="28"/>
  <c r="BF751" i="28"/>
  <c r="BC183" i="28"/>
  <c r="BC272" i="28"/>
  <c r="BI685" i="28"/>
  <c r="BE494" i="28"/>
  <c r="BC472" i="28"/>
  <c r="BI746" i="28"/>
  <c r="BJ768" i="28"/>
  <c r="BL705" i="28"/>
  <c r="BJ667" i="28"/>
  <c r="BI322" i="28"/>
  <c r="BD250" i="28"/>
  <c r="BD324" i="28"/>
  <c r="BL710" i="28"/>
  <c r="BJ774" i="28"/>
  <c r="BM426" i="28"/>
  <c r="BM351" i="28"/>
  <c r="BG692" i="28"/>
  <c r="BE498" i="28"/>
  <c r="BL252" i="28"/>
  <c r="BN703" i="28"/>
  <c r="BF469" i="28"/>
  <c r="BI493" i="28"/>
  <c r="BI763" i="28"/>
  <c r="BM197" i="28"/>
  <c r="BJ467" i="28"/>
  <c r="BD430" i="28"/>
  <c r="BC198" i="28"/>
  <c r="BH276" i="28"/>
  <c r="BK258" i="28"/>
  <c r="BM179" i="28"/>
  <c r="BE630" i="28"/>
  <c r="BJ739" i="28"/>
  <c r="BC174" i="28"/>
  <c r="BF193" i="28"/>
  <c r="BJ229" i="28"/>
  <c r="BF491" i="28"/>
  <c r="BD641" i="28"/>
  <c r="BN447" i="28"/>
  <c r="BI755" i="28"/>
  <c r="BN502" i="28"/>
  <c r="BJ666" i="28"/>
  <c r="BI768" i="28"/>
  <c r="BD346" i="28"/>
  <c r="BD770" i="28"/>
  <c r="BI213" i="28"/>
  <c r="BG432" i="28"/>
  <c r="BG170" i="28"/>
  <c r="BC315" i="28"/>
  <c r="BG642" i="28"/>
  <c r="BL745" i="28"/>
  <c r="BJ348" i="28"/>
  <c r="BG274" i="28"/>
  <c r="BE453" i="28"/>
  <c r="BD699" i="28"/>
  <c r="BK248" i="28"/>
  <c r="BJ354" i="28"/>
  <c r="BN390" i="28"/>
  <c r="BE776" i="28"/>
  <c r="BK499" i="28"/>
  <c r="BI748" i="28"/>
  <c r="BK746" i="28"/>
  <c r="AZ415" i="28"/>
  <c r="AZ748" i="28"/>
  <c r="AZ671" i="28"/>
  <c r="AZ762" i="28"/>
  <c r="BB762" i="28" s="1"/>
  <c r="AZ294" i="28"/>
  <c r="AZ258" i="28"/>
  <c r="AZ759" i="28"/>
  <c r="AZ209" i="28"/>
  <c r="AZ388" i="28"/>
  <c r="AZ487" i="28"/>
  <c r="BB487" i="28" s="1"/>
  <c r="AZ463" i="28"/>
  <c r="BP463" i="28" s="1"/>
  <c r="AZ676" i="28"/>
  <c r="AZ286" i="28"/>
  <c r="AZ647" i="28"/>
  <c r="BP647" i="28" s="1"/>
  <c r="AZ239" i="28"/>
  <c r="AZ313" i="28"/>
  <c r="BP313" i="28" s="1"/>
  <c r="AZ160" i="28"/>
  <c r="AZ427" i="28"/>
  <c r="AZ380" i="28"/>
  <c r="BB380" i="28" s="1"/>
  <c r="AZ750" i="28"/>
  <c r="BP750" i="28" s="1"/>
  <c r="AZ428" i="28"/>
  <c r="AZ298" i="28"/>
  <c r="BP298" i="28" s="1"/>
  <c r="AZ739" i="28"/>
  <c r="BB739" i="28" s="1"/>
  <c r="AZ700" i="28"/>
  <c r="BB700" i="28" s="1"/>
  <c r="AZ711" i="28"/>
  <c r="AZ486" i="28"/>
  <c r="AZ263" i="28"/>
  <c r="BP263" i="28" s="1"/>
  <c r="AZ156" i="28"/>
  <c r="AZ479" i="28"/>
  <c r="AZ441" i="28"/>
  <c r="AZ453" i="28"/>
  <c r="AZ652" i="28"/>
  <c r="BB652" i="28" s="1"/>
  <c r="BJ319" i="28"/>
  <c r="BJ358" i="28"/>
  <c r="BD657" i="28"/>
  <c r="BH282" i="28"/>
  <c r="BF180" i="28"/>
  <c r="BF164" i="28"/>
  <c r="BJ191" i="28"/>
  <c r="BM420" i="28"/>
  <c r="BH240" i="28"/>
  <c r="BN198" i="28"/>
  <c r="BH314" i="28"/>
  <c r="BF702" i="28"/>
  <c r="BG190" i="28"/>
  <c r="BD296" i="28"/>
  <c r="BM437" i="28"/>
  <c r="BI339" i="28"/>
  <c r="BI434" i="28"/>
  <c r="BN389" i="28"/>
  <c r="BL761" i="28"/>
  <c r="BI655" i="28"/>
  <c r="BH676" i="28"/>
  <c r="BD444" i="28"/>
  <c r="BK446" i="28"/>
  <c r="BJ711" i="28"/>
  <c r="BC455" i="28"/>
  <c r="BK164" i="28"/>
  <c r="BH185" i="28"/>
  <c r="BH780" i="28"/>
  <c r="BI647" i="28"/>
  <c r="BK672" i="28"/>
  <c r="BL704" i="28"/>
  <c r="BC447" i="28"/>
  <c r="BK156" i="28"/>
  <c r="BJ178" i="28"/>
  <c r="BN214" i="28"/>
  <c r="BL247" i="28"/>
  <c r="BN784" i="28"/>
  <c r="BN301" i="28"/>
  <c r="BI270" i="28"/>
  <c r="BC771" i="28"/>
  <c r="BN655" i="28"/>
  <c r="BI386" i="28"/>
  <c r="BN439" i="28"/>
  <c r="BI426" i="28"/>
  <c r="BL642" i="28"/>
  <c r="BH631" i="28"/>
  <c r="BK450" i="28"/>
  <c r="BM707" i="28"/>
  <c r="AZ468" i="28"/>
  <c r="AZ381" i="28"/>
  <c r="BP381" i="28" s="1"/>
  <c r="AZ767" i="28"/>
  <c r="AZ226" i="28"/>
  <c r="BP226" i="28" s="1"/>
  <c r="AZ243" i="28"/>
  <c r="AZ458" i="28"/>
  <c r="AZ322" i="28"/>
  <c r="BB322" i="28" s="1"/>
  <c r="AZ419" i="28"/>
  <c r="BB419" i="28" s="1"/>
  <c r="AZ280" i="28"/>
  <c r="AZ470" i="28"/>
  <c r="AZ668" i="28"/>
  <c r="AZ745" i="28"/>
  <c r="BP745" i="28" s="1"/>
  <c r="AZ445" i="28"/>
  <c r="AZ367" i="28"/>
  <c r="AZ753" i="28"/>
  <c r="AZ675" i="28"/>
  <c r="AZ443" i="28"/>
  <c r="AZ212" i="28"/>
  <c r="BP212" i="28" s="1"/>
  <c r="AZ714" i="28"/>
  <c r="BP714" i="28" s="1"/>
  <c r="AZ171" i="28"/>
  <c r="AZ310" i="28"/>
  <c r="BP310" i="28" s="1"/>
  <c r="AZ219" i="28"/>
  <c r="AZ315" i="28"/>
  <c r="AZ460" i="28"/>
  <c r="AZ690" i="28"/>
  <c r="AZ432" i="28"/>
  <c r="AZ678" i="28"/>
  <c r="BP678" i="28" s="1"/>
  <c r="AZ159" i="28"/>
  <c r="AZ430" i="28"/>
  <c r="AZ645" i="28"/>
  <c r="BP645" i="28" s="1"/>
  <c r="AZ763" i="28"/>
  <c r="AZ389" i="28"/>
  <c r="AZ373" i="28"/>
  <c r="AZ317" i="28"/>
  <c r="BG369" i="28"/>
  <c r="BI248" i="28"/>
  <c r="BI365" i="28"/>
  <c r="BD168" i="28"/>
  <c r="BH183" i="28"/>
  <c r="BE464" i="28"/>
  <c r="BE165" i="28"/>
  <c r="BI193" i="28"/>
  <c r="BD180" i="28"/>
  <c r="BF465" i="28"/>
  <c r="BH347" i="28"/>
  <c r="BG379" i="28"/>
  <c r="BK344" i="28"/>
  <c r="BN240" i="28"/>
  <c r="BM207" i="28"/>
  <c r="BK226" i="28"/>
  <c r="BH345" i="28"/>
  <c r="BF302" i="28"/>
  <c r="BH670" i="28"/>
  <c r="BC349" i="28"/>
  <c r="BJ289" i="28"/>
  <c r="BJ754" i="28"/>
  <c r="BC466" i="28"/>
  <c r="BH466" i="28"/>
  <c r="BK667" i="28"/>
  <c r="BF745" i="28"/>
  <c r="BJ663" i="28"/>
  <c r="BC458" i="28"/>
  <c r="BD437" i="28"/>
  <c r="BD666" i="28"/>
  <c r="BM695" i="28"/>
  <c r="BE160" i="28"/>
  <c r="BM378" i="28"/>
  <c r="BD232" i="28"/>
  <c r="BF196" i="28"/>
  <c r="BN381" i="28"/>
  <c r="BE678" i="28"/>
  <c r="BL437" i="28"/>
  <c r="AZ648" i="28"/>
  <c r="BB648" i="28" s="1"/>
  <c r="AZ279" i="28"/>
  <c r="AZ644" i="28"/>
  <c r="BB644" i="28" s="1"/>
  <c r="AZ475" i="28"/>
  <c r="AZ385" i="28"/>
  <c r="AZ683" i="28"/>
  <c r="AZ421" i="28"/>
  <c r="AZ333" i="28"/>
  <c r="BP333" i="28" s="1"/>
  <c r="AZ326" i="28"/>
  <c r="AZ308" i="28"/>
  <c r="BB308" i="28" s="1"/>
  <c r="AZ716" i="28"/>
  <c r="BP716" i="28" s="1"/>
  <c r="AZ667" i="28"/>
  <c r="BB667" i="28" s="1"/>
  <c r="AZ664" i="28"/>
  <c r="AZ244" i="28"/>
  <c r="AZ297" i="28"/>
  <c r="AZ495" i="28"/>
  <c r="BB495" i="28" s="1"/>
  <c r="AZ351" i="28"/>
  <c r="BF255" i="28"/>
  <c r="BL383" i="28"/>
  <c r="BN291" i="28"/>
  <c r="BG299" i="28"/>
  <c r="BI315" i="28"/>
  <c r="BK191" i="28"/>
  <c r="BL200" i="28"/>
  <c r="BD171" i="28"/>
  <c r="BN493" i="28"/>
  <c r="BE455" i="28"/>
  <c r="BM278" i="28"/>
  <c r="BN183" i="28"/>
  <c r="BM659" i="28"/>
  <c r="BI289" i="28"/>
  <c r="BG712" i="28"/>
  <c r="BN680" i="28"/>
  <c r="BI281" i="28"/>
  <c r="BM190" i="28"/>
  <c r="BM366" i="28"/>
  <c r="BN714" i="28"/>
  <c r="BN322" i="28"/>
  <c r="BG255" i="28"/>
  <c r="BF682" i="28"/>
  <c r="BE387" i="28"/>
  <c r="BC430" i="28"/>
  <c r="BL737" i="28"/>
  <c r="BH687" i="28"/>
  <c r="BL470" i="28"/>
  <c r="BI484" i="28"/>
  <c r="BK193" i="28"/>
  <c r="BJ210" i="28"/>
  <c r="BI257" i="28"/>
  <c r="BD239" i="28"/>
  <c r="BM187" i="28"/>
  <c r="BF228" i="28"/>
  <c r="BG365" i="28"/>
  <c r="BJ679" i="28"/>
  <c r="BM465" i="28"/>
  <c r="BF190" i="28"/>
  <c r="BN740" i="28"/>
  <c r="BK476" i="28"/>
  <c r="BE452" i="28"/>
  <c r="BN701" i="28"/>
  <c r="BF736" i="28"/>
  <c r="BL672" i="28"/>
  <c r="BH704" i="28"/>
  <c r="BC757" i="28"/>
  <c r="BK468" i="28"/>
  <c r="BJ475" i="28"/>
  <c r="BI678" i="28"/>
  <c r="BD755" i="28"/>
  <c r="BJ272" i="28"/>
  <c r="BF172" i="28"/>
  <c r="BK678" i="28"/>
  <c r="BF425" i="28"/>
  <c r="BG461" i="28"/>
  <c r="BL354" i="28"/>
  <c r="BE666" i="28"/>
  <c r="BH427" i="28"/>
  <c r="BI374" i="28"/>
  <c r="BJ429" i="28"/>
  <c r="BN762" i="28"/>
  <c r="BF503" i="28"/>
  <c r="BE691" i="28"/>
  <c r="BJ420" i="28"/>
  <c r="BI366" i="28"/>
  <c r="BE296" i="28"/>
  <c r="BL198" i="28"/>
  <c r="BN441" i="28"/>
  <c r="BL348" i="28"/>
  <c r="BM215" i="28"/>
  <c r="BL389" i="28"/>
  <c r="BI496" i="28"/>
  <c r="BD779" i="28"/>
  <c r="BJ292" i="28"/>
  <c r="BK290" i="28"/>
  <c r="BJ638" i="28"/>
  <c r="BJ745" i="28"/>
  <c r="BG301" i="28"/>
  <c r="BC356" i="28"/>
  <c r="BI459" i="28"/>
  <c r="BL441" i="28"/>
  <c r="BC664" i="28"/>
  <c r="BI239" i="28"/>
  <c r="BC464" i="28"/>
  <c r="BC741" i="28"/>
  <c r="BF319" i="28"/>
  <c r="BK239" i="28"/>
  <c r="BG183" i="28"/>
  <c r="BC164" i="28"/>
  <c r="BN233" i="28"/>
  <c r="BH683" i="28"/>
  <c r="BC456" i="28"/>
  <c r="BE713" i="28"/>
  <c r="BI164" i="28"/>
  <c r="BJ253" i="28"/>
  <c r="BG630" i="28"/>
  <c r="BE755" i="28"/>
  <c r="BJ262" i="28"/>
  <c r="BK713" i="28"/>
  <c r="BK485" i="28"/>
  <c r="BG496" i="28"/>
  <c r="BM747" i="28"/>
  <c r="BI385" i="28"/>
  <c r="BD374" i="28"/>
  <c r="BM429" i="28"/>
  <c r="BH247" i="28"/>
  <c r="BD217" i="28"/>
  <c r="BG292" i="28"/>
  <c r="BI367" i="28"/>
  <c r="BC633" i="28"/>
  <c r="BM763" i="28"/>
  <c r="BM361" i="28"/>
  <c r="BE366" i="28"/>
  <c r="BE342" i="28"/>
  <c r="BL647" i="28"/>
  <c r="BJ639" i="28"/>
  <c r="BN302" i="28"/>
  <c r="BK306" i="28"/>
  <c r="BM343" i="28"/>
  <c r="BJ781" i="28"/>
  <c r="BM353" i="28"/>
  <c r="BK674" i="28"/>
  <c r="BH161" i="28"/>
  <c r="BG173" i="28"/>
  <c r="BK215" i="28"/>
  <c r="BE429" i="28"/>
  <c r="BJ298" i="28"/>
  <c r="BG363" i="28"/>
  <c r="BG667" i="28"/>
  <c r="BJ428" i="28"/>
  <c r="BK375" i="28"/>
  <c r="BL313" i="28"/>
  <c r="BH355" i="28"/>
  <c r="BD735" i="28"/>
  <c r="BJ493" i="28"/>
  <c r="BJ462" i="28"/>
  <c r="BH695" i="28"/>
  <c r="BF784" i="28"/>
  <c r="BG659" i="28"/>
  <c r="BL421" i="28"/>
  <c r="BK367" i="28"/>
  <c r="BK701" i="28"/>
  <c r="BE484" i="28"/>
  <c r="BK703" i="28"/>
  <c r="BF748" i="28"/>
  <c r="BK186" i="28"/>
  <c r="BC248" i="28"/>
  <c r="BE177" i="28"/>
  <c r="BE298" i="28"/>
  <c r="AZ201" i="28"/>
  <c r="BB201" i="28" s="1"/>
  <c r="AZ770" i="28"/>
  <c r="BB770" i="28" s="1"/>
  <c r="AZ480" i="28"/>
  <c r="AZ682" i="28"/>
  <c r="BB682" i="28" s="1"/>
  <c r="AZ469" i="28"/>
  <c r="AZ194" i="28"/>
  <c r="AZ477" i="28"/>
  <c r="AZ631" i="28"/>
  <c r="AZ718" i="28"/>
  <c r="AZ741" i="28"/>
  <c r="AZ259" i="28"/>
  <c r="AZ693" i="28"/>
  <c r="BP693" i="28" s="1"/>
  <c r="AZ425" i="28"/>
  <c r="AZ167" i="28"/>
  <c r="AZ632" i="28"/>
  <c r="AZ691" i="28"/>
  <c r="BP691" i="28" s="1"/>
  <c r="AZ777" i="28"/>
  <c r="AZ473" i="28"/>
  <c r="AZ182" i="28"/>
  <c r="BL371" i="28"/>
  <c r="BK675" i="28"/>
  <c r="BI308" i="28"/>
  <c r="BD235" i="28"/>
  <c r="BD287" i="28"/>
  <c r="BH254" i="28"/>
  <c r="BD491" i="28"/>
  <c r="BK272" i="28"/>
  <c r="BI735" i="28"/>
  <c r="BG284" i="28"/>
  <c r="BM233" i="28"/>
  <c r="BC495" i="28"/>
  <c r="BM349" i="28"/>
  <c r="BE747" i="28"/>
  <c r="BI388" i="28"/>
  <c r="BI312" i="28"/>
  <c r="BD756" i="28"/>
  <c r="BN474" i="28"/>
  <c r="BE320" i="28"/>
  <c r="BK314" i="28"/>
  <c r="BN215" i="28"/>
  <c r="BD761" i="28"/>
  <c r="BL324" i="28"/>
  <c r="BH217" i="28"/>
  <c r="BF265" i="28"/>
  <c r="BN430" i="28"/>
  <c r="BI378" i="28"/>
  <c r="BI712" i="28"/>
  <c r="BL471" i="28"/>
  <c r="BJ704" i="28"/>
  <c r="BK784" i="28"/>
  <c r="BJ245" i="28"/>
  <c r="BF345" i="28"/>
  <c r="BM175" i="28"/>
  <c r="BK300" i="28"/>
  <c r="BG748" i="28"/>
  <c r="BL684" i="28"/>
  <c r="BL298" i="28"/>
  <c r="BK631" i="28"/>
  <c r="BJ762" i="28"/>
  <c r="BG360" i="28"/>
  <c r="BM364" i="28"/>
  <c r="AZ363" i="28"/>
  <c r="BB363" i="28" s="1"/>
  <c r="AZ488" i="28"/>
  <c r="BP488" i="28" s="1"/>
  <c r="AZ236" i="28"/>
  <c r="BP236" i="28" s="1"/>
  <c r="AZ492" i="28"/>
  <c r="BB492" i="28" s="1"/>
  <c r="AZ178" i="28"/>
  <c r="BB178" i="28" s="1"/>
  <c r="AZ447" i="28"/>
  <c r="AZ339" i="28"/>
  <c r="BB339" i="28" s="1"/>
  <c r="AZ208" i="28"/>
  <c r="BB208" i="28" s="1"/>
  <c r="BI260" i="28"/>
  <c r="BI277" i="28"/>
  <c r="BG250" i="28"/>
  <c r="BL182" i="28"/>
  <c r="BH291" i="28"/>
  <c r="BC485" i="28"/>
  <c r="BJ284" i="28"/>
  <c r="AZ353" i="28"/>
  <c r="AZ503" i="28"/>
  <c r="BP503" i="28" s="1"/>
  <c r="AZ231" i="28"/>
  <c r="BB231" i="28" s="1"/>
  <c r="AZ289" i="28"/>
  <c r="BP289" i="28" s="1"/>
  <c r="AZ275" i="28"/>
  <c r="AZ293" i="28"/>
  <c r="AZ305" i="28"/>
  <c r="AZ630" i="28"/>
  <c r="AZ186" i="28"/>
  <c r="BE348" i="28"/>
  <c r="BK328" i="28"/>
  <c r="BH225" i="28"/>
  <c r="BK772" i="28"/>
  <c r="BF267" i="28"/>
  <c r="BE215" i="28"/>
  <c r="BD181" i="28"/>
  <c r="BL443" i="28"/>
  <c r="BF695" i="28"/>
  <c r="BI770" i="28"/>
  <c r="BE322" i="28"/>
  <c r="BM177" i="28"/>
  <c r="BD213" i="28"/>
  <c r="BH658" i="28"/>
  <c r="BK201" i="28"/>
  <c r="BL765" i="28"/>
  <c r="BG484" i="28"/>
  <c r="BM779" i="28"/>
  <c r="BC317" i="28"/>
  <c r="BM424" i="28"/>
  <c r="BD195" i="28"/>
  <c r="BK359" i="28"/>
  <c r="BL454" i="28"/>
  <c r="BJ300" i="28"/>
  <c r="BE658" i="28"/>
  <c r="BK351" i="28"/>
  <c r="BG780" i="28"/>
  <c r="BL293" i="28"/>
  <c r="BL187" i="28"/>
  <c r="BE356" i="28"/>
  <c r="BG220" i="28"/>
  <c r="BF644" i="28"/>
  <c r="BD636" i="28"/>
  <c r="BK362" i="28"/>
  <c r="BK219" i="28"/>
  <c r="BJ645" i="28"/>
  <c r="BH308" i="28"/>
  <c r="BL303" i="28"/>
  <c r="BF688" i="28"/>
  <c r="BG741" i="28"/>
  <c r="BL457" i="28"/>
  <c r="BG472" i="28"/>
  <c r="BC305" i="28"/>
  <c r="BF642" i="28"/>
  <c r="BM458" i="28"/>
  <c r="BM212" i="28"/>
  <c r="BG305" i="28"/>
  <c r="BJ344" i="28"/>
  <c r="BL712" i="28"/>
  <c r="BE351" i="28"/>
  <c r="BJ186" i="28"/>
  <c r="BN222" i="28"/>
  <c r="BC672" i="28"/>
  <c r="BJ419" i="28"/>
  <c r="BN296" i="28"/>
  <c r="BH748" i="28"/>
  <c r="BM682" i="28"/>
  <c r="BN781" i="28"/>
  <c r="BL460" i="28"/>
  <c r="BK380" i="28"/>
  <c r="BL780" i="28"/>
  <c r="BJ375" i="28"/>
  <c r="BJ274" i="28"/>
  <c r="BJ632" i="28"/>
  <c r="BJ218" i="28"/>
  <c r="BK206" i="28"/>
  <c r="BH680" i="28"/>
  <c r="BC476" i="28"/>
  <c r="BE648" i="28"/>
  <c r="BJ499" i="28"/>
  <c r="BG380" i="28"/>
  <c r="BF499" i="28"/>
  <c r="BI243" i="28"/>
  <c r="BN365" i="28"/>
  <c r="BI238" i="28"/>
  <c r="AZ129" i="28"/>
  <c r="BP129" i="28" s="1"/>
  <c r="AZ413" i="28"/>
  <c r="AZ411" i="28"/>
  <c r="BB411" i="28" s="1"/>
  <c r="AZ407" i="28"/>
  <c r="AZ405" i="28"/>
  <c r="BP405" i="28" s="1"/>
  <c r="AZ403" i="28"/>
  <c r="AZ397" i="28"/>
  <c r="BP397" i="28" s="1"/>
  <c r="AZ338" i="28"/>
  <c r="AZ344" i="28"/>
  <c r="AZ163" i="28"/>
  <c r="BB163" i="28" s="1"/>
  <c r="AZ649" i="28"/>
  <c r="AZ738" i="28"/>
  <c r="BP738" i="28" s="1"/>
  <c r="AZ196" i="28"/>
  <c r="AZ290" i="28"/>
  <c r="BB290" i="28" s="1"/>
  <c r="AZ341" i="28"/>
  <c r="AZ204" i="28"/>
  <c r="AZ164" i="28"/>
  <c r="AZ782" i="28"/>
  <c r="BP782" i="28" s="1"/>
  <c r="AZ712" i="28"/>
  <c r="BB712" i="28" s="1"/>
  <c r="AZ158" i="28"/>
  <c r="AZ446" i="28"/>
  <c r="AZ384" i="28"/>
  <c r="BP384" i="28" s="1"/>
  <c r="AZ688" i="28"/>
  <c r="AZ348" i="28"/>
  <c r="AZ639" i="28"/>
  <c r="AZ192" i="28"/>
  <c r="BB192" i="28" s="1"/>
  <c r="AZ755" i="28"/>
  <c r="AZ314" i="28"/>
  <c r="AZ747" i="28"/>
  <c r="AZ710" i="28"/>
  <c r="BP710" i="28" s="1"/>
  <c r="AZ484" i="28"/>
  <c r="AZ225" i="28"/>
  <c r="AZ497" i="28"/>
  <c r="AZ766" i="28"/>
  <c r="BP766" i="28" s="1"/>
  <c r="AZ702" i="28"/>
  <c r="BB702" i="28" s="1"/>
  <c r="AZ215" i="28"/>
  <c r="AZ677" i="28"/>
  <c r="BP677" i="28" s="1"/>
  <c r="AZ670" i="28"/>
  <c r="BB670" i="28" s="1"/>
  <c r="AZ347" i="28"/>
  <c r="AZ665" i="28"/>
  <c r="AZ707" i="28"/>
  <c r="AZ174" i="28"/>
  <c r="BP174" i="28" s="1"/>
  <c r="AZ216" i="28"/>
  <c r="BP216" i="28" s="1"/>
  <c r="AZ713" i="28"/>
  <c r="AZ737" i="28"/>
  <c r="BB737" i="28" s="1"/>
  <c r="AZ706" i="28"/>
  <c r="BB706" i="28" s="1"/>
  <c r="AZ223" i="28"/>
  <c r="BB223" i="28" s="1"/>
  <c r="AZ187" i="28"/>
  <c r="AZ689" i="28"/>
  <c r="AZ179" i="28"/>
  <c r="BB179" i="28" s="1"/>
  <c r="AZ200" i="28"/>
  <c r="BP200" i="28" s="1"/>
  <c r="AZ684" i="28"/>
  <c r="AZ705" i="28"/>
  <c r="AZ704" i="28"/>
  <c r="BP704" i="28" s="1"/>
  <c r="AZ697" i="28"/>
  <c r="BP697" i="28" s="1"/>
  <c r="AZ765" i="28"/>
  <c r="BP765" i="28" s="1"/>
  <c r="AZ277" i="28"/>
  <c r="AZ455" i="28"/>
  <c r="BP455" i="28" s="1"/>
  <c r="AZ242" i="28"/>
  <c r="BP242" i="28" s="1"/>
  <c r="AZ220" i="28"/>
  <c r="AZ493" i="28"/>
  <c r="AZ663" i="28"/>
  <c r="BB663" i="28" s="1"/>
  <c r="AZ224" i="28"/>
  <c r="BP224" i="28" s="1"/>
  <c r="AZ471" i="28"/>
  <c r="AZ232" i="28"/>
  <c r="AZ779" i="28"/>
  <c r="BB779" i="28" s="1"/>
  <c r="AZ636" i="28"/>
  <c r="BP636" i="28" s="1"/>
  <c r="AZ659" i="28"/>
  <c r="AZ472" i="28"/>
  <c r="AZ456" i="28"/>
  <c r="BP456" i="28" s="1"/>
  <c r="AZ227" i="28"/>
  <c r="AZ271" i="28"/>
  <c r="AZ433" i="28"/>
  <c r="AZ781" i="28"/>
  <c r="BB781" i="28" s="1"/>
  <c r="AZ708" i="28"/>
  <c r="AZ465" i="28"/>
  <c r="AZ749" i="28"/>
  <c r="AZ502" i="28"/>
  <c r="BP502" i="28" s="1"/>
  <c r="AZ330" i="28"/>
  <c r="BP330" i="28" s="1"/>
  <c r="AZ660" i="28"/>
  <c r="AZ758" i="28"/>
  <c r="AZ771" i="28"/>
  <c r="BP771" i="28" s="1"/>
  <c r="AZ662" i="28"/>
  <c r="AZ499" i="28"/>
  <c r="BP499" i="28" s="1"/>
  <c r="AZ643" i="28"/>
  <c r="AZ272" i="28"/>
  <c r="BP272" i="28" s="1"/>
  <c r="AZ434" i="28"/>
  <c r="AZ462" i="28"/>
  <c r="BB462" i="28" s="1"/>
  <c r="AZ375" i="28"/>
  <c r="AZ170" i="28"/>
  <c r="BB170" i="28" s="1"/>
  <c r="AZ773" i="28"/>
  <c r="BB773" i="28" s="1"/>
  <c r="AZ372" i="28"/>
  <c r="BP372" i="28" s="1"/>
  <c r="AZ266" i="28"/>
  <c r="AZ255" i="28"/>
  <c r="BB255" i="28" s="1"/>
  <c r="AZ364" i="28"/>
  <c r="AZ245" i="28"/>
  <c r="BB245" i="28" s="1"/>
  <c r="AZ300" i="28"/>
  <c r="BB300" i="28" s="1"/>
  <c r="AZ168" i="28"/>
  <c r="BP168" i="28" s="1"/>
  <c r="AZ228" i="28"/>
  <c r="AZ422" i="28"/>
  <c r="BB422" i="28" s="1"/>
  <c r="AZ274" i="28"/>
  <c r="AZ203" i="28"/>
  <c r="BP203" i="28" s="1"/>
  <c r="AZ464" i="28"/>
  <c r="BB464" i="28" s="1"/>
  <c r="AZ273" i="28"/>
  <c r="AZ698" i="28"/>
  <c r="AZ658" i="28"/>
  <c r="BP658" i="28" s="1"/>
  <c r="AZ387" i="28"/>
  <c r="AZ655" i="28"/>
  <c r="AZ287" i="28"/>
  <c r="AZ349" i="28"/>
  <c r="BB349" i="28" s="1"/>
  <c r="AZ774" i="28"/>
  <c r="AZ222" i="28"/>
  <c r="BP222" i="28" s="1"/>
  <c r="AZ369" i="28"/>
  <c r="AZ501" i="28"/>
  <c r="BB501" i="28" s="1"/>
  <c r="AZ442" i="28"/>
  <c r="BP442" i="28" s="1"/>
  <c r="AZ221" i="28"/>
  <c r="BP221" i="28" s="1"/>
  <c r="AZ466" i="28"/>
  <c r="AZ214" i="28"/>
  <c r="BP214" i="28" s="1"/>
  <c r="AZ669" i="28"/>
  <c r="AZ679" i="28"/>
  <c r="AZ183" i="28"/>
  <c r="AZ233" i="28"/>
  <c r="BP233" i="28" s="1"/>
  <c r="AZ481" i="28"/>
  <c r="AZ291" i="28"/>
  <c r="AZ264" i="28"/>
  <c r="BB264" i="28" s="1"/>
  <c r="AZ162" i="28"/>
  <c r="BP162" i="28" s="1"/>
  <c r="AZ316" i="28"/>
  <c r="AZ751" i="28"/>
  <c r="BB751" i="28" s="1"/>
  <c r="AZ666" i="28"/>
  <c r="BB666" i="28" s="1"/>
  <c r="AZ211" i="28"/>
  <c r="BB211" i="28" s="1"/>
  <c r="AZ361" i="28"/>
  <c r="AZ638" i="28"/>
  <c r="BB638" i="28" s="1"/>
  <c r="AZ654" i="28"/>
  <c r="AZ687" i="28"/>
  <c r="BP687" i="28" s="1"/>
  <c r="AZ240" i="28"/>
  <c r="AZ319" i="28"/>
  <c r="AZ494" i="28"/>
  <c r="AZ296" i="28"/>
  <c r="BB296" i="28" s="1"/>
  <c r="AZ701" i="28"/>
  <c r="AZ306" i="28"/>
  <c r="BB306" i="28" s="1"/>
  <c r="AZ265" i="28"/>
  <c r="AZ253" i="28"/>
  <c r="BP253" i="28" s="1"/>
  <c r="AZ230" i="28"/>
  <c r="AZ761" i="28"/>
  <c r="AZ483" i="28"/>
  <c r="AZ213" i="28"/>
  <c r="BB213" i="28" s="1"/>
  <c r="AZ437" i="28"/>
  <c r="BP437" i="28" s="1"/>
  <c r="AZ309" i="28"/>
  <c r="AZ703" i="28"/>
  <c r="AZ166" i="28"/>
  <c r="BB166" i="28" s="1"/>
  <c r="AZ435" i="28"/>
  <c r="AZ500" i="28"/>
  <c r="AZ717" i="28"/>
  <c r="AZ757" i="28"/>
  <c r="BP757" i="28" s="1"/>
  <c r="AZ692" i="28"/>
  <c r="BP692" i="28" s="1"/>
  <c r="AZ450" i="28"/>
  <c r="AZ735" i="28"/>
  <c r="AZ656" i="28"/>
  <c r="BB656" i="28" s="1"/>
  <c r="AZ343" i="28"/>
  <c r="AZ241" i="28"/>
  <c r="AZ301" i="28"/>
  <c r="BB301" i="28" s="1"/>
  <c r="AZ267" i="28"/>
  <c r="BB267" i="28" s="1"/>
  <c r="AZ674" i="28"/>
  <c r="AZ376" i="28"/>
  <c r="AZ719" i="28"/>
  <c r="AZ694" i="28"/>
  <c r="BP694" i="28" s="1"/>
  <c r="AZ184" i="28"/>
  <c r="AZ175" i="28"/>
  <c r="AZ234" i="28"/>
  <c r="AZ476" i="28"/>
  <c r="BB476" i="28" s="1"/>
  <c r="AZ324" i="28"/>
  <c r="BP324" i="28" s="1"/>
  <c r="AZ359" i="28"/>
  <c r="AZ207" i="28"/>
  <c r="BB207" i="28" s="1"/>
  <c r="AZ238" i="28"/>
  <c r="BP238" i="28" s="1"/>
  <c r="AZ191" i="28"/>
  <c r="BD304" i="28"/>
  <c r="BG449" i="28"/>
  <c r="BN209" i="28"/>
  <c r="BM630" i="28"/>
  <c r="BL301" i="28"/>
  <c r="AZ438" i="28"/>
  <c r="BP438" i="28" s="1"/>
  <c r="AZ715" i="28"/>
  <c r="BP715" i="28" s="1"/>
  <c r="AZ490" i="28"/>
  <c r="AZ295" i="28"/>
  <c r="AZ199" i="28"/>
  <c r="AZ252" i="28"/>
  <c r="BB252" i="28" s="1"/>
  <c r="AZ256" i="28"/>
  <c r="AZ431" i="28"/>
  <c r="BP431" i="28" s="1"/>
  <c r="AZ249" i="28"/>
  <c r="AZ651" i="28"/>
  <c r="BB651" i="28" s="1"/>
  <c r="AZ440" i="28"/>
  <c r="AZ368" i="28"/>
  <c r="AZ188" i="28"/>
  <c r="AZ775" i="28"/>
  <c r="BP775" i="28" s="1"/>
  <c r="AZ285" i="28"/>
  <c r="AZ478" i="28"/>
  <c r="BB478" i="28" s="1"/>
  <c r="AZ312" i="28"/>
  <c r="AZ288" i="28"/>
  <c r="BB288" i="28" s="1"/>
  <c r="AZ754" i="28"/>
  <c r="AZ229" i="28"/>
  <c r="BP229" i="28" s="1"/>
  <c r="AZ461" i="28"/>
  <c r="AZ176" i="28"/>
  <c r="BP176" i="28" s="1"/>
  <c r="AZ218" i="28"/>
  <c r="BB218" i="28" s="1"/>
  <c r="AZ769" i="28"/>
  <c r="AZ783" i="28"/>
  <c r="BP783" i="28" s="1"/>
  <c r="AZ680" i="28"/>
  <c r="BP680" i="28" s="1"/>
  <c r="AZ426" i="28"/>
  <c r="AZ746" i="28"/>
  <c r="AZ474" i="28"/>
  <c r="AZ190" i="28"/>
  <c r="BP190" i="28" s="1"/>
  <c r="AZ180" i="28"/>
  <c r="BB180" i="28" s="1"/>
  <c r="AZ302" i="28"/>
  <c r="AZ282" i="28"/>
  <c r="AZ257" i="28"/>
  <c r="BB257" i="28" s="1"/>
  <c r="AZ262" i="28"/>
  <c r="AZ686" i="28"/>
  <c r="AZ672" i="28"/>
  <c r="AZ685" i="28"/>
  <c r="BB685" i="28" s="1"/>
  <c r="AZ248" i="28"/>
  <c r="BB248" i="28" s="1"/>
  <c r="AZ498" i="28"/>
  <c r="AZ379" i="28"/>
  <c r="AZ709" i="28"/>
  <c r="BB709" i="28" s="1"/>
  <c r="AZ778" i="28"/>
  <c r="AZ318" i="28"/>
  <c r="BB318" i="28" s="1"/>
  <c r="AZ436" i="28"/>
  <c r="AZ482" i="28"/>
  <c r="BB482" i="28" s="1"/>
  <c r="AZ641" i="28"/>
  <c r="BP641" i="28" s="1"/>
  <c r="AZ454" i="28"/>
  <c r="AZ304" i="28"/>
  <c r="AZ423" i="28"/>
  <c r="BB423" i="28" s="1"/>
  <c r="AZ195" i="28"/>
  <c r="AZ365" i="28"/>
  <c r="AZ311" i="28"/>
  <c r="BP311" i="28" s="1"/>
  <c r="AZ489" i="28"/>
  <c r="BP489" i="28" s="1"/>
  <c r="AZ270" i="28"/>
  <c r="BB270" i="28" s="1"/>
  <c r="AZ261" i="28"/>
  <c r="BB261" i="28" s="1"/>
  <c r="AZ444" i="28"/>
  <c r="AZ237" i="28"/>
  <c r="BP237" i="28" s="1"/>
  <c r="AZ429" i="28"/>
  <c r="BP429" i="28" s="1"/>
  <c r="AZ634" i="28"/>
  <c r="BP634" i="28" s="1"/>
  <c r="AZ496" i="28"/>
  <c r="AZ635" i="28"/>
  <c r="BB635" i="28" s="1"/>
  <c r="AZ371" i="28"/>
  <c r="BP371" i="28" s="1"/>
  <c r="AZ360" i="28"/>
  <c r="AZ653" i="28"/>
  <c r="AZ657" i="28"/>
  <c r="BP657" i="28" s="1"/>
  <c r="AZ217" i="28"/>
  <c r="BP217" i="28" s="1"/>
  <c r="AZ345" i="28"/>
  <c r="AZ337" i="28"/>
  <c r="BP337" i="28" s="1"/>
  <c r="AZ284" i="28"/>
  <c r="BB284" i="28" s="1"/>
  <c r="AZ640" i="28"/>
  <c r="BF241" i="28"/>
  <c r="BJ198" i="28"/>
  <c r="BH651" i="28"/>
  <c r="BD220" i="28"/>
  <c r="BL222" i="28"/>
  <c r="BL275" i="28"/>
  <c r="AZ742" i="28"/>
  <c r="AZ733" i="28"/>
  <c r="BB733" i="28" s="1"/>
  <c r="AZ731" i="28"/>
  <c r="BP731" i="28" s="1"/>
  <c r="AZ729" i="28"/>
  <c r="BB729" i="28" s="1"/>
  <c r="AZ727" i="28"/>
  <c r="BB727" i="28" s="1"/>
  <c r="AZ725" i="28"/>
  <c r="BP725" i="28" s="1"/>
  <c r="AZ723" i="28"/>
  <c r="AZ721" i="28"/>
  <c r="BB721" i="28" s="1"/>
  <c r="AZ629" i="28"/>
  <c r="AZ625" i="28"/>
  <c r="AZ623" i="28"/>
  <c r="AZ619" i="28"/>
  <c r="AZ617" i="28"/>
  <c r="BB617" i="28" s="1"/>
  <c r="AZ615" i="28"/>
  <c r="AZ611" i="28"/>
  <c r="BB611" i="28" s="1"/>
  <c r="AZ609" i="28"/>
  <c r="BP609" i="28" s="1"/>
  <c r="AZ607" i="28"/>
  <c r="BB607" i="28" s="1"/>
  <c r="AZ605" i="28"/>
  <c r="BP605" i="28" s="1"/>
  <c r="AZ603" i="28"/>
  <c r="BB603" i="28" s="1"/>
  <c r="AZ601" i="28"/>
  <c r="AZ599" i="28"/>
  <c r="BB599" i="28" s="1"/>
  <c r="AZ597" i="28"/>
  <c r="BB597" i="28" s="1"/>
  <c r="AZ595" i="28"/>
  <c r="BP595" i="28" s="1"/>
  <c r="AZ593" i="28"/>
  <c r="BB593" i="28" s="1"/>
  <c r="AZ589" i="28"/>
  <c r="BP589" i="28" s="1"/>
  <c r="AZ587" i="28"/>
  <c r="AZ585" i="28"/>
  <c r="BP585" i="28" s="1"/>
  <c r="AZ583" i="28"/>
  <c r="BB583" i="28" s="1"/>
  <c r="AZ581" i="28"/>
  <c r="AZ579" i="28"/>
  <c r="BP579" i="28" s="1"/>
  <c r="AZ577" i="28"/>
  <c r="AZ575" i="28"/>
  <c r="AZ573" i="28"/>
  <c r="BB573" i="28" s="1"/>
  <c r="AZ571" i="28"/>
  <c r="BP571" i="28" s="1"/>
  <c r="AZ569" i="28"/>
  <c r="AZ567" i="28"/>
  <c r="AZ565" i="28"/>
  <c r="BP565" i="28" s="1"/>
  <c r="AZ563" i="28"/>
  <c r="BP563" i="28" s="1"/>
  <c r="AZ561" i="28"/>
  <c r="BB561" i="28" s="1"/>
  <c r="AZ559" i="28"/>
  <c r="AZ557" i="28"/>
  <c r="BB557" i="28" s="1"/>
  <c r="AZ555" i="28"/>
  <c r="BP555" i="28" s="1"/>
  <c r="AZ553" i="28"/>
  <c r="AZ551" i="28"/>
  <c r="AZ549" i="28"/>
  <c r="AZ541" i="28"/>
  <c r="BB541" i="28" s="1"/>
  <c r="AZ539" i="28"/>
  <c r="BP539" i="28" s="1"/>
  <c r="AZ537" i="28"/>
  <c r="AZ535" i="28"/>
  <c r="BP535" i="28" s="1"/>
  <c r="AZ521" i="28"/>
  <c r="AZ519" i="28"/>
  <c r="AZ517" i="28"/>
  <c r="BB517" i="28" s="1"/>
  <c r="AZ515" i="28"/>
  <c r="BB515" i="28" s="1"/>
  <c r="AZ513" i="28"/>
  <c r="AZ511" i="28"/>
  <c r="BP511" i="28" s="1"/>
  <c r="AZ509" i="28"/>
  <c r="AZ507" i="28"/>
  <c r="AZ153" i="28"/>
  <c r="AZ151" i="28"/>
  <c r="AZ149" i="28"/>
  <c r="BB149" i="28" s="1"/>
  <c r="AZ147" i="28"/>
  <c r="AZ145" i="28"/>
  <c r="AZ137" i="28"/>
  <c r="BP137" i="28" s="1"/>
  <c r="AZ135" i="28"/>
  <c r="AZ131" i="28"/>
  <c r="BP131" i="28" s="1"/>
  <c r="AZ127" i="28"/>
  <c r="AZ125" i="28"/>
  <c r="BB125" i="28" s="1"/>
  <c r="AZ123" i="28"/>
  <c r="BP123" i="28" s="1"/>
  <c r="AZ121" i="28"/>
  <c r="BP121" i="28" s="1"/>
  <c r="AZ119" i="28"/>
  <c r="AZ117" i="28"/>
  <c r="AZ115" i="28"/>
  <c r="AZ113" i="28"/>
  <c r="BB113" i="28" s="1"/>
  <c r="AZ111" i="28"/>
  <c r="BP111" i="28" s="1"/>
  <c r="AZ109" i="28"/>
  <c r="BB109" i="28" s="1"/>
  <c r="AZ105" i="28"/>
  <c r="BB105" i="28" s="1"/>
  <c r="AZ103" i="28"/>
  <c r="BB103" i="28" s="1"/>
  <c r="AZ101" i="28"/>
  <c r="AZ99" i="28"/>
  <c r="BP99" i="28" s="1"/>
  <c r="AZ97" i="28"/>
  <c r="BP97" i="28" s="1"/>
  <c r="AZ95" i="28"/>
  <c r="BB95" i="28" s="1"/>
  <c r="AZ93" i="28"/>
  <c r="BB93" i="28" s="1"/>
  <c r="AZ91" i="28"/>
  <c r="BB91" i="28" s="1"/>
  <c r="AZ89" i="28"/>
  <c r="BP89" i="28" s="1"/>
  <c r="AZ87" i="28"/>
  <c r="AZ85" i="28"/>
  <c r="BP85" i="28" s="1"/>
  <c r="AZ83" i="28"/>
  <c r="BP83" i="28" s="1"/>
  <c r="AZ81" i="28"/>
  <c r="AZ71" i="28"/>
  <c r="BB71" i="28" s="1"/>
  <c r="AZ69" i="28"/>
  <c r="AZ67" i="28"/>
  <c r="BP67" i="28" s="1"/>
  <c r="AZ65" i="28"/>
  <c r="AZ63" i="28"/>
  <c r="AZ61" i="28"/>
  <c r="AZ59" i="28"/>
  <c r="BP59" i="28" s="1"/>
  <c r="AZ55" i="28"/>
  <c r="BB55" i="28" s="1"/>
  <c r="AZ53" i="28"/>
  <c r="AZ51" i="28"/>
  <c r="AZ49" i="28"/>
  <c r="BP49" i="28" s="1"/>
  <c r="AZ41" i="28"/>
  <c r="AZ39" i="28"/>
  <c r="AZ37" i="28"/>
  <c r="BB37" i="28" s="1"/>
  <c r="AZ35" i="28"/>
  <c r="AZ33" i="28"/>
  <c r="AZ31" i="28"/>
  <c r="BP31" i="28" s="1"/>
  <c r="AZ29" i="28"/>
  <c r="AZ27" i="28"/>
  <c r="BP27" i="28" s="1"/>
  <c r="AZ25" i="28"/>
  <c r="BB25" i="28" s="1"/>
  <c r="AZ23" i="28"/>
  <c r="BB23" i="28" s="1"/>
  <c r="AZ21" i="28"/>
  <c r="BP21" i="28" s="1"/>
  <c r="AZ19" i="28"/>
  <c r="BP19" i="28" s="1"/>
  <c r="AZ9" i="28"/>
  <c r="BP9" i="28" s="1"/>
  <c r="AZ7" i="28"/>
  <c r="AZ5" i="28"/>
  <c r="AZ409" i="28"/>
  <c r="BP409" i="28" s="1"/>
  <c r="AZ401" i="28"/>
  <c r="AZ395" i="28"/>
  <c r="BB395" i="28" s="1"/>
  <c r="AZ393" i="28"/>
  <c r="AZ417" i="28"/>
  <c r="BB417" i="28" s="1"/>
  <c r="AZ57" i="28"/>
  <c r="BP57" i="28" s="1"/>
  <c r="AZ467" i="28"/>
  <c r="X191" i="14"/>
  <c r="AZ374" i="28"/>
  <c r="BP374" i="28" s="1"/>
  <c r="AZ386" i="28"/>
  <c r="BP386" i="28" s="1"/>
  <c r="AZ780" i="28"/>
  <c r="BB780" i="28" s="1"/>
  <c r="AW23" i="28"/>
  <c r="AX400" i="28"/>
  <c r="AX404" i="28"/>
  <c r="AX408" i="28"/>
  <c r="AX418" i="28"/>
  <c r="AW31" i="28"/>
  <c r="AW54" i="28"/>
  <c r="AW46" i="28"/>
  <c r="AW38" i="28"/>
  <c r="AW30" i="28"/>
  <c r="AW135" i="28"/>
  <c r="AW127" i="28"/>
  <c r="AW119" i="28"/>
  <c r="AW111" i="28"/>
  <c r="AW103" i="28"/>
  <c r="AW95" i="28"/>
  <c r="AW140" i="28"/>
  <c r="AW321" i="28"/>
  <c r="AW323" i="28"/>
  <c r="AW338" i="28"/>
  <c r="AW340" i="28"/>
  <c r="AW395" i="28"/>
  <c r="AW406" i="28"/>
  <c r="AW416" i="28"/>
  <c r="AX747" i="28"/>
  <c r="AV385" i="28"/>
  <c r="AV344" i="28"/>
  <c r="AX267" i="28"/>
  <c r="AW696" i="28"/>
  <c r="AX210" i="28"/>
  <c r="AV683" i="28"/>
  <c r="AV668" i="28"/>
  <c r="AX636" i="28"/>
  <c r="AV646" i="28"/>
  <c r="AW635" i="28"/>
  <c r="AW707" i="28"/>
  <c r="AV707" i="28"/>
  <c r="AW752" i="28"/>
  <c r="AX656" i="28"/>
  <c r="AV705" i="28"/>
  <c r="AX775" i="28"/>
  <c r="AX690" i="28"/>
  <c r="AX633" i="28"/>
  <c r="AW761" i="28"/>
  <c r="AX377" i="28"/>
  <c r="AX669" i="28"/>
  <c r="AX716" i="28"/>
  <c r="AX762" i="28"/>
  <c r="AV688" i="28"/>
  <c r="AW678" i="28"/>
  <c r="AX739" i="28"/>
  <c r="AV652" i="28"/>
  <c r="AX718" i="28"/>
  <c r="AV751" i="28"/>
  <c r="AW756" i="28"/>
  <c r="AW501" i="28"/>
  <c r="AX640" i="28"/>
  <c r="AX676" i="28"/>
  <c r="AX496" i="28"/>
  <c r="AW369" i="28"/>
  <c r="AX631" i="28"/>
  <c r="AV756" i="28"/>
  <c r="AW682" i="28"/>
  <c r="AW701" i="28"/>
  <c r="AW703" i="28"/>
  <c r="AX670" i="28"/>
  <c r="AV647" i="28"/>
  <c r="AV768" i="28"/>
  <c r="AX783" i="28"/>
  <c r="AW783" i="28"/>
  <c r="AV694" i="28"/>
  <c r="AW664" i="28"/>
  <c r="AX473" i="28"/>
  <c r="AV763" i="28"/>
  <c r="AW778" i="28"/>
  <c r="AX679" i="28"/>
  <c r="AW634" i="28"/>
  <c r="AV662" i="28"/>
  <c r="AV692" i="28"/>
  <c r="AV748" i="28"/>
  <c r="AW763" i="28"/>
  <c r="AX659" i="28"/>
  <c r="AX489" i="28"/>
  <c r="AV741" i="28"/>
  <c r="AX704" i="28"/>
  <c r="AV671" i="28"/>
  <c r="AV680" i="28"/>
  <c r="AW775" i="28"/>
  <c r="AW630" i="28"/>
  <c r="AW700" i="28"/>
  <c r="AW667" i="28"/>
  <c r="AW676" i="28"/>
  <c r="AX713" i="28"/>
  <c r="AW646" i="28"/>
  <c r="AX766" i="28"/>
  <c r="AX384" i="28"/>
  <c r="AV387" i="28"/>
  <c r="AW699" i="28"/>
  <c r="AX671" i="28"/>
  <c r="AV648" i="28"/>
  <c r="AX501" i="28"/>
  <c r="AV752" i="28"/>
  <c r="AX767" i="28"/>
  <c r="AW767" i="28"/>
  <c r="AV682" i="28"/>
  <c r="AX643" i="28"/>
  <c r="AV441" i="28"/>
  <c r="AV747" i="28"/>
  <c r="AW762" i="28"/>
  <c r="AV657" i="28"/>
  <c r="AX445" i="28"/>
  <c r="AW641" i="28"/>
  <c r="AV663" i="28"/>
  <c r="AW712" i="28"/>
  <c r="AW747" i="28"/>
  <c r="AV637" i="28"/>
  <c r="AW500" i="28"/>
  <c r="AV369" i="28"/>
  <c r="AX717" i="28"/>
  <c r="AW649" i="28"/>
  <c r="AX461" i="28"/>
  <c r="AW658" i="28"/>
  <c r="AW715" i="28"/>
  <c r="AX480" i="28"/>
  <c r="AW690" i="28"/>
  <c r="AX645" i="28"/>
  <c r="AX654" i="28"/>
  <c r="AX700" i="28"/>
  <c r="AW471" i="28"/>
  <c r="AW766" i="28"/>
  <c r="AX699" i="28"/>
  <c r="AV189" i="28"/>
  <c r="AX648" i="28"/>
  <c r="AX756" i="28"/>
  <c r="AX668" i="28"/>
  <c r="AV649" i="28"/>
  <c r="AW711" i="28"/>
  <c r="AV479" i="28"/>
  <c r="AV717" i="28"/>
  <c r="AX751" i="28"/>
  <c r="AW751" i="28"/>
  <c r="AW661" i="28"/>
  <c r="AX642" i="28"/>
  <c r="AV472" i="28"/>
  <c r="AX778" i="28"/>
  <c r="AX688" i="28"/>
  <c r="AV656" i="28"/>
  <c r="AX709" i="28"/>
  <c r="AW644" i="28"/>
  <c r="AW474" i="28"/>
  <c r="AX763" i="28"/>
  <c r="AW677" i="28"/>
  <c r="AV636" i="28"/>
  <c r="AV390" i="28"/>
  <c r="AV775" i="28"/>
  <c r="AV695" i="28"/>
  <c r="AV716" i="28"/>
  <c r="AX693" i="28"/>
  <c r="AV760" i="28"/>
  <c r="AX675" i="28"/>
  <c r="AV698" i="28"/>
  <c r="AV753" i="28"/>
  <c r="AV631" i="28"/>
  <c r="AV700" i="28"/>
  <c r="AX660" i="28"/>
  <c r="AW697" i="28"/>
  <c r="AW407" i="28"/>
  <c r="AV389" i="28"/>
  <c r="AW638" i="28"/>
  <c r="AX649" i="28"/>
  <c r="AV677" i="28"/>
  <c r="AV252" i="28"/>
  <c r="AW232" i="28"/>
  <c r="AW371" i="28"/>
  <c r="AV659" i="28"/>
  <c r="AW753" i="28"/>
  <c r="AV754" i="28"/>
  <c r="AV461" i="28"/>
  <c r="AX662" i="28"/>
  <c r="AW693" i="28"/>
  <c r="AW782" i="28"/>
  <c r="AX782" i="28"/>
  <c r="AV767" i="28"/>
  <c r="AW481" i="28"/>
  <c r="AV489" i="28"/>
  <c r="AV667" i="28"/>
  <c r="AV704" i="28"/>
  <c r="AW645" i="28"/>
  <c r="AW755" i="28"/>
  <c r="AX755" i="28"/>
  <c r="AV772" i="28"/>
  <c r="AX653" i="28"/>
  <c r="AW675" i="28"/>
  <c r="AV630" i="28"/>
  <c r="AW717" i="28"/>
  <c r="AW488" i="28"/>
  <c r="AW666" i="28"/>
  <c r="AX694" i="28"/>
  <c r="AX644" i="28"/>
  <c r="AX735" i="28"/>
  <c r="AV711" i="28"/>
  <c r="AV755" i="28"/>
  <c r="AX364" i="28"/>
  <c r="AV473" i="28"/>
  <c r="AV651" i="28"/>
  <c r="AX674" i="28"/>
  <c r="AW719" i="28"/>
  <c r="AW705" i="28"/>
  <c r="AX697" i="28"/>
  <c r="AV685" i="28"/>
  <c r="AV776" i="28"/>
  <c r="AV679" i="28"/>
  <c r="AX639" i="28"/>
  <c r="AW657" i="28"/>
  <c r="AV739" i="28"/>
  <c r="AW482" i="28"/>
  <c r="AX630" i="28"/>
  <c r="AW652" i="28"/>
  <c r="AV670" i="28"/>
  <c r="AW758" i="28"/>
  <c r="AX758" i="28"/>
  <c r="AW740" i="28"/>
  <c r="AV500" i="28"/>
  <c r="AV635" i="28"/>
  <c r="AX658" i="28"/>
  <c r="AW680" i="28"/>
  <c r="AW689" i="28"/>
  <c r="AW779" i="28"/>
  <c r="AX779" i="28"/>
  <c r="AV764" i="28"/>
  <c r="AV495" i="28"/>
  <c r="AW643" i="28"/>
  <c r="AV665" i="28"/>
  <c r="AX684" i="28"/>
  <c r="AV697" i="28"/>
  <c r="AV655" i="28"/>
  <c r="AX678" i="28"/>
  <c r="AW633" i="28"/>
  <c r="AW709" i="28"/>
  <c r="AX701" i="28"/>
  <c r="AV689" i="28"/>
  <c r="AV779" i="28"/>
  <c r="AW353" i="28"/>
  <c r="AX641" i="28"/>
  <c r="AW663" i="28"/>
  <c r="AW685" i="28"/>
  <c r="AX666" i="28"/>
  <c r="AW305" i="28"/>
  <c r="AW311" i="28"/>
  <c r="AW749" i="28"/>
  <c r="AX310" i="28"/>
  <c r="AX383" i="28"/>
  <c r="AX324" i="28"/>
  <c r="AX295" i="28"/>
  <c r="AV274" i="28"/>
  <c r="AW432" i="28"/>
  <c r="AW687" i="28"/>
  <c r="AX689" i="28"/>
  <c r="AX363" i="28"/>
  <c r="AV471" i="28"/>
  <c r="AV641" i="28"/>
  <c r="AV714" i="28"/>
  <c r="AW706" i="28"/>
  <c r="AX695" i="28"/>
  <c r="AV783" i="28"/>
  <c r="AV358" i="28"/>
  <c r="AX500" i="28"/>
  <c r="AV708" i="28"/>
  <c r="AW648" i="28"/>
  <c r="AV666" i="28"/>
  <c r="AW771" i="28"/>
  <c r="AX771" i="28"/>
  <c r="AW496" i="28"/>
  <c r="AW674" i="28"/>
  <c r="AV633" i="28"/>
  <c r="AX652" i="28"/>
  <c r="AW768" i="28"/>
  <c r="AV498" i="28"/>
  <c r="AX698" i="28"/>
  <c r="AX647" i="28"/>
  <c r="AW665" i="28"/>
  <c r="AW754" i="28"/>
  <c r="AX754" i="28"/>
  <c r="AV771" i="28"/>
  <c r="AW385" i="28"/>
  <c r="AX495" i="28"/>
  <c r="AX673" i="28"/>
  <c r="AW632" i="28"/>
  <c r="AV650" i="28"/>
  <c r="AX740" i="28"/>
  <c r="AW718" i="28"/>
  <c r="AX707" i="28"/>
  <c r="AV501" i="28"/>
  <c r="AX638" i="28"/>
  <c r="AW660" i="28"/>
  <c r="AV678" i="28"/>
  <c r="AW472" i="28"/>
  <c r="AV503" i="28"/>
  <c r="AW651" i="28"/>
  <c r="AV673" i="28"/>
  <c r="AV712" i="28"/>
  <c r="AW774" i="28"/>
  <c r="AX774" i="28"/>
  <c r="AV759" i="28"/>
  <c r="AX348" i="28"/>
  <c r="AX479" i="28"/>
  <c r="AX657" i="28"/>
  <c r="AW679" i="28"/>
  <c r="AV634" i="28"/>
  <c r="AV710" i="28"/>
  <c r="AW702" i="28"/>
  <c r="AX691" i="28"/>
  <c r="AV780" i="28"/>
  <c r="AW642" i="28"/>
  <c r="AV664" i="28"/>
  <c r="AW686" i="28"/>
  <c r="AX696" i="28"/>
  <c r="AX499" i="28"/>
  <c r="AX677" i="28"/>
  <c r="AW636" i="28"/>
  <c r="AV654" i="28"/>
  <c r="AW746" i="28"/>
  <c r="AX746" i="28"/>
  <c r="AX711" i="28"/>
  <c r="AX375" i="28"/>
  <c r="AV374" i="28"/>
  <c r="AW662" i="28"/>
  <c r="AV684" i="28"/>
  <c r="AX225" i="28"/>
  <c r="AX715" i="28"/>
  <c r="AV382" i="28"/>
  <c r="AW167" i="28"/>
  <c r="AX337" i="28"/>
  <c r="AV316" i="28"/>
  <c r="AV354" i="28"/>
  <c r="AX664" i="28"/>
  <c r="AX753" i="28"/>
  <c r="AW489" i="28"/>
  <c r="AV639" i="28"/>
  <c r="AW684" i="28"/>
  <c r="AW750" i="28"/>
  <c r="AX750" i="28"/>
  <c r="AW716" i="28"/>
  <c r="AW380" i="28"/>
  <c r="AX380" i="28"/>
  <c r="AV499" i="28"/>
  <c r="AW647" i="28"/>
  <c r="AV669" i="28"/>
  <c r="AV696" i="28"/>
  <c r="AV691" i="28"/>
  <c r="AV701" i="28"/>
  <c r="AX485" i="28"/>
  <c r="AV632" i="28"/>
  <c r="AX655" i="28"/>
  <c r="AW673" i="28"/>
  <c r="AX768" i="28"/>
  <c r="AW498" i="28"/>
  <c r="AX646" i="28"/>
  <c r="AW668" i="28"/>
  <c r="AX686" i="28"/>
  <c r="AW770" i="28"/>
  <c r="AX770" i="28"/>
  <c r="AW364" i="28"/>
  <c r="AX441" i="28"/>
  <c r="AW631" i="28"/>
  <c r="AV653" i="28"/>
  <c r="AX672" i="28"/>
  <c r="AW759" i="28"/>
  <c r="AX759" i="28"/>
  <c r="AW741" i="28"/>
  <c r="AX637" i="28"/>
  <c r="AW659" i="28"/>
  <c r="AV681" i="28"/>
  <c r="AV690" i="28"/>
  <c r="AV493" i="28"/>
  <c r="AW650" i="28"/>
  <c r="AV672" i="28"/>
  <c r="AV51" i="28"/>
  <c r="AV92" i="28"/>
  <c r="AV144" i="28"/>
  <c r="AW392" i="28"/>
  <c r="AW404" i="28"/>
  <c r="AW410" i="28"/>
  <c r="AV769" i="28"/>
  <c r="AW265" i="28"/>
  <c r="AV322" i="28"/>
  <c r="AV645" i="28"/>
  <c r="AV291" i="28"/>
  <c r="AV197" i="28"/>
  <c r="AV643" i="28"/>
  <c r="AW485" i="28"/>
  <c r="AX216" i="28"/>
  <c r="AW279" i="28"/>
  <c r="AV229" i="28"/>
  <c r="AX158" i="28"/>
  <c r="AW171" i="28"/>
  <c r="AV212" i="28"/>
  <c r="AW273" i="28"/>
  <c r="AX370" i="28"/>
  <c r="AX194" i="28"/>
  <c r="AX322" i="28"/>
  <c r="AV365" i="28"/>
  <c r="AX681" i="28"/>
  <c r="AW669" i="28"/>
  <c r="AW773" i="28"/>
  <c r="AX773" i="28"/>
  <c r="AV758" i="28"/>
  <c r="AV346" i="28"/>
  <c r="AW503" i="28"/>
  <c r="AX651" i="28"/>
  <c r="AX342" i="28"/>
  <c r="AX354" i="28"/>
  <c r="AW361" i="28"/>
  <c r="AX635" i="28"/>
  <c r="AW157" i="28"/>
  <c r="AX242" i="28"/>
  <c r="AW326" i="28"/>
  <c r="AV221" i="28"/>
  <c r="AW306" i="28"/>
  <c r="AW376" i="28"/>
  <c r="AW430" i="28"/>
  <c r="AV661" i="28"/>
  <c r="AV686" i="28"/>
  <c r="AW777" i="28"/>
  <c r="AX777" i="28"/>
  <c r="AV762" i="28"/>
  <c r="AX352" i="28"/>
  <c r="AX650" i="28"/>
  <c r="AX326" i="28"/>
  <c r="AW435" i="28"/>
  <c r="AW372" i="28"/>
  <c r="AW656" i="28"/>
  <c r="AW183" i="28"/>
  <c r="AW268" i="28"/>
  <c r="AX161" i="28"/>
  <c r="AW248" i="28"/>
  <c r="AV332" i="28"/>
  <c r="AX366" i="28"/>
  <c r="AX387" i="28"/>
  <c r="AV660" i="28"/>
  <c r="AX680" i="28"/>
  <c r="AW765" i="28"/>
  <c r="AX765" i="28"/>
  <c r="AV750" i="28"/>
  <c r="AV470" i="28"/>
  <c r="AW671" i="28"/>
  <c r="AW445" i="28"/>
  <c r="AX498" i="28"/>
  <c r="AX437" i="28"/>
  <c r="AX303" i="28"/>
  <c r="AV188" i="28"/>
  <c r="AV273" i="28"/>
  <c r="AW168" i="28"/>
  <c r="AV253" i="28"/>
  <c r="AW366" i="28"/>
  <c r="AV642" i="28"/>
  <c r="AV718" i="28"/>
  <c r="AW710" i="28"/>
  <c r="AW735" i="28"/>
  <c r="AW384" i="28"/>
  <c r="AW479" i="28"/>
  <c r="AX493" i="28"/>
  <c r="AV640" i="28"/>
  <c r="AX663" i="28"/>
  <c r="AW681" i="28"/>
  <c r="AX741" i="28"/>
  <c r="AW291" i="28"/>
  <c r="AX362" i="28"/>
  <c r="AX317" i="28"/>
  <c r="AX302" i="28"/>
  <c r="AW159" i="28"/>
  <c r="AW281" i="28"/>
  <c r="AW307" i="28"/>
  <c r="AX254" i="28"/>
  <c r="AV268" i="28"/>
  <c r="AW367" i="28"/>
  <c r="AW374" i="28"/>
  <c r="AX232" i="28"/>
  <c r="AV244" i="28"/>
  <c r="AW303" i="28"/>
  <c r="AX246" i="28"/>
  <c r="AX165" i="28"/>
  <c r="AX314" i="28"/>
  <c r="AV242" i="28"/>
  <c r="AX341" i="28"/>
  <c r="AV297" i="28"/>
  <c r="AX369" i="28"/>
  <c r="AV443" i="28"/>
  <c r="AX279" i="28"/>
  <c r="AW343" i="28"/>
  <c r="AW431" i="28"/>
  <c r="AW640" i="28"/>
  <c r="AX702" i="28"/>
  <c r="AW694" i="28"/>
  <c r="AV740" i="28"/>
  <c r="AV774" i="28"/>
  <c r="AX368" i="28"/>
  <c r="AW480" i="28"/>
  <c r="AV278" i="28"/>
  <c r="AW370" i="28"/>
  <c r="AW375" i="28"/>
  <c r="AV292" i="28"/>
  <c r="AX178" i="28"/>
  <c r="AW263" i="28"/>
  <c r="AX349" i="28"/>
  <c r="AX243" i="28"/>
  <c r="AX443" i="28"/>
  <c r="AX632" i="28"/>
  <c r="AX708" i="28"/>
  <c r="AV699" i="28"/>
  <c r="AW688" i="28"/>
  <c r="AV778" i="28"/>
  <c r="AW373" i="28"/>
  <c r="AW672" i="28"/>
  <c r="AW354" i="28"/>
  <c r="AW359" i="28"/>
  <c r="AX372" i="28"/>
  <c r="AX298" i="28"/>
  <c r="AV204" i="28"/>
  <c r="AV289" i="28"/>
  <c r="AW184" i="28"/>
  <c r="AW269" i="28"/>
  <c r="AX361" i="28"/>
  <c r="AW387" i="28"/>
  <c r="AV386" i="28"/>
  <c r="AX683" i="28"/>
  <c r="AX692" i="28"/>
  <c r="AW781" i="28"/>
  <c r="AX781" i="28"/>
  <c r="AV766" i="28"/>
  <c r="AV480" i="28"/>
  <c r="AV445" i="28"/>
  <c r="AX268" i="28"/>
  <c r="AV359" i="28"/>
  <c r="AV364" i="28"/>
  <c r="AW322" i="28"/>
  <c r="AW201" i="28"/>
  <c r="AV299" i="28"/>
  <c r="AV314" i="28"/>
  <c r="AX218" i="28"/>
  <c r="AW210" i="28"/>
  <c r="AV245" i="28"/>
  <c r="AV225" i="28"/>
  <c r="AX250" i="28"/>
  <c r="AV157" i="28"/>
  <c r="AV383" i="28"/>
  <c r="AW192" i="28"/>
  <c r="AW360" i="28"/>
  <c r="AX365" i="28"/>
  <c r="AW308" i="28"/>
  <c r="AX195" i="28"/>
  <c r="AV371" i="28"/>
  <c r="AW355" i="28"/>
  <c r="AV437" i="28"/>
  <c r="AW365" i="28"/>
  <c r="AX706" i="28"/>
  <c r="AV702" i="28"/>
  <c r="AV715" i="28"/>
  <c r="AW704" i="28"/>
  <c r="AW368" i="28"/>
  <c r="AW389" i="28"/>
  <c r="AX481" i="28"/>
  <c r="AX300" i="28"/>
  <c r="AX471" i="28"/>
  <c r="AW313" i="28"/>
  <c r="AW199" i="28"/>
  <c r="AW284" i="28"/>
  <c r="AX179" i="28"/>
  <c r="AX264" i="28"/>
  <c r="AV355" i="28"/>
  <c r="AV360" i="28"/>
  <c r="AW473" i="28"/>
  <c r="AV485" i="28"/>
  <c r="AW653" i="28"/>
  <c r="AW745" i="28"/>
  <c r="AX745" i="28"/>
  <c r="AV709" i="28"/>
  <c r="AV373" i="28"/>
  <c r="AX284" i="28"/>
  <c r="AV375" i="28"/>
  <c r="AV380" i="28"/>
  <c r="AV481" i="28"/>
  <c r="AV318" i="28"/>
  <c r="AX226" i="28"/>
  <c r="AW310" i="28"/>
  <c r="AV205" i="28"/>
  <c r="AV290" i="28"/>
  <c r="AW382" i="28"/>
  <c r="AX503" i="28"/>
  <c r="AW637" i="28"/>
  <c r="AW713" i="28"/>
  <c r="AX705" i="28"/>
  <c r="AV693" i="28"/>
  <c r="AV782" i="28"/>
  <c r="AW357" i="28"/>
  <c r="AV502" i="28"/>
  <c r="AW289" i="28"/>
  <c r="AX381" i="28"/>
  <c r="AX386" i="28"/>
  <c r="AV488" i="28"/>
  <c r="AW655" i="28"/>
  <c r="AX345" i="28"/>
  <c r="AW231" i="28"/>
  <c r="AV315" i="28"/>
  <c r="AX211" i="28"/>
  <c r="AX296" i="28"/>
  <c r="AX350" i="28"/>
  <c r="AV357" i="28"/>
  <c r="AX682" i="28"/>
  <c r="AX685" i="28"/>
  <c r="AW769" i="28"/>
  <c r="AX769" i="28"/>
  <c r="AV770" i="28"/>
  <c r="AV362" i="28"/>
  <c r="AW493" i="28"/>
  <c r="AX661" i="28"/>
  <c r="AW683" i="28"/>
  <c r="AV638" i="28"/>
  <c r="AX379" i="28"/>
  <c r="AV658" i="28"/>
  <c r="AW247" i="28"/>
  <c r="AV674" i="28"/>
  <c r="AX382" i="28"/>
  <c r="AV220" i="28"/>
  <c r="AV361" i="28"/>
  <c r="AV320" i="28"/>
  <c r="AW739" i="28"/>
  <c r="AW470" i="28"/>
  <c r="AV376" i="28"/>
  <c r="AW277" i="28"/>
  <c r="AW194" i="28"/>
  <c r="AW262" i="28"/>
  <c r="AW328" i="28"/>
  <c r="AV162" i="28"/>
  <c r="AX305" i="28"/>
  <c r="AV746" i="28"/>
  <c r="AW639" i="28"/>
  <c r="AW285" i="28"/>
  <c r="AX714" i="28"/>
  <c r="AX757" i="28"/>
  <c r="AV482" i="28"/>
  <c r="AW356" i="28"/>
  <c r="AX374" i="28"/>
  <c r="AV326" i="28"/>
  <c r="AW334" i="28"/>
  <c r="AV277" i="28"/>
  <c r="AX667" i="28"/>
  <c r="AX319" i="28"/>
  <c r="AW165" i="28"/>
  <c r="AW206" i="28"/>
  <c r="AW413" i="28"/>
  <c r="AV378" i="28"/>
  <c r="AX749" i="28"/>
  <c r="AW352" i="28"/>
  <c r="AX227" i="28"/>
  <c r="AX634" i="28"/>
  <c r="AW502" i="28"/>
  <c r="AX761" i="28"/>
  <c r="AX376" i="28"/>
  <c r="AW200" i="28"/>
  <c r="AV675" i="28"/>
  <c r="AX430" i="28"/>
  <c r="AX488" i="28"/>
  <c r="AW757" i="28"/>
  <c r="AX280" i="28"/>
  <c r="AW242" i="28"/>
  <c r="AW217" i="28"/>
  <c r="AW298" i="28"/>
  <c r="AW398" i="28"/>
  <c r="AX490" i="28"/>
  <c r="AV765" i="28"/>
  <c r="AW764" i="28"/>
  <c r="AX207" i="28"/>
  <c r="AV474" i="28"/>
  <c r="AW164" i="28"/>
  <c r="AV160" i="28"/>
  <c r="AW333" i="28"/>
  <c r="AV182" i="28"/>
  <c r="AX222" i="28"/>
  <c r="AX277" i="28"/>
  <c r="AV264" i="28"/>
  <c r="AX229" i="28"/>
  <c r="AX255" i="28"/>
  <c r="AW259" i="28"/>
  <c r="AV276" i="28"/>
  <c r="AV345" i="28"/>
  <c r="AV158" i="28"/>
  <c r="AX357" i="28"/>
  <c r="AV309" i="28"/>
  <c r="AV280" i="28"/>
  <c r="AX244" i="28"/>
  <c r="AX176" i="28"/>
  <c r="AV351" i="28"/>
  <c r="AX166" i="28"/>
  <c r="AX373" i="28"/>
  <c r="AV198" i="28"/>
  <c r="AW283" i="28"/>
  <c r="AX315" i="28"/>
  <c r="AV296" i="28"/>
  <c r="AW204" i="28"/>
  <c r="AW345" i="28"/>
  <c r="AW239" i="28"/>
  <c r="AX219" i="28"/>
  <c r="AV370" i="28"/>
  <c r="AX297" i="28"/>
  <c r="AX274" i="28"/>
  <c r="AX215" i="28"/>
  <c r="AW337" i="28"/>
  <c r="AX308" i="28"/>
  <c r="AX309" i="28"/>
  <c r="AW237" i="28"/>
  <c r="AV215" i="28"/>
  <c r="AW317" i="28"/>
  <c r="AW288" i="28"/>
  <c r="AV270" i="28"/>
  <c r="AV300" i="28"/>
  <c r="AX186" i="28"/>
  <c r="AX271" i="28"/>
  <c r="AV163" i="28"/>
  <c r="AX251" i="28"/>
  <c r="AW335" i="28"/>
  <c r="AW499" i="28"/>
  <c r="AX355" i="28"/>
  <c r="AV178" i="28"/>
  <c r="AX265" i="28"/>
  <c r="AW178" i="28"/>
  <c r="AV263" i="28"/>
  <c r="AX214" i="28"/>
  <c r="AV193" i="28"/>
  <c r="AV496" i="28"/>
  <c r="AW347" i="28"/>
  <c r="AX234" i="28"/>
  <c r="AW318" i="28"/>
  <c r="AV213" i="28"/>
  <c r="AV298" i="28"/>
  <c r="AW390" i="28"/>
  <c r="AW441" i="28"/>
  <c r="AX472" i="28"/>
  <c r="AV294" i="28"/>
  <c r="AW386" i="28"/>
  <c r="AX432" i="28"/>
  <c r="AW654" i="28"/>
  <c r="AW215" i="28"/>
  <c r="AW300" i="28"/>
  <c r="AW216" i="28"/>
  <c r="AX301" i="28"/>
  <c r="AW692" i="28"/>
  <c r="AV745" i="28"/>
  <c r="AX212" i="28"/>
  <c r="AW341" i="28"/>
  <c r="AW162" i="28"/>
  <c r="AX276" i="28"/>
  <c r="AW312" i="28"/>
  <c r="AV241" i="28"/>
  <c r="AV246" i="28"/>
  <c r="AX157" i="28"/>
  <c r="AX665" i="28"/>
  <c r="AV186" i="28"/>
  <c r="AW187" i="28"/>
  <c r="AW230" i="28"/>
  <c r="AW282" i="28"/>
  <c r="AX239" i="28"/>
  <c r="AX312" i="28"/>
  <c r="AW695" i="28"/>
  <c r="AW214" i="28"/>
  <c r="AV285" i="28"/>
  <c r="AV431" i="28"/>
  <c r="AW280" i="28"/>
  <c r="AV248" i="28"/>
  <c r="AV330" i="28"/>
  <c r="AX240" i="28"/>
  <c r="AW218" i="28"/>
  <c r="AV293" i="28"/>
  <c r="AX220" i="28"/>
  <c r="AX177" i="28"/>
  <c r="AX191" i="28"/>
  <c r="AW205" i="28"/>
  <c r="AV183" i="28"/>
  <c r="AX247" i="28"/>
  <c r="AX332" i="28"/>
  <c r="AV302" i="28"/>
  <c r="AV282" i="28"/>
  <c r="AW320" i="28"/>
  <c r="AX307" i="28"/>
  <c r="AV257" i="28"/>
  <c r="AX160" i="28"/>
  <c r="AW158" i="28"/>
  <c r="AX330" i="28"/>
  <c r="AW495" i="28"/>
  <c r="AW173" i="28"/>
  <c r="AV258" i="28"/>
  <c r="AW346" i="28"/>
  <c r="AX237" i="28"/>
  <c r="AW161" i="28"/>
  <c r="AW330" i="28"/>
  <c r="AW362" i="28"/>
  <c r="AW207" i="28"/>
  <c r="AW292" i="28"/>
  <c r="AX187" i="28"/>
  <c r="AX272" i="28"/>
  <c r="AV363" i="28"/>
  <c r="AV368" i="28"/>
  <c r="AV430" i="28"/>
  <c r="AX200" i="28"/>
  <c r="AW286" i="28"/>
  <c r="AV199" i="28"/>
  <c r="AX286" i="28"/>
  <c r="AV256" i="28"/>
  <c r="AW236" i="28"/>
  <c r="AV284" i="28"/>
  <c r="AX170" i="28"/>
  <c r="AW255" i="28"/>
  <c r="AV339" i="28"/>
  <c r="AX235" i="28"/>
  <c r="AW319" i="28"/>
  <c r="AX360" i="28"/>
  <c r="AW670" i="28"/>
  <c r="AW315" i="28"/>
  <c r="AV350" i="28"/>
  <c r="AV676" i="28"/>
  <c r="AV349" i="28"/>
  <c r="AV236" i="28"/>
  <c r="AW342" i="28"/>
  <c r="AV237" i="28"/>
  <c r="AX780" i="28"/>
  <c r="AV719" i="28"/>
  <c r="AX356" i="28"/>
  <c r="AX180" i="28"/>
  <c r="AV333" i="28"/>
  <c r="AW302" i="28"/>
  <c r="AV161" i="28"/>
  <c r="AV347" i="28"/>
  <c r="AV250" i="28"/>
  <c r="AW314" i="28"/>
  <c r="AX252" i="28"/>
  <c r="AW304" i="28"/>
  <c r="AW377" i="28"/>
  <c r="AW461" i="28"/>
  <c r="AW278" i="28"/>
  <c r="AX263" i="28"/>
  <c r="AW193" i="28"/>
  <c r="AV235" i="28"/>
  <c r="AV644" i="28"/>
  <c r="AW301" i="28"/>
  <c r="AW261" i="28"/>
  <c r="AV239" i="28"/>
  <c r="AV335" i="28"/>
  <c r="AX285" i="28"/>
  <c r="AW198" i="28"/>
  <c r="AW211" i="28"/>
  <c r="AV233" i="28"/>
  <c r="AV226" i="28"/>
  <c r="AX205" i="28"/>
  <c r="AV224" i="28"/>
  <c r="AX351" i="28"/>
  <c r="AV303" i="28"/>
  <c r="AW443" i="28"/>
  <c r="AV210" i="28"/>
  <c r="AX189" i="28"/>
  <c r="AW235" i="28"/>
  <c r="AX388" i="28"/>
  <c r="AW223" i="28"/>
  <c r="AW224" i="28"/>
  <c r="AW381" i="28"/>
  <c r="AV194" i="28"/>
  <c r="AX281" i="28"/>
  <c r="AX173" i="28"/>
  <c r="AW258" i="28"/>
  <c r="AW203" i="28"/>
  <c r="AX183" i="28"/>
  <c r="AW388" i="28"/>
  <c r="AV342" i="28"/>
  <c r="AV228" i="28"/>
  <c r="AX313" i="28"/>
  <c r="AW208" i="28"/>
  <c r="AW293" i="28"/>
  <c r="AX385" i="28"/>
  <c r="AX390" i="28"/>
  <c r="AW349" i="28"/>
  <c r="AW221" i="28"/>
  <c r="AV308" i="28"/>
  <c r="AX221" i="28"/>
  <c r="AX328" i="28"/>
  <c r="AX299" i="28"/>
  <c r="AX292" i="28"/>
  <c r="AV305" i="28"/>
  <c r="AW191" i="28"/>
  <c r="AW276" i="28"/>
  <c r="AX171" i="28"/>
  <c r="AW256" i="28"/>
  <c r="AV352" i="28"/>
  <c r="AX435" i="28"/>
  <c r="AV435" i="28"/>
  <c r="AX710" i="28"/>
  <c r="AX502" i="28"/>
  <c r="AX431" i="28"/>
  <c r="AW287" i="28"/>
  <c r="AV172" i="28"/>
  <c r="AX258" i="28"/>
  <c r="AV173" i="28"/>
  <c r="AX259" i="28"/>
  <c r="AW56" i="28"/>
  <c r="AV100" i="28"/>
  <c r="AV527" i="28"/>
  <c r="AV96" i="28"/>
  <c r="AV535" i="28"/>
  <c r="AV555" i="28"/>
  <c r="AV596" i="28"/>
  <c r="AV24" i="28"/>
  <c r="AV628" i="28"/>
  <c r="AV60" i="28"/>
  <c r="AZ202" i="28"/>
  <c r="BB202" i="28" s="1"/>
  <c r="AZ206" i="28"/>
  <c r="BB206" i="28" s="1"/>
  <c r="AZ210" i="28"/>
  <c r="BB210" i="28" s="1"/>
  <c r="AZ157" i="28"/>
  <c r="BP157" i="28" s="1"/>
  <c r="AZ165" i="28"/>
  <c r="AZ169" i="28"/>
  <c r="BP169" i="28" s="1"/>
  <c r="AZ173" i="28"/>
  <c r="BB173" i="28" s="1"/>
  <c r="AZ181" i="28"/>
  <c r="AZ189" i="28"/>
  <c r="BB189" i="28" s="1"/>
  <c r="AZ193" i="28"/>
  <c r="BP193" i="28" s="1"/>
  <c r="AZ197" i="28"/>
  <c r="AZ452" i="28"/>
  <c r="BP452" i="28" s="1"/>
  <c r="AZ448" i="28"/>
  <c r="BP448" i="28" s="1"/>
  <c r="AZ784" i="28"/>
  <c r="AZ439" i="28"/>
  <c r="BP439" i="28" s="1"/>
  <c r="AZ424" i="28"/>
  <c r="BP424" i="28" s="1"/>
  <c r="AZ420" i="28"/>
  <c r="AZ457" i="28"/>
  <c r="BP457" i="28" s="1"/>
  <c r="AZ491" i="28"/>
  <c r="BB491" i="28" s="1"/>
  <c r="AZ246" i="28"/>
  <c r="AZ250" i="28"/>
  <c r="BP250" i="28" s="1"/>
  <c r="AZ254" i="28"/>
  <c r="BP254" i="28" s="1"/>
  <c r="AZ260" i="28"/>
  <c r="BP260" i="28" s="1"/>
  <c r="AZ303" i="28"/>
  <c r="BB303" i="28" s="1"/>
  <c r="AZ292" i="28"/>
  <c r="AZ278" i="28"/>
  <c r="BB278" i="28" s="1"/>
  <c r="AZ269" i="28"/>
  <c r="BP269" i="28" s="1"/>
  <c r="AZ299" i="28"/>
  <c r="BP299" i="28" s="1"/>
  <c r="AZ740" i="28"/>
  <c r="AZ633" i="28"/>
  <c r="BP633" i="28" s="1"/>
  <c r="AZ637" i="28"/>
  <c r="BP637" i="28" s="1"/>
  <c r="AZ642" i="28"/>
  <c r="AZ646" i="28"/>
  <c r="AZ650" i="28"/>
  <c r="BP650" i="28" s="1"/>
  <c r="AZ673" i="28"/>
  <c r="BP673" i="28" s="1"/>
  <c r="AZ695" i="28"/>
  <c r="AZ320" i="28"/>
  <c r="BP320" i="28" s="1"/>
  <c r="AZ328" i="28"/>
  <c r="BB328" i="28" s="1"/>
  <c r="AZ335" i="28"/>
  <c r="AZ342" i="28"/>
  <c r="AZ346" i="28"/>
  <c r="BB346" i="28" s="1"/>
  <c r="AZ350" i="28"/>
  <c r="BP350" i="28" s="1"/>
  <c r="AZ354" i="28"/>
  <c r="AZ358" i="28"/>
  <c r="AZ362" i="28"/>
  <c r="BP362" i="28" s="1"/>
  <c r="AZ366" i="28"/>
  <c r="BB366" i="28" s="1"/>
  <c r="AZ370" i="28"/>
  <c r="BP370" i="28" s="1"/>
  <c r="AZ378" i="28"/>
  <c r="BB378" i="28" s="1"/>
  <c r="AZ382" i="28"/>
  <c r="BP382" i="28" s="1"/>
  <c r="AZ390" i="28"/>
  <c r="BB390" i="28" s="1"/>
  <c r="AZ752" i="28"/>
  <c r="AZ756" i="28"/>
  <c r="BP756" i="28" s="1"/>
  <c r="AZ760" i="28"/>
  <c r="BP760" i="28" s="1"/>
  <c r="AZ764" i="28"/>
  <c r="BB764" i="28" s="1"/>
  <c r="AZ768" i="28"/>
  <c r="AZ772" i="28"/>
  <c r="BP772" i="28" s="1"/>
  <c r="AZ776" i="28"/>
  <c r="BP776" i="28" s="1"/>
  <c r="AZ185" i="28"/>
  <c r="BP185" i="28" s="1"/>
  <c r="AZ451" i="28"/>
  <c r="BB451" i="28" s="1"/>
  <c r="X122" i="14"/>
  <c r="X88" i="14"/>
  <c r="AZ327" i="28"/>
  <c r="BP327" i="28" s="1"/>
  <c r="AZ161" i="28"/>
  <c r="BB161" i="28" s="1"/>
  <c r="AV468" i="28"/>
  <c r="AZ177" i="28"/>
  <c r="BP177" i="28" s="1"/>
  <c r="AZ661" i="28"/>
  <c r="BB661" i="28" s="1"/>
  <c r="AZ336" i="28"/>
  <c r="BB336" i="28" s="1"/>
  <c r="AW32" i="28"/>
  <c r="AW48" i="28"/>
  <c r="AW621" i="28"/>
  <c r="AW40" i="28"/>
  <c r="AW22" i="28"/>
  <c r="AW336" i="28"/>
  <c r="AW401" i="28"/>
  <c r="AX457" i="28"/>
  <c r="AW429" i="28"/>
  <c r="AX466" i="28"/>
  <c r="AW425" i="28"/>
  <c r="AV478" i="28"/>
  <c r="AV469" i="28"/>
  <c r="AW497" i="28"/>
  <c r="AV475" i="28"/>
  <c r="AW490" i="28"/>
  <c r="AW468" i="28"/>
  <c r="AW466" i="28"/>
  <c r="AX428" i="28"/>
  <c r="AX427" i="28"/>
  <c r="AV490" i="28"/>
  <c r="AV464" i="28"/>
  <c r="AX460" i="28"/>
  <c r="AV456" i="28"/>
  <c r="AV703" i="28"/>
  <c r="AV735" i="28"/>
  <c r="AX776" i="28"/>
  <c r="AV761" i="28"/>
  <c r="AW760" i="28"/>
  <c r="AX748" i="28"/>
  <c r="AX772" i="28"/>
  <c r="AX270" i="28"/>
  <c r="AX233" i="28"/>
  <c r="AW299" i="28"/>
  <c r="AW249" i="28"/>
  <c r="AV311" i="28"/>
  <c r="AV254" i="28"/>
  <c r="AX249" i="28"/>
  <c r="AW169" i="28"/>
  <c r="AW339" i="28"/>
  <c r="AX320" i="28"/>
  <c r="AW266" i="28"/>
  <c r="AV343" i="28"/>
  <c r="AW181" i="28"/>
  <c r="AV267" i="28"/>
  <c r="AW160" i="28"/>
  <c r="AX245" i="28"/>
  <c r="AV176" i="28"/>
  <c r="AW348" i="28"/>
  <c r="AX204" i="28"/>
  <c r="AW290" i="28"/>
  <c r="AW182" i="28"/>
  <c r="AW267" i="28"/>
  <c r="AW264" i="28"/>
  <c r="AW244" i="28"/>
  <c r="AX474" i="28"/>
  <c r="AW254" i="28"/>
  <c r="AV174" i="28"/>
  <c r="AX164" i="28"/>
  <c r="AV287" i="28"/>
  <c r="AW196" i="28"/>
  <c r="AX208" i="28"/>
  <c r="AW294" i="28"/>
  <c r="AW186" i="28"/>
  <c r="AW271" i="28"/>
  <c r="AX230" i="28"/>
  <c r="AV209" i="28"/>
  <c r="AX378" i="28"/>
  <c r="AX188" i="28"/>
  <c r="AW274" i="28"/>
  <c r="AW166" i="28"/>
  <c r="AV251" i="28"/>
  <c r="AX190" i="28"/>
  <c r="AV169" i="28"/>
  <c r="AW190" i="28"/>
  <c r="AV259" i="28"/>
  <c r="AW691" i="28"/>
  <c r="AX201" i="28"/>
  <c r="AV234" i="28"/>
  <c r="AW344" i="28"/>
  <c r="AW234" i="28"/>
  <c r="AX156" i="28"/>
  <c r="AV177" i="28"/>
  <c r="AV432" i="28"/>
  <c r="AX236" i="28"/>
  <c r="AW324" i="28"/>
  <c r="AV447" i="28"/>
  <c r="AX448" i="28"/>
  <c r="AV477" i="28"/>
  <c r="AX449" i="28"/>
  <c r="AX446" i="28"/>
  <c r="AW436" i="28"/>
  <c r="AX452" i="28"/>
  <c r="AX497" i="28"/>
  <c r="AW784" i="28"/>
  <c r="AX687" i="28"/>
  <c r="AV777" i="28"/>
  <c r="AW776" i="28"/>
  <c r="AX764" i="28"/>
  <c r="AX703" i="28"/>
  <c r="AW748" i="28"/>
  <c r="AV773" i="28"/>
  <c r="AW227" i="28"/>
  <c r="AV249" i="28"/>
  <c r="AV337" i="28"/>
  <c r="AX318" i="28"/>
  <c r="AW185" i="28"/>
  <c r="AV184" i="28"/>
  <c r="AX343" i="28"/>
  <c r="AX291" i="28"/>
  <c r="AX159" i="28"/>
  <c r="AX389" i="28"/>
  <c r="AV202" i="28"/>
  <c r="AX289" i="28"/>
  <c r="AX181" i="28"/>
  <c r="AX266" i="28"/>
  <c r="AW219" i="28"/>
  <c r="AX199" i="28"/>
  <c r="AV356" i="28"/>
  <c r="AW225" i="28"/>
  <c r="AV313" i="28"/>
  <c r="AV203" i="28"/>
  <c r="AX294" i="28"/>
  <c r="AV306" i="28"/>
  <c r="AV307" i="28"/>
  <c r="AV190" i="28"/>
  <c r="AW195" i="28"/>
  <c r="AX260" i="28"/>
  <c r="AX333" i="28"/>
  <c r="AV179" i="28"/>
  <c r="AW351" i="28"/>
  <c r="AW229" i="28"/>
  <c r="AV317" i="28"/>
  <c r="AV207" i="28"/>
  <c r="AV301" i="28"/>
  <c r="AW272" i="28"/>
  <c r="AW252" i="28"/>
  <c r="AV366" i="28"/>
  <c r="AW209" i="28"/>
  <c r="AV295" i="28"/>
  <c r="AV187" i="28"/>
  <c r="AV272" i="28"/>
  <c r="AV232" i="28"/>
  <c r="AW212" i="28"/>
  <c r="AW383" i="28"/>
  <c r="AW275" i="28"/>
  <c r="AX196" i="28"/>
  <c r="AX206" i="28"/>
  <c r="AV288" i="28"/>
  <c r="AV170" i="28"/>
  <c r="AX256" i="28"/>
  <c r="AW170" i="28"/>
  <c r="AV255" i="28"/>
  <c r="AX198" i="28"/>
  <c r="AW220" i="28"/>
  <c r="AX172" i="28"/>
  <c r="AW257" i="28"/>
  <c r="AX456" i="28"/>
  <c r="AW453" i="28"/>
  <c r="AW698" i="28"/>
  <c r="AW772" i="28"/>
  <c r="AV687" i="28"/>
  <c r="AV206" i="28"/>
  <c r="AW233" i="28"/>
  <c r="AV238" i="28"/>
  <c r="AV243" i="28"/>
  <c r="AX224" i="28"/>
  <c r="AW202" i="28"/>
  <c r="AX262" i="28"/>
  <c r="AX269" i="28"/>
  <c r="AW246" i="28"/>
  <c r="AV201" i="28"/>
  <c r="AX169" i="28"/>
  <c r="AW238" i="28"/>
  <c r="AV216" i="28"/>
  <c r="AX273" i="28"/>
  <c r="AW250" i="28"/>
  <c r="AX167" i="28"/>
  <c r="AV166" i="28"/>
  <c r="AX346" i="28"/>
  <c r="AV328" i="28"/>
  <c r="AX238" i="28"/>
  <c r="AW174" i="28"/>
  <c r="AV222" i="28"/>
  <c r="AX192" i="28"/>
  <c r="AV191" i="28"/>
  <c r="AV240" i="28"/>
  <c r="AV214" i="28"/>
  <c r="AV171" i="28"/>
  <c r="AX257" i="28"/>
  <c r="AV200" i="28"/>
  <c r="AW180" i="28"/>
  <c r="AW260" i="28"/>
  <c r="AV304" i="28"/>
  <c r="AW228" i="28"/>
  <c r="AW332" i="28"/>
  <c r="AW297" i="28"/>
  <c r="AW197" i="28"/>
  <c r="AV283" i="28"/>
  <c r="AV175" i="28"/>
  <c r="AX261" i="28"/>
  <c r="AV208" i="28"/>
  <c r="AW188" i="28"/>
  <c r="AX470" i="28"/>
  <c r="AV156" i="28"/>
  <c r="AW241" i="28"/>
  <c r="AV219" i="28"/>
  <c r="AW296" i="28"/>
  <c r="AV286" i="28"/>
  <c r="AW163" i="28"/>
  <c r="AX248" i="28"/>
  <c r="AW226" i="28"/>
  <c r="AW309" i="28"/>
  <c r="AV312" i="28"/>
  <c r="AX290" i="28"/>
  <c r="AW175" i="28"/>
  <c r="AV260" i="28"/>
  <c r="AX347" i="28"/>
  <c r="AW240" i="28"/>
  <c r="AV324" i="28"/>
  <c r="AX358" i="28"/>
  <c r="AX371" i="28"/>
  <c r="AX168" i="28"/>
  <c r="AW253" i="28"/>
  <c r="AV341" i="28"/>
  <c r="AV231" i="28"/>
  <c r="AV348" i="28"/>
  <c r="AV319" i="28"/>
  <c r="AV388" i="28"/>
  <c r="AW295" i="28"/>
  <c r="AV180" i="28"/>
  <c r="AV265" i="28"/>
  <c r="AV181" i="28"/>
  <c r="AV266" i="28"/>
  <c r="AW358" i="28"/>
  <c r="AW363" i="28"/>
  <c r="AV381" i="28"/>
  <c r="AX440" i="28"/>
  <c r="AW451" i="28"/>
  <c r="AV706" i="28"/>
  <c r="AX752" i="28"/>
  <c r="AV713" i="28"/>
  <c r="AX293" i="28"/>
  <c r="AW316" i="28"/>
  <c r="AV227" i="28"/>
  <c r="AV271" i="28"/>
  <c r="AW350" i="28"/>
  <c r="AX217" i="28"/>
  <c r="AX174" i="28"/>
  <c r="AW245" i="28"/>
  <c r="AV223" i="28"/>
  <c r="AX304" i="28"/>
  <c r="AX162" i="28"/>
  <c r="AX335" i="28"/>
  <c r="AW179" i="28"/>
  <c r="AX175" i="28"/>
  <c r="AV367" i="28"/>
  <c r="AV165" i="28"/>
  <c r="AX339" i="28"/>
  <c r="AX344" i="28"/>
  <c r="AV230" i="28"/>
  <c r="AX209" i="28"/>
  <c r="AX275" i="28"/>
  <c r="AV217" i="28"/>
  <c r="AV185" i="28"/>
  <c r="AX311" i="28"/>
  <c r="AW213" i="28"/>
  <c r="AX213" i="28"/>
  <c r="AX283" i="28"/>
  <c r="AX367" i="28"/>
  <c r="AV279" i="28"/>
  <c r="AX193" i="28"/>
  <c r="AX278" i="28"/>
  <c r="AW243" i="28"/>
  <c r="AX223" i="28"/>
  <c r="AV377" i="28"/>
  <c r="AV211" i="28"/>
  <c r="AX359" i="28"/>
  <c r="AV195" i="28"/>
  <c r="AW222" i="28"/>
  <c r="AW437" i="28"/>
  <c r="AV218" i="28"/>
  <c r="AX306" i="28"/>
  <c r="AX197" i="28"/>
  <c r="AX282" i="28"/>
  <c r="AW251" i="28"/>
  <c r="AX231" i="28"/>
  <c r="AW177" i="28"/>
  <c r="AV262" i="28"/>
  <c r="AW156" i="28"/>
  <c r="AX241" i="28"/>
  <c r="AV168" i="28"/>
  <c r="AW378" i="28"/>
  <c r="AX184" i="28"/>
  <c r="AW270" i="28"/>
  <c r="AX163" i="28"/>
  <c r="AV247" i="28"/>
  <c r="AX182" i="28"/>
  <c r="AV159" i="28"/>
  <c r="AV310" i="28"/>
  <c r="AV196" i="28"/>
  <c r="AV281" i="28"/>
  <c r="AW176" i="28"/>
  <c r="AV261" i="28"/>
  <c r="AX353" i="28"/>
  <c r="AW379" i="28"/>
  <c r="AW189" i="28"/>
  <c r="AV275" i="28"/>
  <c r="AV167" i="28"/>
  <c r="AX253" i="28"/>
  <c r="AV192" i="28"/>
  <c r="AW172" i="28"/>
  <c r="AV353" i="28"/>
  <c r="AX316" i="28"/>
  <c r="AX202" i="28"/>
  <c r="AX287" i="28"/>
  <c r="AX203" i="28"/>
  <c r="AX288" i="28"/>
  <c r="AV379" i="28"/>
  <c r="AV384" i="28"/>
  <c r="AX482" i="28"/>
  <c r="AW494" i="28"/>
  <c r="AX465" i="28"/>
  <c r="AX784" i="28"/>
  <c r="AW14" i="28"/>
  <c r="AW742" i="28"/>
  <c r="AW727" i="28"/>
  <c r="AW24" i="28"/>
  <c r="AW16" i="28"/>
  <c r="AW47" i="28"/>
  <c r="AV108" i="28"/>
  <c r="AV43" i="28"/>
  <c r="AV16" i="28"/>
  <c r="AV104" i="28"/>
  <c r="AV519" i="28"/>
  <c r="AV588" i="28"/>
  <c r="AV84" i="28"/>
  <c r="AV132" i="28"/>
  <c r="AV35" i="28"/>
  <c r="AV511" i="28"/>
  <c r="AV580" i="28"/>
  <c r="AV612" i="28"/>
  <c r="AV76" i="28"/>
  <c r="AV140" i="28"/>
  <c r="AV563" i="28"/>
  <c r="AV572" i="28"/>
  <c r="AV68" i="28"/>
  <c r="AV152" i="28"/>
  <c r="AX469" i="28"/>
  <c r="AX491" i="28"/>
  <c r="AV483" i="28"/>
  <c r="AV451" i="28"/>
  <c r="AV457" i="28"/>
  <c r="AW439" i="28"/>
  <c r="AX458" i="28"/>
  <c r="AW736" i="28"/>
  <c r="AV455" i="28"/>
  <c r="AX467" i="28"/>
  <c r="AW438" i="28"/>
  <c r="AW457" i="28"/>
  <c r="AV422" i="28"/>
  <c r="AW464" i="28"/>
  <c r="AV419" i="28"/>
  <c r="AW491" i="28"/>
  <c r="AV492" i="28"/>
  <c r="AV436" i="28"/>
  <c r="AV497" i="28"/>
  <c r="AW426" i="28"/>
  <c r="AX476" i="28"/>
  <c r="AV425" i="28"/>
  <c r="AV424" i="28"/>
  <c r="AX459" i="28"/>
  <c r="AX420" i="28"/>
  <c r="AW424" i="28"/>
  <c r="AV444" i="28"/>
  <c r="AX455" i="28"/>
  <c r="AW428" i="28"/>
  <c r="AX487" i="28"/>
  <c r="AX423" i="28"/>
  <c r="AW476" i="28"/>
  <c r="AW483" i="28"/>
  <c r="AV465" i="28"/>
  <c r="AW427" i="28"/>
  <c r="AX712" i="28"/>
  <c r="AW714" i="28"/>
  <c r="AW780" i="28"/>
  <c r="AV757" i="28"/>
  <c r="AV749" i="28"/>
  <c r="AX760" i="28"/>
  <c r="AV781" i="28"/>
  <c r="AW708" i="28"/>
  <c r="AX719" i="28"/>
  <c r="AX185" i="28"/>
  <c r="AV372" i="28"/>
  <c r="AX228" i="28"/>
  <c r="AV269" i="28"/>
  <c r="AV164" i="28"/>
  <c r="AW458" i="28"/>
  <c r="AW737" i="28"/>
  <c r="AW478" i="28"/>
  <c r="AV494" i="28"/>
  <c r="AW452" i="28"/>
  <c r="AW434" i="28"/>
  <c r="AV440" i="28"/>
  <c r="AV737" i="28"/>
  <c r="AW450" i="28"/>
  <c r="AX451" i="28"/>
  <c r="AX433" i="28"/>
  <c r="AV448" i="28"/>
  <c r="AX738" i="28"/>
  <c r="AV453" i="28"/>
  <c r="AX494" i="28"/>
  <c r="AW459" i="28"/>
  <c r="AX478" i="28"/>
  <c r="AX426" i="28"/>
  <c r="AV449" i="28"/>
  <c r="AW465" i="28"/>
  <c r="AW467" i="28"/>
  <c r="AX486" i="28"/>
  <c r="AW419" i="28"/>
  <c r="AW448" i="28"/>
  <c r="AW475" i="28"/>
  <c r="AX419" i="28"/>
  <c r="AX434" i="28"/>
  <c r="AV446" i="28"/>
  <c r="AV452" i="28"/>
  <c r="AW444" i="28"/>
  <c r="AV484" i="28"/>
  <c r="AW487" i="28"/>
  <c r="AV442" i="28"/>
  <c r="AV433" i="28"/>
  <c r="AW454" i="28"/>
  <c r="AX737" i="28"/>
  <c r="AX453" i="28"/>
  <c r="AV738" i="28"/>
  <c r="AW462" i="28"/>
  <c r="AW484" i="28"/>
  <c r="AX447" i="28"/>
  <c r="AV423" i="28"/>
  <c r="AV434" i="28"/>
  <c r="AV487" i="28"/>
  <c r="AX483" i="28"/>
  <c r="AW440" i="28"/>
  <c r="AV427" i="28"/>
  <c r="AW433" i="28"/>
  <c r="AV491" i="28"/>
  <c r="AV486" i="28"/>
  <c r="AX436" i="28"/>
  <c r="AV450" i="28"/>
  <c r="AW469" i="28"/>
  <c r="AW486" i="28"/>
  <c r="AX439" i="28"/>
  <c r="AX442" i="28"/>
  <c r="AX444" i="28"/>
  <c r="AW477" i="28"/>
  <c r="AV459" i="28"/>
  <c r="AX425" i="28"/>
  <c r="AV466" i="28"/>
  <c r="AV476" i="28"/>
  <c r="AW423" i="28"/>
  <c r="AV426" i="28"/>
  <c r="AX422" i="28"/>
  <c r="AX492" i="28"/>
  <c r="AX438" i="28"/>
  <c r="AX421" i="28"/>
  <c r="AV784" i="28"/>
  <c r="AX464" i="28"/>
  <c r="AV25" i="28"/>
  <c r="AW149" i="28"/>
  <c r="AV722" i="28"/>
  <c r="AV730" i="28"/>
  <c r="AV116" i="28"/>
  <c r="AV12" i="28"/>
  <c r="AV505" i="28"/>
  <c r="AV584" i="28"/>
  <c r="AV600" i="28"/>
  <c r="AV616" i="28"/>
  <c r="AV64" i="28"/>
  <c r="AV72" i="28"/>
  <c r="AV80" i="28"/>
  <c r="AV88" i="28"/>
  <c r="AV148" i="28"/>
  <c r="AW61" i="28"/>
  <c r="AW18" i="28"/>
  <c r="AW555" i="28"/>
  <c r="AW21" i="28"/>
  <c r="AW28" i="28"/>
  <c r="AZ340" i="28"/>
  <c r="BP340" i="28" s="1"/>
  <c r="AZ323" i="28"/>
  <c r="BB323" i="28" s="1"/>
  <c r="AZ331" i="28"/>
  <c r="BP331" i="28" s="1"/>
  <c r="AZ786" i="28"/>
  <c r="BP786" i="28" s="1"/>
  <c r="AZ16" i="28"/>
  <c r="BP16" i="28" s="1"/>
  <c r="AZ36" i="28"/>
  <c r="BP36" i="28" s="1"/>
  <c r="AZ52" i="28"/>
  <c r="BP52" i="28" s="1"/>
  <c r="AZ76" i="28"/>
  <c r="BP76" i="28" s="1"/>
  <c r="AZ104" i="28"/>
  <c r="BB104" i="28" s="1"/>
  <c r="AZ124" i="28"/>
  <c r="BP124" i="28" s="1"/>
  <c r="AZ140" i="28"/>
  <c r="BP140" i="28" s="1"/>
  <c r="AZ554" i="28"/>
  <c r="BP554" i="28" s="1"/>
  <c r="AZ582" i="28"/>
  <c r="BP582" i="28" s="1"/>
  <c r="AZ598" i="28"/>
  <c r="BB598" i="28" s="1"/>
  <c r="AZ622" i="28"/>
  <c r="BB622" i="28" s="1"/>
  <c r="AZ504" i="28"/>
  <c r="BP504" i="28" s="1"/>
  <c r="AZ524" i="28"/>
  <c r="BB524" i="28" s="1"/>
  <c r="AZ10" i="28"/>
  <c r="BP10" i="28" s="1"/>
  <c r="AZ26" i="28"/>
  <c r="BB26" i="28" s="1"/>
  <c r="AZ42" i="28"/>
  <c r="BB42" i="28" s="1"/>
  <c r="AZ62" i="28"/>
  <c r="BP62" i="28" s="1"/>
  <c r="AZ78" i="28"/>
  <c r="BB78" i="28" s="1"/>
  <c r="AZ110" i="28"/>
  <c r="BB110" i="28" s="1"/>
  <c r="AZ134" i="28"/>
  <c r="BB134" i="28" s="1"/>
  <c r="AZ154" i="28"/>
  <c r="BB154" i="28" s="1"/>
  <c r="AZ522" i="28"/>
  <c r="BP522" i="28" s="1"/>
  <c r="AZ724" i="28"/>
  <c r="BB724" i="28" s="1"/>
  <c r="AZ540" i="28"/>
  <c r="BP540" i="28" s="1"/>
  <c r="AZ556" i="28"/>
  <c r="BB556" i="28" s="1"/>
  <c r="AZ580" i="28"/>
  <c r="BB580" i="28" s="1"/>
  <c r="AZ596" i="28"/>
  <c r="BB596" i="28" s="1"/>
  <c r="AZ620" i="28"/>
  <c r="BB620" i="28" s="1"/>
  <c r="AZ20" i="28"/>
  <c r="BB20" i="28" s="1"/>
  <c r="AZ40" i="28"/>
  <c r="BP40" i="28" s="1"/>
  <c r="AZ64" i="28"/>
  <c r="BP64" i="28" s="1"/>
  <c r="AZ80" i="28"/>
  <c r="BP80" i="28" s="1"/>
  <c r="AZ108" i="28"/>
  <c r="BB108" i="28" s="1"/>
  <c r="AZ128" i="28"/>
  <c r="BP128" i="28" s="1"/>
  <c r="AZ144" i="28"/>
  <c r="BP144" i="28" s="1"/>
  <c r="AZ542" i="28"/>
  <c r="BB542" i="28" s="1"/>
  <c r="AZ566" i="28"/>
  <c r="BP566" i="28" s="1"/>
  <c r="AZ586" i="28"/>
  <c r="BB586" i="28" s="1"/>
  <c r="AZ602" i="28"/>
  <c r="BB602" i="28" s="1"/>
  <c r="AZ626" i="28"/>
  <c r="BB626" i="28" s="1"/>
  <c r="AZ508" i="28"/>
  <c r="BB508" i="28" s="1"/>
  <c r="AZ528" i="28"/>
  <c r="BB528" i="28" s="1"/>
  <c r="AZ726" i="28"/>
  <c r="BP726" i="28" s="1"/>
  <c r="AZ14" i="28"/>
  <c r="BP14" i="28" s="1"/>
  <c r="AZ46" i="28"/>
  <c r="BP46" i="28" s="1"/>
  <c r="AZ66" i="28"/>
  <c r="BB66" i="28" s="1"/>
  <c r="AZ82" i="28"/>
  <c r="BP82" i="28" s="1"/>
  <c r="AZ122" i="28"/>
  <c r="BP122" i="28" s="1"/>
  <c r="AZ138" i="28"/>
  <c r="BP138" i="28" s="1"/>
  <c r="AZ506" i="28"/>
  <c r="BB506" i="28" s="1"/>
  <c r="AZ526" i="28"/>
  <c r="BP526" i="28" s="1"/>
  <c r="AZ728" i="28"/>
  <c r="BB728" i="28" s="1"/>
  <c r="AZ544" i="28"/>
  <c r="BP544" i="28" s="1"/>
  <c r="AZ584" i="28"/>
  <c r="BP584" i="28" s="1"/>
  <c r="AZ600" i="28"/>
  <c r="BP600" i="28" s="1"/>
  <c r="AZ624" i="28"/>
  <c r="BB624" i="28" s="1"/>
  <c r="AZ8" i="28"/>
  <c r="BB8" i="28" s="1"/>
  <c r="AZ24" i="28"/>
  <c r="BB24" i="28" s="1"/>
  <c r="AZ44" i="28"/>
  <c r="BP44" i="28" s="1"/>
  <c r="AZ68" i="28"/>
  <c r="BP68" i="28" s="1"/>
  <c r="AZ84" i="28"/>
  <c r="BB84" i="28" s="1"/>
  <c r="AZ112" i="28"/>
  <c r="BB112" i="28" s="1"/>
  <c r="AZ132" i="28"/>
  <c r="BB132" i="28" s="1"/>
  <c r="AZ152" i="28"/>
  <c r="BP152" i="28" s="1"/>
  <c r="AZ546" i="28"/>
  <c r="BP546" i="28" s="1"/>
  <c r="AZ574" i="28"/>
  <c r="BB574" i="28" s="1"/>
  <c r="AZ590" i="28"/>
  <c r="BB590" i="28" s="1"/>
  <c r="AZ614" i="28"/>
  <c r="BP614" i="28" s="1"/>
  <c r="AZ532" i="28"/>
  <c r="BP532" i="28" s="1"/>
  <c r="AZ730" i="28"/>
  <c r="BB730" i="28" s="1"/>
  <c r="AZ18" i="28"/>
  <c r="BB18" i="28" s="1"/>
  <c r="AZ34" i="28"/>
  <c r="BB34" i="28" s="1"/>
  <c r="AZ50" i="28"/>
  <c r="BP50" i="28" s="1"/>
  <c r="AZ70" i="28"/>
  <c r="BP70" i="28" s="1"/>
  <c r="AZ98" i="28"/>
  <c r="BB98" i="28" s="1"/>
  <c r="AZ126" i="28"/>
  <c r="BB126" i="28" s="1"/>
  <c r="AZ142" i="28"/>
  <c r="BP142" i="28" s="1"/>
  <c r="AZ510" i="28"/>
  <c r="BP510" i="28" s="1"/>
  <c r="AZ530" i="28"/>
  <c r="BP530" i="28" s="1"/>
  <c r="AZ732" i="28"/>
  <c r="BP732" i="28" s="1"/>
  <c r="AZ548" i="28"/>
  <c r="BB548" i="28" s="1"/>
  <c r="AZ572" i="28"/>
  <c r="BP572" i="28" s="1"/>
  <c r="AZ588" i="28"/>
  <c r="BB588" i="28" s="1"/>
  <c r="AZ604" i="28"/>
  <c r="BP604" i="28" s="1"/>
  <c r="AZ628" i="28"/>
  <c r="BB628" i="28" s="1"/>
  <c r="AW36" i="28"/>
  <c r="AW77" i="28"/>
  <c r="AW574" i="28"/>
  <c r="AW518" i="28"/>
  <c r="AW20" i="28"/>
  <c r="AW50" i="28"/>
  <c r="AW606" i="28"/>
  <c r="AW585" i="28"/>
  <c r="AW52" i="28"/>
  <c r="AW132" i="28"/>
  <c r="AW728" i="28"/>
  <c r="AW537" i="28"/>
  <c r="AW564" i="28"/>
  <c r="AW528" i="28"/>
  <c r="AW42" i="28"/>
  <c r="AW70" i="28"/>
  <c r="AW10" i="28"/>
  <c r="AW112" i="28"/>
  <c r="AW44" i="28"/>
  <c r="AW507" i="28"/>
  <c r="AW510" i="28"/>
  <c r="AW12" i="28"/>
  <c r="AW738" i="28"/>
  <c r="AW39" i="28"/>
  <c r="AW55" i="28"/>
  <c r="AW513" i="28"/>
  <c r="AW539" i="28"/>
  <c r="AW590" i="28"/>
  <c r="AW622" i="28"/>
  <c r="AW504" i="28"/>
  <c r="AV428" i="28"/>
  <c r="AX462" i="28"/>
  <c r="AV429" i="28"/>
  <c r="AX484" i="28"/>
  <c r="AV454" i="28"/>
  <c r="AW492" i="28"/>
  <c r="AX454" i="28"/>
  <c r="AW420" i="28"/>
  <c r="AV458" i="28"/>
  <c r="AW421" i="28"/>
  <c r="AW455" i="28"/>
  <c r="AW460" i="28"/>
  <c r="AV420" i="28"/>
  <c r="AV460" i="28"/>
  <c r="AV421" i="28"/>
  <c r="AX468" i="28"/>
  <c r="AX450" i="28"/>
  <c r="AW463" i="28"/>
  <c r="AX475" i="28"/>
  <c r="AV736" i="28"/>
  <c r="AV438" i="28"/>
  <c r="AW422" i="28"/>
  <c r="AW447" i="28"/>
  <c r="AW456" i="28"/>
  <c r="AV439" i="28"/>
  <c r="AX477" i="28"/>
  <c r="AX424" i="28"/>
  <c r="AW449" i="28"/>
  <c r="AX429" i="28"/>
  <c r="AV462" i="28"/>
  <c r="AX463" i="28"/>
  <c r="AW446" i="28"/>
  <c r="AV467" i="28"/>
  <c r="AX736" i="28"/>
  <c r="AW442" i="28"/>
  <c r="AV463" i="28"/>
  <c r="AW100" i="28"/>
  <c r="AW29" i="28"/>
  <c r="AW45" i="28"/>
  <c r="AW521" i="28"/>
  <c r="AW598" i="28"/>
  <c r="AW720" i="28"/>
  <c r="AW37" i="28"/>
  <c r="AW53" i="28"/>
  <c r="AW582" i="28"/>
  <c r="AW614" i="28"/>
  <c r="AW563" i="28"/>
  <c r="AX46" i="28"/>
  <c r="AW116" i="28"/>
  <c r="AW69" i="28"/>
  <c r="AW124" i="28"/>
  <c r="AW59" i="28"/>
  <c r="AW75" i="28"/>
  <c r="AW98" i="28"/>
  <c r="AW141" i="28"/>
  <c r="AW108" i="28"/>
  <c r="AW67" i="28"/>
  <c r="AW87" i="28"/>
  <c r="AW109" i="28"/>
  <c r="AW130" i="28"/>
  <c r="AW543" i="28"/>
  <c r="AW76" i="28"/>
  <c r="AW102" i="28"/>
  <c r="AW541" i="28"/>
  <c r="AW86" i="28"/>
  <c r="AW105" i="28"/>
  <c r="AW26" i="28"/>
  <c r="AW60" i="28"/>
  <c r="AW92" i="28"/>
  <c r="AW137" i="28"/>
  <c r="AX81" i="28"/>
  <c r="AX25" i="28"/>
  <c r="AW62" i="28"/>
  <c r="AW78" i="28"/>
  <c r="AW94" i="28"/>
  <c r="AW126" i="28"/>
  <c r="AW148" i="28"/>
  <c r="AW545" i="28"/>
  <c r="AW566" i="28"/>
  <c r="AW27" i="28"/>
  <c r="AW68" i="28"/>
  <c r="AW84" i="28"/>
  <c r="AW113" i="28"/>
  <c r="AW531" i="28"/>
  <c r="AW547" i="28"/>
  <c r="AW536" i="28"/>
  <c r="AZ102" i="28"/>
  <c r="BB102" i="28" s="1"/>
  <c r="AZ100" i="28"/>
  <c r="BB100" i="28" s="1"/>
  <c r="AZ94" i="28"/>
  <c r="BP94" i="28" s="1"/>
  <c r="AW64" i="28"/>
  <c r="AW72" i="28"/>
  <c r="AW80" i="28"/>
  <c r="AW88" i="28"/>
  <c r="AW97" i="28"/>
  <c r="AW118" i="28"/>
  <c r="AW142" i="28"/>
  <c r="AW150" i="28"/>
  <c r="AW9" i="28"/>
  <c r="AW515" i="28"/>
  <c r="AW523" i="28"/>
  <c r="AW533" i="28"/>
  <c r="AW576" i="28"/>
  <c r="AW584" i="28"/>
  <c r="AW592" i="28"/>
  <c r="AW600" i="28"/>
  <c r="AW608" i="28"/>
  <c r="AW616" i="28"/>
  <c r="AW624" i="28"/>
  <c r="AW722" i="28"/>
  <c r="AW730" i="28"/>
  <c r="AW530" i="28"/>
  <c r="AW549" i="28"/>
  <c r="AW557" i="28"/>
  <c r="AW565" i="28"/>
  <c r="AW540" i="28"/>
  <c r="AW58" i="28"/>
  <c r="AW66" i="28"/>
  <c r="AW74" i="28"/>
  <c r="AW82" i="28"/>
  <c r="AW90" i="28"/>
  <c r="AW110" i="28"/>
  <c r="AW121" i="28"/>
  <c r="AW134" i="28"/>
  <c r="AW144" i="28"/>
  <c r="AW152" i="28"/>
  <c r="AW517" i="28"/>
  <c r="AW525" i="28"/>
  <c r="AW570" i="28"/>
  <c r="AW578" i="28"/>
  <c r="AW586" i="28"/>
  <c r="AW594" i="28"/>
  <c r="AW602" i="28"/>
  <c r="AW610" i="28"/>
  <c r="AW618" i="28"/>
  <c r="AW626" i="28"/>
  <c r="AW724" i="28"/>
  <c r="AW732" i="28"/>
  <c r="AW743" i="28"/>
  <c r="AW551" i="28"/>
  <c r="AW559" i="28"/>
  <c r="AW544" i="28"/>
  <c r="AW146" i="28"/>
  <c r="AW154" i="28"/>
  <c r="AW509" i="28"/>
  <c r="AW519" i="28"/>
  <c r="AW527" i="28"/>
  <c r="AW572" i="28"/>
  <c r="AW580" i="28"/>
  <c r="AW588" i="28"/>
  <c r="AW596" i="28"/>
  <c r="AW604" i="28"/>
  <c r="AW612" i="28"/>
  <c r="AW620" i="28"/>
  <c r="AW628" i="28"/>
  <c r="AW726" i="28"/>
  <c r="AW734" i="28"/>
  <c r="AW553" i="28"/>
  <c r="AW561" i="28"/>
  <c r="AW400" i="28"/>
  <c r="U188" i="14"/>
  <c r="U23" i="14"/>
  <c r="U177" i="14"/>
  <c r="U185" i="14"/>
  <c r="U178" i="14"/>
  <c r="U90" i="14"/>
  <c r="U110" i="14"/>
  <c r="U208" i="14"/>
  <c r="U179" i="14"/>
  <c r="U143" i="14"/>
  <c r="U53" i="14"/>
  <c r="AX6" i="28"/>
  <c r="AX562" i="28"/>
  <c r="AX56" i="28"/>
  <c r="AX30" i="28"/>
  <c r="AX20" i="28"/>
  <c r="AW6" i="28"/>
  <c r="AX22" i="28"/>
  <c r="AX13" i="28"/>
  <c r="AX10" i="28"/>
  <c r="AW535" i="28"/>
  <c r="AX58" i="28"/>
  <c r="AX52" i="28"/>
  <c r="AX34" i="28"/>
  <c r="AW120" i="28"/>
  <c r="AW13" i="28"/>
  <c r="AW33" i="28"/>
  <c r="AW41" i="28"/>
  <c r="AW49" i="28"/>
  <c r="AW569" i="28"/>
  <c r="AW15" i="28"/>
  <c r="AW35" i="28"/>
  <c r="AW43" i="28"/>
  <c r="AW51" i="28"/>
  <c r="AW529" i="28"/>
  <c r="AW96" i="28"/>
  <c r="AW128" i="28"/>
  <c r="AW17" i="28"/>
  <c r="AW25" i="28"/>
  <c r="AW63" i="28"/>
  <c r="AW71" i="28"/>
  <c r="AW79" i="28"/>
  <c r="AW91" i="28"/>
  <c r="AW101" i="28"/>
  <c r="AW122" i="28"/>
  <c r="AW133" i="28"/>
  <c r="AW143" i="28"/>
  <c r="AW151" i="28"/>
  <c r="AW512" i="28"/>
  <c r="AW520" i="28"/>
  <c r="AW538" i="28"/>
  <c r="AW571" i="28"/>
  <c r="AW595" i="28"/>
  <c r="AW611" i="28"/>
  <c r="AW627" i="28"/>
  <c r="AW733" i="28"/>
  <c r="AW550" i="28"/>
  <c r="AX415" i="28"/>
  <c r="AW104" i="28"/>
  <c r="AW136" i="28"/>
  <c r="AW11" i="28"/>
  <c r="AW19" i="28"/>
  <c r="AW57" i="28"/>
  <c r="AW65" i="28"/>
  <c r="AW73" i="28"/>
  <c r="AW81" i="28"/>
  <c r="AW93" i="28"/>
  <c r="AW114" i="28"/>
  <c r="AW125" i="28"/>
  <c r="AW145" i="28"/>
  <c r="AW153" i="28"/>
  <c r="AW506" i="28"/>
  <c r="AW514" i="28"/>
  <c r="AW522" i="28"/>
  <c r="AW532" i="28"/>
  <c r="AW573" i="28"/>
  <c r="AW597" i="28"/>
  <c r="AW613" i="28"/>
  <c r="AW629" i="28"/>
  <c r="AW552" i="28"/>
  <c r="AW85" i="28"/>
  <c r="AW106" i="28"/>
  <c r="AW117" i="28"/>
  <c r="AW138" i="28"/>
  <c r="AW147" i="28"/>
  <c r="AW155" i="28"/>
  <c r="AW508" i="28"/>
  <c r="AW516" i="28"/>
  <c r="AW526" i="28"/>
  <c r="AW583" i="28"/>
  <c r="AW603" i="28"/>
  <c r="AW619" i="28"/>
  <c r="AW725" i="28"/>
  <c r="AW542" i="28"/>
  <c r="AW562" i="28"/>
  <c r="AZ402" i="28"/>
  <c r="BP402" i="28" s="1"/>
  <c r="AZ394" i="28"/>
  <c r="BB394" i="28" s="1"/>
  <c r="AZ392" i="28"/>
  <c r="BP392" i="28" s="1"/>
  <c r="AZ406" i="28"/>
  <c r="BP406" i="28" s="1"/>
  <c r="AZ404" i="28"/>
  <c r="BB404" i="28" s="1"/>
  <c r="AV540" i="28"/>
  <c r="AV548" i="28"/>
  <c r="AV532" i="28"/>
  <c r="AV508" i="28"/>
  <c r="AW568" i="28"/>
  <c r="AW744" i="28"/>
  <c r="AW577" i="28"/>
  <c r="AW589" i="28"/>
  <c r="AW599" i="28"/>
  <c r="AW607" i="28"/>
  <c r="AW615" i="28"/>
  <c r="AW623" i="28"/>
  <c r="AW721" i="28"/>
  <c r="AW729" i="28"/>
  <c r="AW567" i="28"/>
  <c r="AW546" i="28"/>
  <c r="AW556" i="28"/>
  <c r="AW579" i="28"/>
  <c r="AW591" i="28"/>
  <c r="AW601" i="28"/>
  <c r="AW609" i="28"/>
  <c r="AW617" i="28"/>
  <c r="AW625" i="28"/>
  <c r="AW723" i="28"/>
  <c r="AW731" i="28"/>
  <c r="AW548" i="28"/>
  <c r="AW558" i="28"/>
  <c r="AZ198" i="28"/>
  <c r="BP198" i="28" s="1"/>
  <c r="AZ459" i="28"/>
  <c r="BB459" i="28" s="1"/>
  <c r="AZ449" i="28"/>
  <c r="BB449" i="28" s="1"/>
  <c r="AZ247" i="28"/>
  <c r="BP247" i="28" s="1"/>
  <c r="AZ251" i="28"/>
  <c r="BB251" i="28" s="1"/>
  <c r="AZ276" i="28"/>
  <c r="BB276" i="28" s="1"/>
  <c r="AZ696" i="28"/>
  <c r="BP696" i="28" s="1"/>
  <c r="AZ355" i="28"/>
  <c r="BB355" i="28" s="1"/>
  <c r="AZ722" i="28"/>
  <c r="BB722" i="28" s="1"/>
  <c r="AZ720" i="28"/>
  <c r="BB720" i="28" s="1"/>
  <c r="AZ621" i="28"/>
  <c r="BP621" i="28" s="1"/>
  <c r="AZ612" i="28"/>
  <c r="BP612" i="28" s="1"/>
  <c r="AZ610" i="28"/>
  <c r="BP610" i="28" s="1"/>
  <c r="AZ608" i="28"/>
  <c r="BB608" i="28" s="1"/>
  <c r="AZ606" i="28"/>
  <c r="BB606" i="28" s="1"/>
  <c r="AZ547" i="28"/>
  <c r="BB547" i="28" s="1"/>
  <c r="AZ545" i="28"/>
  <c r="BB545" i="28" s="1"/>
  <c r="AZ543" i="28"/>
  <c r="BB543" i="28" s="1"/>
  <c r="AZ505" i="28"/>
  <c r="BP505" i="28" s="1"/>
  <c r="AZ92" i="28"/>
  <c r="BB92" i="28" s="1"/>
  <c r="AZ90" i="28"/>
  <c r="BP90" i="28" s="1"/>
  <c r="AZ86" i="28"/>
  <c r="BP86" i="28" s="1"/>
  <c r="AZ79" i="28"/>
  <c r="BP79" i="28" s="1"/>
  <c r="AZ77" i="28"/>
  <c r="BB77" i="28" s="1"/>
  <c r="AZ60" i="28"/>
  <c r="BP60" i="28" s="1"/>
  <c r="AZ58" i="28"/>
  <c r="BP58" i="28" s="1"/>
  <c r="AZ88" i="28"/>
  <c r="BP88" i="28" s="1"/>
  <c r="AZ743" i="28"/>
  <c r="BB743" i="28" s="1"/>
  <c r="AZ570" i="28"/>
  <c r="BB570" i="28" s="1"/>
  <c r="AZ564" i="28"/>
  <c r="BB564" i="28" s="1"/>
  <c r="AZ562" i="28"/>
  <c r="BB562" i="28" s="1"/>
  <c r="AZ560" i="28"/>
  <c r="BP560" i="28" s="1"/>
  <c r="AZ558" i="28"/>
  <c r="BB558" i="28" s="1"/>
  <c r="AZ514" i="28"/>
  <c r="BB514" i="28" s="1"/>
  <c r="AZ512" i="28"/>
  <c r="BP512" i="28" s="1"/>
  <c r="AZ118" i="28"/>
  <c r="BP118" i="28" s="1"/>
  <c r="AZ116" i="28"/>
  <c r="BP116" i="28" s="1"/>
  <c r="AZ114" i="28"/>
  <c r="BP114" i="28" s="1"/>
  <c r="AZ17" i="28"/>
  <c r="BP17" i="28" s="1"/>
  <c r="AZ15" i="28"/>
  <c r="BB15" i="28" s="1"/>
  <c r="AZ13" i="28"/>
  <c r="BB13" i="28" s="1"/>
  <c r="AZ6" i="28"/>
  <c r="BP6" i="28" s="1"/>
  <c r="AZ418" i="28"/>
  <c r="BP418" i="28" s="1"/>
  <c r="AZ414" i="28"/>
  <c r="BP414" i="28" s="1"/>
  <c r="AZ399" i="28"/>
  <c r="BB399" i="28" s="1"/>
  <c r="AZ56" i="28"/>
  <c r="BP56" i="28" s="1"/>
  <c r="AZ75" i="28"/>
  <c r="BP75" i="28" s="1"/>
  <c r="AZ591" i="28"/>
  <c r="BP591" i="28" s="1"/>
  <c r="AZ531" i="28"/>
  <c r="BB531" i="28" s="1"/>
  <c r="AZ529" i="28"/>
  <c r="BP529" i="28" s="1"/>
  <c r="AZ527" i="28"/>
  <c r="BB527" i="28" s="1"/>
  <c r="AZ525" i="28"/>
  <c r="BP525" i="28" s="1"/>
  <c r="AZ523" i="28"/>
  <c r="BP523" i="28" s="1"/>
  <c r="AZ143" i="28"/>
  <c r="BB143" i="28" s="1"/>
  <c r="AZ141" i="28"/>
  <c r="BB141" i="28" s="1"/>
  <c r="AZ133" i="28"/>
  <c r="BP133" i="28" s="1"/>
  <c r="AZ28" i="28"/>
  <c r="BP28" i="28" s="1"/>
  <c r="AZ73" i="28"/>
  <c r="BB73" i="28" s="1"/>
  <c r="AZ155" i="28"/>
  <c r="BB155" i="28" s="1"/>
  <c r="AZ150" i="28"/>
  <c r="BB150" i="28" s="1"/>
  <c r="AZ148" i="28"/>
  <c r="BB148" i="28" s="1"/>
  <c r="AZ47" i="28"/>
  <c r="BP47" i="28" s="1"/>
  <c r="AZ45" i="28"/>
  <c r="BB45" i="28" s="1"/>
  <c r="Y547" i="28"/>
  <c r="AS85" i="7"/>
  <c r="Y499" i="28" s="1"/>
  <c r="AS73" i="7"/>
  <c r="AF273" i="14" s="1"/>
  <c r="AS61" i="7"/>
  <c r="O238" i="18" s="1"/>
  <c r="AS37" i="7"/>
  <c r="AS29" i="7"/>
  <c r="Y443" i="28" s="1"/>
  <c r="AS13" i="7"/>
  <c r="Y427" i="28" s="1"/>
  <c r="AH139" i="14"/>
  <c r="AV139" i="14" s="1"/>
  <c r="Z667" i="28"/>
  <c r="AH82" i="14"/>
  <c r="AV82" i="14" s="1"/>
  <c r="AH138" i="14"/>
  <c r="AV138" i="14" s="1"/>
  <c r="Y575" i="28"/>
  <c r="Y539" i="28"/>
  <c r="AS69" i="7"/>
  <c r="AS65" i="7"/>
  <c r="Y479" i="28" s="1"/>
  <c r="Y347" i="28"/>
  <c r="O70" i="14"/>
  <c r="AH42" i="14"/>
  <c r="AV42" i="14" s="1"/>
  <c r="AH135" i="14"/>
  <c r="AV135" i="14" s="1"/>
  <c r="O82" i="14"/>
  <c r="O58" i="14"/>
  <c r="O210" i="14"/>
  <c r="O162" i="14"/>
  <c r="O46" i="14"/>
  <c r="O212" i="14"/>
  <c r="Y658" i="28"/>
  <c r="Y286" i="28"/>
  <c r="Y202" i="28"/>
  <c r="Y154" i="28"/>
  <c r="Y142" i="28"/>
  <c r="Z756" i="28"/>
  <c r="U111" i="14"/>
  <c r="U11" i="14"/>
  <c r="U71" i="14"/>
  <c r="Y595" i="28"/>
  <c r="Y535" i="28"/>
  <c r="Y355" i="28"/>
  <c r="Y268" i="28"/>
  <c r="Y124" i="28"/>
  <c r="U215" i="14"/>
  <c r="U106" i="14"/>
  <c r="AH104" i="14"/>
  <c r="AV104" i="14" s="1"/>
  <c r="Y300" i="28"/>
  <c r="Y288" i="28"/>
  <c r="Y264" i="28"/>
  <c r="Y252" i="28"/>
  <c r="Y228" i="28"/>
  <c r="Y192" i="28"/>
  <c r="Y168" i="28"/>
  <c r="Y144" i="28"/>
  <c r="Y108" i="28"/>
  <c r="O66" i="14"/>
  <c r="O161" i="14"/>
  <c r="O30" i="14"/>
  <c r="AQ96" i="7"/>
  <c r="BS96" i="7"/>
  <c r="AH69" i="14"/>
  <c r="AV69" i="14" s="1"/>
  <c r="AH29" i="14"/>
  <c r="AV29" i="14" s="1"/>
  <c r="AH23" i="14"/>
  <c r="AV23" i="14" s="1"/>
  <c r="AH56" i="14"/>
  <c r="AV56" i="14" s="1"/>
  <c r="AH31" i="14"/>
  <c r="AV31" i="14" s="1"/>
  <c r="AH60" i="14"/>
  <c r="AV60" i="14" s="1"/>
  <c r="Y671" i="28"/>
  <c r="Y647" i="28"/>
  <c r="Y623" i="28"/>
  <c r="Y587" i="28"/>
  <c r="Y563" i="28"/>
  <c r="Y527" i="28"/>
  <c r="AS89" i="7"/>
  <c r="Y503" i="28" s="1"/>
  <c r="AS77" i="7"/>
  <c r="AF276" i="14" s="1"/>
  <c r="AS53" i="7"/>
  <c r="AS17" i="7"/>
  <c r="AS5" i="7"/>
  <c r="Y407" i="28"/>
  <c r="Y323" i="28"/>
  <c r="Y649" i="28"/>
  <c r="Y613" i="28"/>
  <c r="Y505" i="28"/>
  <c r="Y397" i="28"/>
  <c r="Y385" i="28"/>
  <c r="Y313" i="28"/>
  <c r="Y305" i="28"/>
  <c r="Y209" i="28"/>
  <c r="O211" i="14"/>
  <c r="O188" i="14"/>
  <c r="Y780" i="28"/>
  <c r="Y756" i="28"/>
  <c r="AS82" i="7"/>
  <c r="AF335" i="14" s="1"/>
  <c r="Y348" i="28"/>
  <c r="Y336" i="28"/>
  <c r="Y312" i="28"/>
  <c r="Y706" i="28"/>
  <c r="Y694" i="28"/>
  <c r="Y610" i="28"/>
  <c r="Y574" i="28"/>
  <c r="Y526" i="28"/>
  <c r="AS88" i="7"/>
  <c r="Y502" i="28" s="1"/>
  <c r="AS52" i="7"/>
  <c r="AS40" i="7"/>
  <c r="Y454" i="28" s="1"/>
  <c r="Y418" i="28"/>
  <c r="Y370" i="28"/>
  <c r="Y358" i="28"/>
  <c r="Y322" i="28"/>
  <c r="Y274" i="28"/>
  <c r="Y226" i="28"/>
  <c r="Y214" i="28"/>
  <c r="Y190" i="28"/>
  <c r="Y166" i="28"/>
  <c r="Y130" i="28"/>
  <c r="Y122" i="28"/>
  <c r="Y106" i="28"/>
  <c r="Y94" i="28"/>
  <c r="Y82" i="28"/>
  <c r="Y70" i="28"/>
  <c r="Y58" i="28"/>
  <c r="AA50" i="28"/>
  <c r="Y46" i="28"/>
  <c r="Y10" i="28"/>
  <c r="Z780" i="28"/>
  <c r="Z768" i="28"/>
  <c r="Z760" i="28"/>
  <c r="Z720" i="28"/>
  <c r="Z712" i="28"/>
  <c r="Z696" i="28"/>
  <c r="Z672" i="28"/>
  <c r="Z664" i="28"/>
  <c r="Z660" i="28"/>
  <c r="Z648" i="28"/>
  <c r="Z628" i="28"/>
  <c r="Z624" i="28"/>
  <c r="Z612" i="28"/>
  <c r="Z604" i="28"/>
  <c r="Z600" i="28"/>
  <c r="Z576" i="28"/>
  <c r="Z564" i="28"/>
  <c r="Z556" i="28"/>
  <c r="Z552" i="28"/>
  <c r="Z544" i="28"/>
  <c r="Z532" i="28"/>
  <c r="Z520" i="28"/>
  <c r="AT82" i="7"/>
  <c r="AT70" i="7"/>
  <c r="Z263" i="14" s="1"/>
  <c r="AG263" i="14" s="1"/>
  <c r="AT66" i="7"/>
  <c r="Z480" i="28" s="1"/>
  <c r="AT58" i="7"/>
  <c r="Z472" i="28" s="1"/>
  <c r="AT54" i="7"/>
  <c r="AT46" i="7"/>
  <c r="AT42" i="7"/>
  <c r="Z456" i="28" s="1"/>
  <c r="AT34" i="7"/>
  <c r="AT22" i="7"/>
  <c r="Z342" i="14" s="1"/>
  <c r="AG342" i="14" s="1"/>
  <c r="AT10" i="7"/>
  <c r="AT6" i="7"/>
  <c r="Z420" i="28" s="1"/>
  <c r="Z412" i="28"/>
  <c r="Z408" i="28"/>
  <c r="Z388" i="28"/>
  <c r="Z376" i="28"/>
  <c r="Z372" i="28"/>
  <c r="Z364" i="28"/>
  <c r="Z360" i="28"/>
  <c r="Z352" i="28"/>
  <c r="Z340" i="28"/>
  <c r="Z328" i="28"/>
  <c r="Z324" i="28"/>
  <c r="Z316" i="28"/>
  <c r="Z312" i="28"/>
  <c r="Z304" i="28"/>
  <c r="Z292" i="28"/>
  <c r="Z280" i="28"/>
  <c r="Z276" i="28"/>
  <c r="Z268" i="28"/>
  <c r="Z256" i="28"/>
  <c r="Z244" i="28"/>
  <c r="Z220" i="28"/>
  <c r="Z208" i="28"/>
  <c r="Z196" i="28"/>
  <c r="Z172" i="28"/>
  <c r="Z160" i="28"/>
  <c r="Z148" i="28"/>
  <c r="Z136" i="28"/>
  <c r="Z124" i="28"/>
  <c r="Z76" i="28"/>
  <c r="Z64" i="28"/>
  <c r="Z52" i="28"/>
  <c r="Z40" i="28"/>
  <c r="Z28" i="28"/>
  <c r="Z16" i="28"/>
  <c r="O118" i="14"/>
  <c r="AR96" i="7"/>
  <c r="AH78" i="14"/>
  <c r="AV78" i="14" s="1"/>
  <c r="AH167" i="14"/>
  <c r="AV167" i="14" s="1"/>
  <c r="AH84" i="14"/>
  <c r="AV84" i="14" s="1"/>
  <c r="AH133" i="14"/>
  <c r="AV133" i="14" s="1"/>
  <c r="AH137" i="14"/>
  <c r="AV137" i="14" s="1"/>
  <c r="AH58" i="14"/>
  <c r="AV58" i="14" s="1"/>
  <c r="AS58" i="7"/>
  <c r="Y472" i="28" s="1"/>
  <c r="Y292" i="28"/>
  <c r="Y280" i="28"/>
  <c r="Y244" i="28"/>
  <c r="Y232" i="28"/>
  <c r="Y208" i="28"/>
  <c r="Y184" i="28"/>
  <c r="Y172" i="28"/>
  <c r="Y160" i="28"/>
  <c r="Y148" i="28"/>
  <c r="Y136" i="28"/>
  <c r="Y88" i="28"/>
  <c r="Y40" i="28"/>
  <c r="AH83" i="14"/>
  <c r="AV83" i="14" s="1"/>
  <c r="Y772" i="28"/>
  <c r="Y760" i="28"/>
  <c r="Y748" i="28"/>
  <c r="AS91" i="7"/>
  <c r="Y724" i="28"/>
  <c r="Y712" i="28"/>
  <c r="Y700" i="28"/>
  <c r="Y688" i="28"/>
  <c r="Y676" i="28"/>
  <c r="Y652" i="28"/>
  <c r="Y628" i="28"/>
  <c r="Y616" i="28"/>
  <c r="Y604" i="28"/>
  <c r="Y592" i="28"/>
  <c r="Y580" i="28"/>
  <c r="Y556" i="28"/>
  <c r="Y544" i="28"/>
  <c r="Y532" i="28"/>
  <c r="Y520" i="28"/>
  <c r="AS70" i="7"/>
  <c r="Y263" i="14" s="1"/>
  <c r="AF263" i="14" s="1"/>
  <c r="AS46" i="7"/>
  <c r="AS34" i="7"/>
  <c r="O226" i="18" s="1"/>
  <c r="AS22" i="7"/>
  <c r="AS10" i="7"/>
  <c r="Y412" i="28"/>
  <c r="Y388" i="28"/>
  <c r="Y376" i="28"/>
  <c r="Y340" i="28"/>
  <c r="Y328" i="28"/>
  <c r="Y687" i="28"/>
  <c r="Y543" i="28"/>
  <c r="Y507" i="28"/>
  <c r="AS81" i="7"/>
  <c r="Y495" i="28" s="1"/>
  <c r="AS45" i="7"/>
  <c r="AS33" i="7"/>
  <c r="AF321" i="14" s="1"/>
  <c r="AS21" i="7"/>
  <c r="Y435" i="28" s="1"/>
  <c r="AS9" i="7"/>
  <c r="Y387" i="28"/>
  <c r="Y375" i="28"/>
  <c r="Y363" i="28"/>
  <c r="Z566" i="28"/>
  <c r="Y327" i="28"/>
  <c r="Y315" i="28"/>
  <c r="Y303" i="28"/>
  <c r="Y291" i="28"/>
  <c r="Y279" i="28"/>
  <c r="Y267" i="28"/>
  <c r="Y243" i="28"/>
  <c r="Y231" i="28"/>
  <c r="Y219" i="28"/>
  <c r="Y207" i="28"/>
  <c r="Y171" i="28"/>
  <c r="Y159" i="28"/>
  <c r="Y147" i="28"/>
  <c r="Y87" i="28"/>
  <c r="Y75" i="28"/>
  <c r="Y63" i="28"/>
  <c r="Y51" i="28"/>
  <c r="Y27" i="28"/>
  <c r="Y15" i="28"/>
  <c r="Z773" i="28"/>
  <c r="Z761" i="28"/>
  <c r="AT92" i="7"/>
  <c r="Z345" i="14" s="1"/>
  <c r="AG345" i="14" s="1"/>
  <c r="Z725" i="28"/>
  <c r="Z689" i="28"/>
  <c r="Z677" i="28"/>
  <c r="Z665" i="28"/>
  <c r="Z653" i="28"/>
  <c r="Z641" i="28"/>
  <c r="Z629" i="28"/>
  <c r="Z617" i="28"/>
  <c r="Z605" i="28"/>
  <c r="Z593" i="28"/>
  <c r="Z581" i="28"/>
  <c r="Z545" i="28"/>
  <c r="Z521" i="28"/>
  <c r="Z509" i="28"/>
  <c r="AT83" i="7"/>
  <c r="AT71" i="7"/>
  <c r="AT59" i="7"/>
  <c r="AT47" i="7"/>
  <c r="Z461" i="28" s="1"/>
  <c r="AT35" i="7"/>
  <c r="Z343" i="14" s="1"/>
  <c r="AG343" i="14" s="1"/>
  <c r="AT23" i="7"/>
  <c r="AT11" i="7"/>
  <c r="Z413" i="28"/>
  <c r="Z389" i="28"/>
  <c r="Z377" i="28"/>
  <c r="Z365" i="28"/>
  <c r="Z353" i="28"/>
  <c r="Z341" i="28"/>
  <c r="Z329" i="28"/>
  <c r="Z317" i="28"/>
  <c r="Z305" i="28"/>
  <c r="Z293" i="28"/>
  <c r="Z281" i="28"/>
  <c r="Z269" i="28"/>
  <c r="Z257" i="28"/>
  <c r="Z233" i="28"/>
  <c r="Z221" i="28"/>
  <c r="Z209" i="28"/>
  <c r="Z197" i="28"/>
  <c r="Z185" i="28"/>
  <c r="Z173" i="28"/>
  <c r="Z161" i="28"/>
  <c r="Z149" i="28"/>
  <c r="Z137" i="28"/>
  <c r="Z89" i="28"/>
  <c r="Z77" i="28"/>
  <c r="Z65" i="28"/>
  <c r="Z53" i="28"/>
  <c r="Z41" i="28"/>
  <c r="Z29" i="28"/>
  <c r="Z17" i="28"/>
  <c r="Z5" i="28"/>
  <c r="AH113" i="14"/>
  <c r="AV113" i="14" s="1"/>
  <c r="AH96" i="14"/>
  <c r="AV96" i="14" s="1"/>
  <c r="Y783" i="28"/>
  <c r="Y771" i="28"/>
  <c r="Y747" i="28"/>
  <c r="Y651" i="28"/>
  <c r="Y639" i="28"/>
  <c r="Y615" i="28"/>
  <c r="Z774" i="28"/>
  <c r="Z762" i="28"/>
  <c r="Z750" i="28"/>
  <c r="AT93" i="7"/>
  <c r="Z726" i="28"/>
  <c r="Z714" i="28"/>
  <c r="Z702" i="28"/>
  <c r="Z690" i="28"/>
  <c r="Z678" i="28"/>
  <c r="Z666" i="28"/>
  <c r="Z654" i="28"/>
  <c r="Z642" i="28"/>
  <c r="Z630" i="28"/>
  <c r="Z606" i="28"/>
  <c r="Y350" i="28"/>
  <c r="Y302" i="28"/>
  <c r="Y170" i="28"/>
  <c r="Y158" i="28"/>
  <c r="Y110" i="28"/>
  <c r="Y98" i="28"/>
  <c r="Y74" i="28"/>
  <c r="Y26" i="28"/>
  <c r="Y14" i="28"/>
  <c r="Z772" i="28"/>
  <c r="Z748" i="28"/>
  <c r="AT91" i="7"/>
  <c r="Z700" i="28"/>
  <c r="Z688" i="28"/>
  <c r="Z676" i="28"/>
  <c r="Z652" i="28"/>
  <c r="Z640" i="28"/>
  <c r="Z616" i="28"/>
  <c r="Z592" i="28"/>
  <c r="Z580" i="28"/>
  <c r="O73" i="14"/>
  <c r="O164" i="14"/>
  <c r="Z765" i="28"/>
  <c r="Z753" i="28"/>
  <c r="Z741" i="28"/>
  <c r="Z717" i="28"/>
  <c r="Z705" i="28"/>
  <c r="Z657" i="28"/>
  <c r="Z645" i="28"/>
  <c r="Z633" i="28"/>
  <c r="Z621" i="28"/>
  <c r="Z609" i="28"/>
  <c r="Z597" i="28"/>
  <c r="Z585" i="28"/>
  <c r="Z561" i="28"/>
  <c r="Z549" i="28"/>
  <c r="AT87" i="7"/>
  <c r="Z501" i="28" s="1"/>
  <c r="AT75" i="7"/>
  <c r="Z489" i="28" s="1"/>
  <c r="AT63" i="7"/>
  <c r="Z324" i="14" s="1"/>
  <c r="AG324" i="14" s="1"/>
  <c r="AT51" i="7"/>
  <c r="AT39" i="7"/>
  <c r="Z453" i="28" s="1"/>
  <c r="AT27" i="7"/>
  <c r="Z441" i="28" s="1"/>
  <c r="AT15" i="7"/>
  <c r="Z429" i="28" s="1"/>
  <c r="Z417" i="28"/>
  <c r="Z405" i="28"/>
  <c r="Z357" i="28"/>
  <c r="Z345" i="28"/>
  <c r="Z333" i="28"/>
  <c r="Z309" i="28"/>
  <c r="Z297" i="28"/>
  <c r="Z285" i="28"/>
  <c r="Z273" i="28"/>
  <c r="Z213" i="28"/>
  <c r="Z201" i="28"/>
  <c r="Z189" i="28"/>
  <c r="Z177" i="28"/>
  <c r="Z153" i="28"/>
  <c r="Z141" i="28"/>
  <c r="Z129" i="28"/>
  <c r="Z45" i="28"/>
  <c r="Z21" i="28"/>
  <c r="Z9" i="28"/>
  <c r="O178" i="14"/>
  <c r="O64" i="14"/>
  <c r="O89" i="14"/>
  <c r="O4" i="14"/>
  <c r="O28" i="14"/>
  <c r="O126" i="14"/>
  <c r="O132" i="14"/>
  <c r="O40" i="14"/>
  <c r="O207" i="14"/>
  <c r="O133" i="14"/>
  <c r="O183" i="14"/>
  <c r="O205" i="14"/>
  <c r="O98" i="14"/>
  <c r="O13" i="14"/>
  <c r="O37" i="14"/>
  <c r="O189" i="14"/>
  <c r="O182" i="14"/>
  <c r="O108" i="14"/>
  <c r="AX149" i="28"/>
  <c r="AX589" i="28"/>
  <c r="AX588" i="28"/>
  <c r="AX585" i="28"/>
  <c r="AX576" i="28"/>
  <c r="AX568" i="28"/>
  <c r="AX567" i="28"/>
  <c r="AX560" i="28"/>
  <c r="AX556" i="28"/>
  <c r="AX555" i="28"/>
  <c r="AX145" i="28"/>
  <c r="AX143" i="28"/>
  <c r="AX142" i="28"/>
  <c r="AX141" i="28"/>
  <c r="AX137" i="28"/>
  <c r="AX132" i="28"/>
  <c r="AX131" i="28"/>
  <c r="AX130" i="28"/>
  <c r="AX124" i="28"/>
  <c r="AX119" i="28"/>
  <c r="AX118" i="28"/>
  <c r="AX113" i="28"/>
  <c r="AX111" i="28"/>
  <c r="AX108" i="28"/>
  <c r="AX105" i="28"/>
  <c r="AX103" i="28"/>
  <c r="AX102" i="28"/>
  <c r="AX100" i="28"/>
  <c r="AX99" i="28"/>
  <c r="AX96" i="28"/>
  <c r="AX95" i="28"/>
  <c r="AX94" i="28"/>
  <c r="AX92" i="28"/>
  <c r="AX91" i="28"/>
  <c r="AX88" i="28"/>
  <c r="AX84" i="28"/>
  <c r="AX83" i="28"/>
  <c r="AX79" i="28"/>
  <c r="AX78" i="28"/>
  <c r="AX77" i="28"/>
  <c r="AX73" i="28"/>
  <c r="AX70" i="28"/>
  <c r="AX65" i="28"/>
  <c r="AX64" i="28"/>
  <c r="AX63" i="28"/>
  <c r="AX59" i="28"/>
  <c r="AX53" i="28"/>
  <c r="AX49" i="28"/>
  <c r="AX504" i="28"/>
  <c r="AX155" i="28"/>
  <c r="AX154" i="28"/>
  <c r="AX153" i="28"/>
  <c r="AX522" i="28"/>
  <c r="AX521" i="28"/>
  <c r="AX519" i="28"/>
  <c r="AX518" i="28"/>
  <c r="AX517" i="28"/>
  <c r="AX516" i="28"/>
  <c r="AX512" i="28"/>
  <c r="AX547" i="28"/>
  <c r="AX542" i="28"/>
  <c r="AX539" i="28"/>
  <c r="AX538" i="28"/>
  <c r="AX536" i="28"/>
  <c r="AX532" i="28"/>
  <c r="AX528" i="28"/>
  <c r="AX527" i="28"/>
  <c r="AX734" i="28"/>
  <c r="AX729" i="28"/>
  <c r="AX628" i="28"/>
  <c r="AX626" i="28"/>
  <c r="AX622" i="28"/>
  <c r="AX619" i="28"/>
  <c r="AX615" i="28"/>
  <c r="AX614" i="28"/>
  <c r="AX613" i="28"/>
  <c r="AX612" i="28"/>
  <c r="AX609" i="28"/>
  <c r="AX601" i="28"/>
  <c r="AX599" i="28"/>
  <c r="AX598" i="28"/>
  <c r="AX596" i="28"/>
  <c r="AX593" i="28"/>
  <c r="AW511" i="28"/>
  <c r="AW593" i="28"/>
  <c r="AW34" i="28"/>
  <c r="AW83" i="28"/>
  <c r="AW575" i="28"/>
  <c r="AW554" i="28"/>
  <c r="AV545" i="28"/>
  <c r="AW89" i="28"/>
  <c r="AW524" i="28"/>
  <c r="AW581" i="28"/>
  <c r="AW534" i="28"/>
  <c r="AW560" i="28"/>
  <c r="AW129" i="28"/>
  <c r="AW587" i="28"/>
  <c r="AX329" i="28"/>
  <c r="Y768" i="28"/>
  <c r="Y696" i="28"/>
  <c r="Y672" i="28"/>
  <c r="Y660" i="28"/>
  <c r="Y612" i="28"/>
  <c r="Y600" i="28"/>
  <c r="Y588" i="28"/>
  <c r="Y576" i="28"/>
  <c r="Y564" i="28"/>
  <c r="Y552" i="28"/>
  <c r="Y528" i="28"/>
  <c r="Y516" i="28"/>
  <c r="AS78" i="7"/>
  <c r="AF292" i="14" s="1"/>
  <c r="AH292" i="14" s="1"/>
  <c r="AS66" i="7"/>
  <c r="Y480" i="28" s="1"/>
  <c r="AS54" i="7"/>
  <c r="AF339" i="14" s="1"/>
  <c r="AS42" i="7"/>
  <c r="Y456" i="28" s="1"/>
  <c r="AS30" i="7"/>
  <c r="AF275" i="14" s="1"/>
  <c r="AS18" i="7"/>
  <c r="AS6" i="7"/>
  <c r="Y420" i="28" s="1"/>
  <c r="Y408" i="28"/>
  <c r="Y372" i="28"/>
  <c r="Y360" i="28"/>
  <c r="AH14" i="14"/>
  <c r="AV14" i="14" s="1"/>
  <c r="AH30" i="14"/>
  <c r="AV30" i="14" s="1"/>
  <c r="AH76" i="14"/>
  <c r="AV76" i="14" s="1"/>
  <c r="AH89" i="14"/>
  <c r="AV89" i="14" s="1"/>
  <c r="O72" i="14"/>
  <c r="O12" i="14"/>
  <c r="O125" i="14"/>
  <c r="O158" i="14"/>
  <c r="O77" i="14"/>
  <c r="O74" i="14"/>
  <c r="O14" i="14"/>
  <c r="AW5" i="28"/>
  <c r="AX7" i="28"/>
  <c r="AX42" i="28"/>
  <c r="AX8" i="28"/>
  <c r="AX5" i="28"/>
  <c r="AX785" i="28"/>
  <c r="AH7" i="14"/>
  <c r="AV7" i="14" s="1"/>
  <c r="AH146" i="14"/>
  <c r="AV146" i="14" s="1"/>
  <c r="AH97" i="14"/>
  <c r="AV97" i="14" s="1"/>
  <c r="AH127" i="14"/>
  <c r="AV127" i="14" s="1"/>
  <c r="AH161" i="14"/>
  <c r="AV161" i="14" s="1"/>
  <c r="AH33" i="14"/>
  <c r="AV33" i="14" s="1"/>
  <c r="AH57" i="14"/>
  <c r="AV57" i="14" s="1"/>
  <c r="AH63" i="14"/>
  <c r="AV63" i="14" s="1"/>
  <c r="AH110" i="14"/>
  <c r="AV110" i="14" s="1"/>
  <c r="AH168" i="14"/>
  <c r="AV168" i="14" s="1"/>
  <c r="AH26" i="14"/>
  <c r="AV26" i="14" s="1"/>
  <c r="AH38" i="14"/>
  <c r="AV38" i="14" s="1"/>
  <c r="AH117" i="14"/>
  <c r="AV117" i="14" s="1"/>
  <c r="AH107" i="14"/>
  <c r="AV107" i="14" s="1"/>
  <c r="Z516" i="28"/>
  <c r="U186" i="14"/>
  <c r="O15" i="14"/>
  <c r="O75" i="14"/>
  <c r="O59" i="14"/>
  <c r="Z27" i="28"/>
  <c r="Z781" i="28"/>
  <c r="Z769" i="28"/>
  <c r="Z709" i="28"/>
  <c r="Z685" i="28"/>
  <c r="Z673" i="28"/>
  <c r="Z649" i="28"/>
  <c r="Z637" i="28"/>
  <c r="Z613" i="28"/>
  <c r="Z601" i="28"/>
  <c r="Z589" i="28"/>
  <c r="Z577" i="28"/>
  <c r="Z565" i="28"/>
  <c r="Z553" i="28"/>
  <c r="Z529" i="28"/>
  <c r="AT79" i="7"/>
  <c r="Z277" i="14" s="1"/>
  <c r="AG277" i="14" s="1"/>
  <c r="AT67" i="7"/>
  <c r="Z481" i="28" s="1"/>
  <c r="AT31" i="7"/>
  <c r="Z445" i="28" s="1"/>
  <c r="AT19" i="7"/>
  <c r="AT7" i="7"/>
  <c r="Z421" i="28" s="1"/>
  <c r="Z409" i="28"/>
  <c r="Z397" i="28"/>
  <c r="Z385" i="28"/>
  <c r="Z373" i="28"/>
  <c r="Z349" i="28"/>
  <c r="Z337" i="28"/>
  <c r="Z325" i="28"/>
  <c r="Z313" i="28"/>
  <c r="Z301" i="28"/>
  <c r="Z277" i="28"/>
  <c r="Z265" i="28"/>
  <c r="Z229" i="28"/>
  <c r="Z217" i="28"/>
  <c r="Z205" i="28"/>
  <c r="Z193" i="28"/>
  <c r="Z169" i="28"/>
  <c r="O71" i="14"/>
  <c r="O130" i="14"/>
  <c r="O91" i="14"/>
  <c r="O54" i="14"/>
  <c r="O6" i="14"/>
  <c r="U216" i="14"/>
  <c r="O104" i="14"/>
  <c r="O18" i="14"/>
  <c r="O41" i="14"/>
  <c r="AS11" i="7"/>
  <c r="Y413" i="28"/>
  <c r="Y401" i="28"/>
  <c r="Y389" i="28"/>
  <c r="O185" i="14"/>
  <c r="O110" i="14"/>
  <c r="O177" i="14"/>
  <c r="O119" i="14"/>
  <c r="Y377" i="28"/>
  <c r="Y365" i="28"/>
  <c r="Y341" i="28"/>
  <c r="Y329" i="28"/>
  <c r="Y317" i="28"/>
  <c r="Y293" i="28"/>
  <c r="Y269" i="28"/>
  <c r="Y257" i="28"/>
  <c r="AA245" i="28"/>
  <c r="Y233" i="28"/>
  <c r="Y221" i="28"/>
  <c r="Y197" i="28"/>
  <c r="Y185" i="28"/>
  <c r="Y173" i="28"/>
  <c r="Y161" i="28"/>
  <c r="Y149" i="28"/>
  <c r="Y125" i="28"/>
  <c r="Y101" i="28"/>
  <c r="Y89" i="28"/>
  <c r="Y77" i="28"/>
  <c r="Y53" i="28"/>
  <c r="Z775" i="28"/>
  <c r="Z763" i="28"/>
  <c r="Z751" i="28"/>
  <c r="AT94" i="7"/>
  <c r="Z739" i="28" s="1"/>
  <c r="Z727" i="28"/>
  <c r="Z715" i="28"/>
  <c r="Z703" i="28"/>
  <c r="Z691" i="28"/>
  <c r="Z679" i="28"/>
  <c r="Z655" i="28"/>
  <c r="Z643" i="28"/>
  <c r="Z631" i="28"/>
  <c r="Z619" i="28"/>
  <c r="Z607" i="28"/>
  <c r="Z595" i="28"/>
  <c r="Z583" i="28"/>
  <c r="Z559" i="28"/>
  <c r="Z547" i="28"/>
  <c r="Z535" i="28"/>
  <c r="Z523" i="28"/>
  <c r="Z511" i="28"/>
  <c r="AT85" i="7"/>
  <c r="Z499" i="28" s="1"/>
  <c r="AT73" i="7"/>
  <c r="Z273" i="14" s="1"/>
  <c r="AG273" i="14" s="1"/>
  <c r="AT61" i="7"/>
  <c r="AT49" i="7"/>
  <c r="AT37" i="7"/>
  <c r="AT13" i="7"/>
  <c r="Z427" i="28" s="1"/>
  <c r="Z415" i="28"/>
  <c r="Z391" i="28"/>
  <c r="Z379" i="28"/>
  <c r="Z367" i="28"/>
  <c r="Z355" i="28"/>
  <c r="Z343" i="28"/>
  <c r="Z331" i="28"/>
  <c r="Z319" i="28"/>
  <c r="Z307" i="28"/>
  <c r="Z283" i="28"/>
  <c r="Z271" i="28"/>
  <c r="Z259" i="28"/>
  <c r="Z247" i="28"/>
  <c r="Z235" i="28"/>
  <c r="Z223" i="28"/>
  <c r="Z211" i="28"/>
  <c r="Z187" i="28"/>
  <c r="Z175" i="28"/>
  <c r="Z127" i="28"/>
  <c r="Z79" i="28"/>
  <c r="Z67" i="28"/>
  <c r="Z19" i="28"/>
  <c r="Z560" i="28"/>
  <c r="Z200" i="28"/>
  <c r="O124" i="14"/>
  <c r="AH141" i="14"/>
  <c r="AV141" i="14" s="1"/>
  <c r="AH92" i="14"/>
  <c r="AV92" i="14" s="1"/>
  <c r="AH132" i="14"/>
  <c r="AV132" i="14" s="1"/>
  <c r="AH123" i="14"/>
  <c r="AV123" i="14" s="1"/>
  <c r="AH118" i="14"/>
  <c r="AV118" i="14" s="1"/>
  <c r="O24" i="14"/>
  <c r="O142" i="14"/>
  <c r="O84" i="14"/>
  <c r="O60" i="14"/>
  <c r="O144" i="14"/>
  <c r="O181" i="14"/>
  <c r="Z759" i="28"/>
  <c r="Z711" i="28"/>
  <c r="Z663" i="28"/>
  <c r="Z627" i="28"/>
  <c r="Z615" i="28"/>
  <c r="Z579" i="28"/>
  <c r="Z567" i="28"/>
  <c r="Z507" i="28"/>
  <c r="AT69" i="7"/>
  <c r="Z272" i="14" s="1"/>
  <c r="AG272" i="14" s="1"/>
  <c r="AT57" i="7"/>
  <c r="Z471" i="28" s="1"/>
  <c r="AT45" i="7"/>
  <c r="AT33" i="7"/>
  <c r="Z321" i="14" s="1"/>
  <c r="AG321" i="14" s="1"/>
  <c r="AT21" i="7"/>
  <c r="Z435" i="28" s="1"/>
  <c r="AT9" i="7"/>
  <c r="Z411" i="28"/>
  <c r="Z399" i="28"/>
  <c r="Z387" i="28"/>
  <c r="Z375" i="28"/>
  <c r="Z363" i="28"/>
  <c r="Z351" i="28"/>
  <c r="Z327" i="28"/>
  <c r="Z315" i="28"/>
  <c r="Z303" i="28"/>
  <c r="Z291" i="28"/>
  <c r="Z279" i="28"/>
  <c r="Z267" i="28"/>
  <c r="Z243" i="28"/>
  <c r="Z231" i="28"/>
  <c r="Z219" i="28"/>
  <c r="Z207" i="28"/>
  <c r="Z171" i="28"/>
  <c r="Z159" i="28"/>
  <c r="Z147" i="28"/>
  <c r="Z135" i="28"/>
  <c r="Z123" i="28"/>
  <c r="Z99" i="28"/>
  <c r="Z87" i="28"/>
  <c r="Z75" i="28"/>
  <c r="Z39" i="28"/>
  <c r="O44" i="14"/>
  <c r="O165" i="14"/>
  <c r="O93" i="14"/>
  <c r="O68" i="14"/>
  <c r="O123" i="14"/>
  <c r="O56" i="14"/>
  <c r="O127" i="14"/>
  <c r="O146" i="14"/>
  <c r="O114" i="14"/>
  <c r="O32" i="14"/>
  <c r="O8" i="14"/>
  <c r="O160" i="14"/>
  <c r="O206" i="14"/>
  <c r="Z778" i="28"/>
  <c r="Z766" i="28"/>
  <c r="Z754" i="28"/>
  <c r="Z742" i="28"/>
  <c r="Z730" i="28"/>
  <c r="Z718" i="28"/>
  <c r="Z706" i="28"/>
  <c r="Z694" i="28"/>
  <c r="Z682" i="28"/>
  <c r="Z670" i="28"/>
  <c r="Z658" i="28"/>
  <c r="Z646" i="28"/>
  <c r="Z634" i="28"/>
  <c r="Z622" i="28"/>
  <c r="Z610" i="28"/>
  <c r="Z598" i="28"/>
  <c r="Z586" i="28"/>
  <c r="Z574" i="28"/>
  <c r="Z562" i="28"/>
  <c r="Z550" i="28"/>
  <c r="Z538" i="28"/>
  <c r="Z526" i="28"/>
  <c r="AT88" i="7"/>
  <c r="Z502" i="28" s="1"/>
  <c r="AT76" i="7"/>
  <c r="Z293" i="14" s="1"/>
  <c r="AG293" i="14" s="1"/>
  <c r="AT64" i="7"/>
  <c r="Z274" i="14" s="1"/>
  <c r="AG274" i="14" s="1"/>
  <c r="AT52" i="7"/>
  <c r="AT40" i="7"/>
  <c r="Z454" i="28" s="1"/>
  <c r="AT28" i="7"/>
  <c r="AT16" i="7"/>
  <c r="Z430" i="28" s="1"/>
  <c r="Z418" i="28"/>
  <c r="Z406" i="28"/>
  <c r="Z382" i="28"/>
  <c r="Z370" i="28"/>
  <c r="Z358" i="28"/>
  <c r="Z346" i="28"/>
  <c r="Z334" i="28"/>
  <c r="Z322" i="28"/>
  <c r="Z310" i="28"/>
  <c r="Z298" i="28"/>
  <c r="Z286" i="28"/>
  <c r="Z274" i="28"/>
  <c r="Z262" i="28"/>
  <c r="Z250" i="28"/>
  <c r="Z238" i="28"/>
  <c r="Z226" i="28"/>
  <c r="Z214" i="28"/>
  <c r="Z202" i="28"/>
  <c r="Z190" i="28"/>
  <c r="Z178" i="28"/>
  <c r="Z154" i="28"/>
  <c r="Z142" i="28"/>
  <c r="Z130" i="28"/>
  <c r="Z106" i="28"/>
  <c r="Z94" i="28"/>
  <c r="Z82" i="28"/>
  <c r="Z70" i="28"/>
  <c r="Z58" i="28"/>
  <c r="Z46" i="28"/>
  <c r="U19" i="14"/>
  <c r="U140" i="14"/>
  <c r="U174" i="14"/>
  <c r="AT62" i="7"/>
  <c r="Z323" i="14" s="1"/>
  <c r="AG323" i="14" s="1"/>
  <c r="AT50" i="7"/>
  <c r="AT38" i="7"/>
  <c r="Z452" i="28" s="1"/>
  <c r="AT26" i="7"/>
  <c r="AT14" i="7"/>
  <c r="Z428" i="28" s="1"/>
  <c r="Z416" i="28"/>
  <c r="Z404" i="28"/>
  <c r="Z392" i="28"/>
  <c r="Z380" i="28"/>
  <c r="Z356" i="28"/>
  <c r="Z344" i="28"/>
  <c r="Z332" i="28"/>
  <c r="Z320" i="28"/>
  <c r="Z308" i="28"/>
  <c r="Z296" i="28"/>
  <c r="Z284" i="28"/>
  <c r="Z272" i="28"/>
  <c r="Z260" i="28"/>
  <c r="Z224" i="28"/>
  <c r="Z212" i="28"/>
  <c r="Z146" i="28"/>
  <c r="Z546" i="28"/>
  <c r="Z145" i="28"/>
  <c r="AH59" i="14"/>
  <c r="AV59" i="14" s="1"/>
  <c r="AH3" i="14"/>
  <c r="AV3" i="14" s="1"/>
  <c r="AH43" i="14"/>
  <c r="AV43" i="14" s="1"/>
  <c r="AH66" i="14"/>
  <c r="AV66" i="14" s="1"/>
  <c r="AH41" i="14"/>
  <c r="AV41" i="14" s="1"/>
  <c r="AH85" i="14"/>
  <c r="AV85" i="14" s="1"/>
  <c r="AH121" i="14"/>
  <c r="AV121" i="14" s="1"/>
  <c r="AH88" i="14"/>
  <c r="AV88" i="14" s="1"/>
  <c r="AH102" i="14"/>
  <c r="AV102" i="14" s="1"/>
  <c r="AH109" i="14"/>
  <c r="AV109" i="14" s="1"/>
  <c r="AH112" i="14"/>
  <c r="AV112" i="14" s="1"/>
  <c r="AH100" i="14"/>
  <c r="AV100" i="14" s="1"/>
  <c r="Z138" i="28"/>
  <c r="Z22" i="28"/>
  <c r="Z10" i="28"/>
  <c r="Z776" i="28"/>
  <c r="Z764" i="28"/>
  <c r="Z752" i="28"/>
  <c r="Z740" i="28"/>
  <c r="Z716" i="28"/>
  <c r="Z704" i="28"/>
  <c r="Z692" i="28"/>
  <c r="Z680" i="28"/>
  <c r="Z668" i="28"/>
  <c r="Z656" i="28"/>
  <c r="Z644" i="28"/>
  <c r="Z632" i="28"/>
  <c r="Z620" i="28"/>
  <c r="Z608" i="28"/>
  <c r="Z596" i="28"/>
  <c r="Z584" i="28"/>
  <c r="Z572" i="28"/>
  <c r="Z524" i="28"/>
  <c r="Z512" i="28"/>
  <c r="AT86" i="7"/>
  <c r="Z500" i="28" s="1"/>
  <c r="AT74" i="7"/>
  <c r="Z85" i="28"/>
  <c r="Y593" i="28"/>
  <c r="Y581" i="28"/>
  <c r="Y557" i="28"/>
  <c r="Y545" i="28"/>
  <c r="Y521" i="28"/>
  <c r="AS83" i="7"/>
  <c r="AS71" i="7"/>
  <c r="AS59" i="7"/>
  <c r="AS47" i="7"/>
  <c r="Y461" i="28" s="1"/>
  <c r="AS35" i="7"/>
  <c r="AF343" i="14" s="1"/>
  <c r="AS23" i="7"/>
  <c r="AS68" i="7"/>
  <c r="Y482" i="28" s="1"/>
  <c r="AS32" i="7"/>
  <c r="AS20" i="7"/>
  <c r="AS8" i="7"/>
  <c r="Y422" i="28" s="1"/>
  <c r="Y374" i="28"/>
  <c r="Y314" i="28"/>
  <c r="Y266" i="28"/>
  <c r="Y242" i="28"/>
  <c r="Y230" i="28"/>
  <c r="Y218" i="28"/>
  <c r="Y206" i="28"/>
  <c r="Y719" i="28"/>
  <c r="Y695" i="28"/>
  <c r="Y776" i="28"/>
  <c r="Y764" i="28"/>
  <c r="Y752" i="28"/>
  <c r="Y740" i="28"/>
  <c r="Y728" i="28"/>
  <c r="Y716" i="28"/>
  <c r="Y704" i="28"/>
  <c r="Y692" i="28"/>
  <c r="Y680" i="28"/>
  <c r="Y668" i="28"/>
  <c r="Y656" i="28"/>
  <c r="Y644" i="28"/>
  <c r="Y632" i="28"/>
  <c r="Y608" i="28"/>
  <c r="Y596" i="28"/>
  <c r="Y584" i="28"/>
  <c r="Y572" i="28"/>
  <c r="Y560" i="28"/>
  <c r="Y548" i="28"/>
  <c r="Y524" i="28"/>
  <c r="Y512" i="28"/>
  <c r="AS86" i="7"/>
  <c r="Y500" i="28" s="1"/>
  <c r="AS74" i="7"/>
  <c r="AS62" i="7"/>
  <c r="AF323" i="14" s="1"/>
  <c r="AS50" i="7"/>
  <c r="AS38" i="7"/>
  <c r="Y452" i="28" s="1"/>
  <c r="AS26" i="7"/>
  <c r="AS14" i="7"/>
  <c r="Y428" i="28" s="1"/>
  <c r="Y416" i="28"/>
  <c r="Y404" i="28"/>
  <c r="Y392" i="28"/>
  <c r="Y380" i="28"/>
  <c r="Y368" i="28"/>
  <c r="Y356" i="28"/>
  <c r="Y344" i="28"/>
  <c r="Y332" i="28"/>
  <c r="Y320" i="28"/>
  <c r="Y308" i="28"/>
  <c r="Y296" i="28"/>
  <c r="Y284" i="28"/>
  <c r="Y272" i="28"/>
  <c r="Y260" i="28"/>
  <c r="Y248" i="28"/>
  <c r="Y236" i="28"/>
  <c r="Y224" i="28"/>
  <c r="Y188" i="28"/>
  <c r="Y176" i="28"/>
  <c r="Y164" i="28"/>
  <c r="Y152" i="28"/>
  <c r="Y140" i="28"/>
  <c r="Y128" i="28"/>
  <c r="Y104" i="28"/>
  <c r="Y80" i="28"/>
  <c r="Y68" i="28"/>
  <c r="Y56" i="28"/>
  <c r="Y32" i="28"/>
  <c r="Y8" i="28"/>
  <c r="Y773" i="28"/>
  <c r="Y761" i="28"/>
  <c r="Y749" i="28"/>
  <c r="AS92" i="7"/>
  <c r="AF345" i="14" s="1"/>
  <c r="AH345" i="14" s="1"/>
  <c r="AV345" i="14" s="1"/>
  <c r="Y713" i="28"/>
  <c r="Y701" i="28"/>
  <c r="Y689" i="28"/>
  <c r="Y677" i="28"/>
  <c r="Y665" i="28"/>
  <c r="Y653" i="28"/>
  <c r="Y641" i="28"/>
  <c r="Y654" i="28"/>
  <c r="Y510" i="28"/>
  <c r="AS72" i="7"/>
  <c r="AS24" i="7"/>
  <c r="Y414" i="28"/>
  <c r="Y402" i="28"/>
  <c r="Y354" i="28"/>
  <c r="Y306" i="28"/>
  <c r="Y282" i="28"/>
  <c r="Y270" i="28"/>
  <c r="Y258" i="28"/>
  <c r="Y246" i="28"/>
  <c r="Y234" i="28"/>
  <c r="Y210" i="28"/>
  <c r="Y186" i="28"/>
  <c r="Y174" i="28"/>
  <c r="Y150" i="28"/>
  <c r="Y138" i="28"/>
  <c r="Y78" i="28"/>
  <c r="Y54" i="28"/>
  <c r="Y42" i="28"/>
  <c r="Y30" i="28"/>
  <c r="Y18" i="28"/>
  <c r="Y781" i="28"/>
  <c r="Y757" i="28"/>
  <c r="AS95" i="7"/>
  <c r="Y709" i="28"/>
  <c r="Y697" i="28"/>
  <c r="Y685" i="28"/>
  <c r="Y673" i="28"/>
  <c r="Y661" i="28"/>
  <c r="Y637" i="28"/>
  <c r="Y625" i="28"/>
  <c r="Y601" i="28"/>
  <c r="Y589" i="28"/>
  <c r="Y577" i="28"/>
  <c r="Y565" i="28"/>
  <c r="Y529" i="28"/>
  <c r="AS79" i="7"/>
  <c r="AF277" i="14" s="1"/>
  <c r="AS67" i="7"/>
  <c r="Y481" i="28" s="1"/>
  <c r="AS55" i="7"/>
  <c r="AS43" i="7"/>
  <c r="AF319" i="14" s="1"/>
  <c r="AS31" i="7"/>
  <c r="AS19" i="7"/>
  <c r="AS7" i="7"/>
  <c r="Y421" i="28" s="1"/>
  <c r="Y409" i="28"/>
  <c r="Y373" i="28"/>
  <c r="Y361" i="28"/>
  <c r="Y349" i="28"/>
  <c r="Y337" i="28"/>
  <c r="Y325" i="28"/>
  <c r="Y301" i="28"/>
  <c r="Y289" i="28"/>
  <c r="Y277" i="28"/>
  <c r="Y265" i="28"/>
  <c r="Y253" i="28"/>
  <c r="Y241" i="28"/>
  <c r="Y229" i="28"/>
  <c r="Y217" i="28"/>
  <c r="Y181" i="28"/>
  <c r="Y169" i="28"/>
  <c r="Y157" i="28"/>
  <c r="Y133" i="28"/>
  <c r="Y97" i="28"/>
  <c r="Y85" i="28"/>
  <c r="Y73" i="28"/>
  <c r="Y61" i="28"/>
  <c r="Y49" i="28"/>
  <c r="Z783" i="28"/>
  <c r="Z771" i="28"/>
  <c r="Z747" i="28"/>
  <c r="AT90" i="7"/>
  <c r="Z723" i="28"/>
  <c r="Z699" i="28"/>
  <c r="Z687" i="28"/>
  <c r="Z675" i="28"/>
  <c r="Z651" i="28"/>
  <c r="Z639" i="28"/>
  <c r="Z603" i="28"/>
  <c r="Z591" i="28"/>
  <c r="Z555" i="28"/>
  <c r="Z543" i="28"/>
  <c r="AT81" i="7"/>
  <c r="Z495" i="28" s="1"/>
  <c r="AH35" i="14"/>
  <c r="AV35" i="14" s="1"/>
  <c r="AH129" i="14"/>
  <c r="AV129" i="14" s="1"/>
  <c r="AH126" i="14"/>
  <c r="AV126" i="14" s="1"/>
  <c r="AH119" i="14"/>
  <c r="AV119" i="14" s="1"/>
  <c r="AH166" i="14"/>
  <c r="AV166" i="14" s="1"/>
  <c r="AH128" i="14"/>
  <c r="AV128" i="14" s="1"/>
  <c r="AH80" i="14"/>
  <c r="AV80" i="14" s="1"/>
  <c r="AH2" i="14"/>
  <c r="AV2" i="14" s="1"/>
  <c r="AH122" i="14"/>
  <c r="AV122" i="14" s="1"/>
  <c r="O174" i="14"/>
  <c r="O94" i="14"/>
  <c r="O167" i="14"/>
  <c r="O103" i="14"/>
  <c r="O9" i="14"/>
  <c r="O115" i="14"/>
  <c r="Z156" i="28"/>
  <c r="O81" i="14"/>
  <c r="Z731" i="28"/>
  <c r="Z683" i="28"/>
  <c r="Z647" i="28"/>
  <c r="Z635" i="28"/>
  <c r="Z599" i="28"/>
  <c r="Z587" i="28"/>
  <c r="Z551" i="28"/>
  <c r="Z527" i="28"/>
  <c r="AT89" i="7"/>
  <c r="Z503" i="28" s="1"/>
  <c r="AT77" i="7"/>
  <c r="Z276" i="14" s="1"/>
  <c r="AG276" i="14" s="1"/>
  <c r="AT65" i="7"/>
  <c r="Z479" i="28" s="1"/>
  <c r="AT53" i="7"/>
  <c r="AT41" i="7"/>
  <c r="Z455" i="28" s="1"/>
  <c r="AT29" i="7"/>
  <c r="Z443" i="28" s="1"/>
  <c r="AT17" i="7"/>
  <c r="AT5" i="7"/>
  <c r="Z407" i="28"/>
  <c r="Z371" i="28"/>
  <c r="Z359" i="28"/>
  <c r="Z335" i="28"/>
  <c r="Z323" i="28"/>
  <c r="Z311" i="28"/>
  <c r="Z299" i="28"/>
  <c r="Z287" i="28"/>
  <c r="Z275" i="28"/>
  <c r="Z263" i="28"/>
  <c r="Z251" i="28"/>
  <c r="Z227" i="28"/>
  <c r="Z215" i="28"/>
  <c r="Z191" i="28"/>
  <c r="Z179" i="28"/>
  <c r="Z167" i="28"/>
  <c r="Z143" i="28"/>
  <c r="Z131" i="28"/>
  <c r="Z119" i="28"/>
  <c r="Z107" i="28"/>
  <c r="Z59" i="28"/>
  <c r="Z35" i="28"/>
  <c r="Z23" i="28"/>
  <c r="U92" i="14"/>
  <c r="U7" i="14"/>
  <c r="U102" i="14"/>
  <c r="U189" i="14"/>
  <c r="U190" i="14"/>
  <c r="U211" i="14"/>
  <c r="U108" i="14"/>
  <c r="U182" i="14"/>
  <c r="U98" i="14"/>
  <c r="U25" i="14"/>
  <c r="Y177" i="28"/>
  <c r="Y165" i="28"/>
  <c r="Y153" i="28"/>
  <c r="Y117" i="28"/>
  <c r="Y105" i="28"/>
  <c r="Y93" i="28"/>
  <c r="Y69" i="28"/>
  <c r="Y33" i="28"/>
  <c r="Z779" i="28"/>
  <c r="Z767" i="28"/>
  <c r="Z755" i="28"/>
  <c r="Z719" i="28"/>
  <c r="Z707" i="28"/>
  <c r="Z695" i="28"/>
  <c r="Z671" i="28"/>
  <c r="Z659" i="28"/>
  <c r="Z623" i="28"/>
  <c r="Z611" i="28"/>
  <c r="Z575" i="28"/>
  <c r="Z563" i="28"/>
  <c r="Z515" i="28"/>
  <c r="Y667" i="28"/>
  <c r="Y415" i="28"/>
  <c r="Z98" i="28"/>
  <c r="Z396" i="28"/>
  <c r="Z13" i="28"/>
  <c r="Y777" i="28"/>
  <c r="Y765" i="28"/>
  <c r="Y741" i="28"/>
  <c r="Y705" i="28"/>
  <c r="Y693" i="28"/>
  <c r="Y681" i="28"/>
  <c r="Y669" i="28"/>
  <c r="Y657" i="28"/>
  <c r="Y633" i="28"/>
  <c r="Y621" i="28"/>
  <c r="Y609" i="28"/>
  <c r="Y597" i="28"/>
  <c r="Y585" i="28"/>
  <c r="Y561" i="28"/>
  <c r="Y549" i="28"/>
  <c r="Y525" i="28"/>
  <c r="Y513" i="28"/>
  <c r="AS87" i="7"/>
  <c r="Y501" i="28" s="1"/>
  <c r="AS75" i="7"/>
  <c r="AS63" i="7"/>
  <c r="AS51" i="7"/>
  <c r="AS39" i="7"/>
  <c r="AS27" i="7"/>
  <c r="AS15" i="7"/>
  <c r="Y429" i="28" s="1"/>
  <c r="Y405" i="28"/>
  <c r="Y393" i="28"/>
  <c r="Y381" i="28"/>
  <c r="Y369" i="28"/>
  <c r="Y357" i="28"/>
  <c r="Y345" i="28"/>
  <c r="Y321" i="28"/>
  <c r="Y309" i="28"/>
  <c r="Y285" i="28"/>
  <c r="Y273" i="28"/>
  <c r="Y261" i="28"/>
  <c r="Y237" i="28"/>
  <c r="Y225" i="28"/>
  <c r="Y213" i="28"/>
  <c r="AH93" i="14"/>
  <c r="AV93" i="14" s="1"/>
  <c r="AH106" i="14"/>
  <c r="AV106" i="14" s="1"/>
  <c r="AH111" i="14"/>
  <c r="AV111" i="14" s="1"/>
  <c r="AH32" i="14"/>
  <c r="AV32" i="14" s="1"/>
  <c r="AH145" i="14"/>
  <c r="AV145" i="14" s="1"/>
  <c r="AH183" i="14"/>
  <c r="AV183" i="14" s="1"/>
  <c r="AH53" i="14"/>
  <c r="AV53" i="14" s="1"/>
  <c r="AH125" i="14"/>
  <c r="AV125" i="14" s="1"/>
  <c r="AH90" i="14"/>
  <c r="AV90" i="14" s="1"/>
  <c r="AH142" i="14"/>
  <c r="AV142" i="14" s="1"/>
  <c r="AH64" i="14"/>
  <c r="AV64" i="14" s="1"/>
  <c r="AH74" i="14"/>
  <c r="AV74" i="14" s="1"/>
  <c r="AH34" i="14"/>
  <c r="AV34" i="14" s="1"/>
  <c r="AH17" i="14"/>
  <c r="AV17" i="14" s="1"/>
  <c r="AH73" i="14"/>
  <c r="AV73" i="14" s="1"/>
  <c r="AH201" i="14"/>
  <c r="AV201" i="14" s="1"/>
  <c r="Z96" i="28"/>
  <c r="Y779" i="28"/>
  <c r="Y767" i="28"/>
  <c r="Y755" i="28"/>
  <c r="Y743" i="28"/>
  <c r="AS90" i="7"/>
  <c r="Y711" i="28"/>
  <c r="Y707" i="28"/>
  <c r="Y699" i="28"/>
  <c r="Y683" i="28"/>
  <c r="Y675" i="28"/>
  <c r="Y659" i="28"/>
  <c r="Y635" i="28"/>
  <c r="Y627" i="28"/>
  <c r="Y611" i="28"/>
  <c r="Y599" i="28"/>
  <c r="Y591" i="28"/>
  <c r="Y555" i="28"/>
  <c r="Y551" i="28"/>
  <c r="Y531" i="28"/>
  <c r="AS57" i="7"/>
  <c r="Y471" i="28" s="1"/>
  <c r="AS41" i="7"/>
  <c r="Y455" i="28" s="1"/>
  <c r="Y411" i="28"/>
  <c r="U204" i="14"/>
  <c r="U116" i="14"/>
  <c r="U95" i="14"/>
  <c r="Z7" i="28"/>
  <c r="AO96" i="7"/>
  <c r="AP96" i="7"/>
  <c r="Z113" i="28"/>
  <c r="Z104" i="28"/>
  <c r="O186" i="14"/>
  <c r="O83" i="14"/>
  <c r="O39" i="14"/>
  <c r="O27" i="14"/>
  <c r="Y674" i="28"/>
  <c r="Y638" i="28"/>
  <c r="Y630" i="28"/>
  <c r="Y594" i="28"/>
  <c r="Y590" i="28"/>
  <c r="Y550" i="28"/>
  <c r="Y546" i="28"/>
  <c r="O116" i="14"/>
  <c r="O117" i="14"/>
  <c r="O78" i="14"/>
  <c r="O145" i="14"/>
  <c r="O191" i="14"/>
  <c r="O214" i="14"/>
  <c r="O184" i="14"/>
  <c r="O50" i="14"/>
  <c r="O42" i="14"/>
  <c r="O38" i="14"/>
  <c r="O34" i="14"/>
  <c r="O26" i="14"/>
  <c r="O22" i="14"/>
  <c r="O203" i="14"/>
  <c r="O87" i="14"/>
  <c r="O2" i="14"/>
  <c r="BB416" i="28"/>
  <c r="O86" i="14"/>
  <c r="O121" i="14"/>
  <c r="O95" i="14"/>
  <c r="O204" i="14"/>
  <c r="O129" i="14"/>
  <c r="O65" i="14"/>
  <c r="Y758" i="28"/>
  <c r="Y754" i="28"/>
  <c r="Y310" i="28"/>
  <c r="Y294" i="28"/>
  <c r="Y278" i="28"/>
  <c r="Y254" i="28"/>
  <c r="Y238" i="28"/>
  <c r="Y222" i="28"/>
  <c r="Y198" i="28"/>
  <c r="Y178" i="28"/>
  <c r="Y162" i="28"/>
  <c r="Y778" i="28"/>
  <c r="Y774" i="28"/>
  <c r="AS93" i="7"/>
  <c r="O248" i="18" s="1"/>
  <c r="Y718" i="28"/>
  <c r="Y714" i="28"/>
  <c r="Y698" i="28"/>
  <c r="Y690" i="28"/>
  <c r="Y682" i="28"/>
  <c r="Y662" i="28"/>
  <c r="Y650" i="28"/>
  <c r="Y646" i="28"/>
  <c r="Y634" i="28"/>
  <c r="Y622" i="28"/>
  <c r="Y618" i="28"/>
  <c r="Y606" i="28"/>
  <c r="Y602" i="28"/>
  <c r="Y586" i="28"/>
  <c r="Y582" i="28"/>
  <c r="Y562" i="28"/>
  <c r="Y538" i="28"/>
  <c r="Y534" i="28"/>
  <c r="Y514" i="28"/>
  <c r="Y506" i="28"/>
  <c r="AS84" i="7"/>
  <c r="AS80" i="7"/>
  <c r="AS76" i="7"/>
  <c r="AF293" i="14" s="1"/>
  <c r="AS64" i="7"/>
  <c r="AF274" i="14" s="1"/>
  <c r="AS60" i="7"/>
  <c r="AS56" i="7"/>
  <c r="AU56" i="7" s="1"/>
  <c r="AS44" i="7"/>
  <c r="AS36" i="7"/>
  <c r="AF344" i="14" s="1"/>
  <c r="AS28" i="7"/>
  <c r="AS16" i="7"/>
  <c r="Y430" i="28" s="1"/>
  <c r="AS12" i="7"/>
  <c r="Y426" i="28" s="1"/>
  <c r="Y410" i="28"/>
  <c r="Y406" i="28"/>
  <c r="Y394" i="28"/>
  <c r="Y386" i="28"/>
  <c r="Y366" i="28"/>
  <c r="BB616" i="28"/>
  <c r="BB391" i="28"/>
  <c r="BP391" i="28"/>
  <c r="Z163" i="28"/>
  <c r="U114" i="14"/>
  <c r="U165" i="14"/>
  <c r="Y775" i="28"/>
  <c r="Y763" i="28"/>
  <c r="Y751" i="28"/>
  <c r="AS94" i="7"/>
  <c r="Y727" i="28"/>
  <c r="Y703" i="28"/>
  <c r="Y691" i="28"/>
  <c r="Y655" i="28"/>
  <c r="Y631" i="28"/>
  <c r="Y607" i="28"/>
  <c r="AS49" i="7"/>
  <c r="Z398" i="28"/>
  <c r="Z542" i="28"/>
  <c r="Z734" i="28"/>
  <c r="O113" i="14"/>
  <c r="O140" i="14"/>
  <c r="O55" i="14"/>
  <c r="O215" i="14"/>
  <c r="O47" i="14"/>
  <c r="O43" i="14"/>
  <c r="O31" i="14"/>
  <c r="O106" i="14"/>
  <c r="O23" i="14"/>
  <c r="O166" i="14"/>
  <c r="O96" i="14"/>
  <c r="O7" i="14"/>
  <c r="O122" i="14"/>
  <c r="O3" i="14"/>
  <c r="O88" i="14"/>
  <c r="O100" i="14"/>
  <c r="BP520" i="28"/>
  <c r="Z128" i="28"/>
  <c r="O208" i="14"/>
  <c r="O143" i="14"/>
  <c r="O111" i="14"/>
  <c r="O131" i="14"/>
  <c r="O51" i="14"/>
  <c r="O216" i="14"/>
  <c r="O163" i="14"/>
  <c r="O11" i="14"/>
  <c r="O102" i="14"/>
  <c r="O92" i="14"/>
  <c r="BB130" i="28"/>
  <c r="BO539" i="28"/>
  <c r="BB146" i="28"/>
  <c r="BB536" i="28"/>
  <c r="Y523" i="28"/>
  <c r="BP321" i="28"/>
  <c r="BO92" i="28"/>
  <c r="BO100" i="28"/>
  <c r="BO723" i="28"/>
  <c r="BO22" i="28"/>
  <c r="BO31" i="28"/>
  <c r="BO33" i="28"/>
  <c r="BO55" i="28"/>
  <c r="BO61" i="28"/>
  <c r="BO62" i="28"/>
  <c r="BO81" i="28"/>
  <c r="BO84" i="28"/>
  <c r="BO89" i="28"/>
  <c r="BO95" i="28"/>
  <c r="BO99" i="28"/>
  <c r="BO115" i="28"/>
  <c r="BO119" i="28"/>
  <c r="BO122" i="28"/>
  <c r="BO123" i="28"/>
  <c r="BO128" i="28"/>
  <c r="BO132" i="28"/>
  <c r="BO138" i="28"/>
  <c r="BO139" i="28"/>
  <c r="BO143" i="28"/>
  <c r="BO149" i="28"/>
  <c r="BO152" i="28"/>
  <c r="BO153" i="28"/>
  <c r="BO509" i="28"/>
  <c r="BO512" i="28"/>
  <c r="BO513" i="28"/>
  <c r="BO523" i="28"/>
  <c r="BO526" i="28"/>
  <c r="BO527" i="28"/>
  <c r="BO536" i="28"/>
  <c r="BO540" i="28"/>
  <c r="BO541" i="28"/>
  <c r="BO549" i="28"/>
  <c r="BO552" i="28"/>
  <c r="BO554" i="28"/>
  <c r="BO562" i="28"/>
  <c r="BO567" i="28"/>
  <c r="BO569" i="28"/>
  <c r="BO578" i="28"/>
  <c r="BO581" i="28"/>
  <c r="BO582" i="28"/>
  <c r="BO590" i="28"/>
  <c r="BO593" i="28"/>
  <c r="BO594" i="28"/>
  <c r="BO603" i="28"/>
  <c r="BO606" i="28"/>
  <c r="BO607" i="28"/>
  <c r="BO615" i="28"/>
  <c r="BO618" i="28"/>
  <c r="BO619" i="28"/>
  <c r="BO627" i="28"/>
  <c r="BO721" i="28"/>
  <c r="BO722" i="28"/>
  <c r="BO733" i="28"/>
  <c r="BO743" i="28"/>
  <c r="BO744" i="28"/>
  <c r="BO730" i="28"/>
  <c r="X80" i="14"/>
  <c r="BP518" i="28"/>
  <c r="BP534" i="28"/>
  <c r="U142" i="14"/>
  <c r="BP74" i="28"/>
  <c r="BP594" i="28"/>
  <c r="U99" i="14"/>
  <c r="U2" i="14"/>
  <c r="U87" i="14"/>
  <c r="U203" i="14"/>
  <c r="U24" i="14"/>
  <c r="U158" i="14"/>
  <c r="U125" i="14"/>
  <c r="U107" i="14"/>
  <c r="U66" i="14"/>
  <c r="U130" i="14"/>
  <c r="U214" i="14"/>
  <c r="U68" i="14"/>
  <c r="U206" i="14"/>
  <c r="U74" i="14"/>
  <c r="U191" i="14"/>
  <c r="U78" i="14"/>
  <c r="U145" i="14"/>
  <c r="U146" i="14"/>
  <c r="U80" i="14"/>
  <c r="BP578" i="28"/>
  <c r="U6" i="14"/>
  <c r="U101" i="14"/>
  <c r="U121" i="14"/>
  <c r="U93" i="14"/>
  <c r="U8" i="14"/>
  <c r="U12" i="14"/>
  <c r="U97" i="14"/>
  <c r="U104" i="14"/>
  <c r="U18" i="14"/>
  <c r="U160" i="14"/>
  <c r="U109" i="14"/>
  <c r="U127" i="14"/>
  <c r="U44" i="14"/>
  <c r="U48" i="14"/>
  <c r="U181" i="14"/>
  <c r="U161" i="14"/>
  <c r="U128" i="14"/>
  <c r="U54" i="14"/>
  <c r="U62" i="14"/>
  <c r="U184" i="14"/>
  <c r="U133" i="14"/>
  <c r="U205" i="14"/>
  <c r="U118" i="14"/>
  <c r="U72" i="14"/>
  <c r="U123" i="14"/>
  <c r="BO118" i="28"/>
  <c r="O187" i="14"/>
  <c r="AV530" i="28"/>
  <c r="AV543" i="28"/>
  <c r="AV566" i="28"/>
  <c r="AV569" i="28"/>
  <c r="AV544" i="28"/>
  <c r="AV567" i="28"/>
  <c r="AV570" i="28"/>
  <c r="AV57" i="28"/>
  <c r="AV531" i="28"/>
  <c r="AV542" i="28"/>
  <c r="AV568" i="28"/>
  <c r="AH164" i="14"/>
  <c r="AV164" i="14" s="1"/>
  <c r="AH153" i="14"/>
  <c r="AV153" i="14" s="1"/>
  <c r="AH37" i="14"/>
  <c r="AV37" i="14" s="1"/>
  <c r="AX563" i="28"/>
  <c r="AX506" i="28"/>
  <c r="AX45" i="28"/>
  <c r="AX618" i="28"/>
  <c r="AX550" i="28"/>
  <c r="AX733" i="28"/>
  <c r="AW8" i="28"/>
  <c r="AH39" i="14"/>
  <c r="AV39" i="14" s="1"/>
  <c r="AH65" i="14"/>
  <c r="AV65" i="14" s="1"/>
  <c r="AH6" i="14"/>
  <c r="AV6" i="14" s="1"/>
  <c r="AH120" i="14"/>
  <c r="AV120" i="14" s="1"/>
  <c r="AH103" i="14"/>
  <c r="AV103" i="14" s="1"/>
  <c r="AH114" i="14"/>
  <c r="AV114" i="14" s="1"/>
  <c r="AH163" i="14"/>
  <c r="AV163" i="14" s="1"/>
  <c r="AH155" i="14"/>
  <c r="AV155" i="14" s="1"/>
  <c r="AH154" i="14"/>
  <c r="AV154" i="14" s="1"/>
  <c r="AH149" i="14"/>
  <c r="AV149" i="14" s="1"/>
  <c r="AH144" i="14"/>
  <c r="AV144" i="14" s="1"/>
  <c r="AH55" i="14"/>
  <c r="AV55" i="14" s="1"/>
  <c r="AX590" i="28"/>
  <c r="X144" i="14"/>
  <c r="X40" i="14"/>
  <c r="J37" i="29"/>
  <c r="BP412" i="28"/>
  <c r="Y334" i="28"/>
  <c r="BB72" i="28"/>
  <c r="BP325" i="28"/>
  <c r="Y24" i="28"/>
  <c r="BB592" i="28"/>
  <c r="BO134" i="28"/>
  <c r="BO137" i="28"/>
  <c r="AH8" i="14"/>
  <c r="AV8" i="14" s="1"/>
  <c r="AH48" i="14"/>
  <c r="AV48" i="14" s="1"/>
  <c r="BB410" i="28"/>
  <c r="AH175" i="14"/>
  <c r="AV175" i="14" s="1"/>
  <c r="AH156" i="14"/>
  <c r="AV156" i="14" s="1"/>
  <c r="AH44" i="14"/>
  <c r="AV44" i="14" s="1"/>
  <c r="AH24" i="14"/>
  <c r="AV24" i="14" s="1"/>
  <c r="AH9" i="14"/>
  <c r="AV9" i="14" s="1"/>
  <c r="AH25" i="14"/>
  <c r="AV25" i="14" s="1"/>
  <c r="AH27" i="14"/>
  <c r="AV27" i="14" s="1"/>
  <c r="Y155" i="28"/>
  <c r="AH165" i="14"/>
  <c r="AV165" i="14" s="1"/>
  <c r="X17" i="14"/>
  <c r="Y35" i="28"/>
  <c r="Z84" i="28"/>
  <c r="Y83" i="28"/>
  <c r="Z72" i="28"/>
  <c r="Z134" i="28"/>
  <c r="AH150" i="14"/>
  <c r="AV150" i="14" s="1"/>
  <c r="AH79" i="14"/>
  <c r="AV79" i="14" s="1"/>
  <c r="AH68" i="14"/>
  <c r="AV68" i="14" s="1"/>
  <c r="AH11" i="14"/>
  <c r="AV11" i="14" s="1"/>
  <c r="AH169" i="14"/>
  <c r="AV169" i="14" s="1"/>
  <c r="AH160" i="14"/>
  <c r="AV160" i="14" s="1"/>
  <c r="AH157" i="14"/>
  <c r="AV157" i="14" s="1"/>
  <c r="AH147" i="14"/>
  <c r="AV147" i="14" s="1"/>
  <c r="AH72" i="14"/>
  <c r="AV72" i="14" s="1"/>
  <c r="AH86" i="14"/>
  <c r="AV86" i="14" s="1"/>
  <c r="AH81" i="14"/>
  <c r="AV81" i="14" s="1"/>
  <c r="AH62" i="14"/>
  <c r="AV62" i="14" s="1"/>
  <c r="AH136" i="14"/>
  <c r="AV136" i="14" s="1"/>
  <c r="AH134" i="14"/>
  <c r="AV134" i="14" s="1"/>
  <c r="AH124" i="14"/>
  <c r="AV124" i="14" s="1"/>
  <c r="AH94" i="14"/>
  <c r="AV94" i="14" s="1"/>
  <c r="AH172" i="14"/>
  <c r="AV172" i="14" s="1"/>
  <c r="AH190" i="14"/>
  <c r="AV190" i="14" s="1"/>
  <c r="AH170" i="14"/>
  <c r="AV170" i="14" s="1"/>
  <c r="Y52" i="28"/>
  <c r="Y196" i="28"/>
  <c r="AH21" i="14"/>
  <c r="AV21" i="14" s="1"/>
  <c r="BP12" i="28"/>
  <c r="BB12" i="28"/>
  <c r="Y95" i="28"/>
  <c r="X99" i="14"/>
  <c r="X87" i="14"/>
  <c r="AH99" i="14"/>
  <c r="AV99" i="14" s="1"/>
  <c r="AH198" i="14"/>
  <c r="AV198" i="14" s="1"/>
  <c r="AH171" i="14"/>
  <c r="AV171" i="14" s="1"/>
  <c r="AH148" i="14"/>
  <c r="AV148" i="14" s="1"/>
  <c r="AH98" i="14"/>
  <c r="AV98" i="14" s="1"/>
  <c r="AH95" i="14"/>
  <c r="AV95" i="14" s="1"/>
  <c r="AH115" i="14"/>
  <c r="AV115" i="14" s="1"/>
  <c r="AH130" i="14"/>
  <c r="AV130" i="14" s="1"/>
  <c r="AH46" i="14"/>
  <c r="AV46" i="14" s="1"/>
  <c r="AH18" i="14"/>
  <c r="AV18" i="14" s="1"/>
  <c r="AH70" i="14"/>
  <c r="AV70" i="14" s="1"/>
  <c r="BP398" i="28"/>
  <c r="BB734" i="28"/>
  <c r="Y131" i="28"/>
  <c r="Y227" i="28"/>
  <c r="Y235" i="28"/>
  <c r="Y48" i="28"/>
  <c r="Y96" i="28"/>
  <c r="Y384" i="28"/>
  <c r="AH188" i="14"/>
  <c r="AV188" i="14" s="1"/>
  <c r="AH15" i="14"/>
  <c r="AV15" i="14" s="1"/>
  <c r="AH45" i="14"/>
  <c r="AV45" i="14" s="1"/>
  <c r="AH162" i="14"/>
  <c r="AV162" i="14" s="1"/>
  <c r="AH159" i="14"/>
  <c r="AV159" i="14" s="1"/>
  <c r="AH105" i="14"/>
  <c r="AV105" i="14" s="1"/>
  <c r="AH173" i="14"/>
  <c r="AV173" i="14" s="1"/>
  <c r="AH194" i="14"/>
  <c r="AV194" i="14" s="1"/>
  <c r="AH158" i="14"/>
  <c r="AV158" i="14" s="1"/>
  <c r="AH152" i="14"/>
  <c r="AV152" i="14" s="1"/>
  <c r="AH28" i="14"/>
  <c r="AV28" i="14" s="1"/>
  <c r="AH75" i="14"/>
  <c r="AV75" i="14" s="1"/>
  <c r="AH36" i="14"/>
  <c r="AV36" i="14" s="1"/>
  <c r="AH116" i="14"/>
  <c r="AV116" i="14" s="1"/>
  <c r="AH77" i="14"/>
  <c r="AV77" i="14" s="1"/>
  <c r="AH67" i="14"/>
  <c r="AV67" i="14" s="1"/>
  <c r="AH108" i="14"/>
  <c r="AV108" i="14" s="1"/>
  <c r="AH101" i="14"/>
  <c r="AV101" i="14" s="1"/>
  <c r="AH186" i="14"/>
  <c r="AV186" i="14" s="1"/>
  <c r="AH52" i="14"/>
  <c r="AV52" i="14" s="1"/>
  <c r="AH191" i="14"/>
  <c r="AV191" i="14" s="1"/>
  <c r="AH199" i="14"/>
  <c r="AV199" i="14" s="1"/>
  <c r="Y55" i="28"/>
  <c r="Y72" i="28"/>
  <c r="Y379" i="28"/>
  <c r="Y120" i="28"/>
  <c r="AH189" i="14"/>
  <c r="AV189" i="14" s="1"/>
  <c r="AH174" i="14"/>
  <c r="AV174" i="14" s="1"/>
  <c r="AH12" i="14"/>
  <c r="AV12" i="14" s="1"/>
  <c r="AH20" i="14"/>
  <c r="AV20" i="14" s="1"/>
  <c r="AH10" i="14"/>
  <c r="AV10" i="14" s="1"/>
  <c r="AH197" i="14"/>
  <c r="AV197" i="14" s="1"/>
  <c r="AH47" i="14"/>
  <c r="AV47" i="14" s="1"/>
  <c r="AH184" i="14"/>
  <c r="AV184" i="14" s="1"/>
  <c r="AH87" i="14"/>
  <c r="AV87" i="14" s="1"/>
  <c r="AH187" i="14"/>
  <c r="AV187" i="14" s="1"/>
  <c r="AH51" i="14"/>
  <c r="AV51" i="14" s="1"/>
  <c r="AH195" i="14"/>
  <c r="AV195" i="14" s="1"/>
  <c r="AH177" i="14"/>
  <c r="AV177" i="14" s="1"/>
  <c r="AH185" i="14"/>
  <c r="AV185" i="14" s="1"/>
  <c r="AH22" i="14"/>
  <c r="AV22" i="14" s="1"/>
  <c r="AH203" i="14"/>
  <c r="AV203" i="14" s="1"/>
  <c r="AH200" i="14"/>
  <c r="AV200" i="14" s="1"/>
  <c r="AH204" i="14"/>
  <c r="AV204" i="14" s="1"/>
  <c r="Z749" i="28"/>
  <c r="Y91" i="28"/>
  <c r="Y139" i="28"/>
  <c r="X141" i="14"/>
  <c r="X140" i="14"/>
  <c r="X55" i="14"/>
  <c r="X211" i="14"/>
  <c r="X67" i="14"/>
  <c r="Z15" i="28"/>
  <c r="Y76" i="28"/>
  <c r="Y36" i="28"/>
  <c r="Y84" i="28"/>
  <c r="Y324" i="28"/>
  <c r="BP396" i="28"/>
  <c r="BB396" i="28"/>
  <c r="BP552" i="28"/>
  <c r="BB552" i="28"/>
  <c r="BB32" i="28"/>
  <c r="BP32" i="28"/>
  <c r="BP22" i="28"/>
  <c r="BB22" i="28"/>
  <c r="Y403" i="28"/>
  <c r="Y352" i="28"/>
  <c r="Z729" i="28"/>
  <c r="BO98" i="28"/>
  <c r="BO110" i="28"/>
  <c r="BO8" i="28"/>
  <c r="BO11" i="28"/>
  <c r="BO16" i="28"/>
  <c r="BO18" i="28"/>
  <c r="BO20" i="28"/>
  <c r="BO23" i="28"/>
  <c r="BO28" i="28"/>
  <c r="BO30" i="28"/>
  <c r="BO36" i="28"/>
  <c r="BO37" i="28"/>
  <c r="BO42" i="28"/>
  <c r="BO44" i="28"/>
  <c r="BO46" i="28"/>
  <c r="BO48" i="28"/>
  <c r="BO49" i="28"/>
  <c r="BO52" i="28"/>
  <c r="BO57" i="28"/>
  <c r="BO59" i="28"/>
  <c r="BO67" i="28"/>
  <c r="BO69" i="28"/>
  <c r="BO70" i="28"/>
  <c r="BO72" i="28"/>
  <c r="BO75" i="28"/>
  <c r="BO76" i="28"/>
  <c r="BO79" i="28"/>
  <c r="BO82" i="28"/>
  <c r="BO86" i="28"/>
  <c r="BO88" i="28"/>
  <c r="BO94" i="28"/>
  <c r="BO96" i="28"/>
  <c r="BO102" i="28"/>
  <c r="BO104" i="28"/>
  <c r="BO106" i="28"/>
  <c r="BO107" i="28"/>
  <c r="BO108" i="28"/>
  <c r="BO109" i="28"/>
  <c r="BO111" i="28"/>
  <c r="BO114" i="28"/>
  <c r="BO116" i="28"/>
  <c r="BO120" i="28"/>
  <c r="BO124" i="28"/>
  <c r="BO125" i="28"/>
  <c r="BO126" i="28"/>
  <c r="BO127" i="28"/>
  <c r="BO129" i="28"/>
  <c r="BO130" i="28"/>
  <c r="BO131" i="28"/>
  <c r="BO133" i="28"/>
  <c r="BO135" i="28"/>
  <c r="BO136" i="28"/>
  <c r="BO140" i="28"/>
  <c r="BO141" i="28"/>
  <c r="BO142" i="28"/>
  <c r="BO144" i="28"/>
  <c r="BO145" i="28"/>
  <c r="BO146" i="28"/>
  <c r="BO147" i="28"/>
  <c r="BO148" i="28"/>
  <c r="BO150" i="28"/>
  <c r="BO151" i="28"/>
  <c r="BO154" i="28"/>
  <c r="BO155" i="28"/>
  <c r="BO504" i="28"/>
  <c r="BO505" i="28"/>
  <c r="BO506" i="28"/>
  <c r="BO507" i="28"/>
  <c r="BO508" i="28"/>
  <c r="BO510" i="28"/>
  <c r="BO511" i="28"/>
  <c r="BO514" i="28"/>
  <c r="BO515" i="28"/>
  <c r="BO516" i="28"/>
  <c r="BO517" i="28"/>
  <c r="BO518" i="28"/>
  <c r="BO519" i="28"/>
  <c r="BO521" i="28"/>
  <c r="BO522" i="28"/>
  <c r="BO524" i="28"/>
  <c r="BO525" i="28"/>
  <c r="BO528" i="28"/>
  <c r="BO529" i="28"/>
  <c r="BO530" i="28"/>
  <c r="BO531" i="28"/>
  <c r="BO532" i="28"/>
  <c r="BO533" i="28"/>
  <c r="BO534" i="28"/>
  <c r="BO535" i="28"/>
  <c r="BO537" i="28"/>
  <c r="BO538" i="28"/>
  <c r="BO542" i="28"/>
  <c r="BO543" i="28"/>
  <c r="BO544" i="28"/>
  <c r="BO545" i="28"/>
  <c r="BO546" i="28"/>
  <c r="BO547" i="28"/>
  <c r="BO548" i="28"/>
  <c r="BO550" i="28"/>
  <c r="BO551" i="28"/>
  <c r="BO555" i="28"/>
  <c r="BO556" i="28"/>
  <c r="BO557" i="28"/>
  <c r="BO558" i="28"/>
  <c r="BO559" i="28"/>
  <c r="BO560" i="28"/>
  <c r="BO561" i="28"/>
  <c r="BO563" i="28"/>
  <c r="BO564" i="28"/>
  <c r="BO565" i="28"/>
  <c r="BO566" i="28"/>
  <c r="BO568" i="28"/>
  <c r="BO570" i="28"/>
  <c r="BO571" i="28"/>
  <c r="BO572" i="28"/>
  <c r="BO573" i="28"/>
  <c r="BO574" i="28"/>
  <c r="BO575" i="28"/>
  <c r="BO576" i="28"/>
  <c r="BO577" i="28"/>
  <c r="BO579" i="28"/>
  <c r="BO580" i="28"/>
  <c r="BO583" i="28"/>
  <c r="BO584" i="28"/>
  <c r="BO585" i="28"/>
  <c r="BO586" i="28"/>
  <c r="BO587" i="28"/>
  <c r="BO588" i="28"/>
  <c r="BO589" i="28"/>
  <c r="BO591" i="28"/>
  <c r="BO592" i="28"/>
  <c r="BO595" i="28"/>
  <c r="BO596" i="28"/>
  <c r="BO597" i="28"/>
  <c r="BO598" i="28"/>
  <c r="BO599" i="28"/>
  <c r="BO600" i="28"/>
  <c r="BO601" i="28"/>
  <c r="BO602" i="28"/>
  <c r="BO604" i="28"/>
  <c r="BO605" i="28"/>
  <c r="BO608" i="28"/>
  <c r="BO609" i="28"/>
  <c r="BO610" i="28"/>
  <c r="BO611" i="28"/>
  <c r="BO612" i="28"/>
  <c r="BO613" i="28"/>
  <c r="BO614" i="28"/>
  <c r="BO616" i="28"/>
  <c r="BO617" i="28"/>
  <c r="BO620" i="28"/>
  <c r="BO621" i="28"/>
  <c r="BO622" i="28"/>
  <c r="BO623" i="28"/>
  <c r="BO624" i="28"/>
  <c r="BO625" i="28"/>
  <c r="BO626" i="28"/>
  <c r="BO628" i="28"/>
  <c r="BO629" i="28"/>
  <c r="BO720" i="28"/>
  <c r="BO724" i="28"/>
  <c r="BO725" i="28"/>
  <c r="BO726" i="28"/>
  <c r="BO727" i="28"/>
  <c r="BO728" i="28"/>
  <c r="BO729" i="28"/>
  <c r="BO731" i="28"/>
  <c r="BO732" i="28"/>
  <c r="BO734" i="28"/>
  <c r="BO742" i="28"/>
  <c r="Y60" i="28"/>
  <c r="Y12" i="28"/>
  <c r="BB408" i="28"/>
  <c r="BP550" i="28"/>
  <c r="BB550" i="28"/>
  <c r="Y262" i="28"/>
  <c r="X11" i="14"/>
  <c r="X96" i="14"/>
  <c r="U89" i="14"/>
  <c r="U4" i="14"/>
  <c r="U105" i="14"/>
  <c r="U162" i="14"/>
  <c r="U22" i="14"/>
  <c r="U187" i="14"/>
  <c r="U126" i="14"/>
  <c r="U28" i="14"/>
  <c r="U159" i="14"/>
  <c r="U34" i="14"/>
  <c r="U180" i="14"/>
  <c r="U46" i="14"/>
  <c r="U210" i="14"/>
  <c r="U52" i="14"/>
  <c r="U183" i="14"/>
  <c r="U141" i="14"/>
  <c r="U58" i="14"/>
  <c r="U129" i="14"/>
  <c r="U70" i="14"/>
  <c r="U212" i="14"/>
  <c r="U132" i="14"/>
  <c r="U76" i="14"/>
  <c r="U207" i="14"/>
  <c r="Z722" i="28"/>
  <c r="Z669" i="28"/>
  <c r="Z164" i="28"/>
  <c r="Z6" i="28"/>
  <c r="Z162" i="28"/>
  <c r="X212" i="14"/>
  <c r="X13" i="14"/>
  <c r="BP329" i="28"/>
  <c r="BB329" i="28"/>
  <c r="Y7" i="28"/>
  <c r="Y103" i="28"/>
  <c r="Y151" i="28"/>
  <c r="X78" i="14"/>
  <c r="X145" i="14"/>
  <c r="AH178" i="14"/>
  <c r="AV178" i="14" s="1"/>
  <c r="AH192" i="14"/>
  <c r="AV192" i="14" s="1"/>
  <c r="AH179" i="14"/>
  <c r="AV179" i="14" s="1"/>
  <c r="U88" i="14"/>
  <c r="U100" i="14"/>
  <c r="U3" i="14"/>
  <c r="U94" i="14"/>
  <c r="U103" i="14"/>
  <c r="U124" i="14"/>
  <c r="U9" i="14"/>
  <c r="U33" i="14"/>
  <c r="U167" i="14"/>
  <c r="U75" i="14"/>
  <c r="U192" i="14"/>
  <c r="Z63" i="28"/>
  <c r="AH176" i="14"/>
  <c r="AV176" i="14" s="1"/>
  <c r="Z117" i="28"/>
  <c r="BO97" i="28"/>
  <c r="AH71" i="14"/>
  <c r="AV71" i="14" s="1"/>
  <c r="AH19" i="14"/>
  <c r="AV19" i="14" s="1"/>
  <c r="AH54" i="14"/>
  <c r="AV54" i="14" s="1"/>
  <c r="AH196" i="14"/>
  <c r="AV196" i="14" s="1"/>
  <c r="AH151" i="14"/>
  <c r="AV151" i="14" s="1"/>
  <c r="AH180" i="14"/>
  <c r="AV180" i="14" s="1"/>
  <c r="AH205" i="14"/>
  <c r="AV205" i="14" s="1"/>
  <c r="AH202" i="14"/>
  <c r="AV202" i="14" s="1"/>
  <c r="AH182" i="14"/>
  <c r="AV182" i="14" s="1"/>
  <c r="AH181" i="14"/>
  <c r="AV181" i="14" s="1"/>
  <c r="AH140" i="14"/>
  <c r="AV140" i="14" s="1"/>
  <c r="AH5" i="14"/>
  <c r="AV5" i="14" s="1"/>
  <c r="AH13" i="14"/>
  <c r="AV13" i="14" s="1"/>
  <c r="AH193" i="14"/>
  <c r="AV193" i="14" s="1"/>
  <c r="BO5" i="28"/>
  <c r="BO6" i="28"/>
  <c r="BO7" i="28"/>
  <c r="BO9" i="28"/>
  <c r="BO10" i="28"/>
  <c r="BO12" i="28"/>
  <c r="BO13" i="28"/>
  <c r="BO14" i="28"/>
  <c r="BO15" i="28"/>
  <c r="BO17" i="28"/>
  <c r="BO19" i="28"/>
  <c r="BO21" i="28"/>
  <c r="BO24" i="28"/>
  <c r="BO25" i="28"/>
  <c r="BO26" i="28"/>
  <c r="BO27" i="28"/>
  <c r="BO29" i="28"/>
  <c r="BO32" i="28"/>
  <c r="BO34" i="28"/>
  <c r="BO35" i="28"/>
  <c r="BO38" i="28"/>
  <c r="BO39" i="28"/>
  <c r="BO40" i="28"/>
  <c r="BO41" i="28"/>
  <c r="BO43" i="28"/>
  <c r="BO45" i="28"/>
  <c r="BO47" i="28"/>
  <c r="BO50" i="28"/>
  <c r="BO51" i="28"/>
  <c r="BO53" i="28"/>
  <c r="BO54" i="28"/>
  <c r="BO56" i="28"/>
  <c r="BO58" i="28"/>
  <c r="BO60" i="28"/>
  <c r="BO63" i="28"/>
  <c r="BO64" i="28"/>
  <c r="BO65" i="28"/>
  <c r="BO66" i="28"/>
  <c r="BO68" i="28"/>
  <c r="BO71" i="28"/>
  <c r="BO73" i="28"/>
  <c r="BO74" i="28"/>
  <c r="BO77" i="28"/>
  <c r="BO78" i="28"/>
  <c r="BO80" i="28"/>
  <c r="BO83" i="28"/>
  <c r="BO85" i="28"/>
  <c r="BO87" i="28"/>
  <c r="BO90" i="28"/>
  <c r="BO91" i="28"/>
  <c r="BO93" i="28"/>
  <c r="BO101" i="28"/>
  <c r="BO103" i="28"/>
  <c r="BO105" i="28"/>
  <c r="BO112" i="28"/>
  <c r="BO113" i="28"/>
  <c r="BO117" i="28"/>
  <c r="BO121" i="28"/>
  <c r="BO520" i="28"/>
  <c r="BO553" i="28"/>
  <c r="Y359" i="28"/>
  <c r="BB400" i="28"/>
  <c r="BP400" i="28"/>
  <c r="BB106" i="28"/>
  <c r="BP106" i="28"/>
  <c r="Z681" i="28"/>
  <c r="Y23" i="28"/>
  <c r="Y71" i="28"/>
  <c r="Y311" i="28"/>
  <c r="Z697" i="28"/>
  <c r="Z246" i="28"/>
  <c r="Z158" i="28"/>
  <c r="Z8" i="28"/>
  <c r="Z121" i="28"/>
  <c r="Z625" i="28"/>
  <c r="X109" i="14"/>
  <c r="O180" i="14"/>
  <c r="X206" i="14"/>
  <c r="X68" i="14"/>
  <c r="X115" i="14"/>
  <c r="X85" i="14"/>
  <c r="X37" i="14"/>
  <c r="X181" i="14"/>
  <c r="BO406" i="28"/>
  <c r="BO400" i="28"/>
  <c r="BO399" i="28"/>
  <c r="BO396" i="28"/>
  <c r="BO401" i="28"/>
  <c r="BO410" i="28"/>
  <c r="BO408" i="28"/>
  <c r="BO417" i="28"/>
  <c r="BO416" i="28"/>
  <c r="BO334" i="28"/>
  <c r="X6" i="14"/>
  <c r="X185" i="14"/>
  <c r="X101" i="14"/>
  <c r="X178" i="14"/>
  <c r="X84" i="14"/>
  <c r="X33" i="14"/>
  <c r="BO398" i="28"/>
  <c r="BO325" i="28"/>
  <c r="X163" i="14"/>
  <c r="X71" i="14"/>
  <c r="X131" i="14"/>
  <c r="BO280" i="28"/>
  <c r="BO397" i="28"/>
  <c r="BO403" i="28"/>
  <c r="X45" i="14"/>
  <c r="X12" i="14"/>
  <c r="X97" i="14"/>
  <c r="X129" i="14"/>
  <c r="X9" i="14"/>
  <c r="X103" i="14"/>
  <c r="X124" i="14"/>
  <c r="BP54" i="28"/>
  <c r="X174" i="14"/>
  <c r="X47" i="14"/>
  <c r="BO321" i="28"/>
  <c r="BO409" i="28"/>
  <c r="BO338" i="28"/>
  <c r="BO391" i="28"/>
  <c r="BO395" i="28"/>
  <c r="BO357" i="28"/>
  <c r="BO327" i="28"/>
  <c r="X210" i="14"/>
  <c r="X46" i="14"/>
  <c r="X182" i="14"/>
  <c r="X49" i="14"/>
  <c r="X38" i="14"/>
  <c r="X43" i="14"/>
  <c r="X190" i="14"/>
  <c r="X165" i="14"/>
  <c r="X114" i="14"/>
  <c r="X183" i="14"/>
  <c r="X52" i="14"/>
  <c r="X208" i="14"/>
  <c r="X2" i="14"/>
  <c r="BO415" i="28"/>
  <c r="BO393" i="28"/>
  <c r="BO323" i="28"/>
  <c r="BP48" i="28"/>
  <c r="BB48" i="28"/>
  <c r="BP96" i="28"/>
  <c r="BP38" i="28"/>
  <c r="BB38" i="28"/>
  <c r="BP576" i="28"/>
  <c r="BB576" i="28"/>
  <c r="BO414" i="28"/>
  <c r="BO413" i="28"/>
  <c r="BO404" i="28"/>
  <c r="BO329" i="28"/>
  <c r="BO336" i="28"/>
  <c r="BO418" i="28"/>
  <c r="BO405" i="28"/>
  <c r="X186" i="14"/>
  <c r="X18" i="14"/>
  <c r="X104" i="14"/>
  <c r="X28" i="14"/>
  <c r="X126" i="14"/>
  <c r="X159" i="14"/>
  <c r="X143" i="14"/>
  <c r="X111" i="14"/>
  <c r="X106" i="14"/>
  <c r="X188" i="14"/>
  <c r="X142" i="14"/>
  <c r="X60" i="14"/>
  <c r="X167" i="14"/>
  <c r="X128" i="14"/>
  <c r="X54" i="14"/>
  <c r="X192" i="14"/>
  <c r="X121" i="14"/>
  <c r="X119" i="14"/>
  <c r="X51" i="14"/>
  <c r="X53" i="14"/>
  <c r="BO392" i="28"/>
  <c r="BO402" i="28"/>
  <c r="BO331" i="28"/>
  <c r="BO394" i="28"/>
  <c r="BO412" i="28"/>
  <c r="BO407" i="28"/>
  <c r="BO340" i="28"/>
  <c r="X5" i="14"/>
  <c r="BO411" i="28"/>
  <c r="X127" i="14"/>
  <c r="X160" i="14"/>
  <c r="X203" i="14"/>
  <c r="X95" i="14"/>
  <c r="X204" i="14"/>
  <c r="O90" i="14"/>
  <c r="Z110" i="28"/>
  <c r="O63" i="14"/>
  <c r="BB334" i="28" l="1"/>
  <c r="BP618" i="28"/>
  <c r="BB136" i="28"/>
  <c r="AH344" i="14"/>
  <c r="AV344" i="14" s="1"/>
  <c r="AF342" i="14"/>
  <c r="AH342" i="14" s="1"/>
  <c r="AV342" i="14" s="1"/>
  <c r="W114" i="14"/>
  <c r="W345" i="14"/>
  <c r="W322" i="14"/>
  <c r="W344" i="14"/>
  <c r="AH343" i="14"/>
  <c r="AV343" i="14" s="1"/>
  <c r="W32" i="14"/>
  <c r="W343" i="14"/>
  <c r="W166" i="14"/>
  <c r="W342" i="14"/>
  <c r="W51" i="14"/>
  <c r="W339" i="14"/>
  <c r="P232" i="18"/>
  <c r="Z339" i="14"/>
  <c r="AG339" i="14" s="1"/>
  <c r="AH339" i="14" s="1"/>
  <c r="AV339" i="14" s="1"/>
  <c r="Y437" i="28"/>
  <c r="AF337" i="14"/>
  <c r="W20" i="14"/>
  <c r="W337" i="14"/>
  <c r="Z437" i="28"/>
  <c r="Z337" i="14"/>
  <c r="AG337" i="14" s="1"/>
  <c r="Z208" i="14"/>
  <c r="AG208" i="14" s="1"/>
  <c r="Z335" i="14"/>
  <c r="AG335" i="14" s="1"/>
  <c r="AH335" i="14" s="1"/>
  <c r="AV335" i="14" s="1"/>
  <c r="W142" i="14"/>
  <c r="W324" i="14"/>
  <c r="AH323" i="14"/>
  <c r="AV323" i="14" s="1"/>
  <c r="O239" i="18"/>
  <c r="AF324" i="14"/>
  <c r="AH324" i="14" s="1"/>
  <c r="AV324" i="14" s="1"/>
  <c r="W59" i="14"/>
  <c r="W323" i="14"/>
  <c r="O219" i="18"/>
  <c r="AF322" i="14"/>
  <c r="Z450" i="28"/>
  <c r="Z322" i="14"/>
  <c r="AG322" i="14" s="1"/>
  <c r="AH321" i="14"/>
  <c r="AV321" i="14" s="1"/>
  <c r="W30" i="14"/>
  <c r="W321" i="14"/>
  <c r="P214" i="18"/>
  <c r="Z319" i="14"/>
  <c r="AG319" i="14" s="1"/>
  <c r="AH319" i="14" s="1"/>
  <c r="AV319" i="14" s="1"/>
  <c r="W40" i="14"/>
  <c r="W319" i="14"/>
  <c r="Z434" i="28"/>
  <c r="P245" i="18"/>
  <c r="P256" i="18"/>
  <c r="Y462" i="28"/>
  <c r="P218" i="18"/>
  <c r="AU48" i="7"/>
  <c r="BO48" i="7" s="1"/>
  <c r="V45" i="14" s="1"/>
  <c r="P228" i="18"/>
  <c r="P250" i="18"/>
  <c r="P241" i="18"/>
  <c r="AU84" i="7"/>
  <c r="BO84" i="7" s="1"/>
  <c r="V81" i="14" s="1"/>
  <c r="AH293" i="14"/>
  <c r="W73" i="14"/>
  <c r="W293" i="14"/>
  <c r="P219" i="18"/>
  <c r="AH275" i="14"/>
  <c r="BH132" i="7"/>
  <c r="Y439" i="28"/>
  <c r="AU25" i="7"/>
  <c r="Q250" i="18" s="1"/>
  <c r="S250" i="18" s="1"/>
  <c r="Z457" i="28"/>
  <c r="P282" i="18"/>
  <c r="AP116" i="7"/>
  <c r="CU117" i="7"/>
  <c r="CR117" i="7"/>
  <c r="CO117" i="7"/>
  <c r="CL117" i="7"/>
  <c r="BT117" i="7"/>
  <c r="BP117" i="7"/>
  <c r="CS117" i="7"/>
  <c r="CP117" i="7"/>
  <c r="CM117" i="7"/>
  <c r="CJ117" i="7"/>
  <c r="BQ117" i="7"/>
  <c r="CT117" i="7"/>
  <c r="CQ117" i="7"/>
  <c r="CN117" i="7"/>
  <c r="CK117" i="7"/>
  <c r="BR117" i="7"/>
  <c r="BN117" i="7"/>
  <c r="CU116" i="7"/>
  <c r="CR116" i="7"/>
  <c r="CO116" i="7"/>
  <c r="CL116" i="7"/>
  <c r="BT116" i="7"/>
  <c r="X320" i="14" s="1"/>
  <c r="BP116" i="7"/>
  <c r="W320" i="14" s="1"/>
  <c r="CS116" i="7"/>
  <c r="CP116" i="7"/>
  <c r="CM116" i="7"/>
  <c r="CJ116" i="7"/>
  <c r="BQ116" i="7"/>
  <c r="CT116" i="7"/>
  <c r="CQ116" i="7"/>
  <c r="CN116" i="7"/>
  <c r="CK116" i="7"/>
  <c r="BR116" i="7"/>
  <c r="BN116" i="7"/>
  <c r="U320" i="14" s="1"/>
  <c r="AA470" i="28"/>
  <c r="AP470" i="28" s="1"/>
  <c r="BO56" i="7"/>
  <c r="V53" i="14" s="1"/>
  <c r="BU56" i="7"/>
  <c r="CV96" i="7"/>
  <c r="CW96" i="7" s="1"/>
  <c r="X164" i="14"/>
  <c r="X25" i="14"/>
  <c r="X19" i="14"/>
  <c r="X108" i="14"/>
  <c r="X184" i="14"/>
  <c r="T245" i="18"/>
  <c r="T248" i="18"/>
  <c r="T240" i="18"/>
  <c r="BI132" i="7"/>
  <c r="AH72" i="19" s="1"/>
  <c r="AJ72" i="19" s="1"/>
  <c r="X266" i="14"/>
  <c r="AH277" i="14"/>
  <c r="AV277" i="14" s="1"/>
  <c r="AH274" i="14"/>
  <c r="T267" i="18"/>
  <c r="X277" i="14"/>
  <c r="W76" i="14"/>
  <c r="W277" i="14"/>
  <c r="AH276" i="14"/>
  <c r="W191" i="14"/>
  <c r="W276" i="14"/>
  <c r="W27" i="14"/>
  <c r="W275" i="14"/>
  <c r="X27" i="14"/>
  <c r="X275" i="14"/>
  <c r="X61" i="14"/>
  <c r="X274" i="14"/>
  <c r="W61" i="14"/>
  <c r="W274" i="14"/>
  <c r="AH273" i="14"/>
  <c r="W239" i="14"/>
  <c r="W273" i="14"/>
  <c r="Y475" i="28"/>
  <c r="Y214" i="14"/>
  <c r="AF214" i="14" s="1"/>
  <c r="AF272" i="14"/>
  <c r="AH272" i="14" s="1"/>
  <c r="W130" i="14"/>
  <c r="W272" i="14"/>
  <c r="Y262" i="14"/>
  <c r="AF262" i="14" s="1"/>
  <c r="AF271" i="14"/>
  <c r="X262" i="14"/>
  <c r="X271" i="14"/>
  <c r="W262" i="14"/>
  <c r="W271" i="14"/>
  <c r="Z262" i="14"/>
  <c r="AG262" i="14" s="1"/>
  <c r="Z271" i="14"/>
  <c r="AG271" i="14" s="1"/>
  <c r="Y735" i="28"/>
  <c r="AF270" i="14"/>
  <c r="Z735" i="28"/>
  <c r="Z270" i="14"/>
  <c r="AG270" i="14" s="1"/>
  <c r="X112" i="14"/>
  <c r="X270" i="14"/>
  <c r="Y425" i="28"/>
  <c r="AF269" i="14"/>
  <c r="W8" i="14"/>
  <c r="W269" i="14"/>
  <c r="Z425" i="28"/>
  <c r="Z269" i="14"/>
  <c r="AG269" i="14" s="1"/>
  <c r="W122" i="14"/>
  <c r="W268" i="14"/>
  <c r="Y424" i="28"/>
  <c r="AF268" i="14"/>
  <c r="Z424" i="28"/>
  <c r="Z268" i="14"/>
  <c r="AG268" i="14" s="1"/>
  <c r="Z423" i="28"/>
  <c r="Z267" i="14"/>
  <c r="AG267" i="14" s="1"/>
  <c r="W101" i="14"/>
  <c r="W267" i="14"/>
  <c r="Y423" i="28"/>
  <c r="AF267" i="14"/>
  <c r="Z419" i="28"/>
  <c r="Z266" i="14"/>
  <c r="AG266" i="14" s="1"/>
  <c r="W99" i="14"/>
  <c r="W266" i="14"/>
  <c r="Y419" i="28"/>
  <c r="AF266" i="14"/>
  <c r="AH263" i="14"/>
  <c r="AV263" i="14" s="1"/>
  <c r="W67" i="14"/>
  <c r="W263" i="14"/>
  <c r="Z33" i="28"/>
  <c r="Y99" i="28"/>
  <c r="Z537" i="28"/>
  <c r="Y39" i="28"/>
  <c r="Y38" i="28"/>
  <c r="Y567" i="28"/>
  <c r="Z469" i="28"/>
  <c r="Y640" i="28"/>
  <c r="Z573" i="28"/>
  <c r="Y183" i="28"/>
  <c r="AA144" i="28"/>
  <c r="BA144" i="28" s="1"/>
  <c r="Y112" i="28"/>
  <c r="Y62" i="28"/>
  <c r="Y135" i="28"/>
  <c r="AU75" i="7"/>
  <c r="BW75" i="7" s="1"/>
  <c r="BV75" i="7" s="1"/>
  <c r="AQ116" i="7"/>
  <c r="BS116" i="7"/>
  <c r="AO116" i="7"/>
  <c r="Y474" i="28"/>
  <c r="O282" i="18"/>
  <c r="Z431" i="28"/>
  <c r="P265" i="18"/>
  <c r="Y433" i="28"/>
  <c r="O217" i="18"/>
  <c r="Y476" i="28"/>
  <c r="O257" i="18"/>
  <c r="Y434" i="28"/>
  <c r="O222" i="18"/>
  <c r="Y497" i="28"/>
  <c r="O244" i="18"/>
  <c r="Z490" i="28"/>
  <c r="P233" i="18"/>
  <c r="Z477" i="28"/>
  <c r="P239" i="18"/>
  <c r="BW48" i="7"/>
  <c r="BV48" i="7" s="1"/>
  <c r="Y207" i="14"/>
  <c r="AF207" i="14" s="1"/>
  <c r="O267" i="18"/>
  <c r="Y488" i="28"/>
  <c r="O243" i="18"/>
  <c r="Z488" i="28"/>
  <c r="P243" i="18"/>
  <c r="Z483" i="28"/>
  <c r="P216" i="18"/>
  <c r="Z463" i="28"/>
  <c r="P237" i="18"/>
  <c r="Z473" i="28"/>
  <c r="P281" i="18"/>
  <c r="Z211" i="14"/>
  <c r="AG211" i="14" s="1"/>
  <c r="P240" i="18"/>
  <c r="AF239" i="14"/>
  <c r="O242" i="18"/>
  <c r="Z432" i="28"/>
  <c r="P275" i="18"/>
  <c r="Y463" i="28"/>
  <c r="O237" i="18"/>
  <c r="Y490" i="28"/>
  <c r="O233" i="18"/>
  <c r="Y473" i="28"/>
  <c r="O281" i="18"/>
  <c r="Z215" i="14"/>
  <c r="AG215" i="14" s="1"/>
  <c r="P229" i="18"/>
  <c r="Z475" i="28"/>
  <c r="P238" i="18"/>
  <c r="Z493" i="28"/>
  <c r="P267" i="18"/>
  <c r="Y432" i="28"/>
  <c r="O275" i="18"/>
  <c r="Z485" i="28"/>
  <c r="P264" i="18"/>
  <c r="Y431" i="28"/>
  <c r="O265" i="18"/>
  <c r="Y483" i="28"/>
  <c r="O216" i="18"/>
  <c r="AU72" i="7"/>
  <c r="BJ72" i="7" s="1"/>
  <c r="O241" i="18"/>
  <c r="Y215" i="14"/>
  <c r="AF215" i="14" s="1"/>
  <c r="O229" i="18"/>
  <c r="Y485" i="28"/>
  <c r="O264" i="18"/>
  <c r="Z476" i="28"/>
  <c r="P257" i="18"/>
  <c r="Z239" i="14"/>
  <c r="AG239" i="14" s="1"/>
  <c r="AH239" i="14" s="1"/>
  <c r="AV239" i="14" s="1"/>
  <c r="P242" i="18"/>
  <c r="Z433" i="28"/>
  <c r="P217" i="18"/>
  <c r="AU78" i="7"/>
  <c r="O235" i="18"/>
  <c r="Z497" i="28"/>
  <c r="P244" i="18"/>
  <c r="Y484" i="28"/>
  <c r="O240" i="18"/>
  <c r="Z492" i="28"/>
  <c r="P235" i="18"/>
  <c r="Y737" i="28"/>
  <c r="O253" i="18"/>
  <c r="Z736" i="28"/>
  <c r="P251" i="18"/>
  <c r="Z738" i="28"/>
  <c r="P248" i="18"/>
  <c r="Z737" i="28"/>
  <c r="P253" i="18"/>
  <c r="Y736" i="28"/>
  <c r="O251" i="18"/>
  <c r="Y494" i="28"/>
  <c r="O256" i="18"/>
  <c r="Y491" i="28"/>
  <c r="O234" i="18"/>
  <c r="Z491" i="28"/>
  <c r="P234" i="18"/>
  <c r="Y478" i="28"/>
  <c r="O258" i="18"/>
  <c r="Z478" i="28"/>
  <c r="P258" i="18"/>
  <c r="Z466" i="28"/>
  <c r="P231" i="18"/>
  <c r="Y466" i="28"/>
  <c r="O231" i="18"/>
  <c r="Z467" i="28"/>
  <c r="P255" i="18"/>
  <c r="Y469" i="28"/>
  <c r="O221" i="18"/>
  <c r="Z465" i="28"/>
  <c r="P230" i="18"/>
  <c r="Y467" i="28"/>
  <c r="O255" i="18"/>
  <c r="Y465" i="28"/>
  <c r="O230" i="18"/>
  <c r="Y468" i="28"/>
  <c r="O232" i="18"/>
  <c r="Y449" i="28"/>
  <c r="O227" i="18"/>
  <c r="Z451" i="28"/>
  <c r="P220" i="18"/>
  <c r="Y459" i="28"/>
  <c r="O246" i="18"/>
  <c r="AU32" i="7"/>
  <c r="AA446" i="28" s="1"/>
  <c r="BA446" i="28" s="1"/>
  <c r="O224" i="18"/>
  <c r="Z460" i="28"/>
  <c r="P247" i="18"/>
  <c r="AU44" i="7"/>
  <c r="BJ44" i="7" s="1"/>
  <c r="O245" i="18"/>
  <c r="Y457" i="28"/>
  <c r="O214" i="18"/>
  <c r="Z447" i="28"/>
  <c r="P225" i="18"/>
  <c r="Y460" i="28"/>
  <c r="O247" i="18"/>
  <c r="Z459" i="28"/>
  <c r="P246" i="18"/>
  <c r="Z449" i="28"/>
  <c r="P227" i="18"/>
  <c r="Y447" i="28"/>
  <c r="O225" i="18"/>
  <c r="Z448" i="28"/>
  <c r="P226" i="18"/>
  <c r="Y451" i="28"/>
  <c r="O220" i="18"/>
  <c r="Y444" i="28"/>
  <c r="O215" i="18"/>
  <c r="Z444" i="28"/>
  <c r="P215" i="18"/>
  <c r="Y442" i="28"/>
  <c r="O236" i="18"/>
  <c r="Z442" i="28"/>
  <c r="P236" i="18"/>
  <c r="Z440" i="28"/>
  <c r="P249" i="18"/>
  <c r="Y440" i="28"/>
  <c r="O249" i="18"/>
  <c r="AU24" i="7"/>
  <c r="AA438" i="28" s="1"/>
  <c r="AP438" i="28" s="1"/>
  <c r="O218" i="18"/>
  <c r="Y436" i="28"/>
  <c r="O223" i="18"/>
  <c r="Z436" i="28"/>
  <c r="P223" i="18"/>
  <c r="X4" i="14"/>
  <c r="X77" i="14"/>
  <c r="Y745" i="28"/>
  <c r="O252" i="18"/>
  <c r="T230" i="18"/>
  <c r="T258" i="18"/>
  <c r="T237" i="18"/>
  <c r="T275" i="18"/>
  <c r="T227" i="18"/>
  <c r="T243" i="18"/>
  <c r="T250" i="18"/>
  <c r="T247" i="18"/>
  <c r="T217" i="18"/>
  <c r="T257" i="18"/>
  <c r="T253" i="18"/>
  <c r="T231" i="18"/>
  <c r="T256" i="18"/>
  <c r="T255" i="18"/>
  <c r="T236" i="18"/>
  <c r="T228" i="18"/>
  <c r="T224" i="18"/>
  <c r="T252" i="18"/>
  <c r="T221" i="18"/>
  <c r="T225" i="18"/>
  <c r="T241" i="18"/>
  <c r="X76" i="14"/>
  <c r="X214" i="14"/>
  <c r="T226" i="18"/>
  <c r="X36" i="14"/>
  <c r="T220" i="18"/>
  <c r="X35" i="14"/>
  <c r="T219" i="18"/>
  <c r="X69" i="14"/>
  <c r="T232" i="18"/>
  <c r="X21" i="14"/>
  <c r="T223" i="18"/>
  <c r="X146" i="14"/>
  <c r="T234" i="18"/>
  <c r="X91" i="14"/>
  <c r="T251" i="18"/>
  <c r="X90" i="14"/>
  <c r="T249" i="18"/>
  <c r="X16" i="14"/>
  <c r="T222" i="18"/>
  <c r="X75" i="14"/>
  <c r="T218" i="18"/>
  <c r="X23" i="14"/>
  <c r="T238" i="18"/>
  <c r="X239" i="14"/>
  <c r="T233" i="18"/>
  <c r="X105" i="14"/>
  <c r="T239" i="18"/>
  <c r="X57" i="14"/>
  <c r="X94" i="14"/>
  <c r="X41" i="14"/>
  <c r="T235" i="18"/>
  <c r="X15" i="14"/>
  <c r="T282" i="18"/>
  <c r="X14" i="14"/>
  <c r="X73" i="14"/>
  <c r="T216" i="18"/>
  <c r="X58" i="14"/>
  <c r="T229" i="18"/>
  <c r="X113" i="14"/>
  <c r="T242" i="18"/>
  <c r="X216" i="14"/>
  <c r="T215" i="18"/>
  <c r="X39" i="14"/>
  <c r="T214" i="18"/>
  <c r="X116" i="14"/>
  <c r="X207" i="14"/>
  <c r="X66" i="14"/>
  <c r="X130" i="14"/>
  <c r="X132" i="14"/>
  <c r="BN786" i="28"/>
  <c r="BH786" i="28"/>
  <c r="BK786" i="28"/>
  <c r="BE786" i="28"/>
  <c r="BF786" i="28"/>
  <c r="BL786" i="28"/>
  <c r="BG786" i="28"/>
  <c r="BJ786" i="28"/>
  <c r="A787" i="28"/>
  <c r="BI786" i="28"/>
  <c r="AY786" i="28"/>
  <c r="BC786" i="28"/>
  <c r="BD786" i="28"/>
  <c r="BM786" i="28"/>
  <c r="AV786" i="28"/>
  <c r="Y50" i="28"/>
  <c r="AA216" i="28"/>
  <c r="AU216" i="28" s="1"/>
  <c r="Z504" i="28"/>
  <c r="AR116" i="7"/>
  <c r="Y445" i="28"/>
  <c r="Z125" i="28"/>
  <c r="AA702" i="28"/>
  <c r="Z206" i="14"/>
  <c r="AG206" i="14" s="1"/>
  <c r="W212" i="14"/>
  <c r="X70" i="14"/>
  <c r="Z212" i="14"/>
  <c r="AG212" i="14" s="1"/>
  <c r="Y487" i="28"/>
  <c r="W238" i="14"/>
  <c r="Z249" i="28"/>
  <c r="Z238" i="14"/>
  <c r="AG238" i="14" s="1"/>
  <c r="Y249" i="28"/>
  <c r="AF238" i="14"/>
  <c r="X238" i="14"/>
  <c r="Y16" i="28"/>
  <c r="Y216" i="28"/>
  <c r="Y195" i="28"/>
  <c r="Y708" i="28"/>
  <c r="AA174" i="28"/>
  <c r="BA174" i="28" s="1"/>
  <c r="BO318" i="28"/>
  <c r="Y143" i="28"/>
  <c r="Z184" i="28"/>
  <c r="Y156" i="28"/>
  <c r="Y43" i="28"/>
  <c r="Y11" i="28"/>
  <c r="Y86" i="28"/>
  <c r="Z336" i="28"/>
  <c r="Z132" i="28"/>
  <c r="Y395" i="28"/>
  <c r="Z120" i="28"/>
  <c r="AU88" i="7"/>
  <c r="BW88" i="7" s="1"/>
  <c r="BV88" i="7" s="1"/>
  <c r="Y744" i="28"/>
  <c r="Y489" i="28"/>
  <c r="AA41" i="28"/>
  <c r="AU55" i="7"/>
  <c r="AA7" i="28"/>
  <c r="AP7" i="28" s="1"/>
  <c r="Y204" i="28"/>
  <c r="Y540" i="28"/>
  <c r="Y508" i="28"/>
  <c r="Y239" i="28"/>
  <c r="AA760" i="28"/>
  <c r="AU59" i="7"/>
  <c r="BW59" i="7" s="1"/>
  <c r="BV59" i="7" s="1"/>
  <c r="Y146" i="28"/>
  <c r="Z496" i="28"/>
  <c r="Z487" i="28"/>
  <c r="AA9" i="28"/>
  <c r="AU9" i="28" s="1"/>
  <c r="AU69" i="7"/>
  <c r="BW69" i="7" s="1"/>
  <c r="BV69" i="7" s="1"/>
  <c r="Y396" i="28"/>
  <c r="Y123" i="28"/>
  <c r="Y684" i="28"/>
  <c r="Y220" i="28"/>
  <c r="Y212" i="14"/>
  <c r="AF212" i="14" s="1"/>
  <c r="Y399" i="28"/>
  <c r="Y134" i="28"/>
  <c r="BO307" i="28"/>
  <c r="Z484" i="28"/>
  <c r="Y21" i="28"/>
  <c r="AU18" i="7"/>
  <c r="BW18" i="7" s="1"/>
  <c r="BV18" i="7" s="1"/>
  <c r="BO219" i="28"/>
  <c r="BO294" i="28"/>
  <c r="AA91" i="28"/>
  <c r="BA91" i="28" s="1"/>
  <c r="Y518" i="28"/>
  <c r="AU8" i="7"/>
  <c r="BJ8" i="7" s="1"/>
  <c r="Y180" i="28"/>
  <c r="Y330" i="28"/>
  <c r="AU37" i="7"/>
  <c r="BJ37" i="7" s="1"/>
  <c r="AU13" i="7"/>
  <c r="BW13" i="7" s="1"/>
  <c r="BV13" i="7" s="1"/>
  <c r="Y400" i="28"/>
  <c r="Y65" i="28"/>
  <c r="AA280" i="28"/>
  <c r="Z400" i="28"/>
  <c r="AA385" i="28"/>
  <c r="Y732" i="28"/>
  <c r="AU30" i="7"/>
  <c r="AA444" i="28" s="1"/>
  <c r="AU73" i="7"/>
  <c r="AA212" i="14" s="1"/>
  <c r="Z393" i="28"/>
  <c r="AU10" i="7"/>
  <c r="BW10" i="7" s="1"/>
  <c r="BV10" i="7" s="1"/>
  <c r="Z321" i="28"/>
  <c r="Y9" i="28"/>
  <c r="Y281" i="28"/>
  <c r="Z210" i="14"/>
  <c r="AG210" i="14" s="1"/>
  <c r="AA195" i="28"/>
  <c r="AU195" i="28" s="1"/>
  <c r="Y201" i="28"/>
  <c r="BP568" i="28"/>
  <c r="W132" i="14"/>
  <c r="W174" i="14"/>
  <c r="W207" i="14"/>
  <c r="Y28" i="28"/>
  <c r="Y383" i="28"/>
  <c r="AA229" i="28"/>
  <c r="BA229" i="28" s="1"/>
  <c r="Y729" i="28"/>
  <c r="Y182" i="28"/>
  <c r="AA121" i="28"/>
  <c r="Y316" i="28"/>
  <c r="Y255" i="28"/>
  <c r="AA414" i="28"/>
  <c r="Y351" i="28"/>
  <c r="Z531" i="28"/>
  <c r="Y566" i="28"/>
  <c r="Y121" i="28"/>
  <c r="Y515" i="28"/>
  <c r="AA600" i="28"/>
  <c r="AP600" i="28" s="1"/>
  <c r="AA73" i="28"/>
  <c r="BA73" i="28" s="1"/>
  <c r="AA676" i="28"/>
  <c r="BA676" i="28" s="1"/>
  <c r="Z528" i="28"/>
  <c r="Y723" i="28"/>
  <c r="Y245" i="28"/>
  <c r="Y127" i="28"/>
  <c r="Y31" i="28"/>
  <c r="Y107" i="28"/>
  <c r="Y733" i="28"/>
  <c r="Y568" i="28"/>
  <c r="Y720" i="28"/>
  <c r="Z139" i="28"/>
  <c r="AU91" i="7"/>
  <c r="BJ91" i="7" s="1"/>
  <c r="AU6" i="7"/>
  <c r="BW6" i="7" s="1"/>
  <c r="BV6" i="7" s="1"/>
  <c r="AU43" i="7"/>
  <c r="W107" i="14"/>
  <c r="W165" i="14"/>
  <c r="W34" i="14"/>
  <c r="BP139" i="28"/>
  <c r="BO234" i="28"/>
  <c r="BP516" i="28"/>
  <c r="W186" i="14"/>
  <c r="AA45" i="28"/>
  <c r="W3" i="14"/>
  <c r="W100" i="14"/>
  <c r="BO269" i="28"/>
  <c r="BB785" i="28"/>
  <c r="BO453" i="28"/>
  <c r="AX32" i="28"/>
  <c r="W125" i="14"/>
  <c r="W24" i="14"/>
  <c r="W111" i="14"/>
  <c r="BO436" i="28"/>
  <c r="BO271" i="28"/>
  <c r="BO192" i="28"/>
  <c r="BP613" i="28"/>
  <c r="BO386" i="28"/>
  <c r="W72" i="14"/>
  <c r="BO228" i="28"/>
  <c r="BB11" i="28"/>
  <c r="BO671" i="28"/>
  <c r="BO424" i="28"/>
  <c r="AO117" i="7"/>
  <c r="AP117" i="7"/>
  <c r="AR117" i="7"/>
  <c r="AQ117" i="7"/>
  <c r="BS117" i="7"/>
  <c r="W145" i="14"/>
  <c r="BB120" i="28"/>
  <c r="BO653" i="28"/>
  <c r="Y666" i="28"/>
  <c r="W66" i="14"/>
  <c r="BO290" i="28"/>
  <c r="BO749" i="28"/>
  <c r="W214" i="14"/>
  <c r="BP744" i="28"/>
  <c r="AX409" i="28"/>
  <c r="AU49" i="7"/>
  <c r="Y522" i="28"/>
  <c r="W131" i="14"/>
  <c r="W143" i="14"/>
  <c r="W60" i="14"/>
  <c r="Y746" i="28"/>
  <c r="AA319" i="28"/>
  <c r="AP319" i="28" s="1"/>
  <c r="Z394" i="28"/>
  <c r="AX54" i="28"/>
  <c r="AX9" i="28"/>
  <c r="AX29" i="28"/>
  <c r="AX35" i="28"/>
  <c r="Y390" i="28"/>
  <c r="AA67" i="28"/>
  <c r="AP67" i="28" s="1"/>
  <c r="Z571" i="28"/>
  <c r="AA97" i="28"/>
  <c r="Y464" i="28"/>
  <c r="AA30" i="28"/>
  <c r="AP30" i="28" s="1"/>
  <c r="Z165" i="28"/>
  <c r="AX18" i="28"/>
  <c r="AX412" i="28"/>
  <c r="BO264" i="28"/>
  <c r="BO283" i="28"/>
  <c r="BO237" i="28"/>
  <c r="AX140" i="28"/>
  <c r="AX584" i="28"/>
  <c r="BO230" i="28"/>
  <c r="BO246" i="28"/>
  <c r="BO750" i="28"/>
  <c r="BO243" i="28"/>
  <c r="BO162" i="28"/>
  <c r="BO326" i="28"/>
  <c r="BO640" i="28"/>
  <c r="BO635" i="28"/>
  <c r="AX38" i="28"/>
  <c r="AX591" i="28"/>
  <c r="AX526" i="28"/>
  <c r="AX411" i="28"/>
  <c r="AV541" i="28"/>
  <c r="AX60" i="28"/>
  <c r="AX62" i="28"/>
  <c r="AU94" i="7"/>
  <c r="BW94" i="7" s="1"/>
  <c r="BV94" i="7" s="1"/>
  <c r="AA106" i="28"/>
  <c r="AU106" i="28" s="1"/>
  <c r="AA250" i="28"/>
  <c r="AU250" i="28" s="1"/>
  <c r="BO160" i="28"/>
  <c r="BO188" i="28"/>
  <c r="BO659" i="28"/>
  <c r="BO769" i="28"/>
  <c r="AX398" i="28"/>
  <c r="AX66" i="28"/>
  <c r="BO373" i="28"/>
  <c r="BO221" i="28"/>
  <c r="BO335" i="28"/>
  <c r="AX86" i="28"/>
  <c r="AX11" i="28"/>
  <c r="AX27" i="28"/>
  <c r="AX515" i="28"/>
  <c r="BB216" i="28"/>
  <c r="AX548" i="28"/>
  <c r="AX98" i="28"/>
  <c r="AX561" i="28"/>
  <c r="AX557" i="28"/>
  <c r="AX44" i="28"/>
  <c r="AX90" i="28"/>
  <c r="AX604" i="28"/>
  <c r="AX138" i="28"/>
  <c r="AX23" i="28"/>
  <c r="AX72" i="28"/>
  <c r="BO382" i="28"/>
  <c r="BO451" i="28"/>
  <c r="BO668" i="28"/>
  <c r="BO157" i="28"/>
  <c r="BO204" i="28"/>
  <c r="BO490" i="28"/>
  <c r="BO279" i="28"/>
  <c r="BO448" i="28"/>
  <c r="BO277" i="28"/>
  <c r="BO289" i="28"/>
  <c r="BO774" i="28"/>
  <c r="BO636" i="28"/>
  <c r="BO213" i="28"/>
  <c r="BO267" i="28"/>
  <c r="BO385" i="28"/>
  <c r="BO691" i="28"/>
  <c r="BO740" i="28"/>
  <c r="BO387" i="28"/>
  <c r="BO641" i="28"/>
  <c r="BO258" i="28"/>
  <c r="BO469" i="28"/>
  <c r="BO692" i="28"/>
  <c r="BO482" i="28"/>
  <c r="BO689" i="28"/>
  <c r="BO681" i="28"/>
  <c r="BO189" i="28"/>
  <c r="BO261" i="28"/>
  <c r="BO263" i="28"/>
  <c r="BO273" i="28"/>
  <c r="BO443" i="28"/>
  <c r="BO342" i="28"/>
  <c r="BO633" i="28"/>
  <c r="BO425" i="28"/>
  <c r="BO663" i="28"/>
  <c r="BO758" i="28"/>
  <c r="BO488" i="28"/>
  <c r="BO352" i="28"/>
  <c r="BO492" i="28"/>
  <c r="BO637" i="28"/>
  <c r="BO738" i="28"/>
  <c r="BO350" i="28"/>
  <c r="BO370" i="28"/>
  <c r="BO708" i="28"/>
  <c r="BO767" i="28"/>
  <c r="BO438" i="28"/>
  <c r="BO486" i="28"/>
  <c r="BO782" i="28"/>
  <c r="BO500" i="28"/>
  <c r="BO440" i="28"/>
  <c r="W53" i="14"/>
  <c r="AX546" i="28"/>
  <c r="BO759" i="28"/>
  <c r="BO654" i="28"/>
  <c r="BO778" i="28"/>
  <c r="BO377" i="28"/>
  <c r="BO783" i="28"/>
  <c r="AX16" i="28"/>
  <c r="AX581" i="28"/>
  <c r="AX730" i="28"/>
  <c r="BP218" i="28"/>
  <c r="W104" i="14"/>
  <c r="BP363" i="28"/>
  <c r="W105" i="14"/>
  <c r="BB200" i="28"/>
  <c r="BO694" i="28"/>
  <c r="BO251" i="28"/>
  <c r="BO242" i="28"/>
  <c r="BO286" i="28"/>
  <c r="BO316" i="28"/>
  <c r="BO376" i="28"/>
  <c r="BO716" i="28"/>
  <c r="BO433" i="28"/>
  <c r="BO166" i="28"/>
  <c r="BO249" i="28"/>
  <c r="BO501" i="28"/>
  <c r="BO445" i="28"/>
  <c r="BO773" i="28"/>
  <c r="BO643" i="28"/>
  <c r="W110" i="14"/>
  <c r="W162" i="14"/>
  <c r="BO645" i="28"/>
  <c r="BO175" i="28"/>
  <c r="BO254" i="28"/>
  <c r="BO675" i="28"/>
  <c r="BO757" i="28"/>
  <c r="BO210" i="28"/>
  <c r="BO196" i="28"/>
  <c r="BO676" i="28"/>
  <c r="BO502" i="28"/>
  <c r="BO276" i="28"/>
  <c r="BO700" i="28"/>
  <c r="BO259" i="28"/>
  <c r="BO760" i="28"/>
  <c r="BO184" i="28"/>
  <c r="BO310" i="28"/>
  <c r="BO224" i="28"/>
  <c r="BO665" i="28"/>
  <c r="BO333" i="28"/>
  <c r="BO753" i="28"/>
  <c r="BO244" i="28"/>
  <c r="BO311" i="28"/>
  <c r="BO662" i="28"/>
  <c r="BO650" i="28"/>
  <c r="BO372" i="28"/>
  <c r="BO646" i="28"/>
  <c r="BP248" i="28"/>
  <c r="BB485" i="28"/>
  <c r="BP270" i="28"/>
  <c r="W116" i="14"/>
  <c r="W90" i="14"/>
  <c r="W31" i="14"/>
  <c r="W43" i="14"/>
  <c r="BO460" i="28"/>
  <c r="BO688" i="28"/>
  <c r="BO454" i="28"/>
  <c r="BO225" i="28"/>
  <c r="BO360" i="28"/>
  <c r="BO371" i="28"/>
  <c r="BO452" i="28"/>
  <c r="BO278" i="28"/>
  <c r="BO426" i="28"/>
  <c r="BO282" i="28"/>
  <c r="BO685" i="28"/>
  <c r="BO649" i="28"/>
  <c r="BO223" i="28"/>
  <c r="BO309" i="28"/>
  <c r="BO167" i="28"/>
  <c r="BO690" i="28"/>
  <c r="BO341" i="28"/>
  <c r="BO715" i="28"/>
  <c r="BO158" i="28"/>
  <c r="BO194" i="28"/>
  <c r="BO477" i="28"/>
  <c r="BB645" i="28"/>
  <c r="BB647" i="28"/>
  <c r="BB212" i="28"/>
  <c r="BP773" i="28"/>
  <c r="W187" i="14"/>
  <c r="BO241" i="28"/>
  <c r="BO303" i="28"/>
  <c r="BO362" i="28"/>
  <c r="BO359" i="28"/>
  <c r="BO485" i="28"/>
  <c r="BO312" i="28"/>
  <c r="BO462" i="28"/>
  <c r="BO313" i="28"/>
  <c r="BO363" i="28"/>
  <c r="BO173" i="28"/>
  <c r="BO361" i="28"/>
  <c r="BO679" i="28"/>
  <c r="BO450" i="28"/>
  <c r="BO439" i="28"/>
  <c r="BO214" i="28"/>
  <c r="BO699" i="28"/>
  <c r="BO432" i="28"/>
  <c r="BO463" i="28"/>
  <c r="BO211" i="28"/>
  <c r="BO236" i="28"/>
  <c r="BO718" i="28"/>
  <c r="BO176" i="28"/>
  <c r="BO227" i="28"/>
  <c r="BO285" i="28"/>
  <c r="BO480" i="28"/>
  <c r="BO266" i="28"/>
  <c r="BO693" i="28"/>
  <c r="BO696" i="28"/>
  <c r="AX41" i="28"/>
  <c r="BB99" i="28"/>
  <c r="W92" i="14"/>
  <c r="W70" i="14"/>
  <c r="BO702" i="28"/>
  <c r="BO684" i="28"/>
  <c r="BB236" i="28"/>
  <c r="W28" i="14"/>
  <c r="W129" i="14"/>
  <c r="W87" i="14"/>
  <c r="BO367" i="28"/>
  <c r="BO737" i="28"/>
  <c r="BP573" i="28"/>
  <c r="BP699" i="28"/>
  <c r="BP339" i="28"/>
  <c r="W128" i="14"/>
  <c r="W185" i="14"/>
  <c r="W102" i="14"/>
  <c r="W203" i="14"/>
  <c r="W216" i="14"/>
  <c r="BB535" i="28"/>
  <c r="X74" i="14"/>
  <c r="BB19" i="28"/>
  <c r="BB67" i="28"/>
  <c r="BB59" i="28"/>
  <c r="W161" i="14"/>
  <c r="W178" i="14"/>
  <c r="W146" i="14"/>
  <c r="W7" i="14"/>
  <c r="W2" i="14"/>
  <c r="W126" i="14"/>
  <c r="BP617" i="28"/>
  <c r="BB333" i="28"/>
  <c r="BP682" i="28"/>
  <c r="BB226" i="28"/>
  <c r="BP515" i="28"/>
  <c r="BP652" i="28"/>
  <c r="BO495" i="28"/>
  <c r="BO446" i="28"/>
  <c r="BO776" i="28"/>
  <c r="BO245" i="28"/>
  <c r="AX564" i="28"/>
  <c r="BO231" i="28"/>
  <c r="BB692" i="28"/>
  <c r="BO159" i="28"/>
  <c r="BO217" i="28"/>
  <c r="BO459" i="28"/>
  <c r="BB221" i="28"/>
  <c r="BP638" i="28"/>
  <c r="BP762" i="28"/>
  <c r="BP306" i="28"/>
  <c r="BB765" i="28"/>
  <c r="BP467" i="28"/>
  <c r="BB467" i="28"/>
  <c r="BB302" i="28"/>
  <c r="BP302" i="28"/>
  <c r="BB309" i="28"/>
  <c r="BP309" i="28"/>
  <c r="BB271" i="28"/>
  <c r="BP271" i="28"/>
  <c r="BB713" i="28"/>
  <c r="BP713" i="28"/>
  <c r="BP447" i="28"/>
  <c r="BB447" i="28"/>
  <c r="BP259" i="28"/>
  <c r="BB259" i="28"/>
  <c r="BB763" i="28"/>
  <c r="BP763" i="28"/>
  <c r="BP315" i="28"/>
  <c r="BB315" i="28"/>
  <c r="BB668" i="28"/>
  <c r="BP668" i="28"/>
  <c r="BB453" i="28"/>
  <c r="BP453" i="28"/>
  <c r="BP239" i="28"/>
  <c r="BB239" i="28"/>
  <c r="BP759" i="28"/>
  <c r="BB759" i="28"/>
  <c r="BB205" i="28"/>
  <c r="BP205" i="28"/>
  <c r="BO781" i="28"/>
  <c r="BO764" i="28"/>
  <c r="BO709" i="28"/>
  <c r="W188" i="14"/>
  <c r="W23" i="14"/>
  <c r="BP107" i="28"/>
  <c r="BB107" i="28"/>
  <c r="W98" i="14"/>
  <c r="W13" i="14"/>
  <c r="W62" i="14"/>
  <c r="W184" i="14"/>
  <c r="BB605" i="28"/>
  <c r="BB587" i="28"/>
  <c r="BP587" i="28"/>
  <c r="BB660" i="28"/>
  <c r="BP660" i="28"/>
  <c r="BP659" i="28"/>
  <c r="BB659" i="28"/>
  <c r="BB187" i="28"/>
  <c r="BP187" i="28"/>
  <c r="BB215" i="28"/>
  <c r="BP215" i="28"/>
  <c r="BB338" i="28"/>
  <c r="BP338" i="28"/>
  <c r="BB413" i="28"/>
  <c r="BP413" i="28"/>
  <c r="BB182" i="28"/>
  <c r="BP182" i="28"/>
  <c r="BP477" i="28"/>
  <c r="BB477" i="28"/>
  <c r="BP297" i="28"/>
  <c r="BB297" i="28"/>
  <c r="BP421" i="28"/>
  <c r="BB421" i="28"/>
  <c r="BP753" i="28"/>
  <c r="BB753" i="28"/>
  <c r="BB767" i="28"/>
  <c r="BP767" i="28"/>
  <c r="BO202" i="28"/>
  <c r="BP43" i="28"/>
  <c r="BB43" i="28"/>
  <c r="W79" i="14"/>
  <c r="W208" i="14"/>
  <c r="W95" i="14"/>
  <c r="W112" i="14"/>
  <c r="W204" i="14"/>
  <c r="W44" i="14"/>
  <c r="W109" i="14"/>
  <c r="W160" i="14"/>
  <c r="W33" i="14"/>
  <c r="W167" i="14"/>
  <c r="BB229" i="28"/>
  <c r="BB372" i="28"/>
  <c r="BP322" i="28"/>
  <c r="BP644" i="28"/>
  <c r="BP245" i="28"/>
  <c r="BB222" i="28"/>
  <c r="BB716" i="28"/>
  <c r="BB263" i="28"/>
  <c r="BB678" i="28"/>
  <c r="BP380" i="28"/>
  <c r="BP231" i="28"/>
  <c r="BB463" i="28"/>
  <c r="BP739" i="28"/>
  <c r="BB714" i="28"/>
  <c r="BP115" i="28"/>
  <c r="BB115" i="28"/>
  <c r="BP723" i="28"/>
  <c r="BB723" i="28"/>
  <c r="BB365" i="28"/>
  <c r="BP365" i="28"/>
  <c r="BB295" i="28"/>
  <c r="BP295" i="28"/>
  <c r="BP175" i="28"/>
  <c r="BB175" i="28"/>
  <c r="BP273" i="28"/>
  <c r="BB273" i="28"/>
  <c r="BP465" i="28"/>
  <c r="BB465" i="28"/>
  <c r="BB665" i="28"/>
  <c r="BP665" i="28"/>
  <c r="BP314" i="28"/>
  <c r="BB314" i="28"/>
  <c r="BP403" i="28"/>
  <c r="BB403" i="28"/>
  <c r="BP305" i="28"/>
  <c r="BB305" i="28"/>
  <c r="BB632" i="28"/>
  <c r="BP632" i="28"/>
  <c r="BP480" i="28"/>
  <c r="BB480" i="28"/>
  <c r="BB283" i="28"/>
  <c r="BP283" i="28"/>
  <c r="BB681" i="28"/>
  <c r="BP681" i="28"/>
  <c r="BO422" i="28"/>
  <c r="BP736" i="28"/>
  <c r="BB736" i="28"/>
  <c r="BB538" i="28"/>
  <c r="BP538" i="28"/>
  <c r="W75" i="14"/>
  <c r="W192" i="14"/>
  <c r="BB731" i="28"/>
  <c r="BB488" i="28"/>
  <c r="BP91" i="28"/>
  <c r="BB235" i="28"/>
  <c r="BB738" i="28"/>
  <c r="BO683" i="28"/>
  <c r="BO168" i="28"/>
  <c r="BP284" i="28"/>
  <c r="W211" i="14"/>
  <c r="BO672" i="28"/>
  <c r="BO378" i="28"/>
  <c r="BO493" i="28"/>
  <c r="BO374" i="28"/>
  <c r="BO226" i="28"/>
  <c r="BO746" i="28"/>
  <c r="BO481" i="28"/>
  <c r="BO442" i="28"/>
  <c r="BO375" i="28"/>
  <c r="BO421" i="28"/>
  <c r="BO356" i="28"/>
  <c r="AX61" i="28"/>
  <c r="BO639" i="28"/>
  <c r="BO212" i="28"/>
  <c r="BO208" i="28"/>
  <c r="BP178" i="28"/>
  <c r="BB330" i="28"/>
  <c r="BB131" i="28"/>
  <c r="BB371" i="28"/>
  <c r="BB442" i="28"/>
  <c r="BB97" i="28"/>
  <c r="BB533" i="28"/>
  <c r="BB242" i="28"/>
  <c r="BP180" i="28"/>
  <c r="BB437" i="28"/>
  <c r="BB324" i="28"/>
  <c r="W106" i="14"/>
  <c r="BP770" i="28"/>
  <c r="BB217" i="28"/>
  <c r="BB627" i="28"/>
  <c r="BP308" i="28"/>
  <c r="BB697" i="28"/>
  <c r="BB641" i="28"/>
  <c r="BB224" i="28"/>
  <c r="BB636" i="28"/>
  <c r="BB503" i="28"/>
  <c r="BP37" i="28"/>
  <c r="BB30" i="28"/>
  <c r="W182" i="14"/>
  <c r="W163" i="14"/>
  <c r="BP332" i="28"/>
  <c r="BP223" i="28"/>
  <c r="BP25" i="28"/>
  <c r="BB381" i="28"/>
  <c r="BP702" i="28"/>
  <c r="BB298" i="28"/>
  <c r="BP517" i="28"/>
  <c r="BP383" i="28"/>
  <c r="BP712" i="28"/>
  <c r="BP464" i="28"/>
  <c r="BB429" i="28"/>
  <c r="BP487" i="28"/>
  <c r="AX627" i="28"/>
  <c r="AX121" i="28"/>
  <c r="BB162" i="28"/>
  <c r="BB397" i="28"/>
  <c r="BP161" i="28"/>
  <c r="BP423" i="28"/>
  <c r="BB85" i="28"/>
  <c r="BP179" i="28"/>
  <c r="BP303" i="28"/>
  <c r="BB370" i="28"/>
  <c r="BP607" i="28"/>
  <c r="BB657" i="28"/>
  <c r="BB214" i="28"/>
  <c r="BP296" i="28"/>
  <c r="X180" i="14"/>
  <c r="X187" i="14"/>
  <c r="BP349" i="28"/>
  <c r="BP611" i="28"/>
  <c r="BP411" i="28"/>
  <c r="BB595" i="28"/>
  <c r="BP599" i="28"/>
  <c r="BP125" i="28"/>
  <c r="BB168" i="28"/>
  <c r="BP202" i="28"/>
  <c r="BP721" i="28"/>
  <c r="BB129" i="28"/>
  <c r="BP603" i="28"/>
  <c r="BP709" i="28"/>
  <c r="BO238" i="28"/>
  <c r="BO256" i="28"/>
  <c r="BO766" i="28"/>
  <c r="BO348" i="28"/>
  <c r="BO435" i="28"/>
  <c r="BO349" i="28"/>
  <c r="BO206" i="28"/>
  <c r="BO711" i="28"/>
  <c r="BO314" i="28"/>
  <c r="BO697" i="28"/>
  <c r="BO698" i="28"/>
  <c r="AX594" i="28"/>
  <c r="AX608" i="28"/>
  <c r="AX616" i="28"/>
  <c r="AX621" i="28"/>
  <c r="AX723" i="28"/>
  <c r="AX530" i="28"/>
  <c r="AX514" i="28"/>
  <c r="AX505" i="28"/>
  <c r="AX125" i="28"/>
  <c r="AX133" i="28"/>
  <c r="AX414" i="28"/>
  <c r="AX405" i="28"/>
  <c r="AX391" i="28"/>
  <c r="BP5" i="28"/>
  <c r="BB5" i="28"/>
  <c r="BP51" i="28"/>
  <c r="BB51" i="28"/>
  <c r="BB65" i="28"/>
  <c r="BP65" i="28"/>
  <c r="BB69" i="28"/>
  <c r="BP69" i="28"/>
  <c r="BB509" i="28"/>
  <c r="BP509" i="28"/>
  <c r="BB513" i="28"/>
  <c r="BP513" i="28"/>
  <c r="BB537" i="28"/>
  <c r="BP537" i="28"/>
  <c r="BP551" i="28"/>
  <c r="BB551" i="28"/>
  <c r="BB615" i="28"/>
  <c r="BP615" i="28"/>
  <c r="BP625" i="28"/>
  <c r="BB625" i="28"/>
  <c r="BB640" i="28"/>
  <c r="BP640" i="28"/>
  <c r="BB195" i="28"/>
  <c r="BP195" i="28"/>
  <c r="BP778" i="28"/>
  <c r="BB778" i="28"/>
  <c r="BB262" i="28"/>
  <c r="BP262" i="28"/>
  <c r="BP426" i="28"/>
  <c r="BB426" i="28"/>
  <c r="BP754" i="28"/>
  <c r="BB754" i="28"/>
  <c r="BP285" i="28"/>
  <c r="BB285" i="28"/>
  <c r="BP440" i="28"/>
  <c r="BB440" i="28"/>
  <c r="BP256" i="28"/>
  <c r="BB256" i="28"/>
  <c r="BB490" i="28"/>
  <c r="BP490" i="28"/>
  <c r="BB191" i="28"/>
  <c r="BP191" i="28"/>
  <c r="BB184" i="28"/>
  <c r="BP184" i="28"/>
  <c r="BP674" i="28"/>
  <c r="BB674" i="28"/>
  <c r="BP343" i="28"/>
  <c r="BB343" i="28"/>
  <c r="BB435" i="28"/>
  <c r="BP435" i="28"/>
  <c r="BB230" i="28"/>
  <c r="BP230" i="28"/>
  <c r="BP701" i="28"/>
  <c r="BB701" i="28"/>
  <c r="BP240" i="28"/>
  <c r="BB240" i="28"/>
  <c r="BB361" i="28"/>
  <c r="BP361" i="28"/>
  <c r="BP316" i="28"/>
  <c r="BB316" i="28"/>
  <c r="BB481" i="28"/>
  <c r="BP481" i="28"/>
  <c r="BP669" i="28"/>
  <c r="BB669" i="28"/>
  <c r="BB774" i="28"/>
  <c r="BP774" i="28"/>
  <c r="BB387" i="28"/>
  <c r="BP387" i="28"/>
  <c r="BB228" i="28"/>
  <c r="BP228" i="28"/>
  <c r="BB364" i="28"/>
  <c r="BP364" i="28"/>
  <c r="BP434" i="28"/>
  <c r="BB434" i="28"/>
  <c r="BP662" i="28"/>
  <c r="BB662" i="28"/>
  <c r="BP708" i="28"/>
  <c r="BB708" i="28"/>
  <c r="BP227" i="28"/>
  <c r="BB227" i="28"/>
  <c r="BP347" i="28"/>
  <c r="BB347" i="28"/>
  <c r="BB484" i="28"/>
  <c r="BP484" i="28"/>
  <c r="BB755" i="28"/>
  <c r="BP755" i="28"/>
  <c r="BP688" i="28"/>
  <c r="BB688" i="28"/>
  <c r="BP341" i="28"/>
  <c r="BB341" i="28"/>
  <c r="BP649" i="28"/>
  <c r="BB649" i="28"/>
  <c r="BB293" i="28"/>
  <c r="BP293" i="28"/>
  <c r="BB473" i="28"/>
  <c r="BP473" i="28"/>
  <c r="BP167" i="28"/>
  <c r="BB167" i="28"/>
  <c r="BP741" i="28"/>
  <c r="BB741" i="28"/>
  <c r="BB194" i="28"/>
  <c r="BP194" i="28"/>
  <c r="BO484" i="28"/>
  <c r="BO239" i="28"/>
  <c r="BP244" i="28"/>
  <c r="BB244" i="28"/>
  <c r="BB683" i="28"/>
  <c r="BP683" i="28"/>
  <c r="BB279" i="28"/>
  <c r="BP279" i="28"/>
  <c r="BO458" i="28"/>
  <c r="BP317" i="28"/>
  <c r="BB317" i="28"/>
  <c r="BP432" i="28"/>
  <c r="BB432" i="28"/>
  <c r="BB219" i="28"/>
  <c r="BP219" i="28"/>
  <c r="BP367" i="28"/>
  <c r="BB367" i="28"/>
  <c r="BP470" i="28"/>
  <c r="BB470" i="28"/>
  <c r="BB458" i="28"/>
  <c r="BP458" i="28"/>
  <c r="BP441" i="28"/>
  <c r="BB441" i="28"/>
  <c r="BP486" i="28"/>
  <c r="BB486" i="28"/>
  <c r="BB427" i="28"/>
  <c r="BP427" i="28"/>
  <c r="BP258" i="28"/>
  <c r="BB258" i="28"/>
  <c r="BP671" i="28"/>
  <c r="BB671" i="28"/>
  <c r="BP357" i="28"/>
  <c r="BB357" i="28"/>
  <c r="BO343" i="28"/>
  <c r="BO379" i="28"/>
  <c r="BO272" i="28"/>
  <c r="BO736" i="28"/>
  <c r="BO390" i="28"/>
  <c r="BO218" i="28"/>
  <c r="BO468" i="28"/>
  <c r="BO710" i="28"/>
  <c r="AX727" i="28"/>
  <c r="AX534" i="28"/>
  <c r="AX586" i="28"/>
  <c r="AV529" i="28"/>
  <c r="AX537" i="28"/>
  <c r="AX606" i="28"/>
  <c r="AX55" i="28"/>
  <c r="AX115" i="28"/>
  <c r="AX17" i="28"/>
  <c r="AX76" i="28"/>
  <c r="AX89" i="28"/>
  <c r="AX93" i="28"/>
  <c r="AX101" i="28"/>
  <c r="AX120" i="28"/>
  <c r="AX129" i="28"/>
  <c r="AX551" i="28"/>
  <c r="AX573" i="28"/>
  <c r="AX592" i="28"/>
  <c r="AX150" i="28"/>
  <c r="AX509" i="28"/>
  <c r="BP377" i="28"/>
  <c r="BO265" i="28"/>
  <c r="BO707" i="28"/>
  <c r="BO170" i="28"/>
  <c r="BP318" i="28"/>
  <c r="BB431" i="28"/>
  <c r="BP462" i="28"/>
  <c r="BO449" i="28"/>
  <c r="BO201" i="28"/>
  <c r="BO322" i="28"/>
  <c r="BO181" i="28"/>
  <c r="BO345" i="28"/>
  <c r="BO756" i="28"/>
  <c r="BO287" i="28"/>
  <c r="BO667" i="28"/>
  <c r="BO366" i="28"/>
  <c r="BO496" i="28"/>
  <c r="BO441" i="28"/>
  <c r="BO437" i="28"/>
  <c r="BO754" i="28"/>
  <c r="BO447" i="28"/>
  <c r="BO768" i="28"/>
  <c r="BO669" i="28"/>
  <c r="BO431" i="28"/>
  <c r="BO479" i="28"/>
  <c r="BB137" i="28"/>
  <c r="BB123" i="28"/>
  <c r="BB634" i="28"/>
  <c r="BP261" i="28"/>
  <c r="BP417" i="28"/>
  <c r="BP597" i="28"/>
  <c r="BP478" i="28"/>
  <c r="BB83" i="28"/>
  <c r="BP751" i="28"/>
  <c r="BB499" i="28"/>
  <c r="BP422" i="28"/>
  <c r="BO651" i="28"/>
  <c r="BO364" i="28"/>
  <c r="BO428" i="28"/>
  <c r="BO674" i="28"/>
  <c r="BO319" i="28"/>
  <c r="BO427" i="28"/>
  <c r="BO190" i="28"/>
  <c r="BO687" i="28"/>
  <c r="BO434" i="28"/>
  <c r="BO751" i="28"/>
  <c r="BO169" i="28"/>
  <c r="BO780" i="28"/>
  <c r="BO713" i="28"/>
  <c r="BO255" i="28"/>
  <c r="BO203" i="28"/>
  <c r="BO305" i="28"/>
  <c r="BO220" i="28"/>
  <c r="BO779" i="28"/>
  <c r="BO678" i="28"/>
  <c r="BO712" i="28"/>
  <c r="BO666" i="28"/>
  <c r="BO745" i="28"/>
  <c r="BO248" i="28"/>
  <c r="BO420" i="28"/>
  <c r="BO630" i="28"/>
  <c r="BO763" i="28"/>
  <c r="BO281" i="28"/>
  <c r="BO648" i="28"/>
  <c r="BO762" i="28"/>
  <c r="BO475" i="28"/>
  <c r="BO339" i="28"/>
  <c r="BO664" i="28"/>
  <c r="BO717" i="28"/>
  <c r="BO161" i="28"/>
  <c r="BO658" i="28"/>
  <c r="BO320" i="28"/>
  <c r="BO185" i="28"/>
  <c r="BO657" i="28"/>
  <c r="BO656" i="28"/>
  <c r="BO661" i="28"/>
  <c r="BO163" i="28"/>
  <c r="BO714" i="28"/>
  <c r="BO473" i="28"/>
  <c r="BO634" i="28"/>
  <c r="BO200" i="28"/>
  <c r="BO174" i="28"/>
  <c r="BO178" i="28"/>
  <c r="BO719" i="28"/>
  <c r="BO304" i="28"/>
  <c r="BO457" i="28"/>
  <c r="BB511" i="28"/>
  <c r="BP419" i="28"/>
  <c r="BP667" i="28"/>
  <c r="BB565" i="28"/>
  <c r="BB356" i="28"/>
  <c r="BP700" i="28"/>
  <c r="BB57" i="28"/>
  <c r="BB31" i="28"/>
  <c r="W141" i="14"/>
  <c r="W123" i="14"/>
  <c r="BB693" i="28"/>
  <c r="BB750" i="28"/>
  <c r="BB313" i="28"/>
  <c r="BB289" i="28"/>
  <c r="BB27" i="28"/>
  <c r="BP557" i="28"/>
  <c r="W93" i="14"/>
  <c r="BP95" i="28"/>
  <c r="BP495" i="28"/>
  <c r="BB691" i="28"/>
  <c r="BB49" i="28"/>
  <c r="BP23" i="28"/>
  <c r="BP109" i="28"/>
  <c r="BB745" i="28"/>
  <c r="AX43" i="28"/>
  <c r="BO491" i="28"/>
  <c r="BB725" i="28"/>
  <c r="BP113" i="28"/>
  <c r="BB374" i="28"/>
  <c r="BB299" i="28"/>
  <c r="X22" i="14"/>
  <c r="BB456" i="28"/>
  <c r="BP764" i="28"/>
  <c r="BB782" i="28"/>
  <c r="BB771" i="28"/>
  <c r="BP780" i="28"/>
  <c r="BB405" i="28"/>
  <c r="BP93" i="28"/>
  <c r="BP501" i="28"/>
  <c r="BB775" i="28"/>
  <c r="BP670" i="28"/>
  <c r="X162" i="14"/>
  <c r="BP390" i="28"/>
  <c r="BP733" i="28"/>
  <c r="BB193" i="28"/>
  <c r="BB253" i="28"/>
  <c r="BP476" i="28"/>
  <c r="BB121" i="28"/>
  <c r="BB673" i="28"/>
  <c r="BP685" i="28"/>
  <c r="BB589" i="28"/>
  <c r="BP213" i="28"/>
  <c r="BP781" i="28"/>
  <c r="BP729" i="28"/>
  <c r="W17" i="14"/>
  <c r="W12" i="14"/>
  <c r="BO765" i="28"/>
  <c r="BO474" i="28"/>
  <c r="BO747" i="28"/>
  <c r="BO499" i="28"/>
  <c r="BO476" i="28"/>
  <c r="BO380" i="28"/>
  <c r="BO741" i="28"/>
  <c r="BO644" i="28"/>
  <c r="BO772" i="28"/>
  <c r="BO182" i="28"/>
  <c r="BO430" i="28"/>
  <c r="BO429" i="28"/>
  <c r="BO262" i="28"/>
  <c r="BO292" i="28"/>
  <c r="BO503" i="28"/>
  <c r="BO171" i="28"/>
  <c r="BO207" i="28"/>
  <c r="BO156" i="28"/>
  <c r="BO197" i="28"/>
  <c r="BO660" i="28"/>
  <c r="AX510" i="28"/>
  <c r="AX566" i="28"/>
  <c r="AX151" i="28"/>
  <c r="BO198" i="28"/>
  <c r="BO632" i="28"/>
  <c r="BO748" i="28"/>
  <c r="BO642" i="28"/>
  <c r="BO300" i="28"/>
  <c r="BO298" i="28"/>
  <c r="BO761" i="28"/>
  <c r="BO284" i="28"/>
  <c r="BO784" i="28"/>
  <c r="BO735" i="28"/>
  <c r="BO306" i="28"/>
  <c r="BO247" i="28"/>
  <c r="BO755" i="28"/>
  <c r="BO466" i="28"/>
  <c r="BO165" i="28"/>
  <c r="BO655" i="28"/>
  <c r="BO705" i="28"/>
  <c r="BO494" i="28"/>
  <c r="BO706" i="28"/>
  <c r="BO330" i="28"/>
  <c r="BO179" i="28"/>
  <c r="BO368" i="28"/>
  <c r="BO673" i="28"/>
  <c r="BO332" i="28"/>
  <c r="BO775" i="28"/>
  <c r="BO199" i="28"/>
  <c r="BO686" i="28"/>
  <c r="BO752" i="28"/>
  <c r="BO295" i="28"/>
  <c r="BO384" i="28"/>
  <c r="AX540" i="28"/>
  <c r="AX732" i="28"/>
  <c r="AX579" i="28"/>
  <c r="BO771" i="28"/>
  <c r="AX617" i="28"/>
  <c r="AX554" i="28"/>
  <c r="AX744" i="28"/>
  <c r="AX82" i="28"/>
  <c r="AX523" i="28"/>
  <c r="BO186" i="28"/>
  <c r="BO233" i="28"/>
  <c r="BO455" i="28"/>
  <c r="BO180" i="28"/>
  <c r="BO229" i="28"/>
  <c r="BO216" i="28"/>
  <c r="BO297" i="28"/>
  <c r="BO222" i="28"/>
  <c r="BO215" i="28"/>
  <c r="BO296" i="28"/>
  <c r="BO682" i="28"/>
  <c r="BO680" i="28"/>
  <c r="BO695" i="28"/>
  <c r="BO365" i="28"/>
  <c r="BO647" i="28"/>
  <c r="BO354" i="28"/>
  <c r="BO274" i="28"/>
  <c r="BO315" i="28"/>
  <c r="BO770" i="28"/>
  <c r="BO703" i="28"/>
  <c r="BO351" i="28"/>
  <c r="BO324" i="28"/>
  <c r="BO172" i="28"/>
  <c r="BO317" i="28"/>
  <c r="BO381" i="28"/>
  <c r="BO638" i="28"/>
  <c r="BO270" i="28"/>
  <c r="BO444" i="28"/>
  <c r="BO389" i="28"/>
  <c r="BO456" i="28"/>
  <c r="BO302" i="28"/>
  <c r="BO232" i="28"/>
  <c r="BO353" i="28"/>
  <c r="BO358" i="28"/>
  <c r="BO467" i="28"/>
  <c r="BO337" i="28"/>
  <c r="BO260" i="28"/>
  <c r="BO252" i="28"/>
  <c r="BO461" i="28"/>
  <c r="BO631" i="28"/>
  <c r="BO346" i="28"/>
  <c r="BO205" i="28"/>
  <c r="BO465" i="28"/>
  <c r="BO253" i="28"/>
  <c r="BO472" i="28"/>
  <c r="BO369" i="28"/>
  <c r="BO235" i="28"/>
  <c r="BO193" i="28"/>
  <c r="BO195" i="28"/>
  <c r="BO191" i="28"/>
  <c r="BO308" i="28"/>
  <c r="BO489" i="28"/>
  <c r="BO383" i="28"/>
  <c r="BO419" i="28"/>
  <c r="BO470" i="28"/>
  <c r="BO355" i="28"/>
  <c r="BO328" i="28"/>
  <c r="BO388" i="28"/>
  <c r="BO498" i="28"/>
  <c r="BO464" i="28"/>
  <c r="BO291" i="28"/>
  <c r="BO497" i="28"/>
  <c r="BO187" i="28"/>
  <c r="BO301" i="28"/>
  <c r="BO777" i="28"/>
  <c r="BB307" i="28"/>
  <c r="BP666" i="28"/>
  <c r="BO293" i="28"/>
  <c r="BP492" i="28"/>
  <c r="BB677" i="28"/>
  <c r="BP561" i="28"/>
  <c r="BB783" i="28"/>
  <c r="BB695" i="28"/>
  <c r="BP695" i="28"/>
  <c r="BP740" i="28"/>
  <c r="BB740" i="28"/>
  <c r="BP292" i="28"/>
  <c r="BB292" i="28"/>
  <c r="BP784" i="28"/>
  <c r="BB784" i="28"/>
  <c r="BB165" i="28"/>
  <c r="BP165" i="28"/>
  <c r="W205" i="14"/>
  <c r="W118" i="14"/>
  <c r="W133" i="14"/>
  <c r="BP41" i="28"/>
  <c r="BB41" i="28"/>
  <c r="BP63" i="28"/>
  <c r="BB63" i="28"/>
  <c r="BB81" i="28"/>
  <c r="BP81" i="28"/>
  <c r="BB601" i="28"/>
  <c r="BP601" i="28"/>
  <c r="BP629" i="28"/>
  <c r="BB629" i="28"/>
  <c r="BP436" i="28"/>
  <c r="BB436" i="28"/>
  <c r="BP474" i="28"/>
  <c r="BB474" i="28"/>
  <c r="BP312" i="28"/>
  <c r="BB312" i="28"/>
  <c r="BP703" i="28"/>
  <c r="BB703" i="28"/>
  <c r="BB183" i="28"/>
  <c r="BP183" i="28"/>
  <c r="BP287" i="28"/>
  <c r="BB287" i="28"/>
  <c r="BB274" i="28"/>
  <c r="BP274" i="28"/>
  <c r="BB375" i="28"/>
  <c r="BP375" i="28"/>
  <c r="BP749" i="28"/>
  <c r="BB749" i="28"/>
  <c r="BP232" i="28"/>
  <c r="BB232" i="28"/>
  <c r="BP497" i="28"/>
  <c r="BB497" i="28"/>
  <c r="BP639" i="28"/>
  <c r="BB639" i="28"/>
  <c r="BB164" i="28"/>
  <c r="BP164" i="28"/>
  <c r="BB344" i="28"/>
  <c r="BP344" i="28"/>
  <c r="BP353" i="28"/>
  <c r="BB353" i="28"/>
  <c r="BB718" i="28"/>
  <c r="BP718" i="28"/>
  <c r="BP351" i="28"/>
  <c r="BB351" i="28"/>
  <c r="BP326" i="28"/>
  <c r="BB326" i="28"/>
  <c r="BB430" i="28"/>
  <c r="BP430" i="28"/>
  <c r="BB443" i="28"/>
  <c r="BP443" i="28"/>
  <c r="BB243" i="28"/>
  <c r="BP243" i="28"/>
  <c r="BB428" i="28"/>
  <c r="BP428" i="28"/>
  <c r="BP388" i="28"/>
  <c r="BB388" i="28"/>
  <c r="BO240" i="28"/>
  <c r="BO478" i="28"/>
  <c r="BO344" i="28"/>
  <c r="BP352" i="28"/>
  <c r="BB352" i="28"/>
  <c r="BP300" i="28"/>
  <c r="BB539" i="28"/>
  <c r="W68" i="14"/>
  <c r="BP768" i="28"/>
  <c r="BB768" i="28"/>
  <c r="BB752" i="28"/>
  <c r="BP752" i="28"/>
  <c r="BB342" i="28"/>
  <c r="BP342" i="28"/>
  <c r="BP646" i="28"/>
  <c r="BB646" i="28"/>
  <c r="BP181" i="28"/>
  <c r="BB181" i="28"/>
  <c r="X179" i="14"/>
  <c r="X31" i="14"/>
  <c r="BP35" i="28"/>
  <c r="BB35" i="28"/>
  <c r="BP119" i="28"/>
  <c r="BB119" i="28"/>
  <c r="BP127" i="28"/>
  <c r="BB127" i="28"/>
  <c r="BP153" i="28"/>
  <c r="BB153" i="28"/>
  <c r="BP519" i="28"/>
  <c r="BB519" i="28"/>
  <c r="BP553" i="28"/>
  <c r="BB553" i="28"/>
  <c r="BB569" i="28"/>
  <c r="BP569" i="28"/>
  <c r="BP577" i="28"/>
  <c r="BB577" i="28"/>
  <c r="BB653" i="28"/>
  <c r="BP653" i="28"/>
  <c r="BB444" i="28"/>
  <c r="BP444" i="28"/>
  <c r="BP379" i="28"/>
  <c r="BB379" i="28"/>
  <c r="BB282" i="28"/>
  <c r="BP282" i="28"/>
  <c r="BB461" i="28"/>
  <c r="BP461" i="28"/>
  <c r="BP188" i="28"/>
  <c r="BB188" i="28"/>
  <c r="BB199" i="28"/>
  <c r="BP199" i="28"/>
  <c r="BP719" i="28"/>
  <c r="BB719" i="28"/>
  <c r="BB717" i="28"/>
  <c r="BP717" i="28"/>
  <c r="BB265" i="28"/>
  <c r="BP265" i="28"/>
  <c r="BB369" i="28"/>
  <c r="BP369" i="28"/>
  <c r="BB698" i="28"/>
  <c r="BP698" i="28"/>
  <c r="BP266" i="28"/>
  <c r="BB266" i="28"/>
  <c r="BP758" i="28"/>
  <c r="BB758" i="28"/>
  <c r="BB472" i="28"/>
  <c r="BP472" i="28"/>
  <c r="BB277" i="28"/>
  <c r="BP277" i="28"/>
  <c r="BP689" i="28"/>
  <c r="BB689" i="28"/>
  <c r="BB446" i="28"/>
  <c r="BP446" i="28"/>
  <c r="BP186" i="28"/>
  <c r="BB186" i="28"/>
  <c r="BP777" i="28"/>
  <c r="BB777" i="28"/>
  <c r="BB469" i="28"/>
  <c r="BP469" i="28"/>
  <c r="BP385" i="28"/>
  <c r="BB385" i="28"/>
  <c r="BB280" i="28"/>
  <c r="BP280" i="28"/>
  <c r="BP711" i="28"/>
  <c r="BB711" i="28"/>
  <c r="BP286" i="28"/>
  <c r="BB286" i="28"/>
  <c r="BB748" i="28"/>
  <c r="BP748" i="28"/>
  <c r="X100" i="14"/>
  <c r="BP264" i="28"/>
  <c r="BP103" i="28"/>
  <c r="BB386" i="28"/>
  <c r="BP451" i="28"/>
  <c r="BP201" i="28"/>
  <c r="BP206" i="28"/>
  <c r="BP207" i="28"/>
  <c r="BB89" i="28"/>
  <c r="X3" i="14"/>
  <c r="BP172" i="28"/>
  <c r="BP583" i="28"/>
  <c r="BB311" i="28"/>
  <c r="BP593" i="28"/>
  <c r="BP737" i="28"/>
  <c r="BB337" i="28"/>
  <c r="W183" i="14"/>
  <c r="BP358" i="28"/>
  <c r="BB358" i="28"/>
  <c r="BB197" i="28"/>
  <c r="BP197" i="28"/>
  <c r="BP7" i="28"/>
  <c r="BB7" i="28"/>
  <c r="BB29" i="28"/>
  <c r="BP29" i="28"/>
  <c r="BP147" i="28"/>
  <c r="BB147" i="28"/>
  <c r="BP507" i="28"/>
  <c r="BB507" i="28"/>
  <c r="BP521" i="28"/>
  <c r="BB521" i="28"/>
  <c r="BP559" i="28"/>
  <c r="BB559" i="28"/>
  <c r="BB575" i="28"/>
  <c r="BP575" i="28"/>
  <c r="BP623" i="28"/>
  <c r="BB623" i="28"/>
  <c r="BP742" i="28"/>
  <c r="BB742" i="28"/>
  <c r="BP496" i="28"/>
  <c r="BB496" i="28"/>
  <c r="BB304" i="28"/>
  <c r="BP304" i="28"/>
  <c r="BB672" i="28"/>
  <c r="BP672" i="28"/>
  <c r="BP249" i="28"/>
  <c r="BB249" i="28"/>
  <c r="BB234" i="28"/>
  <c r="BP234" i="28"/>
  <c r="BP735" i="28"/>
  <c r="BB735" i="28"/>
  <c r="BP483" i="28"/>
  <c r="BB483" i="28"/>
  <c r="BP494" i="28"/>
  <c r="BB494" i="28"/>
  <c r="BP654" i="28"/>
  <c r="BB654" i="28"/>
  <c r="BP466" i="28"/>
  <c r="BB466" i="28"/>
  <c r="BP643" i="28"/>
  <c r="BB643" i="28"/>
  <c r="BP433" i="28"/>
  <c r="BB433" i="28"/>
  <c r="BB493" i="28"/>
  <c r="BP493" i="28"/>
  <c r="BP705" i="28"/>
  <c r="BB705" i="28"/>
  <c r="BB707" i="28"/>
  <c r="BP707" i="28"/>
  <c r="BP747" i="28"/>
  <c r="BB747" i="28"/>
  <c r="BB196" i="28"/>
  <c r="BP196" i="28"/>
  <c r="BB275" i="28"/>
  <c r="BP275" i="28"/>
  <c r="BB425" i="28"/>
  <c r="BP425" i="28"/>
  <c r="BB664" i="28"/>
  <c r="BP664" i="28"/>
  <c r="BP373" i="28"/>
  <c r="BB373" i="28"/>
  <c r="BB690" i="28"/>
  <c r="BP690" i="28"/>
  <c r="BB445" i="28"/>
  <c r="BP445" i="28"/>
  <c r="BP468" i="28"/>
  <c r="BB468" i="28"/>
  <c r="BB479" i="28"/>
  <c r="BP479" i="28"/>
  <c r="BP160" i="28"/>
  <c r="BB160" i="28"/>
  <c r="BP294" i="28"/>
  <c r="BB294" i="28"/>
  <c r="BO739" i="28"/>
  <c r="BO275" i="28"/>
  <c r="BO177" i="28"/>
  <c r="BO183" i="28"/>
  <c r="BO299" i="28"/>
  <c r="BO701" i="28"/>
  <c r="BP208" i="28"/>
  <c r="BP727" i="28"/>
  <c r="BB21" i="28"/>
  <c r="BB310" i="28"/>
  <c r="BP648" i="28"/>
  <c r="BB250" i="28"/>
  <c r="BB438" i="28"/>
  <c r="BP301" i="28"/>
  <c r="BO471" i="28"/>
  <c r="BO164" i="28"/>
  <c r="BO704" i="28"/>
  <c r="BO347" i="28"/>
  <c r="BO257" i="28"/>
  <c r="BO670" i="28"/>
  <c r="BP354" i="28"/>
  <c r="BB354" i="28"/>
  <c r="BP335" i="28"/>
  <c r="BB335" i="28"/>
  <c r="BB642" i="28"/>
  <c r="BP642" i="28"/>
  <c r="BB246" i="28"/>
  <c r="BP246" i="28"/>
  <c r="BB420" i="28"/>
  <c r="BP420" i="28"/>
  <c r="W103" i="14"/>
  <c r="W124" i="14"/>
  <c r="W94" i="14"/>
  <c r="W91" i="14"/>
  <c r="W6" i="14"/>
  <c r="W121" i="14"/>
  <c r="BP393" i="28"/>
  <c r="BB393" i="28"/>
  <c r="BP401" i="28"/>
  <c r="BB401" i="28"/>
  <c r="BP33" i="28"/>
  <c r="BB33" i="28"/>
  <c r="BP39" i="28"/>
  <c r="BB39" i="28"/>
  <c r="BB53" i="28"/>
  <c r="BP53" i="28"/>
  <c r="BP61" i="28"/>
  <c r="BB61" i="28"/>
  <c r="BB87" i="28"/>
  <c r="BP87" i="28"/>
  <c r="BB101" i="28"/>
  <c r="BP101" i="28"/>
  <c r="BP117" i="28"/>
  <c r="BB117" i="28"/>
  <c r="BB135" i="28"/>
  <c r="BP135" i="28"/>
  <c r="BB145" i="28"/>
  <c r="BP145" i="28"/>
  <c r="BB151" i="28"/>
  <c r="BP151" i="28"/>
  <c r="BB549" i="28"/>
  <c r="BP549" i="28"/>
  <c r="BB567" i="28"/>
  <c r="BP567" i="28"/>
  <c r="BB581" i="28"/>
  <c r="BP581" i="28"/>
  <c r="BP619" i="28"/>
  <c r="BB619" i="28"/>
  <c r="BB345" i="28"/>
  <c r="BP345" i="28"/>
  <c r="BP360" i="28"/>
  <c r="BB360" i="28"/>
  <c r="BP454" i="28"/>
  <c r="BB454" i="28"/>
  <c r="BP498" i="28"/>
  <c r="BB498" i="28"/>
  <c r="BP686" i="28"/>
  <c r="BB686" i="28"/>
  <c r="BB746" i="28"/>
  <c r="BP746" i="28"/>
  <c r="BP769" i="28"/>
  <c r="BB769" i="28"/>
  <c r="BB368" i="28"/>
  <c r="BP368" i="28"/>
  <c r="BP359" i="28"/>
  <c r="BB359" i="28"/>
  <c r="BP376" i="28"/>
  <c r="BB376" i="28"/>
  <c r="BB241" i="28"/>
  <c r="BP241" i="28"/>
  <c r="BP450" i="28"/>
  <c r="BB450" i="28"/>
  <c r="BB500" i="28"/>
  <c r="BP500" i="28"/>
  <c r="BB761" i="28"/>
  <c r="BP761" i="28"/>
  <c r="BP319" i="28"/>
  <c r="BB319" i="28"/>
  <c r="BP291" i="28"/>
  <c r="BB291" i="28"/>
  <c r="BP679" i="28"/>
  <c r="BB679" i="28"/>
  <c r="BP655" i="28"/>
  <c r="BB655" i="28"/>
  <c r="BP471" i="28"/>
  <c r="BB471" i="28"/>
  <c r="BP220" i="28"/>
  <c r="BB220" i="28"/>
  <c r="BP684" i="28"/>
  <c r="BB684" i="28"/>
  <c r="BP225" i="28"/>
  <c r="BB225" i="28"/>
  <c r="BB348" i="28"/>
  <c r="BP348" i="28"/>
  <c r="BB158" i="28"/>
  <c r="BP158" i="28"/>
  <c r="BP204" i="28"/>
  <c r="BB204" i="28"/>
  <c r="BP407" i="28"/>
  <c r="BB407" i="28"/>
  <c r="BB630" i="28"/>
  <c r="BP630" i="28"/>
  <c r="BP631" i="28"/>
  <c r="BB631" i="28"/>
  <c r="BB475" i="28"/>
  <c r="BP475" i="28"/>
  <c r="BB389" i="28"/>
  <c r="BP389" i="28"/>
  <c r="BB159" i="28"/>
  <c r="BP159" i="28"/>
  <c r="BB460" i="28"/>
  <c r="BP460" i="28"/>
  <c r="BB171" i="28"/>
  <c r="BP171" i="28"/>
  <c r="BP675" i="28"/>
  <c r="BB675" i="28"/>
  <c r="BB156" i="28"/>
  <c r="BP156" i="28"/>
  <c r="BP676" i="28"/>
  <c r="BB676" i="28"/>
  <c r="BP209" i="28"/>
  <c r="BB209" i="28"/>
  <c r="BP415" i="28"/>
  <c r="BB415" i="28"/>
  <c r="BO250" i="28"/>
  <c r="BB268" i="28"/>
  <c r="BP268" i="28"/>
  <c r="BB281" i="28"/>
  <c r="BP281" i="28"/>
  <c r="BB185" i="28"/>
  <c r="BO209" i="28"/>
  <c r="BB571" i="28"/>
  <c r="BP211" i="28"/>
  <c r="BP252" i="28"/>
  <c r="BB658" i="28"/>
  <c r="BB680" i="28"/>
  <c r="BP71" i="28"/>
  <c r="BP149" i="28"/>
  <c r="BB502" i="28"/>
  <c r="BB9" i="28"/>
  <c r="BB579" i="28"/>
  <c r="BP651" i="28"/>
  <c r="BB704" i="28"/>
  <c r="BB409" i="28"/>
  <c r="BP288" i="28"/>
  <c r="BP656" i="28"/>
  <c r="BP55" i="28"/>
  <c r="BB609" i="28"/>
  <c r="BP290" i="28"/>
  <c r="BP192" i="28"/>
  <c r="BB272" i="28"/>
  <c r="BB384" i="28"/>
  <c r="BP166" i="28"/>
  <c r="BB710" i="28"/>
  <c r="BP706" i="28"/>
  <c r="BB694" i="28"/>
  <c r="BP163" i="28"/>
  <c r="BP482" i="28"/>
  <c r="BB585" i="28"/>
  <c r="BB715" i="28"/>
  <c r="BB687" i="28"/>
  <c r="BB237" i="28"/>
  <c r="BP663" i="28"/>
  <c r="BP635" i="28"/>
  <c r="BB203" i="28"/>
  <c r="BB563" i="28"/>
  <c r="BP541" i="28"/>
  <c r="BB555" i="28"/>
  <c r="BP170" i="28"/>
  <c r="BP255" i="28"/>
  <c r="BB489" i="28"/>
  <c r="BB757" i="28"/>
  <c r="BB238" i="28"/>
  <c r="BP105" i="28"/>
  <c r="BB455" i="28"/>
  <c r="BB111" i="28"/>
  <c r="BB190" i="28"/>
  <c r="BP779" i="28"/>
  <c r="BP395" i="28"/>
  <c r="BP257" i="28"/>
  <c r="BP267" i="28"/>
  <c r="BB233" i="28"/>
  <c r="BB176" i="28"/>
  <c r="BB174" i="28"/>
  <c r="BB766" i="28"/>
  <c r="W19" i="14"/>
  <c r="AX28" i="28"/>
  <c r="W74" i="14"/>
  <c r="W215" i="14"/>
  <c r="AX543" i="28"/>
  <c r="AX605" i="28"/>
  <c r="AX126" i="28"/>
  <c r="AX610" i="28"/>
  <c r="AX570" i="28"/>
  <c r="AX117" i="28"/>
  <c r="AX721" i="28"/>
  <c r="AX68" i="28"/>
  <c r="AX106" i="28"/>
  <c r="AX12" i="28"/>
  <c r="AX577" i="28"/>
  <c r="AX574" i="28"/>
  <c r="AX134" i="28"/>
  <c r="AX587" i="28"/>
  <c r="AX57" i="28"/>
  <c r="AX37" i="28"/>
  <c r="AX602" i="28"/>
  <c r="AX583" i="28"/>
  <c r="AX123" i="28"/>
  <c r="AX558" i="28"/>
  <c r="AX533" i="28"/>
  <c r="AX87" i="28"/>
  <c r="AX139" i="28"/>
  <c r="AX24" i="28"/>
  <c r="BB16" i="28"/>
  <c r="BB546" i="28"/>
  <c r="BB157" i="28"/>
  <c r="BP8" i="28"/>
  <c r="BB62" i="28"/>
  <c r="BP189" i="28"/>
  <c r="BP524" i="28"/>
  <c r="BB327" i="28"/>
  <c r="X102" i="14"/>
  <c r="BB582" i="28"/>
  <c r="BB46" i="28"/>
  <c r="BB424" i="28"/>
  <c r="BB142" i="28"/>
  <c r="BP104" i="28"/>
  <c r="BB760" i="28"/>
  <c r="BP366" i="28"/>
  <c r="X7" i="14"/>
  <c r="BP491" i="28"/>
  <c r="BP508" i="28"/>
  <c r="BB532" i="28"/>
  <c r="BP84" i="28"/>
  <c r="BB269" i="28"/>
  <c r="BB776" i="28"/>
  <c r="BB260" i="28"/>
  <c r="BP173" i="28"/>
  <c r="BB544" i="28"/>
  <c r="BP154" i="28"/>
  <c r="BP328" i="28"/>
  <c r="BB50" i="28"/>
  <c r="BB448" i="28"/>
  <c r="BB566" i="28"/>
  <c r="BP628" i="28"/>
  <c r="BB637" i="28"/>
  <c r="BB382" i="28"/>
  <c r="BP108" i="28"/>
  <c r="X92" i="14"/>
  <c r="BB340" i="28"/>
  <c r="BB350" i="28"/>
  <c r="BP548" i="28"/>
  <c r="BB138" i="28"/>
  <c r="BP20" i="28"/>
  <c r="BP556" i="28"/>
  <c r="BB362" i="28"/>
  <c r="BB169" i="28"/>
  <c r="BB320" i="28"/>
  <c r="BP542" i="28"/>
  <c r="BP210" i="28"/>
  <c r="BB14" i="28"/>
  <c r="BB439" i="28"/>
  <c r="BP378" i="28"/>
  <c r="BB254" i="28"/>
  <c r="BB756" i="28"/>
  <c r="BP346" i="28"/>
  <c r="BP134" i="28"/>
  <c r="BB457" i="28"/>
  <c r="BB650" i="28"/>
  <c r="BB604" i="28"/>
  <c r="BP126" i="28"/>
  <c r="BB633" i="28"/>
  <c r="BB452" i="28"/>
  <c r="BB554" i="28"/>
  <c r="BP728" i="28"/>
  <c r="BB772" i="28"/>
  <c r="BP278" i="28"/>
  <c r="BP626" i="28"/>
  <c r="AX575" i="28"/>
  <c r="AX580" i="28"/>
  <c r="AX48" i="28"/>
  <c r="AX69" i="28"/>
  <c r="AX107" i="28"/>
  <c r="AX127" i="28"/>
  <c r="AX726" i="28"/>
  <c r="AX549" i="28"/>
  <c r="AX620" i="28"/>
  <c r="AX36" i="28"/>
  <c r="AX623" i="28"/>
  <c r="AX742" i="28"/>
  <c r="AX525" i="28"/>
  <c r="AX112" i="28"/>
  <c r="AX148" i="28"/>
  <c r="AX31" i="28"/>
  <c r="AX21" i="28"/>
  <c r="AX39" i="28"/>
  <c r="AX152" i="28"/>
  <c r="AX74" i="28"/>
  <c r="AX597" i="28"/>
  <c r="AX571" i="28"/>
  <c r="AX135" i="28"/>
  <c r="AX607" i="28"/>
  <c r="AX722" i="28"/>
  <c r="AX393" i="28"/>
  <c r="AX611" i="28"/>
  <c r="AX624" i="28"/>
  <c r="AX26" i="28"/>
  <c r="AX19" i="28"/>
  <c r="AX40" i="28"/>
  <c r="AX14" i="28"/>
  <c r="BB177" i="28"/>
  <c r="BP336" i="28"/>
  <c r="BP661" i="28"/>
  <c r="BB331" i="28"/>
  <c r="AX559" i="28"/>
  <c r="AX75" i="28"/>
  <c r="AX51" i="28"/>
  <c r="AX80" i="28"/>
  <c r="AX582" i="28"/>
  <c r="AX535" i="28"/>
  <c r="AX531" i="28"/>
  <c r="AX578" i="28"/>
  <c r="AX565" i="28"/>
  <c r="AX569" i="28"/>
  <c r="AX544" i="28"/>
  <c r="AX67" i="28"/>
  <c r="AX71" i="28"/>
  <c r="AX146" i="28"/>
  <c r="AX50" i="28"/>
  <c r="AX110" i="28"/>
  <c r="AX595" i="28"/>
  <c r="AX85" i="28"/>
  <c r="AX97" i="28"/>
  <c r="AX724" i="28"/>
  <c r="BP323" i="28"/>
  <c r="AX728" i="28"/>
  <c r="AX720" i="28"/>
  <c r="AX508" i="28"/>
  <c r="AX553" i="28"/>
  <c r="AX144" i="28"/>
  <c r="BB540" i="28"/>
  <c r="BP624" i="28"/>
  <c r="BP276" i="28"/>
  <c r="BB152" i="28"/>
  <c r="BB56" i="28"/>
  <c r="BB614" i="28"/>
  <c r="BP42" i="28"/>
  <c r="BP34" i="28"/>
  <c r="BB560" i="28"/>
  <c r="BB80" i="28"/>
  <c r="BP394" i="28"/>
  <c r="BB732" i="28"/>
  <c r="BP620" i="28"/>
  <c r="BB76" i="28"/>
  <c r="BB17" i="28"/>
  <c r="BP722" i="28"/>
  <c r="BP404" i="28"/>
  <c r="BP514" i="28"/>
  <c r="BB504" i="28"/>
  <c r="BB68" i="28"/>
  <c r="BB122" i="28"/>
  <c r="BB786" i="28"/>
  <c r="BB36" i="28"/>
  <c r="BB522" i="28"/>
  <c r="BP78" i="28"/>
  <c r="BB40" i="28"/>
  <c r="BP24" i="28"/>
  <c r="BP506" i="28"/>
  <c r="AX114" i="28"/>
  <c r="BB60" i="28"/>
  <c r="BP251" i="28"/>
  <c r="BB505" i="28"/>
  <c r="BP606" i="28"/>
  <c r="BP110" i="28"/>
  <c r="BB612" i="28"/>
  <c r="BP622" i="28"/>
  <c r="BB600" i="28"/>
  <c r="BB591" i="28"/>
  <c r="BB79" i="28"/>
  <c r="BP98" i="28"/>
  <c r="BB86" i="28"/>
  <c r="BB64" i="28"/>
  <c r="BB402" i="28"/>
  <c r="BB530" i="28"/>
  <c r="BB6" i="28"/>
  <c r="BB526" i="28"/>
  <c r="BP132" i="28"/>
  <c r="BP590" i="28"/>
  <c r="BP150" i="28"/>
  <c r="BP596" i="28"/>
  <c r="BB133" i="28"/>
  <c r="BB726" i="28"/>
  <c r="BB525" i="28"/>
  <c r="BP602" i="28"/>
  <c r="BB198" i="28"/>
  <c r="BB44" i="28"/>
  <c r="BP588" i="28"/>
  <c r="BB144" i="28"/>
  <c r="BP155" i="28"/>
  <c r="BB52" i="28"/>
  <c r="BP724" i="28"/>
  <c r="BB82" i="28"/>
  <c r="BP18" i="28"/>
  <c r="BB140" i="28"/>
  <c r="BP26" i="28"/>
  <c r="BP531" i="28"/>
  <c r="BP112" i="28"/>
  <c r="BP66" i="28"/>
  <c r="BB584" i="28"/>
  <c r="BP598" i="28"/>
  <c r="BB128" i="28"/>
  <c r="BP730" i="28"/>
  <c r="BB10" i="28"/>
  <c r="BB510" i="28"/>
  <c r="BB124" i="28"/>
  <c r="BP528" i="28"/>
  <c r="BB70" i="28"/>
  <c r="BP574" i="28"/>
  <c r="BB572" i="28"/>
  <c r="BP580" i="28"/>
  <c r="BP586" i="28"/>
  <c r="BP100" i="28"/>
  <c r="BP102" i="28"/>
  <c r="BP543" i="28"/>
  <c r="BP15" i="28"/>
  <c r="BB94" i="28"/>
  <c r="BP92" i="28"/>
  <c r="BP459" i="28"/>
  <c r="BP45" i="28"/>
  <c r="BB414" i="28"/>
  <c r="BB114" i="28"/>
  <c r="AX625" i="28"/>
  <c r="AX572" i="28"/>
  <c r="AX136" i="28"/>
  <c r="AX33" i="28"/>
  <c r="AX743" i="28"/>
  <c r="AX104" i="28"/>
  <c r="AX403" i="28"/>
  <c r="AX47" i="28"/>
  <c r="AX507" i="28"/>
  <c r="AX15" i="28"/>
  <c r="AX600" i="28"/>
  <c r="AX725" i="28"/>
  <c r="AX545" i="28"/>
  <c r="AX520" i="28"/>
  <c r="AX122" i="28"/>
  <c r="AX147" i="28"/>
  <c r="AX552" i="28"/>
  <c r="AX109" i="28"/>
  <c r="BP143" i="28"/>
  <c r="BP608" i="28"/>
  <c r="BP527" i="28"/>
  <c r="BP562" i="28"/>
  <c r="BB116" i="28"/>
  <c r="BP545" i="28"/>
  <c r="BP743" i="28"/>
  <c r="BB28" i="28"/>
  <c r="BB621" i="28"/>
  <c r="BP570" i="28"/>
  <c r="BB58" i="28"/>
  <c r="BB75" i="28"/>
  <c r="BP449" i="28"/>
  <c r="BB696" i="28"/>
  <c r="BP77" i="28"/>
  <c r="BB392" i="28"/>
  <c r="BB610" i="28"/>
  <c r="BP564" i="28"/>
  <c r="BP13" i="28"/>
  <c r="BP148" i="28"/>
  <c r="BB406" i="28"/>
  <c r="BP73" i="28"/>
  <c r="BP355" i="28"/>
  <c r="BB118" i="28"/>
  <c r="BB90" i="28"/>
  <c r="BB529" i="28"/>
  <c r="BB512" i="28"/>
  <c r="BP141" i="28"/>
  <c r="BB47" i="28"/>
  <c r="BB418" i="28"/>
  <c r="BP547" i="28"/>
  <c r="BB523" i="28"/>
  <c r="BB247" i="28"/>
  <c r="BP558" i="28"/>
  <c r="BB88" i="28"/>
  <c r="BP720" i="28"/>
  <c r="BP399" i="28"/>
  <c r="AU34" i="7"/>
  <c r="AU77" i="7"/>
  <c r="AT96" i="7"/>
  <c r="Z784" i="28" s="1"/>
  <c r="Y37" i="28"/>
  <c r="Y13" i="28"/>
  <c r="Y486" i="28"/>
  <c r="AA246" i="28"/>
  <c r="Y517" i="28"/>
  <c r="AA341" i="28"/>
  <c r="Y533" i="28"/>
  <c r="Y624" i="28"/>
  <c r="Y603" i="28"/>
  <c r="Y64" i="28"/>
  <c r="AA243" i="28"/>
  <c r="AA348" i="28"/>
  <c r="Y298" i="28"/>
  <c r="Y17" i="28"/>
  <c r="AA239" i="28"/>
  <c r="AU239" i="28" s="1"/>
  <c r="Y81" i="28"/>
  <c r="AA313" i="28"/>
  <c r="BA313" i="28" s="1"/>
  <c r="AU85" i="7"/>
  <c r="Y364" i="28"/>
  <c r="Y113" i="28"/>
  <c r="AA170" i="28"/>
  <c r="BA170" i="28" s="1"/>
  <c r="Z533" i="28"/>
  <c r="AU27" i="7"/>
  <c r="AU54" i="7"/>
  <c r="Y205" i="28"/>
  <c r="Z112" i="28"/>
  <c r="AU39" i="7"/>
  <c r="AU67" i="7"/>
  <c r="Y216" i="14"/>
  <c r="AF216" i="14" s="1"/>
  <c r="AU20" i="7"/>
  <c r="AU42" i="7"/>
  <c r="AA768" i="28"/>
  <c r="Y448" i="28"/>
  <c r="Z743" i="28"/>
  <c r="AA112" i="28"/>
  <c r="Y90" i="28"/>
  <c r="Z57" i="28"/>
  <c r="Y541" i="28"/>
  <c r="AU66" i="7"/>
  <c r="Z100" i="28"/>
  <c r="Z199" i="28"/>
  <c r="AU22" i="7"/>
  <c r="AU9" i="7"/>
  <c r="Z93" i="28"/>
  <c r="Y558" i="28"/>
  <c r="AU95" i="7"/>
  <c r="Y318" i="28"/>
  <c r="AU7" i="7"/>
  <c r="AU23" i="7"/>
  <c r="Y530" i="28"/>
  <c r="AA577" i="28"/>
  <c r="AP577" i="28" s="1"/>
  <c r="Y194" i="28"/>
  <c r="AU52" i="7"/>
  <c r="Y648" i="28"/>
  <c r="Y731" i="28"/>
  <c r="Y126" i="28"/>
  <c r="Z744" i="28"/>
  <c r="AA541" i="28"/>
  <c r="BA541" i="28" s="1"/>
  <c r="Y519" i="28"/>
  <c r="Y339" i="28"/>
  <c r="AU58" i="7"/>
  <c r="AU63" i="7"/>
  <c r="U68" i="19" s="1"/>
  <c r="AU5" i="7"/>
  <c r="AA251" i="28"/>
  <c r="AU251" i="28" s="1"/>
  <c r="Z34" i="28"/>
  <c r="Z71" i="28"/>
  <c r="Y664" i="28"/>
  <c r="AA668" i="28"/>
  <c r="AP668" i="28" s="1"/>
  <c r="Y614" i="28"/>
  <c r="Y304" i="28"/>
  <c r="Y41" i="28"/>
  <c r="AU19" i="7"/>
  <c r="AA242" i="28"/>
  <c r="AU242" i="28" s="1"/>
  <c r="AA653" i="28"/>
  <c r="AU653" i="28" s="1"/>
  <c r="Y504" i="28"/>
  <c r="AA504" i="28"/>
  <c r="Y100" i="28"/>
  <c r="Y211" i="14"/>
  <c r="AF211" i="14" s="1"/>
  <c r="AU70" i="7"/>
  <c r="AA37" i="28"/>
  <c r="AP37" i="28" s="1"/>
  <c r="AU11" i="7"/>
  <c r="AU82" i="7"/>
  <c r="Y362" i="28"/>
  <c r="Y620" i="28"/>
  <c r="Z403" i="28"/>
  <c r="Z31" i="28"/>
  <c r="AU53" i="7"/>
  <c r="AA189" i="28"/>
  <c r="AU189" i="28" s="1"/>
  <c r="AA157" i="28"/>
  <c r="AU157" i="28" s="1"/>
  <c r="Z733" i="28"/>
  <c r="Y338" i="28"/>
  <c r="AU87" i="7"/>
  <c r="Z181" i="28"/>
  <c r="AA257" i="28"/>
  <c r="Y579" i="28"/>
  <c r="Y342" i="28"/>
  <c r="AU47" i="7"/>
  <c r="Z568" i="28"/>
  <c r="AA111" i="28"/>
  <c r="Y256" i="28"/>
  <c r="Y6" i="28"/>
  <c r="AA659" i="28"/>
  <c r="Y636" i="28"/>
  <c r="AU46" i="7"/>
  <c r="AU21" i="7"/>
  <c r="AA372" i="28"/>
  <c r="BA372" i="28" s="1"/>
  <c r="AU92" i="7"/>
  <c r="Y208" i="14"/>
  <c r="AF208" i="14" s="1"/>
  <c r="AH208" i="14" s="1"/>
  <c r="AV208" i="14" s="1"/>
  <c r="Z569" i="28"/>
  <c r="Y492" i="28"/>
  <c r="Y496" i="28"/>
  <c r="Y111" i="28"/>
  <c r="Z105" i="28"/>
  <c r="AA309" i="28"/>
  <c r="AP309" i="28" s="1"/>
  <c r="Y102" i="28"/>
  <c r="Y446" i="28"/>
  <c r="AP43" i="28"/>
  <c r="Y353" i="28"/>
  <c r="AU64" i="7"/>
  <c r="Y605" i="28"/>
  <c r="Y137" i="28"/>
  <c r="AU33" i="7"/>
  <c r="Z732" i="28"/>
  <c r="Z468" i="28"/>
  <c r="Z216" i="14"/>
  <c r="AG216" i="14" s="1"/>
  <c r="Y57" i="28"/>
  <c r="Y722" i="28"/>
  <c r="AU40" i="7"/>
  <c r="Y542" i="28"/>
  <c r="Z207" i="14"/>
  <c r="AG207" i="14" s="1"/>
  <c r="AA318" i="28"/>
  <c r="AP318" i="28" s="1"/>
  <c r="Y739" i="28"/>
  <c r="AA230" i="28"/>
  <c r="BA230" i="28" s="1"/>
  <c r="AU61" i="7"/>
  <c r="Y626" i="28"/>
  <c r="Y477" i="28"/>
  <c r="Y333" i="28"/>
  <c r="Y770" i="28"/>
  <c r="Y686" i="28"/>
  <c r="Y762" i="28"/>
  <c r="Y702" i="28"/>
  <c r="AU60" i="7"/>
  <c r="AU35" i="7"/>
  <c r="Z103" i="28"/>
  <c r="BW91" i="7"/>
  <c r="BV91" i="7" s="1"/>
  <c r="AA60" i="28"/>
  <c r="AU60" i="28" s="1"/>
  <c r="BA43" i="28"/>
  <c r="Y759" i="28"/>
  <c r="AU15" i="7"/>
  <c r="AA173" i="28"/>
  <c r="AP173" i="28" s="1"/>
  <c r="Y766" i="28"/>
  <c r="Y645" i="28"/>
  <c r="Z724" i="28"/>
  <c r="AA55" i="28"/>
  <c r="AU55" i="28" s="1"/>
  <c r="AA562" i="28"/>
  <c r="BA562" i="28" s="1"/>
  <c r="Z505" i="28"/>
  <c r="Y537" i="28"/>
  <c r="Y753" i="28"/>
  <c r="Z166" i="28"/>
  <c r="AU76" i="7"/>
  <c r="AU28" i="7"/>
  <c r="Y189" i="28"/>
  <c r="Y141" i="28"/>
  <c r="AA61" i="28"/>
  <c r="AU61" i="28" s="1"/>
  <c r="Y554" i="28"/>
  <c r="AA339" i="28"/>
  <c r="AU339" i="28" s="1"/>
  <c r="Y509" i="28"/>
  <c r="Y678" i="28"/>
  <c r="Y663" i="28"/>
  <c r="AU74" i="7"/>
  <c r="Y200" i="28"/>
  <c r="Y297" i="28"/>
  <c r="AA275" i="28"/>
  <c r="AA408" i="28"/>
  <c r="AU408" i="28" s="1"/>
  <c r="AA551" i="28"/>
  <c r="AP551" i="28" s="1"/>
  <c r="AX529" i="28"/>
  <c r="AX541" i="28"/>
  <c r="AX511" i="28"/>
  <c r="AX116" i="28"/>
  <c r="AX128" i="28"/>
  <c r="AX524" i="28"/>
  <c r="AX629" i="28"/>
  <c r="AX603" i="28"/>
  <c r="AX731" i="28"/>
  <c r="AX406" i="28"/>
  <c r="AU81" i="7"/>
  <c r="AA618" i="28"/>
  <c r="AP618" i="28" s="1"/>
  <c r="AA287" i="28"/>
  <c r="Y458" i="28"/>
  <c r="Y20" i="28"/>
  <c r="Y617" i="28"/>
  <c r="Y290" i="28"/>
  <c r="AA194" i="28"/>
  <c r="AP194" i="28" s="1"/>
  <c r="Y29" i="28"/>
  <c r="AA236" i="28"/>
  <c r="BA236" i="28" s="1"/>
  <c r="AU41" i="7"/>
  <c r="Y493" i="28"/>
  <c r="AU79" i="7"/>
  <c r="AA582" i="28"/>
  <c r="AP582" i="28" s="1"/>
  <c r="Y742" i="28"/>
  <c r="Y367" i="28"/>
  <c r="Z395" i="28"/>
  <c r="AA506" i="28"/>
  <c r="BA506" i="28" s="1"/>
  <c r="Z214" i="14"/>
  <c r="AG214" i="14" s="1"/>
  <c r="Y569" i="28"/>
  <c r="AU45" i="7"/>
  <c r="Y5" i="28"/>
  <c r="Y571" i="28"/>
  <c r="AU80" i="7"/>
  <c r="Y109" i="28"/>
  <c r="AU50" i="7"/>
  <c r="Y114" i="28"/>
  <c r="AA407" i="28"/>
  <c r="AU407" i="28" s="1"/>
  <c r="Z464" i="28"/>
  <c r="Y769" i="28"/>
  <c r="AA212" i="28"/>
  <c r="AX394" i="28"/>
  <c r="AX327" i="28"/>
  <c r="AX397" i="28"/>
  <c r="AX416" i="28"/>
  <c r="AX396" i="28"/>
  <c r="AX325" i="28"/>
  <c r="AX323" i="28"/>
  <c r="AX321" i="28"/>
  <c r="AX331" i="28"/>
  <c r="Z514" i="28"/>
  <c r="Y553" i="28"/>
  <c r="Y398" i="28"/>
  <c r="AU86" i="7"/>
  <c r="Y725" i="28"/>
  <c r="Y66" i="28"/>
  <c r="AA683" i="28"/>
  <c r="AA38" i="28"/>
  <c r="BA38" i="28" s="1"/>
  <c r="Y438" i="28"/>
  <c r="AA688" i="28"/>
  <c r="BA688" i="28" s="1"/>
  <c r="Y212" i="28"/>
  <c r="AA237" i="28"/>
  <c r="AA113" i="28"/>
  <c r="AP113" i="28" s="1"/>
  <c r="Y734" i="28"/>
  <c r="Y721" i="28"/>
  <c r="Z541" i="28"/>
  <c r="AA557" i="28"/>
  <c r="AP557" i="28" s="1"/>
  <c r="AU14" i="7"/>
  <c r="Y730" i="28"/>
  <c r="AA692" i="28"/>
  <c r="Z183" i="28"/>
  <c r="Y573" i="28"/>
  <c r="AU68" i="7"/>
  <c r="AU31" i="7"/>
  <c r="Y116" i="28"/>
  <c r="AA13" i="28"/>
  <c r="AP13" i="28" s="1"/>
  <c r="Z721" i="28"/>
  <c r="Y536" i="28"/>
  <c r="AA120" i="28"/>
  <c r="BA120" i="28" s="1"/>
  <c r="AU12" i="7"/>
  <c r="AU29" i="7"/>
  <c r="Y670" i="28"/>
  <c r="AS96" i="7"/>
  <c r="Y44" i="28"/>
  <c r="AU83" i="7"/>
  <c r="Y92" i="28"/>
  <c r="AA411" i="28"/>
  <c r="Y378" i="28"/>
  <c r="AA42" i="28"/>
  <c r="AU42" i="28" s="1"/>
  <c r="Y417" i="28"/>
  <c r="AA178" i="28"/>
  <c r="BA178" i="28" s="1"/>
  <c r="AA168" i="28"/>
  <c r="BA168" i="28" s="1"/>
  <c r="Y45" i="28"/>
  <c r="AA40" i="28"/>
  <c r="AU40" i="28" s="1"/>
  <c r="Y193" i="28"/>
  <c r="AU90" i="7"/>
  <c r="Y25" i="28"/>
  <c r="AU89" i="7"/>
  <c r="AA83" i="28"/>
  <c r="AP83" i="28" s="1"/>
  <c r="AU16" i="7"/>
  <c r="AU62" i="7"/>
  <c r="AA142" i="28"/>
  <c r="AA519" i="28"/>
  <c r="AP519" i="28" s="1"/>
  <c r="AA629" i="28"/>
  <c r="BA629" i="28" s="1"/>
  <c r="AA369" i="28"/>
  <c r="Y129" i="28"/>
  <c r="AA222" i="28"/>
  <c r="Y629" i="28"/>
  <c r="AA225" i="28"/>
  <c r="AU225" i="28" s="1"/>
  <c r="AA125" i="28"/>
  <c r="AP125" i="28" s="1"/>
  <c r="Y570" i="28"/>
  <c r="AA179" i="28"/>
  <c r="AU179" i="28" s="1"/>
  <c r="Y206" i="14"/>
  <c r="AF206" i="14" s="1"/>
  <c r="AU71" i="7"/>
  <c r="Z118" i="28"/>
  <c r="AU38" i="7"/>
  <c r="AA404" i="28"/>
  <c r="AA116" i="28"/>
  <c r="AP116" i="28" s="1"/>
  <c r="AA81" i="28"/>
  <c r="AP81" i="28" s="1"/>
  <c r="AU57" i="7"/>
  <c r="AU51" i="7"/>
  <c r="AA554" i="28"/>
  <c r="AU554" i="28" s="1"/>
  <c r="Y346" i="28"/>
  <c r="AA109" i="28"/>
  <c r="AP109" i="28" s="1"/>
  <c r="Y453" i="28"/>
  <c r="AA290" i="28"/>
  <c r="BA290" i="28" s="1"/>
  <c r="Y782" i="28"/>
  <c r="AA44" i="28"/>
  <c r="AP44" i="28" s="1"/>
  <c r="AA338" i="28"/>
  <c r="W140" i="14"/>
  <c r="W55" i="14"/>
  <c r="W48" i="14"/>
  <c r="W181" i="14"/>
  <c r="W96" i="14"/>
  <c r="W11" i="14"/>
  <c r="W108" i="14"/>
  <c r="W25" i="14"/>
  <c r="W164" i="14"/>
  <c r="W189" i="14"/>
  <c r="W89" i="14"/>
  <c r="W4" i="14"/>
  <c r="W46" i="14"/>
  <c r="W210" i="14"/>
  <c r="AA289" i="28"/>
  <c r="BA289" i="28" s="1"/>
  <c r="AA126" i="28"/>
  <c r="AP126" i="28" s="1"/>
  <c r="Z536" i="28"/>
  <c r="Z548" i="28"/>
  <c r="Z728" i="28"/>
  <c r="AA24" i="28"/>
  <c r="AU24" i="28" s="1"/>
  <c r="AA342" i="28"/>
  <c r="BA342" i="28" s="1"/>
  <c r="AA48" i="28"/>
  <c r="AU48" i="28" s="1"/>
  <c r="Z155" i="28"/>
  <c r="AA508" i="28"/>
  <c r="AA350" i="28"/>
  <c r="AP350" i="28" s="1"/>
  <c r="AA192" i="28"/>
  <c r="AP192" i="28" s="1"/>
  <c r="AA390" i="28"/>
  <c r="AP390" i="28" s="1"/>
  <c r="AA362" i="28"/>
  <c r="BA362" i="28" s="1"/>
  <c r="Y470" i="28"/>
  <c r="AA203" i="28"/>
  <c r="BA203" i="28" s="1"/>
  <c r="AA565" i="28"/>
  <c r="AU565" i="28" s="1"/>
  <c r="AU26" i="7"/>
  <c r="Y326" i="28"/>
  <c r="Y441" i="28"/>
  <c r="AA28" i="28"/>
  <c r="AP28" i="28" s="1"/>
  <c r="Y578" i="28"/>
  <c r="AU17" i="7"/>
  <c r="Y498" i="28"/>
  <c r="AA17" i="28"/>
  <c r="AU17" i="28" s="1"/>
  <c r="Y210" i="14"/>
  <c r="AF210" i="14" s="1"/>
  <c r="Y642" i="28"/>
  <c r="AU65" i="7"/>
  <c r="Z11" i="28"/>
  <c r="Z95" i="28"/>
  <c r="AA400" i="28"/>
  <c r="AP400" i="28" s="1"/>
  <c r="AA340" i="28"/>
  <c r="AP340" i="28" s="1"/>
  <c r="AA96" i="28"/>
  <c r="BA96" i="28" s="1"/>
  <c r="AA602" i="28"/>
  <c r="BA602" i="28" s="1"/>
  <c r="Y726" i="28"/>
  <c r="AA247" i="28"/>
  <c r="AP247" i="28" s="1"/>
  <c r="AA180" i="28"/>
  <c r="AP180" i="28" s="1"/>
  <c r="AA36" i="28"/>
  <c r="AU36" i="28" s="1"/>
  <c r="AA636" i="28"/>
  <c r="AU636" i="28" s="1"/>
  <c r="AA86" i="28"/>
  <c r="AP86" i="28" s="1"/>
  <c r="AA384" i="28"/>
  <c r="AP384" i="28" s="1"/>
  <c r="AA708" i="28"/>
  <c r="AP708" i="28" s="1"/>
  <c r="Y717" i="28"/>
  <c r="AA163" i="28"/>
  <c r="BA163" i="28" s="1"/>
  <c r="AA734" i="28"/>
  <c r="Y750" i="28"/>
  <c r="AA102" i="28"/>
  <c r="AA347" i="28"/>
  <c r="BA347" i="28" s="1"/>
  <c r="AA164" i="28"/>
  <c r="AU164" i="28" s="1"/>
  <c r="Y710" i="28"/>
  <c r="AA710" i="28"/>
  <c r="AA393" i="28"/>
  <c r="AP393" i="28" s="1"/>
  <c r="AA19" i="28"/>
  <c r="AP19" i="28" s="1"/>
  <c r="AA552" i="28"/>
  <c r="AP552" i="28" s="1"/>
  <c r="AA47" i="28"/>
  <c r="AP47" i="28" s="1"/>
  <c r="Y34" i="28"/>
  <c r="Y598" i="28"/>
  <c r="AA684" i="28"/>
  <c r="AP684" i="28" s="1"/>
  <c r="Y738" i="28"/>
  <c r="AU93" i="7"/>
  <c r="Y450" i="28"/>
  <c r="AU36" i="7"/>
  <c r="AA547" i="28"/>
  <c r="AP547" i="28" s="1"/>
  <c r="AA640" i="28"/>
  <c r="AP640" i="28" s="1"/>
  <c r="AA729" i="28"/>
  <c r="BA729" i="28" s="1"/>
  <c r="AA51" i="28"/>
  <c r="AU51" i="28" s="1"/>
  <c r="AA110" i="28"/>
  <c r="AP110" i="28" s="1"/>
  <c r="Y583" i="28"/>
  <c r="Y643" i="28"/>
  <c r="Y511" i="28"/>
  <c r="Y715" i="28"/>
  <c r="Y559" i="28"/>
  <c r="Y619" i="28"/>
  <c r="Y679" i="28"/>
  <c r="AA416" i="28"/>
  <c r="AP416" i="28" s="1"/>
  <c r="AA20" i="28"/>
  <c r="X72" i="14"/>
  <c r="X107" i="14"/>
  <c r="X158" i="14"/>
  <c r="X125" i="14"/>
  <c r="X24" i="14"/>
  <c r="AX401" i="28"/>
  <c r="AX340" i="28"/>
  <c r="AX413" i="28"/>
  <c r="X133" i="14"/>
  <c r="X118" i="14"/>
  <c r="X205" i="14"/>
  <c r="AX392" i="28"/>
  <c r="AX417" i="28"/>
  <c r="AX334" i="28"/>
  <c r="AX338" i="28"/>
  <c r="AX395" i="28"/>
  <c r="AX407" i="28"/>
  <c r="AX336" i="28"/>
  <c r="X8" i="14"/>
  <c r="X93" i="14"/>
  <c r="X123" i="14"/>
  <c r="AX399" i="28"/>
  <c r="AX410" i="28"/>
  <c r="BJ56" i="7"/>
  <c r="AA72" i="28"/>
  <c r="AP72" i="28" s="1"/>
  <c r="AA353" i="28"/>
  <c r="AP353" i="28" s="1"/>
  <c r="AA312" i="28"/>
  <c r="AA300" i="28"/>
  <c r="BA300" i="28" s="1"/>
  <c r="AA626" i="28"/>
  <c r="AU626" i="28" s="1"/>
  <c r="AA288" i="28"/>
  <c r="AU288" i="28" s="1"/>
  <c r="AA685" i="28"/>
  <c r="AU685" i="28" s="1"/>
  <c r="AA202" i="28"/>
  <c r="AP202" i="28" s="1"/>
  <c r="BW56" i="7"/>
  <c r="BV56" i="7" s="1"/>
  <c r="AA782" i="28"/>
  <c r="AA52" i="28"/>
  <c r="AA378" i="28"/>
  <c r="AA77" i="28"/>
  <c r="AU77" i="28" s="1"/>
  <c r="AA613" i="28"/>
  <c r="AA12" i="28"/>
  <c r="AP12" i="28" s="1"/>
  <c r="AA122" i="28"/>
  <c r="AA235" i="28"/>
  <c r="AA578" i="28"/>
  <c r="AA165" i="28"/>
  <c r="AA214" i="28"/>
  <c r="AA62" i="28"/>
  <c r="AA295" i="28"/>
  <c r="AU229" i="28"/>
  <c r="AA175" i="28"/>
  <c r="AA283" i="28"/>
  <c r="AA127" i="28"/>
  <c r="AA31" i="28"/>
  <c r="AA383" i="28"/>
  <c r="AA240" i="28"/>
  <c r="AA732" i="28"/>
  <c r="BA732" i="28" s="1"/>
  <c r="AA522" i="28"/>
  <c r="AA84" i="28"/>
  <c r="AA160" i="28"/>
  <c r="AA21" i="28"/>
  <c r="AA114" i="28"/>
  <c r="AA103" i="28"/>
  <c r="BA103" i="28" s="1"/>
  <c r="AA746" i="28"/>
  <c r="AA228" i="28"/>
  <c r="AA700" i="28"/>
  <c r="Y145" i="28"/>
  <c r="AA74" i="28"/>
  <c r="AA666" i="28"/>
  <c r="AA517" i="28"/>
  <c r="AA66" i="28"/>
  <c r="AA770" i="28"/>
  <c r="AA686" i="28"/>
  <c r="AA330" i="28"/>
  <c r="AA6" i="28"/>
  <c r="AA593" i="28"/>
  <c r="AA326" i="28"/>
  <c r="AA16" i="28"/>
  <c r="AA660" i="28"/>
  <c r="AU600" i="28"/>
  <c r="AA352" i="28"/>
  <c r="AA542" i="28"/>
  <c r="AA132" i="28"/>
  <c r="AA412" i="28"/>
  <c r="Y118" i="28"/>
  <c r="AA396" i="28"/>
  <c r="AA540" i="28"/>
  <c r="AA156" i="28"/>
  <c r="AA614" i="28"/>
  <c r="AA566" i="28"/>
  <c r="AA27" i="28"/>
  <c r="AA518" i="28"/>
  <c r="AU144" i="28"/>
  <c r="AA274" i="28"/>
  <c r="AA204" i="28"/>
  <c r="AA262" i="28"/>
  <c r="AA588" i="28"/>
  <c r="AA218" i="28"/>
  <c r="AA388" i="28"/>
  <c r="AA151" i="28"/>
  <c r="AA733" i="28"/>
  <c r="AA292" i="28"/>
  <c r="AA32" i="28"/>
  <c r="AA302" i="28"/>
  <c r="AA184" i="28"/>
  <c r="AA336" i="28"/>
  <c r="AA375" i="28"/>
  <c r="AA625" i="28"/>
  <c r="AA101" i="28"/>
  <c r="AA149" i="28"/>
  <c r="AA98" i="28"/>
  <c r="AA303" i="28"/>
  <c r="AA753" i="28"/>
  <c r="AA208" i="28"/>
  <c r="AA71" i="28"/>
  <c r="AA63" i="28"/>
  <c r="AA23" i="28"/>
  <c r="AA171" i="28"/>
  <c r="AA694" i="28"/>
  <c r="AA558" i="28"/>
  <c r="BA245" i="28"/>
  <c r="AP245" i="28"/>
  <c r="AU245" i="28"/>
  <c r="AA264" i="28"/>
  <c r="AA748" i="28"/>
  <c r="AA172" i="28"/>
  <c r="AA777" i="28"/>
  <c r="AA687" i="28"/>
  <c r="AA611" i="28"/>
  <c r="AU50" i="28"/>
  <c r="AP50" i="28"/>
  <c r="BA50" i="28"/>
  <c r="AA291" i="28"/>
  <c r="AA147" i="28"/>
  <c r="AA137" i="28"/>
  <c r="AA15" i="28"/>
  <c r="AA255" i="28"/>
  <c r="AA159" i="28"/>
  <c r="Q95" i="20" l="1"/>
  <c r="U95" i="20" s="1"/>
  <c r="U65" i="19"/>
  <c r="AH337" i="14"/>
  <c r="AV337" i="14" s="1"/>
  <c r="AP174" i="28"/>
  <c r="AU174" i="28"/>
  <c r="AP144" i="28"/>
  <c r="AH322" i="14"/>
  <c r="AV322" i="14" s="1"/>
  <c r="AP216" i="28"/>
  <c r="BA195" i="28"/>
  <c r="BA600" i="28"/>
  <c r="AP229" i="28"/>
  <c r="BA216" i="28"/>
  <c r="AP195" i="28"/>
  <c r="BJ32" i="7"/>
  <c r="BA470" i="28"/>
  <c r="AA462" i="28"/>
  <c r="AP462" i="28" s="1"/>
  <c r="BJ48" i="7"/>
  <c r="Q228" i="18"/>
  <c r="S228" i="18" s="1"/>
  <c r="BU48" i="7"/>
  <c r="AA498" i="28"/>
  <c r="BA498" i="28" s="1"/>
  <c r="AA473" i="28"/>
  <c r="BA473" i="28" s="1"/>
  <c r="BW84" i="7"/>
  <c r="BV84" i="7" s="1"/>
  <c r="BJ84" i="7"/>
  <c r="BJ59" i="7"/>
  <c r="AA432" i="28"/>
  <c r="AP432" i="28" s="1"/>
  <c r="BJ18" i="7"/>
  <c r="AA451" i="28"/>
  <c r="AP451" i="28" s="1"/>
  <c r="AS116" i="7"/>
  <c r="AF320" i="14" s="1"/>
  <c r="BU84" i="7"/>
  <c r="AA427" i="28"/>
  <c r="AP427" i="28" s="1"/>
  <c r="BW32" i="7"/>
  <c r="BV32" i="7" s="1"/>
  <c r="AU470" i="28"/>
  <c r="BJ78" i="7"/>
  <c r="AA420" i="28"/>
  <c r="AP420" i="28" s="1"/>
  <c r="BJ88" i="7"/>
  <c r="BJ13" i="7"/>
  <c r="BJ69" i="7"/>
  <c r="BJ75" i="7"/>
  <c r="AA486" i="28"/>
  <c r="BA486" i="28" s="1"/>
  <c r="BJ24" i="7"/>
  <c r="AA489" i="28"/>
  <c r="AP489" i="28" s="1"/>
  <c r="BJ94" i="7"/>
  <c r="BW25" i="7"/>
  <c r="BV25" i="7" s="1"/>
  <c r="BJ10" i="7"/>
  <c r="BW78" i="7"/>
  <c r="BV78" i="7" s="1"/>
  <c r="AA739" i="28"/>
  <c r="BA739" i="28" s="1"/>
  <c r="BW24" i="7"/>
  <c r="BV24" i="7" s="1"/>
  <c r="BW72" i="7"/>
  <c r="BV72" i="7" s="1"/>
  <c r="BJ25" i="7"/>
  <c r="AA492" i="28"/>
  <c r="BA492" i="28" s="1"/>
  <c r="AA439" i="28"/>
  <c r="AP439" i="28" s="1"/>
  <c r="BO25" i="7"/>
  <c r="V162" i="14" s="1"/>
  <c r="BU25" i="7"/>
  <c r="AP91" i="28"/>
  <c r="AT116" i="7"/>
  <c r="Z320" i="14" s="1"/>
  <c r="AG320" i="14" s="1"/>
  <c r="AA458" i="28"/>
  <c r="BA458" i="28" s="1"/>
  <c r="BW44" i="7"/>
  <c r="BV44" i="7" s="1"/>
  <c r="AA483" i="28"/>
  <c r="BA483" i="28" s="1"/>
  <c r="AA214" i="14"/>
  <c r="AT439" i="28"/>
  <c r="BJ73" i="7"/>
  <c r="AA487" i="28"/>
  <c r="BA487" i="28" s="1"/>
  <c r="BW73" i="7"/>
  <c r="BV73" i="7" s="1"/>
  <c r="BW8" i="7"/>
  <c r="BV8" i="7" s="1"/>
  <c r="AA422" i="28"/>
  <c r="BA422" i="28" s="1"/>
  <c r="BW30" i="7"/>
  <c r="BV30" i="7" s="1"/>
  <c r="BJ30" i="7"/>
  <c r="AP676" i="28"/>
  <c r="BJ6" i="7"/>
  <c r="AU676" i="28"/>
  <c r="Q225" i="18"/>
  <c r="S225" i="18" s="1"/>
  <c r="BU33" i="7"/>
  <c r="BO33" i="7"/>
  <c r="BU23" i="7"/>
  <c r="BO23" i="7"/>
  <c r="BU37" i="7"/>
  <c r="BO37" i="7"/>
  <c r="V34" i="14" s="1"/>
  <c r="Q281" i="18"/>
  <c r="S281" i="18" s="1"/>
  <c r="BO59" i="7"/>
  <c r="V56" i="14" s="1"/>
  <c r="BU59" i="7"/>
  <c r="BU14" i="7"/>
  <c r="BO14" i="7"/>
  <c r="Q219" i="18"/>
  <c r="S219" i="18" s="1"/>
  <c r="BO36" i="7"/>
  <c r="BU36" i="7"/>
  <c r="BU41" i="7"/>
  <c r="BO41" i="7"/>
  <c r="V38" i="14" s="1"/>
  <c r="AA263" i="14"/>
  <c r="BO70" i="7"/>
  <c r="BU70" i="7"/>
  <c r="BO39" i="7"/>
  <c r="V36" i="14" s="1"/>
  <c r="BU39" i="7"/>
  <c r="BO13" i="7"/>
  <c r="V10" i="14" s="1"/>
  <c r="BU13" i="7"/>
  <c r="BU69" i="7"/>
  <c r="BO69" i="7"/>
  <c r="V272" i="14" s="1"/>
  <c r="Q235" i="18"/>
  <c r="AT492" i="28" s="1"/>
  <c r="BO78" i="7"/>
  <c r="BU78" i="7"/>
  <c r="BU72" i="7"/>
  <c r="BO72" i="7"/>
  <c r="Q249" i="18"/>
  <c r="S249" i="18" s="1"/>
  <c r="BU26" i="7"/>
  <c r="BO26" i="7"/>
  <c r="V163" i="14" s="1"/>
  <c r="BO40" i="7"/>
  <c r="V37" i="14" s="1"/>
  <c r="BU40" i="7"/>
  <c r="BU7" i="7"/>
  <c r="BO7" i="7"/>
  <c r="V4" i="14" s="1"/>
  <c r="BJ66" i="7"/>
  <c r="BO66" i="7"/>
  <c r="V63" i="14" s="1"/>
  <c r="BU66" i="7"/>
  <c r="AA456" i="28"/>
  <c r="AP456" i="28" s="1"/>
  <c r="BO42" i="7"/>
  <c r="V39" i="14" s="1"/>
  <c r="BU42" i="7"/>
  <c r="BO34" i="7"/>
  <c r="V179" i="14" s="1"/>
  <c r="BU34" i="7"/>
  <c r="BO10" i="7"/>
  <c r="V268" i="14" s="1"/>
  <c r="BU10" i="7"/>
  <c r="Q248" i="18"/>
  <c r="AT738" i="28" s="1"/>
  <c r="BU93" i="7"/>
  <c r="BO93" i="7"/>
  <c r="V115" i="14" s="1"/>
  <c r="BO83" i="7"/>
  <c r="V80" i="14" s="1"/>
  <c r="BU83" i="7"/>
  <c r="BU50" i="7"/>
  <c r="BO50" i="7"/>
  <c r="V47" i="14" s="1"/>
  <c r="BU9" i="7"/>
  <c r="BO9" i="7"/>
  <c r="BU20" i="7"/>
  <c r="BO20" i="7"/>
  <c r="V177" i="14" s="1"/>
  <c r="BU65" i="7"/>
  <c r="BO65" i="7"/>
  <c r="BW38" i="7"/>
  <c r="BV38" i="7" s="1"/>
  <c r="BU38" i="7"/>
  <c r="BO38" i="7"/>
  <c r="V35" i="14" s="1"/>
  <c r="BU29" i="7"/>
  <c r="BO29" i="7"/>
  <c r="V26" i="14" s="1"/>
  <c r="BU31" i="7"/>
  <c r="BO31" i="7"/>
  <c r="V28" i="14" s="1"/>
  <c r="AA429" i="28"/>
  <c r="BA429" i="28" s="1"/>
  <c r="BU15" i="7"/>
  <c r="BO15" i="7"/>
  <c r="V97" i="14" s="1"/>
  <c r="Q252" i="18"/>
  <c r="S252" i="18" s="1"/>
  <c r="BO95" i="7"/>
  <c r="V133" i="14" s="1"/>
  <c r="BU95" i="7"/>
  <c r="Q223" i="18"/>
  <c r="S223" i="18" s="1"/>
  <c r="BO22" i="7"/>
  <c r="BU22" i="7"/>
  <c r="BU55" i="7"/>
  <c r="BO55" i="7"/>
  <c r="V52" i="14" s="1"/>
  <c r="CV116" i="7"/>
  <c r="CW116" i="7" s="1"/>
  <c r="BU28" i="7"/>
  <c r="BO28" i="7"/>
  <c r="V25" i="14" s="1"/>
  <c r="BO5" i="7"/>
  <c r="BU5" i="7"/>
  <c r="BO52" i="7"/>
  <c r="V182" i="14" s="1"/>
  <c r="BU52" i="7"/>
  <c r="BU49" i="7"/>
  <c r="BO49" i="7"/>
  <c r="V271" i="14" s="1"/>
  <c r="Q246" i="18"/>
  <c r="S246" i="18" s="1"/>
  <c r="BU45" i="7"/>
  <c r="BO45" i="7"/>
  <c r="V42" i="14" s="1"/>
  <c r="BO60" i="7"/>
  <c r="V57" i="14" s="1"/>
  <c r="BU60" i="7"/>
  <c r="BU64" i="7"/>
  <c r="BO64" i="7"/>
  <c r="BO27" i="7"/>
  <c r="V158" i="14" s="1"/>
  <c r="BU27" i="7"/>
  <c r="BU77" i="7"/>
  <c r="BO77" i="7"/>
  <c r="V191" i="14" s="1"/>
  <c r="BO68" i="7"/>
  <c r="V65" i="14" s="1"/>
  <c r="BU68" i="7"/>
  <c r="BU76" i="7"/>
  <c r="BO76" i="7"/>
  <c r="BU87" i="7"/>
  <c r="BO87" i="7"/>
  <c r="V84" i="14" s="1"/>
  <c r="BJ82" i="7"/>
  <c r="BO82" i="7"/>
  <c r="BU82" i="7"/>
  <c r="BU19" i="7"/>
  <c r="BO19" i="7"/>
  <c r="V16" i="14" s="1"/>
  <c r="BU85" i="7"/>
  <c r="BO85" i="7"/>
  <c r="V82" i="14" s="1"/>
  <c r="CU118" i="7"/>
  <c r="CR118" i="7"/>
  <c r="CO118" i="7"/>
  <c r="CL118" i="7"/>
  <c r="BT118" i="7"/>
  <c r="BP118" i="7"/>
  <c r="CS118" i="7"/>
  <c r="CP118" i="7"/>
  <c r="CM118" i="7"/>
  <c r="CJ118" i="7"/>
  <c r="BQ118" i="7"/>
  <c r="BN118" i="7"/>
  <c r="BR118" i="7"/>
  <c r="CT118" i="7"/>
  <c r="CQ118" i="7"/>
  <c r="CN118" i="7"/>
  <c r="CK118" i="7"/>
  <c r="Q251" i="18"/>
  <c r="S251" i="18" s="1"/>
  <c r="BU91" i="7"/>
  <c r="BO91" i="7"/>
  <c r="V113" i="14" s="1"/>
  <c r="BO18" i="7"/>
  <c r="V15" i="14" s="1"/>
  <c r="BU18" i="7"/>
  <c r="AA502" i="28"/>
  <c r="BU88" i="7"/>
  <c r="BO88" i="7"/>
  <c r="V85" i="14" s="1"/>
  <c r="BO16" i="7"/>
  <c r="BU16" i="7"/>
  <c r="BO89" i="7"/>
  <c r="V86" i="14" s="1"/>
  <c r="BU89" i="7"/>
  <c r="Q256" i="18"/>
  <c r="S256" i="18" s="1"/>
  <c r="BO80" i="7"/>
  <c r="V77" i="14" s="1"/>
  <c r="BU80" i="7"/>
  <c r="BU81" i="7"/>
  <c r="BO81" i="7"/>
  <c r="BO46" i="7"/>
  <c r="V190" i="14" s="1"/>
  <c r="BU46" i="7"/>
  <c r="BU53" i="7"/>
  <c r="BO53" i="7"/>
  <c r="V50" i="14" s="1"/>
  <c r="BO58" i="7"/>
  <c r="V140" i="14" s="1"/>
  <c r="BU58" i="7"/>
  <c r="BU73" i="7"/>
  <c r="BO73" i="7"/>
  <c r="V239" i="14" s="1"/>
  <c r="Q245" i="18"/>
  <c r="S245" i="18" s="1"/>
  <c r="BO44" i="7"/>
  <c r="V41" i="14" s="1"/>
  <c r="BU44" i="7"/>
  <c r="BO17" i="7"/>
  <c r="V14" i="14" s="1"/>
  <c r="BU17" i="7"/>
  <c r="Q227" i="18"/>
  <c r="S227" i="18" s="1"/>
  <c r="BU35" i="7"/>
  <c r="BO35" i="7"/>
  <c r="BU61" i="7"/>
  <c r="BO61" i="7"/>
  <c r="V129" i="14" s="1"/>
  <c r="BO47" i="7"/>
  <c r="V44" i="14" s="1"/>
  <c r="BU47" i="7"/>
  <c r="BU11" i="7"/>
  <c r="BO11" i="7"/>
  <c r="BO94" i="7"/>
  <c r="V117" i="14" s="1"/>
  <c r="BU94" i="7"/>
  <c r="BU43" i="7"/>
  <c r="BO43" i="7"/>
  <c r="BO30" i="7"/>
  <c r="V275" i="14" s="1"/>
  <c r="BU30" i="7"/>
  <c r="BO8" i="7"/>
  <c r="V5" i="14" s="1"/>
  <c r="BU8" i="7"/>
  <c r="BO75" i="7"/>
  <c r="V144" i="14" s="1"/>
  <c r="BU75" i="7"/>
  <c r="BO71" i="7"/>
  <c r="BU71" i="7"/>
  <c r="Q230" i="18"/>
  <c r="S230" i="18" s="1"/>
  <c r="BO51" i="7"/>
  <c r="BU51" i="7"/>
  <c r="BU62" i="7"/>
  <c r="BO62" i="7"/>
  <c r="BO92" i="7"/>
  <c r="BU92" i="7"/>
  <c r="Q232" i="18"/>
  <c r="S232" i="18" s="1"/>
  <c r="BO54" i="7"/>
  <c r="BU54" i="7"/>
  <c r="BO63" i="7"/>
  <c r="BU63" i="7"/>
  <c r="BW67" i="7"/>
  <c r="BV67" i="7" s="1"/>
  <c r="BU67" i="7"/>
  <c r="BO67" i="7"/>
  <c r="V64" i="14" s="1"/>
  <c r="BO6" i="7"/>
  <c r="V100" i="14" s="1"/>
  <c r="BU6" i="7"/>
  <c r="BJ57" i="7"/>
  <c r="BU57" i="7"/>
  <c r="BO57" i="7"/>
  <c r="BO12" i="7"/>
  <c r="BU12" i="7"/>
  <c r="BU79" i="7"/>
  <c r="BO79" i="7"/>
  <c r="V277" i="14" s="1"/>
  <c r="BU74" i="7"/>
  <c r="BO74" i="7"/>
  <c r="BO90" i="7"/>
  <c r="V270" i="14" s="1"/>
  <c r="BU90" i="7"/>
  <c r="BJ86" i="7"/>
  <c r="BO86" i="7"/>
  <c r="V83" i="14" s="1"/>
  <c r="BU86" i="7"/>
  <c r="BU21" i="7"/>
  <c r="BO21" i="7"/>
  <c r="V18" i="14" s="1"/>
  <c r="BO24" i="7"/>
  <c r="V21" i="14" s="1"/>
  <c r="BU24" i="7"/>
  <c r="Q224" i="18"/>
  <c r="S224" i="18" s="1"/>
  <c r="BO32" i="7"/>
  <c r="V178" i="14" s="1"/>
  <c r="BU32" i="7"/>
  <c r="CV117" i="7"/>
  <c r="CW117" i="7" s="1"/>
  <c r="AH267" i="14"/>
  <c r="AV267" i="14" s="1"/>
  <c r="AH215" i="14"/>
  <c r="AV215" i="14" s="1"/>
  <c r="AH266" i="14"/>
  <c r="AV266" i="14" s="1"/>
  <c r="AA415" i="28"/>
  <c r="AU415" i="28" s="1"/>
  <c r="BJ132" i="7"/>
  <c r="AH206" i="14"/>
  <c r="AV206" i="14" s="1"/>
  <c r="AH214" i="14"/>
  <c r="AV214" i="14" s="1"/>
  <c r="T281" i="18"/>
  <c r="AH262" i="14"/>
  <c r="BJ77" i="7"/>
  <c r="AI276" i="14"/>
  <c r="Q215" i="18"/>
  <c r="S215" i="18" s="1"/>
  <c r="AI275" i="14"/>
  <c r="AI274" i="14"/>
  <c r="Q242" i="18"/>
  <c r="AT487" i="28" s="1"/>
  <c r="Q216" i="18"/>
  <c r="S216" i="18" s="1"/>
  <c r="AI272" i="14"/>
  <c r="AA262" i="14"/>
  <c r="AH271" i="14"/>
  <c r="AV271" i="14" s="1"/>
  <c r="AH270" i="14"/>
  <c r="AV270" i="14" s="1"/>
  <c r="BW90" i="7"/>
  <c r="BV90" i="7" s="1"/>
  <c r="AH269" i="14"/>
  <c r="AV269" i="14" s="1"/>
  <c r="AA424" i="28"/>
  <c r="AP424" i="28" s="1"/>
  <c r="AH268" i="14"/>
  <c r="AV268" i="14" s="1"/>
  <c r="BW43" i="7"/>
  <c r="BV43" i="7" s="1"/>
  <c r="AA744" i="28"/>
  <c r="BA744" i="28" s="1"/>
  <c r="AA603" i="28"/>
  <c r="AU603" i="28" s="1"/>
  <c r="AA146" i="28"/>
  <c r="AU146" i="28" s="1"/>
  <c r="AA29" i="28"/>
  <c r="AP29" i="28" s="1"/>
  <c r="BJ21" i="7"/>
  <c r="AA305" i="28"/>
  <c r="AU305" i="28" s="1"/>
  <c r="AA223" i="28"/>
  <c r="BA223" i="28" s="1"/>
  <c r="BA109" i="28"/>
  <c r="AA736" i="28"/>
  <c r="BA736" i="28" s="1"/>
  <c r="BW95" i="7"/>
  <c r="BV95" i="7" s="1"/>
  <c r="AA298" i="28"/>
  <c r="AP298" i="28" s="1"/>
  <c r="AA655" i="28"/>
  <c r="BA37" i="28"/>
  <c r="AA88" i="28"/>
  <c r="AP88" i="28" s="1"/>
  <c r="AA689" i="28"/>
  <c r="AP689" i="28" s="1"/>
  <c r="AA123" i="28"/>
  <c r="AP60" i="28"/>
  <c r="AA187" i="28"/>
  <c r="AP187" i="28" s="1"/>
  <c r="BW66" i="7"/>
  <c r="BV66" i="7" s="1"/>
  <c r="AA301" i="28"/>
  <c r="AU301" i="28" s="1"/>
  <c r="AA480" i="28"/>
  <c r="AU480" i="28" s="1"/>
  <c r="AH207" i="14"/>
  <c r="AV207" i="14" s="1"/>
  <c r="AH211" i="14"/>
  <c r="AV211" i="14" s="1"/>
  <c r="BA44" i="28"/>
  <c r="AA215" i="14"/>
  <c r="Q229" i="18"/>
  <c r="S229" i="18" s="1"/>
  <c r="Q222" i="18"/>
  <c r="S222" i="18" s="1"/>
  <c r="Q275" i="18"/>
  <c r="BW71" i="7"/>
  <c r="BV71" i="7" s="1"/>
  <c r="Q264" i="18"/>
  <c r="Q267" i="18"/>
  <c r="Q240" i="18"/>
  <c r="BJ49" i="7"/>
  <c r="Q237" i="18"/>
  <c r="BJ17" i="7"/>
  <c r="Q265" i="18"/>
  <c r="Q257" i="18"/>
  <c r="Q244" i="18"/>
  <c r="AA488" i="28"/>
  <c r="AP488" i="28" s="1"/>
  <c r="Q243" i="18"/>
  <c r="Q233" i="18"/>
  <c r="Q282" i="18"/>
  <c r="BJ61" i="7"/>
  <c r="Q238" i="18"/>
  <c r="AA433" i="28"/>
  <c r="BA433" i="28" s="1"/>
  <c r="Q217" i="18"/>
  <c r="AA477" i="28"/>
  <c r="AP477" i="28" s="1"/>
  <c r="Q239" i="18"/>
  <c r="Q241" i="18"/>
  <c r="BJ92" i="7"/>
  <c r="Q253" i="18"/>
  <c r="Q234" i="18"/>
  <c r="AA478" i="28"/>
  <c r="AP478" i="28" s="1"/>
  <c r="Q258" i="18"/>
  <c r="Q255" i="18"/>
  <c r="BW55" i="7"/>
  <c r="BV55" i="7" s="1"/>
  <c r="Q221" i="18"/>
  <c r="Q231" i="18"/>
  <c r="Q247" i="18"/>
  <c r="BJ34" i="7"/>
  <c r="Q226" i="18"/>
  <c r="S226" i="18" s="1"/>
  <c r="AA457" i="28"/>
  <c r="Q214" i="18"/>
  <c r="S214" i="18" s="1"/>
  <c r="BW37" i="7"/>
  <c r="BV37" i="7" s="1"/>
  <c r="Q220" i="18"/>
  <c r="BJ28" i="7"/>
  <c r="Q236" i="18"/>
  <c r="Q218" i="18"/>
  <c r="Y784" i="28"/>
  <c r="BN787" i="28"/>
  <c r="BG787" i="28"/>
  <c r="BC787" i="28"/>
  <c r="BD787" i="28"/>
  <c r="BE787" i="28"/>
  <c r="BK787" i="28"/>
  <c r="BJ787" i="28"/>
  <c r="A788" i="28"/>
  <c r="BI787" i="28"/>
  <c r="BL787" i="28"/>
  <c r="AV787" i="28"/>
  <c r="BH787" i="28"/>
  <c r="AY787" i="28"/>
  <c r="BM787" i="28"/>
  <c r="BF787" i="28"/>
  <c r="AW787" i="28"/>
  <c r="AZ787" i="28"/>
  <c r="AX787" i="28"/>
  <c r="BO786" i="28"/>
  <c r="AU702" i="28"/>
  <c r="BA702" i="28"/>
  <c r="AP702" i="28"/>
  <c r="AA426" i="28"/>
  <c r="AP426" i="28" s="1"/>
  <c r="BJ9" i="7"/>
  <c r="AA419" i="28"/>
  <c r="BA419" i="28" s="1"/>
  <c r="AA745" i="28"/>
  <c r="AP745" i="28" s="1"/>
  <c r="U47" i="19"/>
  <c r="BW39" i="7"/>
  <c r="BV39" i="7" s="1"/>
  <c r="U46" i="19"/>
  <c r="BJ26" i="7"/>
  <c r="AH212" i="14"/>
  <c r="AV212" i="14" s="1"/>
  <c r="AH238" i="14"/>
  <c r="AI238" i="14" s="1"/>
  <c r="AA345" i="28"/>
  <c r="AP345" i="28" s="1"/>
  <c r="AA75" i="28"/>
  <c r="AP75" i="28" s="1"/>
  <c r="AA417" i="28"/>
  <c r="AU417" i="28" s="1"/>
  <c r="AA678" i="28"/>
  <c r="AU678" i="28" s="1"/>
  <c r="AA351" i="28"/>
  <c r="AU351" i="28" s="1"/>
  <c r="AP9" i="28"/>
  <c r="BA9" i="28"/>
  <c r="AA134" i="28"/>
  <c r="AP134" i="28" s="1"/>
  <c r="BJ55" i="7"/>
  <c r="AA317" i="28"/>
  <c r="AU317" i="28" s="1"/>
  <c r="AA469" i="28"/>
  <c r="AA359" i="28"/>
  <c r="BA359" i="28" s="1"/>
  <c r="BW34" i="7"/>
  <c r="BV34" i="7" s="1"/>
  <c r="AA448" i="28"/>
  <c r="AP448" i="28" s="1"/>
  <c r="AA397" i="28"/>
  <c r="AP397" i="28" s="1"/>
  <c r="BJ46" i="7"/>
  <c r="AA648" i="28"/>
  <c r="BA648" i="28" s="1"/>
  <c r="AA216" i="14"/>
  <c r="AA484" i="28"/>
  <c r="BA484" i="28" s="1"/>
  <c r="BA653" i="28"/>
  <c r="AU67" i="28"/>
  <c r="AA604" i="28"/>
  <c r="BA604" i="28" s="1"/>
  <c r="AA363" i="28"/>
  <c r="AA219" i="28"/>
  <c r="BA219" i="28" s="1"/>
  <c r="AA532" i="28"/>
  <c r="BA532" i="28" s="1"/>
  <c r="AA617" i="28"/>
  <c r="AU617" i="28" s="1"/>
  <c r="AA314" i="28"/>
  <c r="AP314" i="28" s="1"/>
  <c r="AA293" i="28"/>
  <c r="BA293" i="28" s="1"/>
  <c r="BA67" i="28"/>
  <c r="AA129" i="28"/>
  <c r="BA129" i="28" s="1"/>
  <c r="BJ47" i="7"/>
  <c r="AA368" i="28"/>
  <c r="BA368" i="28" s="1"/>
  <c r="BA7" i="28"/>
  <c r="AA501" i="28"/>
  <c r="BA501" i="28" s="1"/>
  <c r="AA220" i="28"/>
  <c r="BA220" i="28" s="1"/>
  <c r="AA241" i="28"/>
  <c r="AU241" i="28" s="1"/>
  <c r="AA201" i="28"/>
  <c r="BA201" i="28" s="1"/>
  <c r="AP168" i="28"/>
  <c r="AA233" i="28"/>
  <c r="AP233" i="28" s="1"/>
  <c r="AA328" i="28"/>
  <c r="AA672" i="28"/>
  <c r="AU672" i="28" s="1"/>
  <c r="AA281" i="28"/>
  <c r="AA463" i="28"/>
  <c r="AP463" i="28" s="1"/>
  <c r="BJ67" i="7"/>
  <c r="AA481" i="28"/>
  <c r="AU481" i="28" s="1"/>
  <c r="AA311" i="28"/>
  <c r="BA311" i="28" s="1"/>
  <c r="AA539" i="28"/>
  <c r="BA539" i="28" s="1"/>
  <c r="AA210" i="14"/>
  <c r="BA462" i="28"/>
  <c r="AA564" i="28"/>
  <c r="AU564" i="28" s="1"/>
  <c r="AP157" i="28"/>
  <c r="BW49" i="7"/>
  <c r="BV49" i="7" s="1"/>
  <c r="AP73" i="28"/>
  <c r="AA759" i="28"/>
  <c r="BA759" i="28" s="1"/>
  <c r="AA499" i="28"/>
  <c r="AP499" i="28" s="1"/>
  <c r="BW85" i="7"/>
  <c r="BV85" i="7" s="1"/>
  <c r="AA460" i="28"/>
  <c r="BA460" i="28" s="1"/>
  <c r="BJ85" i="7"/>
  <c r="AA712" i="28"/>
  <c r="BA712" i="28" s="1"/>
  <c r="AA206" i="28"/>
  <c r="AP206" i="28" s="1"/>
  <c r="AP48" i="28"/>
  <c r="AA324" i="28"/>
  <c r="AP324" i="28" s="1"/>
  <c r="AA316" i="28"/>
  <c r="BA316" i="28" s="1"/>
  <c r="AA769" i="28"/>
  <c r="AP769" i="28" s="1"/>
  <c r="AA434" i="28"/>
  <c r="BA434" i="28" s="1"/>
  <c r="AA423" i="28"/>
  <c r="BA423" i="28" s="1"/>
  <c r="AA514" i="28"/>
  <c r="AP514" i="28" s="1"/>
  <c r="BW9" i="7"/>
  <c r="BV9" i="7" s="1"/>
  <c r="AA186" i="28"/>
  <c r="BA186" i="28" s="1"/>
  <c r="AA673" i="28"/>
  <c r="BA673" i="28" s="1"/>
  <c r="AA771" i="28"/>
  <c r="AU771" i="28" s="1"/>
  <c r="AA279" i="28"/>
  <c r="AU279" i="28" s="1"/>
  <c r="BA13" i="28"/>
  <c r="AA53" i="28"/>
  <c r="AP53" i="28" s="1"/>
  <c r="AA272" i="28"/>
  <c r="AP272" i="28" s="1"/>
  <c r="AA130" i="28"/>
  <c r="BA130" i="28" s="1"/>
  <c r="BW7" i="7"/>
  <c r="BV7" i="7" s="1"/>
  <c r="AA664" i="28"/>
  <c r="BA664" i="28" s="1"/>
  <c r="AA365" i="28"/>
  <c r="AU365" i="28" s="1"/>
  <c r="AU385" i="28"/>
  <c r="AP385" i="28"/>
  <c r="BA385" i="28"/>
  <c r="AP760" i="28"/>
  <c r="BA760" i="28"/>
  <c r="AU760" i="28"/>
  <c r="AU73" i="28"/>
  <c r="BJ58" i="7"/>
  <c r="AP236" i="28"/>
  <c r="AU236" i="28"/>
  <c r="AA543" i="28"/>
  <c r="AP543" i="28" s="1"/>
  <c r="AA403" i="28"/>
  <c r="AP403" i="28" s="1"/>
  <c r="AA119" i="28"/>
  <c r="AP119" i="28" s="1"/>
  <c r="AA526" i="28"/>
  <c r="BA526" i="28" s="1"/>
  <c r="AA108" i="28"/>
  <c r="BA108" i="28" s="1"/>
  <c r="BW64" i="7"/>
  <c r="BV64" i="7" s="1"/>
  <c r="BJ53" i="7"/>
  <c r="AA701" i="28"/>
  <c r="BA701" i="28" s="1"/>
  <c r="AA741" i="28"/>
  <c r="AU741" i="28" s="1"/>
  <c r="AA467" i="28"/>
  <c r="AP467" i="28" s="1"/>
  <c r="AA115" i="28"/>
  <c r="AP115" i="28" s="1"/>
  <c r="BW53" i="7"/>
  <c r="BV53" i="7" s="1"/>
  <c r="AA374" i="28"/>
  <c r="BA374" i="28" s="1"/>
  <c r="BA393" i="28"/>
  <c r="AA667" i="28"/>
  <c r="AP667" i="28" s="1"/>
  <c r="AA131" i="28"/>
  <c r="AP131" i="28" s="1"/>
  <c r="AA34" i="28"/>
  <c r="AP34" i="28" s="1"/>
  <c r="AA90" i="28"/>
  <c r="AA620" i="28"/>
  <c r="AP620" i="28" s="1"/>
  <c r="AA402" i="28"/>
  <c r="BA402" i="28" s="1"/>
  <c r="AA398" i="28"/>
  <c r="AP398" i="28" s="1"/>
  <c r="AA395" i="28"/>
  <c r="AP395" i="28" s="1"/>
  <c r="AA742" i="28"/>
  <c r="BA742" i="28" s="1"/>
  <c r="AA54" i="28"/>
  <c r="BA54" i="28" s="1"/>
  <c r="AA572" i="28"/>
  <c r="BA572" i="28" s="1"/>
  <c r="AA724" i="28"/>
  <c r="AA721" i="28"/>
  <c r="BA721" i="28" s="1"/>
  <c r="AA743" i="28"/>
  <c r="BA743" i="28" s="1"/>
  <c r="AA515" i="28"/>
  <c r="AP515" i="28" s="1"/>
  <c r="AA99" i="28"/>
  <c r="AP99" i="28" s="1"/>
  <c r="AA148" i="28"/>
  <c r="AA555" i="28"/>
  <c r="AP555" i="28" s="1"/>
  <c r="AA18" i="28"/>
  <c r="AP18" i="28" s="1"/>
  <c r="AA128" i="28"/>
  <c r="AP128" i="28" s="1"/>
  <c r="AA528" i="28"/>
  <c r="AA544" i="28"/>
  <c r="AH210" i="14"/>
  <c r="AV210" i="14" s="1"/>
  <c r="AU562" i="28"/>
  <c r="AA763" i="28"/>
  <c r="AU763" i="28" s="1"/>
  <c r="AA76" i="28"/>
  <c r="AP76" i="28" s="1"/>
  <c r="AP280" i="28"/>
  <c r="AU280" i="28"/>
  <c r="BA280" i="28"/>
  <c r="BJ64" i="7"/>
  <c r="AA211" i="14"/>
  <c r="AA633" i="28"/>
  <c r="AU633" i="28" s="1"/>
  <c r="BJ95" i="7"/>
  <c r="AA723" i="28"/>
  <c r="AP723" i="28" s="1"/>
  <c r="AA304" i="28"/>
  <c r="BA304" i="28" s="1"/>
  <c r="AA649" i="28"/>
  <c r="BA649" i="28" s="1"/>
  <c r="AA579" i="28"/>
  <c r="AU579" i="28" s="1"/>
  <c r="AA57" i="28"/>
  <c r="BA57" i="28" s="1"/>
  <c r="AA436" i="28"/>
  <c r="AA553" i="28"/>
  <c r="AP553" i="28" s="1"/>
  <c r="AA726" i="28"/>
  <c r="AP726" i="28" s="1"/>
  <c r="BJ22" i="7"/>
  <c r="BW22" i="7"/>
  <c r="BV22" i="7" s="1"/>
  <c r="AA277" i="28"/>
  <c r="AU277" i="28" s="1"/>
  <c r="AA466" i="28"/>
  <c r="BJ52" i="7"/>
  <c r="BJ43" i="7"/>
  <c r="AA193" i="28"/>
  <c r="AA520" i="28"/>
  <c r="AU520" i="28" s="1"/>
  <c r="BW70" i="7"/>
  <c r="BV70" i="7" s="1"/>
  <c r="AA238" i="28"/>
  <c r="BA238" i="28" s="1"/>
  <c r="AA199" i="28"/>
  <c r="AU199" i="28" s="1"/>
  <c r="AA221" i="28"/>
  <c r="AU221" i="28" s="1"/>
  <c r="AP653" i="28"/>
  <c r="AA612" i="28"/>
  <c r="BA612" i="28" s="1"/>
  <c r="AA647" i="28"/>
  <c r="BA647" i="28" s="1"/>
  <c r="AA711" i="28"/>
  <c r="BA711" i="28" s="1"/>
  <c r="AA781" i="28"/>
  <c r="AU781" i="28" s="1"/>
  <c r="AA196" i="28"/>
  <c r="AP196" i="28" s="1"/>
  <c r="AP541" i="28"/>
  <c r="BJ70" i="7"/>
  <c r="AA474" i="28"/>
  <c r="AP474" i="28" s="1"/>
  <c r="AA161" i="28"/>
  <c r="AP161" i="28" s="1"/>
  <c r="AU577" i="28"/>
  <c r="AA567" i="28"/>
  <c r="BA567" i="28" s="1"/>
  <c r="AP106" i="28"/>
  <c r="BA106" i="28"/>
  <c r="AA158" i="28"/>
  <c r="AU158" i="28" s="1"/>
  <c r="BW52" i="7"/>
  <c r="BV52" i="7" s="1"/>
  <c r="AA401" i="28"/>
  <c r="AP401" i="28" s="1"/>
  <c r="AA207" i="28"/>
  <c r="AP207" i="28" s="1"/>
  <c r="AA461" i="28"/>
  <c r="AU461" i="28" s="1"/>
  <c r="AA681" i="28"/>
  <c r="AP681" i="28" s="1"/>
  <c r="AA323" i="28"/>
  <c r="BA323" i="28" s="1"/>
  <c r="AA491" i="28"/>
  <c r="BA491" i="28" s="1"/>
  <c r="AA665" i="28"/>
  <c r="BA665" i="28" s="1"/>
  <c r="AA205" i="28"/>
  <c r="AP205" i="28" s="1"/>
  <c r="AA271" i="28"/>
  <c r="AU271" i="28" s="1"/>
  <c r="BW15" i="7"/>
  <c r="BV15" i="7" s="1"/>
  <c r="AA574" i="28"/>
  <c r="AP574" i="28" s="1"/>
  <c r="AA226" i="28"/>
  <c r="BA226" i="28" s="1"/>
  <c r="AA213" i="28"/>
  <c r="BA213" i="28" s="1"/>
  <c r="AA556" i="28"/>
  <c r="BA556" i="28" s="1"/>
  <c r="AA624" i="28"/>
  <c r="BA624" i="28" s="1"/>
  <c r="BJ5" i="7"/>
  <c r="AA453" i="28"/>
  <c r="AP453" i="28" s="1"/>
  <c r="AU44" i="28"/>
  <c r="AA525" i="28"/>
  <c r="AP525" i="28" s="1"/>
  <c r="BW87" i="7"/>
  <c r="BV87" i="7" s="1"/>
  <c r="BW77" i="7"/>
  <c r="BV77" i="7" s="1"/>
  <c r="AA570" i="28"/>
  <c r="AP570" i="28" s="1"/>
  <c r="BW54" i="7"/>
  <c r="BV54" i="7" s="1"/>
  <c r="AA364" i="28"/>
  <c r="BA364" i="28" s="1"/>
  <c r="AA360" i="28"/>
  <c r="BA360" i="28" s="1"/>
  <c r="AA355" i="28"/>
  <c r="BA355" i="28" s="1"/>
  <c r="BW5" i="7"/>
  <c r="BW19" i="7"/>
  <c r="BV19" i="7" s="1"/>
  <c r="AA783" i="28"/>
  <c r="BA783" i="28" s="1"/>
  <c r="AA399" i="28"/>
  <c r="AP399" i="28" s="1"/>
  <c r="AU319" i="28"/>
  <c r="AA560" i="28"/>
  <c r="AP560" i="28" s="1"/>
  <c r="AA750" i="28"/>
  <c r="AU750" i="28" s="1"/>
  <c r="BA319" i="28"/>
  <c r="BA48" i="28"/>
  <c r="BJ87" i="7"/>
  <c r="BW47" i="7"/>
  <c r="BV47" i="7" s="1"/>
  <c r="BJ54" i="7"/>
  <c r="AA468" i="28"/>
  <c r="BA468" i="28" s="1"/>
  <c r="AA105" i="28"/>
  <c r="BA105" i="28" s="1"/>
  <c r="AA530" i="28"/>
  <c r="AP530" i="28" s="1"/>
  <c r="AA143" i="28"/>
  <c r="BA143" i="28" s="1"/>
  <c r="AA46" i="28"/>
  <c r="AU46" i="28" s="1"/>
  <c r="AA747" i="28"/>
  <c r="BA747" i="28" s="1"/>
  <c r="BJ63" i="7"/>
  <c r="BW63" i="7"/>
  <c r="BV63" i="7" s="1"/>
  <c r="AA166" i="28"/>
  <c r="AU166" i="28" s="1"/>
  <c r="BJ20" i="7"/>
  <c r="AA26" i="28"/>
  <c r="BA26" i="28" s="1"/>
  <c r="AA421" i="28"/>
  <c r="BA421" i="28" s="1"/>
  <c r="AA606" i="28"/>
  <c r="AP606" i="28" s="1"/>
  <c r="AP562" i="28"/>
  <c r="AA95" i="28"/>
  <c r="AP95" i="28" s="1"/>
  <c r="BW42" i="7"/>
  <c r="BV42" i="7" s="1"/>
  <c r="AP170" i="28"/>
  <c r="AP342" i="28"/>
  <c r="AA382" i="28"/>
  <c r="BJ39" i="7"/>
  <c r="AA767" i="28"/>
  <c r="BA767" i="28" s="1"/>
  <c r="AA766" i="28"/>
  <c r="AP766" i="28" s="1"/>
  <c r="AA716" i="28"/>
  <c r="AA464" i="28"/>
  <c r="AA371" i="28"/>
  <c r="AU371" i="28" s="1"/>
  <c r="AA285" i="28"/>
  <c r="AP285" i="28" s="1"/>
  <c r="AA755" i="28"/>
  <c r="BA755" i="28" s="1"/>
  <c r="AA761" i="28"/>
  <c r="AU761" i="28" s="1"/>
  <c r="AA267" i="28"/>
  <c r="AP267" i="28" s="1"/>
  <c r="AA261" i="28"/>
  <c r="AP261" i="28" s="1"/>
  <c r="AA772" i="28"/>
  <c r="AA265" i="28"/>
  <c r="BA265" i="28" s="1"/>
  <c r="AP313" i="28"/>
  <c r="BA60" i="28"/>
  <c r="AA268" i="28"/>
  <c r="AP268" i="28" s="1"/>
  <c r="AA244" i="28"/>
  <c r="BA244" i="28" s="1"/>
  <c r="AA634" i="28"/>
  <c r="AP634" i="28" s="1"/>
  <c r="AU313" i="28"/>
  <c r="BJ68" i="7"/>
  <c r="AA270" i="28"/>
  <c r="AU270" i="28" s="1"/>
  <c r="AA231" i="28"/>
  <c r="AP231" i="28" s="1"/>
  <c r="AA695" i="28"/>
  <c r="AU695" i="28" s="1"/>
  <c r="AT117" i="7"/>
  <c r="AS117" i="7"/>
  <c r="AF278" i="14" s="1"/>
  <c r="AP118" i="7"/>
  <c r="AQ118" i="7"/>
  <c r="AO118" i="7"/>
  <c r="AR118" i="7"/>
  <c r="BS118" i="7"/>
  <c r="AA616" i="28"/>
  <c r="AU616" i="28" s="1"/>
  <c r="AA92" i="28"/>
  <c r="BA92" i="28" s="1"/>
  <c r="AP38" i="28"/>
  <c r="AA256" i="28"/>
  <c r="AU256" i="28" s="1"/>
  <c r="BW27" i="7"/>
  <c r="BV27" i="7" s="1"/>
  <c r="BJ27" i="7"/>
  <c r="AA441" i="28"/>
  <c r="BA441" i="28" s="1"/>
  <c r="BW23" i="7"/>
  <c r="BV23" i="7" s="1"/>
  <c r="AA343" i="28"/>
  <c r="BA343" i="28" s="1"/>
  <c r="AA693" i="28"/>
  <c r="BA693" i="28" s="1"/>
  <c r="AA437" i="28"/>
  <c r="BA437" i="28" s="1"/>
  <c r="AA405" i="28"/>
  <c r="AP405" i="28" s="1"/>
  <c r="BJ23" i="7"/>
  <c r="AA418" i="28"/>
  <c r="AU418" i="28" s="1"/>
  <c r="AA615" i="28"/>
  <c r="AU615" i="28" s="1"/>
  <c r="AA720" i="28"/>
  <c r="BA720" i="28" s="1"/>
  <c r="AU180" i="28"/>
  <c r="AA576" i="28"/>
  <c r="BA576" i="28" s="1"/>
  <c r="BA180" i="28"/>
  <c r="AU192" i="28"/>
  <c r="AA65" i="28"/>
  <c r="AP65" i="28" s="1"/>
  <c r="AA58" i="28"/>
  <c r="BA58" i="28" s="1"/>
  <c r="AA358" i="28"/>
  <c r="BA358" i="28" s="1"/>
  <c r="AP290" i="28"/>
  <c r="AA658" i="28"/>
  <c r="AU658" i="28" s="1"/>
  <c r="AA5" i="28"/>
  <c r="BA5" i="28" s="1"/>
  <c r="AP629" i="28"/>
  <c r="BA81" i="28"/>
  <c r="BA116" i="28"/>
  <c r="AA80" i="28"/>
  <c r="AU80" i="28" s="1"/>
  <c r="AU178" i="28"/>
  <c r="AA641" i="28"/>
  <c r="AP641" i="28" s="1"/>
  <c r="AA78" i="28"/>
  <c r="AP78" i="28" s="1"/>
  <c r="AA79" i="28"/>
  <c r="AU79" i="28" s="1"/>
  <c r="BW58" i="7"/>
  <c r="BV58" i="7" s="1"/>
  <c r="AA472" i="28"/>
  <c r="BA472" i="28" s="1"/>
  <c r="AA762" i="28"/>
  <c r="AU762" i="28" s="1"/>
  <c r="AA696" i="28"/>
  <c r="AP696" i="28" s="1"/>
  <c r="AA580" i="28"/>
  <c r="AP580" i="28" s="1"/>
  <c r="AA377" i="28"/>
  <c r="AU377" i="28" s="1"/>
  <c r="AA259" i="28"/>
  <c r="AP259" i="28" s="1"/>
  <c r="AA10" i="28"/>
  <c r="AP10" i="28" s="1"/>
  <c r="AU290" i="28"/>
  <c r="AA59" i="28"/>
  <c r="AA209" i="28"/>
  <c r="AP209" i="28" s="1"/>
  <c r="AU96" i="7"/>
  <c r="BJ35" i="7"/>
  <c r="AA210" i="28"/>
  <c r="BA210" i="28" s="1"/>
  <c r="AU629" i="28"/>
  <c r="BA577" i="28"/>
  <c r="AA258" i="28"/>
  <c r="BA258" i="28" s="1"/>
  <c r="AA690" i="28"/>
  <c r="AU690" i="28" s="1"/>
  <c r="AA252" i="28"/>
  <c r="AP252" i="28" s="1"/>
  <c r="AA731" i="28"/>
  <c r="AP731" i="28" s="1"/>
  <c r="AU342" i="28"/>
  <c r="AA568" i="28"/>
  <c r="BA568" i="28" s="1"/>
  <c r="AU170" i="28"/>
  <c r="BW20" i="7"/>
  <c r="BV20" i="7" s="1"/>
  <c r="BW50" i="7"/>
  <c r="BV50" i="7" s="1"/>
  <c r="AA104" i="28"/>
  <c r="BA104" i="28" s="1"/>
  <c r="AA706" i="28"/>
  <c r="AU706" i="28" s="1"/>
  <c r="AA322" i="28"/>
  <c r="AP322" i="28" s="1"/>
  <c r="AA100" i="28"/>
  <c r="AA276" i="28"/>
  <c r="BJ19" i="7"/>
  <c r="AA756" i="28"/>
  <c r="AU309" i="28"/>
  <c r="AA361" i="28"/>
  <c r="AP361" i="28" s="1"/>
  <c r="AA200" i="28"/>
  <c r="AP200" i="28" s="1"/>
  <c r="BA309" i="28"/>
  <c r="AA545" i="28"/>
  <c r="AH216" i="14"/>
  <c r="AV216" i="14" s="1"/>
  <c r="AA730" i="28"/>
  <c r="BA730" i="28" s="1"/>
  <c r="AA675" i="28"/>
  <c r="AP675" i="28" s="1"/>
  <c r="BW21" i="7"/>
  <c r="BV21" i="7" s="1"/>
  <c r="BA192" i="28"/>
  <c r="AA610" i="28"/>
  <c r="BA610" i="28" s="1"/>
  <c r="BJ42" i="7"/>
  <c r="AA177" i="28"/>
  <c r="AU177" i="28" s="1"/>
  <c r="BA125" i="28"/>
  <c r="AA779" i="28"/>
  <c r="AP779" i="28" s="1"/>
  <c r="BA110" i="28"/>
  <c r="AA662" i="28"/>
  <c r="BA662" i="28" s="1"/>
  <c r="AA435" i="28"/>
  <c r="AU435" i="28" s="1"/>
  <c r="AA325" i="28"/>
  <c r="AU325" i="28" s="1"/>
  <c r="AA749" i="28"/>
  <c r="BA749" i="28" s="1"/>
  <c r="AA64" i="28"/>
  <c r="AP64" i="28" s="1"/>
  <c r="BJ15" i="7"/>
  <c r="BJ7" i="7"/>
  <c r="BW28" i="7"/>
  <c r="BV28" i="7" s="1"/>
  <c r="AA278" i="28"/>
  <c r="AP278" i="28" s="1"/>
  <c r="AA725" i="28"/>
  <c r="AP725" i="28" s="1"/>
  <c r="BA83" i="28"/>
  <c r="AA657" i="28"/>
  <c r="AU657" i="28" s="1"/>
  <c r="AA136" i="28"/>
  <c r="BA136" i="28" s="1"/>
  <c r="AA394" i="28"/>
  <c r="AP394" i="28" s="1"/>
  <c r="AA197" i="28"/>
  <c r="AU197" i="28" s="1"/>
  <c r="AA344" i="28"/>
  <c r="AP344" i="28" s="1"/>
  <c r="AA389" i="28"/>
  <c r="AU389" i="28" s="1"/>
  <c r="BA734" i="28"/>
  <c r="AP734" i="28"/>
  <c r="AA181" i="28"/>
  <c r="AP181" i="28" s="1"/>
  <c r="AA590" i="28"/>
  <c r="AP590" i="28" s="1"/>
  <c r="AA494" i="28"/>
  <c r="BA494" i="28" s="1"/>
  <c r="AA642" i="28"/>
  <c r="AU642" i="28" s="1"/>
  <c r="BW40" i="7"/>
  <c r="BV40" i="7" s="1"/>
  <c r="AP164" i="28"/>
  <c r="AP42" i="28"/>
  <c r="AA703" i="28"/>
  <c r="AP703" i="28" s="1"/>
  <c r="AA335" i="28"/>
  <c r="AP335" i="28" s="1"/>
  <c r="BW46" i="7"/>
  <c r="BV46" i="7" s="1"/>
  <c r="AA217" i="28"/>
  <c r="AP217" i="28" s="1"/>
  <c r="AA529" i="28"/>
  <c r="AA49" i="28"/>
  <c r="AU49" i="28" s="1"/>
  <c r="AA516" i="28"/>
  <c r="AA162" i="28"/>
  <c r="AP162" i="28" s="1"/>
  <c r="AA652" i="28"/>
  <c r="AP652" i="28" s="1"/>
  <c r="AA269" i="28"/>
  <c r="AU269" i="28" s="1"/>
  <c r="AA70" i="28"/>
  <c r="AU70" i="28" s="1"/>
  <c r="AP242" i="28"/>
  <c r="AA656" i="28"/>
  <c r="AP656" i="28" s="1"/>
  <c r="AA442" i="28"/>
  <c r="AP442" i="28" s="1"/>
  <c r="AA663" i="28"/>
  <c r="AP663" i="28" s="1"/>
  <c r="AA107" i="28"/>
  <c r="AP107" i="28" s="1"/>
  <c r="AA727" i="28"/>
  <c r="AP554" i="28"/>
  <c r="AU602" i="28"/>
  <c r="BA554" i="28"/>
  <c r="BA242" i="28"/>
  <c r="AA376" i="28"/>
  <c r="BA376" i="28" s="1"/>
  <c r="AA654" i="28"/>
  <c r="AP654" i="28" s="1"/>
  <c r="AA628" i="28"/>
  <c r="AU628" i="28" s="1"/>
  <c r="AP602" i="28"/>
  <c r="AA14" i="28"/>
  <c r="BA14" i="28" s="1"/>
  <c r="AA630" i="28"/>
  <c r="AU630" i="28" s="1"/>
  <c r="AU618" i="28"/>
  <c r="BW82" i="7"/>
  <c r="BV82" i="7" s="1"/>
  <c r="AA357" i="28"/>
  <c r="AP357" i="28" s="1"/>
  <c r="BA618" i="28"/>
  <c r="AA699" i="28"/>
  <c r="AU699" i="28" s="1"/>
  <c r="AP239" i="28"/>
  <c r="AA87" i="28"/>
  <c r="AP87" i="28" s="1"/>
  <c r="AA232" i="28"/>
  <c r="AA510" i="28"/>
  <c r="AP510" i="28" s="1"/>
  <c r="AA757" i="28"/>
  <c r="AU757" i="28" s="1"/>
  <c r="AA94" i="28"/>
  <c r="AP94" i="28" s="1"/>
  <c r="AA581" i="28"/>
  <c r="AP581" i="28" s="1"/>
  <c r="AA215" i="28"/>
  <c r="BA215" i="28" s="1"/>
  <c r="BA157" i="28"/>
  <c r="BA239" i="28"/>
  <c r="AA533" i="28"/>
  <c r="AA605" i="28"/>
  <c r="AU605" i="28" s="1"/>
  <c r="AA765" i="28"/>
  <c r="AU765" i="28" s="1"/>
  <c r="AA534" i="28"/>
  <c r="BA534" i="28" s="1"/>
  <c r="AU582" i="28"/>
  <c r="AA315" i="28"/>
  <c r="BA582" i="28"/>
  <c r="BA552" i="28"/>
  <c r="AU552" i="28"/>
  <c r="BA113" i="28"/>
  <c r="AA297" i="28"/>
  <c r="AU297" i="28" s="1"/>
  <c r="AA133" i="28"/>
  <c r="AP133" i="28" s="1"/>
  <c r="AA754" i="28"/>
  <c r="AP754" i="28" s="1"/>
  <c r="BW62" i="7"/>
  <c r="BV62" i="7" s="1"/>
  <c r="AA601" i="28"/>
  <c r="AA346" i="28"/>
  <c r="AP189" i="28"/>
  <c r="AA263" i="28"/>
  <c r="BA263" i="28" s="1"/>
  <c r="BA189" i="28"/>
  <c r="AA182" i="28"/>
  <c r="BA182" i="28" s="1"/>
  <c r="AA573" i="28"/>
  <c r="BA573" i="28" s="1"/>
  <c r="AA524" i="28"/>
  <c r="AP524" i="28" s="1"/>
  <c r="AA138" i="28"/>
  <c r="AP138" i="28" s="1"/>
  <c r="AA454" i="28"/>
  <c r="BJ40" i="7"/>
  <c r="AA637" i="28"/>
  <c r="AA333" i="28"/>
  <c r="AA505" i="28"/>
  <c r="BA505" i="28" s="1"/>
  <c r="AA592" i="28"/>
  <c r="BA592" i="28" s="1"/>
  <c r="AP178" i="28"/>
  <c r="AA208" i="14"/>
  <c r="AA595" i="28"/>
  <c r="AU595" i="28" s="1"/>
  <c r="AA509" i="28"/>
  <c r="AA631" i="28"/>
  <c r="BA631" i="28" s="1"/>
  <c r="AA698" i="28"/>
  <c r="BA698" i="28" s="1"/>
  <c r="BA668" i="28"/>
  <c r="AU668" i="28"/>
  <c r="AA413" i="28"/>
  <c r="AP413" i="28" s="1"/>
  <c r="BW61" i="7"/>
  <c r="BV61" i="7" s="1"/>
  <c r="AP372" i="28"/>
  <c r="BW11" i="7"/>
  <c r="BV11" i="7" s="1"/>
  <c r="AA645" i="28"/>
  <c r="AP645" i="28" s="1"/>
  <c r="AA591" i="28"/>
  <c r="BA591" i="28" s="1"/>
  <c r="AA425" i="28"/>
  <c r="AA496" i="28"/>
  <c r="BA340" i="28"/>
  <c r="AA512" i="28"/>
  <c r="BA512" i="28" s="1"/>
  <c r="BW92" i="7"/>
  <c r="BV92" i="7" s="1"/>
  <c r="AU340" i="28"/>
  <c r="AA167" i="28"/>
  <c r="AP167" i="28" s="1"/>
  <c r="AU684" i="28"/>
  <c r="AA722" i="28"/>
  <c r="AP722" i="28" s="1"/>
  <c r="AA310" i="28"/>
  <c r="AU310" i="28" s="1"/>
  <c r="BA684" i="28"/>
  <c r="AA607" i="28"/>
  <c r="AA224" i="28"/>
  <c r="AU224" i="28" s="1"/>
  <c r="BJ11" i="7"/>
  <c r="AA597" i="28"/>
  <c r="Y785" i="28"/>
  <c r="AU362" i="28"/>
  <c r="BA164" i="28"/>
  <c r="Z785" i="28"/>
  <c r="AP362" i="28"/>
  <c r="AU168" i="28"/>
  <c r="AP446" i="28"/>
  <c r="AA718" i="28"/>
  <c r="AU718" i="28" s="1"/>
  <c r="AA185" i="28"/>
  <c r="BA185" i="28" s="1"/>
  <c r="AA569" i="28"/>
  <c r="AP569" i="28" s="1"/>
  <c r="AA669" i="28"/>
  <c r="AP669" i="28" s="1"/>
  <c r="AP24" i="28"/>
  <c r="AA282" i="28"/>
  <c r="BA282" i="28" s="1"/>
  <c r="AA764" i="28"/>
  <c r="AU764" i="28" s="1"/>
  <c r="AA521" i="28"/>
  <c r="AU521" i="28" s="1"/>
  <c r="AP407" i="28"/>
  <c r="BJ60" i="7"/>
  <c r="AA737" i="28"/>
  <c r="BA737" i="28" s="1"/>
  <c r="BA318" i="28"/>
  <c r="AA33" i="28"/>
  <c r="BA33" i="28" s="1"/>
  <c r="AP565" i="28"/>
  <c r="AA697" i="28"/>
  <c r="AP697" i="28" s="1"/>
  <c r="BA565" i="28"/>
  <c r="BA408" i="28"/>
  <c r="BW60" i="7"/>
  <c r="BV60" i="7" s="1"/>
  <c r="BJ41" i="7"/>
  <c r="AU247" i="28"/>
  <c r="AA25" i="28"/>
  <c r="BA25" i="28" s="1"/>
  <c r="AA366" i="28"/>
  <c r="AP366" i="28" s="1"/>
  <c r="BA247" i="28"/>
  <c r="AA527" i="28"/>
  <c r="AU527" i="28" s="1"/>
  <c r="AA589" i="28"/>
  <c r="AA124" i="28"/>
  <c r="AU318" i="28"/>
  <c r="AA774" i="28"/>
  <c r="AU774" i="28" s="1"/>
  <c r="AA139" i="28"/>
  <c r="BA139" i="28" s="1"/>
  <c r="BA146" i="28"/>
  <c r="AP339" i="28"/>
  <c r="BA40" i="28"/>
  <c r="BA339" i="28"/>
  <c r="AP40" i="28"/>
  <c r="AA623" i="28"/>
  <c r="AP623" i="28" s="1"/>
  <c r="AA8" i="28"/>
  <c r="BA8" i="28" s="1"/>
  <c r="AA778" i="28"/>
  <c r="BA778" i="28" s="1"/>
  <c r="AP55" i="28"/>
  <c r="BW74" i="7"/>
  <c r="BV74" i="7" s="1"/>
  <c r="AA549" i="28"/>
  <c r="BA55" i="28"/>
  <c r="AA266" i="28"/>
  <c r="AP266" i="28" s="1"/>
  <c r="BA42" i="28"/>
  <c r="BW33" i="7"/>
  <c r="BV33" i="7" s="1"/>
  <c r="AA85" i="28"/>
  <c r="BA85" i="28" s="1"/>
  <c r="AA546" i="28"/>
  <c r="AP546" i="28" s="1"/>
  <c r="AA140" i="28"/>
  <c r="BJ33" i="7"/>
  <c r="AA475" i="28"/>
  <c r="BA407" i="28"/>
  <c r="AU83" i="28"/>
  <c r="BW45" i="7"/>
  <c r="BV45" i="7" s="1"/>
  <c r="BW86" i="7"/>
  <c r="BV86" i="7" s="1"/>
  <c r="AU350" i="28"/>
  <c r="AA321" i="28"/>
  <c r="BA321" i="28" s="1"/>
  <c r="AA500" i="28"/>
  <c r="AU500" i="28" s="1"/>
  <c r="AU688" i="28"/>
  <c r="AP688" i="28"/>
  <c r="AA775" i="28"/>
  <c r="BA775" i="28" s="1"/>
  <c r="BW68" i="7"/>
  <c r="BV68" i="7" s="1"/>
  <c r="AU551" i="28"/>
  <c r="AU289" i="28"/>
  <c r="AA482" i="28"/>
  <c r="AP482" i="28" s="1"/>
  <c r="BA551" i="28"/>
  <c r="AP289" i="28"/>
  <c r="AU194" i="28"/>
  <c r="AA571" i="28"/>
  <c r="BA194" i="28"/>
  <c r="AA714" i="28"/>
  <c r="AA117" i="28"/>
  <c r="AP117" i="28" s="1"/>
  <c r="AA188" i="28"/>
  <c r="AA69" i="28"/>
  <c r="AU69" i="28" s="1"/>
  <c r="AP61" i="28"/>
  <c r="BA61" i="28"/>
  <c r="AA587" i="28"/>
  <c r="BA587" i="28" s="1"/>
  <c r="AA535" i="28"/>
  <c r="AP535" i="28" s="1"/>
  <c r="AA447" i="28"/>
  <c r="AA780" i="28"/>
  <c r="AU708" i="28"/>
  <c r="AU163" i="28"/>
  <c r="AP163" i="28"/>
  <c r="BA708" i="28"/>
  <c r="BA36" i="28"/>
  <c r="AA409" i="28"/>
  <c r="AA253" i="28"/>
  <c r="BA253" i="28" s="1"/>
  <c r="AA299" i="28"/>
  <c r="AP299" i="28" s="1"/>
  <c r="BJ62" i="7"/>
  <c r="AA680" i="28"/>
  <c r="AA387" i="28"/>
  <c r="AP408" i="28"/>
  <c r="AA234" i="28"/>
  <c r="AU234" i="28" s="1"/>
  <c r="AA776" i="28"/>
  <c r="AU776" i="28" s="1"/>
  <c r="AP506" i="28"/>
  <c r="AU506" i="28"/>
  <c r="BW41" i="7"/>
  <c r="BV41" i="7" s="1"/>
  <c r="BW76" i="7"/>
  <c r="BV76" i="7" s="1"/>
  <c r="BA28" i="28"/>
  <c r="AA455" i="28"/>
  <c r="AU28" i="28"/>
  <c r="AA490" i="28"/>
  <c r="BJ76" i="7"/>
  <c r="AP636" i="28"/>
  <c r="BA508" i="28"/>
  <c r="AA11" i="28"/>
  <c r="AP11" i="28" s="1"/>
  <c r="BA636" i="28"/>
  <c r="AP508" i="28"/>
  <c r="BA640" i="28"/>
  <c r="AU347" i="28"/>
  <c r="BA51" i="28"/>
  <c r="BA384" i="28"/>
  <c r="AA380" i="28"/>
  <c r="BJ31" i="7"/>
  <c r="AA169" i="28"/>
  <c r="BA169" i="28" s="1"/>
  <c r="AA644" i="28"/>
  <c r="AP347" i="28"/>
  <c r="AA713" i="28"/>
  <c r="AA449" i="28"/>
  <c r="BW35" i="7"/>
  <c r="BV35" i="7" s="1"/>
  <c r="AA307" i="28"/>
  <c r="BA173" i="28"/>
  <c r="BW12" i="7"/>
  <c r="BV12" i="7" s="1"/>
  <c r="AA294" i="28"/>
  <c r="AA39" i="28"/>
  <c r="AU173" i="28"/>
  <c r="AA596" i="28"/>
  <c r="AA537" i="28"/>
  <c r="AP537" i="28" s="1"/>
  <c r="AA493" i="28"/>
  <c r="AA751" i="28"/>
  <c r="BA751" i="28" s="1"/>
  <c r="AA586" i="28"/>
  <c r="AU586" i="28" s="1"/>
  <c r="AA207" i="14"/>
  <c r="AA635" i="28"/>
  <c r="AU635" i="28" s="1"/>
  <c r="AU230" i="28"/>
  <c r="AA89" i="28"/>
  <c r="AA584" i="28"/>
  <c r="BA584" i="28" s="1"/>
  <c r="AU300" i="28"/>
  <c r="AA176" i="28"/>
  <c r="AP176" i="28" s="1"/>
  <c r="BJ80" i="7"/>
  <c r="BW80" i="7"/>
  <c r="BV80" i="7" s="1"/>
  <c r="AA68" i="28"/>
  <c r="AU68" i="28" s="1"/>
  <c r="AP251" i="28"/>
  <c r="AA249" i="28"/>
  <c r="AA284" i="28"/>
  <c r="AP300" i="28"/>
  <c r="AA56" i="28"/>
  <c r="AA308" i="28"/>
  <c r="BA24" i="28"/>
  <c r="AA548" i="28"/>
  <c r="AP548" i="28" s="1"/>
  <c r="BJ74" i="7"/>
  <c r="AP411" i="28"/>
  <c r="BA411" i="28"/>
  <c r="AU411" i="28"/>
  <c r="BJ45" i="7"/>
  <c r="AA459" i="28"/>
  <c r="BA459" i="28" s="1"/>
  <c r="AA704" i="28"/>
  <c r="AA677" i="28"/>
  <c r="AP677" i="28" s="1"/>
  <c r="AA354" i="28"/>
  <c r="AA608" i="28"/>
  <c r="BA608" i="28" s="1"/>
  <c r="AA381" i="28"/>
  <c r="AP381" i="28" s="1"/>
  <c r="BA250" i="28"/>
  <c r="AP250" i="28"/>
  <c r="V110" i="14"/>
  <c r="AA367" i="28"/>
  <c r="AA719" i="28"/>
  <c r="AA495" i="28"/>
  <c r="BW81" i="7"/>
  <c r="BV81" i="7" s="1"/>
  <c r="BJ81" i="7"/>
  <c r="AA331" i="28"/>
  <c r="BW79" i="7"/>
  <c r="BV79" i="7" s="1"/>
  <c r="BJ79" i="7"/>
  <c r="BJ50" i="7"/>
  <c r="AA349" i="28"/>
  <c r="AP349" i="28" s="1"/>
  <c r="AP203" i="28"/>
  <c r="AA632" i="28"/>
  <c r="AP230" i="28"/>
  <c r="BA30" i="28"/>
  <c r="AP120" i="28"/>
  <c r="AA531" i="28"/>
  <c r="BA531" i="28" s="1"/>
  <c r="AA320" i="28"/>
  <c r="AU320" i="28" s="1"/>
  <c r="BA519" i="28"/>
  <c r="AU519" i="28"/>
  <c r="AA752" i="28"/>
  <c r="BA752" i="28" s="1"/>
  <c r="AA227" i="28"/>
  <c r="AU390" i="28"/>
  <c r="AA135" i="28"/>
  <c r="AU372" i="28"/>
  <c r="BA390" i="28"/>
  <c r="AA260" i="28"/>
  <c r="AP260" i="28" s="1"/>
  <c r="AA670" i="28"/>
  <c r="AA373" i="28"/>
  <c r="BA400" i="28"/>
  <c r="BA202" i="28"/>
  <c r="AA639" i="28"/>
  <c r="AU639" i="28" s="1"/>
  <c r="AU640" i="28"/>
  <c r="AA392" i="28"/>
  <c r="AA327" i="28"/>
  <c r="AA445" i="28"/>
  <c r="AA190" i="28"/>
  <c r="AA329" i="28"/>
  <c r="AA334" i="28"/>
  <c r="AP212" i="28"/>
  <c r="BA212" i="28"/>
  <c r="AU212" i="28"/>
  <c r="AA507" i="28"/>
  <c r="AA379" i="28"/>
  <c r="AA709" i="28"/>
  <c r="AA82" i="28"/>
  <c r="AA370" i="28"/>
  <c r="BJ83" i="7"/>
  <c r="AP729" i="28"/>
  <c r="AA536" i="28"/>
  <c r="AA523" i="28"/>
  <c r="AA211" i="28"/>
  <c r="AA356" i="28"/>
  <c r="AA248" i="28"/>
  <c r="BW31" i="7"/>
  <c r="BV31" i="7" s="1"/>
  <c r="AA391" i="28"/>
  <c r="BJ14" i="7"/>
  <c r="AA428" i="28"/>
  <c r="BW14" i="7"/>
  <c r="BV14" i="7" s="1"/>
  <c r="AA306" i="28"/>
  <c r="AA22" i="28"/>
  <c r="AA183" i="28"/>
  <c r="AA93" i="28"/>
  <c r="AA621" i="28"/>
  <c r="AA691" i="28"/>
  <c r="BA691" i="28" s="1"/>
  <c r="V119" i="14"/>
  <c r="BJ12" i="7"/>
  <c r="AA476" i="28"/>
  <c r="AA728" i="28"/>
  <c r="BJ38" i="7"/>
  <c r="BA179" i="28"/>
  <c r="AP179" i="28"/>
  <c r="AU384" i="28"/>
  <c r="BW29" i="7"/>
  <c r="BV29" i="7" s="1"/>
  <c r="BJ29" i="7"/>
  <c r="AA443" i="28"/>
  <c r="BJ71" i="7"/>
  <c r="AA735" i="28"/>
  <c r="AA254" i="28"/>
  <c r="BA254" i="28" s="1"/>
  <c r="AA337" i="28"/>
  <c r="BA225" i="28"/>
  <c r="AA638" i="28"/>
  <c r="AU638" i="28" s="1"/>
  <c r="AP225" i="28"/>
  <c r="AP96" i="28"/>
  <c r="AU557" i="28"/>
  <c r="AA452" i="28"/>
  <c r="BW26" i="7"/>
  <c r="BV26" i="7" s="1"/>
  <c r="BA438" i="28"/>
  <c r="AA440" i="28"/>
  <c r="AP440" i="28" s="1"/>
  <c r="BW17" i="7"/>
  <c r="BA126" i="28"/>
  <c r="AA431" i="28"/>
  <c r="AA497" i="28"/>
  <c r="BA497" i="28" s="1"/>
  <c r="BW83" i="7"/>
  <c r="BV83" i="7" s="1"/>
  <c r="AA650" i="28"/>
  <c r="AP650" i="28" s="1"/>
  <c r="BA350" i="28"/>
  <c r="BA76" i="28"/>
  <c r="AU203" i="28"/>
  <c r="BJ89" i="7"/>
  <c r="AP36" i="28"/>
  <c r="BA251" i="28"/>
  <c r="AA563" i="28"/>
  <c r="BA416" i="28"/>
  <c r="BA142" i="28"/>
  <c r="AP142" i="28"/>
  <c r="AU142" i="28"/>
  <c r="AA273" i="28"/>
  <c r="AA627" i="28"/>
  <c r="BJ90" i="7"/>
  <c r="BA12" i="28"/>
  <c r="BW89" i="7"/>
  <c r="BV89" i="7" s="1"/>
  <c r="AA503" i="28"/>
  <c r="AA410" i="28"/>
  <c r="AU12" i="28"/>
  <c r="AA154" i="28"/>
  <c r="AA332" i="28"/>
  <c r="AA651" i="28"/>
  <c r="AU416" i="28"/>
  <c r="AA707" i="28"/>
  <c r="AA286" i="28"/>
  <c r="BJ16" i="7"/>
  <c r="AA430" i="28"/>
  <c r="BW16" i="7"/>
  <c r="BV16" i="7" s="1"/>
  <c r="AU47" i="28"/>
  <c r="BA47" i="28"/>
  <c r="BA685" i="28"/>
  <c r="AA513" i="28"/>
  <c r="AA206" i="14"/>
  <c r="AA485" i="28"/>
  <c r="AA296" i="28"/>
  <c r="AP277" i="28"/>
  <c r="BW57" i="7"/>
  <c r="BV57" i="7" s="1"/>
  <c r="AP685" i="28"/>
  <c r="AA471" i="28"/>
  <c r="AA538" i="28"/>
  <c r="AA773" i="28"/>
  <c r="AA465" i="28"/>
  <c r="BW51" i="7"/>
  <c r="BV51" i="7" s="1"/>
  <c r="BJ51" i="7"/>
  <c r="AA594" i="28"/>
  <c r="BA547" i="28"/>
  <c r="AU338" i="28"/>
  <c r="AP338" i="28"/>
  <c r="BA338" i="28"/>
  <c r="AA622" i="28"/>
  <c r="BA622" i="28" s="1"/>
  <c r="AP77" i="28"/>
  <c r="BA77" i="28"/>
  <c r="AP404" i="28"/>
  <c r="AU404" i="28"/>
  <c r="BA404" i="28"/>
  <c r="AA740" i="28"/>
  <c r="AA646" i="28"/>
  <c r="AA155" i="28"/>
  <c r="AA575" i="28"/>
  <c r="AA705" i="28"/>
  <c r="BA72" i="28"/>
  <c r="AP51" i="28"/>
  <c r="AA150" i="28"/>
  <c r="AA661" i="28"/>
  <c r="AA152" i="28"/>
  <c r="AA153" i="28"/>
  <c r="BA86" i="28"/>
  <c r="AA198" i="28"/>
  <c r="BA17" i="28"/>
  <c r="AP17" i="28"/>
  <c r="AA599" i="28"/>
  <c r="BA557" i="28"/>
  <c r="AA585" i="28"/>
  <c r="AA671" i="28"/>
  <c r="AA479" i="28"/>
  <c r="BW65" i="7"/>
  <c r="BV65" i="7" s="1"/>
  <c r="BJ65" i="7"/>
  <c r="BA626" i="28"/>
  <c r="AA35" i="28"/>
  <c r="AA191" i="28"/>
  <c r="AA609" i="28"/>
  <c r="AA682" i="28"/>
  <c r="AA406" i="28"/>
  <c r="AA141" i="28"/>
  <c r="AU86" i="28"/>
  <c r="AP732" i="28"/>
  <c r="BA353" i="28"/>
  <c r="AA561" i="28"/>
  <c r="BA288" i="28"/>
  <c r="AA550" i="28"/>
  <c r="AU19" i="28"/>
  <c r="AA717" i="28"/>
  <c r="BA19" i="28"/>
  <c r="AP102" i="28"/>
  <c r="BA102" i="28"/>
  <c r="AP288" i="28"/>
  <c r="AA674" i="28"/>
  <c r="AU710" i="28"/>
  <c r="BA710" i="28"/>
  <c r="AP710" i="28"/>
  <c r="AU353" i="28"/>
  <c r="AU287" i="28"/>
  <c r="AP287" i="28"/>
  <c r="BA287" i="28"/>
  <c r="AA758" i="28"/>
  <c r="AA386" i="28"/>
  <c r="BW36" i="7"/>
  <c r="BV36" i="7" s="1"/>
  <c r="BJ36" i="7"/>
  <c r="AA450" i="28"/>
  <c r="BW93" i="7"/>
  <c r="BV93" i="7" s="1"/>
  <c r="BJ93" i="7"/>
  <c r="AA738" i="28"/>
  <c r="AA598" i="28"/>
  <c r="AA619" i="28"/>
  <c r="AA583" i="28"/>
  <c r="AA679" i="28"/>
  <c r="AA559" i="28"/>
  <c r="AA715" i="28"/>
  <c r="AA643" i="28"/>
  <c r="AA511" i="28"/>
  <c r="AP626" i="28"/>
  <c r="AP20" i="28"/>
  <c r="BA20" i="28"/>
  <c r="AU20" i="28"/>
  <c r="AP103" i="28"/>
  <c r="AP312" i="28"/>
  <c r="AU312" i="28"/>
  <c r="BA312" i="28"/>
  <c r="AP683" i="28"/>
  <c r="AU683" i="28"/>
  <c r="BA683" i="28"/>
  <c r="BA222" i="28"/>
  <c r="AU222" i="28"/>
  <c r="AP222" i="28"/>
  <c r="AP768" i="28"/>
  <c r="AU768" i="28"/>
  <c r="BA768" i="28"/>
  <c r="AP692" i="28"/>
  <c r="AU692" i="28"/>
  <c r="BA692" i="28"/>
  <c r="BA88" i="28"/>
  <c r="AU45" i="28"/>
  <c r="AP45" i="28"/>
  <c r="BA45" i="28"/>
  <c r="AP782" i="28"/>
  <c r="BA782" i="28"/>
  <c r="AU782" i="28"/>
  <c r="AU378" i="28"/>
  <c r="BA378" i="28"/>
  <c r="AP378" i="28"/>
  <c r="AP52" i="28"/>
  <c r="AU52" i="28"/>
  <c r="BA52" i="28"/>
  <c r="AU613" i="28"/>
  <c r="BA613" i="28"/>
  <c r="AP613" i="28"/>
  <c r="AP122" i="28"/>
  <c r="BA122" i="28"/>
  <c r="AU41" i="28"/>
  <c r="AP41" i="28"/>
  <c r="BA41" i="28"/>
  <c r="AU341" i="28"/>
  <c r="BA341" i="28"/>
  <c r="AP341" i="28"/>
  <c r="BA235" i="28"/>
  <c r="AP235" i="28"/>
  <c r="AU235" i="28"/>
  <c r="AU295" i="28"/>
  <c r="BA295" i="28"/>
  <c r="AP295" i="28"/>
  <c r="AP578" i="28"/>
  <c r="AU578" i="28"/>
  <c r="BA578" i="28"/>
  <c r="AP121" i="28"/>
  <c r="BA121" i="28"/>
  <c r="AP214" i="28"/>
  <c r="AU214" i="28"/>
  <c r="BA214" i="28"/>
  <c r="AU165" i="28"/>
  <c r="AP165" i="28"/>
  <c r="BA165" i="28"/>
  <c r="AP62" i="28"/>
  <c r="BA62" i="28"/>
  <c r="BA543" i="28"/>
  <c r="AU175" i="28"/>
  <c r="AP175" i="28"/>
  <c r="BA175" i="28"/>
  <c r="BA31" i="28"/>
  <c r="AP31" i="28"/>
  <c r="BA395" i="28"/>
  <c r="AU283" i="28"/>
  <c r="AP283" i="28"/>
  <c r="BA283" i="28"/>
  <c r="AU240" i="28"/>
  <c r="AP240" i="28"/>
  <c r="BA240" i="28"/>
  <c r="BA127" i="28"/>
  <c r="AP127" i="28"/>
  <c r="AU383" i="28"/>
  <c r="AP383" i="28"/>
  <c r="BA383" i="28"/>
  <c r="AP352" i="28"/>
  <c r="AU352" i="28"/>
  <c r="BA352" i="28"/>
  <c r="BA326" i="28"/>
  <c r="AU326" i="28"/>
  <c r="AP326" i="28"/>
  <c r="BA285" i="28"/>
  <c r="BA66" i="28"/>
  <c r="AU66" i="28"/>
  <c r="AP66" i="28"/>
  <c r="AP746" i="28"/>
  <c r="AU746" i="28"/>
  <c r="BA746" i="28"/>
  <c r="AP686" i="28"/>
  <c r="AU686" i="28"/>
  <c r="BA686" i="28"/>
  <c r="AP517" i="28"/>
  <c r="BA517" i="28"/>
  <c r="BA21" i="28"/>
  <c r="AU21" i="28"/>
  <c r="AP21" i="28"/>
  <c r="BA97" i="28"/>
  <c r="AP97" i="28"/>
  <c r="BA655" i="28"/>
  <c r="AP655" i="28"/>
  <c r="AU655" i="28"/>
  <c r="AP132" i="28"/>
  <c r="BA132" i="28"/>
  <c r="AP228" i="28"/>
  <c r="AU228" i="28"/>
  <c r="BA228" i="28"/>
  <c r="AP112" i="28"/>
  <c r="BA112" i="28"/>
  <c r="BA84" i="28"/>
  <c r="AP84" i="28"/>
  <c r="BA542" i="28"/>
  <c r="AP542" i="28"/>
  <c r="BA16" i="28"/>
  <c r="AP16" i="28"/>
  <c r="AU770" i="28"/>
  <c r="BA770" i="28"/>
  <c r="AP770" i="28"/>
  <c r="BA114" i="28"/>
  <c r="AP114" i="28"/>
  <c r="BA74" i="28"/>
  <c r="AU74" i="28"/>
  <c r="AP74" i="28"/>
  <c r="AP415" i="28"/>
  <c r="AP660" i="28"/>
  <c r="AU660" i="28"/>
  <c r="BA660" i="28"/>
  <c r="BA6" i="28"/>
  <c r="AP6" i="28"/>
  <c r="AU298" i="28"/>
  <c r="AP593" i="28"/>
  <c r="AU593" i="28"/>
  <c r="BA593" i="28"/>
  <c r="BA160" i="28"/>
  <c r="AU160" i="28"/>
  <c r="AP160" i="28"/>
  <c r="AP304" i="28"/>
  <c r="AP666" i="28"/>
  <c r="BA666" i="28"/>
  <c r="AU666" i="28"/>
  <c r="AA145" i="28"/>
  <c r="AP412" i="28"/>
  <c r="BA412" i="28"/>
  <c r="AU412" i="28"/>
  <c r="BA603" i="28"/>
  <c r="AP330" i="28"/>
  <c r="BA330" i="28"/>
  <c r="AU330" i="28"/>
  <c r="AP700" i="28"/>
  <c r="AU700" i="28"/>
  <c r="BA700" i="28"/>
  <c r="AP522" i="28"/>
  <c r="BA522" i="28"/>
  <c r="AU522" i="28"/>
  <c r="BA614" i="28"/>
  <c r="AP614" i="28"/>
  <c r="AU614" i="28"/>
  <c r="AP396" i="28"/>
  <c r="BA396" i="28"/>
  <c r="AP274" i="28"/>
  <c r="BA274" i="28"/>
  <c r="AU274" i="28"/>
  <c r="AA118" i="28"/>
  <c r="AU237" i="28"/>
  <c r="BA237" i="28"/>
  <c r="AP237" i="28"/>
  <c r="AU218" i="28"/>
  <c r="AP218" i="28"/>
  <c r="BA218" i="28"/>
  <c r="AP566" i="28"/>
  <c r="BA566" i="28"/>
  <c r="BA257" i="28"/>
  <c r="AU257" i="28"/>
  <c r="AP257" i="28"/>
  <c r="AP262" i="28"/>
  <c r="AU262" i="28"/>
  <c r="BA262" i="28"/>
  <c r="BA518" i="28"/>
  <c r="AP518" i="28"/>
  <c r="AP27" i="28"/>
  <c r="BA27" i="28"/>
  <c r="BA540" i="28"/>
  <c r="AP540" i="28"/>
  <c r="AU588" i="28"/>
  <c r="BA588" i="28"/>
  <c r="AP588" i="28"/>
  <c r="AU204" i="28"/>
  <c r="AP204" i="28"/>
  <c r="BA204" i="28"/>
  <c r="AP369" i="28"/>
  <c r="BA369" i="28"/>
  <c r="AU369" i="28"/>
  <c r="AP156" i="28"/>
  <c r="AU156" i="28"/>
  <c r="BA156" i="28"/>
  <c r="AP444" i="28"/>
  <c r="BA444" i="28"/>
  <c r="AP348" i="28"/>
  <c r="AU348" i="28"/>
  <c r="BA348" i="28"/>
  <c r="BA305" i="28"/>
  <c r="BA292" i="28"/>
  <c r="AP292" i="28"/>
  <c r="AU292" i="28"/>
  <c r="BA151" i="28"/>
  <c r="AP151" i="28"/>
  <c r="AU151" i="28"/>
  <c r="AP374" i="28"/>
  <c r="BA388" i="28"/>
  <c r="AU388" i="28"/>
  <c r="AP388" i="28"/>
  <c r="AP733" i="28"/>
  <c r="BA733" i="28"/>
  <c r="BA32" i="28"/>
  <c r="AP32" i="28"/>
  <c r="AP275" i="28"/>
  <c r="BA275" i="28"/>
  <c r="AU275" i="28"/>
  <c r="AU302" i="28"/>
  <c r="AP302" i="28"/>
  <c r="BA302" i="28"/>
  <c r="AU625" i="28"/>
  <c r="BA625" i="28"/>
  <c r="AP625" i="28"/>
  <c r="BA246" i="28"/>
  <c r="AU246" i="28"/>
  <c r="AP246" i="28"/>
  <c r="AP184" i="28"/>
  <c r="AU184" i="28"/>
  <c r="BA184" i="28"/>
  <c r="BA723" i="28"/>
  <c r="AP63" i="28"/>
  <c r="BA63" i="28"/>
  <c r="AU336" i="28"/>
  <c r="BA336" i="28"/>
  <c r="AP336" i="28"/>
  <c r="BA171" i="28"/>
  <c r="AU171" i="28"/>
  <c r="AP171" i="28"/>
  <c r="BA363" i="28"/>
  <c r="AP363" i="28"/>
  <c r="AU363" i="28"/>
  <c r="BA71" i="28"/>
  <c r="AP71" i="28"/>
  <c r="BA303" i="28"/>
  <c r="AU303" i="28"/>
  <c r="AP303" i="28"/>
  <c r="BA149" i="28"/>
  <c r="AU149" i="28"/>
  <c r="AP149" i="28"/>
  <c r="AP375" i="28"/>
  <c r="BA375" i="28"/>
  <c r="AU375" i="28"/>
  <c r="BA23" i="28"/>
  <c r="AP23" i="28"/>
  <c r="AU23" i="28"/>
  <c r="AP208" i="28"/>
  <c r="AU208" i="28"/>
  <c r="BA208" i="28"/>
  <c r="AP753" i="28"/>
  <c r="AU753" i="28"/>
  <c r="BA753" i="28"/>
  <c r="AP98" i="28"/>
  <c r="BA98" i="28"/>
  <c r="AP101" i="28"/>
  <c r="BA101" i="28"/>
  <c r="BA123" i="28"/>
  <c r="AP123" i="28"/>
  <c r="AP172" i="28"/>
  <c r="AU172" i="28"/>
  <c r="BA172" i="28"/>
  <c r="AU264" i="28"/>
  <c r="BA264" i="28"/>
  <c r="AP264" i="28"/>
  <c r="BA694" i="28"/>
  <c r="AU694" i="28"/>
  <c r="AP694" i="28"/>
  <c r="BA414" i="28"/>
  <c r="AP414" i="28"/>
  <c r="AU558" i="28"/>
  <c r="BA558" i="28"/>
  <c r="AP558" i="28"/>
  <c r="BA659" i="28"/>
  <c r="AU659" i="28"/>
  <c r="AP659" i="28"/>
  <c r="AP748" i="28"/>
  <c r="BA748" i="28"/>
  <c r="AU748" i="28"/>
  <c r="AP504" i="28"/>
  <c r="BA504" i="28"/>
  <c r="AU243" i="28"/>
  <c r="BA243" i="28"/>
  <c r="AP243" i="28"/>
  <c r="BA291" i="28"/>
  <c r="AP291" i="28"/>
  <c r="AU291" i="28"/>
  <c r="BA777" i="28"/>
  <c r="AP777" i="28"/>
  <c r="AU777" i="28"/>
  <c r="BA147" i="28"/>
  <c r="AU147" i="28"/>
  <c r="AP147" i="28"/>
  <c r="AP611" i="28"/>
  <c r="BA611" i="28"/>
  <c r="AU611" i="28"/>
  <c r="BA687" i="28"/>
  <c r="AU687" i="28"/>
  <c r="AP687" i="28"/>
  <c r="BA137" i="28"/>
  <c r="AP137" i="28"/>
  <c r="AP15" i="28"/>
  <c r="BA15" i="28"/>
  <c r="AU255" i="28"/>
  <c r="BA255" i="28"/>
  <c r="AP255" i="28"/>
  <c r="AP159" i="28"/>
  <c r="BA159" i="28"/>
  <c r="AU159" i="28"/>
  <c r="AP111" i="28"/>
  <c r="BA111" i="28"/>
  <c r="AU498" i="28" l="1"/>
  <c r="V114" i="14"/>
  <c r="V345" i="14"/>
  <c r="V322" i="14"/>
  <c r="V344" i="14"/>
  <c r="V32" i="14"/>
  <c r="V343" i="14"/>
  <c r="V166" i="14"/>
  <c r="V342" i="14"/>
  <c r="U318" i="14"/>
  <c r="U340" i="14"/>
  <c r="W318" i="14"/>
  <c r="W340" i="14"/>
  <c r="X318" i="14"/>
  <c r="X340" i="14"/>
  <c r="V51" i="14"/>
  <c r="V339" i="14"/>
  <c r="AP498" i="28"/>
  <c r="V20" i="14"/>
  <c r="V337" i="14"/>
  <c r="V208" i="14"/>
  <c r="V335" i="14"/>
  <c r="V60" i="14"/>
  <c r="V324" i="14"/>
  <c r="V59" i="14"/>
  <c r="V323" i="14"/>
  <c r="V30" i="14"/>
  <c r="V321" i="14"/>
  <c r="AH320" i="14"/>
  <c r="AV320" i="14" s="1"/>
  <c r="V40" i="14"/>
  <c r="V319" i="14"/>
  <c r="AU219" i="28"/>
  <c r="AP359" i="28"/>
  <c r="AU206" i="28"/>
  <c r="BV17" i="7"/>
  <c r="AP473" i="28"/>
  <c r="AU689" i="28"/>
  <c r="BA432" i="28"/>
  <c r="AP603" i="28"/>
  <c r="AP146" i="28"/>
  <c r="AU304" i="28"/>
  <c r="BA689" i="28"/>
  <c r="AU75" i="28"/>
  <c r="AU374" i="28"/>
  <c r="BA415" i="28"/>
  <c r="BA351" i="28"/>
  <c r="AP305" i="28"/>
  <c r="AU673" i="28"/>
  <c r="AU285" i="28"/>
  <c r="BA424" i="28"/>
  <c r="BV5" i="7"/>
  <c r="V187" i="14"/>
  <c r="V126" i="14"/>
  <c r="AU739" i="28"/>
  <c r="BA420" i="28"/>
  <c r="V159" i="14"/>
  <c r="BA427" i="28"/>
  <c r="AP739" i="28"/>
  <c r="AP492" i="28"/>
  <c r="AU116" i="7"/>
  <c r="BA451" i="28"/>
  <c r="BA439" i="28"/>
  <c r="AP423" i="28"/>
  <c r="AU424" i="28"/>
  <c r="AP458" i="28"/>
  <c r="V22" i="14"/>
  <c r="AT473" i="28"/>
  <c r="AU473" i="28" s="1"/>
  <c r="BA448" i="28"/>
  <c r="V73" i="14"/>
  <c r="V293" i="14"/>
  <c r="V75" i="14"/>
  <c r="V292" i="14"/>
  <c r="AP486" i="28"/>
  <c r="AU439" i="28"/>
  <c r="V105" i="14"/>
  <c r="V212" i="14"/>
  <c r="V70" i="14"/>
  <c r="AP422" i="28"/>
  <c r="V90" i="14"/>
  <c r="AT494" i="28"/>
  <c r="AU494" i="28" s="1"/>
  <c r="AU489" i="28"/>
  <c r="BA488" i="28"/>
  <c r="BA489" i="28"/>
  <c r="AU492" i="28"/>
  <c r="V72" i="14"/>
  <c r="V104" i="14"/>
  <c r="V27" i="14"/>
  <c r="AP487" i="28"/>
  <c r="V192" i="14"/>
  <c r="V88" i="14"/>
  <c r="AP434" i="28"/>
  <c r="BA75" i="28"/>
  <c r="BA199" i="28"/>
  <c r="AP221" i="28"/>
  <c r="BA221" i="28"/>
  <c r="BA678" i="28"/>
  <c r="AP678" i="28"/>
  <c r="V3" i="14"/>
  <c r="BA298" i="28"/>
  <c r="AP271" i="28"/>
  <c r="AU359" i="28"/>
  <c r="BA161" i="28"/>
  <c r="V29" i="14"/>
  <c r="AP301" i="28"/>
  <c r="AT450" i="28"/>
  <c r="AU450" i="28" s="1"/>
  <c r="V205" i="14"/>
  <c r="V118" i="14"/>
  <c r="AP241" i="28"/>
  <c r="V116" i="14"/>
  <c r="BA417" i="28"/>
  <c r="BA233" i="28"/>
  <c r="AU604" i="28"/>
  <c r="AP483" i="28"/>
  <c r="BA481" i="28"/>
  <c r="AP481" i="28"/>
  <c r="AP311" i="28"/>
  <c r="V92" i="14"/>
  <c r="V186" i="14"/>
  <c r="BA187" i="28"/>
  <c r="AP360" i="28"/>
  <c r="AU187" i="28"/>
  <c r="AU360" i="28"/>
  <c r="BA317" i="28"/>
  <c r="AU556" i="28"/>
  <c r="AT745" i="28"/>
  <c r="AU745" i="28" s="1"/>
  <c r="AU311" i="28"/>
  <c r="AP491" i="28"/>
  <c r="V122" i="14"/>
  <c r="AT440" i="28"/>
  <c r="AU440" i="28" s="1"/>
  <c r="V7" i="14"/>
  <c r="V49" i="14"/>
  <c r="V102" i="14"/>
  <c r="AT458" i="28"/>
  <c r="AU458" i="28" s="1"/>
  <c r="BA667" i="28"/>
  <c r="AU186" i="28"/>
  <c r="BA206" i="28"/>
  <c r="BA570" i="28"/>
  <c r="AP223" i="28"/>
  <c r="AU223" i="28"/>
  <c r="BA525" i="28"/>
  <c r="AP532" i="28"/>
  <c r="AU88" i="28"/>
  <c r="BA345" i="28"/>
  <c r="BA745" i="28"/>
  <c r="AP129" i="28"/>
  <c r="AU667" i="28"/>
  <c r="AU525" i="28"/>
  <c r="AU345" i="28"/>
  <c r="AP143" i="28"/>
  <c r="AP417" i="28"/>
  <c r="BA131" i="28"/>
  <c r="AP617" i="28"/>
  <c r="AP673" i="28"/>
  <c r="AP429" i="28"/>
  <c r="AP433" i="28"/>
  <c r="AP108" i="28"/>
  <c r="AU487" i="28"/>
  <c r="BA480" i="28"/>
  <c r="V214" i="14"/>
  <c r="AP480" i="28"/>
  <c r="V130" i="14"/>
  <c r="AP484" i="28"/>
  <c r="BA29" i="28"/>
  <c r="AU426" i="28"/>
  <c r="V66" i="14"/>
  <c r="AU701" i="28"/>
  <c r="AP573" i="28"/>
  <c r="BA478" i="28"/>
  <c r="BA456" i="28"/>
  <c r="AP317" i="28"/>
  <c r="AU130" i="28"/>
  <c r="BA301" i="28"/>
  <c r="V180" i="14"/>
  <c r="V55" i="14"/>
  <c r="S235" i="18"/>
  <c r="BA477" i="28"/>
  <c r="AU681" i="28"/>
  <c r="AP744" i="28"/>
  <c r="BA34" i="28"/>
  <c r="S248" i="18"/>
  <c r="AU76" i="28"/>
  <c r="AP556" i="28"/>
  <c r="AT459" i="28"/>
  <c r="AU459" i="28" s="1"/>
  <c r="V273" i="14"/>
  <c r="AJ273" i="14" s="1"/>
  <c r="CV118" i="7"/>
  <c r="CW118" i="7" s="1"/>
  <c r="AT468" i="28"/>
  <c r="AU468" i="28" s="1"/>
  <c r="AT736" i="28"/>
  <c r="AU736" i="28" s="1"/>
  <c r="AP736" i="28"/>
  <c r="BA502" i="28"/>
  <c r="AP502" i="28"/>
  <c r="AU502" i="28"/>
  <c r="BU116" i="7"/>
  <c r="CU119" i="7"/>
  <c r="CR119" i="7"/>
  <c r="CO119" i="7"/>
  <c r="CL119" i="7"/>
  <c r="BT119" i="7"/>
  <c r="BP119" i="7"/>
  <c r="CS119" i="7"/>
  <c r="CP119" i="7"/>
  <c r="CM119" i="7"/>
  <c r="CJ119" i="7"/>
  <c r="BQ119" i="7"/>
  <c r="CT119" i="7"/>
  <c r="CQ119" i="7"/>
  <c r="CN119" i="7"/>
  <c r="CK119" i="7"/>
  <c r="BR119" i="7"/>
  <c r="BN119" i="7"/>
  <c r="BO96" i="7"/>
  <c r="BU96" i="7"/>
  <c r="AT483" i="28"/>
  <c r="AU483" i="28" s="1"/>
  <c r="S242" i="18"/>
  <c r="AI262" i="14"/>
  <c r="V74" i="14"/>
  <c r="V276" i="14"/>
  <c r="AJ276" i="14" s="1"/>
  <c r="AV276" i="14" s="1"/>
  <c r="AJ275" i="14"/>
  <c r="AU275" i="14" s="1"/>
  <c r="V61" i="14"/>
  <c r="V274" i="14"/>
  <c r="AJ274" i="14" s="1"/>
  <c r="AU274" i="14" s="1"/>
  <c r="AI273" i="14"/>
  <c r="AJ272" i="14"/>
  <c r="AV272" i="14" s="1"/>
  <c r="V123" i="14"/>
  <c r="V269" i="14"/>
  <c r="V6" i="14"/>
  <c r="V267" i="14"/>
  <c r="V99" i="14"/>
  <c r="V266" i="14"/>
  <c r="BW116" i="7"/>
  <c r="BV116" i="7" s="1"/>
  <c r="V67" i="14"/>
  <c r="V263" i="14"/>
  <c r="V210" i="14"/>
  <c r="V262" i="14"/>
  <c r="AJ262" i="14" s="1"/>
  <c r="BA197" i="28"/>
  <c r="AP182" i="28"/>
  <c r="AP279" i="28"/>
  <c r="BA325" i="28"/>
  <c r="AU238" i="28"/>
  <c r="AP693" i="28"/>
  <c r="BA633" i="28"/>
  <c r="AU652" i="28"/>
  <c r="AP105" i="28"/>
  <c r="AP219" i="28"/>
  <c r="AP238" i="28"/>
  <c r="BA779" i="28"/>
  <c r="BA461" i="28"/>
  <c r="AU526" i="28"/>
  <c r="AP461" i="28"/>
  <c r="AP215" i="28"/>
  <c r="AP633" i="28"/>
  <c r="AU314" i="28"/>
  <c r="AP763" i="28"/>
  <c r="AU220" i="28"/>
  <c r="BA314" i="28"/>
  <c r="BA398" i="28"/>
  <c r="AP355" i="28"/>
  <c r="AP630" i="28"/>
  <c r="AU161" i="28"/>
  <c r="AU226" i="28"/>
  <c r="AU779" i="28"/>
  <c r="BA623" i="28"/>
  <c r="BA65" i="28"/>
  <c r="AP749" i="28"/>
  <c r="AU749" i="28"/>
  <c r="AP737" i="28"/>
  <c r="AU648" i="28"/>
  <c r="AP665" i="28"/>
  <c r="BA763" i="28"/>
  <c r="AP783" i="28"/>
  <c r="AU665" i="28"/>
  <c r="V146" i="14"/>
  <c r="BA371" i="28"/>
  <c r="BA553" i="28"/>
  <c r="BA399" i="28"/>
  <c r="BA453" i="28"/>
  <c r="AU259" i="28"/>
  <c r="BA259" i="28"/>
  <c r="AP648" i="28"/>
  <c r="S241" i="18"/>
  <c r="AT486" i="28"/>
  <c r="AU486" i="28" s="1"/>
  <c r="S239" i="18"/>
  <c r="AT477" i="28"/>
  <c r="AU477" i="28" s="1"/>
  <c r="S238" i="18"/>
  <c r="AT475" i="28"/>
  <c r="AU475" i="28" s="1"/>
  <c r="S233" i="18"/>
  <c r="AT490" i="28"/>
  <c r="AU490" i="28" s="1"/>
  <c r="S244" i="18"/>
  <c r="AT497" i="28"/>
  <c r="AU497" i="28" s="1"/>
  <c r="S265" i="18"/>
  <c r="AT431" i="28"/>
  <c r="AU431" i="28" s="1"/>
  <c r="S240" i="18"/>
  <c r="AT484" i="28"/>
  <c r="AU484" i="28" s="1"/>
  <c r="S264" i="18"/>
  <c r="AT485" i="28"/>
  <c r="AU485" i="28" s="1"/>
  <c r="V69" i="14"/>
  <c r="V174" i="14"/>
  <c r="S217" i="18"/>
  <c r="AT433" i="28"/>
  <c r="AU433" i="28" s="1"/>
  <c r="S282" i="18"/>
  <c r="AT474" i="28"/>
  <c r="AU474" i="28" s="1"/>
  <c r="S243" i="18"/>
  <c r="AT488" i="28"/>
  <c r="AU488" i="28" s="1"/>
  <c r="S257" i="18"/>
  <c r="AT476" i="28"/>
  <c r="AU476" i="28" s="1"/>
  <c r="S237" i="18"/>
  <c r="AT463" i="28"/>
  <c r="AU463" i="28" s="1"/>
  <c r="S267" i="18"/>
  <c r="AT493" i="28"/>
  <c r="AU493" i="28" s="1"/>
  <c r="S275" i="18"/>
  <c r="AT432" i="28"/>
  <c r="AU432" i="28" s="1"/>
  <c r="S253" i="18"/>
  <c r="AT737" i="28"/>
  <c r="AU737" i="28" s="1"/>
  <c r="S234" i="18"/>
  <c r="AT491" i="28"/>
  <c r="AU491" i="28" s="1"/>
  <c r="S258" i="18"/>
  <c r="AT478" i="28"/>
  <c r="AU478" i="28" s="1"/>
  <c r="S221" i="18"/>
  <c r="AT469" i="28"/>
  <c r="AU469" i="28" s="1"/>
  <c r="S231" i="18"/>
  <c r="AT466" i="28"/>
  <c r="AU466" i="28" s="1"/>
  <c r="S255" i="18"/>
  <c r="AT467" i="28"/>
  <c r="AU467" i="28" s="1"/>
  <c r="BA457" i="28"/>
  <c r="AP457" i="28"/>
  <c r="S220" i="18"/>
  <c r="AT451" i="28"/>
  <c r="AU451" i="28" s="1"/>
  <c r="S247" i="18"/>
  <c r="AT460" i="28"/>
  <c r="AU460" i="28" s="1"/>
  <c r="S236" i="18"/>
  <c r="AT442" i="28"/>
  <c r="AU442" i="28" s="1"/>
  <c r="S218" i="18"/>
  <c r="AT438" i="28"/>
  <c r="AU438" i="28" s="1"/>
  <c r="V31" i="14"/>
  <c r="V17" i="14"/>
  <c r="V46" i="14"/>
  <c r="V91" i="14"/>
  <c r="V89" i="14"/>
  <c r="V93" i="14"/>
  <c r="V8" i="14"/>
  <c r="BA181" i="28"/>
  <c r="AU664" i="28"/>
  <c r="BM788" i="28"/>
  <c r="BH788" i="28"/>
  <c r="BK788" i="28"/>
  <c r="BF788" i="28"/>
  <c r="BC788" i="28"/>
  <c r="BD788" i="28"/>
  <c r="BN788" i="28"/>
  <c r="A789" i="28"/>
  <c r="BE788" i="28"/>
  <c r="AY788" i="28"/>
  <c r="BL788" i="28"/>
  <c r="BI788" i="28"/>
  <c r="BJ788" i="28"/>
  <c r="BG788" i="28"/>
  <c r="AZ788" i="28"/>
  <c r="AW788" i="28"/>
  <c r="AV788" i="28"/>
  <c r="AX788" i="28"/>
  <c r="AP244" i="28"/>
  <c r="BB787" i="28"/>
  <c r="BP787" i="28"/>
  <c r="BO787" i="28"/>
  <c r="AP213" i="28"/>
  <c r="BA207" i="28"/>
  <c r="AU181" i="28"/>
  <c r="AP325" i="28"/>
  <c r="BA99" i="28"/>
  <c r="AU355" i="28"/>
  <c r="AP712" i="28"/>
  <c r="AP226" i="28"/>
  <c r="AP469" i="28"/>
  <c r="AP526" i="28"/>
  <c r="BA681" i="28"/>
  <c r="AP293" i="28"/>
  <c r="AU649" i="28"/>
  <c r="AP351" i="28"/>
  <c r="AP186" i="28"/>
  <c r="AU293" i="28"/>
  <c r="BJ96" i="7"/>
  <c r="BA514" i="28"/>
  <c r="AU647" i="28"/>
  <c r="AP649" i="28"/>
  <c r="AP201" i="28"/>
  <c r="BA620" i="28"/>
  <c r="AU553" i="28"/>
  <c r="V19" i="14"/>
  <c r="BA617" i="28"/>
  <c r="AP460" i="28"/>
  <c r="BA474" i="28"/>
  <c r="AP220" i="28"/>
  <c r="AP464" i="28"/>
  <c r="BA469" i="28"/>
  <c r="AP8" i="28"/>
  <c r="AU693" i="28"/>
  <c r="AU207" i="28"/>
  <c r="BA464" i="28"/>
  <c r="AU712" i="28"/>
  <c r="BA580" i="28"/>
  <c r="AU759" i="28"/>
  <c r="AU14" i="28"/>
  <c r="AP759" i="28"/>
  <c r="BA463" i="28"/>
  <c r="AU201" i="28"/>
  <c r="AU244" i="28"/>
  <c r="BA426" i="28"/>
  <c r="BA652" i="28"/>
  <c r="AP512" i="28"/>
  <c r="BA781" i="28"/>
  <c r="BA18" i="28"/>
  <c r="BW96" i="7"/>
  <c r="BV96" i="7" s="1"/>
  <c r="BA695" i="28"/>
  <c r="AP695" i="28"/>
  <c r="AP419" i="28"/>
  <c r="AU669" i="28"/>
  <c r="BA555" i="28"/>
  <c r="AU783" i="28"/>
  <c r="AP57" i="28"/>
  <c r="AP567" i="28"/>
  <c r="BA277" i="28"/>
  <c r="AP767" i="28"/>
  <c r="BA697" i="28"/>
  <c r="BA669" i="28"/>
  <c r="AU767" i="28"/>
  <c r="BA606" i="28"/>
  <c r="AP572" i="28"/>
  <c r="BA95" i="28"/>
  <c r="V183" i="14"/>
  <c r="AU215" i="28"/>
  <c r="AP591" i="28"/>
  <c r="AU376" i="28"/>
  <c r="AU182" i="28"/>
  <c r="AP197" i="28"/>
  <c r="AU591" i="28"/>
  <c r="AP234" i="28"/>
  <c r="AU623" i="28"/>
  <c r="AU663" i="28"/>
  <c r="AP376" i="28"/>
  <c r="BA252" i="28"/>
  <c r="AP761" i="28"/>
  <c r="V238" i="14"/>
  <c r="AJ238" i="14" s="1"/>
  <c r="AV238" i="14" s="1"/>
  <c r="BA209" i="28"/>
  <c r="AU501" i="28"/>
  <c r="AU423" i="28"/>
  <c r="AP371" i="28"/>
  <c r="BA401" i="28"/>
  <c r="AP54" i="28"/>
  <c r="AP501" i="28"/>
  <c r="AP539" i="28"/>
  <c r="AU358" i="28"/>
  <c r="AU610" i="28"/>
  <c r="BA53" i="28"/>
  <c r="AU233" i="28"/>
  <c r="AU53" i="28"/>
  <c r="BA134" i="28"/>
  <c r="BA510" i="28"/>
  <c r="AU510" i="28"/>
  <c r="AP421" i="28"/>
  <c r="AU656" i="28"/>
  <c r="BA771" i="28"/>
  <c r="AP5" i="28"/>
  <c r="AU698" i="28"/>
  <c r="AP698" i="28"/>
  <c r="BA628" i="28"/>
  <c r="BA499" i="28"/>
  <c r="AU606" i="28"/>
  <c r="BA397" i="28"/>
  <c r="BA119" i="28"/>
  <c r="AU499" i="28"/>
  <c r="BA657" i="28"/>
  <c r="BA467" i="28"/>
  <c r="BA672" i="28"/>
  <c r="AP418" i="28"/>
  <c r="AP672" i="28"/>
  <c r="BA656" i="28"/>
  <c r="AU210" i="28"/>
  <c r="BA418" i="28"/>
  <c r="BA675" i="28"/>
  <c r="AU675" i="28"/>
  <c r="AP270" i="28"/>
  <c r="V43" i="14"/>
  <c r="BA405" i="28"/>
  <c r="BA466" i="28"/>
  <c r="BA769" i="28"/>
  <c r="BA270" i="28"/>
  <c r="AU405" i="28"/>
  <c r="AP466" i="28"/>
  <c r="AP468" i="28"/>
  <c r="BA166" i="28"/>
  <c r="AU265" i="28"/>
  <c r="AP265" i="28"/>
  <c r="V101" i="14"/>
  <c r="AU769" i="28"/>
  <c r="BA574" i="28"/>
  <c r="BA196" i="28"/>
  <c r="AU196" i="28"/>
  <c r="AU697" i="28"/>
  <c r="AP166" i="28"/>
  <c r="BA158" i="28"/>
  <c r="AP158" i="28"/>
  <c r="BA560" i="28"/>
  <c r="AP771" i="28"/>
  <c r="AU560" i="28"/>
  <c r="AP781" i="28"/>
  <c r="AP130" i="28"/>
  <c r="AP316" i="28"/>
  <c r="AP711" i="28"/>
  <c r="BA766" i="28"/>
  <c r="AP364" i="28"/>
  <c r="AP579" i="28"/>
  <c r="AU711" i="28"/>
  <c r="AU364" i="28"/>
  <c r="BA579" i="28"/>
  <c r="AP368" i="28"/>
  <c r="AU368" i="28"/>
  <c r="BA241" i="28"/>
  <c r="BA741" i="28"/>
  <c r="AP730" i="28"/>
  <c r="AP741" i="28"/>
  <c r="BA527" i="28"/>
  <c r="AU316" i="28"/>
  <c r="AP604" i="28"/>
  <c r="AU343" i="28"/>
  <c r="AU766" i="28"/>
  <c r="AP343" i="28"/>
  <c r="BA726" i="28"/>
  <c r="AU703" i="28"/>
  <c r="AP564" i="28"/>
  <c r="BA590" i="28"/>
  <c r="BA703" i="28"/>
  <c r="BA564" i="28"/>
  <c r="BA750" i="28"/>
  <c r="AU323" i="28"/>
  <c r="BA616" i="28"/>
  <c r="AP690" i="28"/>
  <c r="AU612" i="28"/>
  <c r="BA690" i="28"/>
  <c r="AU205" i="28"/>
  <c r="AP664" i="28"/>
  <c r="BA761" i="28"/>
  <c r="AU328" i="28"/>
  <c r="AP328" i="28"/>
  <c r="BA328" i="28"/>
  <c r="BA344" i="28"/>
  <c r="AU344" i="28"/>
  <c r="AA784" i="28"/>
  <c r="AP784" i="28" s="1"/>
  <c r="AP628" i="28"/>
  <c r="AU580" i="28"/>
  <c r="BA394" i="28"/>
  <c r="BA10" i="28"/>
  <c r="AU258" i="28"/>
  <c r="BA87" i="28"/>
  <c r="AU324" i="28"/>
  <c r="AP281" i="28"/>
  <c r="BA281" i="28"/>
  <c r="AU281" i="28"/>
  <c r="AP527" i="28"/>
  <c r="BA754" i="28"/>
  <c r="BA722" i="28"/>
  <c r="V121" i="14"/>
  <c r="BA205" i="28"/>
  <c r="BA279" i="28"/>
  <c r="AP323" i="28"/>
  <c r="BA403" i="28"/>
  <c r="BA530" i="28"/>
  <c r="AP750" i="28"/>
  <c r="AP721" i="28"/>
  <c r="AU272" i="28"/>
  <c r="BA757" i="28"/>
  <c r="BA272" i="28"/>
  <c r="BA377" i="28"/>
  <c r="AP402" i="28"/>
  <c r="BA520" i="28"/>
  <c r="AP520" i="28"/>
  <c r="AP757" i="28"/>
  <c r="BA365" i="28"/>
  <c r="BA231" i="28"/>
  <c r="AP377" i="28"/>
  <c r="AP14" i="28"/>
  <c r="AP612" i="28"/>
  <c r="AP441" i="28"/>
  <c r="AP616" i="28"/>
  <c r="AU441" i="28"/>
  <c r="AU231" i="28"/>
  <c r="AP365" i="28"/>
  <c r="BA515" i="28"/>
  <c r="BA630" i="28"/>
  <c r="BA663" i="28"/>
  <c r="BA322" i="28"/>
  <c r="AP258" i="28"/>
  <c r="BA324" i="28"/>
  <c r="AU278" i="28"/>
  <c r="AP199" i="28"/>
  <c r="BA268" i="28"/>
  <c r="AP521" i="28"/>
  <c r="AU755" i="28"/>
  <c r="AP743" i="28"/>
  <c r="AU268" i="28"/>
  <c r="BA521" i="28"/>
  <c r="BA658" i="28"/>
  <c r="AP755" i="28"/>
  <c r="BA731" i="28"/>
  <c r="AP26" i="28"/>
  <c r="AP92" i="28"/>
  <c r="BA128" i="28"/>
  <c r="AP647" i="28"/>
  <c r="BA436" i="28"/>
  <c r="AU162" i="28"/>
  <c r="BA271" i="28"/>
  <c r="AP701" i="28"/>
  <c r="BA162" i="28"/>
  <c r="AP436" i="28"/>
  <c r="AU213" i="28"/>
  <c r="AP642" i="28"/>
  <c r="AU209" i="28"/>
  <c r="BA642" i="28"/>
  <c r="AU437" i="28"/>
  <c r="BA133" i="28"/>
  <c r="BA78" i="28"/>
  <c r="AP437" i="28"/>
  <c r="AU133" i="28"/>
  <c r="AU78" i="28"/>
  <c r="AP58" i="28"/>
  <c r="AU754" i="28"/>
  <c r="AU335" i="28"/>
  <c r="AU58" i="28"/>
  <c r="AP472" i="28"/>
  <c r="BA335" i="28"/>
  <c r="AU263" i="28"/>
  <c r="AP263" i="28"/>
  <c r="AU590" i="28"/>
  <c r="AP210" i="28"/>
  <c r="AP297" i="28"/>
  <c r="AU472" i="28"/>
  <c r="BA765" i="28"/>
  <c r="AU64" i="28"/>
  <c r="AU115" i="28"/>
  <c r="AU624" i="28"/>
  <c r="AP46" i="28"/>
  <c r="AP321" i="28"/>
  <c r="BA46" i="28"/>
  <c r="AP657" i="28"/>
  <c r="AP79" i="28"/>
  <c r="AU747" i="28"/>
  <c r="AP747" i="28"/>
  <c r="BA320" i="28"/>
  <c r="AP742" i="28"/>
  <c r="BA357" i="28"/>
  <c r="BA762" i="28"/>
  <c r="AP320" i="28"/>
  <c r="AU357" i="28"/>
  <c r="AP762" i="28"/>
  <c r="BA64" i="28"/>
  <c r="AP568" i="28"/>
  <c r="BA79" i="28"/>
  <c r="BA115" i="28"/>
  <c r="AP624" i="28"/>
  <c r="BA267" i="28"/>
  <c r="AP765" i="28"/>
  <c r="AU574" i="28"/>
  <c r="AU322" i="28"/>
  <c r="AP699" i="28"/>
  <c r="BA544" i="28"/>
  <c r="AP544" i="28"/>
  <c r="AP528" i="28"/>
  <c r="BA528" i="28"/>
  <c r="AP724" i="28"/>
  <c r="BA724" i="28"/>
  <c r="BA90" i="28"/>
  <c r="AP90" i="28"/>
  <c r="AP148" i="28"/>
  <c r="BA148" i="28"/>
  <c r="V211" i="14"/>
  <c r="V107" i="14"/>
  <c r="V24" i="14"/>
  <c r="V125" i="14"/>
  <c r="V216" i="14"/>
  <c r="AU193" i="28"/>
  <c r="AP193" i="28"/>
  <c r="BA193" i="28"/>
  <c r="V127" i="14"/>
  <c r="BA696" i="28"/>
  <c r="V109" i="14"/>
  <c r="V160" i="14"/>
  <c r="V203" i="14"/>
  <c r="V2" i="14"/>
  <c r="V87" i="14"/>
  <c r="BA581" i="28"/>
  <c r="AP631" i="28"/>
  <c r="AP658" i="28"/>
  <c r="BA718" i="28"/>
  <c r="BA654" i="28"/>
  <c r="AU581" i="28"/>
  <c r="AP435" i="28"/>
  <c r="AP718" i="28"/>
  <c r="AP80" i="28"/>
  <c r="AU261" i="28"/>
  <c r="AP358" i="28"/>
  <c r="AP549" i="28"/>
  <c r="AU634" i="28"/>
  <c r="BA80" i="28"/>
  <c r="BA261" i="28"/>
  <c r="BA549" i="28"/>
  <c r="BA634" i="28"/>
  <c r="BA615" i="28"/>
  <c r="AP615" i="28"/>
  <c r="BA361" i="28"/>
  <c r="BA435" i="28"/>
  <c r="AU167" i="28"/>
  <c r="BA167" i="28"/>
  <c r="BA138" i="28"/>
  <c r="BA278" i="28"/>
  <c r="AP104" i="28"/>
  <c r="AP136" i="28"/>
  <c r="AP576" i="28"/>
  <c r="AU382" i="28"/>
  <c r="BA382" i="28"/>
  <c r="AP382" i="28"/>
  <c r="AU576" i="28"/>
  <c r="AS118" i="7"/>
  <c r="AP720" i="28"/>
  <c r="BA772" i="28"/>
  <c r="AU772" i="28"/>
  <c r="AP772" i="28"/>
  <c r="BA716" i="28"/>
  <c r="AU716" i="28"/>
  <c r="AP716" i="28"/>
  <c r="V215" i="14"/>
  <c r="BA70" i="28"/>
  <c r="AU117" i="7"/>
  <c r="AP139" i="28"/>
  <c r="AU696" i="28"/>
  <c r="AU654" i="28"/>
  <c r="AT118" i="7"/>
  <c r="BS119" i="7"/>
  <c r="AO119" i="7"/>
  <c r="AR119" i="7"/>
  <c r="AQ119" i="7"/>
  <c r="AP119" i="7"/>
  <c r="AP529" i="28"/>
  <c r="BA529" i="28"/>
  <c r="AU413" i="28"/>
  <c r="AP454" i="28"/>
  <c r="BA413" i="28"/>
  <c r="AP256" i="28"/>
  <c r="BA256" i="28"/>
  <c r="AP706" i="28"/>
  <c r="BA706" i="28"/>
  <c r="AU641" i="28"/>
  <c r="BA641" i="28"/>
  <c r="AU778" i="28"/>
  <c r="AP59" i="28"/>
  <c r="BA59" i="28"/>
  <c r="AU361" i="28"/>
  <c r="AU252" i="28"/>
  <c r="AU645" i="28"/>
  <c r="BA645" i="28"/>
  <c r="BA107" i="28"/>
  <c r="BA389" i="28"/>
  <c r="AP494" i="28"/>
  <c r="AP662" i="28"/>
  <c r="AU662" i="28"/>
  <c r="AP610" i="28"/>
  <c r="BA310" i="28"/>
  <c r="AP310" i="28"/>
  <c r="AP70" i="28"/>
  <c r="BA699" i="28"/>
  <c r="AP100" i="28"/>
  <c r="BA100" i="28"/>
  <c r="AP276" i="28"/>
  <c r="BA276" i="28"/>
  <c r="AU276" i="28"/>
  <c r="AP545" i="28"/>
  <c r="BA545" i="28"/>
  <c r="AP389" i="28"/>
  <c r="AP756" i="28"/>
  <c r="BA756" i="28"/>
  <c r="AU756" i="28"/>
  <c r="BA200" i="28"/>
  <c r="AU200" i="28"/>
  <c r="AP587" i="28"/>
  <c r="BA725" i="28"/>
  <c r="BA524" i="28"/>
  <c r="AU524" i="28"/>
  <c r="V142" i="14"/>
  <c r="V165" i="14"/>
  <c r="BA177" i="28"/>
  <c r="AP177" i="28"/>
  <c r="AU8" i="28"/>
  <c r="AU534" i="28"/>
  <c r="AU587" i="28"/>
  <c r="AU299" i="28"/>
  <c r="AP459" i="28"/>
  <c r="AP534" i="28"/>
  <c r="BA482" i="28"/>
  <c r="BA297" i="28"/>
  <c r="AP224" i="28"/>
  <c r="BA266" i="28"/>
  <c r="V164" i="14"/>
  <c r="V108" i="14"/>
  <c r="V189" i="14"/>
  <c r="BA454" i="28"/>
  <c r="AU608" i="28"/>
  <c r="BA569" i="28"/>
  <c r="AU217" i="28"/>
  <c r="BA217" i="28"/>
  <c r="BA605" i="28"/>
  <c r="AP49" i="28"/>
  <c r="AP727" i="28"/>
  <c r="BA727" i="28"/>
  <c r="BA516" i="28"/>
  <c r="AP516" i="28"/>
  <c r="BA94" i="28"/>
  <c r="AP605" i="28"/>
  <c r="AP269" i="28"/>
  <c r="BA269" i="28"/>
  <c r="BA533" i="28"/>
  <c r="AP533" i="28"/>
  <c r="AU232" i="28"/>
  <c r="BA232" i="28"/>
  <c r="AP232" i="28"/>
  <c r="AP505" i="28"/>
  <c r="BA442" i="28"/>
  <c r="BA49" i="28"/>
  <c r="V79" i="14"/>
  <c r="AU346" i="28"/>
  <c r="BA346" i="28"/>
  <c r="AP346" i="28"/>
  <c r="BA234" i="28"/>
  <c r="AU321" i="28"/>
  <c r="AU315" i="28"/>
  <c r="BA315" i="28"/>
  <c r="AP315" i="28"/>
  <c r="AP25" i="28"/>
  <c r="AU282" i="28"/>
  <c r="AP185" i="28"/>
  <c r="AU601" i="28"/>
  <c r="BA601" i="28"/>
  <c r="AP601" i="28"/>
  <c r="AU185" i="28"/>
  <c r="AP490" i="28"/>
  <c r="BA11" i="28"/>
  <c r="AU631" i="28"/>
  <c r="AU482" i="28"/>
  <c r="BJ116" i="7"/>
  <c r="AP637" i="28"/>
  <c r="AU637" i="28"/>
  <c r="BA637" i="28"/>
  <c r="BA537" i="28"/>
  <c r="AP169" i="28"/>
  <c r="AU169" i="28"/>
  <c r="AU333" i="28"/>
  <c r="BA333" i="28"/>
  <c r="AP333" i="28"/>
  <c r="BA224" i="28"/>
  <c r="AP592" i="28"/>
  <c r="AU592" i="28"/>
  <c r="AP85" i="28"/>
  <c r="AP282" i="28"/>
  <c r="AP778" i="28"/>
  <c r="AP595" i="28"/>
  <c r="BA595" i="28"/>
  <c r="BA509" i="28"/>
  <c r="AP509" i="28"/>
  <c r="AU597" i="28"/>
  <c r="AP597" i="28"/>
  <c r="BA597" i="28"/>
  <c r="BA425" i="28"/>
  <c r="AP425" i="28"/>
  <c r="AU425" i="28"/>
  <c r="AP496" i="28"/>
  <c r="AU496" i="28"/>
  <c r="BA496" i="28"/>
  <c r="BA607" i="28"/>
  <c r="AU607" i="28"/>
  <c r="AP607" i="28"/>
  <c r="BA774" i="28"/>
  <c r="BA490" i="28"/>
  <c r="AP764" i="28"/>
  <c r="BA764" i="28"/>
  <c r="BA535" i="28"/>
  <c r="V12" i="14"/>
  <c r="AU535" i="28"/>
  <c r="AP33" i="28"/>
  <c r="AP531" i="28"/>
  <c r="AP608" i="28"/>
  <c r="AU266" i="28"/>
  <c r="AP774" i="28"/>
  <c r="BA366" i="28"/>
  <c r="AU366" i="28"/>
  <c r="BA589" i="28"/>
  <c r="AU589" i="28"/>
  <c r="AP589" i="28"/>
  <c r="BA68" i="28"/>
  <c r="AU124" i="28"/>
  <c r="BA124" i="28"/>
  <c r="AP124" i="28"/>
  <c r="AP68" i="28"/>
  <c r="AU254" i="28"/>
  <c r="AP69" i="28"/>
  <c r="BA69" i="28"/>
  <c r="BA500" i="28"/>
  <c r="BA635" i="28"/>
  <c r="AP776" i="28"/>
  <c r="AP500" i="28"/>
  <c r="AP635" i="28"/>
  <c r="BA776" i="28"/>
  <c r="BA546" i="28"/>
  <c r="AU775" i="28"/>
  <c r="AP775" i="28"/>
  <c r="AU691" i="28"/>
  <c r="BA140" i="28"/>
  <c r="AP140" i="28"/>
  <c r="BA260" i="28"/>
  <c r="AP475" i="28"/>
  <c r="BA475" i="28"/>
  <c r="BA299" i="28"/>
  <c r="BA548" i="28"/>
  <c r="BA117" i="28"/>
  <c r="AU650" i="28"/>
  <c r="AP571" i="28"/>
  <c r="BA571" i="28"/>
  <c r="AP188" i="28"/>
  <c r="BA188" i="28"/>
  <c r="AU188" i="28"/>
  <c r="BA714" i="28"/>
  <c r="AP714" i="28"/>
  <c r="AU714" i="28"/>
  <c r="V58" i="14"/>
  <c r="AP447" i="28"/>
  <c r="BA447" i="28"/>
  <c r="AU780" i="28"/>
  <c r="BA780" i="28"/>
  <c r="AP780" i="28"/>
  <c r="V141" i="14"/>
  <c r="AP253" i="28"/>
  <c r="AU253" i="28"/>
  <c r="AU409" i="28"/>
  <c r="BA409" i="28"/>
  <c r="AP409" i="28"/>
  <c r="AP680" i="28"/>
  <c r="BA680" i="28"/>
  <c r="AU680" i="28"/>
  <c r="AP387" i="28"/>
  <c r="BA387" i="28"/>
  <c r="AU387" i="28"/>
  <c r="BA455" i="28"/>
  <c r="AP455" i="28"/>
  <c r="BA440" i="28"/>
  <c r="BA380" i="28"/>
  <c r="AU380" i="28"/>
  <c r="AP380" i="28"/>
  <c r="AP752" i="28"/>
  <c r="AU644" i="28"/>
  <c r="BA644" i="28"/>
  <c r="AP644" i="28"/>
  <c r="BA650" i="28"/>
  <c r="BA176" i="28"/>
  <c r="AP713" i="28"/>
  <c r="BA713" i="28"/>
  <c r="AU713" i="28"/>
  <c r="AP449" i="28"/>
  <c r="BA449" i="28"/>
  <c r="AP307" i="28"/>
  <c r="BA307" i="28"/>
  <c r="AU307" i="28"/>
  <c r="AU176" i="28"/>
  <c r="AU584" i="28"/>
  <c r="AP584" i="28"/>
  <c r="AP39" i="28"/>
  <c r="BA39" i="28"/>
  <c r="AP294" i="28"/>
  <c r="AU294" i="28"/>
  <c r="BA294" i="28"/>
  <c r="AU596" i="28"/>
  <c r="BA596" i="28"/>
  <c r="AP596" i="28"/>
  <c r="AU751" i="28"/>
  <c r="AP751" i="28"/>
  <c r="AP493" i="28"/>
  <c r="BA493" i="28"/>
  <c r="BA586" i="28"/>
  <c r="AP586" i="28"/>
  <c r="V185" i="14"/>
  <c r="AP89" i="28"/>
  <c r="AU89" i="28"/>
  <c r="BA89" i="28"/>
  <c r="BA677" i="28"/>
  <c r="AU677" i="28"/>
  <c r="AU284" i="28"/>
  <c r="BA284" i="28"/>
  <c r="AP284" i="28"/>
  <c r="BA249" i="28"/>
  <c r="AP249" i="28"/>
  <c r="AU249" i="28"/>
  <c r="V111" i="14"/>
  <c r="V131" i="14"/>
  <c r="V143" i="14"/>
  <c r="V71" i="14"/>
  <c r="AU56" i="28"/>
  <c r="BA56" i="28"/>
  <c r="AP56" i="28"/>
  <c r="AP308" i="28"/>
  <c r="BA308" i="28"/>
  <c r="AU308" i="28"/>
  <c r="AU752" i="28"/>
  <c r="BA639" i="28"/>
  <c r="BA381" i="28"/>
  <c r="AU381" i="28"/>
  <c r="BA354" i="28"/>
  <c r="AU354" i="28"/>
  <c r="AP354" i="28"/>
  <c r="AU704" i="28"/>
  <c r="AP704" i="28"/>
  <c r="BA704" i="28"/>
  <c r="AP639" i="28"/>
  <c r="BA719" i="28"/>
  <c r="AP719" i="28"/>
  <c r="AU719" i="28"/>
  <c r="AU367" i="28"/>
  <c r="AP367" i="28"/>
  <c r="BA367" i="28"/>
  <c r="V78" i="14"/>
  <c r="V145" i="14"/>
  <c r="AP495" i="28"/>
  <c r="BA495" i="28"/>
  <c r="AU495" i="28"/>
  <c r="BA331" i="28"/>
  <c r="AP331" i="28"/>
  <c r="AU331" i="28"/>
  <c r="V132" i="14"/>
  <c r="V76" i="14"/>
  <c r="V207" i="14"/>
  <c r="BA632" i="28"/>
  <c r="AP632" i="28"/>
  <c r="AU632" i="28"/>
  <c r="BA349" i="28"/>
  <c r="AU349" i="28"/>
  <c r="AU227" i="28"/>
  <c r="AP227" i="28"/>
  <c r="BA227" i="28"/>
  <c r="AP135" i="28"/>
  <c r="BA135" i="28"/>
  <c r="V23" i="14"/>
  <c r="AP254" i="28"/>
  <c r="V188" i="14"/>
  <c r="V106" i="14"/>
  <c r="AP691" i="28"/>
  <c r="BA373" i="28"/>
  <c r="AU373" i="28"/>
  <c r="AP373" i="28"/>
  <c r="AU260" i="28"/>
  <c r="AP670" i="28"/>
  <c r="BA670" i="28"/>
  <c r="AU670" i="28"/>
  <c r="AP392" i="28"/>
  <c r="BA392" i="28"/>
  <c r="BA445" i="28"/>
  <c r="AU445" i="28"/>
  <c r="AP445" i="28"/>
  <c r="AU327" i="28"/>
  <c r="AP327" i="28"/>
  <c r="BA327" i="28"/>
  <c r="BA329" i="28"/>
  <c r="AU329" i="28"/>
  <c r="AP329" i="28"/>
  <c r="AP334" i="28"/>
  <c r="BA334" i="28"/>
  <c r="AU334" i="28"/>
  <c r="BA190" i="28"/>
  <c r="AU190" i="28"/>
  <c r="AP190" i="28"/>
  <c r="AP638" i="28"/>
  <c r="AU82" i="28"/>
  <c r="BA82" i="28"/>
  <c r="AP82" i="28"/>
  <c r="BA709" i="28"/>
  <c r="AU709" i="28"/>
  <c r="AP709" i="28"/>
  <c r="AU507" i="28"/>
  <c r="BA507" i="28"/>
  <c r="AP507" i="28"/>
  <c r="BA370" i="28"/>
  <c r="AP370" i="28"/>
  <c r="AU370" i="28"/>
  <c r="BA379" i="28"/>
  <c r="AU379" i="28"/>
  <c r="AP379" i="28"/>
  <c r="AU211" i="28"/>
  <c r="AP211" i="28"/>
  <c r="BA211" i="28"/>
  <c r="BA638" i="28"/>
  <c r="AU523" i="28"/>
  <c r="BA523" i="28"/>
  <c r="AP523" i="28"/>
  <c r="BA536" i="28"/>
  <c r="AP536" i="28"/>
  <c r="BA428" i="28"/>
  <c r="AP428" i="28"/>
  <c r="BA391" i="28"/>
  <c r="AP391" i="28"/>
  <c r="AU391" i="28"/>
  <c r="AP248" i="28"/>
  <c r="AU248" i="28"/>
  <c r="BA248" i="28"/>
  <c r="V96" i="14"/>
  <c r="V11" i="14"/>
  <c r="AU356" i="28"/>
  <c r="AP356" i="28"/>
  <c r="BA356" i="28"/>
  <c r="AP93" i="28"/>
  <c r="BA93" i="28"/>
  <c r="AP22" i="28"/>
  <c r="BA22" i="28"/>
  <c r="AU22" i="28"/>
  <c r="AP183" i="28"/>
  <c r="BA183" i="28"/>
  <c r="AU183" i="28"/>
  <c r="AU306" i="28"/>
  <c r="AP306" i="28"/>
  <c r="BA306" i="28"/>
  <c r="AP621" i="28"/>
  <c r="AU621" i="28"/>
  <c r="BA621" i="28"/>
  <c r="BA476" i="28"/>
  <c r="AP476" i="28"/>
  <c r="V94" i="14"/>
  <c r="V103" i="14"/>
  <c r="V124" i="14"/>
  <c r="V9" i="14"/>
  <c r="AP431" i="28"/>
  <c r="BA431" i="28"/>
  <c r="AP728" i="28"/>
  <c r="BA728" i="28"/>
  <c r="BA443" i="28"/>
  <c r="AU443" i="28"/>
  <c r="AP443" i="28"/>
  <c r="BA452" i="28"/>
  <c r="AP452" i="28"/>
  <c r="AP337" i="28"/>
  <c r="AU337" i="28"/>
  <c r="BA337" i="28"/>
  <c r="AP735" i="28"/>
  <c r="BA735" i="28"/>
  <c r="AU735" i="28"/>
  <c r="AP497" i="28"/>
  <c r="AU563" i="28"/>
  <c r="AP563" i="28"/>
  <c r="BA563" i="28"/>
  <c r="AP627" i="28"/>
  <c r="BA627" i="28"/>
  <c r="BA410" i="28"/>
  <c r="AU410" i="28"/>
  <c r="AP410" i="28"/>
  <c r="BA273" i="28"/>
  <c r="AU273" i="28"/>
  <c r="AP273" i="28"/>
  <c r="AU503" i="28"/>
  <c r="AP503" i="28"/>
  <c r="BA503" i="28"/>
  <c r="V204" i="14"/>
  <c r="V112" i="14"/>
  <c r="V95" i="14"/>
  <c r="AP154" i="28"/>
  <c r="BA154" i="28"/>
  <c r="BA332" i="28"/>
  <c r="AP332" i="28"/>
  <c r="AU332" i="28"/>
  <c r="AU286" i="28"/>
  <c r="BA286" i="28"/>
  <c r="AP286" i="28"/>
  <c r="BA707" i="28"/>
  <c r="AP707" i="28"/>
  <c r="AU707" i="28"/>
  <c r="AU430" i="28"/>
  <c r="BA430" i="28"/>
  <c r="AP430" i="28"/>
  <c r="V98" i="14"/>
  <c r="V13" i="14"/>
  <c r="BA651" i="28"/>
  <c r="AP651" i="28"/>
  <c r="AU651" i="28"/>
  <c r="BA485" i="28"/>
  <c r="AP485" i="28"/>
  <c r="V68" i="14"/>
  <c r="V206" i="14"/>
  <c r="AP513" i="28"/>
  <c r="BA513" i="28"/>
  <c r="AP296" i="28"/>
  <c r="BA296" i="28"/>
  <c r="AU296" i="28"/>
  <c r="AP465" i="28"/>
  <c r="BA465" i="28"/>
  <c r="V48" i="14"/>
  <c r="V181" i="14"/>
  <c r="AP594" i="28"/>
  <c r="BA594" i="28"/>
  <c r="AU594" i="28"/>
  <c r="AU773" i="28"/>
  <c r="AP773" i="28"/>
  <c r="BA773" i="28"/>
  <c r="BA538" i="28"/>
  <c r="AP538" i="28"/>
  <c r="V128" i="14"/>
  <c r="V54" i="14"/>
  <c r="V161" i="14"/>
  <c r="AP471" i="28"/>
  <c r="BA471" i="28"/>
  <c r="AU471" i="28"/>
  <c r="AU622" i="28"/>
  <c r="AP622" i="28"/>
  <c r="AP740" i="28"/>
  <c r="BA740" i="28"/>
  <c r="AU740" i="28"/>
  <c r="BA646" i="28"/>
  <c r="AP646" i="28"/>
  <c r="AU646" i="28"/>
  <c r="AP155" i="28"/>
  <c r="BA155" i="28"/>
  <c r="BA575" i="28"/>
  <c r="AP575" i="28"/>
  <c r="AU575" i="28"/>
  <c r="AU705" i="28"/>
  <c r="AP705" i="28"/>
  <c r="BA705" i="28"/>
  <c r="AU661" i="28"/>
  <c r="AP661" i="28"/>
  <c r="BA661" i="28"/>
  <c r="BA152" i="28"/>
  <c r="AP152" i="28"/>
  <c r="AU152" i="28"/>
  <c r="AP150" i="28"/>
  <c r="BA150" i="28"/>
  <c r="AU150" i="28"/>
  <c r="AU153" i="28"/>
  <c r="AP153" i="28"/>
  <c r="BA153" i="28"/>
  <c r="AU599" i="28"/>
  <c r="BA599" i="28"/>
  <c r="AP599" i="28"/>
  <c r="AP585" i="28"/>
  <c r="AU585" i="28"/>
  <c r="BA585" i="28"/>
  <c r="AP198" i="28"/>
  <c r="BA198" i="28"/>
  <c r="AU198" i="28"/>
  <c r="BA671" i="28"/>
  <c r="AU671" i="28"/>
  <c r="AP671" i="28"/>
  <c r="V184" i="14"/>
  <c r="V62" i="14"/>
  <c r="BA479" i="28"/>
  <c r="AU479" i="28"/>
  <c r="AP479" i="28"/>
  <c r="AU191" i="28"/>
  <c r="BA191" i="28"/>
  <c r="AP191" i="28"/>
  <c r="AU35" i="28"/>
  <c r="BA35" i="28"/>
  <c r="AP35" i="28"/>
  <c r="AU609" i="28"/>
  <c r="BA609" i="28"/>
  <c r="AP609" i="28"/>
  <c r="BA406" i="28"/>
  <c r="AU406" i="28"/>
  <c r="AP406" i="28"/>
  <c r="AU682" i="28"/>
  <c r="BA682" i="28"/>
  <c r="AP682" i="28"/>
  <c r="AP141" i="28"/>
  <c r="BA141" i="28"/>
  <c r="AU561" i="28"/>
  <c r="AP561" i="28"/>
  <c r="BA561" i="28"/>
  <c r="BA550" i="28"/>
  <c r="AP550" i="28"/>
  <c r="AU550" i="28"/>
  <c r="BA717" i="28"/>
  <c r="AU717" i="28"/>
  <c r="AP717" i="28"/>
  <c r="AP674" i="28"/>
  <c r="AU674" i="28"/>
  <c r="BA674" i="28"/>
  <c r="BA758" i="28"/>
  <c r="AP758" i="28"/>
  <c r="AU758" i="28"/>
  <c r="AU386" i="28"/>
  <c r="BA386" i="28"/>
  <c r="AP386" i="28"/>
  <c r="AP738" i="28"/>
  <c r="AU738" i="28"/>
  <c r="BA738" i="28"/>
  <c r="AP450" i="28"/>
  <c r="BA450" i="28"/>
  <c r="AU598" i="28"/>
  <c r="BA598" i="28"/>
  <c r="AP598" i="28"/>
  <c r="V167" i="14"/>
  <c r="V33" i="14"/>
  <c r="AP643" i="28"/>
  <c r="BA643" i="28"/>
  <c r="AU643" i="28"/>
  <c r="AP715" i="28"/>
  <c r="BA715" i="28"/>
  <c r="AU715" i="28"/>
  <c r="BA583" i="28"/>
  <c r="AU583" i="28"/>
  <c r="AP583" i="28"/>
  <c r="BA511" i="28"/>
  <c r="AU511" i="28"/>
  <c r="AP511" i="28"/>
  <c r="AU679" i="28"/>
  <c r="BA679" i="28"/>
  <c r="AP679" i="28"/>
  <c r="AU559" i="28"/>
  <c r="BA559" i="28"/>
  <c r="AP559" i="28"/>
  <c r="AP619" i="28"/>
  <c r="BA619" i="28"/>
  <c r="AU619" i="28"/>
  <c r="Y786" i="28"/>
  <c r="Z786" i="28"/>
  <c r="AP145" i="28"/>
  <c r="BA145" i="28"/>
  <c r="AP118" i="28"/>
  <c r="BA118" i="28"/>
  <c r="AF318" i="14" l="1"/>
  <c r="AF340" i="14"/>
  <c r="Z318" i="14"/>
  <c r="AG318" i="14" s="1"/>
  <c r="AH318" i="14" s="1"/>
  <c r="AV318" i="14" s="1"/>
  <c r="Z340" i="14"/>
  <c r="AG340" i="14" s="1"/>
  <c r="BO116" i="7"/>
  <c r="V320" i="14" s="1"/>
  <c r="BA784" i="28"/>
  <c r="BU117" i="7"/>
  <c r="BO117" i="7"/>
  <c r="CV119" i="7"/>
  <c r="CW119" i="7" s="1"/>
  <c r="CT120" i="7"/>
  <c r="CQ120" i="7"/>
  <c r="CN120" i="7"/>
  <c r="CK120" i="7"/>
  <c r="BR120" i="7"/>
  <c r="BN120" i="7"/>
  <c r="CU120" i="7"/>
  <c r="CR120" i="7"/>
  <c r="CO120" i="7"/>
  <c r="CL120" i="7"/>
  <c r="BT120" i="7"/>
  <c r="BP120" i="7"/>
  <c r="CS120" i="7"/>
  <c r="CP120" i="7"/>
  <c r="CM120" i="7"/>
  <c r="CJ120" i="7"/>
  <c r="BQ120" i="7"/>
  <c r="AV274" i="14"/>
  <c r="AV275" i="14"/>
  <c r="AU276" i="14"/>
  <c r="AU272" i="14"/>
  <c r="AV273" i="14"/>
  <c r="AU273" i="14"/>
  <c r="BW117" i="7"/>
  <c r="BV117" i="7" s="1"/>
  <c r="AV262" i="14"/>
  <c r="AU262" i="14"/>
  <c r="BF789" i="28"/>
  <c r="BC789" i="28"/>
  <c r="BK789" i="28"/>
  <c r="BN789" i="28"/>
  <c r="AY789" i="28"/>
  <c r="BE789" i="28"/>
  <c r="BM789" i="28"/>
  <c r="AV789" i="28"/>
  <c r="BG789" i="28"/>
  <c r="BI789" i="28"/>
  <c r="A790" i="28"/>
  <c r="BL789" i="28"/>
  <c r="BH789" i="28"/>
  <c r="BD789" i="28"/>
  <c r="BJ789" i="28"/>
  <c r="AW789" i="28"/>
  <c r="AZ789" i="28"/>
  <c r="AX789" i="28"/>
  <c r="BO788" i="28"/>
  <c r="BP788" i="28"/>
  <c r="BB788" i="28"/>
  <c r="AU238" i="14"/>
  <c r="BJ117" i="7"/>
  <c r="AS119" i="7"/>
  <c r="AU118" i="7"/>
  <c r="U73" i="19" s="1"/>
  <c r="AT119" i="7"/>
  <c r="Y787" i="28"/>
  <c r="AR120" i="7"/>
  <c r="AP120" i="7"/>
  <c r="BS120" i="7"/>
  <c r="AQ120" i="7"/>
  <c r="AO120" i="7"/>
  <c r="AA785" i="28"/>
  <c r="Z787" i="28"/>
  <c r="AA786" i="28"/>
  <c r="AH340" i="14" l="1"/>
  <c r="AV340" i="14" s="1"/>
  <c r="BO118" i="7"/>
  <c r="BU118" i="7"/>
  <c r="CT121" i="7"/>
  <c r="CQ121" i="7"/>
  <c r="CN121" i="7"/>
  <c r="CK121" i="7"/>
  <c r="BR121" i="7"/>
  <c r="BN121" i="7"/>
  <c r="CU121" i="7"/>
  <c r="CR121" i="7"/>
  <c r="CO121" i="7"/>
  <c r="CL121" i="7"/>
  <c r="BT121" i="7"/>
  <c r="BP121" i="7"/>
  <c r="CS121" i="7"/>
  <c r="CP121" i="7"/>
  <c r="CM121" i="7"/>
  <c r="CJ121" i="7"/>
  <c r="BQ121" i="7"/>
  <c r="CV120" i="7"/>
  <c r="CW120" i="7" s="1"/>
  <c r="CT97" i="7"/>
  <c r="CQ97" i="7"/>
  <c r="CN97" i="7"/>
  <c r="CK97" i="7"/>
  <c r="BR97" i="7"/>
  <c r="BN97" i="7"/>
  <c r="CU97" i="7"/>
  <c r="CR97" i="7"/>
  <c r="CO97" i="7"/>
  <c r="CL97" i="7"/>
  <c r="BT97" i="7"/>
  <c r="BP97" i="7"/>
  <c r="CS97" i="7"/>
  <c r="CP97" i="7"/>
  <c r="CM97" i="7"/>
  <c r="CJ97" i="7"/>
  <c r="BQ97" i="7"/>
  <c r="BD790" i="28"/>
  <c r="BK790" i="28"/>
  <c r="BM790" i="28"/>
  <c r="BN790" i="28"/>
  <c r="BH790" i="28"/>
  <c r="BE790" i="28"/>
  <c r="BL790" i="28"/>
  <c r="A791" i="28"/>
  <c r="AY790" i="28"/>
  <c r="AT790" i="28"/>
  <c r="BC790" i="28"/>
  <c r="BI790" i="28"/>
  <c r="AV790" i="28"/>
  <c r="BF790" i="28"/>
  <c r="BJ790" i="28"/>
  <c r="AZ790" i="28"/>
  <c r="AX790" i="28"/>
  <c r="AW790" i="28"/>
  <c r="BG790" i="28"/>
  <c r="BP789" i="28"/>
  <c r="BB789" i="28"/>
  <c r="BO789" i="28"/>
  <c r="AU119" i="7"/>
  <c r="AS120" i="7"/>
  <c r="BJ118" i="7"/>
  <c r="BW118" i="7"/>
  <c r="BV118" i="7" s="1"/>
  <c r="AT120" i="7"/>
  <c r="AQ121" i="7"/>
  <c r="BS121" i="7"/>
  <c r="AO121" i="7"/>
  <c r="AP121" i="7"/>
  <c r="AR121" i="7"/>
  <c r="BA785" i="28"/>
  <c r="AP785" i="28"/>
  <c r="Z789" i="28"/>
  <c r="Y788" i="28"/>
  <c r="BS97" i="7"/>
  <c r="AQ97" i="7"/>
  <c r="AR97" i="7"/>
  <c r="AP97" i="7"/>
  <c r="AO97" i="7"/>
  <c r="BA786" i="28"/>
  <c r="AP786" i="28"/>
  <c r="Z788" i="28"/>
  <c r="AA787" i="28"/>
  <c r="V318" i="14" l="1"/>
  <c r="V340" i="14"/>
  <c r="CT98" i="7"/>
  <c r="CQ98" i="7"/>
  <c r="CN98" i="7"/>
  <c r="CK98" i="7"/>
  <c r="BR98" i="7"/>
  <c r="BN98" i="7"/>
  <c r="CU98" i="7"/>
  <c r="CR98" i="7"/>
  <c r="CO98" i="7"/>
  <c r="CL98" i="7"/>
  <c r="BT98" i="7"/>
  <c r="BP98" i="7"/>
  <c r="BQ98" i="7"/>
  <c r="CS98" i="7"/>
  <c r="CP98" i="7"/>
  <c r="CM98" i="7"/>
  <c r="CJ98" i="7"/>
  <c r="BJ119" i="7"/>
  <c r="BO119" i="7"/>
  <c r="BU119" i="7"/>
  <c r="CT122" i="7"/>
  <c r="CQ122" i="7"/>
  <c r="CN122" i="7"/>
  <c r="CK122" i="7"/>
  <c r="BR122" i="7"/>
  <c r="BN122" i="7"/>
  <c r="CU122" i="7"/>
  <c r="CR122" i="7"/>
  <c r="CO122" i="7"/>
  <c r="CL122" i="7"/>
  <c r="BT122" i="7"/>
  <c r="BP122" i="7"/>
  <c r="BQ122" i="7"/>
  <c r="CS122" i="7"/>
  <c r="CP122" i="7"/>
  <c r="CM122" i="7"/>
  <c r="CJ122" i="7"/>
  <c r="CV121" i="7"/>
  <c r="CW121" i="7" s="1"/>
  <c r="CV97" i="7"/>
  <c r="CW97" i="7" s="1"/>
  <c r="BO790" i="28"/>
  <c r="AZ791" i="28"/>
  <c r="BC791" i="28"/>
  <c r="AY791" i="28"/>
  <c r="BJ791" i="28"/>
  <c r="AT791" i="28"/>
  <c r="A792" i="28"/>
  <c r="BM791" i="28"/>
  <c r="BD791" i="28"/>
  <c r="BL791" i="28"/>
  <c r="BG791" i="28"/>
  <c r="BH791" i="28"/>
  <c r="AV791" i="28"/>
  <c r="BK791" i="28"/>
  <c r="BI791" i="28"/>
  <c r="BE791" i="28"/>
  <c r="BF791" i="28"/>
  <c r="BN791" i="28"/>
  <c r="AW791" i="28"/>
  <c r="AX791" i="28"/>
  <c r="BB790" i="28"/>
  <c r="BP790" i="28"/>
  <c r="BW119" i="7"/>
  <c r="BV119" i="7" s="1"/>
  <c r="AU120" i="7"/>
  <c r="AS121" i="7"/>
  <c r="AT121" i="7"/>
  <c r="AQ122" i="7"/>
  <c r="BS122" i="7"/>
  <c r="AR122" i="7"/>
  <c r="AO122" i="7"/>
  <c r="AP122" i="7"/>
  <c r="AA788" i="28"/>
  <c r="AS97" i="7"/>
  <c r="AT97" i="7"/>
  <c r="Z790" i="28" s="1"/>
  <c r="BA787" i="28"/>
  <c r="AP787" i="28"/>
  <c r="AQ98" i="7"/>
  <c r="AO98" i="7"/>
  <c r="AR98" i="7"/>
  <c r="BS98" i="7"/>
  <c r="AP98" i="7"/>
  <c r="Y789" i="28"/>
  <c r="Y790" i="28" l="1"/>
  <c r="CV98" i="7"/>
  <c r="CW98" i="7" s="1"/>
  <c r="CT123" i="7"/>
  <c r="CQ123" i="7"/>
  <c r="CN123" i="7"/>
  <c r="CK123" i="7"/>
  <c r="BR123" i="7"/>
  <c r="BN123" i="7"/>
  <c r="CU123" i="7"/>
  <c r="CR123" i="7"/>
  <c r="CO123" i="7"/>
  <c r="CL123" i="7"/>
  <c r="BT123" i="7"/>
  <c r="BP123" i="7"/>
  <c r="CS123" i="7"/>
  <c r="CP123" i="7"/>
  <c r="CM123" i="7"/>
  <c r="CJ123" i="7"/>
  <c r="BQ123" i="7"/>
  <c r="CT99" i="7"/>
  <c r="CQ99" i="7"/>
  <c r="CN99" i="7"/>
  <c r="CK99" i="7"/>
  <c r="BR99" i="7"/>
  <c r="BN99" i="7"/>
  <c r="CU99" i="7"/>
  <c r="CR99" i="7"/>
  <c r="CO99" i="7"/>
  <c r="CL99" i="7"/>
  <c r="BT99" i="7"/>
  <c r="BP99" i="7"/>
  <c r="CS99" i="7"/>
  <c r="CP99" i="7"/>
  <c r="CM99" i="7"/>
  <c r="CJ99" i="7"/>
  <c r="BQ99" i="7"/>
  <c r="CV122" i="7"/>
  <c r="CW122" i="7" s="1"/>
  <c r="BJ120" i="7"/>
  <c r="BO120" i="7"/>
  <c r="BU120" i="7"/>
  <c r="BD792" i="28"/>
  <c r="BI792" i="28"/>
  <c r="AX792" i="28"/>
  <c r="BG792" i="28"/>
  <c r="AY792" i="28"/>
  <c r="BN792" i="28"/>
  <c r="BC792" i="28"/>
  <c r="AZ792" i="28"/>
  <c r="BL792" i="28"/>
  <c r="AV792" i="28"/>
  <c r="AT792" i="28"/>
  <c r="BF792" i="28"/>
  <c r="A793" i="28"/>
  <c r="BK792" i="28"/>
  <c r="BJ792" i="28"/>
  <c r="BH792" i="28"/>
  <c r="BM792" i="28"/>
  <c r="AW792" i="28"/>
  <c r="BE792" i="28"/>
  <c r="BO791" i="28"/>
  <c r="BB791" i="28"/>
  <c r="BP791" i="28"/>
  <c r="BW120" i="7"/>
  <c r="BV120" i="7" s="1"/>
  <c r="AU121" i="7"/>
  <c r="AT122" i="7"/>
  <c r="AS122" i="7"/>
  <c r="AQ123" i="7"/>
  <c r="AR123" i="7"/>
  <c r="BS123" i="7"/>
  <c r="AP123" i="7"/>
  <c r="AO123" i="7"/>
  <c r="BA788" i="28"/>
  <c r="AP788" i="28"/>
  <c r="AT98" i="7"/>
  <c r="Z791" i="28" s="1"/>
  <c r="AU97" i="7"/>
  <c r="AS98" i="7"/>
  <c r="AA789" i="28"/>
  <c r="AO99" i="7"/>
  <c r="AQ99" i="7"/>
  <c r="AP99" i="7"/>
  <c r="AR99" i="7"/>
  <c r="BS99" i="7"/>
  <c r="BJ97" i="7" l="1"/>
  <c r="BO97" i="7"/>
  <c r="BU97" i="7"/>
  <c r="CV99" i="7"/>
  <c r="CW99" i="7" s="1"/>
  <c r="BO121" i="7"/>
  <c r="BU121" i="7"/>
  <c r="CV123" i="7"/>
  <c r="CW123" i="7" s="1"/>
  <c r="CS100" i="7"/>
  <c r="CP100" i="7"/>
  <c r="CM100" i="7"/>
  <c r="CJ100" i="7"/>
  <c r="BQ100" i="7"/>
  <c r="CT100" i="7"/>
  <c r="CQ100" i="7"/>
  <c r="CN100" i="7"/>
  <c r="CK100" i="7"/>
  <c r="BR100" i="7"/>
  <c r="BN100" i="7"/>
  <c r="CU100" i="7"/>
  <c r="CR100" i="7"/>
  <c r="CO100" i="7"/>
  <c r="CL100" i="7"/>
  <c r="BT100" i="7"/>
  <c r="BP100" i="7"/>
  <c r="CS124" i="7"/>
  <c r="CP124" i="7"/>
  <c r="CM124" i="7"/>
  <c r="CJ124" i="7"/>
  <c r="BQ124" i="7"/>
  <c r="CT124" i="7"/>
  <c r="CQ124" i="7"/>
  <c r="CN124" i="7"/>
  <c r="CK124" i="7"/>
  <c r="BR124" i="7"/>
  <c r="BN124" i="7"/>
  <c r="CU124" i="7"/>
  <c r="CR124" i="7"/>
  <c r="CO124" i="7"/>
  <c r="CL124" i="7"/>
  <c r="BT124" i="7"/>
  <c r="BP124" i="7"/>
  <c r="BE793" i="28"/>
  <c r="BM793" i="28"/>
  <c r="AZ793" i="28"/>
  <c r="AY793" i="28"/>
  <c r="BK793" i="28"/>
  <c r="BF793" i="28"/>
  <c r="AV793" i="28"/>
  <c r="AT793" i="28"/>
  <c r="AX793" i="28"/>
  <c r="BN793" i="28"/>
  <c r="BL793" i="28"/>
  <c r="BJ793" i="28"/>
  <c r="BG793" i="28"/>
  <c r="AW793" i="28"/>
  <c r="BD793" i="28"/>
  <c r="BI793" i="28"/>
  <c r="A794" i="28"/>
  <c r="BC793" i="28"/>
  <c r="BH793" i="28"/>
  <c r="BP792" i="28"/>
  <c r="BB792" i="28"/>
  <c r="BO792" i="28"/>
  <c r="BW121" i="7"/>
  <c r="BV121" i="7" s="1"/>
  <c r="BJ121" i="7"/>
  <c r="AU122" i="7"/>
  <c r="U63" i="19" s="1"/>
  <c r="AS123" i="7"/>
  <c r="AQ124" i="7"/>
  <c r="AO124" i="7"/>
  <c r="AP124" i="7"/>
  <c r="BS124" i="7"/>
  <c r="AR124" i="7"/>
  <c r="AT123" i="7"/>
  <c r="BW97" i="7"/>
  <c r="AA790" i="28"/>
  <c r="AU790" i="28" s="1"/>
  <c r="AT99" i="7"/>
  <c r="Z792" i="28" s="1"/>
  <c r="AS99" i="7"/>
  <c r="Y792" i="28" s="1"/>
  <c r="AP100" i="7"/>
  <c r="AR100" i="7"/>
  <c r="AQ100" i="7"/>
  <c r="BS100" i="7"/>
  <c r="AO100" i="7"/>
  <c r="BA789" i="28"/>
  <c r="AP789" i="28"/>
  <c r="Y791" i="28"/>
  <c r="AU98" i="7"/>
  <c r="BV97" i="7" l="1"/>
  <c r="CV100" i="7"/>
  <c r="CW100" i="7" s="1"/>
  <c r="BU122" i="7"/>
  <c r="BO122" i="7"/>
  <c r="BO98" i="7"/>
  <c r="BU98" i="7"/>
  <c r="CV124" i="7"/>
  <c r="CW124" i="7" s="1"/>
  <c r="CS125" i="7"/>
  <c r="CP125" i="7"/>
  <c r="CM125" i="7"/>
  <c r="CJ125" i="7"/>
  <c r="BQ125" i="7"/>
  <c r="CT125" i="7"/>
  <c r="CQ125" i="7"/>
  <c r="CN125" i="7"/>
  <c r="CK125" i="7"/>
  <c r="BR125" i="7"/>
  <c r="BN125" i="7"/>
  <c r="CU125" i="7"/>
  <c r="CR125" i="7"/>
  <c r="CO125" i="7"/>
  <c r="CL125" i="7"/>
  <c r="BT125" i="7"/>
  <c r="BP125" i="7"/>
  <c r="CS101" i="7"/>
  <c r="CP101" i="7"/>
  <c r="CM101" i="7"/>
  <c r="CJ101" i="7"/>
  <c r="BQ101" i="7"/>
  <c r="CT101" i="7"/>
  <c r="CQ101" i="7"/>
  <c r="CN101" i="7"/>
  <c r="CK101" i="7"/>
  <c r="BR101" i="7"/>
  <c r="BN101" i="7"/>
  <c r="CU101" i="7"/>
  <c r="CR101" i="7"/>
  <c r="CO101" i="7"/>
  <c r="CL101" i="7"/>
  <c r="BT101" i="7"/>
  <c r="BP101" i="7"/>
  <c r="BO793" i="28"/>
  <c r="BK794" i="28"/>
  <c r="BE794" i="28"/>
  <c r="BN794" i="28"/>
  <c r="BJ794" i="28"/>
  <c r="AZ794" i="28"/>
  <c r="AV794" i="28"/>
  <c r="BG794" i="28"/>
  <c r="BH794" i="28"/>
  <c r="AX794" i="28"/>
  <c r="BL794" i="28"/>
  <c r="A795" i="28"/>
  <c r="BI794" i="28"/>
  <c r="BF794" i="28"/>
  <c r="BM794" i="28"/>
  <c r="AW794" i="28"/>
  <c r="AT794" i="28"/>
  <c r="BD794" i="28"/>
  <c r="AY794" i="28"/>
  <c r="BC794" i="28"/>
  <c r="BB793" i="28"/>
  <c r="BP793" i="28"/>
  <c r="BJ122" i="7"/>
  <c r="BW122" i="7"/>
  <c r="BV122" i="7" s="1"/>
  <c r="AS124" i="7"/>
  <c r="AR125" i="7"/>
  <c r="BS125" i="7"/>
  <c r="AO125" i="7"/>
  <c r="AP125" i="7"/>
  <c r="AQ125" i="7"/>
  <c r="AT124" i="7"/>
  <c r="AU123" i="7"/>
  <c r="AP790" i="28"/>
  <c r="BA790" i="28"/>
  <c r="AU99" i="7"/>
  <c r="AS100" i="7"/>
  <c r="Y793" i="28" s="1"/>
  <c r="BS101" i="7"/>
  <c r="AO101" i="7"/>
  <c r="AP101" i="7"/>
  <c r="AQ101" i="7"/>
  <c r="AR101" i="7"/>
  <c r="AT100" i="7"/>
  <c r="Z793" i="28" s="1"/>
  <c r="AA791" i="28"/>
  <c r="BW98" i="7"/>
  <c r="BV98" i="7" s="1"/>
  <c r="BJ98" i="7"/>
  <c r="CV125" i="7" l="1"/>
  <c r="CW125" i="7" s="1"/>
  <c r="BU123" i="7"/>
  <c r="BO123" i="7"/>
  <c r="CV101" i="7"/>
  <c r="CW101" i="7" s="1"/>
  <c r="CS102" i="7"/>
  <c r="CP102" i="7"/>
  <c r="CM102" i="7"/>
  <c r="CJ102" i="7"/>
  <c r="BQ102" i="7"/>
  <c r="CT102" i="7"/>
  <c r="CQ102" i="7"/>
  <c r="CN102" i="7"/>
  <c r="CK102" i="7"/>
  <c r="BR102" i="7"/>
  <c r="BN102" i="7"/>
  <c r="BP102" i="7"/>
  <c r="CU102" i="7"/>
  <c r="CR102" i="7"/>
  <c r="CO102" i="7"/>
  <c r="CL102" i="7"/>
  <c r="BT102" i="7"/>
  <c r="BW99" i="7"/>
  <c r="BV99" i="7" s="1"/>
  <c r="BU99" i="7"/>
  <c r="BO99" i="7"/>
  <c r="BO794" i="28"/>
  <c r="AY795" i="28"/>
  <c r="AX795" i="28"/>
  <c r="BC795" i="28"/>
  <c r="BG795" i="28"/>
  <c r="BJ795" i="28"/>
  <c r="BI795" i="28"/>
  <c r="BD795" i="28"/>
  <c r="AV795" i="28"/>
  <c r="BE795" i="28"/>
  <c r="BM795" i="28"/>
  <c r="A796" i="28"/>
  <c r="BH795" i="28"/>
  <c r="AZ795" i="28"/>
  <c r="BL795" i="28"/>
  <c r="BF795" i="28"/>
  <c r="AW795" i="28"/>
  <c r="BK795" i="28"/>
  <c r="AT795" i="28"/>
  <c r="BN795" i="28"/>
  <c r="BB794" i="28"/>
  <c r="BP794" i="28"/>
  <c r="X232" i="14"/>
  <c r="W232" i="14"/>
  <c r="U232" i="14"/>
  <c r="AU124" i="7"/>
  <c r="AT125" i="7"/>
  <c r="BW123" i="7"/>
  <c r="BV123" i="7" s="1"/>
  <c r="BJ123" i="7"/>
  <c r="AS125" i="7"/>
  <c r="AA792" i="28"/>
  <c r="AU792" i="28" s="1"/>
  <c r="BJ99" i="7"/>
  <c r="AS101" i="7"/>
  <c r="Y794" i="28" s="1"/>
  <c r="AT101" i="7"/>
  <c r="Z794" i="28" s="1"/>
  <c r="BS102" i="7"/>
  <c r="AQ102" i="7"/>
  <c r="AR102" i="7"/>
  <c r="AP102" i="7"/>
  <c r="AO102" i="7"/>
  <c r="AP791" i="28"/>
  <c r="AU791" i="28"/>
  <c r="BA791" i="28"/>
  <c r="AU100" i="7"/>
  <c r="AF240" i="14" l="1"/>
  <c r="CV102" i="7"/>
  <c r="CW102" i="7" s="1"/>
  <c r="BW124" i="7"/>
  <c r="BV124" i="7" s="1"/>
  <c r="BU124" i="7"/>
  <c r="BO124" i="7"/>
  <c r="BO100" i="7"/>
  <c r="BU100" i="7"/>
  <c r="BC796" i="28"/>
  <c r="BD796" i="28"/>
  <c r="AW796" i="28"/>
  <c r="BJ796" i="28"/>
  <c r="BI796" i="28"/>
  <c r="AY796" i="28"/>
  <c r="AZ796" i="28"/>
  <c r="BM796" i="28"/>
  <c r="BL796" i="28"/>
  <c r="BN796" i="28"/>
  <c r="BK796" i="28"/>
  <c r="BE796" i="28"/>
  <c r="AV796" i="28"/>
  <c r="A797" i="28"/>
  <c r="AT796" i="28"/>
  <c r="BF796" i="28"/>
  <c r="BH796" i="28"/>
  <c r="AX796" i="28"/>
  <c r="BG796" i="28"/>
  <c r="BO795" i="28"/>
  <c r="BP795" i="28"/>
  <c r="BB795" i="28"/>
  <c r="AG232" i="14"/>
  <c r="AF232" i="14"/>
  <c r="AU125" i="7"/>
  <c r="U70" i="19" s="1"/>
  <c r="BJ124" i="7"/>
  <c r="AP792" i="28"/>
  <c r="BA792" i="28"/>
  <c r="AU101" i="7"/>
  <c r="AS102" i="7"/>
  <c r="Y795" i="28" s="1"/>
  <c r="BJ100" i="7"/>
  <c r="BW100" i="7"/>
  <c r="AA793" i="28"/>
  <c r="AT102" i="7"/>
  <c r="Z795" i="28" s="1"/>
  <c r="BV100" i="7" l="1"/>
  <c r="BU125" i="7"/>
  <c r="BO125" i="7"/>
  <c r="BO101" i="7"/>
  <c r="BU101" i="7"/>
  <c r="BP796" i="28"/>
  <c r="BB796" i="28"/>
  <c r="A798" i="28"/>
  <c r="AX797" i="28"/>
  <c r="BN797" i="28"/>
  <c r="BI797" i="28"/>
  <c r="AV797" i="28"/>
  <c r="BK797" i="28"/>
  <c r="BH797" i="28"/>
  <c r="BD797" i="28"/>
  <c r="AZ797" i="28"/>
  <c r="BF797" i="28"/>
  <c r="AW797" i="28"/>
  <c r="BE797" i="28"/>
  <c r="BG797" i="28"/>
  <c r="AY797" i="28"/>
  <c r="BC797" i="28"/>
  <c r="BM797" i="28"/>
  <c r="BJ797" i="28"/>
  <c r="BL797" i="28"/>
  <c r="BO796" i="28"/>
  <c r="AH232" i="14"/>
  <c r="AV232" i="14" s="1"/>
  <c r="BJ125" i="7"/>
  <c r="BW125" i="7"/>
  <c r="Y796" i="28"/>
  <c r="AA794" i="28"/>
  <c r="BW101" i="7"/>
  <c r="BV101" i="7" s="1"/>
  <c r="BJ101" i="7"/>
  <c r="Z796" i="28"/>
  <c r="BA793" i="28"/>
  <c r="AU793" i="28"/>
  <c r="AP793" i="28"/>
  <c r="AU102" i="7"/>
  <c r="BV125" i="7" l="1"/>
  <c r="BO102" i="7"/>
  <c r="BU102" i="7"/>
  <c r="BB797" i="28"/>
  <c r="BP797" i="28"/>
  <c r="BO797" i="28"/>
  <c r="AV798" i="28"/>
  <c r="BH798" i="28"/>
  <c r="BD798" i="28"/>
  <c r="BG798" i="28"/>
  <c r="BI798" i="28"/>
  <c r="BC798" i="28"/>
  <c r="AT798" i="28"/>
  <c r="BN798" i="28"/>
  <c r="BM798" i="28"/>
  <c r="BK798" i="28"/>
  <c r="A799" i="28"/>
  <c r="BJ798" i="28"/>
  <c r="AZ798" i="28"/>
  <c r="AY798" i="28"/>
  <c r="AX798" i="28"/>
  <c r="BL798" i="28"/>
  <c r="AW798" i="28"/>
  <c r="BE798" i="28"/>
  <c r="BF798" i="28"/>
  <c r="V232" i="14"/>
  <c r="Y797" i="28"/>
  <c r="Z797" i="28"/>
  <c r="BA794" i="28"/>
  <c r="AP794" i="28"/>
  <c r="AU794" i="28"/>
  <c r="AA795" i="28"/>
  <c r="BW102" i="7"/>
  <c r="BV102" i="7" s="1"/>
  <c r="BJ102" i="7"/>
  <c r="BO798" i="28" l="1"/>
  <c r="BB798" i="28"/>
  <c r="BP798" i="28"/>
  <c r="BI799" i="28"/>
  <c r="AV799" i="28"/>
  <c r="BJ799" i="28"/>
  <c r="AY799" i="28"/>
  <c r="AT799" i="28"/>
  <c r="BE799" i="28"/>
  <c r="BM799" i="28"/>
  <c r="BC799" i="28"/>
  <c r="BG799" i="28"/>
  <c r="BF799" i="28"/>
  <c r="BN799" i="28"/>
  <c r="BL799" i="28"/>
  <c r="AW799" i="28"/>
  <c r="AX799" i="28"/>
  <c r="AZ799" i="28"/>
  <c r="BK799" i="28"/>
  <c r="BD799" i="28"/>
  <c r="BH799" i="28"/>
  <c r="A800" i="28"/>
  <c r="Y798" i="28"/>
  <c r="Z798" i="28"/>
  <c r="AA796" i="28"/>
  <c r="AP795" i="28"/>
  <c r="AU795" i="28"/>
  <c r="BA795" i="28"/>
  <c r="BO799" i="28" l="1"/>
  <c r="BE800" i="28"/>
  <c r="AY800" i="28"/>
  <c r="AX800" i="28"/>
  <c r="BK800" i="28"/>
  <c r="A801" i="28"/>
  <c r="BC800" i="28"/>
  <c r="AW800" i="28"/>
  <c r="BN800" i="28"/>
  <c r="AZ800" i="28"/>
  <c r="AV800" i="28"/>
  <c r="BL800" i="28"/>
  <c r="BF800" i="28"/>
  <c r="BJ800" i="28"/>
  <c r="BG800" i="28"/>
  <c r="BH800" i="28"/>
  <c r="AT800" i="28"/>
  <c r="BD800" i="28"/>
  <c r="BI800" i="28"/>
  <c r="BM800" i="28"/>
  <c r="BB799" i="28"/>
  <c r="BP799" i="28"/>
  <c r="AA797" i="28"/>
  <c r="AP797" i="28" s="1"/>
  <c r="AU796" i="28"/>
  <c r="AP796" i="28"/>
  <c r="BA796" i="28"/>
  <c r="Z799" i="28"/>
  <c r="BP800" i="28" l="1"/>
  <c r="BB800" i="28"/>
  <c r="BO800" i="28"/>
  <c r="BE801" i="28"/>
  <c r="AT801" i="28"/>
  <c r="BC801" i="28"/>
  <c r="BM801" i="28"/>
  <c r="A802" i="28"/>
  <c r="BN801" i="28"/>
  <c r="BI801" i="28"/>
  <c r="BF801" i="28"/>
  <c r="BJ801" i="28"/>
  <c r="AV801" i="28"/>
  <c r="AZ801" i="28"/>
  <c r="AX801" i="28"/>
  <c r="AY801" i="28"/>
  <c r="BH801" i="28"/>
  <c r="BK801" i="28"/>
  <c r="BG801" i="28"/>
  <c r="BD801" i="28"/>
  <c r="BL801" i="28"/>
  <c r="AW801" i="28"/>
  <c r="BA797" i="28"/>
  <c r="AA798" i="28"/>
  <c r="AP798" i="28" s="1"/>
  <c r="Y799" i="28"/>
  <c r="Z800" i="28"/>
  <c r="AY802" i="28" l="1"/>
  <c r="BE802" i="28"/>
  <c r="BG802" i="28"/>
  <c r="BC802" i="28"/>
  <c r="BJ802" i="28"/>
  <c r="BF802" i="28"/>
  <c r="AW802" i="28"/>
  <c r="BN802" i="28"/>
  <c r="AV802" i="28"/>
  <c r="BI802" i="28"/>
  <c r="BK802" i="28"/>
  <c r="BL802" i="28"/>
  <c r="BM802" i="28"/>
  <c r="BH802" i="28"/>
  <c r="AX802" i="28"/>
  <c r="BD802" i="28"/>
  <c r="A803" i="28"/>
  <c r="AZ802" i="28"/>
  <c r="BO801" i="28"/>
  <c r="BB801" i="28"/>
  <c r="BP801" i="28"/>
  <c r="BA798" i="28"/>
  <c r="AU798" i="28"/>
  <c r="Z801" i="28"/>
  <c r="AA799" i="28"/>
  <c r="Y800" i="28"/>
  <c r="BB802" i="28" l="1"/>
  <c r="BP802" i="28"/>
  <c r="AZ803" i="28"/>
  <c r="AW803" i="28"/>
  <c r="BK803" i="28"/>
  <c r="AY803" i="28"/>
  <c r="BI803" i="28"/>
  <c r="BM803" i="28"/>
  <c r="BH803" i="28"/>
  <c r="BJ803" i="28"/>
  <c r="BD803" i="28"/>
  <c r="BE803" i="28"/>
  <c r="BL803" i="28"/>
  <c r="AV803" i="28"/>
  <c r="BG803" i="28"/>
  <c r="AX803" i="28"/>
  <c r="A804" i="28"/>
  <c r="BN803" i="28"/>
  <c r="BC803" i="28"/>
  <c r="BF803" i="28"/>
  <c r="BO802" i="28"/>
  <c r="Y802" i="28"/>
  <c r="Z802" i="28"/>
  <c r="Y801" i="28"/>
  <c r="AA800" i="28"/>
  <c r="BA799" i="28"/>
  <c r="AU799" i="28"/>
  <c r="AP799" i="28"/>
  <c r="BO803" i="28" l="1"/>
  <c r="BF804" i="28"/>
  <c r="A805" i="28"/>
  <c r="BG804" i="28"/>
  <c r="BJ804" i="28"/>
  <c r="AX804" i="28"/>
  <c r="BL804" i="28"/>
  <c r="BD804" i="28"/>
  <c r="BC804" i="28"/>
  <c r="AZ804" i="28"/>
  <c r="AW804" i="28"/>
  <c r="BI804" i="28"/>
  <c r="AV804" i="28"/>
  <c r="BN804" i="28"/>
  <c r="BH804" i="28"/>
  <c r="AY804" i="28"/>
  <c r="AT804" i="28"/>
  <c r="BM804" i="28"/>
  <c r="BE804" i="28"/>
  <c r="BK804" i="28"/>
  <c r="BB803" i="28"/>
  <c r="BP803" i="28"/>
  <c r="Z803" i="28"/>
  <c r="BA800" i="28"/>
  <c r="AU800" i="28"/>
  <c r="AP800" i="28"/>
  <c r="AA801" i="28"/>
  <c r="BB804" i="28" l="1"/>
  <c r="BP804" i="28"/>
  <c r="BO804" i="28"/>
  <c r="AY805" i="28"/>
  <c r="BD805" i="28"/>
  <c r="AZ805" i="28"/>
  <c r="BN805" i="28"/>
  <c r="BM805" i="28"/>
  <c r="BI805" i="28"/>
  <c r="BH805" i="28"/>
  <c r="AV805" i="28"/>
  <c r="BJ805" i="28"/>
  <c r="AW805" i="28"/>
  <c r="BE805" i="28"/>
  <c r="AT805" i="28"/>
  <c r="BG805" i="28"/>
  <c r="BF805" i="28"/>
  <c r="A806" i="28"/>
  <c r="BK805" i="28"/>
  <c r="AX805" i="28"/>
  <c r="BL805" i="28"/>
  <c r="BC805" i="28"/>
  <c r="AA802" i="28"/>
  <c r="BA802" i="28" s="1"/>
  <c r="AP801" i="28"/>
  <c r="AU801" i="28"/>
  <c r="BA801" i="28"/>
  <c r="Y803" i="28"/>
  <c r="BO805" i="28" l="1"/>
  <c r="BG806" i="28"/>
  <c r="AT806" i="28"/>
  <c r="BL806" i="28"/>
  <c r="BJ806" i="28"/>
  <c r="A807" i="28"/>
  <c r="BF806" i="28"/>
  <c r="AZ806" i="28"/>
  <c r="AX806" i="28"/>
  <c r="BN806" i="28"/>
  <c r="AY806" i="28"/>
  <c r="BM806" i="28"/>
  <c r="BI806" i="28"/>
  <c r="AV806" i="28"/>
  <c r="BE806" i="28"/>
  <c r="BD806" i="28"/>
  <c r="BC806" i="28"/>
  <c r="BH806" i="28"/>
  <c r="AW806" i="28"/>
  <c r="BK806" i="28"/>
  <c r="BP805" i="28"/>
  <c r="BB805" i="28"/>
  <c r="AP802" i="28"/>
  <c r="Y805" i="28"/>
  <c r="Y804" i="28"/>
  <c r="Z804" i="28"/>
  <c r="AA803" i="28"/>
  <c r="Z805" i="28"/>
  <c r="BB806" i="28" l="1"/>
  <c r="BP806" i="28"/>
  <c r="BJ807" i="28"/>
  <c r="AX807" i="28"/>
  <c r="BI807" i="28"/>
  <c r="BM807" i="28"/>
  <c r="BN807" i="28"/>
  <c r="BD807" i="28"/>
  <c r="BG807" i="28"/>
  <c r="A808" i="28"/>
  <c r="AW807" i="28"/>
  <c r="BL807" i="28"/>
  <c r="BC807" i="28"/>
  <c r="BF807" i="28"/>
  <c r="AV807" i="28"/>
  <c r="BH807" i="28"/>
  <c r="BE807" i="28"/>
  <c r="AZ807" i="28"/>
  <c r="BK807" i="28"/>
  <c r="BO806" i="28"/>
  <c r="BA803" i="28"/>
  <c r="AP803" i="28"/>
  <c r="Z806" i="28"/>
  <c r="AA804" i="28"/>
  <c r="BN808" i="28" l="1"/>
  <c r="BH808" i="28"/>
  <c r="BK808" i="28"/>
  <c r="BI808" i="28"/>
  <c r="AV808" i="28"/>
  <c r="BE808" i="28"/>
  <c r="AY808" i="28"/>
  <c r="BM808" i="28"/>
  <c r="A809" i="28"/>
  <c r="BF808" i="28"/>
  <c r="BC808" i="28"/>
  <c r="AX808" i="28"/>
  <c r="BJ808" i="28"/>
  <c r="AZ808" i="28"/>
  <c r="BL808" i="28"/>
  <c r="BG808" i="28"/>
  <c r="AW808" i="28"/>
  <c r="BD808" i="28"/>
  <c r="BB807" i="28"/>
  <c r="BP807" i="28"/>
  <c r="Z807" i="28"/>
  <c r="AA805" i="28"/>
  <c r="BA804" i="28"/>
  <c r="AU804" i="28"/>
  <c r="AP804" i="28"/>
  <c r="Y806" i="28"/>
  <c r="BO808" i="28" l="1"/>
  <c r="AV809" i="28"/>
  <c r="BJ809" i="28"/>
  <c r="A810" i="28"/>
  <c r="BG809" i="28"/>
  <c r="AX809" i="28"/>
  <c r="BF809" i="28"/>
  <c r="BK809" i="28"/>
  <c r="AW809" i="28"/>
  <c r="BD809" i="28"/>
  <c r="BH809" i="28"/>
  <c r="BC809" i="28"/>
  <c r="BI809" i="28"/>
  <c r="BN809" i="28"/>
  <c r="AY809" i="28"/>
  <c r="AZ809" i="28"/>
  <c r="BE809" i="28"/>
  <c r="BM809" i="28"/>
  <c r="BL809" i="28"/>
  <c r="BB808" i="28"/>
  <c r="BP808" i="28"/>
  <c r="Z808" i="28"/>
  <c r="Y808" i="28"/>
  <c r="AA806" i="28"/>
  <c r="BA805" i="28"/>
  <c r="AU805" i="28"/>
  <c r="AP805" i="28"/>
  <c r="Y807" i="28"/>
  <c r="BO809" i="28" l="1"/>
  <c r="BB809" i="28"/>
  <c r="BP809" i="28"/>
  <c r="AZ810" i="28"/>
  <c r="BK810" i="28"/>
  <c r="BG810" i="28"/>
  <c r="BI810" i="28"/>
  <c r="BD810" i="28"/>
  <c r="AW810" i="28"/>
  <c r="BC810" i="28"/>
  <c r="BE810" i="28"/>
  <c r="BL810" i="28"/>
  <c r="BN810" i="28"/>
  <c r="AV810" i="28"/>
  <c r="BH810" i="28"/>
  <c r="BJ810" i="28"/>
  <c r="AX810" i="28"/>
  <c r="BM810" i="28"/>
  <c r="AY810" i="28"/>
  <c r="BF810" i="28"/>
  <c r="A811" i="28"/>
  <c r="AA807" i="28"/>
  <c r="Z809" i="28"/>
  <c r="BA806" i="28"/>
  <c r="AU806" i="28"/>
  <c r="AP806" i="28"/>
  <c r="BO810" i="28" l="1"/>
  <c r="BN811" i="28"/>
  <c r="AX811" i="28"/>
  <c r="A812" i="28"/>
  <c r="BH811" i="28"/>
  <c r="AY811" i="28"/>
  <c r="BD811" i="28"/>
  <c r="BL811" i="28"/>
  <c r="BG811" i="28"/>
  <c r="BJ811" i="28"/>
  <c r="BC811" i="28"/>
  <c r="BM811" i="28"/>
  <c r="AV811" i="28"/>
  <c r="BK811" i="28"/>
  <c r="BE811" i="28"/>
  <c r="AZ811" i="28"/>
  <c r="AW811" i="28"/>
  <c r="BI811" i="28"/>
  <c r="BF811" i="28"/>
  <c r="BB810" i="28"/>
  <c r="BP810" i="28"/>
  <c r="AA808" i="28"/>
  <c r="BA808" i="28" s="1"/>
  <c r="Z810" i="28"/>
  <c r="AP807" i="28"/>
  <c r="BA807" i="28"/>
  <c r="Y809" i="28"/>
  <c r="BO811" i="28" l="1"/>
  <c r="BB811" i="28"/>
  <c r="BP811" i="28"/>
  <c r="BF812" i="28"/>
  <c r="A813" i="28"/>
  <c r="AZ812" i="28"/>
  <c r="AY812" i="28"/>
  <c r="BM812" i="28"/>
  <c r="BC812" i="28"/>
  <c r="BH812" i="28"/>
  <c r="BJ812" i="28"/>
  <c r="BN812" i="28"/>
  <c r="BE812" i="28"/>
  <c r="BD812" i="28"/>
  <c r="AV812" i="28"/>
  <c r="BK812" i="28"/>
  <c r="BI812" i="28"/>
  <c r="AW812" i="28"/>
  <c r="BL812" i="28"/>
  <c r="AX812" i="28"/>
  <c r="BG812" i="28"/>
  <c r="AP808" i="28"/>
  <c r="Z811" i="28"/>
  <c r="AA809" i="28"/>
  <c r="Y810" i="28"/>
  <c r="BO812" i="28" l="1"/>
  <c r="BP812" i="28"/>
  <c r="BB812" i="28"/>
  <c r="BL813" i="28"/>
  <c r="BN813" i="28"/>
  <c r="A814" i="28"/>
  <c r="BK813" i="28"/>
  <c r="BJ813" i="28"/>
  <c r="AW813" i="28"/>
  <c r="BD813" i="28"/>
  <c r="AY813" i="28"/>
  <c r="BH813" i="28"/>
  <c r="BG813" i="28"/>
  <c r="AV813" i="28"/>
  <c r="BM813" i="28"/>
  <c r="BE813" i="28"/>
  <c r="BI813" i="28"/>
  <c r="BF813" i="28"/>
  <c r="AX813" i="28"/>
  <c r="AZ813" i="28"/>
  <c r="BC813" i="28"/>
  <c r="Y812" i="28"/>
  <c r="Z812" i="28"/>
  <c r="Y811" i="28"/>
  <c r="AA810" i="28"/>
  <c r="AP809" i="28"/>
  <c r="BA809" i="28"/>
  <c r="BO813" i="28" l="1"/>
  <c r="BP813" i="28"/>
  <c r="BB813" i="28"/>
  <c r="BE814" i="28"/>
  <c r="BG814" i="28"/>
  <c r="BD814" i="28"/>
  <c r="AW814" i="28"/>
  <c r="BM814" i="28"/>
  <c r="BJ814" i="28"/>
  <c r="AX814" i="28"/>
  <c r="BF814" i="28"/>
  <c r="A815" i="28"/>
  <c r="AZ814" i="28"/>
  <c r="BC814" i="28"/>
  <c r="BL814" i="28"/>
  <c r="BK814" i="28"/>
  <c r="BH814" i="28"/>
  <c r="AV814" i="28"/>
  <c r="AY814" i="28"/>
  <c r="BN814" i="28"/>
  <c r="AT814" i="28"/>
  <c r="BI814" i="28"/>
  <c r="Y813" i="28"/>
  <c r="AP810" i="28"/>
  <c r="BA810" i="28"/>
  <c r="Z813" i="28"/>
  <c r="AA811" i="28"/>
  <c r="CS103" i="7" l="1"/>
  <c r="CP103" i="7"/>
  <c r="CM103" i="7"/>
  <c r="CJ103" i="7"/>
  <c r="BQ103" i="7"/>
  <c r="CT103" i="7"/>
  <c r="CQ103" i="7"/>
  <c r="CN103" i="7"/>
  <c r="CK103" i="7"/>
  <c r="BR103" i="7"/>
  <c r="BN103" i="7"/>
  <c r="CU103" i="7"/>
  <c r="CR103" i="7"/>
  <c r="CO103" i="7"/>
  <c r="CL103" i="7"/>
  <c r="BT103" i="7"/>
  <c r="BP103" i="7"/>
  <c r="BC815" i="28"/>
  <c r="AZ815" i="28"/>
  <c r="BG815" i="28"/>
  <c r="BF815" i="28"/>
  <c r="AX815" i="28"/>
  <c r="BK815" i="28"/>
  <c r="BN815" i="28"/>
  <c r="BH815" i="28"/>
  <c r="BJ815" i="28"/>
  <c r="AT815" i="28"/>
  <c r="AY815" i="28"/>
  <c r="BE815" i="28"/>
  <c r="AV815" i="28"/>
  <c r="BD815" i="28"/>
  <c r="BM815" i="28"/>
  <c r="BI815" i="28"/>
  <c r="AW815" i="28"/>
  <c r="A816" i="28"/>
  <c r="BL815" i="28"/>
  <c r="BO814" i="28"/>
  <c r="BB814" i="28"/>
  <c r="BP814" i="28"/>
  <c r="AA812" i="28"/>
  <c r="BA812" i="28" s="1"/>
  <c r="Y814" i="28"/>
  <c r="Z814" i="28"/>
  <c r="AR103" i="7"/>
  <c r="AQ103" i="7"/>
  <c r="BS103" i="7"/>
  <c r="AO103" i="7"/>
  <c r="AP103" i="7"/>
  <c r="BA811" i="28"/>
  <c r="AP811" i="28"/>
  <c r="CV103" i="7" l="1"/>
  <c r="CW103" i="7" s="1"/>
  <c r="CU104" i="7"/>
  <c r="CR104" i="7"/>
  <c r="CO104" i="7"/>
  <c r="CL104" i="7"/>
  <c r="BT104" i="7"/>
  <c r="BP104" i="7"/>
  <c r="CS104" i="7"/>
  <c r="CP104" i="7"/>
  <c r="CM104" i="7"/>
  <c r="CJ104" i="7"/>
  <c r="BQ104" i="7"/>
  <c r="CT104" i="7"/>
  <c r="CQ104" i="7"/>
  <c r="CN104" i="7"/>
  <c r="CK104" i="7"/>
  <c r="BR104" i="7"/>
  <c r="BN104" i="7"/>
  <c r="BM816" i="28"/>
  <c r="AW816" i="28"/>
  <c r="BD816" i="28"/>
  <c r="BC816" i="28"/>
  <c r="AV816" i="28"/>
  <c r="AZ816" i="28"/>
  <c r="BK816" i="28"/>
  <c r="A817" i="28"/>
  <c r="BL816" i="28"/>
  <c r="BH816" i="28"/>
  <c r="BF816" i="28"/>
  <c r="BI816" i="28"/>
  <c r="BE816" i="28"/>
  <c r="BN816" i="28"/>
  <c r="BG816" i="28"/>
  <c r="AX816" i="28"/>
  <c r="BJ816" i="28"/>
  <c r="AT816" i="28"/>
  <c r="AY816" i="28"/>
  <c r="BP815" i="28"/>
  <c r="BB815" i="28"/>
  <c r="BO815" i="28"/>
  <c r="AP812" i="28"/>
  <c r="AT103" i="7"/>
  <c r="Z815" i="28" s="1"/>
  <c r="AS103" i="7"/>
  <c r="BS104" i="7"/>
  <c r="AR104" i="7"/>
  <c r="AQ104" i="7"/>
  <c r="AO104" i="7"/>
  <c r="AP104" i="7"/>
  <c r="AA813" i="28"/>
  <c r="Y815" i="28" l="1"/>
  <c r="CU105" i="7"/>
  <c r="CR105" i="7"/>
  <c r="CO105" i="7"/>
  <c r="CL105" i="7"/>
  <c r="BT105" i="7"/>
  <c r="BP105" i="7"/>
  <c r="CS105" i="7"/>
  <c r="CP105" i="7"/>
  <c r="CM105" i="7"/>
  <c r="CJ105" i="7"/>
  <c r="BQ105" i="7"/>
  <c r="CT105" i="7"/>
  <c r="CQ105" i="7"/>
  <c r="CN105" i="7"/>
  <c r="CK105" i="7"/>
  <c r="BR105" i="7"/>
  <c r="BN105" i="7"/>
  <c r="CV104" i="7"/>
  <c r="CW104" i="7" s="1"/>
  <c r="AZ817" i="28"/>
  <c r="A818" i="28"/>
  <c r="BJ817" i="28"/>
  <c r="BH817" i="28"/>
  <c r="AX817" i="28"/>
  <c r="BI817" i="28"/>
  <c r="BC817" i="28"/>
  <c r="BG817" i="28"/>
  <c r="BL817" i="28"/>
  <c r="AW817" i="28"/>
  <c r="AV817" i="28"/>
  <c r="BE817" i="28"/>
  <c r="BM817" i="28"/>
  <c r="BD817" i="28"/>
  <c r="BN817" i="28"/>
  <c r="AY817" i="28"/>
  <c r="BK817" i="28"/>
  <c r="AT817" i="28"/>
  <c r="BF817" i="28"/>
  <c r="BP816" i="28"/>
  <c r="BB816" i="28"/>
  <c r="BO816" i="28"/>
  <c r="AT104" i="7"/>
  <c r="Z816" i="28" s="1"/>
  <c r="AU103" i="7"/>
  <c r="AA814" i="28"/>
  <c r="AS104" i="7"/>
  <c r="AO105" i="7"/>
  <c r="AQ105" i="7"/>
  <c r="BS105" i="7"/>
  <c r="AR105" i="7"/>
  <c r="AP105" i="7"/>
  <c r="BA813" i="28"/>
  <c r="AP813" i="28"/>
  <c r="BO103" i="7" l="1"/>
  <c r="BU103" i="7"/>
  <c r="CU106" i="7"/>
  <c r="CR106" i="7"/>
  <c r="CO106" i="7"/>
  <c r="CL106" i="7"/>
  <c r="BT106" i="7"/>
  <c r="BP106" i="7"/>
  <c r="CS106" i="7"/>
  <c r="CP106" i="7"/>
  <c r="CM106" i="7"/>
  <c r="CJ106" i="7"/>
  <c r="BQ106" i="7"/>
  <c r="BR106" i="7"/>
  <c r="BN106" i="7"/>
  <c r="CT106" i="7"/>
  <c r="CQ106" i="7"/>
  <c r="CN106" i="7"/>
  <c r="CK106" i="7"/>
  <c r="CV105" i="7"/>
  <c r="CW105" i="7" s="1"/>
  <c r="BO817" i="28"/>
  <c r="BL818" i="28"/>
  <c r="AW818" i="28"/>
  <c r="AY818" i="28"/>
  <c r="BF818" i="28"/>
  <c r="BG818" i="28"/>
  <c r="BM818" i="28"/>
  <c r="BJ818" i="28"/>
  <c r="BH818" i="28"/>
  <c r="BN818" i="28"/>
  <c r="AV818" i="28"/>
  <c r="BK818" i="28"/>
  <c r="BD818" i="28"/>
  <c r="AX818" i="28"/>
  <c r="BC818" i="28"/>
  <c r="A819" i="28"/>
  <c r="BE818" i="28"/>
  <c r="BI818" i="28"/>
  <c r="AZ818" i="28"/>
  <c r="BB817" i="28"/>
  <c r="BP817" i="28"/>
  <c r="BW103" i="7"/>
  <c r="BJ103" i="7"/>
  <c r="AA815" i="28"/>
  <c r="AT105" i="7"/>
  <c r="Z817" i="28" s="1"/>
  <c r="AP814" i="28"/>
  <c r="BA814" i="28"/>
  <c r="AU814" i="28"/>
  <c r="AS105" i="7"/>
  <c r="AR106" i="7"/>
  <c r="AO106" i="7"/>
  <c r="AQ106" i="7"/>
  <c r="BS106" i="7"/>
  <c r="AP106" i="7"/>
  <c r="AU104" i="7"/>
  <c r="Y816" i="28"/>
  <c r="BV103" i="7" l="1"/>
  <c r="BO104" i="7"/>
  <c r="BU104" i="7"/>
  <c r="CU107" i="7"/>
  <c r="CR107" i="7"/>
  <c r="CO107" i="7"/>
  <c r="CL107" i="7"/>
  <c r="BT107" i="7"/>
  <c r="X295" i="14" s="1"/>
  <c r="BP107" i="7"/>
  <c r="W295" i="14" s="1"/>
  <c r="CS107" i="7"/>
  <c r="CP107" i="7"/>
  <c r="CM107" i="7"/>
  <c r="CJ107" i="7"/>
  <c r="BQ107" i="7"/>
  <c r="CT107" i="7"/>
  <c r="CQ107" i="7"/>
  <c r="CN107" i="7"/>
  <c r="CK107" i="7"/>
  <c r="BR107" i="7"/>
  <c r="BN107" i="7"/>
  <c r="U295" i="14" s="1"/>
  <c r="CV106" i="7"/>
  <c r="CW106" i="7" s="1"/>
  <c r="BB818" i="28"/>
  <c r="BP818" i="28"/>
  <c r="BF819" i="28"/>
  <c r="BJ819" i="28"/>
  <c r="BN819" i="28"/>
  <c r="BH819" i="28"/>
  <c r="AW819" i="28"/>
  <c r="AZ819" i="28"/>
  <c r="BD819" i="28"/>
  <c r="BI819" i="28"/>
  <c r="A820" i="28"/>
  <c r="AX819" i="28"/>
  <c r="BK819" i="28"/>
  <c r="BG819" i="28"/>
  <c r="BC819" i="28"/>
  <c r="BE819" i="28"/>
  <c r="AY819" i="28"/>
  <c r="AV819" i="28"/>
  <c r="BL819" i="28"/>
  <c r="BM819" i="28"/>
  <c r="BO818" i="28"/>
  <c r="BA815" i="28"/>
  <c r="AP815" i="28"/>
  <c r="AU815" i="28"/>
  <c r="AS106" i="7"/>
  <c r="AT106" i="7"/>
  <c r="AO107" i="7"/>
  <c r="BS107" i="7"/>
  <c r="AQ107" i="7"/>
  <c r="AR107" i="7"/>
  <c r="AP107" i="7"/>
  <c r="BJ104" i="7"/>
  <c r="AA816" i="28"/>
  <c r="BW104" i="7"/>
  <c r="BV104" i="7" s="1"/>
  <c r="AU105" i="7"/>
  <c r="Y817" i="28"/>
  <c r="CT108" i="7" l="1"/>
  <c r="CQ108" i="7"/>
  <c r="CN108" i="7"/>
  <c r="CK108" i="7"/>
  <c r="BR108" i="7"/>
  <c r="BN108" i="7"/>
  <c r="CU108" i="7"/>
  <c r="CR108" i="7"/>
  <c r="CO108" i="7"/>
  <c r="CL108" i="7"/>
  <c r="BT108" i="7"/>
  <c r="BP108" i="7"/>
  <c r="CS108" i="7"/>
  <c r="CP108" i="7"/>
  <c r="CM108" i="7"/>
  <c r="CJ108" i="7"/>
  <c r="BQ108" i="7"/>
  <c r="BO105" i="7"/>
  <c r="BU105" i="7"/>
  <c r="CV107" i="7"/>
  <c r="CW107" i="7" s="1"/>
  <c r="Z818" i="28"/>
  <c r="Y818" i="28"/>
  <c r="BE820" i="28"/>
  <c r="BL820" i="28"/>
  <c r="BC820" i="28"/>
  <c r="BF820" i="28"/>
  <c r="AV820" i="28"/>
  <c r="AZ820" i="28"/>
  <c r="AX820" i="28"/>
  <c r="A821" i="28"/>
  <c r="BK820" i="28"/>
  <c r="BJ820" i="28"/>
  <c r="BD820" i="28"/>
  <c r="AW820" i="28"/>
  <c r="BN820" i="28"/>
  <c r="BH820" i="28"/>
  <c r="AY820" i="28"/>
  <c r="BI820" i="28"/>
  <c r="BM820" i="28"/>
  <c r="BG820" i="28"/>
  <c r="BB819" i="28"/>
  <c r="BP819" i="28"/>
  <c r="BO819" i="28"/>
  <c r="AT107" i="7"/>
  <c r="AU106" i="7"/>
  <c r="AA817" i="28"/>
  <c r="BW105" i="7"/>
  <c r="BV105" i="7" s="1"/>
  <c r="BJ105" i="7"/>
  <c r="AS107" i="7"/>
  <c r="AF295" i="14" s="1"/>
  <c r="AO108" i="7"/>
  <c r="AQ108" i="7"/>
  <c r="BS108" i="7"/>
  <c r="AR108" i="7"/>
  <c r="AP108" i="7"/>
  <c r="BA816" i="28"/>
  <c r="AU816" i="28"/>
  <c r="AP816" i="28"/>
  <c r="Z819" i="28" l="1"/>
  <c r="Z295" i="14"/>
  <c r="AG295" i="14" s="1"/>
  <c r="AH295" i="14" s="1"/>
  <c r="AV295" i="14" s="1"/>
  <c r="CT109" i="7"/>
  <c r="CQ109" i="7"/>
  <c r="CN109" i="7"/>
  <c r="CK109" i="7"/>
  <c r="BR109" i="7"/>
  <c r="BN109" i="7"/>
  <c r="CU109" i="7"/>
  <c r="CR109" i="7"/>
  <c r="CO109" i="7"/>
  <c r="CL109" i="7"/>
  <c r="BT109" i="7"/>
  <c r="BP109" i="7"/>
  <c r="CS109" i="7"/>
  <c r="CP109" i="7"/>
  <c r="CM109" i="7"/>
  <c r="CJ109" i="7"/>
  <c r="BQ109" i="7"/>
  <c r="CV108" i="7"/>
  <c r="CW108" i="7" s="1"/>
  <c r="BU106" i="7"/>
  <c r="BO106" i="7"/>
  <c r="AY821" i="28"/>
  <c r="BL821" i="28"/>
  <c r="BH821" i="28"/>
  <c r="AX821" i="28"/>
  <c r="BI821" i="28"/>
  <c r="BF821" i="28"/>
  <c r="BC821" i="28"/>
  <c r="AW821" i="28"/>
  <c r="BN821" i="28"/>
  <c r="BE821" i="28"/>
  <c r="BK821" i="28"/>
  <c r="AZ821" i="28"/>
  <c r="AV821" i="28"/>
  <c r="BD821" i="28"/>
  <c r="BJ821" i="28"/>
  <c r="A822" i="28"/>
  <c r="BM821" i="28"/>
  <c r="BG821" i="28"/>
  <c r="BB820" i="28"/>
  <c r="BP820" i="28"/>
  <c r="BO820" i="28"/>
  <c r="BJ106" i="7"/>
  <c r="BW106" i="7"/>
  <c r="BV106" i="7" s="1"/>
  <c r="AA818" i="28"/>
  <c r="BA818" i="28" s="1"/>
  <c r="AS108" i="7"/>
  <c r="Y819" i="28"/>
  <c r="AU107" i="7"/>
  <c r="AT108" i="7"/>
  <c r="BS109" i="7"/>
  <c r="AR109" i="7"/>
  <c r="AP109" i="7"/>
  <c r="AQ109" i="7"/>
  <c r="AO109" i="7"/>
  <c r="AU817" i="28"/>
  <c r="BA817" i="28"/>
  <c r="AP817" i="28"/>
  <c r="CT110" i="7" l="1"/>
  <c r="CQ110" i="7"/>
  <c r="CN110" i="7"/>
  <c r="CK110" i="7"/>
  <c r="BR110" i="7"/>
  <c r="BN110" i="7"/>
  <c r="CU110" i="7"/>
  <c r="CR110" i="7"/>
  <c r="CO110" i="7"/>
  <c r="CL110" i="7"/>
  <c r="BT110" i="7"/>
  <c r="BP110" i="7"/>
  <c r="BQ110" i="7"/>
  <c r="CS110" i="7"/>
  <c r="CP110" i="7"/>
  <c r="CM110" i="7"/>
  <c r="CJ110" i="7"/>
  <c r="BO107" i="7"/>
  <c r="V295" i="14" s="1"/>
  <c r="BU107" i="7"/>
  <c r="CV109" i="7"/>
  <c r="CW109" i="7" s="1"/>
  <c r="Y820" i="28"/>
  <c r="Z820" i="28"/>
  <c r="BB821" i="28"/>
  <c r="BP821" i="28"/>
  <c r="BO821" i="28"/>
  <c r="A823" i="28"/>
  <c r="BE822" i="28"/>
  <c r="BM822" i="28"/>
  <c r="BK822" i="28"/>
  <c r="BF822" i="28"/>
  <c r="AV822" i="28"/>
  <c r="BL822" i="28"/>
  <c r="AY822" i="28"/>
  <c r="BH822" i="28"/>
  <c r="BC822" i="28"/>
  <c r="BI822" i="28"/>
  <c r="BN822" i="28"/>
  <c r="AX822" i="28"/>
  <c r="BG822" i="28"/>
  <c r="BD822" i="28"/>
  <c r="AW822" i="28"/>
  <c r="BJ822" i="28"/>
  <c r="AZ822" i="28"/>
  <c r="AP818" i="28"/>
  <c r="AS109" i="7"/>
  <c r="AF241" i="14" s="1"/>
  <c r="BJ107" i="7"/>
  <c r="BW107" i="7"/>
  <c r="BV107" i="7" s="1"/>
  <c r="AA819" i="28"/>
  <c r="AR110" i="7"/>
  <c r="AP110" i="7"/>
  <c r="AO110" i="7"/>
  <c r="BS110" i="7"/>
  <c r="AQ110" i="7"/>
  <c r="AT109" i="7"/>
  <c r="AU108" i="7"/>
  <c r="AS110" i="7" l="1"/>
  <c r="BO108" i="7"/>
  <c r="BU108" i="7"/>
  <c r="CV110" i="7"/>
  <c r="CW110" i="7" s="1"/>
  <c r="CT111" i="7"/>
  <c r="CQ111" i="7"/>
  <c r="CN111" i="7"/>
  <c r="CK111" i="7"/>
  <c r="BR111" i="7"/>
  <c r="BN111" i="7"/>
  <c r="U291" i="14" s="1"/>
  <c r="CU111" i="7"/>
  <c r="CR111" i="7"/>
  <c r="CO111" i="7"/>
  <c r="CL111" i="7"/>
  <c r="BT111" i="7"/>
  <c r="X291" i="14" s="1"/>
  <c r="BP111" i="7"/>
  <c r="W291" i="14" s="1"/>
  <c r="CS111" i="7"/>
  <c r="CP111" i="7"/>
  <c r="CM111" i="7"/>
  <c r="CJ111" i="7"/>
  <c r="BQ111" i="7"/>
  <c r="Z821" i="28"/>
  <c r="Y821" i="28"/>
  <c r="AF243" i="14"/>
  <c r="BP822" i="28"/>
  <c r="BB822" i="28"/>
  <c r="AX823" i="28"/>
  <c r="A824" i="28"/>
  <c r="BM823" i="28"/>
  <c r="BJ823" i="28"/>
  <c r="AZ823" i="28"/>
  <c r="BH823" i="28"/>
  <c r="BD823" i="28"/>
  <c r="BF823" i="28"/>
  <c r="BC823" i="28"/>
  <c r="BK823" i="28"/>
  <c r="AV823" i="28"/>
  <c r="AY823" i="28"/>
  <c r="BG823" i="28"/>
  <c r="BE823" i="28"/>
  <c r="BN823" i="28"/>
  <c r="AW823" i="28"/>
  <c r="BL823" i="28"/>
  <c r="BI823" i="28"/>
  <c r="BO822" i="28"/>
  <c r="AP111" i="7"/>
  <c r="AO111" i="7"/>
  <c r="AR111" i="7"/>
  <c r="BS111" i="7"/>
  <c r="AQ111" i="7"/>
  <c r="AU109" i="7"/>
  <c r="AT110" i="7"/>
  <c r="Z822" i="28" s="1"/>
  <c r="AP819" i="28"/>
  <c r="BA819" i="28"/>
  <c r="BJ108" i="7"/>
  <c r="BW108" i="7"/>
  <c r="BV108" i="7" s="1"/>
  <c r="AA820" i="28"/>
  <c r="CV111" i="7" l="1"/>
  <c r="CW111" i="7" s="1"/>
  <c r="BU109" i="7"/>
  <c r="BO109" i="7"/>
  <c r="CS112" i="7"/>
  <c r="CP112" i="7"/>
  <c r="CM112" i="7"/>
  <c r="CJ112" i="7"/>
  <c r="BQ112" i="7"/>
  <c r="CT112" i="7"/>
  <c r="CQ112" i="7"/>
  <c r="CN112" i="7"/>
  <c r="CK112" i="7"/>
  <c r="BR112" i="7"/>
  <c r="BN112" i="7"/>
  <c r="CU112" i="7"/>
  <c r="CR112" i="7"/>
  <c r="CO112" i="7"/>
  <c r="CL112" i="7"/>
  <c r="BT112" i="7"/>
  <c r="BP112" i="7"/>
  <c r="BO823" i="28"/>
  <c r="BB823" i="28"/>
  <c r="BP823" i="28"/>
  <c r="BM824" i="28"/>
  <c r="BE824" i="28"/>
  <c r="AW824" i="28"/>
  <c r="BH824" i="28"/>
  <c r="BD824" i="28"/>
  <c r="A825" i="28"/>
  <c r="BG824" i="28"/>
  <c r="BJ824" i="28"/>
  <c r="BK824" i="28"/>
  <c r="BN824" i="28"/>
  <c r="BC824" i="28"/>
  <c r="AY824" i="28"/>
  <c r="AX824" i="28"/>
  <c r="AV824" i="28"/>
  <c r="BL824" i="28"/>
  <c r="BF824" i="28"/>
  <c r="BI824" i="28"/>
  <c r="AZ824" i="28"/>
  <c r="AS111" i="7"/>
  <c r="AU110" i="7"/>
  <c r="Y822" i="28"/>
  <c r="BA820" i="28"/>
  <c r="AP820" i="28"/>
  <c r="AR112" i="7"/>
  <c r="AP112" i="7"/>
  <c r="AO112" i="7"/>
  <c r="AQ112" i="7"/>
  <c r="BS112" i="7"/>
  <c r="AT111" i="7"/>
  <c r="BJ109" i="7"/>
  <c r="BW109" i="7"/>
  <c r="BV109" i="7" s="1"/>
  <c r="AA821" i="28"/>
  <c r="W294" i="14" l="1"/>
  <c r="W296" i="14"/>
  <c r="X294" i="14"/>
  <c r="X296" i="14"/>
  <c r="U294" i="14"/>
  <c r="U296" i="14"/>
  <c r="Z823" i="28"/>
  <c r="Z291" i="14"/>
  <c r="AG291" i="14" s="1"/>
  <c r="Y823" i="28"/>
  <c r="AF291" i="14"/>
  <c r="CS113" i="7"/>
  <c r="CP113" i="7"/>
  <c r="CM113" i="7"/>
  <c r="CJ113" i="7"/>
  <c r="BQ113" i="7"/>
  <c r="CT113" i="7"/>
  <c r="CQ113" i="7"/>
  <c r="CN113" i="7"/>
  <c r="CK113" i="7"/>
  <c r="BR113" i="7"/>
  <c r="BN113" i="7"/>
  <c r="CU113" i="7"/>
  <c r="CR113" i="7"/>
  <c r="CO113" i="7"/>
  <c r="CL113" i="7"/>
  <c r="BT113" i="7"/>
  <c r="BP113" i="7"/>
  <c r="CV112" i="7"/>
  <c r="CW112" i="7" s="1"/>
  <c r="BO110" i="7"/>
  <c r="BU110" i="7"/>
  <c r="BP824" i="28"/>
  <c r="BB824" i="28"/>
  <c r="AW825" i="28"/>
  <c r="AZ825" i="28"/>
  <c r="AV825" i="28"/>
  <c r="BE825" i="28"/>
  <c r="BL825" i="28"/>
  <c r="BC825" i="28"/>
  <c r="BI825" i="28"/>
  <c r="BH825" i="28"/>
  <c r="A826" i="28"/>
  <c r="BN825" i="28"/>
  <c r="BG825" i="28"/>
  <c r="AT825" i="28"/>
  <c r="BF825" i="28"/>
  <c r="AY825" i="28"/>
  <c r="AX825" i="28"/>
  <c r="BK825" i="28"/>
  <c r="BJ825" i="28"/>
  <c r="BM825" i="28"/>
  <c r="BD825" i="28"/>
  <c r="BO824" i="28"/>
  <c r="AT112" i="7"/>
  <c r="Z296" i="14" s="1"/>
  <c r="AG296" i="14" s="1"/>
  <c r="AP821" i="28"/>
  <c r="BA821" i="28"/>
  <c r="AP113" i="7"/>
  <c r="AQ113" i="7"/>
  <c r="BS113" i="7"/>
  <c r="AR113" i="7"/>
  <c r="AO113" i="7"/>
  <c r="AU111" i="7"/>
  <c r="AS112" i="7"/>
  <c r="AA822" i="28"/>
  <c r="BW110" i="7"/>
  <c r="BV110" i="7" s="1"/>
  <c r="BJ110" i="7"/>
  <c r="AF294" i="14" l="1"/>
  <c r="AF296" i="14"/>
  <c r="AH296" i="14" s="1"/>
  <c r="AH291" i="14"/>
  <c r="Z824" i="28"/>
  <c r="Z294" i="14"/>
  <c r="AG294" i="14" s="1"/>
  <c r="AH294" i="14" s="1"/>
  <c r="BU111" i="7"/>
  <c r="BO111" i="7"/>
  <c r="V291" i="14" s="1"/>
  <c r="CV113" i="7"/>
  <c r="CW113" i="7" s="1"/>
  <c r="BH826" i="28"/>
  <c r="BK826" i="28"/>
  <c r="BM826" i="28"/>
  <c r="AV826" i="28"/>
  <c r="AT826" i="28"/>
  <c r="BN826" i="28"/>
  <c r="BC826" i="28"/>
  <c r="BF826" i="28"/>
  <c r="AZ826" i="28"/>
  <c r="BD826" i="28"/>
  <c r="AX826" i="28"/>
  <c r="A827" i="28"/>
  <c r="BL826" i="28"/>
  <c r="BG826" i="28"/>
  <c r="BI826" i="28"/>
  <c r="BE826" i="28"/>
  <c r="AY826" i="28"/>
  <c r="BJ826" i="28"/>
  <c r="AW826" i="28"/>
  <c r="BO825" i="28"/>
  <c r="BB825" i="28"/>
  <c r="BP825" i="28"/>
  <c r="AT113" i="7"/>
  <c r="Z825" i="28" s="1"/>
  <c r="AS113" i="7"/>
  <c r="Y825" i="28" s="1"/>
  <c r="AP822" i="28"/>
  <c r="BA822" i="28"/>
  <c r="AU112" i="7"/>
  <c r="Y824" i="28"/>
  <c r="BW111" i="7"/>
  <c r="BV111" i="7" s="1"/>
  <c r="BJ111" i="7"/>
  <c r="AA823" i="28"/>
  <c r="BU112" i="7" l="1"/>
  <c r="BO112" i="7"/>
  <c r="AY827" i="28"/>
  <c r="BJ827" i="28"/>
  <c r="BE827" i="28"/>
  <c r="AZ827" i="28"/>
  <c r="BM827" i="28"/>
  <c r="BL827" i="28"/>
  <c r="AW827" i="28"/>
  <c r="BI827" i="28"/>
  <c r="BF827" i="28"/>
  <c r="BC827" i="28"/>
  <c r="BH827" i="28"/>
  <c r="A828" i="28"/>
  <c r="BK827" i="28"/>
  <c r="BG827" i="28"/>
  <c r="BD827" i="28"/>
  <c r="AT827" i="28"/>
  <c r="BN827" i="28"/>
  <c r="AX827" i="28"/>
  <c r="AV827" i="28"/>
  <c r="BP826" i="28"/>
  <c r="BB826" i="28"/>
  <c r="BO826" i="28"/>
  <c r="AU113" i="7"/>
  <c r="Y826" i="28"/>
  <c r="BA823" i="28"/>
  <c r="AP823" i="28"/>
  <c r="Z826" i="28"/>
  <c r="BJ112" i="7"/>
  <c r="BW112" i="7"/>
  <c r="BV112" i="7" s="1"/>
  <c r="AA824" i="28"/>
  <c r="V294" i="14" l="1"/>
  <c r="V296" i="14"/>
  <c r="BW113" i="7"/>
  <c r="BV113" i="7" s="1"/>
  <c r="BO113" i="7"/>
  <c r="BU113" i="7"/>
  <c r="BJ828" i="28"/>
  <c r="BI828" i="28"/>
  <c r="BM828" i="28"/>
  <c r="A829" i="28"/>
  <c r="BH828" i="28"/>
  <c r="BK828" i="28"/>
  <c r="AW828" i="28"/>
  <c r="AY828" i="28"/>
  <c r="BC828" i="28"/>
  <c r="BE828" i="28"/>
  <c r="BF828" i="28"/>
  <c r="AZ828" i="28"/>
  <c r="AV828" i="28"/>
  <c r="BD828" i="28"/>
  <c r="BL828" i="28"/>
  <c r="BG828" i="28"/>
  <c r="AX828" i="28"/>
  <c r="BN828" i="28"/>
  <c r="BO827" i="28"/>
  <c r="BP827" i="28"/>
  <c r="BB827" i="28"/>
  <c r="BJ113" i="7"/>
  <c r="AA825" i="28"/>
  <c r="AU825" i="28" s="1"/>
  <c r="Z827" i="28"/>
  <c r="BA824" i="28"/>
  <c r="AP824" i="28"/>
  <c r="BP828" i="28" l="1"/>
  <c r="BB828" i="28"/>
  <c r="BO828" i="28"/>
  <c r="BK829" i="28"/>
  <c r="BC829" i="28"/>
  <c r="AW829" i="28"/>
  <c r="BD829" i="28"/>
  <c r="AZ829" i="28"/>
  <c r="AX829" i="28"/>
  <c r="BN829" i="28"/>
  <c r="BM829" i="28"/>
  <c r="BJ829" i="28"/>
  <c r="BG829" i="28"/>
  <c r="BF829" i="28"/>
  <c r="BI829" i="28"/>
  <c r="AV829" i="28"/>
  <c r="AY829" i="28"/>
  <c r="BH829" i="28"/>
  <c r="A830" i="28"/>
  <c r="BL829" i="28"/>
  <c r="BE829" i="28"/>
  <c r="AP825" i="28"/>
  <c r="BA825" i="28"/>
  <c r="Y828" i="28"/>
  <c r="Z828" i="28"/>
  <c r="AA826" i="28"/>
  <c r="Y827" i="28"/>
  <c r="BB829" i="28" l="1"/>
  <c r="BP829" i="28"/>
  <c r="BN830" i="28"/>
  <c r="BG830" i="28"/>
  <c r="AY830" i="28"/>
  <c r="A831" i="28"/>
  <c r="AZ830" i="28"/>
  <c r="AX830" i="28"/>
  <c r="BL830" i="28"/>
  <c r="BC830" i="28"/>
  <c r="BH830" i="28"/>
  <c r="BD830" i="28"/>
  <c r="AV830" i="28"/>
  <c r="BE830" i="28"/>
  <c r="BJ830" i="28"/>
  <c r="BK830" i="28"/>
  <c r="BM830" i="28"/>
  <c r="BF830" i="28"/>
  <c r="AW830" i="28"/>
  <c r="BI830" i="28"/>
  <c r="BO829" i="28"/>
  <c r="Z829" i="28"/>
  <c r="AA827" i="28"/>
  <c r="AP826" i="28"/>
  <c r="AU826" i="28"/>
  <c r="BA826" i="28"/>
  <c r="BO830" i="28" l="1"/>
  <c r="BP830" i="28"/>
  <c r="BB830" i="28"/>
  <c r="BH831" i="28"/>
  <c r="AX831" i="28"/>
  <c r="BN831" i="28"/>
  <c r="BE831" i="28"/>
  <c r="AY831" i="28"/>
  <c r="AZ831" i="28"/>
  <c r="BC831" i="28"/>
  <c r="BG831" i="28"/>
  <c r="BL831" i="28"/>
  <c r="BI831" i="28"/>
  <c r="BF831" i="28"/>
  <c r="BJ831" i="28"/>
  <c r="AW831" i="28"/>
  <c r="A832" i="28"/>
  <c r="AV831" i="28"/>
  <c r="BD831" i="28"/>
  <c r="BK831" i="28"/>
  <c r="BM831" i="28"/>
  <c r="AA828" i="28"/>
  <c r="AP828" i="28" s="1"/>
  <c r="Y830" i="28"/>
  <c r="Z830" i="28"/>
  <c r="Y829" i="28"/>
  <c r="AU827" i="28"/>
  <c r="BA827" i="28"/>
  <c r="AP827" i="28"/>
  <c r="CS114" i="7" l="1"/>
  <c r="CP114" i="7"/>
  <c r="CM114" i="7"/>
  <c r="CJ114" i="7"/>
  <c r="BQ114" i="7"/>
  <c r="CT114" i="7"/>
  <c r="CQ114" i="7"/>
  <c r="CN114" i="7"/>
  <c r="CK114" i="7"/>
  <c r="BR114" i="7"/>
  <c r="BN114" i="7"/>
  <c r="BP114" i="7"/>
  <c r="W168" i="14" s="1"/>
  <c r="CU114" i="7"/>
  <c r="CR114" i="7"/>
  <c r="CO114" i="7"/>
  <c r="CL114" i="7"/>
  <c r="BT114" i="7"/>
  <c r="BO831" i="28"/>
  <c r="BB831" i="28"/>
  <c r="BP831" i="28"/>
  <c r="BJ832" i="28"/>
  <c r="AV832" i="28"/>
  <c r="BM832" i="28"/>
  <c r="A833" i="28"/>
  <c r="BG832" i="28"/>
  <c r="BE832" i="28"/>
  <c r="AY832" i="28"/>
  <c r="BD832" i="28"/>
  <c r="BF832" i="28"/>
  <c r="BL832" i="28"/>
  <c r="AW832" i="28"/>
  <c r="AX832" i="28"/>
  <c r="BK832" i="28"/>
  <c r="BN832" i="28"/>
  <c r="AZ832" i="28"/>
  <c r="BH832" i="28"/>
  <c r="BC832" i="28"/>
  <c r="BI832" i="28"/>
  <c r="BA828" i="28"/>
  <c r="Z831" i="28"/>
  <c r="BS114" i="7"/>
  <c r="AP114" i="7"/>
  <c r="AR114" i="7"/>
  <c r="AO114" i="7"/>
  <c r="AQ114" i="7"/>
  <c r="AA829" i="28"/>
  <c r="T169" i="18" l="1"/>
  <c r="W155" i="14"/>
  <c r="W157" i="14"/>
  <c r="W153" i="14"/>
  <c r="W171" i="14"/>
  <c r="T260" i="18"/>
  <c r="W193" i="14"/>
  <c r="V243" i="14"/>
  <c r="U243" i="14"/>
  <c r="W154" i="14"/>
  <c r="T155" i="18"/>
  <c r="Z243" i="14"/>
  <c r="AG243" i="14" s="1"/>
  <c r="AH243" i="14" s="1"/>
  <c r="Z241" i="14"/>
  <c r="AG241" i="14" s="1"/>
  <c r="AH241" i="14" s="1"/>
  <c r="AV241" i="14" s="1"/>
  <c r="T266" i="18"/>
  <c r="W243" i="14"/>
  <c r="T172" i="18"/>
  <c r="X243" i="14"/>
  <c r="X241" i="14"/>
  <c r="T270" i="18"/>
  <c r="T269" i="18"/>
  <c r="W152" i="14"/>
  <c r="T168" i="18"/>
  <c r="W175" i="14"/>
  <c r="W209" i="14"/>
  <c r="V241" i="14"/>
  <c r="Q172" i="18"/>
  <c r="Q168" i="18"/>
  <c r="T283" i="18"/>
  <c r="W156" i="14"/>
  <c r="CS115" i="7"/>
  <c r="CP115" i="7"/>
  <c r="CM115" i="7"/>
  <c r="CJ115" i="7"/>
  <c r="BQ115" i="7"/>
  <c r="BQ143" i="7" s="1"/>
  <c r="CT115" i="7"/>
  <c r="CQ115" i="7"/>
  <c r="CN115" i="7"/>
  <c r="CK115" i="7"/>
  <c r="BR115" i="7"/>
  <c r="BN115" i="7"/>
  <c r="U264" i="14" s="1"/>
  <c r="CU115" i="7"/>
  <c r="CR115" i="7"/>
  <c r="CO115" i="7"/>
  <c r="CL115" i="7"/>
  <c r="BT115" i="7"/>
  <c r="BT143" i="7" s="1"/>
  <c r="BP115" i="7"/>
  <c r="W264" i="14" s="1"/>
  <c r="CV114" i="7"/>
  <c r="CW114" i="7" s="1"/>
  <c r="T259" i="18"/>
  <c r="BO832" i="28"/>
  <c r="BB832" i="28"/>
  <c r="BP832" i="28"/>
  <c r="AY833" i="28"/>
  <c r="BI833" i="28"/>
  <c r="A834" i="28"/>
  <c r="BD833" i="28"/>
  <c r="BJ833" i="28"/>
  <c r="AW833" i="28"/>
  <c r="BF833" i="28"/>
  <c r="BC833" i="28"/>
  <c r="BN833" i="28"/>
  <c r="AZ833" i="28"/>
  <c r="AV833" i="28"/>
  <c r="BM833" i="28"/>
  <c r="BL833" i="28"/>
  <c r="BE833" i="28"/>
  <c r="BK833" i="28"/>
  <c r="AX833" i="28"/>
  <c r="BG833" i="28"/>
  <c r="BH833" i="28"/>
  <c r="AA830" i="28"/>
  <c r="BA830" i="28" s="1"/>
  <c r="Q155" i="18"/>
  <c r="AS114" i="7"/>
  <c r="AT114" i="7"/>
  <c r="Z832" i="28" s="1"/>
  <c r="BS115" i="7"/>
  <c r="AO115" i="7"/>
  <c r="AQ115" i="7"/>
  <c r="AR115" i="7"/>
  <c r="AP115" i="7"/>
  <c r="BA829" i="28"/>
  <c r="AP829" i="28"/>
  <c r="Y831" i="28"/>
  <c r="Q169" i="18"/>
  <c r="T268" i="18" l="1"/>
  <c r="AI243" i="14"/>
  <c r="X264" i="14"/>
  <c r="AJ243" i="14"/>
  <c r="CV115" i="7"/>
  <c r="CW115" i="7" s="1"/>
  <c r="BO833" i="28"/>
  <c r="AX834" i="28"/>
  <c r="BE834" i="28"/>
  <c r="BL834" i="28"/>
  <c r="AY834" i="28"/>
  <c r="BN834" i="28"/>
  <c r="BJ834" i="28"/>
  <c r="BG834" i="28"/>
  <c r="AW834" i="28"/>
  <c r="BF834" i="28"/>
  <c r="BC834" i="28"/>
  <c r="BI834" i="28"/>
  <c r="BM834" i="28"/>
  <c r="BD834" i="28"/>
  <c r="AT834" i="28"/>
  <c r="A835" i="28"/>
  <c r="BH834" i="28"/>
  <c r="BK834" i="28"/>
  <c r="AV834" i="28"/>
  <c r="AZ834" i="28"/>
  <c r="BP833" i="28"/>
  <c r="BB833" i="28"/>
  <c r="Y832" i="28"/>
  <c r="AP830" i="28"/>
  <c r="W169" i="14"/>
  <c r="W213" i="14"/>
  <c r="AU114" i="7"/>
  <c r="AT115" i="7"/>
  <c r="AA831" i="28"/>
  <c r="AS115" i="7"/>
  <c r="AS143" i="7" s="1"/>
  <c r="Y264" i="14" l="1"/>
  <c r="AF264" i="14" s="1"/>
  <c r="AU243" i="14"/>
  <c r="AV243" i="14"/>
  <c r="BO114" i="7"/>
  <c r="BU114" i="7"/>
  <c r="Z833" i="28"/>
  <c r="Z264" i="14"/>
  <c r="AG264" i="14" s="1"/>
  <c r="BO834" i="28"/>
  <c r="BB834" i="28"/>
  <c r="BP834" i="28"/>
  <c r="AY835" i="28"/>
  <c r="BF835" i="28"/>
  <c r="A836" i="28"/>
  <c r="BN835" i="28"/>
  <c r="AX835" i="28"/>
  <c r="BH835" i="28"/>
  <c r="AW835" i="28"/>
  <c r="AZ835" i="28"/>
  <c r="AV835" i="28"/>
  <c r="BM835" i="28"/>
  <c r="BJ835" i="28"/>
  <c r="BK835" i="28"/>
  <c r="BL835" i="28"/>
  <c r="BD835" i="28"/>
  <c r="BC835" i="28"/>
  <c r="BE835" i="28"/>
  <c r="BI835" i="28"/>
  <c r="BG835" i="28"/>
  <c r="BW114" i="7"/>
  <c r="BV114" i="7" s="1"/>
  <c r="BJ114" i="7"/>
  <c r="AA832" i="28"/>
  <c r="Y833" i="28"/>
  <c r="AU115" i="7"/>
  <c r="Z834" i="28"/>
  <c r="BA831" i="28"/>
  <c r="AP831" i="28"/>
  <c r="AH264" i="14" l="1"/>
  <c r="AV264" i="14" s="1"/>
  <c r="T158" i="18"/>
  <c r="AA264" i="14"/>
  <c r="BO115" i="7"/>
  <c r="V264" i="14" s="1"/>
  <c r="BU115" i="7"/>
  <c r="BP835" i="28"/>
  <c r="BB835" i="28"/>
  <c r="BO835" i="28"/>
  <c r="AT836" i="28"/>
  <c r="AY836" i="28"/>
  <c r="AZ836" i="28"/>
  <c r="BN836" i="28"/>
  <c r="BI836" i="28"/>
  <c r="BK836" i="28"/>
  <c r="AV836" i="28"/>
  <c r="BM836" i="28"/>
  <c r="BH836" i="28"/>
  <c r="A837" i="28"/>
  <c r="BL836" i="28"/>
  <c r="AX836" i="28"/>
  <c r="BE836" i="28"/>
  <c r="BD836" i="28"/>
  <c r="BG836" i="28"/>
  <c r="BJ836" i="28"/>
  <c r="AW836" i="28"/>
  <c r="BC836" i="28"/>
  <c r="BF836" i="28"/>
  <c r="Y835" i="28"/>
  <c r="BA832" i="28"/>
  <c r="AP832" i="28"/>
  <c r="Y834" i="28"/>
  <c r="Z835" i="28"/>
  <c r="BW115" i="7"/>
  <c r="BW143" i="7" s="1"/>
  <c r="AA833" i="28"/>
  <c r="BJ115" i="7"/>
  <c r="BV115" i="7" l="1"/>
  <c r="BO836" i="28"/>
  <c r="BP836" i="28"/>
  <c r="BB836" i="28"/>
  <c r="BN837" i="28"/>
  <c r="BH837" i="28"/>
  <c r="BI837" i="28"/>
  <c r="BE837" i="28"/>
  <c r="AV837" i="28"/>
  <c r="BL837" i="28"/>
  <c r="BG837" i="28"/>
  <c r="AY837" i="28"/>
  <c r="AT837" i="28"/>
  <c r="AZ837" i="28"/>
  <c r="BJ837" i="28"/>
  <c r="A838" i="28"/>
  <c r="BK837" i="28"/>
  <c r="BF837" i="28"/>
  <c r="AX837" i="28"/>
  <c r="BM837" i="28"/>
  <c r="AW837" i="28"/>
  <c r="BD837" i="28"/>
  <c r="BC837" i="28"/>
  <c r="Z836" i="28"/>
  <c r="BA833" i="28"/>
  <c r="AP833" i="28"/>
  <c r="AA834" i="28"/>
  <c r="Q158" i="18"/>
  <c r="Y836" i="28" l="1"/>
  <c r="T159" i="18"/>
  <c r="O268" i="18"/>
  <c r="H268" i="18"/>
  <c r="F262" i="18"/>
  <c r="D260" i="18"/>
  <c r="M262" i="18"/>
  <c r="M273" i="18"/>
  <c r="Q259" i="18"/>
  <c r="F283" i="18"/>
  <c r="E273" i="18"/>
  <c r="Q263" i="18"/>
  <c r="U259" i="18"/>
  <c r="H260" i="18"/>
  <c r="P283" i="18"/>
  <c r="M259" i="18"/>
  <c r="B269" i="18"/>
  <c r="N262" i="18"/>
  <c r="G283" i="18"/>
  <c r="L260" i="18"/>
  <c r="U260" i="18"/>
  <c r="J260" i="18"/>
  <c r="Q273" i="18"/>
  <c r="C268" i="18"/>
  <c r="D259" i="18"/>
  <c r="J270" i="18"/>
  <c r="C269" i="18"/>
  <c r="H266" i="18"/>
  <c r="L273" i="18"/>
  <c r="E270" i="18"/>
  <c r="N273" i="18"/>
  <c r="Q268" i="18"/>
  <c r="E260" i="18"/>
  <c r="I269" i="18"/>
  <c r="C270" i="18"/>
  <c r="F266" i="18"/>
  <c r="L263" i="18"/>
  <c r="E259" i="18"/>
  <c r="N269" i="18"/>
  <c r="F268" i="18"/>
  <c r="K266" i="18"/>
  <c r="L270" i="18"/>
  <c r="J273" i="18"/>
  <c r="P259" i="18"/>
  <c r="K262" i="18"/>
  <c r="H259" i="18"/>
  <c r="N270" i="18"/>
  <c r="F260" i="18"/>
  <c r="I262" i="18"/>
  <c r="E283" i="18"/>
  <c r="I268" i="18"/>
  <c r="L269" i="18"/>
  <c r="I273" i="18"/>
  <c r="I270" i="18"/>
  <c r="J283" i="18"/>
  <c r="C273" i="18"/>
  <c r="E268" i="18"/>
  <c r="I260" i="18"/>
  <c r="G260" i="18"/>
  <c r="N268" i="18"/>
  <c r="N260" i="18"/>
  <c r="H273" i="18"/>
  <c r="D266" i="18"/>
  <c r="E269" i="18"/>
  <c r="B266" i="18"/>
  <c r="D273" i="18"/>
  <c r="K269" i="18"/>
  <c r="F263" i="18"/>
  <c r="D262" i="18"/>
  <c r="G263" i="18"/>
  <c r="O269" i="18"/>
  <c r="K268" i="18"/>
  <c r="J263" i="18"/>
  <c r="E266" i="18"/>
  <c r="F269" i="18"/>
  <c r="H270" i="18"/>
  <c r="O263" i="18"/>
  <c r="U283" i="18"/>
  <c r="Q266" i="18"/>
  <c r="P270" i="18"/>
  <c r="G266" i="18"/>
  <c r="G273" i="18"/>
  <c r="P262" i="18"/>
  <c r="M269" i="18"/>
  <c r="C283" i="18"/>
  <c r="B273" i="18"/>
  <c r="Q262" i="18"/>
  <c r="M266" i="18"/>
  <c r="P263" i="18"/>
  <c r="P273" i="18"/>
  <c r="L283" i="18"/>
  <c r="U270" i="18"/>
  <c r="Q260" i="18"/>
  <c r="U273" i="18"/>
  <c r="I259" i="18"/>
  <c r="K260" i="18"/>
  <c r="B263" i="18"/>
  <c r="C260" i="18"/>
  <c r="D263" i="18"/>
  <c r="I283" i="18"/>
  <c r="O270" i="18"/>
  <c r="O262" i="18"/>
  <c r="G259" i="18"/>
  <c r="J259" i="18"/>
  <c r="G268" i="18"/>
  <c r="P268" i="18"/>
  <c r="K273" i="18"/>
  <c r="H283" i="18"/>
  <c r="H262" i="18"/>
  <c r="K270" i="18"/>
  <c r="L268" i="18"/>
  <c r="P266" i="18"/>
  <c r="F259" i="18"/>
  <c r="U262" i="18"/>
  <c r="C266" i="18"/>
  <c r="K263" i="18"/>
  <c r="E262" i="18"/>
  <c r="U269" i="18"/>
  <c r="O273" i="18"/>
  <c r="B262" i="18"/>
  <c r="Q269" i="18"/>
  <c r="O266" i="18"/>
  <c r="D269" i="18"/>
  <c r="J269" i="18"/>
  <c r="P269" i="18"/>
  <c r="H263" i="18"/>
  <c r="I263" i="18"/>
  <c r="C262" i="18"/>
  <c r="J266" i="18"/>
  <c r="F270" i="18"/>
  <c r="D268" i="18"/>
  <c r="I266" i="18"/>
  <c r="L262" i="18"/>
  <c r="M283" i="18"/>
  <c r="G262" i="18"/>
  <c r="K283" i="18"/>
  <c r="J262" i="18"/>
  <c r="N283" i="18"/>
  <c r="Q270" i="18"/>
  <c r="S270" i="18" s="1"/>
  <c r="U263" i="18"/>
  <c r="K259" i="18"/>
  <c r="P260" i="18"/>
  <c r="D283" i="18"/>
  <c r="O283" i="18"/>
  <c r="Q283" i="18"/>
  <c r="M270" i="18"/>
  <c r="B260" i="18"/>
  <c r="G270" i="18"/>
  <c r="J268" i="18"/>
  <c r="O259" i="18"/>
  <c r="C259" i="18"/>
  <c r="B259" i="18"/>
  <c r="G269" i="18"/>
  <c r="L259" i="18"/>
  <c r="N263" i="18"/>
  <c r="B270" i="18"/>
  <c r="D270" i="18"/>
  <c r="N259" i="18"/>
  <c r="F273" i="18"/>
  <c r="E263" i="18"/>
  <c r="N266" i="18"/>
  <c r="M268" i="18"/>
  <c r="B268" i="18"/>
  <c r="U268" i="18"/>
  <c r="L266" i="18"/>
  <c r="O260" i="18"/>
  <c r="M263" i="18"/>
  <c r="U266" i="18"/>
  <c r="M260" i="18"/>
  <c r="C263" i="18"/>
  <c r="B283" i="18"/>
  <c r="H269" i="18"/>
  <c r="BB837" i="28"/>
  <c r="BP837" i="28"/>
  <c r="BO837" i="28"/>
  <c r="AZ838" i="28"/>
  <c r="BN838" i="28"/>
  <c r="BJ838" i="28"/>
  <c r="BI838" i="28"/>
  <c r="BE838" i="28"/>
  <c r="BC838" i="28"/>
  <c r="AY838" i="28"/>
  <c r="AV838" i="28"/>
  <c r="BK838" i="28"/>
  <c r="BD838" i="28"/>
  <c r="AW838" i="28"/>
  <c r="AX838" i="28"/>
  <c r="BM838" i="28"/>
  <c r="BF838" i="28"/>
  <c r="BL838" i="28"/>
  <c r="BH838" i="28"/>
  <c r="BG838" i="28"/>
  <c r="A839" i="28"/>
  <c r="Z837" i="28"/>
  <c r="AU834" i="28"/>
  <c r="AP834" i="28"/>
  <c r="BA834" i="28"/>
  <c r="AA835" i="28"/>
  <c r="S260" i="18" l="1"/>
  <c r="AT823" i="28"/>
  <c r="AU823" i="28" s="1"/>
  <c r="S266" i="18"/>
  <c r="AT824" i="28"/>
  <c r="AU824" i="28" s="1"/>
  <c r="S283" i="18"/>
  <c r="AT821" i="28"/>
  <c r="AU821" i="28" s="1"/>
  <c r="S262" i="18"/>
  <c r="AT819" i="28"/>
  <c r="AU819" i="28" s="1"/>
  <c r="S273" i="18"/>
  <c r="AT820" i="28"/>
  <c r="AU820" i="28" s="1"/>
  <c r="S259" i="18"/>
  <c r="AT832" i="28"/>
  <c r="AU832" i="28" s="1"/>
  <c r="S263" i="18"/>
  <c r="AT818" i="28"/>
  <c r="AU818" i="28" s="1"/>
  <c r="S269" i="18"/>
  <c r="AT822" i="28"/>
  <c r="AU822" i="28" s="1"/>
  <c r="S268" i="18"/>
  <c r="AT833" i="28"/>
  <c r="AU833" i="28" s="1"/>
  <c r="AY839" i="28"/>
  <c r="BJ839" i="28"/>
  <c r="BN839" i="28"/>
  <c r="AX839" i="28"/>
  <c r="BI839" i="28"/>
  <c r="BF839" i="28"/>
  <c r="BH839" i="28"/>
  <c r="BE839" i="28"/>
  <c r="BM839" i="28"/>
  <c r="AW839" i="28"/>
  <c r="A840" i="28"/>
  <c r="AZ839" i="28"/>
  <c r="BC839" i="28"/>
  <c r="BG839" i="28"/>
  <c r="AV839" i="28"/>
  <c r="BD839" i="28"/>
  <c r="BK839" i="28"/>
  <c r="BL839" i="28"/>
  <c r="BO838" i="28"/>
  <c r="BB838" i="28"/>
  <c r="BP838" i="28"/>
  <c r="AA836" i="28"/>
  <c r="Y838" i="28"/>
  <c r="Z838" i="28"/>
  <c r="AP835" i="28"/>
  <c r="BA835" i="28"/>
  <c r="Y837" i="28"/>
  <c r="T160" i="18" l="1"/>
  <c r="BB839" i="28"/>
  <c r="BP839" i="28"/>
  <c r="BJ840" i="28"/>
  <c r="AW840" i="28"/>
  <c r="AV840" i="28"/>
  <c r="AZ840" i="28"/>
  <c r="BE840" i="28"/>
  <c r="BK840" i="28"/>
  <c r="AY840" i="28"/>
  <c r="BN840" i="28"/>
  <c r="BH840" i="28"/>
  <c r="BI840" i="28"/>
  <c r="BD840" i="28"/>
  <c r="AX840" i="28"/>
  <c r="BF840" i="28"/>
  <c r="BL840" i="28"/>
  <c r="A841" i="28"/>
  <c r="BM840" i="28"/>
  <c r="BC840" i="28"/>
  <c r="BG840" i="28"/>
  <c r="BO839" i="28"/>
  <c r="T182" i="18"/>
  <c r="AU836" i="28"/>
  <c r="AP836" i="28"/>
  <c r="BA836" i="28"/>
  <c r="Y839" i="28"/>
  <c r="AA837" i="28"/>
  <c r="Z839" i="28"/>
  <c r="T176" i="18" l="1"/>
  <c r="BO840" i="28"/>
  <c r="BP840" i="28"/>
  <c r="BB840" i="28"/>
  <c r="BE841" i="28"/>
  <c r="BI841" i="28"/>
  <c r="BL841" i="28"/>
  <c r="BM841" i="28"/>
  <c r="AY841" i="28"/>
  <c r="AW841" i="28"/>
  <c r="AV841" i="28"/>
  <c r="BD841" i="28"/>
  <c r="BG841" i="28"/>
  <c r="BK841" i="28"/>
  <c r="AZ841" i="28"/>
  <c r="BH841" i="28"/>
  <c r="BN841" i="28"/>
  <c r="AX841" i="28"/>
  <c r="BF841" i="28"/>
  <c r="BJ841" i="28"/>
  <c r="A842" i="28"/>
  <c r="BC841" i="28"/>
  <c r="Q159" i="18"/>
  <c r="AA838" i="28"/>
  <c r="Y840" i="28"/>
  <c r="Z840" i="28"/>
  <c r="BA837" i="28"/>
  <c r="AP837" i="28"/>
  <c r="AU837" i="28"/>
  <c r="Q160" i="18"/>
  <c r="BO841" i="28" l="1"/>
  <c r="AW842" i="28"/>
  <c r="BI842" i="28"/>
  <c r="BM842" i="28"/>
  <c r="BF842" i="28"/>
  <c r="A843" i="28"/>
  <c r="BK842" i="28"/>
  <c r="BJ842" i="28"/>
  <c r="BL842" i="28"/>
  <c r="BH842" i="28"/>
  <c r="AX842" i="28"/>
  <c r="BE842" i="28"/>
  <c r="AZ842" i="28"/>
  <c r="AY842" i="28"/>
  <c r="BN842" i="28"/>
  <c r="BD842" i="28"/>
  <c r="AV842" i="28"/>
  <c r="BC842" i="28"/>
  <c r="BG842" i="28"/>
  <c r="BP841" i="28"/>
  <c r="BB841" i="28"/>
  <c r="T162" i="18"/>
  <c r="AP838" i="28"/>
  <c r="BA838" i="28"/>
  <c r="Z841" i="28"/>
  <c r="AA839" i="28"/>
  <c r="Q182" i="18"/>
  <c r="S182" i="18" s="1"/>
  <c r="O176" i="18"/>
  <c r="J156" i="18"/>
  <c r="F134" i="18"/>
  <c r="D143" i="18"/>
  <c r="P134" i="18"/>
  <c r="M134" i="18"/>
  <c r="C138" i="18"/>
  <c r="L155" i="18"/>
  <c r="J172" i="18"/>
  <c r="G134" i="18"/>
  <c r="D149" i="18"/>
  <c r="E138" i="18"/>
  <c r="P172" i="18"/>
  <c r="B147" i="18"/>
  <c r="M138" i="18"/>
  <c r="S160" i="18"/>
  <c r="N159" i="18"/>
  <c r="C159" i="18"/>
  <c r="M169" i="18"/>
  <c r="M148" i="18"/>
  <c r="D176" i="18"/>
  <c r="D147" i="18"/>
  <c r="J143" i="18"/>
  <c r="E172" i="18"/>
  <c r="G160" i="18"/>
  <c r="P156" i="18"/>
  <c r="B143" i="18"/>
  <c r="H150" i="18"/>
  <c r="C150" i="18"/>
  <c r="G156" i="18"/>
  <c r="G143" i="18"/>
  <c r="N151" i="18"/>
  <c r="K138" i="18"/>
  <c r="F172" i="18"/>
  <c r="N138" i="18"/>
  <c r="O134" i="18"/>
  <c r="I157" i="18"/>
  <c r="L143" i="18"/>
  <c r="O143" i="18"/>
  <c r="J147" i="18"/>
  <c r="J163" i="18"/>
  <c r="B156" i="18"/>
  <c r="O138" i="18"/>
  <c r="F138" i="18"/>
  <c r="D159" i="18"/>
  <c r="F143" i="18"/>
  <c r="I169" i="18"/>
  <c r="I160" i="18"/>
  <c r="D162" i="18"/>
  <c r="F168" i="18"/>
  <c r="M172" i="18"/>
  <c r="L157" i="18"/>
  <c r="I163" i="18"/>
  <c r="G168" i="18"/>
  <c r="F160" i="18"/>
  <c r="M176" i="18"/>
  <c r="M155" i="18"/>
  <c r="S172" i="18"/>
  <c r="J160" i="18"/>
  <c r="E182" i="18"/>
  <c r="N172" i="18"/>
  <c r="D168" i="18"/>
  <c r="D158" i="18"/>
  <c r="O169" i="18"/>
  <c r="M160" i="18"/>
  <c r="O156" i="18"/>
  <c r="E148" i="18"/>
  <c r="C158" i="18"/>
  <c r="F155" i="18"/>
  <c r="S169" i="18"/>
  <c r="K168" i="18"/>
  <c r="H157" i="18"/>
  <c r="L176" i="18"/>
  <c r="K182" i="18"/>
  <c r="M150" i="18"/>
  <c r="F162" i="18"/>
  <c r="F157" i="18"/>
  <c r="K162" i="18"/>
  <c r="G172" i="18"/>
  <c r="H162" i="18"/>
  <c r="G169" i="18"/>
  <c r="N148" i="18"/>
  <c r="G163" i="18"/>
  <c r="E147" i="18"/>
  <c r="E156" i="18"/>
  <c r="H163" i="18"/>
  <c r="F182" i="18"/>
  <c r="G149" i="18"/>
  <c r="J150" i="18"/>
  <c r="L147" i="18"/>
  <c r="E143" i="18"/>
  <c r="D150" i="18"/>
  <c r="I176" i="18"/>
  <c r="H151" i="18"/>
  <c r="N162" i="18"/>
  <c r="N155" i="18"/>
  <c r="E157" i="18"/>
  <c r="H168" i="18"/>
  <c r="I151" i="18"/>
  <c r="P169" i="18"/>
  <c r="O147" i="18"/>
  <c r="L159" i="18"/>
  <c r="K158" i="18"/>
  <c r="C148" i="18"/>
  <c r="B163" i="18"/>
  <c r="S159" i="18"/>
  <c r="N158" i="18"/>
  <c r="I155" i="18"/>
  <c r="L163" i="18"/>
  <c r="L148" i="18"/>
  <c r="C163" i="18"/>
  <c r="H147" i="18"/>
  <c r="D160" i="18"/>
  <c r="G155" i="18"/>
  <c r="G150" i="18"/>
  <c r="N143" i="18"/>
  <c r="G176" i="18"/>
  <c r="L172" i="18"/>
  <c r="D157" i="18"/>
  <c r="F151" i="18"/>
  <c r="I138" i="18"/>
  <c r="K147" i="18"/>
  <c r="I158" i="18"/>
  <c r="F176" i="18"/>
  <c r="O150" i="18"/>
  <c r="B176" i="18"/>
  <c r="N156" i="18"/>
  <c r="H143" i="18"/>
  <c r="K176" i="18"/>
  <c r="I162" i="18"/>
  <c r="K163" i="18"/>
  <c r="F150" i="18"/>
  <c r="M182" i="18"/>
  <c r="N168" i="18"/>
  <c r="S168" i="18"/>
  <c r="H138" i="18"/>
  <c r="K160" i="18"/>
  <c r="G138" i="18"/>
  <c r="I159" i="18"/>
  <c r="L150" i="18"/>
  <c r="J169" i="18"/>
  <c r="J151" i="18"/>
  <c r="N147" i="18"/>
  <c r="M149" i="18"/>
  <c r="H172" i="18"/>
  <c r="B150" i="18"/>
  <c r="N157" i="18"/>
  <c r="I147" i="18"/>
  <c r="D156" i="18"/>
  <c r="B149" i="18"/>
  <c r="O182" i="18"/>
  <c r="O159" i="18"/>
  <c r="P148" i="18"/>
  <c r="J176" i="18"/>
  <c r="K172" i="18"/>
  <c r="E158" i="18"/>
  <c r="N176" i="18"/>
  <c r="C172" i="18"/>
  <c r="C168" i="18"/>
  <c r="D169" i="18"/>
  <c r="G151" i="18"/>
  <c r="F158" i="18"/>
  <c r="H156" i="18"/>
  <c r="L138" i="18"/>
  <c r="D182" i="18"/>
  <c r="K169" i="18"/>
  <c r="C176" i="18"/>
  <c r="J182" i="18"/>
  <c r="N163" i="18"/>
  <c r="P143" i="18"/>
  <c r="O148" i="18"/>
  <c r="P159" i="18"/>
  <c r="M147" i="18"/>
  <c r="D155" i="18"/>
  <c r="H149" i="18"/>
  <c r="I156" i="18"/>
  <c r="G162" i="18"/>
  <c r="E151" i="18"/>
  <c r="O157" i="18"/>
  <c r="N149" i="18"/>
  <c r="B168" i="18"/>
  <c r="K150" i="18"/>
  <c r="C147" i="18"/>
  <c r="E155" i="18"/>
  <c r="M151" i="18"/>
  <c r="C182" i="18"/>
  <c r="O158" i="18"/>
  <c r="G159" i="18"/>
  <c r="G148" i="18"/>
  <c r="C149" i="18"/>
  <c r="J158" i="18"/>
  <c r="F149" i="18"/>
  <c r="K159" i="18"/>
  <c r="M157" i="18"/>
  <c r="E159" i="18"/>
  <c r="P158" i="18"/>
  <c r="K157" i="18"/>
  <c r="D138" i="18"/>
  <c r="C162" i="18"/>
  <c r="F169" i="18"/>
  <c r="K156" i="18"/>
  <c r="F148" i="18"/>
  <c r="O149" i="18"/>
  <c r="I168" i="18"/>
  <c r="G182" i="18"/>
  <c r="E169" i="18"/>
  <c r="N150" i="18"/>
  <c r="S158" i="18"/>
  <c r="M156" i="18"/>
  <c r="E163" i="18"/>
  <c r="P138" i="18"/>
  <c r="G157" i="18"/>
  <c r="O172" i="18"/>
  <c r="E162" i="18"/>
  <c r="P176" i="18"/>
  <c r="J138" i="18"/>
  <c r="H169" i="18"/>
  <c r="B172" i="18"/>
  <c r="B138" i="18"/>
  <c r="B182" i="18"/>
  <c r="P147" i="18"/>
  <c r="H148" i="18"/>
  <c r="J149" i="18"/>
  <c r="C143" i="18"/>
  <c r="L182" i="18"/>
  <c r="S155" i="18"/>
  <c r="I148" i="18"/>
  <c r="D163" i="18"/>
  <c r="E160" i="18"/>
  <c r="G158" i="18"/>
  <c r="I150" i="18"/>
  <c r="L151" i="18"/>
  <c r="J159" i="18"/>
  <c r="L149" i="18"/>
  <c r="M163" i="18"/>
  <c r="B157" i="18"/>
  <c r="H160" i="18"/>
  <c r="B148" i="18"/>
  <c r="C157" i="18"/>
  <c r="M159" i="18"/>
  <c r="B159" i="18"/>
  <c r="O168" i="18"/>
  <c r="J157" i="18"/>
  <c r="L158" i="18"/>
  <c r="K143" i="18"/>
  <c r="K148" i="18"/>
  <c r="B151" i="18"/>
  <c r="I149" i="18"/>
  <c r="J155" i="18"/>
  <c r="C156" i="18"/>
  <c r="D148" i="18"/>
  <c r="B162" i="18"/>
  <c r="F163" i="18"/>
  <c r="L156" i="18"/>
  <c r="H158" i="18"/>
  <c r="B160" i="18"/>
  <c r="C160" i="18"/>
  <c r="M143" i="18"/>
  <c r="B169" i="18"/>
  <c r="I182" i="18"/>
  <c r="P150" i="18"/>
  <c r="C151" i="18"/>
  <c r="N169" i="18"/>
  <c r="L169" i="18"/>
  <c r="P160" i="18"/>
  <c r="L160" i="18"/>
  <c r="E168" i="18"/>
  <c r="D151" i="18"/>
  <c r="P155" i="18"/>
  <c r="O155" i="18"/>
  <c r="P157" i="18"/>
  <c r="H182" i="18"/>
  <c r="I143" i="18"/>
  <c r="N182" i="18"/>
  <c r="B158" i="18"/>
  <c r="F156" i="18"/>
  <c r="P182" i="18"/>
  <c r="M168" i="18"/>
  <c r="O151" i="18"/>
  <c r="F159" i="18"/>
  <c r="F147" i="18"/>
  <c r="L162" i="18"/>
  <c r="O160" i="18"/>
  <c r="P168" i="18"/>
  <c r="N160" i="18"/>
  <c r="E176" i="18"/>
  <c r="H176" i="18"/>
  <c r="E149" i="18"/>
  <c r="B155" i="18"/>
  <c r="C169" i="18"/>
  <c r="J148" i="18"/>
  <c r="J168" i="18"/>
  <c r="K151" i="18"/>
  <c r="P151" i="18"/>
  <c r="J162" i="18"/>
  <c r="K155" i="18"/>
  <c r="K149" i="18"/>
  <c r="I172" i="18"/>
  <c r="C155" i="18"/>
  <c r="D172" i="18"/>
  <c r="M158" i="18"/>
  <c r="H155" i="18"/>
  <c r="L168" i="18"/>
  <c r="M162" i="18"/>
  <c r="P149" i="18"/>
  <c r="G147" i="18"/>
  <c r="E150" i="18"/>
  <c r="H159" i="18"/>
  <c r="BO842" i="28" l="1"/>
  <c r="AZ843" i="28"/>
  <c r="BH843" i="28"/>
  <c r="BF843" i="28"/>
  <c r="BM843" i="28"/>
  <c r="A844" i="28"/>
  <c r="BC843" i="28"/>
  <c r="BD843" i="28"/>
  <c r="AV843" i="28"/>
  <c r="AX843" i="28"/>
  <c r="BE843" i="28"/>
  <c r="BL843" i="28"/>
  <c r="AY843" i="28"/>
  <c r="BI843" i="28"/>
  <c r="BN843" i="28"/>
  <c r="AW843" i="28"/>
  <c r="BG843" i="28"/>
  <c r="BK843" i="28"/>
  <c r="BJ843" i="28"/>
  <c r="BB842" i="28"/>
  <c r="BP842" i="28"/>
  <c r="Y841" i="28"/>
  <c r="Q176" i="18"/>
  <c r="AA840" i="28"/>
  <c r="BA839" i="28"/>
  <c r="AP839" i="28"/>
  <c r="AT828" i="28"/>
  <c r="AU828" i="28" s="1"/>
  <c r="AT829" i="28"/>
  <c r="AU829" i="28" s="1"/>
  <c r="AT839" i="28"/>
  <c r="AU839" i="28" s="1"/>
  <c r="AT840" i="28"/>
  <c r="AT835" i="28"/>
  <c r="AU835" i="28" s="1"/>
  <c r="AT838" i="28"/>
  <c r="AU838" i="28" s="1"/>
  <c r="AT831" i="28"/>
  <c r="AU831" i="28" s="1"/>
  <c r="AT830" i="28"/>
  <c r="AU830" i="28" s="1"/>
  <c r="Y842" i="28" l="1"/>
  <c r="T163" i="18"/>
  <c r="BO843" i="28"/>
  <c r="BC844" i="28"/>
  <c r="AZ844" i="28"/>
  <c r="BI844" i="28"/>
  <c r="BE844" i="28"/>
  <c r="BL844" i="28"/>
  <c r="AX844" i="28"/>
  <c r="AY844" i="28"/>
  <c r="BH844" i="28"/>
  <c r="BJ844" i="28"/>
  <c r="AW844" i="28"/>
  <c r="BM844" i="28"/>
  <c r="BG844" i="28"/>
  <c r="AV844" i="28"/>
  <c r="BK844" i="28"/>
  <c r="BD844" i="28"/>
  <c r="BN844" i="28"/>
  <c r="BF844" i="28"/>
  <c r="BP843" i="28"/>
  <c r="BB843" i="28"/>
  <c r="AU840" i="28"/>
  <c r="O162" i="18"/>
  <c r="P163" i="18"/>
  <c r="O163" i="18"/>
  <c r="Z842" i="28"/>
  <c r="P162" i="18"/>
  <c r="BA840" i="28"/>
  <c r="AP840" i="28"/>
  <c r="M164" i="18"/>
  <c r="C164" i="18"/>
  <c r="D164" i="18"/>
  <c r="H164" i="18"/>
  <c r="F164" i="18"/>
  <c r="K164" i="18"/>
  <c r="E164" i="18"/>
  <c r="B164" i="18"/>
  <c r="J164" i="18"/>
  <c r="N164" i="18"/>
  <c r="L164" i="18"/>
  <c r="I164" i="18"/>
  <c r="G164" i="18"/>
  <c r="S176" i="18"/>
  <c r="AA841" i="28"/>
  <c r="T164" i="18" l="1"/>
  <c r="BP844" i="28"/>
  <c r="BB844" i="28"/>
  <c r="BO844" i="28"/>
  <c r="AA842" i="28"/>
  <c r="BA842" i="28" s="1"/>
  <c r="Q162" i="18"/>
  <c r="D198" i="18"/>
  <c r="H206" i="18"/>
  <c r="M206" i="18"/>
  <c r="B187" i="18"/>
  <c r="I205" i="18"/>
  <c r="F177" i="18"/>
  <c r="J180" i="18"/>
  <c r="M209" i="18"/>
  <c r="M179" i="18"/>
  <c r="G209" i="18"/>
  <c r="L200" i="18"/>
  <c r="M197" i="18"/>
  <c r="E202" i="18"/>
  <c r="Z843" i="28"/>
  <c r="H205" i="18"/>
  <c r="L178" i="18"/>
  <c r="P195" i="18"/>
  <c r="Y843" i="28"/>
  <c r="B205" i="18"/>
  <c r="D192" i="18"/>
  <c r="L211" i="18"/>
  <c r="J175" i="18"/>
  <c r="I179" i="18"/>
  <c r="E204" i="18"/>
  <c r="G199" i="18"/>
  <c r="P209" i="18"/>
  <c r="M205" i="18"/>
  <c r="C193" i="18"/>
  <c r="P203" i="18"/>
  <c r="H196" i="18"/>
  <c r="G198" i="18"/>
  <c r="K209" i="18"/>
  <c r="F204" i="18"/>
  <c r="H175" i="18"/>
  <c r="F203" i="18"/>
  <c r="O177" i="18"/>
  <c r="F174" i="18"/>
  <c r="D200" i="18"/>
  <c r="E178" i="18"/>
  <c r="E180" i="18"/>
  <c r="O179" i="18"/>
  <c r="M201" i="18"/>
  <c r="I212" i="18"/>
  <c r="G173" i="18"/>
  <c r="K196" i="18"/>
  <c r="G179" i="18"/>
  <c r="O201" i="18"/>
  <c r="O202" i="18"/>
  <c r="K173" i="18"/>
  <c r="C196" i="18"/>
  <c r="K180" i="18"/>
  <c r="G180" i="18"/>
  <c r="P202" i="18"/>
  <c r="F209" i="18"/>
  <c r="O186" i="18"/>
  <c r="D210" i="18"/>
  <c r="I197" i="18"/>
  <c r="L199" i="18"/>
  <c r="N209" i="18"/>
  <c r="H197" i="18"/>
  <c r="I193" i="18"/>
  <c r="M180" i="18"/>
  <c r="E175" i="18"/>
  <c r="E213" i="18"/>
  <c r="M208" i="18"/>
  <c r="O209" i="18"/>
  <c r="K195" i="18"/>
  <c r="L187" i="18"/>
  <c r="O203" i="18"/>
  <c r="F198" i="18"/>
  <c r="N202" i="18"/>
  <c r="B198" i="18"/>
  <c r="J208" i="18"/>
  <c r="J179" i="18"/>
  <c r="H195" i="18"/>
  <c r="J199" i="18"/>
  <c r="O199" i="18"/>
  <c r="E201" i="18"/>
  <c r="O207" i="18"/>
  <c r="P198" i="18"/>
  <c r="D173" i="18"/>
  <c r="L205" i="18"/>
  <c r="C187" i="18"/>
  <c r="C202" i="18"/>
  <c r="M192" i="18"/>
  <c r="O211" i="18"/>
  <c r="L206" i="18"/>
  <c r="P211" i="18"/>
  <c r="C206" i="18"/>
  <c r="D194" i="18"/>
  <c r="J195" i="18"/>
  <c r="K192" i="18"/>
  <c r="K212" i="18"/>
  <c r="O210" i="18"/>
  <c r="P175" i="18"/>
  <c r="B204" i="18"/>
  <c r="N197" i="18"/>
  <c r="N179" i="18"/>
  <c r="N208" i="18"/>
  <c r="N195" i="18"/>
  <c r="K203" i="18"/>
  <c r="H179" i="18"/>
  <c r="F173" i="18"/>
  <c r="K208" i="18"/>
  <c r="L213" i="18"/>
  <c r="C186" i="18"/>
  <c r="H174" i="18"/>
  <c r="G208" i="18"/>
  <c r="D206" i="18"/>
  <c r="G178" i="18"/>
  <c r="K197" i="18"/>
  <c r="L203" i="18"/>
  <c r="B194" i="18"/>
  <c r="B180" i="18"/>
  <c r="M177" i="18"/>
  <c r="F213" i="18"/>
  <c r="I195" i="18"/>
  <c r="C178" i="18"/>
  <c r="G206" i="18"/>
  <c r="N174" i="18"/>
  <c r="F200" i="18"/>
  <c r="L196" i="18"/>
  <c r="H177" i="18"/>
  <c r="L175" i="18"/>
  <c r="Q163" i="18"/>
  <c r="J187" i="18"/>
  <c r="P212" i="18"/>
  <c r="O205" i="18"/>
  <c r="J200" i="18"/>
  <c r="B203" i="18"/>
  <c r="G202" i="18"/>
  <c r="E197" i="18"/>
  <c r="B209" i="18"/>
  <c r="B212" i="18"/>
  <c r="G204" i="18"/>
  <c r="H186" i="18"/>
  <c r="C180" i="18"/>
  <c r="N173" i="18"/>
  <c r="B213" i="18"/>
  <c r="J202" i="18"/>
  <c r="I173" i="18"/>
  <c r="C203" i="18"/>
  <c r="F193" i="18"/>
  <c r="B197" i="18"/>
  <c r="O174" i="18"/>
  <c r="E206" i="18"/>
  <c r="L177" i="18"/>
  <c r="D197" i="18"/>
  <c r="G205" i="18"/>
  <c r="P173" i="18"/>
  <c r="L186" i="18"/>
  <c r="J201" i="18"/>
  <c r="E209" i="18"/>
  <c r="O204" i="18"/>
  <c r="E210" i="18"/>
  <c r="E198" i="18"/>
  <c r="P178" i="18"/>
  <c r="G195" i="18"/>
  <c r="L208" i="18"/>
  <c r="H208" i="18"/>
  <c r="O193" i="18"/>
  <c r="J196" i="18"/>
  <c r="B201" i="18"/>
  <c r="D175" i="18"/>
  <c r="C209" i="18"/>
  <c r="M194" i="18"/>
  <c r="C207" i="18"/>
  <c r="E205" i="18"/>
  <c r="J173" i="18"/>
  <c r="F196" i="18"/>
  <c r="G197" i="18"/>
  <c r="H187" i="18"/>
  <c r="L192" i="18"/>
  <c r="C212" i="18"/>
  <c r="H198" i="18"/>
  <c r="F194" i="18"/>
  <c r="N211" i="18"/>
  <c r="O187" i="18"/>
  <c r="L209" i="18"/>
  <c r="I177" i="18"/>
  <c r="K174" i="18"/>
  <c r="J177" i="18"/>
  <c r="O213" i="18"/>
  <c r="G210" i="18"/>
  <c r="L197" i="18"/>
  <c r="C198" i="18"/>
  <c r="J192" i="18"/>
  <c r="N201" i="18"/>
  <c r="D199" i="18"/>
  <c r="B193" i="18"/>
  <c r="D178" i="18"/>
  <c r="P205" i="18"/>
  <c r="E203" i="18"/>
  <c r="G193" i="18"/>
  <c r="M204" i="18"/>
  <c r="B206" i="18"/>
  <c r="F205" i="18"/>
  <c r="B186" i="18"/>
  <c r="P207" i="18"/>
  <c r="M212" i="18"/>
  <c r="I201" i="18"/>
  <c r="D177" i="18"/>
  <c r="J174" i="18"/>
  <c r="N177" i="18"/>
  <c r="D187" i="18"/>
  <c r="I211" i="18"/>
  <c r="B192" i="18"/>
  <c r="I204" i="18"/>
  <c r="B210" i="18"/>
  <c r="B211" i="18"/>
  <c r="E212" i="18"/>
  <c r="D213" i="18"/>
  <c r="C175" i="18"/>
  <c r="B177" i="18"/>
  <c r="I178" i="18"/>
  <c r="K187" i="18"/>
  <c r="I206" i="18"/>
  <c r="J209" i="18"/>
  <c r="P204" i="18"/>
  <c r="K202" i="18"/>
  <c r="M213" i="18"/>
  <c r="G201" i="18"/>
  <c r="B202" i="18"/>
  <c r="M175" i="18"/>
  <c r="M196" i="18"/>
  <c r="O175" i="18"/>
  <c r="P210" i="18"/>
  <c r="K204" i="18"/>
  <c r="D209" i="18"/>
  <c r="F186" i="18"/>
  <c r="G175" i="18"/>
  <c r="E186" i="18"/>
  <c r="I175" i="18"/>
  <c r="K186" i="18"/>
  <c r="H200" i="18"/>
  <c r="F178" i="18"/>
  <c r="F212" i="18"/>
  <c r="O192" i="18"/>
  <c r="G177" i="18"/>
  <c r="L204" i="18"/>
  <c r="P213" i="18"/>
  <c r="H212" i="18"/>
  <c r="N194" i="18"/>
  <c r="C208" i="18"/>
  <c r="K207" i="18"/>
  <c r="M203" i="18"/>
  <c r="L212" i="18"/>
  <c r="O197" i="18"/>
  <c r="K178" i="18"/>
  <c r="I198" i="18"/>
  <c r="J197" i="18"/>
  <c r="B178" i="18"/>
  <c r="G194" i="18"/>
  <c r="O194" i="18"/>
  <c r="C204" i="18"/>
  <c r="M186" i="18"/>
  <c r="E174" i="18"/>
  <c r="H193" i="18"/>
  <c r="I192" i="18"/>
  <c r="D186" i="18"/>
  <c r="E192" i="18"/>
  <c r="C201" i="18"/>
  <c r="N186" i="18"/>
  <c r="F187" i="18"/>
  <c r="I186" i="18"/>
  <c r="O198" i="18"/>
  <c r="E187" i="18"/>
  <c r="M202" i="18"/>
  <c r="J210" i="18"/>
  <c r="H192" i="18"/>
  <c r="J205" i="18"/>
  <c r="N210" i="18"/>
  <c r="D211" i="18"/>
  <c r="L194" i="18"/>
  <c r="L202" i="18"/>
  <c r="I208" i="18"/>
  <c r="F201" i="18"/>
  <c r="M173" i="18"/>
  <c r="K177" i="18"/>
  <c r="C210" i="18"/>
  <c r="M193" i="18"/>
  <c r="H211" i="18"/>
  <c r="D201" i="18"/>
  <c r="L179" i="18"/>
  <c r="E194" i="18"/>
  <c r="I209" i="18"/>
  <c r="N192" i="18"/>
  <c r="M195" i="18"/>
  <c r="B200" i="18"/>
  <c r="F206" i="18"/>
  <c r="J213" i="18"/>
  <c r="H210" i="18"/>
  <c r="J211" i="18"/>
  <c r="J198" i="18"/>
  <c r="N212" i="18"/>
  <c r="K205" i="18"/>
  <c r="B173" i="18"/>
  <c r="E173" i="18"/>
  <c r="J207" i="18"/>
  <c r="E196" i="18"/>
  <c r="I207" i="18"/>
  <c r="N213" i="18"/>
  <c r="B195" i="18"/>
  <c r="N204" i="18"/>
  <c r="N198" i="18"/>
  <c r="F207" i="18"/>
  <c r="J212" i="18"/>
  <c r="J206" i="18"/>
  <c r="N205" i="18"/>
  <c r="F208" i="18"/>
  <c r="K210" i="18"/>
  <c r="O180" i="18"/>
  <c r="P174" i="18"/>
  <c r="C179" i="18"/>
  <c r="G187" i="18"/>
  <c r="E179" i="18"/>
  <c r="N203" i="18"/>
  <c r="N187" i="18"/>
  <c r="F195" i="18"/>
  <c r="M174" i="18"/>
  <c r="N199" i="18"/>
  <c r="O208" i="18"/>
  <c r="C192" i="18"/>
  <c r="E195" i="18"/>
  <c r="D195" i="18"/>
  <c r="B208" i="18"/>
  <c r="I202" i="18"/>
  <c r="K179" i="18"/>
  <c r="O206" i="18"/>
  <c r="F175" i="18"/>
  <c r="M210" i="18"/>
  <c r="K200" i="18"/>
  <c r="D207" i="18"/>
  <c r="G211" i="18"/>
  <c r="I180" i="18"/>
  <c r="G213" i="18"/>
  <c r="I213" i="18"/>
  <c r="F199" i="18"/>
  <c r="M200" i="18"/>
  <c r="M199" i="18"/>
  <c r="P180" i="18"/>
  <c r="H207" i="18"/>
  <c r="J193" i="18"/>
  <c r="K211" i="18"/>
  <c r="N178" i="18"/>
  <c r="I203" i="18"/>
  <c r="P187" i="18"/>
  <c r="K199" i="18"/>
  <c r="K201" i="18"/>
  <c r="E177" i="18"/>
  <c r="F211" i="18"/>
  <c r="F180" i="18"/>
  <c r="H203" i="18"/>
  <c r="C199" i="18"/>
  <c r="M211" i="18"/>
  <c r="C195" i="18"/>
  <c r="I210" i="18"/>
  <c r="B174" i="18"/>
  <c r="H199" i="18"/>
  <c r="E208" i="18"/>
  <c r="H178" i="18"/>
  <c r="G196" i="18"/>
  <c r="K198" i="18"/>
  <c r="E199" i="18"/>
  <c r="P200" i="18"/>
  <c r="L195" i="18"/>
  <c r="N175" i="18"/>
  <c r="I194" i="18"/>
  <c r="B199" i="18"/>
  <c r="G174" i="18"/>
  <c r="O196" i="18"/>
  <c r="D202" i="18"/>
  <c r="C197" i="18"/>
  <c r="C194" i="18"/>
  <c r="H180" i="18"/>
  <c r="G192" i="18"/>
  <c r="I200" i="18"/>
  <c r="BA841" i="28"/>
  <c r="AP841" i="28"/>
  <c r="O173" i="18"/>
  <c r="E211" i="18"/>
  <c r="C213" i="18"/>
  <c r="F202" i="18"/>
  <c r="B179" i="18"/>
  <c r="D174" i="18"/>
  <c r="C200" i="18"/>
  <c r="K193" i="18"/>
  <c r="I196" i="18"/>
  <c r="K206" i="18"/>
  <c r="N180" i="18"/>
  <c r="B196" i="18"/>
  <c r="D204" i="18"/>
  <c r="F197" i="18"/>
  <c r="M207" i="18"/>
  <c r="I187" i="18"/>
  <c r="P193" i="18"/>
  <c r="G186" i="18"/>
  <c r="M187" i="18"/>
  <c r="G203" i="18"/>
  <c r="N206" i="18"/>
  <c r="P201" i="18"/>
  <c r="O200" i="18"/>
  <c r="P199" i="18"/>
  <c r="L174" i="18"/>
  <c r="L173" i="18"/>
  <c r="AT841" i="28"/>
  <c r="AU841" i="28" s="1"/>
  <c r="D203" i="18"/>
  <c r="H194" i="18"/>
  <c r="L180" i="18"/>
  <c r="C177" i="18"/>
  <c r="J178" i="18"/>
  <c r="H213" i="18"/>
  <c r="G200" i="18"/>
  <c r="P197" i="18"/>
  <c r="L198" i="18"/>
  <c r="L193" i="18"/>
  <c r="J194" i="18"/>
  <c r="G212" i="18"/>
  <c r="D180" i="18"/>
  <c r="N193" i="18"/>
  <c r="J186" i="18"/>
  <c r="D212" i="18"/>
  <c r="F210" i="18"/>
  <c r="P177" i="18"/>
  <c r="N207" i="18"/>
  <c r="H201" i="18"/>
  <c r="G207" i="18"/>
  <c r="P179" i="18"/>
  <c r="D196" i="18"/>
  <c r="P196" i="18"/>
  <c r="L201" i="18"/>
  <c r="B175" i="18"/>
  <c r="D205" i="18"/>
  <c r="P206" i="18"/>
  <c r="C205" i="18"/>
  <c r="O212" i="18"/>
  <c r="B207" i="18"/>
  <c r="D179" i="18"/>
  <c r="K213" i="18"/>
  <c r="L210" i="18"/>
  <c r="I174" i="18"/>
  <c r="P186" i="18"/>
  <c r="E193" i="18"/>
  <c r="H173" i="18"/>
  <c r="K194" i="18"/>
  <c r="O195" i="18"/>
  <c r="C173" i="18"/>
  <c r="F179" i="18"/>
  <c r="J203" i="18"/>
  <c r="H204" i="18"/>
  <c r="N200" i="18"/>
  <c r="N196" i="18"/>
  <c r="D208" i="18"/>
  <c r="C211" i="18"/>
  <c r="P208" i="18"/>
  <c r="M178" i="18"/>
  <c r="L207" i="18"/>
  <c r="J204" i="18"/>
  <c r="I199" i="18"/>
  <c r="E200" i="18"/>
  <c r="H209" i="18"/>
  <c r="H202" i="18"/>
  <c r="M198" i="18"/>
  <c r="P194" i="18"/>
  <c r="P192" i="18"/>
  <c r="C174" i="18"/>
  <c r="E207" i="18"/>
  <c r="K175" i="18"/>
  <c r="F192" i="18"/>
  <c r="O178" i="18"/>
  <c r="V138" i="14"/>
  <c r="J157" i="14"/>
  <c r="H12" i="26"/>
  <c r="U193" i="14"/>
  <c r="P153" i="14"/>
  <c r="P156" i="14"/>
  <c r="B7" i="26"/>
  <c r="J228" i="14"/>
  <c r="AA213" i="14"/>
  <c r="M13" i="26"/>
  <c r="U156" i="14"/>
  <c r="J201" i="14"/>
  <c r="O154" i="14"/>
  <c r="P195" i="14"/>
  <c r="M193" i="14"/>
  <c r="Q202" i="14"/>
  <c r="E7" i="26"/>
  <c r="G175" i="14"/>
  <c r="B149" i="14"/>
  <c r="BH149" i="14" s="1"/>
  <c r="M198" i="14"/>
  <c r="H148" i="14"/>
  <c r="V175" i="14"/>
  <c r="F170" i="14"/>
  <c r="E156" i="14"/>
  <c r="BI156" i="14" s="1"/>
  <c r="L173" i="14"/>
  <c r="B12" i="26"/>
  <c r="K171" i="14"/>
  <c r="L151" i="14"/>
  <c r="J11" i="26"/>
  <c r="H4" i="26"/>
  <c r="U8" i="26"/>
  <c r="S195" i="14"/>
  <c r="M20" i="26"/>
  <c r="K151" i="14"/>
  <c r="M197" i="14"/>
  <c r="G157" i="14"/>
  <c r="S193" i="14"/>
  <c r="Y9" i="26"/>
  <c r="M200" i="14"/>
  <c r="N151" i="14"/>
  <c r="X195" i="14"/>
  <c r="N155" i="14"/>
  <c r="Q16" i="26"/>
  <c r="N152" i="14"/>
  <c r="K14" i="26"/>
  <c r="B19" i="26"/>
  <c r="U195" i="14"/>
  <c r="O18" i="26"/>
  <c r="H213" i="14"/>
  <c r="J147" i="14"/>
  <c r="E9" i="26"/>
  <c r="F197" i="14"/>
  <c r="L20" i="26"/>
  <c r="X22" i="26"/>
  <c r="V201" i="14"/>
  <c r="N209" i="14"/>
  <c r="M175" i="14"/>
  <c r="Y13" i="26"/>
  <c r="P199" i="14"/>
  <c r="F149" i="14"/>
  <c r="M194" i="14"/>
  <c r="T213" i="14"/>
  <c r="F175" i="14"/>
  <c r="N169" i="14"/>
  <c r="S169" i="14"/>
  <c r="O12" i="26"/>
  <c r="V197" i="14"/>
  <c r="J153" i="14"/>
  <c r="L18" i="26"/>
  <c r="H5" i="26"/>
  <c r="O193" i="14"/>
  <c r="S168" i="14"/>
  <c r="I173" i="14"/>
  <c r="O7" i="26"/>
  <c r="K4" i="26"/>
  <c r="F213" i="14"/>
  <c r="K3" i="26"/>
  <c r="V152" i="14"/>
  <c r="K7" i="26"/>
  <c r="U149" i="14"/>
  <c r="S11" i="26"/>
  <c r="J171" i="14"/>
  <c r="N170" i="14"/>
  <c r="G17" i="26"/>
  <c r="K16" i="26"/>
  <c r="E173" i="14"/>
  <c r="BI173" i="14" s="1"/>
  <c r="L14" i="26"/>
  <c r="P171" i="14"/>
  <c r="N201" i="14"/>
  <c r="E149" i="14"/>
  <c r="BI149" i="14" s="1"/>
  <c r="C171" i="14"/>
  <c r="R197" i="14"/>
  <c r="O173" i="14"/>
  <c r="L154" i="14"/>
  <c r="J196" i="14"/>
  <c r="Q157" i="14"/>
  <c r="B18" i="26"/>
  <c r="V4" i="26"/>
  <c r="Q169" i="14"/>
  <c r="U196" i="14"/>
  <c r="Q195" i="14"/>
  <c r="F148" i="14"/>
  <c r="H195" i="14"/>
  <c r="U213" i="14"/>
  <c r="U173" i="14"/>
  <c r="H152" i="14"/>
  <c r="H149" i="14"/>
  <c r="O201" i="14"/>
  <c r="Q152" i="14"/>
  <c r="AG228" i="14"/>
  <c r="H16" i="26"/>
  <c r="U18" i="26"/>
  <c r="C217" i="14"/>
  <c r="X151" i="14"/>
  <c r="V157" i="14"/>
  <c r="O3" i="26"/>
  <c r="E170" i="14"/>
  <c r="BI170" i="14" s="1"/>
  <c r="O11" i="26"/>
  <c r="S147" i="14"/>
  <c r="K153" i="14"/>
  <c r="S213" i="14"/>
  <c r="F195" i="14"/>
  <c r="B153" i="14"/>
  <c r="BH153" i="14" s="1"/>
  <c r="P228" i="14"/>
  <c r="W16" i="26"/>
  <c r="Y14" i="26"/>
  <c r="F209" i="14"/>
  <c r="D10" i="26"/>
  <c r="M9" i="26"/>
  <c r="H17" i="26"/>
  <c r="S151" i="14"/>
  <c r="K173" i="14"/>
  <c r="H199" i="14"/>
  <c r="G9" i="26"/>
  <c r="G18" i="26"/>
  <c r="J199" i="14"/>
  <c r="N14" i="26"/>
  <c r="E10" i="26"/>
  <c r="Q9" i="26"/>
  <c r="Q10" i="26"/>
  <c r="B228" i="14"/>
  <c r="BH228" i="14" s="1"/>
  <c r="L11" i="26"/>
  <c r="C154" i="14"/>
  <c r="I217" i="14"/>
  <c r="M7" i="26"/>
  <c r="T200" i="14"/>
  <c r="U11" i="26"/>
  <c r="Y17" i="26"/>
  <c r="T173" i="14"/>
  <c r="Y8" i="26"/>
  <c r="V12" i="26"/>
  <c r="R19" i="26"/>
  <c r="J20" i="26"/>
  <c r="H157" i="14"/>
  <c r="R202" i="14"/>
  <c r="J148" i="14"/>
  <c r="Q170" i="14"/>
  <c r="H21" i="26"/>
  <c r="T16" i="26"/>
  <c r="H217" i="14"/>
  <c r="D22" i="26"/>
  <c r="M173" i="14"/>
  <c r="E150" i="14"/>
  <c r="BI150" i="14" s="1"/>
  <c r="P9" i="26"/>
  <c r="G155" i="14"/>
  <c r="M4" i="26"/>
  <c r="W15" i="26"/>
  <c r="C213" i="14"/>
  <c r="X15" i="26"/>
  <c r="N196" i="14"/>
  <c r="S194" i="14"/>
  <c r="B200" i="14"/>
  <c r="BH200" i="14" s="1"/>
  <c r="V7" i="26"/>
  <c r="M201" i="14"/>
  <c r="Q12" i="26"/>
  <c r="P147" i="14"/>
  <c r="Z5" i="26"/>
  <c r="H155" i="14"/>
  <c r="M151" i="14"/>
  <c r="Q172" i="14"/>
  <c r="S8" i="26"/>
  <c r="V155" i="14"/>
  <c r="Y217" i="14"/>
  <c r="AF217" i="14" s="1"/>
  <c r="U21" i="26"/>
  <c r="Z3" i="26"/>
  <c r="Q168" i="14"/>
  <c r="W7" i="26"/>
  <c r="K12" i="26"/>
  <c r="B157" i="14"/>
  <c r="BH157" i="14" s="1"/>
  <c r="N157" i="14"/>
  <c r="F173" i="14"/>
  <c r="X170" i="14"/>
  <c r="B217" i="14"/>
  <c r="BH217" i="14" s="1"/>
  <c r="N17" i="26"/>
  <c r="B22" i="26"/>
  <c r="C150" i="14"/>
  <c r="G151" i="14"/>
  <c r="J150" i="14"/>
  <c r="U3" i="26"/>
  <c r="J209" i="14"/>
  <c r="Q15" i="26"/>
  <c r="U155" i="14"/>
  <c r="V14" i="26"/>
  <c r="D149" i="14"/>
  <c r="C3" i="26"/>
  <c r="B201" i="14"/>
  <c r="BH201" i="14" s="1"/>
  <c r="G194" i="14"/>
  <c r="O13" i="26"/>
  <c r="E175" i="14"/>
  <c r="BI175" i="14" s="1"/>
  <c r="U194" i="14"/>
  <c r="I213" i="14"/>
  <c r="F10" i="26"/>
  <c r="Q153" i="14"/>
  <c r="F228" i="14"/>
  <c r="L16" i="26"/>
  <c r="T7" i="26"/>
  <c r="O194" i="14"/>
  <c r="T14" i="26"/>
  <c r="F22" i="26"/>
  <c r="U4" i="26"/>
  <c r="V149" i="14"/>
  <c r="V6" i="26"/>
  <c r="D194" i="14"/>
  <c r="Y16" i="26"/>
  <c r="T21" i="26"/>
  <c r="M16" i="26"/>
  <c r="K155" i="14"/>
  <c r="Z4" i="26"/>
  <c r="L196" i="14"/>
  <c r="O14" i="26"/>
  <c r="E209" i="14"/>
  <c r="BI209" i="14" s="1"/>
  <c r="R201" i="14"/>
  <c r="U19" i="26"/>
  <c r="X152" i="14"/>
  <c r="M10" i="26"/>
  <c r="N4" i="26"/>
  <c r="J7" i="26"/>
  <c r="L6" i="26"/>
  <c r="C7" i="26"/>
  <c r="J170" i="14"/>
  <c r="J17" i="26"/>
  <c r="R9" i="26"/>
  <c r="B202" i="14"/>
  <c r="BH202" i="14" s="1"/>
  <c r="P154" i="14"/>
  <c r="K213" i="14"/>
  <c r="B194" i="14"/>
  <c r="BH194" i="14" s="1"/>
  <c r="I15" i="26"/>
  <c r="D168" i="14"/>
  <c r="I193" i="14"/>
  <c r="K170" i="14"/>
  <c r="V20" i="26"/>
  <c r="J156" i="14"/>
  <c r="AA209" i="14"/>
  <c r="C228" i="14"/>
  <c r="X213" i="14"/>
  <c r="N171" i="14"/>
  <c r="H193" i="14"/>
  <c r="Q5" i="26"/>
  <c r="X209" i="14"/>
  <c r="J200" i="14"/>
  <c r="I18" i="26"/>
  <c r="D170" i="14"/>
  <c r="T152" i="14"/>
  <c r="J22" i="26"/>
  <c r="R22" i="26"/>
  <c r="X149" i="14"/>
  <c r="R15" i="26"/>
  <c r="I9" i="26"/>
  <c r="F15" i="26"/>
  <c r="J15" i="26"/>
  <c r="L193" i="14"/>
  <c r="V19" i="26"/>
  <c r="U10" i="26"/>
  <c r="S155" i="14"/>
  <c r="P14" i="26"/>
  <c r="D201" i="14"/>
  <c r="G147" i="14"/>
  <c r="E228" i="14"/>
  <c r="BI228" i="14" s="1"/>
  <c r="G154" i="14"/>
  <c r="C202" i="14"/>
  <c r="U209" i="14"/>
  <c r="Q19" i="26"/>
  <c r="M202" i="14"/>
  <c r="E17" i="26"/>
  <c r="Q150" i="14"/>
  <c r="G153" i="14"/>
  <c r="L156" i="14"/>
  <c r="C197" i="14"/>
  <c r="L169" i="14"/>
  <c r="S149" i="14"/>
  <c r="P197" i="14"/>
  <c r="O155" i="14"/>
  <c r="S6" i="26"/>
  <c r="H194" i="14"/>
  <c r="X10" i="26"/>
  <c r="I200" i="14"/>
  <c r="S202" i="14"/>
  <c r="N3" i="26"/>
  <c r="C153" i="14"/>
  <c r="V194" i="14"/>
  <c r="D12" i="26"/>
  <c r="Q228" i="14"/>
  <c r="S154" i="14"/>
  <c r="C193" i="14"/>
  <c r="O16" i="26"/>
  <c r="I149" i="14"/>
  <c r="H6" i="26"/>
  <c r="H170" i="14"/>
  <c r="N8" i="26"/>
  <c r="H196" i="14"/>
  <c r="R209" i="14"/>
  <c r="D16" i="26"/>
  <c r="T168" i="14"/>
  <c r="B147" i="14"/>
  <c r="BH147" i="14" s="1"/>
  <c r="C19" i="26"/>
  <c r="Q151" i="14"/>
  <c r="H175" i="14"/>
  <c r="H11" i="26"/>
  <c r="R4" i="26"/>
  <c r="R5" i="26"/>
  <c r="L217" i="14"/>
  <c r="L7" i="26"/>
  <c r="N19" i="26"/>
  <c r="Y19" i="26"/>
  <c r="C12" i="26"/>
  <c r="E199" i="14"/>
  <c r="BI199" i="14" s="1"/>
  <c r="F196" i="14"/>
  <c r="K149" i="14"/>
  <c r="J168" i="14"/>
  <c r="M228" i="14"/>
  <c r="C6" i="26"/>
  <c r="Q198" i="14"/>
  <c r="P196" i="14"/>
  <c r="N198" i="14"/>
  <c r="E20" i="26"/>
  <c r="E200" i="14"/>
  <c r="BI200" i="14" s="1"/>
  <c r="C151" i="14"/>
  <c r="I169" i="14"/>
  <c r="V202" i="14"/>
  <c r="J149" i="14"/>
  <c r="C149" i="14"/>
  <c r="N200" i="14"/>
  <c r="L22" i="26"/>
  <c r="U154" i="14"/>
  <c r="R157" i="14"/>
  <c r="Q200" i="14"/>
  <c r="F11" i="26"/>
  <c r="Y4" i="26"/>
  <c r="B3" i="26"/>
  <c r="E18" i="26"/>
  <c r="J195" i="14"/>
  <c r="C201" i="14"/>
  <c r="D3" i="26"/>
  <c r="X13" i="26"/>
  <c r="T22" i="26"/>
  <c r="S20" i="26"/>
  <c r="S3" i="26"/>
  <c r="F16" i="26"/>
  <c r="N11" i="26"/>
  <c r="P151" i="14"/>
  <c r="G170" i="14"/>
  <c r="R171" i="14"/>
  <c r="R16" i="26"/>
  <c r="J21" i="26"/>
  <c r="N153" i="14"/>
  <c r="H201" i="14"/>
  <c r="H15" i="26"/>
  <c r="Y209" i="14"/>
  <c r="AF209" i="14" s="1"/>
  <c r="Q201" i="14"/>
  <c r="D4" i="26"/>
  <c r="N193" i="14"/>
  <c r="N147" i="14"/>
  <c r="S172" i="14"/>
  <c r="S152" i="14"/>
  <c r="G172" i="14"/>
  <c r="B195" i="14"/>
  <c r="BH195" i="14" s="1"/>
  <c r="L168" i="14"/>
  <c r="P22" i="26"/>
  <c r="R169" i="14"/>
  <c r="Q20" i="26"/>
  <c r="X18" i="26"/>
  <c r="V9" i="26"/>
  <c r="B13" i="26"/>
  <c r="K201" i="14"/>
  <c r="M3" i="26"/>
  <c r="O199" i="14"/>
  <c r="F200" i="14"/>
  <c r="L19" i="26"/>
  <c r="B150" i="14"/>
  <c r="BH150" i="14" s="1"/>
  <c r="V11" i="26"/>
  <c r="C195" i="14"/>
  <c r="I13" i="26"/>
  <c r="O20" i="26"/>
  <c r="N199" i="14"/>
  <c r="J155" i="14"/>
  <c r="O157" i="14"/>
  <c r="Q148" i="14"/>
  <c r="Y11" i="26"/>
  <c r="G10" i="26"/>
  <c r="F198" i="14"/>
  <c r="X155" i="14"/>
  <c r="I8" i="26"/>
  <c r="Q4" i="26"/>
  <c r="O149" i="14"/>
  <c r="K197" i="14"/>
  <c r="X200" i="14"/>
  <c r="U217" i="14"/>
  <c r="P6" i="26"/>
  <c r="B16" i="26"/>
  <c r="V5" i="26"/>
  <c r="J10" i="26"/>
  <c r="J151" i="14"/>
  <c r="P20" i="26"/>
  <c r="G11" i="26"/>
  <c r="Y21" i="26"/>
  <c r="N6" i="26"/>
  <c r="Z10" i="26"/>
  <c r="H7" i="26"/>
  <c r="R17" i="26"/>
  <c r="P194" i="14"/>
  <c r="Q147" i="14"/>
  <c r="C168" i="14"/>
  <c r="Q193" i="14"/>
  <c r="U152" i="14"/>
  <c r="W13" i="26"/>
  <c r="V213" i="14"/>
  <c r="G6" i="26"/>
  <c r="I17" i="26"/>
  <c r="I168" i="14"/>
  <c r="O213" i="14"/>
  <c r="C155" i="14"/>
  <c r="F202" i="14"/>
  <c r="D172" i="14"/>
  <c r="R200" i="14"/>
  <c r="Z21" i="26"/>
  <c r="V10" i="26"/>
  <c r="I157" i="14"/>
  <c r="R151" i="14"/>
  <c r="O209" i="14"/>
  <c r="O9" i="26"/>
  <c r="S198" i="14"/>
  <c r="AA217" i="14"/>
  <c r="O195" i="14"/>
  <c r="X19" i="26"/>
  <c r="D195" i="14"/>
  <c r="G156" i="14"/>
  <c r="H18" i="26"/>
  <c r="D193" i="14"/>
  <c r="Z7" i="26"/>
  <c r="V154" i="14"/>
  <c r="G149" i="14"/>
  <c r="T196" i="14"/>
  <c r="F171" i="14"/>
  <c r="Q196" i="14"/>
  <c r="E169" i="14"/>
  <c r="BI169" i="14" s="1"/>
  <c r="T209" i="14"/>
  <c r="N150" i="14"/>
  <c r="K199" i="14"/>
  <c r="R198" i="14"/>
  <c r="K11" i="26"/>
  <c r="Q173" i="14"/>
  <c r="N21" i="26"/>
  <c r="P5" i="26"/>
  <c r="X228" i="14"/>
  <c r="L147" i="14"/>
  <c r="T6" i="26"/>
  <c r="M153" i="14"/>
  <c r="L172" i="14"/>
  <c r="H150" i="14"/>
  <c r="F12" i="26"/>
  <c r="B14" i="26"/>
  <c r="P10" i="26"/>
  <c r="V172" i="14"/>
  <c r="G193" i="14"/>
  <c r="B15" i="26"/>
  <c r="G173" i="14"/>
  <c r="L198" i="14"/>
  <c r="D213" i="14"/>
  <c r="I194" i="14"/>
  <c r="V168" i="14"/>
  <c r="T197" i="14"/>
  <c r="X202" i="14"/>
  <c r="C5" i="26"/>
  <c r="K21" i="26"/>
  <c r="W6" i="26"/>
  <c r="G228" i="14"/>
  <c r="V193" i="14"/>
  <c r="D171" i="14"/>
  <c r="M154" i="14"/>
  <c r="F155" i="14"/>
  <c r="L17" i="26"/>
  <c r="B172" i="14"/>
  <c r="BH172" i="14" s="1"/>
  <c r="Y3" i="26"/>
  <c r="T156" i="14"/>
  <c r="J9" i="26"/>
  <c r="C11" i="26"/>
  <c r="E194" i="14"/>
  <c r="BI194" i="14" s="1"/>
  <c r="I11" i="26"/>
  <c r="Q7" i="26"/>
  <c r="R149" i="14"/>
  <c r="Q154" i="14"/>
  <c r="Z14" i="26"/>
  <c r="D13" i="26"/>
  <c r="C199" i="14"/>
  <c r="N18" i="26"/>
  <c r="D169" i="14"/>
  <c r="S10" i="26"/>
  <c r="X156" i="14"/>
  <c r="E3" i="26"/>
  <c r="D175" i="14"/>
  <c r="E5" i="26"/>
  <c r="E13" i="26"/>
  <c r="L195" i="14"/>
  <c r="G213" i="14"/>
  <c r="D155" i="14"/>
  <c r="E195" i="14"/>
  <c r="BI195" i="14" s="1"/>
  <c r="R170" i="14"/>
  <c r="O168" i="14"/>
  <c r="S228" i="14"/>
  <c r="C156" i="14"/>
  <c r="R20" i="26"/>
  <c r="W19" i="26"/>
  <c r="L13" i="26"/>
  <c r="B209" i="14"/>
  <c r="BH209" i="14" s="1"/>
  <c r="E202" i="14"/>
  <c r="BI202" i="14" s="1"/>
  <c r="O171" i="14"/>
  <c r="E151" i="14"/>
  <c r="BI151" i="14" s="1"/>
  <c r="L209" i="14"/>
  <c r="Y12" i="26"/>
  <c r="W17" i="26"/>
  <c r="G3" i="26"/>
  <c r="P16" i="26"/>
  <c r="U148" i="14"/>
  <c r="M11" i="26"/>
  <c r="H147" i="14"/>
  <c r="J213" i="14"/>
  <c r="E153" i="14"/>
  <c r="BI153" i="14" s="1"/>
  <c r="B4" i="26"/>
  <c r="C17" i="26"/>
  <c r="V200" i="14"/>
  <c r="G152" i="14"/>
  <c r="E172" i="14"/>
  <c r="BI172" i="14" s="1"/>
  <c r="K9" i="26"/>
  <c r="T17" i="26"/>
  <c r="R194" i="14"/>
  <c r="J6" i="26"/>
  <c r="D20" i="26"/>
  <c r="R173" i="14"/>
  <c r="T201" i="14"/>
  <c r="V148" i="14"/>
  <c r="D151" i="14"/>
  <c r="M8" i="26"/>
  <c r="R155" i="14"/>
  <c r="J175" i="14"/>
  <c r="I10" i="26"/>
  <c r="X168" i="14"/>
  <c r="E15" i="26"/>
  <c r="S201" i="14"/>
  <c r="N156" i="14"/>
  <c r="L10" i="26"/>
  <c r="W5" i="26"/>
  <c r="K147" i="14"/>
  <c r="N173" i="14"/>
  <c r="M148" i="14"/>
  <c r="U12" i="26"/>
  <c r="Q199" i="14"/>
  <c r="K154" i="14"/>
  <c r="E152" i="14"/>
  <c r="BI152" i="14" s="1"/>
  <c r="K202" i="14"/>
  <c r="D150" i="14"/>
  <c r="T198" i="14"/>
  <c r="V170" i="14"/>
  <c r="L4" i="26"/>
  <c r="N16" i="26"/>
  <c r="P152" i="14"/>
  <c r="I6" i="26"/>
  <c r="K17" i="26"/>
  <c r="E6" i="26"/>
  <c r="X175" i="14"/>
  <c r="F13" i="26"/>
  <c r="E193" i="14"/>
  <c r="BI193" i="14" s="1"/>
  <c r="J16" i="26"/>
  <c r="J13" i="26"/>
  <c r="O22" i="26"/>
  <c r="K169" i="14"/>
  <c r="V15" i="26"/>
  <c r="G148" i="14"/>
  <c r="P8" i="26"/>
  <c r="U170" i="14"/>
  <c r="E155" i="14"/>
  <c r="BI155" i="14" s="1"/>
  <c r="Q11" i="26"/>
  <c r="Q13" i="26"/>
  <c r="C175" i="14"/>
  <c r="I209" i="14"/>
  <c r="I4" i="26"/>
  <c r="Z12" i="26"/>
  <c r="Q8" i="26"/>
  <c r="V151" i="14"/>
  <c r="M196" i="14"/>
  <c r="M157" i="14"/>
  <c r="E14" i="26"/>
  <c r="I195" i="14"/>
  <c r="Q171" i="14"/>
  <c r="U15" i="26"/>
  <c r="B11" i="26"/>
  <c r="T15" i="26"/>
  <c r="P170" i="14"/>
  <c r="P168" i="14"/>
  <c r="X17" i="26"/>
  <c r="X169" i="14"/>
  <c r="T13" i="26"/>
  <c r="P15" i="26"/>
  <c r="P157" i="14"/>
  <c r="R150" i="14"/>
  <c r="I201" i="14"/>
  <c r="O197" i="14"/>
  <c r="O217" i="14"/>
  <c r="D7" i="26"/>
  <c r="S173" i="14"/>
  <c r="X11" i="26"/>
  <c r="G7" i="26"/>
  <c r="O19" i="26"/>
  <c r="X12" i="26"/>
  <c r="P202" i="14"/>
  <c r="S14" i="26"/>
  <c r="T11" i="26"/>
  <c r="L153" i="14"/>
  <c r="U169" i="14"/>
  <c r="Z213" i="14"/>
  <c r="AG213" i="14" s="1"/>
  <c r="F20" i="26"/>
  <c r="Q6" i="26"/>
  <c r="X193" i="14"/>
  <c r="E11" i="26"/>
  <c r="K209" i="14"/>
  <c r="K13" i="26"/>
  <c r="G16" i="26"/>
  <c r="Y20" i="26"/>
  <c r="T172" i="14"/>
  <c r="X21" i="26"/>
  <c r="W8" i="26"/>
  <c r="V209" i="14"/>
  <c r="S9" i="26"/>
  <c r="O151" i="14"/>
  <c r="C13" i="26"/>
  <c r="B8" i="26"/>
  <c r="M169" i="14"/>
  <c r="H209" i="14"/>
  <c r="S19" i="26"/>
  <c r="S4" i="26"/>
  <c r="K6" i="26"/>
  <c r="M5" i="26"/>
  <c r="U168" i="14"/>
  <c r="L171" i="14"/>
  <c r="K217" i="14"/>
  <c r="T153" i="14"/>
  <c r="G13" i="26"/>
  <c r="O8" i="26"/>
  <c r="E198" i="14"/>
  <c r="BI198" i="14" s="1"/>
  <c r="Z8" i="26"/>
  <c r="D153" i="14"/>
  <c r="I172" i="14"/>
  <c r="F7" i="26"/>
  <c r="E213" i="14"/>
  <c r="BI213" i="14" s="1"/>
  <c r="B5" i="26"/>
  <c r="J173" i="14"/>
  <c r="N175" i="14"/>
  <c r="D6" i="26"/>
  <c r="Z22" i="26"/>
  <c r="H172" i="14"/>
  <c r="B193" i="14"/>
  <c r="BH193" i="14" s="1"/>
  <c r="S7" i="26"/>
  <c r="Y5" i="26"/>
  <c r="O4" i="26"/>
  <c r="U22" i="26"/>
  <c r="I16" i="26"/>
  <c r="K10" i="26"/>
  <c r="H9" i="26"/>
  <c r="V18" i="26"/>
  <c r="N154" i="14"/>
  <c r="T151" i="14"/>
  <c r="N9" i="26"/>
  <c r="P4" i="26"/>
  <c r="Q149" i="14"/>
  <c r="T8" i="26"/>
  <c r="V199" i="14"/>
  <c r="I153" i="14"/>
  <c r="Q18" i="26"/>
  <c r="F156" i="14"/>
  <c r="L152" i="14"/>
  <c r="U202" i="14"/>
  <c r="M209" i="14"/>
  <c r="N202" i="14"/>
  <c r="V196" i="14"/>
  <c r="I12" i="26"/>
  <c r="I152" i="14"/>
  <c r="J4" i="26"/>
  <c r="B154" i="14"/>
  <c r="BH154" i="14" s="1"/>
  <c r="T193" i="14"/>
  <c r="E22" i="26"/>
  <c r="F17" i="26"/>
  <c r="P169" i="14"/>
  <c r="M199" i="14"/>
  <c r="L197" i="14"/>
  <c r="V195" i="14"/>
  <c r="O148" i="14"/>
  <c r="F168" i="14"/>
  <c r="U150" i="14"/>
  <c r="I197" i="14"/>
  <c r="F154" i="14"/>
  <c r="B6" i="26"/>
  <c r="O17" i="26"/>
  <c r="L201" i="14"/>
  <c r="D11" i="26"/>
  <c r="K200" i="14"/>
  <c r="W22" i="26"/>
  <c r="T19" i="26"/>
  <c r="F3" i="26"/>
  <c r="D157" i="14"/>
  <c r="M170" i="14"/>
  <c r="D200" i="14"/>
  <c r="N10" i="26"/>
  <c r="C147" i="14"/>
  <c r="U151" i="14"/>
  <c r="X16" i="26"/>
  <c r="F169" i="14"/>
  <c r="I154" i="14"/>
  <c r="V150" i="14"/>
  <c r="L21" i="26"/>
  <c r="U13" i="26"/>
  <c r="E157" i="14"/>
  <c r="BI157" i="14" s="1"/>
  <c r="J154" i="14"/>
  <c r="K15" i="26"/>
  <c r="G195" i="14"/>
  <c r="X196" i="14"/>
  <c r="X5" i="26"/>
  <c r="F172" i="14"/>
  <c r="P150" i="14"/>
  <c r="P209" i="14"/>
  <c r="V171" i="14"/>
  <c r="Q14" i="26"/>
  <c r="L170" i="14"/>
  <c r="T149" i="14"/>
  <c r="F152" i="14"/>
  <c r="L8" i="26"/>
  <c r="R11" i="26"/>
  <c r="X171" i="14"/>
  <c r="M147" i="14"/>
  <c r="K20" i="26"/>
  <c r="F19" i="26"/>
  <c r="H3" i="26"/>
  <c r="G8" i="26"/>
  <c r="Q217" i="14"/>
  <c r="Z16" i="26"/>
  <c r="G201" i="14"/>
  <c r="M14" i="26"/>
  <c r="M195" i="14"/>
  <c r="K194" i="14"/>
  <c r="U6" i="26"/>
  <c r="R148" i="14"/>
  <c r="X8" i="26"/>
  <c r="R10" i="26"/>
  <c r="O175" i="14"/>
  <c r="K175" i="14"/>
  <c r="P21" i="26"/>
  <c r="E148" i="14"/>
  <c r="BI148" i="14" s="1"/>
  <c r="L3" i="26"/>
  <c r="D5" i="26"/>
  <c r="G169" i="14"/>
  <c r="T9" i="26"/>
  <c r="B197" i="14"/>
  <c r="BH197" i="14" s="1"/>
  <c r="J3" i="26"/>
  <c r="S199" i="14"/>
  <c r="H13" i="26"/>
  <c r="F18" i="26"/>
  <c r="T155" i="14"/>
  <c r="G199" i="14"/>
  <c r="L9" i="26"/>
  <c r="M168" i="14"/>
  <c r="R195" i="14"/>
  <c r="P11" i="26"/>
  <c r="T175" i="14"/>
  <c r="M149" i="14"/>
  <c r="N22" i="26"/>
  <c r="H169" i="14"/>
  <c r="G197" i="14"/>
  <c r="C200" i="14"/>
  <c r="G196" i="14"/>
  <c r="T228" i="14"/>
  <c r="R21" i="26"/>
  <c r="K156" i="14"/>
  <c r="D17" i="26"/>
  <c r="F150" i="14"/>
  <c r="D15" i="26"/>
  <c r="M21" i="26"/>
  <c r="U171" i="14"/>
  <c r="O150" i="14"/>
  <c r="H156" i="14"/>
  <c r="I22" i="26"/>
  <c r="B155" i="14"/>
  <c r="BH155" i="14" s="1"/>
  <c r="H173" i="14"/>
  <c r="L175" i="14"/>
  <c r="H10" i="26"/>
  <c r="N12" i="26"/>
  <c r="K18" i="26"/>
  <c r="H168" i="14"/>
  <c r="K5" i="26"/>
  <c r="I202" i="14"/>
  <c r="P19" i="26"/>
  <c r="I171" i="14"/>
  <c r="H8" i="26"/>
  <c r="K193" i="14"/>
  <c r="S148" i="14"/>
  <c r="N172" i="14"/>
  <c r="I3" i="26"/>
  <c r="N194" i="14"/>
  <c r="P149" i="14"/>
  <c r="P172" i="14"/>
  <c r="C18" i="26"/>
  <c r="V198" i="14"/>
  <c r="M217" i="14"/>
  <c r="M18" i="26"/>
  <c r="N5" i="26"/>
  <c r="S197" i="14"/>
  <c r="R168" i="14"/>
  <c r="S200" i="14"/>
  <c r="R3" i="26"/>
  <c r="B198" i="14"/>
  <c r="BH198" i="14" s="1"/>
  <c r="X197" i="14"/>
  <c r="O156" i="14"/>
  <c r="G209" i="14"/>
  <c r="V153" i="14"/>
  <c r="B10" i="26"/>
  <c r="R153" i="14"/>
  <c r="D152" i="14"/>
  <c r="U9" i="26"/>
  <c r="P7" i="26"/>
  <c r="V16" i="26"/>
  <c r="S16" i="26"/>
  <c r="D199" i="14"/>
  <c r="Z6" i="26"/>
  <c r="I147" i="14"/>
  <c r="E8" i="26"/>
  <c r="E16" i="26"/>
  <c r="G200" i="14"/>
  <c r="E197" i="14"/>
  <c r="BI197" i="14" s="1"/>
  <c r="S5" i="26"/>
  <c r="T18" i="26"/>
  <c r="U17" i="26"/>
  <c r="I170" i="14"/>
  <c r="B9" i="26"/>
  <c r="G21" i="26"/>
  <c r="G20" i="26"/>
  <c r="B152" i="14"/>
  <c r="BH152" i="14" s="1"/>
  <c r="Z9" i="26"/>
  <c r="C194" i="14"/>
  <c r="T169" i="14"/>
  <c r="M172" i="14"/>
  <c r="J202" i="14"/>
  <c r="U228" i="14"/>
  <c r="E168" i="14"/>
  <c r="BI168" i="14" s="1"/>
  <c r="L150" i="14"/>
  <c r="O228" i="14"/>
  <c r="T147" i="14"/>
  <c r="M156" i="14"/>
  <c r="V3" i="26"/>
  <c r="N20" i="26"/>
  <c r="P200" i="14"/>
  <c r="O198" i="14"/>
  <c r="I5" i="26"/>
  <c r="R217" i="14"/>
  <c r="D19" i="26"/>
  <c r="Z15" i="26"/>
  <c r="X199" i="14"/>
  <c r="K148" i="14"/>
  <c r="B170" i="14"/>
  <c r="BH170" i="14" s="1"/>
  <c r="S175" i="14"/>
  <c r="N197" i="14"/>
  <c r="G12" i="26"/>
  <c r="E12" i="26"/>
  <c r="S153" i="14"/>
  <c r="O147" i="14"/>
  <c r="E21" i="26"/>
  <c r="C20" i="26"/>
  <c r="T150" i="14"/>
  <c r="O202" i="14"/>
  <c r="L200" i="14"/>
  <c r="C15" i="26"/>
  <c r="X3" i="26"/>
  <c r="J197" i="14"/>
  <c r="X154" i="14"/>
  <c r="Q197" i="14"/>
  <c r="C198" i="14"/>
  <c r="L228" i="14"/>
  <c r="J12" i="26"/>
  <c r="K198" i="14"/>
  <c r="N228" i="14"/>
  <c r="Y10" i="26"/>
  <c r="N217" i="14"/>
  <c r="U14" i="26"/>
  <c r="I20" i="26"/>
  <c r="S13" i="26"/>
  <c r="J19" i="26"/>
  <c r="S15" i="26"/>
  <c r="T170" i="14"/>
  <c r="O172" i="14"/>
  <c r="V22" i="26"/>
  <c r="L12" i="26"/>
  <c r="U200" i="14"/>
  <c r="C196" i="14"/>
  <c r="F4" i="26"/>
  <c r="P3" i="26"/>
  <c r="F5" i="26"/>
  <c r="I196" i="14"/>
  <c r="T195" i="14"/>
  <c r="T5" i="26"/>
  <c r="I7" i="26"/>
  <c r="C157" i="14"/>
  <c r="B20" i="26"/>
  <c r="S171" i="14"/>
  <c r="H153" i="14"/>
  <c r="R154" i="14"/>
  <c r="R152" i="14"/>
  <c r="U157" i="14"/>
  <c r="X20" i="26"/>
  <c r="L5" i="26"/>
  <c r="D14" i="26"/>
  <c r="U7" i="26"/>
  <c r="X198" i="14"/>
  <c r="X7" i="26"/>
  <c r="G171" i="14"/>
  <c r="V21" i="26"/>
  <c r="O200" i="14"/>
  <c r="E4" i="26"/>
  <c r="G14" i="26"/>
  <c r="G15" i="26"/>
  <c r="K157" i="14"/>
  <c r="U147" i="14"/>
  <c r="F199" i="14"/>
  <c r="S17" i="26"/>
  <c r="B168" i="14"/>
  <c r="BH168" i="14" s="1"/>
  <c r="O170" i="14"/>
  <c r="Q156" i="14"/>
  <c r="D156" i="14"/>
  <c r="Z13" i="26"/>
  <c r="Q3" i="26"/>
  <c r="V156" i="14"/>
  <c r="N13" i="26"/>
  <c r="AF228" i="14"/>
  <c r="G22" i="26"/>
  <c r="C21" i="26"/>
  <c r="M6" i="26"/>
  <c r="U201" i="14"/>
  <c r="L213" i="14"/>
  <c r="B21" i="26"/>
  <c r="M17" i="26"/>
  <c r="I199" i="14"/>
  <c r="Q155" i="14"/>
  <c r="Z17" i="26"/>
  <c r="W11" i="26"/>
  <c r="J217" i="14"/>
  <c r="S22" i="26"/>
  <c r="R175" i="14"/>
  <c r="Q194" i="14"/>
  <c r="L157" i="14"/>
  <c r="U199" i="14"/>
  <c r="J194" i="14"/>
  <c r="G5" i="26"/>
  <c r="K150" i="14"/>
  <c r="U20" i="26"/>
  <c r="X194" i="14"/>
  <c r="Y7" i="26"/>
  <c r="X172" i="14"/>
  <c r="J198" i="14"/>
  <c r="F14" i="26"/>
  <c r="P155" i="14"/>
  <c r="L202" i="14"/>
  <c r="R147" i="14"/>
  <c r="K196" i="14"/>
  <c r="S18" i="26"/>
  <c r="Z11" i="26"/>
  <c r="I21" i="26"/>
  <c r="C152" i="14"/>
  <c r="C8" i="26"/>
  <c r="M150" i="14"/>
  <c r="P217" i="14"/>
  <c r="K168" i="14"/>
  <c r="F6" i="26"/>
  <c r="W12" i="26"/>
  <c r="F153" i="14"/>
  <c r="O15" i="26"/>
  <c r="N195" i="14"/>
  <c r="T171" i="14"/>
  <c r="M171" i="14"/>
  <c r="E201" i="14"/>
  <c r="BI201" i="14" s="1"/>
  <c r="C148" i="14"/>
  <c r="M152" i="14"/>
  <c r="M22" i="26"/>
  <c r="V8" i="26"/>
  <c r="J193" i="14"/>
  <c r="M213" i="14"/>
  <c r="H154" i="14"/>
  <c r="N148" i="14"/>
  <c r="B173" i="14"/>
  <c r="BH173" i="14" s="1"/>
  <c r="B199" i="14"/>
  <c r="BH199" i="14" s="1"/>
  <c r="R199" i="14"/>
  <c r="H22" i="26"/>
  <c r="Y6" i="26"/>
  <c r="C169" i="14"/>
  <c r="H200" i="14"/>
  <c r="D197" i="14"/>
  <c r="X14" i="26"/>
  <c r="R172" i="14"/>
  <c r="O196" i="14"/>
  <c r="U16" i="26"/>
  <c r="K22" i="26"/>
  <c r="M155" i="14"/>
  <c r="W14" i="26"/>
  <c r="C10" i="26"/>
  <c r="D173" i="14"/>
  <c r="R228" i="14"/>
  <c r="T199" i="14"/>
  <c r="V228" i="14"/>
  <c r="D196" i="14"/>
  <c r="X173" i="14"/>
  <c r="P193" i="14"/>
  <c r="T202" i="14"/>
  <c r="J152" i="14"/>
  <c r="R8" i="26"/>
  <c r="U5" i="26"/>
  <c r="G168" i="14"/>
  <c r="D198" i="14"/>
  <c r="H198" i="14"/>
  <c r="T194" i="14"/>
  <c r="L199" i="14"/>
  <c r="G217" i="14"/>
  <c r="L15" i="26"/>
  <c r="N7" i="26"/>
  <c r="R14" i="26"/>
  <c r="W20" i="26"/>
  <c r="M12" i="26"/>
  <c r="B151" i="14"/>
  <c r="BH151" i="14" s="1"/>
  <c r="X217" i="14"/>
  <c r="Y213" i="14"/>
  <c r="AF213" i="14" s="1"/>
  <c r="T148" i="14"/>
  <c r="Y18" i="26"/>
  <c r="S217" i="14"/>
  <c r="Q22" i="26"/>
  <c r="R6" i="26"/>
  <c r="F8" i="26"/>
  <c r="R12" i="26"/>
  <c r="P13" i="26"/>
  <c r="E147" i="14"/>
  <c r="BI147" i="14" s="1"/>
  <c r="W3" i="26"/>
  <c r="R7" i="26"/>
  <c r="N15" i="26"/>
  <c r="P17" i="26"/>
  <c r="D154" i="14"/>
  <c r="O153" i="14"/>
  <c r="T217" i="14"/>
  <c r="K8" i="26"/>
  <c r="H228" i="14"/>
  <c r="V147" i="14"/>
  <c r="R213" i="14"/>
  <c r="M15" i="26"/>
  <c r="B175" i="14"/>
  <c r="BH175" i="14" s="1"/>
  <c r="C9" i="26"/>
  <c r="Q175" i="14"/>
  <c r="H202" i="14"/>
  <c r="T10" i="26"/>
  <c r="Y22" i="26"/>
  <c r="P198" i="14"/>
  <c r="V169" i="14"/>
  <c r="M19" i="26"/>
  <c r="L148" i="14"/>
  <c r="R193" i="14"/>
  <c r="B148" i="14"/>
  <c r="BH148" i="14" s="1"/>
  <c r="C170" i="14"/>
  <c r="K152" i="14"/>
  <c r="O5" i="26"/>
  <c r="D228" i="14"/>
  <c r="J169" i="14"/>
  <c r="K172" i="14"/>
  <c r="X201" i="14"/>
  <c r="I228" i="14"/>
  <c r="Z20" i="26"/>
  <c r="X147" i="14"/>
  <c r="X148" i="14"/>
  <c r="B17" i="26"/>
  <c r="D209" i="14"/>
  <c r="S209" i="14"/>
  <c r="Q21" i="26"/>
  <c r="B171" i="14"/>
  <c r="BH171" i="14" s="1"/>
  <c r="V17" i="26"/>
  <c r="C209" i="14"/>
  <c r="V217" i="14"/>
  <c r="L194" i="14"/>
  <c r="G198" i="14"/>
  <c r="U153" i="14"/>
  <c r="P201" i="14"/>
  <c r="V13" i="26"/>
  <c r="T20" i="26"/>
  <c r="I198" i="14"/>
  <c r="R196" i="14"/>
  <c r="C16" i="26"/>
  <c r="C4" i="26"/>
  <c r="C172" i="14"/>
  <c r="F194" i="14"/>
  <c r="K19" i="26"/>
  <c r="P175" i="14"/>
  <c r="H20" i="26"/>
  <c r="F151" i="14"/>
  <c r="N149" i="14"/>
  <c r="S156" i="14"/>
  <c r="O169" i="14"/>
  <c r="H171" i="14"/>
  <c r="B169" i="14"/>
  <c r="BH169" i="14" s="1"/>
  <c r="B196" i="14"/>
  <c r="BH196" i="14" s="1"/>
  <c r="Q213" i="14"/>
  <c r="E154" i="14"/>
  <c r="BI154" i="14" s="1"/>
  <c r="K195" i="14"/>
  <c r="D21" i="26"/>
  <c r="W21" i="26"/>
  <c r="E196" i="14"/>
  <c r="BI196" i="14" s="1"/>
  <c r="G150" i="14"/>
  <c r="H197" i="14"/>
  <c r="D8" i="26"/>
  <c r="C173" i="14"/>
  <c r="H151" i="14"/>
  <c r="I14" i="26"/>
  <c r="X6" i="26"/>
  <c r="X157" i="14"/>
  <c r="C14" i="26"/>
  <c r="S170" i="14"/>
  <c r="D9" i="26"/>
  <c r="S21" i="26"/>
  <c r="F9" i="26"/>
  <c r="D147" i="14"/>
  <c r="T154" i="14"/>
  <c r="S157" i="14"/>
  <c r="I175" i="14"/>
  <c r="E217" i="14"/>
  <c r="BI217" i="14" s="1"/>
  <c r="I148" i="14"/>
  <c r="Q209" i="14"/>
  <c r="I150" i="14"/>
  <c r="F21" i="26"/>
  <c r="I156" i="14"/>
  <c r="Q17" i="26"/>
  <c r="L149" i="14"/>
  <c r="W9" i="26"/>
  <c r="G19" i="26"/>
  <c r="O6" i="26"/>
  <c r="R13" i="26"/>
  <c r="K228" i="14"/>
  <c r="Z18" i="26"/>
  <c r="I155" i="14"/>
  <c r="T12" i="26"/>
  <c r="S12" i="26"/>
  <c r="D217" i="14"/>
  <c r="B213" i="14"/>
  <c r="BH213" i="14" s="1"/>
  <c r="J18" i="26"/>
  <c r="P18" i="26"/>
  <c r="X153" i="14"/>
  <c r="G4" i="26"/>
  <c r="T4" i="26"/>
  <c r="D202" i="14"/>
  <c r="U197" i="14"/>
  <c r="F157" i="14"/>
  <c r="F193" i="14"/>
  <c r="B156" i="14"/>
  <c r="BH156" i="14" s="1"/>
  <c r="X150" i="14"/>
  <c r="S150" i="14"/>
  <c r="E171" i="14"/>
  <c r="BI171" i="14" s="1"/>
  <c r="N213" i="14"/>
  <c r="F217" i="14"/>
  <c r="D148" i="14"/>
  <c r="Z217" i="14"/>
  <c r="AG217" i="14" s="1"/>
  <c r="V173" i="14"/>
  <c r="S196" i="14"/>
  <c r="W4" i="26"/>
  <c r="H19" i="26"/>
  <c r="J8" i="26"/>
  <c r="Z209" i="14"/>
  <c r="AG209" i="14" s="1"/>
  <c r="P148" i="14"/>
  <c r="D18" i="26"/>
  <c r="P213" i="14"/>
  <c r="R18" i="26"/>
  <c r="O10" i="26"/>
  <c r="G202" i="14"/>
  <c r="I19" i="26"/>
  <c r="J172" i="14"/>
  <c r="O152" i="14"/>
  <c r="J5" i="26"/>
  <c r="U198" i="14"/>
  <c r="T157" i="14"/>
  <c r="P12" i="26"/>
  <c r="O21" i="26"/>
  <c r="Y15" i="26"/>
  <c r="N168" i="14"/>
  <c r="X9" i="26"/>
  <c r="F147" i="14"/>
  <c r="U172" i="14"/>
  <c r="H14" i="26"/>
  <c r="L155" i="14"/>
  <c r="T3" i="26"/>
  <c r="F201" i="14"/>
  <c r="U175" i="14"/>
  <c r="Z19" i="26"/>
  <c r="X4" i="26"/>
  <c r="W10" i="26"/>
  <c r="C22" i="26"/>
  <c r="I151" i="14"/>
  <c r="W18" i="26"/>
  <c r="E19" i="26"/>
  <c r="P173" i="14"/>
  <c r="R156" i="14"/>
  <c r="J14" i="26"/>
  <c r="J27" i="18" l="1"/>
  <c r="U133" i="18"/>
  <c r="G5" i="18"/>
  <c r="J40" i="18"/>
  <c r="P254" i="18"/>
  <c r="J25" i="18"/>
  <c r="G127" i="18"/>
  <c r="H19" i="18"/>
  <c r="T70" i="18"/>
  <c r="L171" i="18"/>
  <c r="J94" i="18"/>
  <c r="J127" i="18"/>
  <c r="N65" i="18"/>
  <c r="H58" i="18"/>
  <c r="G64" i="18"/>
  <c r="G153" i="18"/>
  <c r="J34" i="18"/>
  <c r="J90" i="18"/>
  <c r="N89" i="18"/>
  <c r="H62" i="18"/>
  <c r="G76" i="18"/>
  <c r="T32" i="18"/>
  <c r="J102" i="18"/>
  <c r="H74" i="18"/>
  <c r="H68" i="18"/>
  <c r="G49" i="18"/>
  <c r="G97" i="18"/>
  <c r="R2" i="26"/>
  <c r="J68" i="18"/>
  <c r="J57" i="18"/>
  <c r="N19" i="18"/>
  <c r="J49" i="18"/>
  <c r="J126" i="18"/>
  <c r="J64" i="18"/>
  <c r="H128" i="18"/>
  <c r="P2" i="26"/>
  <c r="J42" i="18"/>
  <c r="H101" i="18"/>
  <c r="J135" i="18"/>
  <c r="J36" i="18"/>
  <c r="T58" i="18"/>
  <c r="T200" i="18"/>
  <c r="J119" i="18"/>
  <c r="G136" i="18"/>
  <c r="J4" i="18"/>
  <c r="G12" i="18"/>
  <c r="T126" i="18"/>
  <c r="N6" i="18"/>
  <c r="J86" i="18"/>
  <c r="F2" i="26"/>
  <c r="D171" i="18"/>
  <c r="G58" i="18"/>
  <c r="G74" i="18"/>
  <c r="G34" i="18"/>
  <c r="H56" i="18"/>
  <c r="G91" i="18"/>
  <c r="G94" i="18"/>
  <c r="H93" i="18"/>
  <c r="J15" i="18"/>
  <c r="J111" i="18"/>
  <c r="G14" i="18"/>
  <c r="T76" i="18"/>
  <c r="G82" i="18"/>
  <c r="G61" i="18"/>
  <c r="G90" i="18"/>
  <c r="N94" i="18"/>
  <c r="J58" i="18"/>
  <c r="N83" i="18"/>
  <c r="G129" i="18"/>
  <c r="N109" i="18"/>
  <c r="T34" i="18"/>
  <c r="G29" i="18"/>
  <c r="P109" i="18"/>
  <c r="H49" i="18"/>
  <c r="J122" i="18"/>
  <c r="J87" i="18"/>
  <c r="G144" i="18"/>
  <c r="T14" i="18"/>
  <c r="G35" i="18"/>
  <c r="J26" i="18"/>
  <c r="H50" i="18"/>
  <c r="J55" i="18"/>
  <c r="H76" i="18"/>
  <c r="J99" i="18"/>
  <c r="T16" i="18"/>
  <c r="U86" i="18"/>
  <c r="N111" i="18"/>
  <c r="J85" i="18"/>
  <c r="T20" i="18"/>
  <c r="U111" i="18"/>
  <c r="M171" i="18"/>
  <c r="H115" i="18"/>
  <c r="H28" i="18"/>
  <c r="N130" i="18"/>
  <c r="N99" i="18"/>
  <c r="T101" i="18"/>
  <c r="J84" i="18"/>
  <c r="N21" i="18"/>
  <c r="G110" i="18"/>
  <c r="K171" i="18"/>
  <c r="G119" i="18"/>
  <c r="N119" i="18"/>
  <c r="H106" i="18"/>
  <c r="H36" i="18"/>
  <c r="H63" i="18"/>
  <c r="N78" i="18"/>
  <c r="T56" i="18"/>
  <c r="T109" i="18"/>
  <c r="J118" i="18"/>
  <c r="G137" i="18"/>
  <c r="G114" i="18"/>
  <c r="H72" i="18"/>
  <c r="F171" i="18"/>
  <c r="U9" i="18"/>
  <c r="D2" i="26"/>
  <c r="T87" i="18"/>
  <c r="H24" i="18"/>
  <c r="N59" i="18"/>
  <c r="G170" i="18"/>
  <c r="N110" i="18"/>
  <c r="J46" i="18"/>
  <c r="J100" i="18"/>
  <c r="S2" i="26"/>
  <c r="N43" i="18"/>
  <c r="U60" i="18"/>
  <c r="T184" i="18"/>
  <c r="T83" i="18"/>
  <c r="G30" i="18"/>
  <c r="H51" i="18"/>
  <c r="T139" i="18"/>
  <c r="N97" i="18"/>
  <c r="U171" i="18"/>
  <c r="G111" i="18"/>
  <c r="G165" i="18"/>
  <c r="G152" i="18"/>
  <c r="T114" i="18"/>
  <c r="G102" i="18"/>
  <c r="H89" i="18"/>
  <c r="U94" i="18"/>
  <c r="N16" i="18"/>
  <c r="H22" i="18"/>
  <c r="J63" i="18"/>
  <c r="T52" i="18"/>
  <c r="T38" i="18"/>
  <c r="J33" i="18"/>
  <c r="H100" i="18"/>
  <c r="J11" i="18"/>
  <c r="H25" i="18"/>
  <c r="U144" i="18"/>
  <c r="G38" i="18"/>
  <c r="U20" i="18"/>
  <c r="G25" i="18"/>
  <c r="H129" i="18"/>
  <c r="N95" i="18"/>
  <c r="U161" i="18"/>
  <c r="Q2" i="26"/>
  <c r="J17" i="18"/>
  <c r="G84" i="18"/>
  <c r="G125" i="18"/>
  <c r="G2" i="26"/>
  <c r="G17" i="18"/>
  <c r="H90" i="18"/>
  <c r="J29" i="18"/>
  <c r="U40" i="18"/>
  <c r="J80" i="18"/>
  <c r="G105" i="18"/>
  <c r="H92" i="18"/>
  <c r="H40" i="18"/>
  <c r="T165" i="18"/>
  <c r="J47" i="18"/>
  <c r="G130" i="18"/>
  <c r="P130" i="18"/>
  <c r="N191" i="18"/>
  <c r="J32" i="18"/>
  <c r="G71" i="18"/>
  <c r="H23" i="18"/>
  <c r="J18" i="18"/>
  <c r="H112" i="18"/>
  <c r="H30" i="18"/>
  <c r="J67" i="18"/>
  <c r="T118" i="18"/>
  <c r="T99" i="18"/>
  <c r="G99" i="18"/>
  <c r="J6" i="18"/>
  <c r="N25" i="18"/>
  <c r="G141" i="18"/>
  <c r="G11" i="18"/>
  <c r="G92" i="18"/>
  <c r="J74" i="18"/>
  <c r="H103" i="18"/>
  <c r="T44" i="18"/>
  <c r="U139" i="18"/>
  <c r="G72" i="18"/>
  <c r="J76" i="18"/>
  <c r="G88" i="18"/>
  <c r="G10" i="18"/>
  <c r="G33" i="18"/>
  <c r="J37" i="18"/>
  <c r="N129" i="18"/>
  <c r="G103" i="18"/>
  <c r="H66" i="18"/>
  <c r="N116" i="18"/>
  <c r="G117" i="18"/>
  <c r="G2" i="18"/>
  <c r="T37" i="18"/>
  <c r="T23" i="18"/>
  <c r="H16" i="18"/>
  <c r="J92" i="18"/>
  <c r="N86" i="18"/>
  <c r="B2" i="26"/>
  <c r="J77" i="18"/>
  <c r="U104" i="18"/>
  <c r="G24" i="18"/>
  <c r="N92" i="18"/>
  <c r="J52" i="18"/>
  <c r="H43" i="18"/>
  <c r="H33" i="18"/>
  <c r="T46" i="18"/>
  <c r="H12" i="18"/>
  <c r="G93" i="18"/>
  <c r="N30" i="18"/>
  <c r="G107" i="18"/>
  <c r="H80" i="18"/>
  <c r="U113" i="18"/>
  <c r="T107" i="18"/>
  <c r="H81" i="18"/>
  <c r="G70" i="18"/>
  <c r="N23" i="18"/>
  <c r="H48" i="18"/>
  <c r="P105" i="18"/>
  <c r="G65" i="18"/>
  <c r="P170" i="18"/>
  <c r="J22" i="18"/>
  <c r="G140" i="18"/>
  <c r="H96" i="18"/>
  <c r="N56" i="18"/>
  <c r="N31" i="18"/>
  <c r="H97" i="18"/>
  <c r="T25" i="18"/>
  <c r="T199" i="18"/>
  <c r="G59" i="18"/>
  <c r="H46" i="18"/>
  <c r="G83" i="18"/>
  <c r="N165" i="18"/>
  <c r="H54" i="18"/>
  <c r="G27" i="18"/>
  <c r="H114" i="18"/>
  <c r="J108" i="18"/>
  <c r="J2" i="18"/>
  <c r="G66" i="18"/>
  <c r="N66" i="18"/>
  <c r="J3" i="18"/>
  <c r="H3" i="18"/>
  <c r="U87" i="18"/>
  <c r="N63" i="18"/>
  <c r="T50" i="18"/>
  <c r="H65" i="18"/>
  <c r="T111" i="18"/>
  <c r="G98" i="18"/>
  <c r="H4" i="18"/>
  <c r="G154" i="18"/>
  <c r="G44" i="18"/>
  <c r="H59" i="18"/>
  <c r="J89" i="18"/>
  <c r="J91" i="18"/>
  <c r="N88" i="18"/>
  <c r="H125" i="18"/>
  <c r="G9" i="18"/>
  <c r="G81" i="18"/>
  <c r="J109" i="18"/>
  <c r="T117" i="18"/>
  <c r="J9" i="18"/>
  <c r="J59" i="18"/>
  <c r="H27" i="18"/>
  <c r="H2" i="26"/>
  <c r="U37" i="18"/>
  <c r="J38" i="18"/>
  <c r="G128" i="18"/>
  <c r="N122" i="18"/>
  <c r="G68" i="18"/>
  <c r="X176" i="14"/>
  <c r="H67" i="18"/>
  <c r="G57" i="18"/>
  <c r="J50" i="18"/>
  <c r="H53" i="18"/>
  <c r="G41" i="18"/>
  <c r="U129" i="18"/>
  <c r="U64" i="18"/>
  <c r="H13" i="18"/>
  <c r="T129" i="18"/>
  <c r="H95" i="18"/>
  <c r="J81" i="18"/>
  <c r="H7" i="18"/>
  <c r="H34" i="18"/>
  <c r="N75" i="18"/>
  <c r="G28" i="18"/>
  <c r="H118" i="18"/>
  <c r="U80" i="18"/>
  <c r="T2" i="26"/>
  <c r="N127" i="18"/>
  <c r="H31" i="18"/>
  <c r="G145" i="18"/>
  <c r="G46" i="18"/>
  <c r="J16" i="18"/>
  <c r="J8" i="18"/>
  <c r="H18" i="18"/>
  <c r="H116" i="18"/>
  <c r="H38" i="18"/>
  <c r="T6" i="18"/>
  <c r="T78" i="18"/>
  <c r="J93" i="18"/>
  <c r="H113" i="18"/>
  <c r="U56" i="18"/>
  <c r="J45" i="18"/>
  <c r="T94" i="18"/>
  <c r="H99" i="18"/>
  <c r="J72" i="18"/>
  <c r="J129" i="18"/>
  <c r="G31" i="18"/>
  <c r="J123" i="18"/>
  <c r="G47" i="18"/>
  <c r="J75" i="18"/>
  <c r="G112" i="18"/>
  <c r="H122" i="18"/>
  <c r="T128" i="18"/>
  <c r="N54" i="18"/>
  <c r="H83" i="18"/>
  <c r="J2" i="26"/>
  <c r="J125" i="18"/>
  <c r="H55" i="18"/>
  <c r="N44" i="18"/>
  <c r="T197" i="18"/>
  <c r="J117" i="18"/>
  <c r="H11" i="18"/>
  <c r="J43" i="18"/>
  <c r="J44" i="18"/>
  <c r="G48" i="18"/>
  <c r="J60" i="18"/>
  <c r="N81" i="18"/>
  <c r="G116" i="18"/>
  <c r="H111" i="18"/>
  <c r="N107" i="18"/>
  <c r="K2" i="26"/>
  <c r="H2" i="18"/>
  <c r="J53" i="18"/>
  <c r="T104" i="18"/>
  <c r="T11" i="18"/>
  <c r="J10" i="18"/>
  <c r="H127" i="18"/>
  <c r="H70" i="18"/>
  <c r="T124" i="18"/>
  <c r="H9" i="18"/>
  <c r="J39" i="18"/>
  <c r="U42" i="18"/>
  <c r="H20" i="18"/>
  <c r="J97" i="18"/>
  <c r="H109" i="18"/>
  <c r="T96" i="18"/>
  <c r="N32" i="18"/>
  <c r="N58" i="18"/>
  <c r="N96" i="18"/>
  <c r="J88" i="18"/>
  <c r="G161" i="18"/>
  <c r="J12" i="18"/>
  <c r="G79" i="18"/>
  <c r="G139" i="18"/>
  <c r="J61" i="18"/>
  <c r="G77" i="18"/>
  <c r="H171" i="18"/>
  <c r="G124" i="18"/>
  <c r="G122" i="18"/>
  <c r="J128" i="18"/>
  <c r="G16" i="18"/>
  <c r="N171" i="18"/>
  <c r="H121" i="18"/>
  <c r="P33" i="18"/>
  <c r="G75" i="18"/>
  <c r="G126" i="18"/>
  <c r="H77" i="18"/>
  <c r="J14" i="18"/>
  <c r="T48" i="18"/>
  <c r="J114" i="18"/>
  <c r="J54" i="18"/>
  <c r="G106" i="18"/>
  <c r="J107" i="18"/>
  <c r="G87" i="18"/>
  <c r="P36" i="18"/>
  <c r="H32" i="18"/>
  <c r="J104" i="18"/>
  <c r="P183" i="18"/>
  <c r="J66" i="18"/>
  <c r="G142" i="18"/>
  <c r="G13" i="18"/>
  <c r="H79" i="18"/>
  <c r="N114" i="18"/>
  <c r="J116" i="18"/>
  <c r="G85" i="18"/>
  <c r="L2" i="26"/>
  <c r="G43" i="18"/>
  <c r="J105" i="18"/>
  <c r="H39" i="18"/>
  <c r="T110" i="18"/>
  <c r="T144" i="18"/>
  <c r="G7" i="18"/>
  <c r="H78" i="18"/>
  <c r="U153" i="18"/>
  <c r="G89" i="18"/>
  <c r="T115" i="18"/>
  <c r="J23" i="18"/>
  <c r="G4" i="18"/>
  <c r="G56" i="18"/>
  <c r="J19" i="18"/>
  <c r="U24" i="18"/>
  <c r="J56" i="18"/>
  <c r="H130" i="18"/>
  <c r="T80" i="18"/>
  <c r="P85" i="18"/>
  <c r="G121" i="18"/>
  <c r="U23" i="18"/>
  <c r="J13" i="18"/>
  <c r="T12" i="18"/>
  <c r="G113" i="18"/>
  <c r="J20" i="18"/>
  <c r="U57" i="18"/>
  <c r="G146" i="18"/>
  <c r="J24" i="18"/>
  <c r="H37" i="18"/>
  <c r="G32" i="18"/>
  <c r="H15" i="18"/>
  <c r="U85" i="18"/>
  <c r="J51" i="18"/>
  <c r="C171" i="18"/>
  <c r="J7" i="18"/>
  <c r="G73" i="18"/>
  <c r="G55" i="18"/>
  <c r="T22" i="18"/>
  <c r="U6" i="18"/>
  <c r="J171" i="18"/>
  <c r="N12" i="18"/>
  <c r="J130" i="18"/>
  <c r="U4" i="18"/>
  <c r="N29" i="18"/>
  <c r="E171" i="18"/>
  <c r="N2" i="26"/>
  <c r="G100" i="18"/>
  <c r="G123" i="18"/>
  <c r="T170" i="18"/>
  <c r="H64" i="18"/>
  <c r="J101" i="18"/>
  <c r="H10" i="18"/>
  <c r="H107" i="18"/>
  <c r="G60" i="18"/>
  <c r="J69" i="18"/>
  <c r="G51" i="18"/>
  <c r="G26" i="18"/>
  <c r="T74" i="18"/>
  <c r="J82" i="18"/>
  <c r="H35" i="18"/>
  <c r="J30" i="18"/>
  <c r="G63" i="18"/>
  <c r="U69" i="18"/>
  <c r="G78" i="18"/>
  <c r="J113" i="18"/>
  <c r="H126" i="18"/>
  <c r="H69" i="18"/>
  <c r="N152" i="18"/>
  <c r="C2" i="26"/>
  <c r="I171" i="18"/>
  <c r="G3" i="18"/>
  <c r="G108" i="18"/>
  <c r="U5" i="18"/>
  <c r="U109" i="18"/>
  <c r="G45" i="18"/>
  <c r="H5" i="18"/>
  <c r="N37" i="18"/>
  <c r="H86" i="18"/>
  <c r="N142" i="18"/>
  <c r="T4" i="18"/>
  <c r="H98" i="18"/>
  <c r="H117" i="18"/>
  <c r="J73" i="18"/>
  <c r="H45" i="18"/>
  <c r="G118" i="18"/>
  <c r="N48" i="18"/>
  <c r="G96" i="18"/>
  <c r="U72" i="18"/>
  <c r="T8" i="18"/>
  <c r="G69" i="18"/>
  <c r="G80" i="18"/>
  <c r="G62" i="18"/>
  <c r="H124" i="18"/>
  <c r="J79" i="18"/>
  <c r="J71" i="18"/>
  <c r="J115" i="18"/>
  <c r="J95" i="18"/>
  <c r="G171" i="18"/>
  <c r="I2" i="26"/>
  <c r="G104" i="18"/>
  <c r="H57" i="18"/>
  <c r="T137" i="18"/>
  <c r="J112" i="18"/>
  <c r="G37" i="18"/>
  <c r="H110" i="18"/>
  <c r="J96" i="18"/>
  <c r="J28" i="18"/>
  <c r="H60" i="18"/>
  <c r="H123" i="18"/>
  <c r="N139" i="18"/>
  <c r="J121" i="18"/>
  <c r="J5" i="18"/>
  <c r="H108" i="18"/>
  <c r="H102" i="18"/>
  <c r="H91" i="18"/>
  <c r="H71" i="18"/>
  <c r="H94" i="18"/>
  <c r="G101" i="18"/>
  <c r="T10" i="18"/>
  <c r="H8" i="18"/>
  <c r="H104" i="18"/>
  <c r="H75" i="18"/>
  <c r="J106" i="18"/>
  <c r="H84" i="18"/>
  <c r="J65" i="18"/>
  <c r="T18" i="18"/>
  <c r="G42" i="18"/>
  <c r="H21" i="18"/>
  <c r="H6" i="18"/>
  <c r="H82" i="18"/>
  <c r="J41" i="18"/>
  <c r="J70" i="18"/>
  <c r="N124" i="18"/>
  <c r="G40" i="18"/>
  <c r="J31" i="18"/>
  <c r="H42" i="18"/>
  <c r="T82" i="18"/>
  <c r="G67" i="18"/>
  <c r="J124" i="18"/>
  <c r="G52" i="18"/>
  <c r="G53" i="18"/>
  <c r="N87" i="18"/>
  <c r="J62" i="18"/>
  <c r="H85" i="18"/>
  <c r="N137" i="18"/>
  <c r="P74" i="18"/>
  <c r="H88" i="18"/>
  <c r="T62" i="18"/>
  <c r="J110" i="18"/>
  <c r="J48" i="18"/>
  <c r="G6" i="18"/>
  <c r="T85" i="18"/>
  <c r="J83" i="18"/>
  <c r="H41" i="18"/>
  <c r="T60" i="18"/>
  <c r="G23" i="18"/>
  <c r="H135" i="18"/>
  <c r="G115" i="18"/>
  <c r="J21" i="18"/>
  <c r="H52" i="18"/>
  <c r="G21" i="18"/>
  <c r="N51" i="18"/>
  <c r="U74" i="18"/>
  <c r="G15" i="18"/>
  <c r="H44" i="18"/>
  <c r="E2" i="26"/>
  <c r="T64" i="18"/>
  <c r="H17" i="18"/>
  <c r="U22" i="18"/>
  <c r="J103" i="18"/>
  <c r="T105" i="18"/>
  <c r="G54" i="18"/>
  <c r="T72" i="18"/>
  <c r="H26" i="18"/>
  <c r="G19" i="18"/>
  <c r="G109" i="18"/>
  <c r="J78" i="18"/>
  <c r="H61" i="18"/>
  <c r="G22" i="18"/>
  <c r="H47" i="18"/>
  <c r="G18" i="18"/>
  <c r="H29" i="18"/>
  <c r="G36" i="18"/>
  <c r="J35" i="18"/>
  <c r="G86" i="18"/>
  <c r="U15" i="18"/>
  <c r="G20" i="18"/>
  <c r="T66" i="18"/>
  <c r="H119" i="18"/>
  <c r="H73" i="18"/>
  <c r="J98" i="18"/>
  <c r="H105" i="18"/>
  <c r="M2" i="26"/>
  <c r="G95" i="18"/>
  <c r="N70" i="18"/>
  <c r="N36" i="18"/>
  <c r="N108" i="18"/>
  <c r="H14" i="18"/>
  <c r="B170" i="18"/>
  <c r="U7" i="18"/>
  <c r="O79" i="18"/>
  <c r="T89" i="18"/>
  <c r="U73" i="18"/>
  <c r="U106" i="18"/>
  <c r="T35" i="18"/>
  <c r="B105" i="18"/>
  <c r="U8" i="18"/>
  <c r="T77" i="18"/>
  <c r="N176" i="14"/>
  <c r="B23" i="18"/>
  <c r="P95" i="18"/>
  <c r="P64" i="18"/>
  <c r="O59" i="18"/>
  <c r="P62" i="18"/>
  <c r="G254" i="18"/>
  <c r="T92" i="18"/>
  <c r="N77" i="18"/>
  <c r="N161" i="18"/>
  <c r="U17" i="18"/>
  <c r="B101" i="18"/>
  <c r="H183" i="18"/>
  <c r="P128" i="18"/>
  <c r="N76" i="18"/>
  <c r="O121" i="18"/>
  <c r="T61" i="18"/>
  <c r="B51" i="18"/>
  <c r="Q129" i="18"/>
  <c r="T45" i="18"/>
  <c r="H190" i="18"/>
  <c r="I154" i="18"/>
  <c r="O116" i="18"/>
  <c r="P51" i="18"/>
  <c r="D139" i="18"/>
  <c r="T49" i="18"/>
  <c r="E254" i="18"/>
  <c r="D70" i="18"/>
  <c r="L65" i="18"/>
  <c r="K49" i="18"/>
  <c r="Q100" i="18"/>
  <c r="T131" i="18"/>
  <c r="D32" i="18"/>
  <c r="T140" i="18"/>
  <c r="T167" i="18"/>
  <c r="F114" i="18"/>
  <c r="M22" i="18"/>
  <c r="K78" i="18"/>
  <c r="B95" i="18"/>
  <c r="P75" i="18"/>
  <c r="L44" i="18"/>
  <c r="K85" i="18"/>
  <c r="F49" i="18"/>
  <c r="L115" i="18"/>
  <c r="L77" i="18"/>
  <c r="F167" i="18"/>
  <c r="M55" i="18"/>
  <c r="I100" i="18"/>
  <c r="F16" i="18"/>
  <c r="Q154" i="18"/>
  <c r="L62" i="18"/>
  <c r="AJ44" i="18"/>
  <c r="R44" i="18" s="1"/>
  <c r="E86" i="18"/>
  <c r="F64" i="18"/>
  <c r="L37" i="18"/>
  <c r="Q81" i="18"/>
  <c r="P135" i="18"/>
  <c r="I33" i="18"/>
  <c r="E75" i="18"/>
  <c r="M69" i="18"/>
  <c r="F102" i="18"/>
  <c r="C26" i="18"/>
  <c r="F11" i="18"/>
  <c r="C111" i="18"/>
  <c r="F109" i="18"/>
  <c r="N91" i="18"/>
  <c r="M38" i="18"/>
  <c r="Q165" i="18"/>
  <c r="F67" i="18"/>
  <c r="F111" i="18"/>
  <c r="Q131" i="18"/>
  <c r="K3" i="18"/>
  <c r="M29" i="18"/>
  <c r="K54" i="18"/>
  <c r="Q153" i="18"/>
  <c r="N53" i="18"/>
  <c r="C64" i="18"/>
  <c r="I9" i="18"/>
  <c r="Q105" i="18"/>
  <c r="C96" i="18"/>
  <c r="E77" i="18"/>
  <c r="I57" i="18"/>
  <c r="C98" i="18"/>
  <c r="E99" i="18"/>
  <c r="Q96" i="18"/>
  <c r="G120" i="18"/>
  <c r="M27" i="18"/>
  <c r="D99" i="18"/>
  <c r="D83" i="18"/>
  <c r="K40" i="18"/>
  <c r="Q116" i="18"/>
  <c r="U55" i="18"/>
  <c r="K176" i="14"/>
  <c r="L29" i="18"/>
  <c r="Q137" i="18"/>
  <c r="Q144" i="18"/>
  <c r="Q79" i="18"/>
  <c r="T133" i="18"/>
  <c r="Q140" i="18"/>
  <c r="O130" i="18"/>
  <c r="I67" i="18"/>
  <c r="K121" i="18"/>
  <c r="N10" i="18"/>
  <c r="L30" i="18"/>
  <c r="L56" i="18"/>
  <c r="Q40" i="18"/>
  <c r="C94" i="18"/>
  <c r="Q54" i="18"/>
  <c r="B61" i="18"/>
  <c r="M54" i="18"/>
  <c r="M98" i="18"/>
  <c r="M62" i="18"/>
  <c r="E106" i="18"/>
  <c r="Q53" i="18"/>
  <c r="M113" i="18"/>
  <c r="F65" i="18"/>
  <c r="D111" i="18"/>
  <c r="K25" i="18"/>
  <c r="C35" i="18"/>
  <c r="P5" i="18"/>
  <c r="C46" i="18"/>
  <c r="I60" i="18"/>
  <c r="F66" i="18"/>
  <c r="E59" i="18"/>
  <c r="U46" i="18"/>
  <c r="O2" i="26"/>
  <c r="E29" i="18"/>
  <c r="U10" i="18"/>
  <c r="C166" i="18"/>
  <c r="G176" i="14"/>
  <c r="H254" i="18"/>
  <c r="N154" i="18"/>
  <c r="T41" i="18"/>
  <c r="P49" i="18"/>
  <c r="T81" i="18"/>
  <c r="B77" i="18"/>
  <c r="U79" i="18"/>
  <c r="O8" i="18"/>
  <c r="O118" i="18"/>
  <c r="P140" i="18"/>
  <c r="P18" i="18"/>
  <c r="B183" i="18"/>
  <c r="B63" i="18"/>
  <c r="C254" i="18"/>
  <c r="P71" i="18"/>
  <c r="O11" i="18"/>
  <c r="O176" i="14"/>
  <c r="B116" i="18"/>
  <c r="P94" i="18"/>
  <c r="O44" i="18"/>
  <c r="T28" i="18"/>
  <c r="T108" i="18"/>
  <c r="U130" i="18"/>
  <c r="P12" i="18"/>
  <c r="O12" i="18"/>
  <c r="B118" i="18"/>
  <c r="T152" i="18"/>
  <c r="O129" i="18"/>
  <c r="O76" i="18"/>
  <c r="P79" i="18"/>
  <c r="O52" i="18"/>
  <c r="P126" i="18"/>
  <c r="T123" i="18"/>
  <c r="N112" i="18"/>
  <c r="U43" i="18"/>
  <c r="P61" i="18"/>
  <c r="F51" i="18"/>
  <c r="D77" i="18"/>
  <c r="L32" i="18"/>
  <c r="I114" i="18"/>
  <c r="I167" i="18"/>
  <c r="F81" i="18"/>
  <c r="M120" i="18"/>
  <c r="E111" i="18"/>
  <c r="C53" i="18"/>
  <c r="B71" i="18"/>
  <c r="I105" i="18"/>
  <c r="O69" i="18"/>
  <c r="Q80" i="18"/>
  <c r="Q171" i="18"/>
  <c r="Q18" i="18"/>
  <c r="D42" i="18"/>
  <c r="E94" i="18"/>
  <c r="C99" i="18"/>
  <c r="E62" i="18"/>
  <c r="K36" i="18"/>
  <c r="I50" i="18"/>
  <c r="C118" i="18"/>
  <c r="I61" i="18"/>
  <c r="Q4" i="18"/>
  <c r="Q17" i="18"/>
  <c r="K19" i="18"/>
  <c r="L85" i="18"/>
  <c r="E15" i="18"/>
  <c r="L66" i="18"/>
  <c r="O170" i="18"/>
  <c r="I70" i="18"/>
  <c r="C82" i="18"/>
  <c r="E98" i="18"/>
  <c r="L72" i="18"/>
  <c r="O161" i="18"/>
  <c r="K66" i="18"/>
  <c r="D67" i="18"/>
  <c r="K108" i="18"/>
  <c r="C81" i="18"/>
  <c r="O50" i="18"/>
  <c r="I12" i="18"/>
  <c r="Q21" i="18"/>
  <c r="D84" i="18"/>
  <c r="F107" i="18"/>
  <c r="O84" i="18"/>
  <c r="O99" i="18"/>
  <c r="F40" i="18"/>
  <c r="K11" i="18"/>
  <c r="O30" i="18"/>
  <c r="E38" i="18"/>
  <c r="Q70" i="18"/>
  <c r="M70" i="18"/>
  <c r="F56" i="18"/>
  <c r="C70" i="18"/>
  <c r="K84" i="18"/>
  <c r="F70" i="18"/>
  <c r="O17" i="18"/>
  <c r="M76" i="18"/>
  <c r="C117" i="18"/>
  <c r="D35" i="18"/>
  <c r="K65" i="18"/>
  <c r="T106" i="18"/>
  <c r="I56" i="18"/>
  <c r="I3" i="18"/>
  <c r="P137" i="18"/>
  <c r="E58" i="18"/>
  <c r="B190" i="18"/>
  <c r="H189" i="18"/>
  <c r="T75" i="18"/>
  <c r="O105" i="18"/>
  <c r="U116" i="18"/>
  <c r="B121" i="18"/>
  <c r="B24" i="18"/>
  <c r="E176" i="14"/>
  <c r="BI176" i="14" s="1"/>
  <c r="T54" i="18"/>
  <c r="N64" i="18"/>
  <c r="N8" i="18"/>
  <c r="U81" i="18"/>
  <c r="D128" i="18"/>
  <c r="B181" i="18"/>
  <c r="N22" i="18"/>
  <c r="P92" i="18"/>
  <c r="N104" i="18"/>
  <c r="P69" i="18"/>
  <c r="B189" i="18"/>
  <c r="T5" i="18"/>
  <c r="B13" i="18"/>
  <c r="T13" i="18"/>
  <c r="Q65" i="18"/>
  <c r="AJ46" i="18"/>
  <c r="R46" i="18" s="1"/>
  <c r="N93" i="18"/>
  <c r="T130" i="18"/>
  <c r="B57" i="18"/>
  <c r="U28" i="18"/>
  <c r="K127" i="18"/>
  <c r="N185" i="18"/>
  <c r="T176" i="14"/>
  <c r="I132" i="18"/>
  <c r="H87" i="18"/>
  <c r="P23" i="18"/>
  <c r="U101" i="18"/>
  <c r="M9" i="18"/>
  <c r="P55" i="18"/>
  <c r="I29" i="18"/>
  <c r="Q41" i="18"/>
  <c r="C63" i="18"/>
  <c r="F30" i="18"/>
  <c r="V176" i="14"/>
  <c r="K60" i="18"/>
  <c r="P7" i="18"/>
  <c r="M17" i="18"/>
  <c r="L48" i="18"/>
  <c r="I79" i="18"/>
  <c r="K74" i="18"/>
  <c r="M89" i="18"/>
  <c r="L86" i="18"/>
  <c r="M84" i="18"/>
  <c r="I85" i="18"/>
  <c r="K62" i="18"/>
  <c r="C75" i="18"/>
  <c r="D47" i="18"/>
  <c r="O54" i="18"/>
  <c r="F32" i="18"/>
  <c r="E7" i="18"/>
  <c r="L80" i="18"/>
  <c r="Q24" i="18"/>
  <c r="AJ48" i="18"/>
  <c r="R48" i="18" s="1"/>
  <c r="L106" i="18"/>
  <c r="V120" i="14"/>
  <c r="Q135" i="18"/>
  <c r="E9" i="18"/>
  <c r="I117" i="18"/>
  <c r="F119" i="18"/>
  <c r="K89" i="18"/>
  <c r="K94" i="18"/>
  <c r="I38" i="18"/>
  <c r="O131" i="18"/>
  <c r="D48" i="18"/>
  <c r="C55" i="18"/>
  <c r="P21" i="18"/>
  <c r="D72" i="18"/>
  <c r="M94" i="18"/>
  <c r="P118" i="18"/>
  <c r="D60" i="18"/>
  <c r="L33" i="18"/>
  <c r="D50" i="18"/>
  <c r="K28" i="18"/>
  <c r="O19" i="18"/>
  <c r="C78" i="18"/>
  <c r="I80" i="18"/>
  <c r="O171" i="18"/>
  <c r="F3" i="18"/>
  <c r="D4" i="18"/>
  <c r="Q146" i="18"/>
  <c r="C83" i="18"/>
  <c r="D119" i="18"/>
  <c r="Q34" i="18"/>
  <c r="M40" i="18"/>
  <c r="C23" i="18"/>
  <c r="D43" i="18"/>
  <c r="F59" i="18"/>
  <c r="M108" i="18"/>
  <c r="P45" i="18"/>
  <c r="D114" i="18"/>
  <c r="P56" i="18"/>
  <c r="N106" i="18"/>
  <c r="M116" i="18"/>
  <c r="K38" i="18"/>
  <c r="F14" i="18"/>
  <c r="O83" i="18"/>
  <c r="F18" i="18"/>
  <c r="K110" i="18"/>
  <c r="P43" i="18"/>
  <c r="D115" i="18"/>
  <c r="E107" i="18"/>
  <c r="C104" i="18"/>
  <c r="B19" i="18"/>
  <c r="K118" i="18"/>
  <c r="E46" i="18"/>
  <c r="K80" i="18"/>
  <c r="M120" i="14"/>
  <c r="K18" i="18"/>
  <c r="I72" i="18"/>
  <c r="Q254" i="18"/>
  <c r="O96" i="18"/>
  <c r="M106" i="18"/>
  <c r="M110" i="18"/>
  <c r="C22" i="18"/>
  <c r="N7" i="18"/>
  <c r="F22" i="18"/>
  <c r="T166" i="18"/>
  <c r="D79" i="18"/>
  <c r="P190" i="18"/>
  <c r="F38" i="18"/>
  <c r="L22" i="18"/>
  <c r="O56" i="18"/>
  <c r="P191" i="18"/>
  <c r="C45" i="18"/>
  <c r="E97" i="18"/>
  <c r="E83" i="18"/>
  <c r="N55" i="18"/>
  <c r="B108" i="18"/>
  <c r="F191" i="18"/>
  <c r="P91" i="18"/>
  <c r="U61" i="18"/>
  <c r="O183" i="18"/>
  <c r="U99" i="18"/>
  <c r="P84" i="18"/>
  <c r="U67" i="18"/>
  <c r="Q113" i="18"/>
  <c r="U97" i="18"/>
  <c r="P29" i="18"/>
  <c r="B137" i="18"/>
  <c r="T185" i="18"/>
  <c r="U114" i="18"/>
  <c r="F190" i="18"/>
  <c r="U25" i="18"/>
  <c r="P25" i="18"/>
  <c r="T53" i="18"/>
  <c r="B107" i="18"/>
  <c r="P72" i="18"/>
  <c r="D16" i="19"/>
  <c r="U49" i="18"/>
  <c r="P44" i="18"/>
  <c r="T90" i="18"/>
  <c r="N190" i="18"/>
  <c r="Q141" i="18"/>
  <c r="T95" i="18"/>
  <c r="B44" i="18"/>
  <c r="B68" i="18"/>
  <c r="T69" i="18"/>
  <c r="O145" i="18"/>
  <c r="B75" i="18"/>
  <c r="T29" i="18"/>
  <c r="B39" i="18"/>
  <c r="U98" i="18"/>
  <c r="O185" i="18"/>
  <c r="N4" i="18"/>
  <c r="C152" i="18"/>
  <c r="C108" i="18"/>
  <c r="B53" i="18"/>
  <c r="Q51" i="18"/>
  <c r="Q55" i="18"/>
  <c r="L15" i="18"/>
  <c r="Q94" i="18"/>
  <c r="Q145" i="18"/>
  <c r="O32" i="18"/>
  <c r="M83" i="18"/>
  <c r="C58" i="18"/>
  <c r="M105" i="18"/>
  <c r="B36" i="18"/>
  <c r="P19" i="18"/>
  <c r="B88" i="18"/>
  <c r="D105" i="18"/>
  <c r="L69" i="18"/>
  <c r="U131" i="18"/>
  <c r="D89" i="18"/>
  <c r="Q120" i="18"/>
  <c r="L88" i="18"/>
  <c r="L16" i="18"/>
  <c r="L111" i="18"/>
  <c r="K81" i="18"/>
  <c r="O86" i="18"/>
  <c r="O90" i="18"/>
  <c r="O80" i="18"/>
  <c r="E60" i="18"/>
  <c r="D100" i="18"/>
  <c r="F97" i="18"/>
  <c r="E65" i="18"/>
  <c r="P152" i="18"/>
  <c r="K100" i="18"/>
  <c r="O135" i="18"/>
  <c r="D34" i="18"/>
  <c r="P106" i="18"/>
  <c r="M10" i="18"/>
  <c r="E67" i="18"/>
  <c r="D131" i="18"/>
  <c r="N183" i="18"/>
  <c r="K13" i="18"/>
  <c r="Q3" i="18"/>
  <c r="P41" i="18"/>
  <c r="P24" i="18"/>
  <c r="E71" i="18"/>
  <c r="M61" i="18"/>
  <c r="P181" i="18"/>
  <c r="G131" i="18"/>
  <c r="I53" i="18"/>
  <c r="O9" i="18"/>
  <c r="E108" i="18"/>
  <c r="N85" i="18"/>
  <c r="E82" i="18"/>
  <c r="D76" i="18"/>
  <c r="Q118" i="18"/>
  <c r="I106" i="18"/>
  <c r="O81" i="18"/>
  <c r="E53" i="18"/>
  <c r="M4" i="18"/>
  <c r="E90" i="18"/>
  <c r="M24" i="18"/>
  <c r="D91" i="18"/>
  <c r="L52" i="18"/>
  <c r="B72" i="18"/>
  <c r="L13" i="18"/>
  <c r="L91" i="18"/>
  <c r="E84" i="18"/>
  <c r="E110" i="18"/>
  <c r="Q114" i="18"/>
  <c r="D75" i="18"/>
  <c r="O115" i="18"/>
  <c r="M91" i="18"/>
  <c r="O142" i="18"/>
  <c r="K106" i="18"/>
  <c r="O127" i="18"/>
  <c r="L64" i="18"/>
  <c r="M114" i="18"/>
  <c r="I19" i="18"/>
  <c r="E88" i="18"/>
  <c r="L11" i="18"/>
  <c r="O111" i="18"/>
  <c r="Q58" i="18"/>
  <c r="U11" i="18"/>
  <c r="O28" i="18"/>
  <c r="D189" i="18"/>
  <c r="B60" i="18"/>
  <c r="U146" i="18"/>
  <c r="E120" i="14"/>
  <c r="BI120" i="14" s="1"/>
  <c r="I254" i="18"/>
  <c r="T121" i="18"/>
  <c r="U65" i="18"/>
  <c r="B55" i="18"/>
  <c r="P189" i="18"/>
  <c r="N20" i="18"/>
  <c r="N34" i="18"/>
  <c r="D39" i="18"/>
  <c r="U107" i="18"/>
  <c r="B26" i="18"/>
  <c r="F176" i="14"/>
  <c r="U127" i="18"/>
  <c r="E181" i="18"/>
  <c r="T40" i="18"/>
  <c r="B50" i="18"/>
  <c r="O2" i="18"/>
  <c r="Q71" i="18"/>
  <c r="N146" i="18"/>
  <c r="G39" i="18"/>
  <c r="M74" i="18"/>
  <c r="N72" i="18"/>
  <c r="C47" i="18"/>
  <c r="C16" i="18"/>
  <c r="P145" i="18"/>
  <c r="AJ45" i="18"/>
  <c r="R45" i="18" s="1"/>
  <c r="Q22" i="18"/>
  <c r="F13" i="18"/>
  <c r="I93" i="18"/>
  <c r="F120" i="18"/>
  <c r="O141" i="18"/>
  <c r="P112" i="18"/>
  <c r="O98" i="18"/>
  <c r="N68" i="18"/>
  <c r="L20" i="18"/>
  <c r="O33" i="18"/>
  <c r="M103" i="18"/>
  <c r="O254" i="18"/>
  <c r="M46" i="18"/>
  <c r="L58" i="18"/>
  <c r="P70" i="18"/>
  <c r="M56" i="18"/>
  <c r="I7" i="18"/>
  <c r="K87" i="18"/>
  <c r="O47" i="18"/>
  <c r="C122" i="18"/>
  <c r="I37" i="18"/>
  <c r="C71" i="18"/>
  <c r="E66" i="18"/>
  <c r="E3" i="18"/>
  <c r="L116" i="18"/>
  <c r="Q98" i="18"/>
  <c r="K8" i="18"/>
  <c r="U110" i="18"/>
  <c r="M90" i="18"/>
  <c r="AJ47" i="18"/>
  <c r="R47" i="18" s="1"/>
  <c r="Q109" i="18"/>
  <c r="M126" i="18"/>
  <c r="K98" i="18"/>
  <c r="C105" i="18"/>
  <c r="Q82" i="18"/>
  <c r="Q184" i="18"/>
  <c r="C56" i="18"/>
  <c r="I76" i="18"/>
  <c r="F101" i="18"/>
  <c r="M67" i="18"/>
  <c r="D97" i="18"/>
  <c r="L51" i="18"/>
  <c r="Q126" i="18"/>
  <c r="L41" i="18"/>
  <c r="E39" i="18"/>
  <c r="Q107" i="18"/>
  <c r="L43" i="18"/>
  <c r="K86" i="18"/>
  <c r="B35" i="18"/>
  <c r="F132" i="18"/>
  <c r="K27" i="18"/>
  <c r="M117" i="18"/>
  <c r="Q60" i="18"/>
  <c r="M31" i="18"/>
  <c r="T120" i="18"/>
  <c r="J120" i="18"/>
  <c r="D40" i="18"/>
  <c r="C33" i="18"/>
  <c r="F77" i="18"/>
  <c r="D90" i="18"/>
  <c r="I121" i="18"/>
  <c r="M47" i="18"/>
  <c r="D78" i="18"/>
  <c r="E80" i="18"/>
  <c r="L104" i="18"/>
  <c r="O188" i="18"/>
  <c r="K41" i="18"/>
  <c r="Q128" i="18"/>
  <c r="E61" i="18"/>
  <c r="I131" i="18"/>
  <c r="D25" i="18"/>
  <c r="F10" i="18"/>
  <c r="O123" i="18"/>
  <c r="M42" i="18"/>
  <c r="F34" i="18"/>
  <c r="M63" i="18"/>
  <c r="F116" i="18"/>
  <c r="L98" i="18"/>
  <c r="O103" i="18"/>
  <c r="K105" i="18"/>
  <c r="D66" i="18"/>
  <c r="F39" i="18"/>
  <c r="Q19" i="18"/>
  <c r="M39" i="18"/>
  <c r="I25" i="18"/>
  <c r="E91" i="18"/>
  <c r="C106" i="18"/>
  <c r="B112" i="18"/>
  <c r="C120" i="14"/>
  <c r="B15" i="18"/>
  <c r="B18" i="18"/>
  <c r="U27" i="18"/>
  <c r="O72" i="18"/>
  <c r="B171" i="18"/>
  <c r="U18" i="18"/>
  <c r="B73" i="18"/>
  <c r="B30" i="18"/>
  <c r="F254" i="18"/>
  <c r="P86" i="18"/>
  <c r="O27" i="18"/>
  <c r="T59" i="18"/>
  <c r="D120" i="14"/>
  <c r="U26" i="18"/>
  <c r="B165" i="18"/>
  <c r="P104" i="18"/>
  <c r="P125" i="18"/>
  <c r="Q27" i="18"/>
  <c r="U66" i="18"/>
  <c r="T65" i="18"/>
  <c r="T198" i="18"/>
  <c r="O40" i="18"/>
  <c r="I191" i="18"/>
  <c r="Q20" i="18"/>
  <c r="H120" i="14"/>
  <c r="B92" i="18"/>
  <c r="T145" i="18"/>
  <c r="D125" i="18"/>
  <c r="H188" i="18"/>
  <c r="O31" i="18"/>
  <c r="B135" i="18"/>
  <c r="U78" i="18"/>
  <c r="U154" i="18"/>
  <c r="U12" i="18"/>
  <c r="P50" i="18"/>
  <c r="B38" i="18"/>
  <c r="N141" i="18"/>
  <c r="M97" i="18"/>
  <c r="Q90" i="18"/>
  <c r="Q25" i="18"/>
  <c r="K71" i="18"/>
  <c r="M73" i="18"/>
  <c r="C92" i="18"/>
  <c r="I14" i="18"/>
  <c r="W176" i="14"/>
  <c r="E27" i="18"/>
  <c r="AJ40" i="18"/>
  <c r="R40" i="18" s="1"/>
  <c r="C74" i="18"/>
  <c r="E43" i="18"/>
  <c r="E40" i="18"/>
  <c r="I94" i="18"/>
  <c r="D17" i="18"/>
  <c r="L23" i="18"/>
  <c r="M80" i="18"/>
  <c r="Q26" i="18"/>
  <c r="K58" i="18"/>
  <c r="L57" i="18"/>
  <c r="F83" i="18"/>
  <c r="AJ49" i="18"/>
  <c r="R49" i="18" s="1"/>
  <c r="Q152" i="18"/>
  <c r="L109" i="18"/>
  <c r="K55" i="18"/>
  <c r="D45" i="18"/>
  <c r="I36" i="18"/>
  <c r="C102" i="18"/>
  <c r="P82" i="18"/>
  <c r="O39" i="18"/>
  <c r="M30" i="18"/>
  <c r="Q6" i="18"/>
  <c r="D117" i="18"/>
  <c r="N82" i="18"/>
  <c r="E102" i="18"/>
  <c r="Q44" i="18"/>
  <c r="L110" i="18"/>
  <c r="E28" i="18"/>
  <c r="O14" i="18"/>
  <c r="M101" i="18"/>
  <c r="C42" i="18"/>
  <c r="I102" i="18"/>
  <c r="C73" i="18"/>
  <c r="C109" i="18"/>
  <c r="O92" i="18"/>
  <c r="P13" i="18"/>
  <c r="O10" i="18"/>
  <c r="I81" i="18"/>
  <c r="E78" i="18"/>
  <c r="N140" i="18"/>
  <c r="C72" i="18"/>
  <c r="E35" i="18"/>
  <c r="I71" i="18"/>
  <c r="Q189" i="18"/>
  <c r="L107" i="18"/>
  <c r="Q11" i="18"/>
  <c r="U96" i="18"/>
  <c r="Q95" i="18"/>
  <c r="F84" i="18"/>
  <c r="Q104" i="18"/>
  <c r="M100" i="18"/>
  <c r="E6" i="18"/>
  <c r="I108" i="18"/>
  <c r="E41" i="18"/>
  <c r="L49" i="18"/>
  <c r="Q57" i="18"/>
  <c r="T119" i="18"/>
  <c r="N181" i="18"/>
  <c r="O125" i="18"/>
  <c r="O87" i="18"/>
  <c r="B124" i="18"/>
  <c r="N79" i="18"/>
  <c r="B6" i="18"/>
  <c r="Q176" i="14"/>
  <c r="B111" i="18"/>
  <c r="U184" i="18"/>
  <c r="U200" i="18"/>
  <c r="U63" i="18"/>
  <c r="B191" i="18"/>
  <c r="B154" i="18"/>
  <c r="L176" i="14"/>
  <c r="B43" i="18"/>
  <c r="N103" i="18"/>
  <c r="H176" i="14"/>
  <c r="Q9" i="18"/>
  <c r="U190" i="18"/>
  <c r="N42" i="18"/>
  <c r="N39" i="18"/>
  <c r="U53" i="18"/>
  <c r="P6" i="18"/>
  <c r="P78" i="18"/>
  <c r="K191" i="18"/>
  <c r="T112" i="18"/>
  <c r="O16" i="18"/>
  <c r="B67" i="18"/>
  <c r="O166" i="18"/>
  <c r="N35" i="18"/>
  <c r="U68" i="18"/>
  <c r="P31" i="18"/>
  <c r="B78" i="18"/>
  <c r="F26" i="18"/>
  <c r="D88" i="18"/>
  <c r="C93" i="18"/>
  <c r="O128" i="18"/>
  <c r="I44" i="18"/>
  <c r="E146" i="18"/>
  <c r="I6" i="18"/>
  <c r="E104" i="18"/>
  <c r="D133" i="18"/>
  <c r="O77" i="18"/>
  <c r="L132" i="18"/>
  <c r="B62" i="18"/>
  <c r="L94" i="18"/>
  <c r="M15" i="18"/>
  <c r="M96" i="18"/>
  <c r="K5" i="18"/>
  <c r="Q16" i="18"/>
  <c r="C62" i="18"/>
  <c r="D87" i="18"/>
  <c r="F90" i="18"/>
  <c r="U44" i="18"/>
  <c r="F52" i="18"/>
  <c r="J132" i="18"/>
  <c r="B10" i="18"/>
  <c r="L26" i="18"/>
  <c r="Q127" i="18"/>
  <c r="F15" i="18"/>
  <c r="D19" i="18"/>
  <c r="P131" i="18"/>
  <c r="F98" i="18"/>
  <c r="K50" i="18"/>
  <c r="K88" i="18"/>
  <c r="E132" i="18"/>
  <c r="I73" i="18"/>
  <c r="F103" i="18"/>
  <c r="L38" i="18"/>
  <c r="L55" i="18"/>
  <c r="C121" i="18"/>
  <c r="E31" i="18"/>
  <c r="Q185" i="18"/>
  <c r="O6" i="18"/>
  <c r="Q7" i="18"/>
  <c r="D118" i="18"/>
  <c r="K53" i="18"/>
  <c r="Q106" i="18"/>
  <c r="M43" i="18"/>
  <c r="O36" i="18"/>
  <c r="E51" i="18"/>
  <c r="D59" i="18"/>
  <c r="Q183" i="18"/>
  <c r="C17" i="18"/>
  <c r="Q75" i="18"/>
  <c r="Q167" i="18"/>
  <c r="C90" i="18"/>
  <c r="O117" i="18"/>
  <c r="L39" i="18"/>
  <c r="D106" i="18"/>
  <c r="Q36" i="18"/>
  <c r="I8" i="18"/>
  <c r="E79" i="18"/>
  <c r="P20" i="18"/>
  <c r="D107" i="18"/>
  <c r="B46" i="18"/>
  <c r="I133" i="18"/>
  <c r="F118" i="18"/>
  <c r="Q39" i="18"/>
  <c r="F87" i="18"/>
  <c r="D102" i="18"/>
  <c r="D110" i="18"/>
  <c r="E73" i="18"/>
  <c r="Q66" i="18"/>
  <c r="F92" i="18"/>
  <c r="L87" i="18"/>
  <c r="Q190" i="18"/>
  <c r="I41" i="18"/>
  <c r="K114" i="18"/>
  <c r="B133" i="18"/>
  <c r="Q142" i="18"/>
  <c r="C115" i="18"/>
  <c r="P2" i="18"/>
  <c r="P83" i="18"/>
  <c r="M18" i="18"/>
  <c r="N13" i="18"/>
  <c r="O38" i="18"/>
  <c r="Q188" i="18"/>
  <c r="AJ43" i="18"/>
  <c r="R43" i="18" s="1"/>
  <c r="C112" i="18"/>
  <c r="I91" i="18"/>
  <c r="B94" i="18"/>
  <c r="Q199" i="18"/>
  <c r="S199" i="18" s="1"/>
  <c r="N2" i="18"/>
  <c r="O122" i="18"/>
  <c r="Q88" i="18"/>
  <c r="O112" i="18"/>
  <c r="B166" i="18"/>
  <c r="N67" i="18"/>
  <c r="B82" i="18"/>
  <c r="N128" i="18"/>
  <c r="T142" i="18"/>
  <c r="U124" i="18"/>
  <c r="B12" i="18"/>
  <c r="T57" i="18"/>
  <c r="F189" i="18"/>
  <c r="U140" i="18"/>
  <c r="B83" i="18"/>
  <c r="O51" i="18"/>
  <c r="U32" i="18"/>
  <c r="F136" i="18"/>
  <c r="U181" i="18"/>
  <c r="N38" i="18"/>
  <c r="T3" i="18"/>
  <c r="D254" i="18"/>
  <c r="K254" i="18"/>
  <c r="T116" i="18"/>
  <c r="I120" i="14"/>
  <c r="N102" i="18"/>
  <c r="B28" i="18"/>
  <c r="B90" i="18"/>
  <c r="T43" i="18"/>
  <c r="Q8" i="18"/>
  <c r="U39" i="18"/>
  <c r="F142" i="18"/>
  <c r="B93" i="18"/>
  <c r="T63" i="18"/>
  <c r="G166" i="18"/>
  <c r="E19" i="18"/>
  <c r="Q197" i="18"/>
  <c r="S197" i="18" s="1"/>
  <c r="K4" i="18"/>
  <c r="P122" i="18"/>
  <c r="E48" i="18"/>
  <c r="D63" i="18"/>
  <c r="C3" i="18"/>
  <c r="O46" i="18"/>
  <c r="K2" i="18"/>
  <c r="O113" i="18"/>
  <c r="Q47" i="18"/>
  <c r="I112" i="18"/>
  <c r="P100" i="18"/>
  <c r="I86" i="18"/>
  <c r="T24" i="18"/>
  <c r="F68" i="18"/>
  <c r="T79" i="18"/>
  <c r="O64" i="18"/>
  <c r="K59" i="18"/>
  <c r="F47" i="18"/>
  <c r="C43" i="18"/>
  <c r="K72" i="18"/>
  <c r="K23" i="18"/>
  <c r="K117" i="18"/>
  <c r="I40" i="18"/>
  <c r="M34" i="18"/>
  <c r="I58" i="18"/>
  <c r="N18" i="18"/>
  <c r="F21" i="18"/>
  <c r="I52" i="18"/>
  <c r="I68" i="18"/>
  <c r="Q84" i="18"/>
  <c r="F85" i="18"/>
  <c r="C113" i="18"/>
  <c r="L6" i="18"/>
  <c r="D24" i="18"/>
  <c r="C68" i="18"/>
  <c r="F23" i="18"/>
  <c r="L84" i="18"/>
  <c r="E167" i="18"/>
  <c r="C100" i="18"/>
  <c r="P139" i="18"/>
  <c r="K26" i="18"/>
  <c r="K67" i="18"/>
  <c r="F37" i="18"/>
  <c r="Q181" i="18"/>
  <c r="O104" i="18"/>
  <c r="Q59" i="18"/>
  <c r="K76" i="18"/>
  <c r="F78" i="18"/>
  <c r="I28" i="18"/>
  <c r="N80" i="18"/>
  <c r="C91" i="18"/>
  <c r="N17" i="18"/>
  <c r="I46" i="18"/>
  <c r="L79" i="18"/>
  <c r="K61" i="18"/>
  <c r="Q78" i="18"/>
  <c r="L28" i="18"/>
  <c r="E45" i="18"/>
  <c r="P16" i="18"/>
  <c r="C24" i="18"/>
  <c r="E119" i="18"/>
  <c r="H167" i="18"/>
  <c r="F89" i="18"/>
  <c r="G8" i="18"/>
  <c r="T100" i="18"/>
  <c r="K90" i="18"/>
  <c r="U120" i="18"/>
  <c r="E109" i="18"/>
  <c r="F44" i="18"/>
  <c r="C54" i="18"/>
  <c r="O57" i="18"/>
  <c r="L46" i="18"/>
  <c r="T98" i="18"/>
  <c r="T26" i="18"/>
  <c r="U77" i="18"/>
  <c r="K190" i="18"/>
  <c r="N3" i="18"/>
  <c r="B145" i="18"/>
  <c r="P136" i="18"/>
  <c r="I176" i="14"/>
  <c r="U165" i="18"/>
  <c r="K120" i="14"/>
  <c r="O152" i="18"/>
  <c r="P120" i="14"/>
  <c r="B115" i="18"/>
  <c r="T27" i="18"/>
  <c r="B41" i="18"/>
  <c r="B37" i="18"/>
  <c r="B33" i="18"/>
  <c r="T190" i="18"/>
  <c r="O114" i="18"/>
  <c r="P42" i="18"/>
  <c r="L68" i="18"/>
  <c r="T191" i="18"/>
  <c r="P54" i="18"/>
  <c r="N123" i="18"/>
  <c r="U82" i="18"/>
  <c r="D185" i="18"/>
  <c r="N52" i="18"/>
  <c r="N166" i="18"/>
  <c r="U123" i="18"/>
  <c r="K46" i="18"/>
  <c r="N153" i="18"/>
  <c r="Q99" i="18"/>
  <c r="O184" i="18"/>
  <c r="G135" i="18"/>
  <c r="Q119" i="18"/>
  <c r="I51" i="18"/>
  <c r="I30" i="18"/>
  <c r="D38" i="18"/>
  <c r="E4" i="18"/>
  <c r="Q37" i="18"/>
  <c r="L114" i="18"/>
  <c r="AJ41" i="18"/>
  <c r="R41" i="18" s="1"/>
  <c r="T102" i="18"/>
  <c r="N60" i="18"/>
  <c r="I43" i="18"/>
  <c r="F62" i="18"/>
  <c r="P37" i="18"/>
  <c r="L74" i="18"/>
  <c r="M53" i="18"/>
  <c r="K132" i="18"/>
  <c r="E96" i="18"/>
  <c r="M139" i="18"/>
  <c r="Q48" i="18"/>
  <c r="M86" i="18"/>
  <c r="P176" i="14"/>
  <c r="L120" i="18"/>
  <c r="D53" i="18"/>
  <c r="I107" i="18"/>
  <c r="Q31" i="18"/>
  <c r="I47" i="18"/>
  <c r="B52" i="18"/>
  <c r="M99" i="18"/>
  <c r="K95" i="18"/>
  <c r="C21" i="18"/>
  <c r="E11" i="18"/>
  <c r="K101" i="18"/>
  <c r="E57" i="18"/>
  <c r="F17" i="18"/>
  <c r="O58" i="18"/>
  <c r="Q68" i="18"/>
  <c r="Q72" i="18"/>
  <c r="I5" i="18"/>
  <c r="N24" i="18"/>
  <c r="M28" i="18"/>
  <c r="O35" i="18"/>
  <c r="K42" i="18"/>
  <c r="B103" i="18"/>
  <c r="K70" i="18"/>
  <c r="E63" i="18"/>
  <c r="D82" i="18"/>
  <c r="K83" i="18"/>
  <c r="O94" i="18"/>
  <c r="Q97" i="18"/>
  <c r="E69" i="18"/>
  <c r="B20" i="18"/>
  <c r="N27" i="18"/>
  <c r="L34" i="18"/>
  <c r="L40" i="18"/>
  <c r="D71" i="18"/>
  <c r="M25" i="18"/>
  <c r="N132" i="18"/>
  <c r="C38" i="18"/>
  <c r="J120" i="14"/>
  <c r="D23" i="18"/>
  <c r="Q136" i="18"/>
  <c r="I62" i="18"/>
  <c r="B136" i="18"/>
  <c r="Q63" i="18"/>
  <c r="C77" i="18"/>
  <c r="I118" i="18"/>
  <c r="I15" i="18"/>
  <c r="B40" i="18"/>
  <c r="K116" i="18"/>
  <c r="O66" i="18"/>
  <c r="K35" i="18"/>
  <c r="Q191" i="18"/>
  <c r="D52" i="18"/>
  <c r="Q101" i="18"/>
  <c r="L102" i="18"/>
  <c r="K189" i="18"/>
  <c r="M176" i="14"/>
  <c r="O60" i="18"/>
  <c r="O25" i="18"/>
  <c r="N61" i="18"/>
  <c r="B74" i="18"/>
  <c r="U75" i="18"/>
  <c r="U108" i="18"/>
  <c r="U141" i="18"/>
  <c r="P58" i="18"/>
  <c r="L10" i="18"/>
  <c r="B122" i="18"/>
  <c r="D191" i="18"/>
  <c r="H152" i="18"/>
  <c r="U121" i="18"/>
  <c r="P161" i="18"/>
  <c r="N14" i="18"/>
  <c r="J184" i="18"/>
  <c r="T86" i="18"/>
  <c r="U117" i="18"/>
  <c r="O67" i="18"/>
  <c r="P124" i="18"/>
  <c r="B59" i="18"/>
  <c r="B114" i="18"/>
  <c r="T51" i="18"/>
  <c r="Q198" i="18"/>
  <c r="S198" i="18" s="1"/>
  <c r="P73" i="18"/>
  <c r="J190" i="18"/>
  <c r="D145" i="18"/>
  <c r="B42" i="18"/>
  <c r="T153" i="18"/>
  <c r="E115" i="18"/>
  <c r="N15" i="18"/>
  <c r="I54" i="18"/>
  <c r="K120" i="18"/>
  <c r="E74" i="18"/>
  <c r="I20" i="18"/>
  <c r="O41" i="18"/>
  <c r="O61" i="18"/>
  <c r="L17" i="18"/>
  <c r="K7" i="18"/>
  <c r="U189" i="18"/>
  <c r="L167" i="18"/>
  <c r="D68" i="18"/>
  <c r="E49" i="18"/>
  <c r="F43" i="18"/>
  <c r="Q139" i="18"/>
  <c r="F99" i="18"/>
  <c r="I4" i="18"/>
  <c r="Q74" i="18"/>
  <c r="D95" i="18"/>
  <c r="L31" i="18"/>
  <c r="D2" i="18"/>
  <c r="F113" i="18"/>
  <c r="Q85" i="18"/>
  <c r="K103" i="18"/>
  <c r="E81" i="18"/>
  <c r="N167" i="18"/>
  <c r="N188" i="18"/>
  <c r="I82" i="18"/>
  <c r="M82" i="18"/>
  <c r="P184" i="18"/>
  <c r="E72" i="18"/>
  <c r="Q61" i="18"/>
  <c r="P48" i="18"/>
  <c r="P34" i="18"/>
  <c r="E116" i="18"/>
  <c r="I87" i="18"/>
  <c r="K79" i="18"/>
  <c r="Q2" i="18"/>
  <c r="D167" i="18"/>
  <c r="D104" i="18"/>
  <c r="F25" i="18"/>
  <c r="F106" i="18"/>
  <c r="P107" i="18"/>
  <c r="C84" i="18"/>
  <c r="Q124" i="18"/>
  <c r="F55" i="18"/>
  <c r="M92" i="18"/>
  <c r="I116" i="18"/>
  <c r="C176" i="14"/>
  <c r="L8" i="18"/>
  <c r="F88" i="18"/>
  <c r="L12" i="18"/>
  <c r="O136" i="18"/>
  <c r="E13" i="18"/>
  <c r="O126" i="18"/>
  <c r="F6" i="18"/>
  <c r="M109" i="18"/>
  <c r="L117" i="18"/>
  <c r="C29" i="18"/>
  <c r="M13" i="18"/>
  <c r="I92" i="18"/>
  <c r="O48" i="18"/>
  <c r="K107" i="18"/>
  <c r="F2" i="18"/>
  <c r="L73" i="18"/>
  <c r="Q56" i="18"/>
  <c r="L63" i="18"/>
  <c r="Q43" i="18"/>
  <c r="B176" i="14"/>
  <c r="BH176" i="14" s="1"/>
  <c r="B110" i="18"/>
  <c r="Q130" i="18"/>
  <c r="F48" i="18"/>
  <c r="F73" i="18"/>
  <c r="K63" i="18"/>
  <c r="P11" i="18"/>
  <c r="M44" i="18"/>
  <c r="Q91" i="18"/>
  <c r="C28" i="18"/>
  <c r="Q123" i="18"/>
  <c r="B4" i="18"/>
  <c r="P90" i="18"/>
  <c r="N121" i="18"/>
  <c r="C137" i="18"/>
  <c r="O18" i="18"/>
  <c r="U93" i="18"/>
  <c r="T88" i="18"/>
  <c r="U100" i="18"/>
  <c r="P60" i="18"/>
  <c r="S120" i="14"/>
  <c r="N125" i="18"/>
  <c r="O26" i="18"/>
  <c r="Q64" i="18"/>
  <c r="O4" i="18"/>
  <c r="T122" i="18"/>
  <c r="Q120" i="14"/>
  <c r="P154" i="18"/>
  <c r="W2" i="26"/>
  <c r="U33" i="18"/>
  <c r="U254" i="18"/>
  <c r="O120" i="14"/>
  <c r="U14" i="18"/>
  <c r="K131" i="18"/>
  <c r="B21" i="18"/>
  <c r="B146" i="18"/>
  <c r="B80" i="18"/>
  <c r="P127" i="18"/>
  <c r="N73" i="18"/>
  <c r="I188" i="18"/>
  <c r="U52" i="18"/>
  <c r="P35" i="18"/>
  <c r="B123" i="18"/>
  <c r="G50" i="18"/>
  <c r="M57" i="18"/>
  <c r="M119" i="18"/>
  <c r="V2" i="26"/>
  <c r="D13" i="18"/>
  <c r="B132" i="18"/>
  <c r="I16" i="18"/>
  <c r="U16" i="18"/>
  <c r="C14" i="18"/>
  <c r="I84" i="18"/>
  <c r="O91" i="18"/>
  <c r="F130" i="18"/>
  <c r="Q28" i="18"/>
  <c r="L95" i="18"/>
  <c r="U95" i="18"/>
  <c r="I2" i="18"/>
  <c r="D120" i="18"/>
  <c r="P103" i="18"/>
  <c r="C103" i="18"/>
  <c r="O124" i="18"/>
  <c r="D101" i="18"/>
  <c r="Q117" i="18"/>
  <c r="M65" i="18"/>
  <c r="F12" i="18"/>
  <c r="O108" i="18"/>
  <c r="F76" i="18"/>
  <c r="K16" i="18"/>
  <c r="C52" i="18"/>
  <c r="M49" i="18"/>
  <c r="C79" i="18"/>
  <c r="G132" i="18"/>
  <c r="M81" i="18"/>
  <c r="T127" i="18"/>
  <c r="I109" i="18"/>
  <c r="O75" i="18"/>
  <c r="P15" i="18"/>
  <c r="I83" i="18"/>
  <c r="D93" i="18"/>
  <c r="D7" i="18"/>
  <c r="M75" i="18"/>
  <c r="P26" i="18"/>
  <c r="M167" i="18"/>
  <c r="L103" i="18"/>
  <c r="B125" i="18"/>
  <c r="F104" i="18"/>
  <c r="K22" i="18"/>
  <c r="D69" i="18"/>
  <c r="L145" i="18"/>
  <c r="Q122" i="18"/>
  <c r="C97" i="18"/>
  <c r="M79" i="18"/>
  <c r="B84" i="18"/>
  <c r="E68" i="18"/>
  <c r="P93" i="18"/>
  <c r="F117" i="18"/>
  <c r="D10" i="18"/>
  <c r="E117" i="18"/>
  <c r="F41" i="18"/>
  <c r="I75" i="18"/>
  <c r="C50" i="18"/>
  <c r="M95" i="18"/>
  <c r="B161" i="18"/>
  <c r="M50" i="18"/>
  <c r="E56" i="18"/>
  <c r="D57" i="18"/>
  <c r="I35" i="18"/>
  <c r="K9" i="18"/>
  <c r="P22" i="18"/>
  <c r="K52" i="18"/>
  <c r="Q14" i="18"/>
  <c r="O5" i="18"/>
  <c r="U120" i="14"/>
  <c r="I95" i="18"/>
  <c r="C48" i="18"/>
  <c r="F93" i="18"/>
  <c r="M14" i="18"/>
  <c r="C60" i="18"/>
  <c r="K68" i="18"/>
  <c r="O53" i="18"/>
  <c r="U76" i="18"/>
  <c r="T146" i="18"/>
  <c r="B131" i="18"/>
  <c r="U183" i="18"/>
  <c r="K133" i="18"/>
  <c r="U34" i="18"/>
  <c r="U152" i="18"/>
  <c r="O144" i="18"/>
  <c r="B100" i="18"/>
  <c r="B129" i="18"/>
  <c r="P101" i="18"/>
  <c r="B144" i="18"/>
  <c r="N113" i="18"/>
  <c r="P113" i="18"/>
  <c r="T7" i="18"/>
  <c r="T21" i="18"/>
  <c r="B109" i="18"/>
  <c r="F36" i="18"/>
  <c r="U90" i="18"/>
  <c r="U197" i="18"/>
  <c r="I140" i="18"/>
  <c r="B254" i="18"/>
  <c r="B58" i="18"/>
  <c r="N5" i="18"/>
  <c r="P77" i="18"/>
  <c r="T47" i="18"/>
  <c r="O82" i="18"/>
  <c r="Q166" i="18"/>
  <c r="N69" i="18"/>
  <c r="T55" i="18"/>
  <c r="T181" i="18"/>
  <c r="E189" i="18"/>
  <c r="U191" i="18"/>
  <c r="P185" i="18"/>
  <c r="X120" i="14"/>
  <c r="Q46" i="18"/>
  <c r="P119" i="18"/>
  <c r="K167" i="18"/>
  <c r="K111" i="18"/>
  <c r="F74" i="18"/>
  <c r="C87" i="18"/>
  <c r="C133" i="18"/>
  <c r="B113" i="18"/>
  <c r="D55" i="18"/>
  <c r="C69" i="18"/>
  <c r="E92" i="18"/>
  <c r="O22" i="18"/>
  <c r="M6" i="18"/>
  <c r="L97" i="18"/>
  <c r="C86" i="18"/>
  <c r="Q102" i="18"/>
  <c r="K82" i="18"/>
  <c r="Q49" i="18"/>
  <c r="I88" i="18"/>
  <c r="D81" i="18"/>
  <c r="C110" i="18"/>
  <c r="K77" i="18"/>
  <c r="P108" i="18"/>
  <c r="O49" i="18"/>
  <c r="D26" i="18"/>
  <c r="K45" i="18"/>
  <c r="C114" i="18"/>
  <c r="K37" i="18"/>
  <c r="C51" i="18"/>
  <c r="D108" i="18"/>
  <c r="F57" i="18"/>
  <c r="B127" i="18"/>
  <c r="K56" i="18"/>
  <c r="B64" i="18"/>
  <c r="D36" i="18"/>
  <c r="C34" i="18"/>
  <c r="B9" i="18"/>
  <c r="F9" i="18"/>
  <c r="L67" i="18"/>
  <c r="F131" i="18"/>
  <c r="Q110" i="18"/>
  <c r="I113" i="18"/>
  <c r="L76" i="18"/>
  <c r="L71" i="18"/>
  <c r="M7" i="18"/>
  <c r="B167" i="18"/>
  <c r="P120" i="18"/>
  <c r="I49" i="18"/>
  <c r="N50" i="18"/>
  <c r="T71" i="18"/>
  <c r="I65" i="18"/>
  <c r="P32" i="18"/>
  <c r="E121" i="18"/>
  <c r="I97" i="18"/>
  <c r="I34" i="18"/>
  <c r="Q92" i="18"/>
  <c r="F91" i="18"/>
  <c r="E50" i="18"/>
  <c r="E89" i="18"/>
  <c r="H131" i="18"/>
  <c r="E118" i="18"/>
  <c r="K24" i="18"/>
  <c r="Q42" i="18"/>
  <c r="Q38" i="18"/>
  <c r="I66" i="18"/>
  <c r="Q93" i="18"/>
  <c r="P10" i="18"/>
  <c r="Q69" i="18"/>
  <c r="U167" i="18"/>
  <c r="O45" i="18"/>
  <c r="M2" i="18"/>
  <c r="Q67" i="18"/>
  <c r="L70" i="18"/>
  <c r="L93" i="18"/>
  <c r="E2" i="18"/>
  <c r="C57" i="18"/>
  <c r="L100" i="18"/>
  <c r="M112" i="18"/>
  <c r="N184" i="18"/>
  <c r="P144" i="18"/>
  <c r="E22" i="18"/>
  <c r="E131" i="18"/>
  <c r="C107" i="18"/>
  <c r="K97" i="18"/>
  <c r="E47" i="18"/>
  <c r="F60" i="18"/>
  <c r="O120" i="18"/>
  <c r="D12" i="18"/>
  <c r="C67" i="18"/>
  <c r="I48" i="18"/>
  <c r="D65" i="18"/>
  <c r="M88" i="18"/>
  <c r="K64" i="18"/>
  <c r="M102" i="18"/>
  <c r="L9" i="18"/>
  <c r="L18" i="18"/>
  <c r="P146" i="18"/>
  <c r="I110" i="18"/>
  <c r="E112" i="18"/>
  <c r="D11" i="18"/>
  <c r="E5" i="18"/>
  <c r="L47" i="18"/>
  <c r="B96" i="18"/>
  <c r="P46" i="18"/>
  <c r="O167" i="18"/>
  <c r="D86" i="18"/>
  <c r="E153" i="18"/>
  <c r="E128" i="18"/>
  <c r="J139" i="18"/>
  <c r="F63" i="18"/>
  <c r="D20" i="18"/>
  <c r="L166" i="18"/>
  <c r="I115" i="18"/>
  <c r="D31" i="18"/>
  <c r="M136" i="18"/>
  <c r="C20" i="18"/>
  <c r="D16" i="18"/>
  <c r="E126" i="18"/>
  <c r="D165" i="18"/>
  <c r="C135" i="18"/>
  <c r="H191" i="18"/>
  <c r="C10" i="18"/>
  <c r="I69" i="18"/>
  <c r="F110" i="18"/>
  <c r="E124" i="18"/>
  <c r="I104" i="18"/>
  <c r="E44" i="18"/>
  <c r="E139" i="18"/>
  <c r="D122" i="18"/>
  <c r="E21" i="18"/>
  <c r="C128" i="18"/>
  <c r="C153" i="18"/>
  <c r="J153" i="18"/>
  <c r="D96" i="18"/>
  <c r="M183" i="18"/>
  <c r="K137" i="18"/>
  <c r="D144" i="18"/>
  <c r="D154" i="18"/>
  <c r="H137" i="18"/>
  <c r="I42" i="18"/>
  <c r="C142" i="18"/>
  <c r="E17" i="18"/>
  <c r="I45" i="18"/>
  <c r="L139" i="18"/>
  <c r="L7" i="18"/>
  <c r="I137" i="18"/>
  <c r="L181" i="18"/>
  <c r="M145" i="18"/>
  <c r="M152" i="18"/>
  <c r="E188" i="18"/>
  <c r="L188" i="18"/>
  <c r="T135" i="18"/>
  <c r="T30" i="18"/>
  <c r="N254" i="18"/>
  <c r="F24" i="18"/>
  <c r="U176" i="14"/>
  <c r="P99" i="18"/>
  <c r="Q35" i="18"/>
  <c r="T120" i="14"/>
  <c r="U166" i="18"/>
  <c r="F5" i="18"/>
  <c r="U21" i="18"/>
  <c r="T188" i="18"/>
  <c r="N26" i="18"/>
  <c r="U115" i="18"/>
  <c r="P110" i="18"/>
  <c r="P121" i="18"/>
  <c r="U119" i="18"/>
  <c r="T189" i="18"/>
  <c r="T67" i="18"/>
  <c r="I111" i="18"/>
  <c r="E70" i="18"/>
  <c r="F54" i="18"/>
  <c r="K102" i="18"/>
  <c r="C61" i="18"/>
  <c r="L78" i="18"/>
  <c r="O89" i="18"/>
  <c r="P98" i="18"/>
  <c r="M71" i="18"/>
  <c r="U103" i="18"/>
  <c r="Q29" i="18"/>
  <c r="O23" i="18"/>
  <c r="F71" i="18"/>
  <c r="L90" i="18"/>
  <c r="Q111" i="18"/>
  <c r="B128" i="18"/>
  <c r="C11" i="18"/>
  <c r="L59" i="18"/>
  <c r="F19" i="18"/>
  <c r="M125" i="18"/>
  <c r="L135" i="18"/>
  <c r="C25" i="18"/>
  <c r="M48" i="18"/>
  <c r="M118" i="18"/>
  <c r="E34" i="18"/>
  <c r="D64" i="18"/>
  <c r="M190" i="18"/>
  <c r="C65" i="18"/>
  <c r="J189" i="18"/>
  <c r="F184" i="18"/>
  <c r="L96" i="18"/>
  <c r="C145" i="18"/>
  <c r="I139" i="18"/>
  <c r="G189" i="18"/>
  <c r="D130" i="18"/>
  <c r="H146" i="18"/>
  <c r="L170" i="18"/>
  <c r="D188" i="18"/>
  <c r="I136" i="18"/>
  <c r="I18" i="18"/>
  <c r="F29" i="18"/>
  <c r="E103" i="18"/>
  <c r="L184" i="18"/>
  <c r="C188" i="18"/>
  <c r="C30" i="18"/>
  <c r="B139" i="18"/>
  <c r="D28" i="18"/>
  <c r="M128" i="18"/>
  <c r="C37" i="18"/>
  <c r="E42" i="18"/>
  <c r="L128" i="18"/>
  <c r="F144" i="18"/>
  <c r="F96" i="18"/>
  <c r="O106" i="18"/>
  <c r="K146" i="18"/>
  <c r="H184" i="18"/>
  <c r="E154" i="18"/>
  <c r="L4" i="18"/>
  <c r="K166" i="18"/>
  <c r="C76" i="18"/>
  <c r="I184" i="18"/>
  <c r="J165" i="18"/>
  <c r="H161" i="18"/>
  <c r="C66" i="18"/>
  <c r="K32" i="18"/>
  <c r="D166" i="18"/>
  <c r="U88" i="18"/>
  <c r="B27" i="18"/>
  <c r="N117" i="18"/>
  <c r="N47" i="18"/>
  <c r="U137" i="18"/>
  <c r="N11" i="18"/>
  <c r="B65" i="18"/>
  <c r="Q108" i="18"/>
  <c r="O140" i="18"/>
  <c r="O34" i="18"/>
  <c r="B153" i="18"/>
  <c r="Q77" i="18"/>
  <c r="U38" i="18"/>
  <c r="B141" i="18"/>
  <c r="I39" i="18"/>
  <c r="K21" i="18"/>
  <c r="D113" i="18"/>
  <c r="D18" i="18"/>
  <c r="M87" i="18"/>
  <c r="P66" i="18"/>
  <c r="L121" i="18"/>
  <c r="T2" i="18"/>
  <c r="P52" i="18"/>
  <c r="I190" i="18"/>
  <c r="B25" i="18"/>
  <c r="L92" i="18"/>
  <c r="H133" i="18"/>
  <c r="E100" i="18"/>
  <c r="F95" i="18"/>
  <c r="D137" i="18"/>
  <c r="F145" i="18"/>
  <c r="I153" i="18"/>
  <c r="L152" i="18"/>
  <c r="E25" i="18"/>
  <c r="U92" i="18"/>
  <c r="J154" i="18"/>
  <c r="C40" i="18"/>
  <c r="H170" i="18"/>
  <c r="D141" i="18"/>
  <c r="H165" i="18"/>
  <c r="C165" i="18"/>
  <c r="C181" i="18"/>
  <c r="F42" i="18"/>
  <c r="M161" i="18"/>
  <c r="F124" i="18"/>
  <c r="E129" i="18"/>
  <c r="I125" i="18"/>
  <c r="I165" i="18"/>
  <c r="E12" i="18"/>
  <c r="C27" i="18"/>
  <c r="D80" i="18"/>
  <c r="H153" i="18"/>
  <c r="F152" i="18"/>
  <c r="F137" i="18"/>
  <c r="D29" i="18"/>
  <c r="F122" i="18"/>
  <c r="E140" i="18"/>
  <c r="L75" i="18"/>
  <c r="C12" i="18"/>
  <c r="H141" i="18"/>
  <c r="P89" i="18"/>
  <c r="M58" i="18"/>
  <c r="H154" i="18"/>
  <c r="E144" i="18"/>
  <c r="K135" i="18"/>
  <c r="U29" i="18"/>
  <c r="K73" i="18"/>
  <c r="K128" i="18"/>
  <c r="C126" i="18"/>
  <c r="P165" i="18"/>
  <c r="B56" i="18"/>
  <c r="J188" i="18"/>
  <c r="P30" i="18"/>
  <c r="B104" i="18"/>
  <c r="I189" i="18"/>
  <c r="R120" i="14"/>
  <c r="U89" i="18"/>
  <c r="N90" i="18"/>
  <c r="D176" i="14"/>
  <c r="B66" i="18"/>
  <c r="P96" i="18"/>
  <c r="B11" i="18"/>
  <c r="K145" i="18"/>
  <c r="U91" i="18"/>
  <c r="B188" i="18"/>
  <c r="D135" i="18"/>
  <c r="F58" i="18"/>
  <c r="F80" i="18"/>
  <c r="K31" i="18"/>
  <c r="S176" i="14"/>
  <c r="D8" i="18"/>
  <c r="K109" i="18"/>
  <c r="F86" i="18"/>
  <c r="D73" i="18"/>
  <c r="O85" i="18"/>
  <c r="D94" i="18"/>
  <c r="K14" i="18"/>
  <c r="K47" i="18"/>
  <c r="M130" i="18"/>
  <c r="K126" i="18"/>
  <c r="O71" i="18"/>
  <c r="E125" i="18"/>
  <c r="L21" i="18"/>
  <c r="E123" i="18"/>
  <c r="C31" i="18"/>
  <c r="M104" i="18"/>
  <c r="K136" i="18"/>
  <c r="C41" i="18"/>
  <c r="M37" i="18"/>
  <c r="E33" i="18"/>
  <c r="J185" i="18"/>
  <c r="I22" i="18"/>
  <c r="J145" i="18"/>
  <c r="E170" i="18"/>
  <c r="C144" i="18"/>
  <c r="J191" i="18"/>
  <c r="G190" i="18"/>
  <c r="C85" i="18"/>
  <c r="K43" i="18"/>
  <c r="D146" i="18"/>
  <c r="M181" i="18"/>
  <c r="I130" i="18"/>
  <c r="E93" i="18"/>
  <c r="F188" i="18"/>
  <c r="D127" i="18"/>
  <c r="M142" i="18"/>
  <c r="J181" i="18"/>
  <c r="L42" i="18"/>
  <c r="K130" i="18"/>
  <c r="D51" i="18"/>
  <c r="E136" i="18"/>
  <c r="C127" i="18"/>
  <c r="I141" i="18"/>
  <c r="U30" i="18"/>
  <c r="U126" i="18"/>
  <c r="B8" i="18"/>
  <c r="U48" i="18"/>
  <c r="U84" i="18"/>
  <c r="D126" i="18"/>
  <c r="O42" i="18"/>
  <c r="N136" i="18"/>
  <c r="B54" i="18"/>
  <c r="B3" i="18"/>
  <c r="O24" i="18"/>
  <c r="B22" i="18"/>
  <c r="O181" i="18"/>
  <c r="B81" i="18"/>
  <c r="U45" i="18"/>
  <c r="P8" i="18"/>
  <c r="B142" i="18"/>
  <c r="N41" i="18"/>
  <c r="T73" i="18"/>
  <c r="O70" i="18"/>
  <c r="B91" i="18"/>
  <c r="P65" i="18"/>
  <c r="K96" i="18"/>
  <c r="M51" i="18"/>
  <c r="H132" i="18"/>
  <c r="Q87" i="18"/>
  <c r="K20" i="18"/>
  <c r="E113" i="18"/>
  <c r="P142" i="18"/>
  <c r="D74" i="18"/>
  <c r="C167" i="18"/>
  <c r="D3" i="18"/>
  <c r="M132" i="18"/>
  <c r="B47" i="18"/>
  <c r="E145" i="18"/>
  <c r="M41" i="18"/>
  <c r="N105" i="18"/>
  <c r="I124" i="18"/>
  <c r="G183" i="18"/>
  <c r="L123" i="18"/>
  <c r="M93" i="18"/>
  <c r="M135" i="18"/>
  <c r="I55" i="18"/>
  <c r="O101" i="18"/>
  <c r="J183" i="18"/>
  <c r="L2" i="18"/>
  <c r="L189" i="18"/>
  <c r="F128" i="18"/>
  <c r="D190" i="18"/>
  <c r="F161" i="18"/>
  <c r="G185" i="18"/>
  <c r="E26" i="18"/>
  <c r="D22" i="18"/>
  <c r="K92" i="18"/>
  <c r="C124" i="18"/>
  <c r="I166" i="18"/>
  <c r="M8" i="18"/>
  <c r="F7" i="18"/>
  <c r="M26" i="18"/>
  <c r="M144" i="18"/>
  <c r="C191" i="18"/>
  <c r="L122" i="18"/>
  <c r="J142" i="18"/>
  <c r="E190" i="18"/>
  <c r="D62" i="18"/>
  <c r="K165" i="18"/>
  <c r="C140" i="18"/>
  <c r="G184" i="18"/>
  <c r="F27" i="18"/>
  <c r="E23" i="18"/>
  <c r="E114" i="18"/>
  <c r="H145" i="18"/>
  <c r="N135" i="18"/>
  <c r="J254" i="18"/>
  <c r="T31" i="18"/>
  <c r="N100" i="18"/>
  <c r="W120" i="14"/>
  <c r="O55" i="18"/>
  <c r="O43" i="18"/>
  <c r="N46" i="18"/>
  <c r="P115" i="18"/>
  <c r="O93" i="18"/>
  <c r="P123" i="18"/>
  <c r="B45" i="18"/>
  <c r="N118" i="18"/>
  <c r="F165" i="18"/>
  <c r="H185" i="18"/>
  <c r="M85" i="18"/>
  <c r="K93" i="18"/>
  <c r="U54" i="18"/>
  <c r="P188" i="18"/>
  <c r="O74" i="18"/>
  <c r="K91" i="18"/>
  <c r="F72" i="18"/>
  <c r="P153" i="18"/>
  <c r="F61" i="18"/>
  <c r="J167" i="18"/>
  <c r="L36" i="18"/>
  <c r="I24" i="18"/>
  <c r="M107" i="18"/>
  <c r="F121" i="18"/>
  <c r="L105" i="18"/>
  <c r="I27" i="18"/>
  <c r="K12" i="18"/>
  <c r="F31" i="18"/>
  <c r="P97" i="18"/>
  <c r="C15" i="18"/>
  <c r="F100" i="18"/>
  <c r="M52" i="18"/>
  <c r="T84" i="18"/>
  <c r="C125" i="18"/>
  <c r="F112" i="18"/>
  <c r="F53" i="18"/>
  <c r="D124" i="18"/>
  <c r="D183" i="18"/>
  <c r="M20" i="18"/>
  <c r="D92" i="18"/>
  <c r="J133" i="18"/>
  <c r="C139" i="18"/>
  <c r="I89" i="18"/>
  <c r="I145" i="18"/>
  <c r="C154" i="18"/>
  <c r="M170" i="18"/>
  <c r="O37" i="18"/>
  <c r="C6" i="18"/>
  <c r="E37" i="18"/>
  <c r="M129" i="18"/>
  <c r="D61" i="18"/>
  <c r="Q52" i="18"/>
  <c r="H144" i="18"/>
  <c r="G188" i="18"/>
  <c r="F166" i="18"/>
  <c r="R176" i="14"/>
  <c r="Q15" i="18"/>
  <c r="H166" i="18"/>
  <c r="G181" i="18"/>
  <c r="M45" i="18"/>
  <c r="D112" i="18"/>
  <c r="D21" i="18"/>
  <c r="F94" i="18"/>
  <c r="E184" i="18"/>
  <c r="D49" i="18"/>
  <c r="L127" i="18"/>
  <c r="E76" i="18"/>
  <c r="F126" i="18"/>
  <c r="F153" i="18"/>
  <c r="C146" i="18"/>
  <c r="K188" i="18"/>
  <c r="I13" i="18"/>
  <c r="D136" i="18"/>
  <c r="L3" i="18"/>
  <c r="M60" i="18"/>
  <c r="C123" i="18"/>
  <c r="D41" i="18"/>
  <c r="C4" i="18"/>
  <c r="E105" i="18"/>
  <c r="P3" i="18"/>
  <c r="N101" i="18"/>
  <c r="P76" i="18"/>
  <c r="B85" i="18"/>
  <c r="U199" i="18"/>
  <c r="P111" i="18"/>
  <c r="N120" i="14"/>
  <c r="U3" i="18"/>
  <c r="K141" i="18"/>
  <c r="T103" i="18"/>
  <c r="P141" i="18"/>
  <c r="T68" i="18"/>
  <c r="B5" i="18"/>
  <c r="U105" i="18"/>
  <c r="O110" i="18"/>
  <c r="M78" i="18"/>
  <c r="P27" i="18"/>
  <c r="I96" i="18"/>
  <c r="D109" i="18"/>
  <c r="L83" i="18"/>
  <c r="K17" i="18"/>
  <c r="L120" i="14"/>
  <c r="L53" i="18"/>
  <c r="F120" i="14"/>
  <c r="K115" i="18"/>
  <c r="N71" i="18"/>
  <c r="C119" i="18"/>
  <c r="L113" i="18"/>
  <c r="B87" i="18"/>
  <c r="F69" i="18"/>
  <c r="F105" i="18"/>
  <c r="F183" i="18"/>
  <c r="F108" i="18"/>
  <c r="C19" i="18"/>
  <c r="C7" i="18"/>
  <c r="E32" i="18"/>
  <c r="M36" i="18"/>
  <c r="D30" i="18"/>
  <c r="M153" i="18"/>
  <c r="J144" i="18"/>
  <c r="C2" i="18"/>
  <c r="C18" i="18"/>
  <c r="H142" i="18"/>
  <c r="M12" i="18"/>
  <c r="I183" i="18"/>
  <c r="J136" i="18"/>
  <c r="J161" i="18"/>
  <c r="L146" i="18"/>
  <c r="I185" i="18"/>
  <c r="K161" i="18"/>
  <c r="M35" i="18"/>
  <c r="I142" i="18"/>
  <c r="J140" i="18"/>
  <c r="M32" i="18"/>
  <c r="E142" i="18"/>
  <c r="C170" i="18"/>
  <c r="I161" i="18"/>
  <c r="L141" i="18"/>
  <c r="D123" i="18"/>
  <c r="B130" i="18"/>
  <c r="I127" i="18"/>
  <c r="K124" i="18"/>
  <c r="L161" i="18"/>
  <c r="F4" i="18"/>
  <c r="L190" i="18"/>
  <c r="K119" i="18"/>
  <c r="E185" i="18"/>
  <c r="O139" i="18"/>
  <c r="N126" i="18"/>
  <c r="T125" i="18"/>
  <c r="P38" i="18"/>
  <c r="J176" i="14"/>
  <c r="U2" i="18"/>
  <c r="M123" i="18"/>
  <c r="B49" i="18"/>
  <c r="F170" i="18"/>
  <c r="B7" i="18"/>
  <c r="B32" i="18"/>
  <c r="U58" i="18"/>
  <c r="L119" i="18"/>
  <c r="M111" i="18"/>
  <c r="C36" i="18"/>
  <c r="K44" i="18"/>
  <c r="Y2" i="26"/>
  <c r="T254" i="18"/>
  <c r="E64" i="18"/>
  <c r="I78" i="18"/>
  <c r="C131" i="18"/>
  <c r="C13" i="18"/>
  <c r="M5" i="18"/>
  <c r="P114" i="18"/>
  <c r="P63" i="18"/>
  <c r="I32" i="18"/>
  <c r="L60" i="18"/>
  <c r="M33" i="18"/>
  <c r="E55" i="18"/>
  <c r="I59" i="18"/>
  <c r="L144" i="18"/>
  <c r="Q33" i="18"/>
  <c r="L142" i="18"/>
  <c r="E137" i="18"/>
  <c r="C39" i="18"/>
  <c r="M77" i="18"/>
  <c r="L124" i="18"/>
  <c r="F33" i="18"/>
  <c r="J141" i="18"/>
  <c r="L185" i="18"/>
  <c r="I17" i="18"/>
  <c r="K51" i="18"/>
  <c r="F129" i="18"/>
  <c r="L50" i="18"/>
  <c r="L125" i="18"/>
  <c r="K185" i="18"/>
  <c r="K29" i="18"/>
  <c r="D181" i="18"/>
  <c r="G191" i="18"/>
  <c r="F35" i="18"/>
  <c r="K15" i="18"/>
  <c r="C189" i="18"/>
  <c r="I31" i="18"/>
  <c r="L24" i="18"/>
  <c r="E183" i="18"/>
  <c r="F28" i="18"/>
  <c r="U142" i="18"/>
  <c r="E8" i="18"/>
  <c r="L35" i="18"/>
  <c r="E152" i="18"/>
  <c r="M3" i="18"/>
  <c r="D58" i="18"/>
  <c r="F185" i="18"/>
  <c r="Q83" i="18"/>
  <c r="M68" i="18"/>
  <c r="D129" i="18"/>
  <c r="F8" i="18"/>
  <c r="D27" i="18"/>
  <c r="C59" i="18"/>
  <c r="Q121" i="18"/>
  <c r="E127" i="18"/>
  <c r="M185" i="18"/>
  <c r="B117" i="18"/>
  <c r="U50" i="18"/>
  <c r="B119" i="18"/>
  <c r="U118" i="18"/>
  <c r="U102" i="18"/>
  <c r="O78" i="18"/>
  <c r="N98" i="18"/>
  <c r="P39" i="18"/>
  <c r="N45" i="18"/>
  <c r="P129" i="18"/>
  <c r="T161" i="18"/>
  <c r="O154" i="18"/>
  <c r="E130" i="18"/>
  <c r="U71" i="18"/>
  <c r="T91" i="18"/>
  <c r="M122" i="18"/>
  <c r="U188" i="18"/>
  <c r="B98" i="18"/>
  <c r="U198" i="18"/>
  <c r="U128" i="18"/>
  <c r="L19" i="18"/>
  <c r="Q76" i="18"/>
  <c r="H120" i="18"/>
  <c r="D37" i="18"/>
  <c r="C95" i="18"/>
  <c r="L89" i="18"/>
  <c r="D121" i="18"/>
  <c r="I120" i="18"/>
  <c r="K39" i="18"/>
  <c r="F115" i="18"/>
  <c r="K112" i="18"/>
  <c r="O73" i="18"/>
  <c r="L14" i="18"/>
  <c r="N49" i="18"/>
  <c r="D33" i="18"/>
  <c r="D85" i="18"/>
  <c r="Q5" i="18"/>
  <c r="K75" i="18"/>
  <c r="M19" i="18"/>
  <c r="D5" i="18"/>
  <c r="C8" i="18"/>
  <c r="L183" i="18"/>
  <c r="E10" i="18"/>
  <c r="D54" i="18"/>
  <c r="D6" i="18"/>
  <c r="M11" i="18"/>
  <c r="D56" i="18"/>
  <c r="L108" i="18"/>
  <c r="M146" i="18"/>
  <c r="D142" i="18"/>
  <c r="E36" i="18"/>
  <c r="L129" i="18"/>
  <c r="M154" i="18"/>
  <c r="K123" i="18"/>
  <c r="I99" i="18"/>
  <c r="I152" i="18"/>
  <c r="J152" i="18"/>
  <c r="C32" i="18"/>
  <c r="F127" i="18"/>
  <c r="L136" i="18"/>
  <c r="E122" i="18"/>
  <c r="K139" i="18"/>
  <c r="K170" i="18"/>
  <c r="D152" i="18"/>
  <c r="M137" i="18"/>
  <c r="J170" i="18"/>
  <c r="P57" i="18"/>
  <c r="B89" i="18"/>
  <c r="F146" i="18"/>
  <c r="K140" i="18"/>
  <c r="L45" i="18"/>
  <c r="L130" i="18"/>
  <c r="I64" i="18"/>
  <c r="E141" i="18"/>
  <c r="F123" i="18"/>
  <c r="D14" i="18"/>
  <c r="I11" i="18"/>
  <c r="Q23" i="18"/>
  <c r="D15" i="18"/>
  <c r="M115" i="18"/>
  <c r="M166" i="18"/>
  <c r="C129" i="18"/>
  <c r="N170" i="18"/>
  <c r="O146" i="18"/>
  <c r="U62" i="18"/>
  <c r="U2" i="26"/>
  <c r="B79" i="18"/>
  <c r="B17" i="18"/>
  <c r="P87" i="18"/>
  <c r="T183" i="18"/>
  <c r="N145" i="18"/>
  <c r="N40" i="18"/>
  <c r="T33" i="18"/>
  <c r="M64" i="18"/>
  <c r="C88" i="18"/>
  <c r="I103" i="18"/>
  <c r="E95" i="18"/>
  <c r="E87" i="18"/>
  <c r="I101" i="18"/>
  <c r="I98" i="18"/>
  <c r="M23" i="18"/>
  <c r="O95" i="18"/>
  <c r="D103" i="18"/>
  <c r="P47" i="18"/>
  <c r="M72" i="18"/>
  <c r="D9" i="18"/>
  <c r="U132" i="18"/>
  <c r="L81" i="18"/>
  <c r="D98" i="18"/>
  <c r="O20" i="18"/>
  <c r="M124" i="18"/>
  <c r="T136" i="18"/>
  <c r="I170" i="18"/>
  <c r="F181" i="18"/>
  <c r="D140" i="18"/>
  <c r="M121" i="18"/>
  <c r="M21" i="18"/>
  <c r="I77" i="18"/>
  <c r="K154" i="18"/>
  <c r="C141" i="18"/>
  <c r="L254" i="18"/>
  <c r="E24" i="18"/>
  <c r="L5" i="18"/>
  <c r="I26" i="18"/>
  <c r="E16" i="18"/>
  <c r="I123" i="18"/>
  <c r="D46" i="18"/>
  <c r="F154" i="18"/>
  <c r="J166" i="18"/>
  <c r="D184" i="18"/>
  <c r="M127" i="18"/>
  <c r="K144" i="18"/>
  <c r="K153" i="18"/>
  <c r="H136" i="18"/>
  <c r="B2" i="18"/>
  <c r="F139" i="18"/>
  <c r="L82" i="18"/>
  <c r="T17" i="18"/>
  <c r="I74" i="18"/>
  <c r="K152" i="18"/>
  <c r="E165" i="18"/>
  <c r="C116" i="18"/>
  <c r="E14" i="18"/>
  <c r="I122" i="18"/>
  <c r="I181" i="18"/>
  <c r="F20" i="18"/>
  <c r="H139" i="18"/>
  <c r="M191" i="18"/>
  <c r="M184" i="18"/>
  <c r="L54" i="18"/>
  <c r="H181" i="18"/>
  <c r="U19" i="18"/>
  <c r="L165" i="18"/>
  <c r="L25" i="18"/>
  <c r="L191" i="18"/>
  <c r="N144" i="18"/>
  <c r="B185" i="18"/>
  <c r="B184" i="18"/>
  <c r="U170" i="18"/>
  <c r="U31" i="18"/>
  <c r="U125" i="18"/>
  <c r="B48" i="18"/>
  <c r="U59" i="18"/>
  <c r="N28" i="18"/>
  <c r="P68" i="18"/>
  <c r="O97" i="18"/>
  <c r="K48" i="18"/>
  <c r="C9" i="18"/>
  <c r="K104" i="18"/>
  <c r="E101" i="18"/>
  <c r="B102" i="18"/>
  <c r="Q45" i="18"/>
  <c r="U36" i="18"/>
  <c r="I119" i="18"/>
  <c r="L99" i="18"/>
  <c r="D116" i="18"/>
  <c r="L118" i="18"/>
  <c r="P59" i="18"/>
  <c r="F75" i="18"/>
  <c r="M66" i="18"/>
  <c r="Q115" i="18"/>
  <c r="O7" i="18"/>
  <c r="K57" i="18"/>
  <c r="F45" i="18"/>
  <c r="K113" i="18"/>
  <c r="F50" i="18"/>
  <c r="Q32" i="18"/>
  <c r="I90" i="18"/>
  <c r="I129" i="18"/>
  <c r="K184" i="18"/>
  <c r="M16" i="18"/>
  <c r="F140" i="18"/>
  <c r="I135" i="18"/>
  <c r="I144" i="18"/>
  <c r="N74" i="18"/>
  <c r="L61" i="18"/>
  <c r="C89" i="18"/>
  <c r="I63" i="18"/>
  <c r="C5" i="18"/>
  <c r="C130" i="18"/>
  <c r="H140" i="18"/>
  <c r="I21" i="18"/>
  <c r="C101" i="18"/>
  <c r="F141" i="18"/>
  <c r="K142" i="18"/>
  <c r="C185" i="18"/>
  <c r="F135" i="18"/>
  <c r="K129" i="18"/>
  <c r="O21" i="18"/>
  <c r="E18" i="18"/>
  <c r="M59" i="18"/>
  <c r="L140" i="18"/>
  <c r="U122" i="18"/>
  <c r="C183" i="18"/>
  <c r="B126" i="18"/>
  <c r="D44" i="18"/>
  <c r="D161" i="18"/>
  <c r="K125" i="18"/>
  <c r="K99" i="18"/>
  <c r="E166" i="18"/>
  <c r="I128" i="18"/>
  <c r="F46" i="18"/>
  <c r="F125" i="18"/>
  <c r="C184" i="18"/>
  <c r="C136" i="18"/>
  <c r="M141" i="18"/>
  <c r="E135" i="18"/>
  <c r="D153" i="18"/>
  <c r="J146" i="18"/>
  <c r="B86" i="18"/>
  <c r="Q89" i="18"/>
  <c r="B16" i="18"/>
  <c r="U83" i="18"/>
  <c r="U185" i="18"/>
  <c r="E191" i="18"/>
  <c r="U136" i="18"/>
  <c r="B70" i="18"/>
  <c r="U51" i="18"/>
  <c r="T93" i="18"/>
  <c r="N62" i="18"/>
  <c r="B14" i="18"/>
  <c r="U13" i="18"/>
  <c r="B31" i="18"/>
  <c r="U35" i="18"/>
  <c r="Q62" i="18"/>
  <c r="Q170" i="18"/>
  <c r="Q112" i="18"/>
  <c r="Q103" i="18"/>
  <c r="E85" i="18"/>
  <c r="L27" i="18"/>
  <c r="F79" i="18"/>
  <c r="U41" i="18"/>
  <c r="K69" i="18"/>
  <c r="F82" i="18"/>
  <c r="O132" i="18"/>
  <c r="C80" i="18"/>
  <c r="C49" i="18"/>
  <c r="L101" i="18"/>
  <c r="I126" i="18"/>
  <c r="C44" i="18"/>
  <c r="D170" i="18"/>
  <c r="T171" i="18"/>
  <c r="M140" i="18"/>
  <c r="K181" i="18"/>
  <c r="E20" i="18"/>
  <c r="K6" i="18"/>
  <c r="K30" i="18"/>
  <c r="T141" i="18"/>
  <c r="K34" i="18"/>
  <c r="K122" i="18"/>
  <c r="K10" i="18"/>
  <c r="L112" i="18"/>
  <c r="I146" i="18"/>
  <c r="E161" i="18"/>
  <c r="J131" i="18"/>
  <c r="I10" i="18"/>
  <c r="P80" i="18"/>
  <c r="M165" i="18"/>
  <c r="E30" i="18"/>
  <c r="J137" i="18"/>
  <c r="L137" i="18"/>
  <c r="C190" i="18"/>
  <c r="L154" i="18"/>
  <c r="E54" i="18"/>
  <c r="L126" i="18"/>
  <c r="C161" i="18"/>
  <c r="L153" i="18"/>
  <c r="I23" i="18"/>
  <c r="E52" i="18"/>
  <c r="K33" i="18"/>
  <c r="B34" i="18"/>
  <c r="M188" i="18"/>
  <c r="N9" i="18"/>
  <c r="U145" i="18"/>
  <c r="P9" i="18"/>
  <c r="M189" i="18"/>
  <c r="B69" i="18"/>
  <c r="N33" i="18"/>
  <c r="T97" i="18"/>
  <c r="O137" i="18"/>
  <c r="M254" i="18"/>
  <c r="B76" i="18"/>
  <c r="P88" i="18"/>
  <c r="O62" i="18"/>
  <c r="B152" i="18"/>
  <c r="T39" i="18"/>
  <c r="Q13" i="18"/>
  <c r="T36" i="18"/>
  <c r="O100" i="18"/>
  <c r="O102" i="18"/>
  <c r="K183" i="18"/>
  <c r="N84" i="18"/>
  <c r="P116" i="18"/>
  <c r="Q161" i="18"/>
  <c r="P81" i="18"/>
  <c r="T132" i="18"/>
  <c r="O109" i="18"/>
  <c r="P102" i="18"/>
  <c r="T19" i="18"/>
  <c r="P28" i="18"/>
  <c r="P167" i="18"/>
  <c r="Q10" i="18"/>
  <c r="O68" i="18"/>
  <c r="U112" i="18"/>
  <c r="N131" i="18"/>
  <c r="G167" i="18"/>
  <c r="P4" i="18"/>
  <c r="P166" i="18"/>
  <c r="B106" i="18"/>
  <c r="G133" i="18"/>
  <c r="O13" i="18"/>
  <c r="N57" i="18"/>
  <c r="Q12" i="18"/>
  <c r="Q200" i="18"/>
  <c r="S200" i="18" s="1"/>
  <c r="AJ42" i="18"/>
  <c r="R42" i="18" s="1"/>
  <c r="P14" i="18"/>
  <c r="P67" i="18"/>
  <c r="B97" i="18"/>
  <c r="N133" i="18"/>
  <c r="U135" i="18"/>
  <c r="M131" i="18"/>
  <c r="Q50" i="18"/>
  <c r="F133" i="18"/>
  <c r="O29" i="18"/>
  <c r="Q125" i="18"/>
  <c r="O191" i="18"/>
  <c r="B120" i="18"/>
  <c r="D132" i="18"/>
  <c r="J134" i="14"/>
  <c r="B120" i="14"/>
  <c r="BH120" i="14" s="1"/>
  <c r="Q86" i="18"/>
  <c r="O119" i="18"/>
  <c r="U134" i="14"/>
  <c r="M133" i="18"/>
  <c r="G120" i="14"/>
  <c r="N189" i="18"/>
  <c r="P53" i="18"/>
  <c r="T15" i="18"/>
  <c r="L133" i="18"/>
  <c r="O63" i="18"/>
  <c r="B140" i="18"/>
  <c r="L131" i="18"/>
  <c r="O189" i="18"/>
  <c r="W134" i="14"/>
  <c r="N120" i="18"/>
  <c r="O15" i="18"/>
  <c r="Q30" i="18"/>
  <c r="P117" i="18"/>
  <c r="O153" i="18"/>
  <c r="O107" i="18"/>
  <c r="P171" i="18"/>
  <c r="E120" i="18"/>
  <c r="U70" i="18"/>
  <c r="B29" i="18"/>
  <c r="C120" i="18"/>
  <c r="C132" i="18"/>
  <c r="O165" i="18"/>
  <c r="U47" i="18"/>
  <c r="B99" i="18"/>
  <c r="T42" i="18"/>
  <c r="T154" i="18"/>
  <c r="E133" i="18"/>
  <c r="Q73" i="18"/>
  <c r="O3" i="18"/>
  <c r="O65" i="18"/>
  <c r="T9" i="18"/>
  <c r="P17" i="18"/>
  <c r="N115" i="18"/>
  <c r="T113" i="18"/>
  <c r="O88" i="18"/>
  <c r="P40" i="18"/>
  <c r="O190" i="18"/>
  <c r="Q135" i="14"/>
  <c r="D134" i="14"/>
  <c r="N135" i="14"/>
  <c r="D135" i="14"/>
  <c r="P132" i="18"/>
  <c r="Q134" i="14"/>
  <c r="O133" i="18"/>
  <c r="P133" i="18"/>
  <c r="R135" i="14"/>
  <c r="T134" i="14"/>
  <c r="U135" i="14"/>
  <c r="S134" i="14"/>
  <c r="Q132" i="18"/>
  <c r="E134" i="14"/>
  <c r="BI134" i="14" s="1"/>
  <c r="K134" i="14"/>
  <c r="G134" i="14"/>
  <c r="O135" i="14"/>
  <c r="M134" i="14"/>
  <c r="G135" i="14"/>
  <c r="S135" i="14"/>
  <c r="C134" i="14"/>
  <c r="K135" i="14"/>
  <c r="I135" i="14"/>
  <c r="E135" i="14"/>
  <c r="BI135" i="14" s="1"/>
  <c r="J135" i="14"/>
  <c r="W135" i="14"/>
  <c r="H135" i="14"/>
  <c r="P135" i="14"/>
  <c r="H134" i="14"/>
  <c r="B134" i="14"/>
  <c r="BH134" i="14" s="1"/>
  <c r="T135" i="14"/>
  <c r="X134" i="14"/>
  <c r="I134" i="14"/>
  <c r="N134" i="14"/>
  <c r="L135" i="14"/>
  <c r="P134" i="14"/>
  <c r="F135" i="14"/>
  <c r="R134" i="14"/>
  <c r="F134" i="14"/>
  <c r="Q133" i="18"/>
  <c r="L134" i="14"/>
  <c r="X135" i="14"/>
  <c r="O134" i="14"/>
  <c r="P137" i="14"/>
  <c r="G136" i="14"/>
  <c r="H136" i="14"/>
  <c r="B135" i="14"/>
  <c r="BH135" i="14" s="1"/>
  <c r="W136" i="14"/>
  <c r="C135" i="14"/>
  <c r="B137" i="14"/>
  <c r="BH137" i="14" s="1"/>
  <c r="Q136" i="14"/>
  <c r="I136" i="14"/>
  <c r="F137" i="14"/>
  <c r="D136" i="14"/>
  <c r="O136" i="14"/>
  <c r="U136" i="14"/>
  <c r="S136" i="14"/>
  <c r="C137" i="14"/>
  <c r="N136" i="14"/>
  <c r="K136" i="14"/>
  <c r="L136" i="14"/>
  <c r="M136" i="14"/>
  <c r="E137" i="14"/>
  <c r="BI137" i="14" s="1"/>
  <c r="B136" i="14"/>
  <c r="BH136" i="14" s="1"/>
  <c r="W137" i="14"/>
  <c r="M135" i="14"/>
  <c r="L137" i="14"/>
  <c r="P136" i="14"/>
  <c r="S137" i="14"/>
  <c r="F136" i="14"/>
  <c r="J137" i="14"/>
  <c r="I137" i="14"/>
  <c r="C136" i="14"/>
  <c r="T137" i="14"/>
  <c r="N137" i="14"/>
  <c r="R136" i="14"/>
  <c r="R137" i="14"/>
  <c r="X136" i="14"/>
  <c r="E136" i="14"/>
  <c r="BI136" i="14" s="1"/>
  <c r="V134" i="14"/>
  <c r="J136" i="14"/>
  <c r="D138" i="14"/>
  <c r="O138" i="14"/>
  <c r="L138" i="14"/>
  <c r="O137" i="14"/>
  <c r="X138" i="14"/>
  <c r="M137" i="14"/>
  <c r="P138" i="14"/>
  <c r="U138" i="14"/>
  <c r="K137" i="14"/>
  <c r="T136" i="14"/>
  <c r="Q137" i="14"/>
  <c r="N138" i="14"/>
  <c r="C138" i="14"/>
  <c r="U139" i="14"/>
  <c r="G137" i="14"/>
  <c r="H137" i="14"/>
  <c r="G138" i="14"/>
  <c r="R138" i="14"/>
  <c r="W138" i="14"/>
  <c r="D137" i="14"/>
  <c r="V137" i="14"/>
  <c r="Q139" i="14"/>
  <c r="K139" i="14"/>
  <c r="L139" i="14"/>
  <c r="J139" i="14"/>
  <c r="G139" i="14"/>
  <c r="Q138" i="14"/>
  <c r="X139" i="14"/>
  <c r="H134" i="18"/>
  <c r="B138" i="14"/>
  <c r="BH138" i="14" s="1"/>
  <c r="T138" i="14"/>
  <c r="T134" i="18"/>
  <c r="U137" i="14"/>
  <c r="Q157" i="18"/>
  <c r="V135" i="14"/>
  <c r="Q148" i="18"/>
  <c r="T147" i="18"/>
  <c r="L134" i="18"/>
  <c r="E139" i="14"/>
  <c r="BI139" i="14" s="1"/>
  <c r="E138" i="14"/>
  <c r="BI138" i="14" s="1"/>
  <c r="X137" i="14"/>
  <c r="K138" i="14"/>
  <c r="C134" i="18"/>
  <c r="I138" i="14"/>
  <c r="C139" i="14"/>
  <c r="T143" i="18"/>
  <c r="F138" i="14"/>
  <c r="W139" i="14"/>
  <c r="K134" i="18"/>
  <c r="D134" i="18"/>
  <c r="S139" i="14"/>
  <c r="P139" i="14"/>
  <c r="T139" i="14"/>
  <c r="H138" i="14"/>
  <c r="T157" i="18"/>
  <c r="S138" i="14"/>
  <c r="Q147" i="18"/>
  <c r="B139" i="14"/>
  <c r="BH139" i="14" s="1"/>
  <c r="V136" i="14"/>
  <c r="V139" i="14"/>
  <c r="H139" i="14"/>
  <c r="R139" i="14"/>
  <c r="N139" i="14"/>
  <c r="M139" i="14"/>
  <c r="I139" i="14"/>
  <c r="J134" i="18"/>
  <c r="O139" i="14"/>
  <c r="T156" i="18"/>
  <c r="J138" i="14"/>
  <c r="Q138" i="18"/>
  <c r="T148" i="18"/>
  <c r="Q149" i="18"/>
  <c r="I134" i="18"/>
  <c r="T150" i="18"/>
  <c r="D139" i="14"/>
  <c r="T149" i="18"/>
  <c r="T138" i="18"/>
  <c r="Q143" i="18"/>
  <c r="M138" i="14"/>
  <c r="E134" i="18"/>
  <c r="B134" i="18"/>
  <c r="F139" i="14"/>
  <c r="Q151" i="18"/>
  <c r="T151" i="18"/>
  <c r="N134" i="18"/>
  <c r="Q156" i="18"/>
  <c r="Q134" i="18"/>
  <c r="Q150" i="18"/>
  <c r="W147" i="14"/>
  <c r="W217" i="14"/>
  <c r="W173" i="14"/>
  <c r="W148" i="14"/>
  <c r="W149" i="14"/>
  <c r="W170" i="14"/>
  <c r="W150" i="14"/>
  <c r="U241" i="14"/>
  <c r="T263" i="18"/>
  <c r="T273" i="18"/>
  <c r="T262" i="18"/>
  <c r="W151" i="14"/>
  <c r="W241" i="14"/>
  <c r="AP842" i="28"/>
  <c r="AT59" i="28"/>
  <c r="AU59" i="28" s="1"/>
  <c r="AT842" i="28"/>
  <c r="AU842" i="28" s="1"/>
  <c r="S162" i="18"/>
  <c r="AT267" i="28"/>
  <c r="AU267" i="28" s="1"/>
  <c r="AH228" i="14"/>
  <c r="AV228" i="14" s="1"/>
  <c r="AH213" i="14"/>
  <c r="AV213" i="14" s="1"/>
  <c r="S163" i="18"/>
  <c r="AA843" i="28"/>
  <c r="Z844" i="28"/>
  <c r="P164" i="18"/>
  <c r="Y844" i="28"/>
  <c r="O164" i="18"/>
  <c r="Q164" i="18"/>
  <c r="AH209" i="14"/>
  <c r="AV209" i="14" s="1"/>
  <c r="AH217" i="14"/>
  <c r="AV217" i="14" s="1"/>
  <c r="AT516" i="28" l="1"/>
  <c r="AU516" i="28" s="1"/>
  <c r="AT517" i="28"/>
  <c r="AU517" i="28" s="1"/>
  <c r="AT518" i="28"/>
  <c r="AU518" i="28" s="1"/>
  <c r="AY7" i="28"/>
  <c r="AY6" i="28"/>
  <c r="AY8" i="28"/>
  <c r="AY5" i="28"/>
  <c r="S150" i="18"/>
  <c r="AT812" i="28"/>
  <c r="AU812" i="28" s="1"/>
  <c r="AT111" i="28"/>
  <c r="AU111" i="28" s="1"/>
  <c r="S86" i="18"/>
  <c r="S112" i="18"/>
  <c r="AT141" i="28"/>
  <c r="AU141" i="28" s="1"/>
  <c r="S62" i="18"/>
  <c r="AT398" i="28"/>
  <c r="AU398" i="28" s="1"/>
  <c r="S33" i="18"/>
  <c r="AT27" i="28"/>
  <c r="AU27" i="28" s="1"/>
  <c r="S123" i="18"/>
  <c r="AT29" i="28"/>
  <c r="AU29" i="28" s="1"/>
  <c r="S130" i="18"/>
  <c r="AT85" i="28"/>
  <c r="AU85" i="28" s="1"/>
  <c r="AT110" i="28"/>
  <c r="AU110" i="28" s="1"/>
  <c r="S85" i="18"/>
  <c r="AT25" i="28"/>
  <c r="AU25" i="28" s="1"/>
  <c r="S31" i="18"/>
  <c r="AT530" i="28"/>
  <c r="AU530" i="28" s="1"/>
  <c r="S8" i="18"/>
  <c r="S189" i="18"/>
  <c r="AT513" i="28"/>
  <c r="AU513" i="28" s="1"/>
  <c r="AT743" i="28"/>
  <c r="AU743" i="28" s="1"/>
  <c r="S113" i="18"/>
  <c r="AT104" i="28"/>
  <c r="AU104" i="28" s="1"/>
  <c r="S80" i="18"/>
  <c r="AT105" i="28"/>
  <c r="AU105" i="28" s="1"/>
  <c r="S81" i="18"/>
  <c r="S151" i="18"/>
  <c r="AT807" i="28"/>
  <c r="S156" i="18"/>
  <c r="AT813" i="28"/>
  <c r="AU813" i="28" s="1"/>
  <c r="S157" i="18"/>
  <c r="AT808" i="28"/>
  <c r="AU808" i="28" s="1"/>
  <c r="S73" i="18"/>
  <c r="AT97" i="28"/>
  <c r="AU97" i="28" s="1"/>
  <c r="S133" i="18"/>
  <c r="AT789" i="28"/>
  <c r="AU789" i="28" s="1"/>
  <c r="AT7" i="28"/>
  <c r="AU7" i="28" s="1"/>
  <c r="S30" i="18"/>
  <c r="AT131" i="28"/>
  <c r="AU131" i="28" s="1"/>
  <c r="S103" i="18"/>
  <c r="S42" i="18"/>
  <c r="AT722" i="28"/>
  <c r="AU722" i="28" s="1"/>
  <c r="S188" i="18"/>
  <c r="AT512" i="28"/>
  <c r="AU512" i="28" s="1"/>
  <c r="S16" i="18"/>
  <c r="AT540" i="28"/>
  <c r="AU540" i="28" s="1"/>
  <c r="S20" i="18"/>
  <c r="AT544" i="28"/>
  <c r="AU544" i="28" s="1"/>
  <c r="S50" i="18"/>
  <c r="AT730" i="28"/>
  <c r="AU730" i="28" s="1"/>
  <c r="S83" i="18"/>
  <c r="AT108" i="28"/>
  <c r="AU108" i="28" s="1"/>
  <c r="S15" i="18"/>
  <c r="AT539" i="28"/>
  <c r="AU539" i="28" s="1"/>
  <c r="S29" i="18"/>
  <c r="AT6" i="28"/>
  <c r="AU6" i="28" s="1"/>
  <c r="AT515" i="28"/>
  <c r="AU515" i="28" s="1"/>
  <c r="S122" i="18"/>
  <c r="S43" i="18"/>
  <c r="AT723" i="28"/>
  <c r="AU723" i="28" s="1"/>
  <c r="S104" i="18"/>
  <c r="AT132" i="28"/>
  <c r="AU132" i="28" s="1"/>
  <c r="S6" i="18"/>
  <c r="AT528" i="28"/>
  <c r="AU528" i="28" s="1"/>
  <c r="S120" i="18"/>
  <c r="AT785" i="28"/>
  <c r="AU785" i="28" s="1"/>
  <c r="S51" i="18"/>
  <c r="AT731" i="28"/>
  <c r="AU731" i="28" s="1"/>
  <c r="S21" i="18"/>
  <c r="AT545" i="28"/>
  <c r="AU545" i="28" s="1"/>
  <c r="S53" i="18"/>
  <c r="AT733" i="28"/>
  <c r="AU733" i="28" s="1"/>
  <c r="S144" i="18"/>
  <c r="AT54" i="28"/>
  <c r="AU54" i="28" s="1"/>
  <c r="AT573" i="28"/>
  <c r="AU573" i="28" s="1"/>
  <c r="S154" i="18"/>
  <c r="S111" i="18"/>
  <c r="AT140" i="28"/>
  <c r="AU140" i="28" s="1"/>
  <c r="AT81" i="28"/>
  <c r="AU81" i="28" s="1"/>
  <c r="S35" i="18"/>
  <c r="S110" i="18"/>
  <c r="AT139" i="28"/>
  <c r="AU139" i="28" s="1"/>
  <c r="AT726" i="28"/>
  <c r="AU726" i="28" s="1"/>
  <c r="S46" i="18"/>
  <c r="S63" i="18"/>
  <c r="AT399" i="28"/>
  <c r="AU399" i="28" s="1"/>
  <c r="S72" i="18"/>
  <c r="AT96" i="28"/>
  <c r="AU96" i="28" s="1"/>
  <c r="S119" i="18"/>
  <c r="AT148" i="28"/>
  <c r="AU148" i="28" s="1"/>
  <c r="S59" i="18"/>
  <c r="AT395" i="28"/>
  <c r="AU395" i="28" s="1"/>
  <c r="AT109" i="28"/>
  <c r="AU109" i="28" s="1"/>
  <c r="S84" i="18"/>
  <c r="AT571" i="28"/>
  <c r="AU571" i="28" s="1"/>
  <c r="S152" i="18"/>
  <c r="S18" i="18"/>
  <c r="AT542" i="28"/>
  <c r="AU542" i="28" s="1"/>
  <c r="S147" i="18"/>
  <c r="AT809" i="28"/>
  <c r="AU809" i="28" s="1"/>
  <c r="S89" i="18"/>
  <c r="AT114" i="28"/>
  <c r="AU114" i="28" s="1"/>
  <c r="S23" i="18"/>
  <c r="AT566" i="28"/>
  <c r="AU566" i="28" s="1"/>
  <c r="S76" i="18"/>
  <c r="AT100" i="28"/>
  <c r="AU100" i="28" s="1"/>
  <c r="S121" i="18"/>
  <c r="AT155" i="28"/>
  <c r="AU155" i="28" s="1"/>
  <c r="S52" i="18"/>
  <c r="AT732" i="28"/>
  <c r="AU732" i="28" s="1"/>
  <c r="S69" i="18"/>
  <c r="AT93" i="28"/>
  <c r="AU93" i="28" s="1"/>
  <c r="S92" i="18"/>
  <c r="AT118" i="28"/>
  <c r="AU118" i="28" s="1"/>
  <c r="AT113" i="28"/>
  <c r="AU113" i="28" s="1"/>
  <c r="S88" i="18"/>
  <c r="S26" i="18"/>
  <c r="AT569" i="28"/>
  <c r="AU569" i="28" s="1"/>
  <c r="S128" i="18"/>
  <c r="AT34" i="28"/>
  <c r="AU34" i="28" s="1"/>
  <c r="S184" i="18"/>
  <c r="AT10" i="28"/>
  <c r="AU10" i="28" s="1"/>
  <c r="AT125" i="28"/>
  <c r="AU125" i="28" s="1"/>
  <c r="S98" i="18"/>
  <c r="S171" i="18"/>
  <c r="AT547" i="28"/>
  <c r="AU547" i="28" s="1"/>
  <c r="AT734" i="28"/>
  <c r="AU734" i="28" s="1"/>
  <c r="S54" i="18"/>
  <c r="AT26" i="28"/>
  <c r="AU26" i="28" s="1"/>
  <c r="S32" i="18"/>
  <c r="AT725" i="28"/>
  <c r="AU725" i="28" s="1"/>
  <c r="S45" i="18"/>
  <c r="AT509" i="28"/>
  <c r="AU509" i="28" s="1"/>
  <c r="S5" i="18"/>
  <c r="S61" i="18"/>
  <c r="AT397" i="28"/>
  <c r="AU397" i="28" s="1"/>
  <c r="S167" i="18"/>
  <c r="AT786" i="28"/>
  <c r="AU786" i="28" s="1"/>
  <c r="AT135" i="28"/>
  <c r="AU135" i="28" s="1"/>
  <c r="S106" i="18"/>
  <c r="S9" i="18"/>
  <c r="AT531" i="28"/>
  <c r="AU531" i="28" s="1"/>
  <c r="S82" i="18"/>
  <c r="AT107" i="28"/>
  <c r="AU107" i="28" s="1"/>
  <c r="S114" i="18"/>
  <c r="AT744" i="28"/>
  <c r="AU744" i="28" s="1"/>
  <c r="S34" i="18"/>
  <c r="AT11" i="28"/>
  <c r="AU11" i="28" s="1"/>
  <c r="S65" i="18"/>
  <c r="AT401" i="28"/>
  <c r="AU401" i="28" s="1"/>
  <c r="S131" i="18"/>
  <c r="AT787" i="28"/>
  <c r="AU787" i="28" s="1"/>
  <c r="S165" i="18"/>
  <c r="AT72" i="28"/>
  <c r="AU72" i="28" s="1"/>
  <c r="S67" i="18"/>
  <c r="AT403" i="28"/>
  <c r="AU403" i="28" s="1"/>
  <c r="S93" i="18"/>
  <c r="AT119" i="28"/>
  <c r="AU119" i="28" s="1"/>
  <c r="S166" i="18"/>
  <c r="AT71" i="28"/>
  <c r="AU71" i="28" s="1"/>
  <c r="S91" i="18"/>
  <c r="AT117" i="28"/>
  <c r="AU117" i="28" s="1"/>
  <c r="AT37" i="28"/>
  <c r="AU37" i="28" s="1"/>
  <c r="S136" i="18"/>
  <c r="S68" i="18"/>
  <c r="AT92" i="28"/>
  <c r="AU92" i="28" s="1"/>
  <c r="S181" i="18"/>
  <c r="AT39" i="28"/>
  <c r="AU39" i="28" s="1"/>
  <c r="S127" i="18"/>
  <c r="AT33" i="28"/>
  <c r="AU33" i="28" s="1"/>
  <c r="S95" i="18"/>
  <c r="AT121" i="28"/>
  <c r="AU121" i="28" s="1"/>
  <c r="S19" i="18"/>
  <c r="AT543" i="28"/>
  <c r="AU543" i="28" s="1"/>
  <c r="S94" i="18"/>
  <c r="AT120" i="28"/>
  <c r="AU120" i="28" s="1"/>
  <c r="S55" i="18"/>
  <c r="AT742" i="28"/>
  <c r="AU742" i="28" s="1"/>
  <c r="S140" i="18"/>
  <c r="AT90" i="28"/>
  <c r="AU90" i="28" s="1"/>
  <c r="S79" i="18"/>
  <c r="AT103" i="28"/>
  <c r="AU103" i="28" s="1"/>
  <c r="S153" i="18"/>
  <c r="AT572" i="28"/>
  <c r="AU572" i="28" s="1"/>
  <c r="S134" i="18"/>
  <c r="AT797" i="28"/>
  <c r="AU797" i="28" s="1"/>
  <c r="AT57" i="28"/>
  <c r="AU57" i="28" s="1"/>
  <c r="S115" i="18"/>
  <c r="S102" i="18"/>
  <c r="AT129" i="28"/>
  <c r="AU129" i="28" s="1"/>
  <c r="S37" i="18"/>
  <c r="AT16" i="28"/>
  <c r="AU16" i="28" s="1"/>
  <c r="AT126" i="28"/>
  <c r="AU126" i="28" s="1"/>
  <c r="S99" i="18"/>
  <c r="S190" i="18"/>
  <c r="AT514" i="28"/>
  <c r="AU514" i="28" s="1"/>
  <c r="S36" i="18"/>
  <c r="AT15" i="28"/>
  <c r="AU15" i="28" s="1"/>
  <c r="S57" i="18"/>
  <c r="AT393" i="28"/>
  <c r="AU393" i="28" s="1"/>
  <c r="S71" i="18"/>
  <c r="AT95" i="28"/>
  <c r="AU95" i="28" s="1"/>
  <c r="S118" i="18"/>
  <c r="AT62" i="28"/>
  <c r="AU62" i="28" s="1"/>
  <c r="AT505" i="28"/>
  <c r="AU505" i="28" s="1"/>
  <c r="S3" i="18"/>
  <c r="S146" i="18"/>
  <c r="AT65" i="28"/>
  <c r="AU65" i="28" s="1"/>
  <c r="S41" i="18"/>
  <c r="AT721" i="28"/>
  <c r="AU721" i="28" s="1"/>
  <c r="AT720" i="28"/>
  <c r="AU720" i="28" s="1"/>
  <c r="S40" i="18"/>
  <c r="S137" i="18"/>
  <c r="AT38" i="28"/>
  <c r="AU38" i="28" s="1"/>
  <c r="S132" i="18"/>
  <c r="AT788" i="28"/>
  <c r="AU788" i="28" s="1"/>
  <c r="S12" i="18"/>
  <c r="AT536" i="28"/>
  <c r="AU536" i="28" s="1"/>
  <c r="S108" i="18"/>
  <c r="AT137" i="28"/>
  <c r="AU137" i="28" s="1"/>
  <c r="S14" i="18"/>
  <c r="AT538" i="28"/>
  <c r="AU538" i="28" s="1"/>
  <c r="S56" i="18"/>
  <c r="AT392" i="28"/>
  <c r="AU392" i="28" s="1"/>
  <c r="S124" i="18"/>
  <c r="AT30" i="28"/>
  <c r="AU30" i="28" s="1"/>
  <c r="S74" i="18"/>
  <c r="AT98" i="28"/>
  <c r="AU98" i="28" s="1"/>
  <c r="S101" i="18"/>
  <c r="AT128" i="28"/>
  <c r="AU128" i="28" s="1"/>
  <c r="S97" i="18"/>
  <c r="AT123" i="28"/>
  <c r="AU123" i="28" s="1"/>
  <c r="AT728" i="28"/>
  <c r="AU728" i="28" s="1"/>
  <c r="S48" i="18"/>
  <c r="S25" i="18"/>
  <c r="AT568" i="28"/>
  <c r="AU568" i="28" s="1"/>
  <c r="S254" i="18"/>
  <c r="AT784" i="28"/>
  <c r="AU784" i="28" s="1"/>
  <c r="S17" i="18"/>
  <c r="AT541" i="28"/>
  <c r="AU541" i="28" s="1"/>
  <c r="S116" i="18"/>
  <c r="AT143" i="28"/>
  <c r="AU143" i="28" s="1"/>
  <c r="AT122" i="28"/>
  <c r="AU122" i="28" s="1"/>
  <c r="S96" i="18"/>
  <c r="S129" i="18"/>
  <c r="AT84" i="28"/>
  <c r="AU84" i="28" s="1"/>
  <c r="S149" i="18"/>
  <c r="AT811" i="28"/>
  <c r="AU811" i="28" s="1"/>
  <c r="S10" i="18"/>
  <c r="AT532" i="28"/>
  <c r="AU532" i="28" s="1"/>
  <c r="S161" i="18"/>
  <c r="AT87" i="28"/>
  <c r="AU87" i="28" s="1"/>
  <c r="AT546" i="28"/>
  <c r="AU546" i="28" s="1"/>
  <c r="S170" i="18"/>
  <c r="S87" i="18"/>
  <c r="AT112" i="28"/>
  <c r="AU112" i="28" s="1"/>
  <c r="S2" i="18"/>
  <c r="AT504" i="28"/>
  <c r="AU504" i="28" s="1"/>
  <c r="AT727" i="28"/>
  <c r="AU727" i="28" s="1"/>
  <c r="S47" i="18"/>
  <c r="S142" i="18"/>
  <c r="AT555" i="28"/>
  <c r="AU555" i="28" s="1"/>
  <c r="S66" i="18"/>
  <c r="AT402" i="28"/>
  <c r="AU402" i="28" s="1"/>
  <c r="S39" i="18"/>
  <c r="AT414" i="28"/>
  <c r="AU414" i="28" s="1"/>
  <c r="AT13" i="28"/>
  <c r="AU13" i="28" s="1"/>
  <c r="S183" i="18"/>
  <c r="S185" i="18"/>
  <c r="AT145" i="28"/>
  <c r="AU145" i="28" s="1"/>
  <c r="AT136" i="28"/>
  <c r="AU136" i="28" s="1"/>
  <c r="S107" i="18"/>
  <c r="S126" i="18"/>
  <c r="AT32" i="28"/>
  <c r="AU32" i="28" s="1"/>
  <c r="AT548" i="28"/>
  <c r="AU548" i="28" s="1"/>
  <c r="S22" i="18"/>
  <c r="S58" i="18"/>
  <c r="AT394" i="28"/>
  <c r="AU394" i="28" s="1"/>
  <c r="S145" i="18"/>
  <c r="AT63" i="28"/>
  <c r="AU63" i="28" s="1"/>
  <c r="AT549" i="28"/>
  <c r="AU549" i="28" s="1"/>
  <c r="S135" i="18"/>
  <c r="S70" i="18"/>
  <c r="AT94" i="28"/>
  <c r="AU94" i="28" s="1"/>
  <c r="S143" i="18"/>
  <c r="AT802" i="28"/>
  <c r="AU802" i="28" s="1"/>
  <c r="AT627" i="28"/>
  <c r="AU627" i="28" s="1"/>
  <c r="S13" i="18"/>
  <c r="AT537" i="28"/>
  <c r="AU537" i="28" s="1"/>
  <c r="S77" i="18"/>
  <c r="AT101" i="28"/>
  <c r="AU101" i="28" s="1"/>
  <c r="AT729" i="28"/>
  <c r="AU729" i="28" s="1"/>
  <c r="S49" i="18"/>
  <c r="S28" i="18"/>
  <c r="AT5" i="28"/>
  <c r="AU5" i="28" s="1"/>
  <c r="S78" i="18"/>
  <c r="AT102" i="28"/>
  <c r="AU102" i="28" s="1"/>
  <c r="AT529" i="28"/>
  <c r="AU529" i="28" s="1"/>
  <c r="S7" i="18"/>
  <c r="S11" i="18"/>
  <c r="AT533" i="28"/>
  <c r="AU533" i="28" s="1"/>
  <c r="S27" i="18"/>
  <c r="AT570" i="28"/>
  <c r="AU570" i="28" s="1"/>
  <c r="S60" i="18"/>
  <c r="AT396" i="28"/>
  <c r="AU396" i="28" s="1"/>
  <c r="AT138" i="28"/>
  <c r="AU138" i="28" s="1"/>
  <c r="S109" i="18"/>
  <c r="S4" i="18"/>
  <c r="AT508" i="28"/>
  <c r="AU508" i="28" s="1"/>
  <c r="S100" i="18"/>
  <c r="AT127" i="28"/>
  <c r="AU127" i="28" s="1"/>
  <c r="S138" i="18"/>
  <c r="AT803" i="28"/>
  <c r="AU803" i="28" s="1"/>
  <c r="S148" i="18"/>
  <c r="AT810" i="28"/>
  <c r="AU810" i="28" s="1"/>
  <c r="S125" i="18"/>
  <c r="AT31" i="28"/>
  <c r="AU31" i="28" s="1"/>
  <c r="S38" i="18"/>
  <c r="AT18" i="28"/>
  <c r="AU18" i="28" s="1"/>
  <c r="S117" i="18"/>
  <c r="AT154" i="28"/>
  <c r="AU154" i="28" s="1"/>
  <c r="S64" i="18"/>
  <c r="AT400" i="28"/>
  <c r="AU400" i="28" s="1"/>
  <c r="S139" i="18"/>
  <c r="AT620" i="28"/>
  <c r="AU620" i="28" s="1"/>
  <c r="S191" i="18"/>
  <c r="AT202" i="28"/>
  <c r="AU202" i="28" s="1"/>
  <c r="S75" i="18"/>
  <c r="AT99" i="28"/>
  <c r="AU99" i="28" s="1"/>
  <c r="AT724" i="28"/>
  <c r="AU724" i="28" s="1"/>
  <c r="S44" i="18"/>
  <c r="S90" i="18"/>
  <c r="AT116" i="28"/>
  <c r="AU116" i="28" s="1"/>
  <c r="AT91" i="28"/>
  <c r="AU91" i="28" s="1"/>
  <c r="S141" i="18"/>
  <c r="S24" i="18"/>
  <c r="AT567" i="28"/>
  <c r="AU567" i="28" s="1"/>
  <c r="S105" i="18"/>
  <c r="AT134" i="28"/>
  <c r="AU134" i="28" s="1"/>
  <c r="B369" i="18"/>
  <c r="T280" i="18"/>
  <c r="Q348" i="18"/>
  <c r="S348" i="18" s="1"/>
  <c r="H345" i="18"/>
  <c r="Q364" i="18"/>
  <c r="S364" i="18" s="1"/>
  <c r="L379" i="18"/>
  <c r="H344" i="18"/>
  <c r="P346" i="18"/>
  <c r="N330" i="18"/>
  <c r="C360" i="18"/>
  <c r="C288" i="18"/>
  <c r="C322" i="18"/>
  <c r="Q388" i="18"/>
  <c r="S388" i="18" s="1"/>
  <c r="D297" i="18"/>
  <c r="T302" i="18"/>
  <c r="O295" i="18"/>
  <c r="G391" i="18"/>
  <c r="T314" i="18"/>
  <c r="E306" i="18"/>
  <c r="M341" i="18"/>
  <c r="K326" i="18"/>
  <c r="F337" i="18"/>
  <c r="T358" i="18"/>
  <c r="P295" i="18"/>
  <c r="M379" i="18"/>
  <c r="N316" i="18"/>
  <c r="G354" i="18"/>
  <c r="P314" i="18"/>
  <c r="B348" i="18"/>
  <c r="T305" i="18"/>
  <c r="U341" i="18"/>
  <c r="M326" i="18"/>
  <c r="O373" i="18"/>
  <c r="T353" i="18"/>
  <c r="J339" i="18"/>
  <c r="T379" i="18"/>
  <c r="N271" i="18"/>
  <c r="F300" i="18"/>
  <c r="C338" i="18"/>
  <c r="C314" i="18"/>
  <c r="N340" i="18"/>
  <c r="U361" i="18"/>
  <c r="H347" i="18"/>
  <c r="D375" i="18"/>
  <c r="H375" i="18"/>
  <c r="C308" i="18"/>
  <c r="P298" i="18"/>
  <c r="E332" i="18"/>
  <c r="C366" i="18"/>
  <c r="U302" i="18"/>
  <c r="Q358" i="18"/>
  <c r="S358" i="18" s="1"/>
  <c r="G378" i="18"/>
  <c r="D376" i="18"/>
  <c r="T341" i="18"/>
  <c r="E290" i="18"/>
  <c r="H50" i="19"/>
  <c r="L388" i="18"/>
  <c r="I288" i="18"/>
  <c r="C373" i="18"/>
  <c r="P294" i="18"/>
  <c r="I49" i="19"/>
  <c r="G372" i="18"/>
  <c r="K349" i="18"/>
  <c r="O339" i="18"/>
  <c r="E383" i="18"/>
  <c r="E366" i="18"/>
  <c r="D348" i="18"/>
  <c r="I284" i="18"/>
  <c r="F361" i="18"/>
  <c r="T291" i="18"/>
  <c r="D322" i="18"/>
  <c r="K288" i="18"/>
  <c r="B337" i="18"/>
  <c r="G365" i="18"/>
  <c r="N303" i="18"/>
  <c r="D357" i="18"/>
  <c r="J344" i="18"/>
  <c r="Q342" i="18"/>
  <c r="S342" i="18" s="1"/>
  <c r="O382" i="18"/>
  <c r="C320" i="18"/>
  <c r="D352" i="18"/>
  <c r="K318" i="18"/>
  <c r="M377" i="18"/>
  <c r="AH50" i="19"/>
  <c r="AJ50" i="19" s="1"/>
  <c r="E378" i="18"/>
  <c r="U388" i="18"/>
  <c r="E300" i="18"/>
  <c r="L290" i="18"/>
  <c r="J318" i="18"/>
  <c r="N366" i="18"/>
  <c r="E305" i="18"/>
  <c r="U370" i="18"/>
  <c r="G297" i="18"/>
  <c r="L317" i="18"/>
  <c r="L371" i="18"/>
  <c r="D321" i="18"/>
  <c r="E341" i="18"/>
  <c r="D311" i="18"/>
  <c r="H320" i="18"/>
  <c r="O343" i="18"/>
  <c r="L48" i="19"/>
  <c r="K344" i="18"/>
  <c r="H286" i="18"/>
  <c r="F376" i="18"/>
  <c r="E368" i="18"/>
  <c r="P354" i="18"/>
  <c r="L291" i="18"/>
  <c r="Q331" i="18"/>
  <c r="S331" i="18" s="1"/>
  <c r="O375" i="18"/>
  <c r="C315" i="18"/>
  <c r="P349" i="18"/>
  <c r="I296" i="18"/>
  <c r="H363" i="18"/>
  <c r="Q351" i="18"/>
  <c r="S351" i="18" s="1"/>
  <c r="E315" i="18"/>
  <c r="C361" i="18"/>
  <c r="E50" i="19"/>
  <c r="D340" i="18"/>
  <c r="O387" i="18"/>
  <c r="K347" i="18"/>
  <c r="I277" i="18"/>
  <c r="I377" i="18"/>
  <c r="N354" i="18"/>
  <c r="C48" i="19"/>
  <c r="N376" i="18"/>
  <c r="Q354" i="18"/>
  <c r="S354" i="18" s="1"/>
  <c r="U389" i="18"/>
  <c r="I329" i="18"/>
  <c r="K390" i="18"/>
  <c r="J380" i="18"/>
  <c r="P371" i="18"/>
  <c r="E356" i="18"/>
  <c r="F379" i="18"/>
  <c r="E328" i="18"/>
  <c r="B388" i="18"/>
  <c r="N361" i="18"/>
  <c r="N374" i="18"/>
  <c r="P391" i="18"/>
  <c r="O326" i="18"/>
  <c r="U332" i="18"/>
  <c r="G276" i="18"/>
  <c r="L363" i="18"/>
  <c r="O352" i="18"/>
  <c r="P279" i="18"/>
  <c r="G382" i="18"/>
  <c r="M385" i="18"/>
  <c r="B349" i="18"/>
  <c r="E352" i="18"/>
  <c r="E376" i="18"/>
  <c r="H294" i="18"/>
  <c r="E362" i="18"/>
  <c r="J289" i="18"/>
  <c r="F305" i="18"/>
  <c r="I375" i="18"/>
  <c r="C347" i="18"/>
  <c r="G360" i="18"/>
  <c r="J301" i="18"/>
  <c r="P378" i="18"/>
  <c r="K299" i="18"/>
  <c r="Q371" i="18"/>
  <c r="S371" i="18" s="1"/>
  <c r="H359" i="18"/>
  <c r="H391" i="18"/>
  <c r="F306" i="18"/>
  <c r="P389" i="18"/>
  <c r="P341" i="18"/>
  <c r="I299" i="18"/>
  <c r="G289" i="18"/>
  <c r="N383" i="18"/>
  <c r="F365" i="18"/>
  <c r="T277" i="18"/>
  <c r="F319" i="18"/>
  <c r="H382" i="18"/>
  <c r="B387" i="18"/>
  <c r="C353" i="18"/>
  <c r="I353" i="18"/>
  <c r="N348" i="18"/>
  <c r="J376" i="18"/>
  <c r="U356" i="18"/>
  <c r="N310" i="18"/>
  <c r="G284" i="18"/>
  <c r="M293" i="18"/>
  <c r="G271" i="18"/>
  <c r="Q346" i="18"/>
  <c r="S346" i="18" s="1"/>
  <c r="H305" i="18"/>
  <c r="B361" i="18"/>
  <c r="D369" i="18"/>
  <c r="B370" i="18"/>
  <c r="I313" i="18"/>
  <c r="G335" i="18"/>
  <c r="C49" i="19"/>
  <c r="K372" i="18"/>
  <c r="L366" i="18"/>
  <c r="G357" i="18"/>
  <c r="T366" i="18"/>
  <c r="F274" i="18"/>
  <c r="G328" i="18"/>
  <c r="K293" i="18"/>
  <c r="D384" i="18"/>
  <c r="B301" i="18"/>
  <c r="N50" i="19"/>
  <c r="E329" i="18"/>
  <c r="H295" i="18"/>
  <c r="J389" i="18"/>
  <c r="P384" i="18"/>
  <c r="S48" i="19"/>
  <c r="U365" i="18"/>
  <c r="E48" i="19"/>
  <c r="E304" i="18"/>
  <c r="F313" i="18"/>
  <c r="G303" i="18"/>
  <c r="O366" i="18"/>
  <c r="F327" i="18"/>
  <c r="I303" i="18"/>
  <c r="D373" i="18"/>
  <c r="D365" i="18"/>
  <c r="P338" i="18"/>
  <c r="L314" i="18"/>
  <c r="P317" i="18"/>
  <c r="F387" i="18"/>
  <c r="N292" i="18"/>
  <c r="E292" i="18"/>
  <c r="L334" i="18"/>
  <c r="F50" i="19"/>
  <c r="C378" i="18"/>
  <c r="O338" i="18"/>
  <c r="F367" i="18"/>
  <c r="O388" i="18"/>
  <c r="R50" i="19"/>
  <c r="E388" i="18"/>
  <c r="U303" i="18"/>
  <c r="N391" i="18"/>
  <c r="J329" i="18"/>
  <c r="K327" i="18"/>
  <c r="E317" i="18"/>
  <c r="F317" i="18"/>
  <c r="N305" i="18"/>
  <c r="L385" i="18"/>
  <c r="Q336" i="18"/>
  <c r="S336" i="18" s="1"/>
  <c r="Q375" i="18"/>
  <c r="S375" i="18" s="1"/>
  <c r="J370" i="18"/>
  <c r="K370" i="18"/>
  <c r="T322" i="18"/>
  <c r="N336" i="18"/>
  <c r="Q313" i="18"/>
  <c r="S313" i="18" s="1"/>
  <c r="E326" i="18"/>
  <c r="C364" i="18"/>
  <c r="G383" i="18"/>
  <c r="K49" i="19"/>
  <c r="K346" i="18"/>
  <c r="I362" i="18"/>
  <c r="T306" i="18"/>
  <c r="T350" i="18"/>
  <c r="T290" i="18"/>
  <c r="J381" i="18"/>
  <c r="B276" i="18"/>
  <c r="J361" i="18"/>
  <c r="B330" i="18"/>
  <c r="K301" i="18"/>
  <c r="Q280" i="18"/>
  <c r="S280" i="18" s="1"/>
  <c r="B355" i="18"/>
  <c r="E389" i="18"/>
  <c r="N307" i="18"/>
  <c r="B290" i="18"/>
  <c r="K333" i="18"/>
  <c r="Q385" i="18"/>
  <c r="S385" i="18" s="1"/>
  <c r="M352" i="18"/>
  <c r="N346" i="18"/>
  <c r="O286" i="18"/>
  <c r="K345" i="18"/>
  <c r="G295" i="18"/>
  <c r="U49" i="19"/>
  <c r="O50" i="19"/>
  <c r="N372" i="18"/>
  <c r="B332" i="18"/>
  <c r="T348" i="18"/>
  <c r="G280" i="18"/>
  <c r="O358" i="18"/>
  <c r="K382" i="18"/>
  <c r="M348" i="18"/>
  <c r="U279" i="18"/>
  <c r="O323" i="18"/>
  <c r="L308" i="18"/>
  <c r="L285" i="18"/>
  <c r="L369" i="18"/>
  <c r="F285" i="18"/>
  <c r="M372" i="18"/>
  <c r="I279" i="18"/>
  <c r="N315" i="18"/>
  <c r="F312" i="18"/>
  <c r="M276" i="18"/>
  <c r="AH48" i="19"/>
  <c r="AJ48" i="19" s="1"/>
  <c r="K287" i="18"/>
  <c r="K320" i="18"/>
  <c r="U391" i="18"/>
  <c r="F302" i="18"/>
  <c r="L339" i="18"/>
  <c r="L286" i="18"/>
  <c r="J261" i="18"/>
  <c r="L360" i="18"/>
  <c r="B304" i="18"/>
  <c r="N384" i="18"/>
  <c r="U382" i="18"/>
  <c r="C344" i="18"/>
  <c r="B335" i="18"/>
  <c r="H366" i="18"/>
  <c r="H362" i="18"/>
  <c r="B292" i="18"/>
  <c r="E307" i="18"/>
  <c r="P360" i="18"/>
  <c r="D346" i="18"/>
  <c r="B323" i="18"/>
  <c r="J317" i="18"/>
  <c r="T315" i="18"/>
  <c r="T351" i="18"/>
  <c r="D343" i="18"/>
  <c r="P271" i="18"/>
  <c r="I328" i="18"/>
  <c r="B306" i="18"/>
  <c r="T390" i="18"/>
  <c r="C367" i="18"/>
  <c r="O334" i="18"/>
  <c r="N296" i="18"/>
  <c r="B299" i="18"/>
  <c r="N329" i="18"/>
  <c r="N319" i="18"/>
  <c r="T304" i="18"/>
  <c r="N337" i="18"/>
  <c r="J49" i="19"/>
  <c r="E354" i="18"/>
  <c r="C349" i="18"/>
  <c r="T326" i="18"/>
  <c r="Q320" i="18"/>
  <c r="S320" i="18" s="1"/>
  <c r="G374" i="18"/>
  <c r="Q299" i="18"/>
  <c r="S299" i="18" s="1"/>
  <c r="U345" i="18"/>
  <c r="T387" i="18"/>
  <c r="Q377" i="18"/>
  <c r="S377" i="18" s="1"/>
  <c r="J323" i="18"/>
  <c r="U376" i="18"/>
  <c r="H298" i="18"/>
  <c r="J277" i="18"/>
  <c r="U334" i="18"/>
  <c r="I322" i="18"/>
  <c r="L345" i="18"/>
  <c r="B321" i="18"/>
  <c r="D289" i="18"/>
  <c r="I271" i="18"/>
  <c r="F354" i="18"/>
  <c r="J294" i="18"/>
  <c r="M339" i="18"/>
  <c r="Q329" i="18"/>
  <c r="S329" i="18" s="1"/>
  <c r="N339" i="18"/>
  <c r="I374" i="18"/>
  <c r="T337" i="18"/>
  <c r="O351" i="18"/>
  <c r="U277" i="18"/>
  <c r="M311" i="18"/>
  <c r="F377" i="18"/>
  <c r="O271" i="18"/>
  <c r="I290" i="18"/>
  <c r="Q361" i="18"/>
  <c r="S361" i="18" s="1"/>
  <c r="M261" i="18"/>
  <c r="L292" i="18"/>
  <c r="L333" i="18"/>
  <c r="U294" i="18"/>
  <c r="Q272" i="18"/>
  <c r="S272" i="18" s="1"/>
  <c r="P336" i="18"/>
  <c r="D325" i="18"/>
  <c r="O361" i="18"/>
  <c r="J391" i="18"/>
  <c r="I379" i="18"/>
  <c r="N312" i="18"/>
  <c r="E302" i="18"/>
  <c r="P328" i="18"/>
  <c r="P355" i="18"/>
  <c r="O337" i="18"/>
  <c r="C381" i="18"/>
  <c r="L277" i="18"/>
  <c r="N358" i="18"/>
  <c r="M291" i="18"/>
  <c r="F388" i="18"/>
  <c r="N302" i="18"/>
  <c r="O380" i="18"/>
  <c r="L309" i="18"/>
  <c r="O346" i="18"/>
  <c r="P289" i="18"/>
  <c r="H331" i="18"/>
  <c r="G337" i="18"/>
  <c r="Q349" i="18"/>
  <c r="S349" i="18" s="1"/>
  <c r="P286" i="18"/>
  <c r="L294" i="18"/>
  <c r="D324" i="18"/>
  <c r="C336" i="18"/>
  <c r="K286" i="18"/>
  <c r="O360" i="18"/>
  <c r="G306" i="18"/>
  <c r="H307" i="18"/>
  <c r="P380" i="18"/>
  <c r="G329" i="18"/>
  <c r="C286" i="18"/>
  <c r="H357" i="18"/>
  <c r="B356" i="18"/>
  <c r="C285" i="18"/>
  <c r="E367" i="18"/>
  <c r="K316" i="18"/>
  <c r="N355" i="18"/>
  <c r="C391" i="18"/>
  <c r="K337" i="18"/>
  <c r="C316" i="18"/>
  <c r="N343" i="18"/>
  <c r="C313" i="18"/>
  <c r="G379" i="18"/>
  <c r="B377" i="18"/>
  <c r="Q296" i="18"/>
  <c r="S296" i="18" s="1"/>
  <c r="F373" i="18"/>
  <c r="U390" i="18"/>
  <c r="F378" i="18"/>
  <c r="P385" i="18"/>
  <c r="K354" i="18"/>
  <c r="B294" i="18"/>
  <c r="B320" i="18"/>
  <c r="T294" i="18"/>
  <c r="H271" i="18"/>
  <c r="F331" i="18"/>
  <c r="J347" i="18"/>
  <c r="Q316" i="18"/>
  <c r="S316" i="18" s="1"/>
  <c r="U359" i="18"/>
  <c r="D320" i="18"/>
  <c r="U362" i="18"/>
  <c r="H316" i="18"/>
  <c r="M336" i="18"/>
  <c r="N338" i="18"/>
  <c r="J288" i="18"/>
  <c r="Q312" i="18"/>
  <c r="S312" i="18" s="1"/>
  <c r="U272" i="18"/>
  <c r="M274" i="18"/>
  <c r="G305" i="18"/>
  <c r="Q355" i="18"/>
  <c r="S355" i="18" s="1"/>
  <c r="M303" i="18"/>
  <c r="H356" i="18"/>
  <c r="O353" i="18"/>
  <c r="E310" i="18"/>
  <c r="O277" i="18"/>
  <c r="K340" i="18"/>
  <c r="K329" i="18"/>
  <c r="D279" i="18"/>
  <c r="B341" i="18"/>
  <c r="J336" i="18"/>
  <c r="Q287" i="18"/>
  <c r="S287" i="18" s="1"/>
  <c r="C357" i="18"/>
  <c r="J346" i="18"/>
  <c r="L343" i="18"/>
  <c r="D391" i="18"/>
  <c r="D389" i="18"/>
  <c r="C374" i="18"/>
  <c r="L329" i="18"/>
  <c r="F298" i="18"/>
  <c r="B322" i="18"/>
  <c r="O311" i="18"/>
  <c r="D302" i="18"/>
  <c r="H337" i="18"/>
  <c r="L330" i="18"/>
  <c r="G292" i="18"/>
  <c r="L295" i="18"/>
  <c r="D48" i="19"/>
  <c r="K364" i="18"/>
  <c r="C384" i="18"/>
  <c r="M289" i="18"/>
  <c r="N356" i="18"/>
  <c r="J272" i="18"/>
  <c r="O315" i="18"/>
  <c r="H330" i="18"/>
  <c r="N344" i="18"/>
  <c r="E272" i="18"/>
  <c r="J385" i="18"/>
  <c r="N363" i="18"/>
  <c r="E285" i="18"/>
  <c r="B378" i="18"/>
  <c r="M363" i="18"/>
  <c r="I346" i="18"/>
  <c r="L298" i="18"/>
  <c r="G300" i="18"/>
  <c r="N352" i="18"/>
  <c r="T318" i="18"/>
  <c r="U291" i="18"/>
  <c r="C371" i="18"/>
  <c r="T364" i="18"/>
  <c r="J348" i="18"/>
  <c r="H49" i="19"/>
  <c r="U292" i="18"/>
  <c r="O379" i="18"/>
  <c r="H289" i="18"/>
  <c r="O304" i="18"/>
  <c r="D319" i="18"/>
  <c r="P375" i="18"/>
  <c r="E312" i="18"/>
  <c r="N386" i="18"/>
  <c r="D359" i="18"/>
  <c r="P383" i="18"/>
  <c r="G278" i="18"/>
  <c r="I307" i="18"/>
  <c r="C358" i="18"/>
  <c r="Q284" i="18"/>
  <c r="S284" i="18" s="1"/>
  <c r="J324" i="18"/>
  <c r="U314" i="18"/>
  <c r="C279" i="18"/>
  <c r="Q347" i="18"/>
  <c r="S347" i="18" s="1"/>
  <c r="C309" i="18"/>
  <c r="P310" i="18"/>
  <c r="U346" i="18"/>
  <c r="C301" i="18"/>
  <c r="P343" i="18"/>
  <c r="G369" i="18"/>
  <c r="O335" i="18"/>
  <c r="G323" i="18"/>
  <c r="T344" i="18"/>
  <c r="J358" i="18"/>
  <c r="G296" i="18"/>
  <c r="B338" i="18"/>
  <c r="F323" i="18"/>
  <c r="O389" i="18"/>
  <c r="P345" i="18"/>
  <c r="T369" i="18"/>
  <c r="K380" i="18"/>
  <c r="H367" i="18"/>
  <c r="Q328" i="18"/>
  <c r="S328" i="18" s="1"/>
  <c r="P323" i="18"/>
  <c r="G373" i="18"/>
  <c r="O342" i="18"/>
  <c r="Q384" i="18"/>
  <c r="S384" i="18" s="1"/>
  <c r="D328" i="18"/>
  <c r="M314" i="18"/>
  <c r="K314" i="18"/>
  <c r="E274" i="18"/>
  <c r="P300" i="18"/>
  <c r="O298" i="18"/>
  <c r="N364" i="18"/>
  <c r="G367" i="18"/>
  <c r="J337" i="18"/>
  <c r="T49" i="19"/>
  <c r="F333" i="18"/>
  <c r="P332" i="18"/>
  <c r="E291" i="18"/>
  <c r="B374" i="18"/>
  <c r="D374" i="18"/>
  <c r="K375" i="18"/>
  <c r="H369" i="18"/>
  <c r="T373" i="18"/>
  <c r="I295" i="18"/>
  <c r="G324" i="18"/>
  <c r="M302" i="18"/>
  <c r="G388" i="18"/>
  <c r="J333" i="18"/>
  <c r="L364" i="18"/>
  <c r="L304" i="18"/>
  <c r="G309" i="18"/>
  <c r="E280" i="18"/>
  <c r="H336" i="18"/>
  <c r="L274" i="18"/>
  <c r="L390" i="18"/>
  <c r="Q389" i="18"/>
  <c r="S389" i="18" s="1"/>
  <c r="Q261" i="18"/>
  <c r="S261" i="18" s="1"/>
  <c r="O325" i="18"/>
  <c r="K313" i="18"/>
  <c r="D353" i="18"/>
  <c r="U329" i="18"/>
  <c r="I272" i="18"/>
  <c r="T327" i="18"/>
  <c r="P364" i="18"/>
  <c r="D383" i="18"/>
  <c r="N285" i="18"/>
  <c r="P386" i="18"/>
  <c r="J368" i="18"/>
  <c r="Q286" i="18"/>
  <c r="S286" i="18" s="1"/>
  <c r="T362" i="18"/>
  <c r="N48" i="19"/>
  <c r="L324" i="18"/>
  <c r="H297" i="18"/>
  <c r="E279" i="18"/>
  <c r="O318" i="18"/>
  <c r="C303" i="18"/>
  <c r="K358" i="18"/>
  <c r="O312" i="18"/>
  <c r="Q359" i="18"/>
  <c r="S359" i="18" s="1"/>
  <c r="U386" i="18"/>
  <c r="E355" i="18"/>
  <c r="U284" i="18"/>
  <c r="M321" i="18"/>
  <c r="M306" i="18"/>
  <c r="I308" i="18"/>
  <c r="B308" i="18"/>
  <c r="K334" i="18"/>
  <c r="P290" i="18"/>
  <c r="B358" i="18"/>
  <c r="T286" i="18"/>
  <c r="F316" i="18"/>
  <c r="C370" i="18"/>
  <c r="E49" i="19"/>
  <c r="O369" i="18"/>
  <c r="L301" i="18"/>
  <c r="E287" i="18"/>
  <c r="H346" i="18"/>
  <c r="T374" i="18"/>
  <c r="I330" i="18"/>
  <c r="C276" i="18"/>
  <c r="Q379" i="18"/>
  <c r="S379" i="18" s="1"/>
  <c r="G318" i="18"/>
  <c r="E319" i="18"/>
  <c r="M356" i="18"/>
  <c r="T297" i="18"/>
  <c r="T279" i="18"/>
  <c r="N367" i="18"/>
  <c r="K296" i="18"/>
  <c r="G371" i="18"/>
  <c r="K322" i="18"/>
  <c r="B297" i="18"/>
  <c r="I326" i="18"/>
  <c r="N357" i="18"/>
  <c r="C350" i="18"/>
  <c r="J48" i="19"/>
  <c r="Q378" i="18"/>
  <c r="S378" i="18" s="1"/>
  <c r="Q317" i="18"/>
  <c r="S317" i="18" s="1"/>
  <c r="P261" i="18"/>
  <c r="P344" i="18"/>
  <c r="I300" i="18"/>
  <c r="B298" i="18"/>
  <c r="H280" i="18"/>
  <c r="K361" i="18"/>
  <c r="K355" i="18"/>
  <c r="I372" i="18"/>
  <c r="C354" i="18"/>
  <c r="H364" i="18"/>
  <c r="G375" i="18"/>
  <c r="O279" i="18"/>
  <c r="B376" i="18"/>
  <c r="O292" i="18"/>
  <c r="P311" i="18"/>
  <c r="D349" i="18"/>
  <c r="M284" i="18"/>
  <c r="D298" i="18"/>
  <c r="U352" i="18"/>
  <c r="H361" i="18"/>
  <c r="J340" i="18"/>
  <c r="P381" i="18"/>
  <c r="P284" i="18"/>
  <c r="Q301" i="18"/>
  <c r="S301" i="18" s="1"/>
  <c r="P293" i="18"/>
  <c r="K387" i="18"/>
  <c r="P358" i="18"/>
  <c r="D308" i="18"/>
  <c r="H279" i="18"/>
  <c r="T368" i="18"/>
  <c r="G356" i="18"/>
  <c r="L365" i="18"/>
  <c r="Q304" i="18"/>
  <c r="S304" i="18" s="1"/>
  <c r="D390" i="18"/>
  <c r="P285" i="18"/>
  <c r="M359" i="18"/>
  <c r="E374" i="18"/>
  <c r="L303" i="18"/>
  <c r="B344" i="18"/>
  <c r="C261" i="18"/>
  <c r="Q339" i="18"/>
  <c r="S339" i="18" s="1"/>
  <c r="J338" i="18"/>
  <c r="G330" i="18"/>
  <c r="H327" i="18"/>
  <c r="D335" i="18"/>
  <c r="M351" i="18"/>
  <c r="L288" i="18"/>
  <c r="L279" i="18"/>
  <c r="D364" i="18"/>
  <c r="I358" i="18"/>
  <c r="J299" i="18"/>
  <c r="U380" i="18"/>
  <c r="C287" i="18"/>
  <c r="U347" i="18"/>
  <c r="F311" i="18"/>
  <c r="O341" i="18"/>
  <c r="K377" i="18"/>
  <c r="H302" i="18"/>
  <c r="M322" i="18"/>
  <c r="F330" i="18"/>
  <c r="D291" i="18"/>
  <c r="U350" i="18"/>
  <c r="U374" i="18"/>
  <c r="P320" i="18"/>
  <c r="F338" i="18"/>
  <c r="G319" i="18"/>
  <c r="U325" i="18"/>
  <c r="H313" i="18"/>
  <c r="O317" i="18"/>
  <c r="K309" i="18"/>
  <c r="J335" i="18"/>
  <c r="F301" i="18"/>
  <c r="E373" i="18"/>
  <c r="J278" i="18"/>
  <c r="B389" i="18"/>
  <c r="D339" i="18"/>
  <c r="R48" i="19"/>
  <c r="D326" i="18"/>
  <c r="J331" i="18"/>
  <c r="T361" i="18"/>
  <c r="J388" i="18"/>
  <c r="K302" i="18"/>
  <c r="Q360" i="18"/>
  <c r="S360" i="18" s="1"/>
  <c r="J312" i="18"/>
  <c r="N368" i="18"/>
  <c r="D278" i="18"/>
  <c r="O359" i="18"/>
  <c r="U367" i="18"/>
  <c r="K321" i="18"/>
  <c r="P319" i="18"/>
  <c r="E286" i="18"/>
  <c r="B307" i="18"/>
  <c r="P335" i="18"/>
  <c r="O297" i="18"/>
  <c r="Q340" i="18"/>
  <c r="S340" i="18" s="1"/>
  <c r="P373" i="18"/>
  <c r="N347" i="18"/>
  <c r="C339" i="18"/>
  <c r="I342" i="18"/>
  <c r="D341" i="18"/>
  <c r="J377" i="18"/>
  <c r="O331" i="18"/>
  <c r="E276" i="18"/>
  <c r="U278" i="18"/>
  <c r="N291" i="18"/>
  <c r="P302" i="18"/>
  <c r="B351" i="18"/>
  <c r="H338" i="18"/>
  <c r="F287" i="18"/>
  <c r="H389" i="18"/>
  <c r="E350" i="18"/>
  <c r="G322" i="18"/>
  <c r="L325" i="18"/>
  <c r="C319" i="18"/>
  <c r="T359" i="18"/>
  <c r="J349" i="18"/>
  <c r="E365" i="18"/>
  <c r="L357" i="18"/>
  <c r="E370" i="18"/>
  <c r="T346" i="18"/>
  <c r="B312" i="18"/>
  <c r="G326" i="18"/>
  <c r="O340" i="18"/>
  <c r="O293" i="18"/>
  <c r="P353" i="18"/>
  <c r="C332" i="18"/>
  <c r="C326" i="18"/>
  <c r="O349" i="18"/>
  <c r="N298" i="18"/>
  <c r="K332" i="18"/>
  <c r="I352" i="18"/>
  <c r="F321" i="18"/>
  <c r="L387" i="18"/>
  <c r="N261" i="18"/>
  <c r="J386" i="18"/>
  <c r="I337" i="18"/>
  <c r="D301" i="18"/>
  <c r="D316" i="18"/>
  <c r="U317" i="18"/>
  <c r="E331" i="18"/>
  <c r="L347" i="18"/>
  <c r="N359" i="18"/>
  <c r="P272" i="18"/>
  <c r="M280" i="18"/>
  <c r="L386" i="18"/>
  <c r="C348" i="18"/>
  <c r="O370" i="18"/>
  <c r="O302" i="18"/>
  <c r="I274" i="18"/>
  <c r="Q302" i="18"/>
  <c r="S302" i="18" s="1"/>
  <c r="J302" i="18"/>
  <c r="D293" i="18"/>
  <c r="T355" i="18"/>
  <c r="T284" i="18"/>
  <c r="N299" i="18"/>
  <c r="I343" i="18"/>
  <c r="H293" i="18"/>
  <c r="E298" i="18"/>
  <c r="I325" i="18"/>
  <c r="O355" i="18"/>
  <c r="J363" i="18"/>
  <c r="O310" i="18"/>
  <c r="G377" i="18"/>
  <c r="N278" i="18"/>
  <c r="J362" i="18"/>
  <c r="B373" i="18"/>
  <c r="D285" i="18"/>
  <c r="E369" i="18"/>
  <c r="E322" i="18"/>
  <c r="F382" i="18"/>
  <c r="L322" i="18"/>
  <c r="L261" i="18"/>
  <c r="N369" i="18"/>
  <c r="G286" i="18"/>
  <c r="M50" i="19"/>
  <c r="G340" i="18"/>
  <c r="B278" i="18"/>
  <c r="O374" i="18"/>
  <c r="H299" i="18"/>
  <c r="P316" i="18"/>
  <c r="E391" i="18"/>
  <c r="D323" i="18"/>
  <c r="N289" i="18"/>
  <c r="J354" i="18"/>
  <c r="H296" i="18"/>
  <c r="B385" i="18"/>
  <c r="G274" i="18"/>
  <c r="N287" i="18"/>
  <c r="H378" i="18"/>
  <c r="D334" i="18"/>
  <c r="O316" i="18"/>
  <c r="C386" i="18"/>
  <c r="L337" i="18"/>
  <c r="L336" i="18"/>
  <c r="J297" i="18"/>
  <c r="E353" i="18"/>
  <c r="Q372" i="18"/>
  <c r="S372" i="18" s="1"/>
  <c r="C317" i="18"/>
  <c r="D333" i="18"/>
  <c r="Q292" i="18"/>
  <c r="S292" i="18" s="1"/>
  <c r="N313" i="18"/>
  <c r="O350" i="18"/>
  <c r="H383" i="18"/>
  <c r="Q310" i="18"/>
  <c r="S310" i="18" s="1"/>
  <c r="L353" i="18"/>
  <c r="H374" i="18"/>
  <c r="K353" i="18"/>
  <c r="K352" i="18"/>
  <c r="K338" i="18"/>
  <c r="F309" i="18"/>
  <c r="U299" i="18"/>
  <c r="N331" i="18"/>
  <c r="J357" i="18"/>
  <c r="T349" i="18"/>
  <c r="F292" i="18"/>
  <c r="T385" i="18"/>
  <c r="O368" i="18"/>
  <c r="P367" i="18"/>
  <c r="D377" i="18"/>
  <c r="L311" i="18"/>
  <c r="H318" i="18"/>
  <c r="D304" i="18"/>
  <c r="I311" i="18"/>
  <c r="D345" i="18"/>
  <c r="M287" i="18"/>
  <c r="N342" i="18"/>
  <c r="T316" i="18"/>
  <c r="N345" i="18"/>
  <c r="U383" i="18"/>
  <c r="F320" i="18"/>
  <c r="O333" i="18"/>
  <c r="E384" i="18"/>
  <c r="H379" i="18"/>
  <c r="N387" i="18"/>
  <c r="G334" i="18"/>
  <c r="C340" i="18"/>
  <c r="P362" i="18"/>
  <c r="O274" i="18"/>
  <c r="I357" i="18"/>
  <c r="N353" i="18"/>
  <c r="K368" i="18"/>
  <c r="C368" i="18"/>
  <c r="P321" i="18"/>
  <c r="I276" i="18"/>
  <c r="K285" i="18"/>
  <c r="M353" i="18"/>
  <c r="L370" i="18"/>
  <c r="C50" i="19"/>
  <c r="E351" i="18"/>
  <c r="K388" i="18"/>
  <c r="T311" i="18"/>
  <c r="D381" i="18"/>
  <c r="P305" i="18"/>
  <c r="D356" i="18"/>
  <c r="L389" i="18"/>
  <c r="F366" i="18"/>
  <c r="B371" i="18"/>
  <c r="F353" i="18"/>
  <c r="Q311" i="18"/>
  <c r="S311" i="18" s="1"/>
  <c r="P352" i="18"/>
  <c r="M329" i="18"/>
  <c r="G350" i="18"/>
  <c r="P339" i="18"/>
  <c r="H326" i="18"/>
  <c r="L319" i="18"/>
  <c r="B362" i="18"/>
  <c r="D295" i="18"/>
  <c r="Q300" i="18"/>
  <c r="S300" i="18" s="1"/>
  <c r="L344" i="18"/>
  <c r="Q323" i="18"/>
  <c r="S323" i="18" s="1"/>
  <c r="U309" i="18"/>
  <c r="E284" i="18"/>
  <c r="D388" i="18"/>
  <c r="I289" i="18"/>
  <c r="C365" i="18"/>
  <c r="I350" i="18"/>
  <c r="P292" i="18"/>
  <c r="E271" i="18"/>
  <c r="I373" i="18"/>
  <c r="Q343" i="18"/>
  <c r="S343" i="18" s="1"/>
  <c r="K294" i="18"/>
  <c r="L374" i="18"/>
  <c r="S50" i="19"/>
  <c r="P368" i="18"/>
  <c r="O383" i="18"/>
  <c r="F289" i="18"/>
  <c r="L352" i="18"/>
  <c r="C363" i="18"/>
  <c r="G288" i="18"/>
  <c r="E385" i="18"/>
  <c r="T319" i="18"/>
  <c r="N280" i="18"/>
  <c r="K339" i="18"/>
  <c r="E364" i="18"/>
  <c r="D327" i="18"/>
  <c r="M288" i="18"/>
  <c r="L358" i="18"/>
  <c r="I310" i="18"/>
  <c r="U354" i="18"/>
  <c r="L367" i="18"/>
  <c r="T292" i="18"/>
  <c r="M378" i="18"/>
  <c r="C324" i="18"/>
  <c r="F322" i="18"/>
  <c r="J315" i="18"/>
  <c r="G376" i="18"/>
  <c r="U337" i="18"/>
  <c r="T288" i="18"/>
  <c r="G387" i="18"/>
  <c r="Q277" i="18"/>
  <c r="S277" i="18" s="1"/>
  <c r="B50" i="19"/>
  <c r="J360" i="18"/>
  <c r="F261" i="18"/>
  <c r="M391" i="18"/>
  <c r="H360" i="18"/>
  <c r="O280" i="18"/>
  <c r="P379" i="18"/>
  <c r="D277" i="18"/>
  <c r="Q365" i="18"/>
  <c r="S365" i="18" s="1"/>
  <c r="B390" i="18"/>
  <c r="I368" i="18"/>
  <c r="B285" i="18"/>
  <c r="H322" i="18"/>
  <c r="M332" i="18"/>
  <c r="O367" i="18"/>
  <c r="I332" i="18"/>
  <c r="P309" i="18"/>
  <c r="C379" i="18"/>
  <c r="C343" i="18"/>
  <c r="H334" i="18"/>
  <c r="T381" i="18"/>
  <c r="Q373" i="18"/>
  <c r="S373" i="18" s="1"/>
  <c r="U348" i="18"/>
  <c r="T299" i="18"/>
  <c r="E333" i="18"/>
  <c r="I365" i="18"/>
  <c r="E316" i="18"/>
  <c r="E337" i="18"/>
  <c r="T371" i="18"/>
  <c r="H342" i="18"/>
  <c r="F295" i="18"/>
  <c r="I391" i="18"/>
  <c r="M297" i="18"/>
  <c r="K295" i="18"/>
  <c r="K278" i="18"/>
  <c r="I383" i="18"/>
  <c r="K381" i="18"/>
  <c r="E303" i="18"/>
  <c r="I280" i="18"/>
  <c r="M368" i="18"/>
  <c r="J285" i="18"/>
  <c r="U340" i="18"/>
  <c r="F357" i="18"/>
  <c r="J307" i="18"/>
  <c r="K342" i="18"/>
  <c r="L272" i="18"/>
  <c r="B287" i="18"/>
  <c r="M344" i="18"/>
  <c r="F352" i="18"/>
  <c r="C294" i="18"/>
  <c r="I327" i="18"/>
  <c r="I298" i="18"/>
  <c r="I316" i="18"/>
  <c r="H311" i="18"/>
  <c r="J325" i="18"/>
  <c r="T367" i="18"/>
  <c r="F288" i="18"/>
  <c r="U310" i="18"/>
  <c r="C372" i="18"/>
  <c r="U318" i="18"/>
  <c r="G342" i="18"/>
  <c r="U50" i="19"/>
  <c r="H312" i="18"/>
  <c r="K284" i="18"/>
  <c r="J292" i="18"/>
  <c r="M296" i="18"/>
  <c r="Q374" i="18"/>
  <c r="S374" i="18" s="1"/>
  <c r="E357" i="18"/>
  <c r="J287" i="18"/>
  <c r="B317" i="18"/>
  <c r="O48" i="19"/>
  <c r="T296" i="18"/>
  <c r="I318" i="18"/>
  <c r="U285" i="18"/>
  <c r="N321" i="18"/>
  <c r="I385" i="18"/>
  <c r="J310" i="18"/>
  <c r="F329" i="18"/>
  <c r="I347" i="18"/>
  <c r="N274" i="18"/>
  <c r="F356" i="18"/>
  <c r="O378" i="18"/>
  <c r="O308" i="18"/>
  <c r="M278" i="18"/>
  <c r="Q303" i="18"/>
  <c r="S303" i="18" s="1"/>
  <c r="Q291" i="18"/>
  <c r="S291" i="18" s="1"/>
  <c r="J373" i="18"/>
  <c r="P334" i="18"/>
  <c r="L299" i="18"/>
  <c r="T261" i="18"/>
  <c r="I291" i="18"/>
  <c r="U342" i="18"/>
  <c r="H301" i="18"/>
  <c r="C305" i="18"/>
  <c r="K292" i="18"/>
  <c r="T357" i="18"/>
  <c r="L350" i="18"/>
  <c r="I302" i="18"/>
  <c r="J320" i="18"/>
  <c r="P313" i="18"/>
  <c r="C342" i="18"/>
  <c r="D272" i="18"/>
  <c r="B359" i="18"/>
  <c r="P301" i="18"/>
  <c r="D370" i="18"/>
  <c r="E288" i="18"/>
  <c r="F369" i="18"/>
  <c r="U295" i="18"/>
  <c r="M325" i="18"/>
  <c r="I315" i="18"/>
  <c r="U358" i="18"/>
  <c r="M295" i="18"/>
  <c r="U336" i="18"/>
  <c r="M48" i="19"/>
  <c r="F318" i="18"/>
  <c r="G339" i="18"/>
  <c r="P287" i="18"/>
  <c r="M374" i="18"/>
  <c r="I297" i="18"/>
  <c r="N335" i="18"/>
  <c r="O319" i="18"/>
  <c r="U353" i="18"/>
  <c r="H373" i="18"/>
  <c r="D332" i="18"/>
  <c r="B293" i="18"/>
  <c r="H349" i="18"/>
  <c r="O314" i="18"/>
  <c r="U343" i="18"/>
  <c r="E349" i="18"/>
  <c r="T325" i="18"/>
  <c r="C321" i="18"/>
  <c r="M298" i="18"/>
  <c r="B326" i="18"/>
  <c r="J379" i="18"/>
  <c r="L318" i="18"/>
  <c r="G312" i="18"/>
  <c r="N349" i="18"/>
  <c r="E339" i="18"/>
  <c r="B333" i="18"/>
  <c r="G343" i="18"/>
  <c r="H261" i="18"/>
  <c r="I360" i="18"/>
  <c r="P327" i="18"/>
  <c r="I338" i="18"/>
  <c r="E308" i="18"/>
  <c r="I339" i="18"/>
  <c r="N380" i="18"/>
  <c r="G48" i="19"/>
  <c r="F360" i="18"/>
  <c r="G261" i="18"/>
  <c r="L289" i="18"/>
  <c r="J369" i="18"/>
  <c r="J295" i="18"/>
  <c r="U300" i="18"/>
  <c r="B302" i="18"/>
  <c r="I287" i="18"/>
  <c r="B271" i="18"/>
  <c r="J321" i="18"/>
  <c r="K336" i="18"/>
  <c r="Q49" i="19"/>
  <c r="M384" i="18"/>
  <c r="B342" i="18"/>
  <c r="T370" i="18"/>
  <c r="M292" i="18"/>
  <c r="D299" i="18"/>
  <c r="J291" i="18"/>
  <c r="M373" i="18"/>
  <c r="C359" i="18"/>
  <c r="G331" i="18"/>
  <c r="F332" i="18"/>
  <c r="B313" i="18"/>
  <c r="T271" i="18"/>
  <c r="J274" i="18"/>
  <c r="I278" i="18"/>
  <c r="O364" i="18"/>
  <c r="U320" i="18"/>
  <c r="E348" i="18"/>
  <c r="D305" i="18"/>
  <c r="E338" i="18"/>
  <c r="O363" i="18"/>
  <c r="O289" i="18"/>
  <c r="K371" i="18"/>
  <c r="N304" i="18"/>
  <c r="O347" i="18"/>
  <c r="T321" i="18"/>
  <c r="L380" i="18"/>
  <c r="M354" i="18"/>
  <c r="G349" i="18"/>
  <c r="Q306" i="18"/>
  <c r="S306" i="18" s="1"/>
  <c r="T340" i="18"/>
  <c r="Q321" i="18"/>
  <c r="S321" i="18" s="1"/>
  <c r="D274" i="18"/>
  <c r="U373" i="18"/>
  <c r="H352" i="18"/>
  <c r="C376" i="18"/>
  <c r="H329" i="18"/>
  <c r="O362" i="18"/>
  <c r="G370" i="18"/>
  <c r="I335" i="18"/>
  <c r="G313" i="18"/>
  <c r="L362" i="18"/>
  <c r="U276" i="18"/>
  <c r="B300" i="18"/>
  <c r="I321" i="18"/>
  <c r="P278" i="18"/>
  <c r="P274" i="18"/>
  <c r="M387" i="18"/>
  <c r="B345" i="18"/>
  <c r="G50" i="19"/>
  <c r="F336" i="18"/>
  <c r="F293" i="18"/>
  <c r="D331" i="18"/>
  <c r="M337" i="18"/>
  <c r="P50" i="19"/>
  <c r="T298" i="18"/>
  <c r="C327" i="18"/>
  <c r="P366" i="18"/>
  <c r="G316" i="18"/>
  <c r="P351" i="18"/>
  <c r="D50" i="19"/>
  <c r="T365" i="18"/>
  <c r="U357" i="18"/>
  <c r="C277" i="18"/>
  <c r="H390" i="18"/>
  <c r="I387" i="18"/>
  <c r="L271" i="18"/>
  <c r="U307" i="18"/>
  <c r="C380" i="18"/>
  <c r="Q50" i="19"/>
  <c r="Q350" i="18"/>
  <c r="S350" i="18" s="1"/>
  <c r="T383" i="18"/>
  <c r="U311" i="18"/>
  <c r="G389" i="18"/>
  <c r="F291" i="18"/>
  <c r="J306" i="18"/>
  <c r="Q305" i="18"/>
  <c r="S305" i="18" s="1"/>
  <c r="L312" i="18"/>
  <c r="M342" i="18"/>
  <c r="M307" i="18"/>
  <c r="T310" i="18"/>
  <c r="D361" i="18"/>
  <c r="M327" i="18"/>
  <c r="K348" i="18"/>
  <c r="J383" i="18"/>
  <c r="N378" i="18"/>
  <c r="P357" i="18"/>
  <c r="I261" i="18"/>
  <c r="D276" i="18"/>
  <c r="H341" i="18"/>
  <c r="H325" i="18"/>
  <c r="D292" i="18"/>
  <c r="M355" i="18"/>
  <c r="P340" i="18"/>
  <c r="D330" i="18"/>
  <c r="F385" i="18"/>
  <c r="N332" i="18"/>
  <c r="T323" i="18"/>
  <c r="B328" i="18"/>
  <c r="O296" i="18"/>
  <c r="J322" i="18"/>
  <c r="F359" i="18"/>
  <c r="I344" i="18"/>
  <c r="C352" i="18"/>
  <c r="N295" i="18"/>
  <c r="U349" i="18"/>
  <c r="H292" i="18"/>
  <c r="Q295" i="18"/>
  <c r="S295" i="18" s="1"/>
  <c r="N377" i="18"/>
  <c r="L368" i="18"/>
  <c r="O371" i="18"/>
  <c r="U271" i="18"/>
  <c r="K367" i="18"/>
  <c r="C334" i="18"/>
  <c r="P48" i="19"/>
  <c r="J366" i="18"/>
  <c r="Q298" i="18"/>
  <c r="S298" i="18" s="1"/>
  <c r="N279" i="18"/>
  <c r="F271" i="18"/>
  <c r="D286" i="18"/>
  <c r="L348" i="18"/>
  <c r="H306" i="18"/>
  <c r="Q289" i="18"/>
  <c r="S289" i="18" s="1"/>
  <c r="U326" i="18"/>
  <c r="J293" i="18"/>
  <c r="I286" i="18"/>
  <c r="Q319" i="18"/>
  <c r="S319" i="18" s="1"/>
  <c r="U333" i="18"/>
  <c r="U378" i="18"/>
  <c r="I369" i="18"/>
  <c r="I304" i="18"/>
  <c r="P372" i="18"/>
  <c r="T360" i="18"/>
  <c r="N379" i="18"/>
  <c r="L373" i="18"/>
  <c r="C298" i="18"/>
  <c r="M357" i="18"/>
  <c r="M318" i="18"/>
  <c r="C377" i="18"/>
  <c r="H300" i="18"/>
  <c r="L328" i="18"/>
  <c r="J284" i="18"/>
  <c r="D329" i="18"/>
  <c r="I349" i="18"/>
  <c r="I341" i="18"/>
  <c r="J382" i="18"/>
  <c r="L307" i="18"/>
  <c r="I378" i="18"/>
  <c r="K311" i="18"/>
  <c r="P382" i="18"/>
  <c r="B379" i="18"/>
  <c r="K48" i="19"/>
  <c r="B364" i="18"/>
  <c r="M362" i="18"/>
  <c r="L340" i="18"/>
  <c r="K289" i="18"/>
  <c r="L305" i="18"/>
  <c r="L331" i="18"/>
  <c r="G317" i="18"/>
  <c r="U351" i="18"/>
  <c r="F328" i="18"/>
  <c r="N350" i="18"/>
  <c r="D378" i="18"/>
  <c r="D314" i="18"/>
  <c r="F280" i="18"/>
  <c r="F315" i="18"/>
  <c r="F380" i="18"/>
  <c r="P312" i="18"/>
  <c r="U369" i="18"/>
  <c r="H303" i="18"/>
  <c r="M328" i="18"/>
  <c r="P307" i="18"/>
  <c r="M390" i="18"/>
  <c r="U312" i="18"/>
  <c r="F371" i="18"/>
  <c r="T384" i="18"/>
  <c r="D300" i="18"/>
  <c r="I348" i="18"/>
  <c r="E289" i="18"/>
  <c r="P363" i="18"/>
  <c r="G347" i="18"/>
  <c r="Q325" i="18"/>
  <c r="S325" i="18" s="1"/>
  <c r="U315" i="18"/>
  <c r="Q391" i="18"/>
  <c r="S391" i="18" s="1"/>
  <c r="K351" i="18"/>
  <c r="K374" i="18"/>
  <c r="I354" i="18"/>
  <c r="U355" i="18"/>
  <c r="J305" i="18"/>
  <c r="L359" i="18"/>
  <c r="U280" i="18"/>
  <c r="F375" i="18"/>
  <c r="G362" i="18"/>
  <c r="C355" i="18"/>
  <c r="L346" i="18"/>
  <c r="C296" i="18"/>
  <c r="B311" i="18"/>
  <c r="E371" i="18"/>
  <c r="G290" i="18"/>
  <c r="L326" i="18"/>
  <c r="D371" i="18"/>
  <c r="B340" i="18"/>
  <c r="K323" i="18"/>
  <c r="M367" i="18"/>
  <c r="N382" i="18"/>
  <c r="B366" i="18"/>
  <c r="M364" i="18"/>
  <c r="B261" i="18"/>
  <c r="B343" i="18"/>
  <c r="K308" i="18"/>
  <c r="O324" i="18"/>
  <c r="I371" i="18"/>
  <c r="K384" i="18"/>
  <c r="J364" i="18"/>
  <c r="K341" i="18"/>
  <c r="O303" i="18"/>
  <c r="N323" i="18"/>
  <c r="K378" i="18"/>
  <c r="N341" i="18"/>
  <c r="O261" i="18"/>
  <c r="Q322" i="18"/>
  <c r="S322" i="18" s="1"/>
  <c r="C375" i="18"/>
  <c r="K300" i="18"/>
  <c r="F347" i="18"/>
  <c r="J50" i="19"/>
  <c r="D303" i="18"/>
  <c r="M330" i="18"/>
  <c r="T307" i="18"/>
  <c r="M338" i="18"/>
  <c r="Q363" i="18"/>
  <c r="S363" i="18" s="1"/>
  <c r="M316" i="18"/>
  <c r="N322" i="18"/>
  <c r="N306" i="18"/>
  <c r="Q367" i="18"/>
  <c r="S367" i="18" s="1"/>
  <c r="B381" i="18"/>
  <c r="T372" i="18"/>
  <c r="C292" i="18"/>
  <c r="P288" i="18"/>
  <c r="F372" i="18"/>
  <c r="M343" i="18"/>
  <c r="I340" i="18"/>
  <c r="E311" i="18"/>
  <c r="C304" i="18"/>
  <c r="B380" i="18"/>
  <c r="K277" i="18"/>
  <c r="H388" i="18"/>
  <c r="N362" i="18"/>
  <c r="D358" i="18"/>
  <c r="T50" i="19"/>
  <c r="E381" i="18"/>
  <c r="M383" i="18"/>
  <c r="P361" i="18"/>
  <c r="B316" i="18"/>
  <c r="E379" i="18"/>
  <c r="H272" i="18"/>
  <c r="M334" i="18"/>
  <c r="N390" i="18"/>
  <c r="T332" i="18"/>
  <c r="D386" i="18"/>
  <c r="L321" i="18"/>
  <c r="Q338" i="18"/>
  <c r="S338" i="18" s="1"/>
  <c r="B347" i="18"/>
  <c r="T308" i="18"/>
  <c r="L341" i="18"/>
  <c r="O291" i="18"/>
  <c r="M324" i="18"/>
  <c r="O386" i="18"/>
  <c r="H377" i="18"/>
  <c r="I285" i="18"/>
  <c r="G363" i="18"/>
  <c r="L351" i="18"/>
  <c r="U327" i="18"/>
  <c r="D380" i="18"/>
  <c r="C330" i="18"/>
  <c r="U344" i="18"/>
  <c r="T331" i="18"/>
  <c r="T388" i="18"/>
  <c r="M49" i="19"/>
  <c r="K335" i="18"/>
  <c r="G321" i="18"/>
  <c r="J316" i="18"/>
  <c r="Q330" i="18"/>
  <c r="S330" i="18" s="1"/>
  <c r="L306" i="18"/>
  <c r="H353" i="18"/>
  <c r="I320" i="18"/>
  <c r="B279" i="18"/>
  <c r="P331" i="18"/>
  <c r="I324" i="18"/>
  <c r="M320" i="18"/>
  <c r="L320" i="18"/>
  <c r="K310" i="18"/>
  <c r="T329" i="18"/>
  <c r="K276" i="18"/>
  <c r="K363" i="18"/>
  <c r="T287" i="18"/>
  <c r="J271" i="18"/>
  <c r="Q308" i="18"/>
  <c r="S308" i="18" s="1"/>
  <c r="F383" i="18"/>
  <c r="G380" i="18"/>
  <c r="B314" i="18"/>
  <c r="Q334" i="18"/>
  <c r="S334" i="18" s="1"/>
  <c r="G315" i="18"/>
  <c r="D350" i="18"/>
  <c r="D49" i="19"/>
  <c r="N272" i="18"/>
  <c r="H278" i="18"/>
  <c r="C297" i="18"/>
  <c r="F349" i="18"/>
  <c r="C388" i="18"/>
  <c r="Q318" i="18"/>
  <c r="S318" i="18" s="1"/>
  <c r="U384" i="18"/>
  <c r="B286" i="18"/>
  <c r="K386" i="18"/>
  <c r="N325" i="18"/>
  <c r="F286" i="18"/>
  <c r="E390" i="18"/>
  <c r="U387" i="18"/>
  <c r="G332" i="18"/>
  <c r="G358" i="18"/>
  <c r="B331" i="18"/>
  <c r="F49" i="19"/>
  <c r="T289" i="18"/>
  <c r="H333" i="18"/>
  <c r="F389" i="18"/>
  <c r="L50" i="19"/>
  <c r="B274" i="18"/>
  <c r="F284" i="18"/>
  <c r="B334" i="18"/>
  <c r="G368" i="18"/>
  <c r="I301" i="18"/>
  <c r="D372" i="18"/>
  <c r="E336" i="18"/>
  <c r="U306" i="18"/>
  <c r="F350" i="18"/>
  <c r="U324" i="18"/>
  <c r="D312" i="18"/>
  <c r="K369" i="18"/>
  <c r="O313" i="18"/>
  <c r="H371" i="18"/>
  <c r="P326" i="18"/>
  <c r="T334" i="18"/>
  <c r="K271" i="18"/>
  <c r="N388" i="18"/>
  <c r="H277" i="18"/>
  <c r="O354" i="18"/>
  <c r="G386" i="18"/>
  <c r="G301" i="18"/>
  <c r="O330" i="18"/>
  <c r="O309" i="18"/>
  <c r="E361" i="18"/>
  <c r="J314" i="18"/>
  <c r="H284" i="18"/>
  <c r="C382" i="18"/>
  <c r="C325" i="18"/>
  <c r="G304" i="18"/>
  <c r="D338" i="18"/>
  <c r="E345" i="18"/>
  <c r="B305" i="18"/>
  <c r="K317" i="18"/>
  <c r="N286" i="18"/>
  <c r="E313" i="18"/>
  <c r="G49" i="19"/>
  <c r="M317" i="18"/>
  <c r="U290" i="18"/>
  <c r="H365" i="18"/>
  <c r="F386" i="18"/>
  <c r="E375" i="18"/>
  <c r="D280" i="18"/>
  <c r="M381" i="18"/>
  <c r="F343" i="18"/>
  <c r="K315" i="18"/>
  <c r="C272" i="18"/>
  <c r="G333" i="18"/>
  <c r="M350" i="18"/>
  <c r="B310" i="18"/>
  <c r="T309" i="18"/>
  <c r="O384" i="18"/>
  <c r="G390" i="18"/>
  <c r="J350" i="18"/>
  <c r="L377" i="18"/>
  <c r="M375" i="18"/>
  <c r="M290" i="18"/>
  <c r="G308" i="18"/>
  <c r="H340" i="18"/>
  <c r="H358" i="18"/>
  <c r="J384" i="18"/>
  <c r="H387" i="18"/>
  <c r="J309" i="18"/>
  <c r="L378" i="18"/>
  <c r="H386" i="18"/>
  <c r="H355" i="18"/>
  <c r="U328" i="18"/>
  <c r="K389" i="18"/>
  <c r="T375" i="18"/>
  <c r="K304" i="18"/>
  <c r="L361" i="18"/>
  <c r="K325" i="18"/>
  <c r="E380" i="18"/>
  <c r="B318" i="18"/>
  <c r="K357" i="18"/>
  <c r="T342" i="18"/>
  <c r="Q288" i="18"/>
  <c r="S288" i="18" s="1"/>
  <c r="T343" i="18"/>
  <c r="B295" i="18"/>
  <c r="Q297" i="18"/>
  <c r="S297" i="18" s="1"/>
  <c r="I363" i="18"/>
  <c r="E320" i="18"/>
  <c r="P388" i="18"/>
  <c r="J276" i="18"/>
  <c r="B49" i="19"/>
  <c r="M294" i="18"/>
  <c r="N326" i="18"/>
  <c r="C280" i="18"/>
  <c r="E386" i="18"/>
  <c r="C341" i="18"/>
  <c r="M312" i="18"/>
  <c r="I364" i="18"/>
  <c r="Q285" i="18"/>
  <c r="S285" i="18" s="1"/>
  <c r="U335" i="18"/>
  <c r="P342" i="18"/>
  <c r="M366" i="18"/>
  <c r="Q335" i="18"/>
  <c r="S335" i="18" s="1"/>
  <c r="M331" i="18"/>
  <c r="U331" i="18"/>
  <c r="U297" i="18"/>
  <c r="F391" i="18"/>
  <c r="N360" i="18"/>
  <c r="U377" i="18"/>
  <c r="O321" i="18"/>
  <c r="I361" i="18"/>
  <c r="J304" i="18"/>
  <c r="N389" i="18"/>
  <c r="J330" i="18"/>
  <c r="H291" i="18"/>
  <c r="I306" i="18"/>
  <c r="N277" i="18"/>
  <c r="L335" i="18"/>
  <c r="J372" i="18"/>
  <c r="P387" i="18"/>
  <c r="I380" i="18"/>
  <c r="K391" i="18"/>
  <c r="T328" i="18"/>
  <c r="J279" i="18"/>
  <c r="G320" i="18"/>
  <c r="D379" i="18"/>
  <c r="U368" i="18"/>
  <c r="C328" i="18"/>
  <c r="P325" i="18"/>
  <c r="F341" i="18"/>
  <c r="J334" i="18"/>
  <c r="Q274" i="18"/>
  <c r="S274" i="18" s="1"/>
  <c r="C306" i="18"/>
  <c r="D284" i="18"/>
  <c r="C345" i="18"/>
  <c r="D382" i="18"/>
  <c r="J328" i="18"/>
  <c r="U321" i="18"/>
  <c r="F342" i="18"/>
  <c r="P356" i="18"/>
  <c r="J351" i="18"/>
  <c r="E330" i="18"/>
  <c r="N381" i="18"/>
  <c r="I48" i="19"/>
  <c r="M309" i="18"/>
  <c r="H339" i="18"/>
  <c r="F344" i="18"/>
  <c r="U261" i="18"/>
  <c r="I323" i="18"/>
  <c r="E295" i="18"/>
  <c r="M369" i="18"/>
  <c r="O320" i="18"/>
  <c r="I312" i="18"/>
  <c r="H372" i="18"/>
  <c r="O284" i="18"/>
  <c r="T391" i="18"/>
  <c r="B363" i="18"/>
  <c r="G344" i="18"/>
  <c r="E296" i="18"/>
  <c r="K359" i="18"/>
  <c r="E294" i="18"/>
  <c r="J367" i="18"/>
  <c r="D261" i="18"/>
  <c r="M380" i="18"/>
  <c r="D360" i="18"/>
  <c r="I345" i="18"/>
  <c r="B325" i="18"/>
  <c r="C310" i="18"/>
  <c r="L382" i="18"/>
  <c r="F340" i="18"/>
  <c r="T313" i="18"/>
  <c r="N301" i="18"/>
  <c r="B372" i="18"/>
  <c r="B357" i="18"/>
  <c r="B315" i="18"/>
  <c r="D347" i="18"/>
  <c r="J374" i="18"/>
  <c r="I367" i="18"/>
  <c r="L287" i="18"/>
  <c r="F381" i="18"/>
  <c r="O348" i="18"/>
  <c r="E297" i="18"/>
  <c r="Q370" i="18"/>
  <c r="S370" i="18" s="1"/>
  <c r="F334" i="18"/>
  <c r="Q290" i="18"/>
  <c r="S290" i="18" s="1"/>
  <c r="L327" i="18"/>
  <c r="C291" i="18"/>
  <c r="H310" i="18"/>
  <c r="M279" i="18"/>
  <c r="F384" i="18"/>
  <c r="N385" i="18"/>
  <c r="Q278" i="18"/>
  <c r="S278" i="18" s="1"/>
  <c r="F362" i="18"/>
  <c r="J308" i="18"/>
  <c r="D271" i="18"/>
  <c r="M360" i="18"/>
  <c r="L280" i="18"/>
  <c r="I356" i="18"/>
  <c r="O276" i="18"/>
  <c r="G336" i="18"/>
  <c r="Q271" i="18"/>
  <c r="S271" i="18" s="1"/>
  <c r="N311" i="18"/>
  <c r="T376" i="18"/>
  <c r="C274" i="18"/>
  <c r="P337" i="18"/>
  <c r="N308" i="18"/>
  <c r="P276" i="18"/>
  <c r="F346" i="18"/>
  <c r="O287" i="18"/>
  <c r="I389" i="18"/>
  <c r="U364" i="18"/>
  <c r="P296" i="18"/>
  <c r="G345" i="18"/>
  <c r="G348" i="18"/>
  <c r="K312" i="18"/>
  <c r="D342" i="18"/>
  <c r="P277" i="18"/>
  <c r="I319" i="18"/>
  <c r="H309" i="18"/>
  <c r="K306" i="18"/>
  <c r="U313" i="18"/>
  <c r="B303" i="18"/>
  <c r="P329" i="18"/>
  <c r="F307" i="18"/>
  <c r="U319" i="18"/>
  <c r="C300" i="18"/>
  <c r="T377" i="18"/>
  <c r="Q353" i="18"/>
  <c r="S353" i="18" s="1"/>
  <c r="H285" i="18"/>
  <c r="O376" i="18"/>
  <c r="L284" i="18"/>
  <c r="O301" i="18"/>
  <c r="D290" i="18"/>
  <c r="U375" i="18"/>
  <c r="D287" i="18"/>
  <c r="G272" i="18"/>
  <c r="N375" i="18"/>
  <c r="O290" i="18"/>
  <c r="O306" i="18"/>
  <c r="N351" i="18"/>
  <c r="P299" i="18"/>
  <c r="U48" i="19"/>
  <c r="M300" i="18"/>
  <c r="Q387" i="18"/>
  <c r="S387" i="18" s="1"/>
  <c r="M340" i="18"/>
  <c r="U338" i="18"/>
  <c r="E387" i="18"/>
  <c r="G277" i="18"/>
  <c r="I50" i="19"/>
  <c r="K362" i="18"/>
  <c r="U372" i="18"/>
  <c r="G310" i="18"/>
  <c r="F325" i="18"/>
  <c r="L338" i="18"/>
  <c r="N288" i="18"/>
  <c r="R49" i="19"/>
  <c r="L383" i="18"/>
  <c r="E293" i="18"/>
  <c r="M386" i="18"/>
  <c r="O322" i="18"/>
  <c r="M313" i="18"/>
  <c r="M310" i="18"/>
  <c r="P347" i="18"/>
  <c r="T335" i="18"/>
  <c r="N373" i="18"/>
  <c r="F290" i="18"/>
  <c r="P377" i="18"/>
  <c r="T285" i="18"/>
  <c r="N327" i="18"/>
  <c r="U308" i="18"/>
  <c r="G351" i="18"/>
  <c r="O285" i="18"/>
  <c r="Q324" i="18"/>
  <c r="S324" i="18" s="1"/>
  <c r="AH49" i="19"/>
  <c r="AJ49" i="19" s="1"/>
  <c r="F324" i="18"/>
  <c r="D288" i="18"/>
  <c r="N284" i="18"/>
  <c r="D367" i="18"/>
  <c r="F310" i="18"/>
  <c r="U360" i="18"/>
  <c r="K50" i="19"/>
  <c r="O356" i="18"/>
  <c r="J343" i="18"/>
  <c r="C362" i="18"/>
  <c r="B288" i="18"/>
  <c r="C346" i="18"/>
  <c r="J286" i="18"/>
  <c r="M361" i="18"/>
  <c r="I388" i="18"/>
  <c r="I366" i="18"/>
  <c r="S49" i="19"/>
  <c r="M358" i="18"/>
  <c r="J313" i="18"/>
  <c r="N371" i="18"/>
  <c r="H288" i="18"/>
  <c r="U296" i="18"/>
  <c r="F294" i="18"/>
  <c r="I336" i="18"/>
  <c r="H315" i="18"/>
  <c r="M299" i="18"/>
  <c r="I390" i="18"/>
  <c r="E382" i="18"/>
  <c r="D306" i="18"/>
  <c r="E344" i="18"/>
  <c r="B365" i="18"/>
  <c r="I292" i="18"/>
  <c r="B291" i="18"/>
  <c r="J341" i="18"/>
  <c r="N314" i="18"/>
  <c r="G359" i="18"/>
  <c r="N318" i="18"/>
  <c r="P297" i="18"/>
  <c r="M371" i="18"/>
  <c r="C331" i="18"/>
  <c r="L349" i="18"/>
  <c r="E346" i="18"/>
  <c r="D344" i="18"/>
  <c r="I317" i="18"/>
  <c r="P370" i="18"/>
  <c r="C289" i="18"/>
  <c r="P318" i="18"/>
  <c r="K373" i="18"/>
  <c r="C311" i="18"/>
  <c r="N320" i="18"/>
  <c r="K360" i="18"/>
  <c r="Q341" i="18"/>
  <c r="S341" i="18" s="1"/>
  <c r="O377" i="18"/>
  <c r="K272" i="18"/>
  <c r="P333" i="18"/>
  <c r="L278" i="18"/>
  <c r="G381" i="18"/>
  <c r="J280" i="18"/>
  <c r="E301" i="18"/>
  <c r="U301" i="18"/>
  <c r="H350" i="18"/>
  <c r="N300" i="18"/>
  <c r="M304" i="18"/>
  <c r="N370" i="18"/>
  <c r="T300" i="18"/>
  <c r="B324" i="18"/>
  <c r="G355" i="18"/>
  <c r="I359" i="18"/>
  <c r="Q362" i="18"/>
  <c r="S362" i="18" s="1"/>
  <c r="D362" i="18"/>
  <c r="I331" i="18"/>
  <c r="M271" i="18"/>
  <c r="Q294" i="18"/>
  <c r="S294" i="18" s="1"/>
  <c r="T330" i="18"/>
  <c r="Q309" i="18"/>
  <c r="S309" i="18" s="1"/>
  <c r="N297" i="18"/>
  <c r="E340" i="18"/>
  <c r="K365" i="18"/>
  <c r="H368" i="18"/>
  <c r="F303" i="18"/>
  <c r="I381" i="18"/>
  <c r="E360" i="18"/>
  <c r="B272" i="18"/>
  <c r="T386" i="18"/>
  <c r="U339" i="18"/>
  <c r="P369" i="18"/>
  <c r="K324" i="18"/>
  <c r="O294" i="18"/>
  <c r="I333" i="18"/>
  <c r="H321" i="18"/>
  <c r="J356" i="18"/>
  <c r="L332" i="18"/>
  <c r="F368" i="18"/>
  <c r="O390" i="18"/>
  <c r="M349" i="18"/>
  <c r="J298" i="18"/>
  <c r="O391" i="18"/>
  <c r="F335" i="18"/>
  <c r="T320" i="18"/>
  <c r="E261" i="18"/>
  <c r="K298" i="18"/>
  <c r="T382" i="18"/>
  <c r="L297" i="18"/>
  <c r="D313" i="18"/>
  <c r="E309" i="18"/>
  <c r="F297" i="18"/>
  <c r="U385" i="18"/>
  <c r="O300" i="18"/>
  <c r="E277" i="18"/>
  <c r="G293" i="18"/>
  <c r="U293" i="18"/>
  <c r="Q293" i="18"/>
  <c r="S293" i="18" s="1"/>
  <c r="M285" i="18"/>
  <c r="H328" i="18"/>
  <c r="T339" i="18"/>
  <c r="L342" i="18"/>
  <c r="Q376" i="18"/>
  <c r="S376" i="18" s="1"/>
  <c r="C295" i="18"/>
  <c r="D337" i="18"/>
  <c r="H308" i="18"/>
  <c r="B368" i="18"/>
  <c r="B319" i="18"/>
  <c r="F358" i="18"/>
  <c r="B383" i="18"/>
  <c r="G285" i="18"/>
  <c r="B382" i="18"/>
  <c r="L302" i="18"/>
  <c r="M365" i="18"/>
  <c r="Q357" i="18"/>
  <c r="S357" i="18" s="1"/>
  <c r="M370" i="18"/>
  <c r="U363" i="18"/>
  <c r="I376" i="18"/>
  <c r="C293" i="18"/>
  <c r="D368" i="18"/>
  <c r="I334" i="18"/>
  <c r="P304" i="18"/>
  <c r="P308" i="18"/>
  <c r="L293" i="18"/>
  <c r="D309" i="18"/>
  <c r="O307" i="18"/>
  <c r="G338" i="18"/>
  <c r="C284" i="18"/>
  <c r="J303" i="18"/>
  <c r="M319" i="18"/>
  <c r="I293" i="18"/>
  <c r="T345" i="18"/>
  <c r="L381" i="18"/>
  <c r="T378" i="18"/>
  <c r="F374" i="18"/>
  <c r="T389" i="18"/>
  <c r="Q382" i="18"/>
  <c r="S382" i="18" s="1"/>
  <c r="L375" i="18"/>
  <c r="J371" i="18"/>
  <c r="G299" i="18"/>
  <c r="J345" i="18"/>
  <c r="K261" i="18"/>
  <c r="O385" i="18"/>
  <c r="H48" i="19"/>
  <c r="B360" i="18"/>
  <c r="G298" i="18"/>
  <c r="T295" i="18"/>
  <c r="P359" i="18"/>
  <c r="D385" i="18"/>
  <c r="M308" i="18"/>
  <c r="O381" i="18"/>
  <c r="F308" i="18"/>
  <c r="H332" i="18"/>
  <c r="F345" i="18"/>
  <c r="M315" i="18"/>
  <c r="H314" i="18"/>
  <c r="C333" i="18"/>
  <c r="H376" i="18"/>
  <c r="L384" i="18"/>
  <c r="Q369" i="18"/>
  <c r="S369" i="18" s="1"/>
  <c r="E314" i="18"/>
  <c r="J300" i="18"/>
  <c r="M346" i="18"/>
  <c r="C278" i="18"/>
  <c r="F363" i="18"/>
  <c r="M345" i="18"/>
  <c r="K331" i="18"/>
  <c r="B367" i="18"/>
  <c r="F314" i="18"/>
  <c r="K376" i="18"/>
  <c r="E363" i="18"/>
  <c r="H380" i="18"/>
  <c r="L323" i="18"/>
  <c r="P365" i="18"/>
  <c r="Q327" i="18"/>
  <c r="S327" i="18" s="1"/>
  <c r="F351" i="18"/>
  <c r="N365" i="18"/>
  <c r="P322" i="18"/>
  <c r="M335" i="18"/>
  <c r="D387" i="18"/>
  <c r="B386" i="18"/>
  <c r="E335" i="18"/>
  <c r="L49" i="19"/>
  <c r="F279" i="18"/>
  <c r="Q366" i="18"/>
  <c r="S366" i="18" s="1"/>
  <c r="D318" i="18"/>
  <c r="T352" i="18"/>
  <c r="J375" i="18"/>
  <c r="G314" i="18"/>
  <c r="E347" i="18"/>
  <c r="U305" i="18"/>
  <c r="B384" i="18"/>
  <c r="H381" i="18"/>
  <c r="L276" i="18"/>
  <c r="U366" i="18"/>
  <c r="B309" i="18"/>
  <c r="F296" i="18"/>
  <c r="K379" i="18"/>
  <c r="N324" i="18"/>
  <c r="B329" i="18"/>
  <c r="J390" i="18"/>
  <c r="U316" i="18"/>
  <c r="U371" i="18"/>
  <c r="P306" i="18"/>
  <c r="G291" i="18"/>
  <c r="I384" i="18"/>
  <c r="K303" i="18"/>
  <c r="J365" i="18"/>
  <c r="D317" i="18"/>
  <c r="O49" i="19"/>
  <c r="J353" i="18"/>
  <c r="C383" i="18"/>
  <c r="T278" i="18"/>
  <c r="L356" i="18"/>
  <c r="M389" i="18"/>
  <c r="F370" i="18"/>
  <c r="U274" i="18"/>
  <c r="B354" i="18"/>
  <c r="O344" i="18"/>
  <c r="G346" i="18"/>
  <c r="J311" i="18"/>
  <c r="T303" i="18"/>
  <c r="T48" i="19"/>
  <c r="N309" i="18"/>
  <c r="O327" i="18"/>
  <c r="U287" i="18"/>
  <c r="U289" i="18"/>
  <c r="G311" i="18"/>
  <c r="E324" i="18"/>
  <c r="I314" i="18"/>
  <c r="P348" i="18"/>
  <c r="K290" i="18"/>
  <c r="O305" i="18"/>
  <c r="I382" i="18"/>
  <c r="U288" i="18"/>
  <c r="U304" i="18"/>
  <c r="H276" i="18"/>
  <c r="K383" i="18"/>
  <c r="N334" i="18"/>
  <c r="N276" i="18"/>
  <c r="C271" i="18"/>
  <c r="C335" i="18"/>
  <c r="E323" i="18"/>
  <c r="C356" i="18"/>
  <c r="G366" i="18"/>
  <c r="L313" i="18"/>
  <c r="F272" i="18"/>
  <c r="B48" i="19"/>
  <c r="Q383" i="18"/>
  <c r="S383" i="18" s="1"/>
  <c r="J378" i="18"/>
  <c r="K297" i="18"/>
  <c r="F339" i="18"/>
  <c r="N293" i="18"/>
  <c r="P324" i="18"/>
  <c r="F299" i="18"/>
  <c r="C323" i="18"/>
  <c r="E325" i="18"/>
  <c r="H323" i="18"/>
  <c r="D45" i="19"/>
  <c r="J352" i="18"/>
  <c r="L354" i="18"/>
  <c r="T356" i="18"/>
  <c r="K291" i="18"/>
  <c r="B280" i="18"/>
  <c r="B277" i="18"/>
  <c r="J332" i="18"/>
  <c r="N333" i="18"/>
  <c r="K328" i="18"/>
  <c r="T301" i="18"/>
  <c r="O328" i="18"/>
  <c r="N49" i="19"/>
  <c r="H385" i="18"/>
  <c r="M323" i="18"/>
  <c r="O278" i="18"/>
  <c r="E359" i="18"/>
  <c r="D296" i="18"/>
  <c r="M376" i="18"/>
  <c r="J290" i="18"/>
  <c r="T338" i="18"/>
  <c r="J326" i="18"/>
  <c r="G327" i="18"/>
  <c r="B327" i="18"/>
  <c r="H287" i="18"/>
  <c r="C387" i="18"/>
  <c r="Q368" i="18"/>
  <c r="S368" i="18" s="1"/>
  <c r="Q390" i="18"/>
  <c r="S390" i="18" s="1"/>
  <c r="G287" i="18"/>
  <c r="Q326" i="18"/>
  <c r="S326" i="18" s="1"/>
  <c r="M347" i="18"/>
  <c r="C307" i="18"/>
  <c r="D363" i="18"/>
  <c r="Q337" i="18"/>
  <c r="S337" i="18" s="1"/>
  <c r="F278" i="18"/>
  <c r="H317" i="18"/>
  <c r="P330" i="18"/>
  <c r="K366" i="18"/>
  <c r="Q356" i="18"/>
  <c r="S356" i="18" s="1"/>
  <c r="H354" i="18"/>
  <c r="U286" i="18"/>
  <c r="M388" i="18"/>
  <c r="N328" i="18"/>
  <c r="I309" i="18"/>
  <c r="T317" i="18"/>
  <c r="M333" i="18"/>
  <c r="E327" i="18"/>
  <c r="B391" i="18"/>
  <c r="G307" i="18"/>
  <c r="K350" i="18"/>
  <c r="O365" i="18"/>
  <c r="F277" i="18"/>
  <c r="O299" i="18"/>
  <c r="E299" i="18"/>
  <c r="N294" i="18"/>
  <c r="N317" i="18"/>
  <c r="T272" i="18"/>
  <c r="C329" i="18"/>
  <c r="B346" i="18"/>
  <c r="L372" i="18"/>
  <c r="K279" i="18"/>
  <c r="H304" i="18"/>
  <c r="L296" i="18"/>
  <c r="B284" i="18"/>
  <c r="H343" i="18"/>
  <c r="E343" i="18"/>
  <c r="D336" i="18"/>
  <c r="T336" i="18"/>
  <c r="K305" i="18"/>
  <c r="E318" i="18"/>
  <c r="Q381" i="18"/>
  <c r="S381" i="18" s="1"/>
  <c r="P303" i="18"/>
  <c r="H335" i="18"/>
  <c r="M382" i="18"/>
  <c r="M272" i="18"/>
  <c r="E377" i="18"/>
  <c r="L376" i="18"/>
  <c r="I370" i="18"/>
  <c r="U323" i="18"/>
  <c r="P315" i="18"/>
  <c r="Q380" i="18"/>
  <c r="S380" i="18" s="1"/>
  <c r="I305" i="18"/>
  <c r="D354" i="18"/>
  <c r="K356" i="18"/>
  <c r="G364" i="18"/>
  <c r="D366" i="18"/>
  <c r="M277" i="18"/>
  <c r="F390" i="18"/>
  <c r="Q276" i="18"/>
  <c r="S276" i="18" s="1"/>
  <c r="O288" i="18"/>
  <c r="F355" i="18"/>
  <c r="Q345" i="18"/>
  <c r="S345" i="18" s="1"/>
  <c r="F304" i="18"/>
  <c r="T312" i="18"/>
  <c r="B296" i="18"/>
  <c r="D294" i="18"/>
  <c r="J355" i="18"/>
  <c r="F364" i="18"/>
  <c r="H324" i="18"/>
  <c r="Q386" i="18"/>
  <c r="S386" i="18" s="1"/>
  <c r="B339" i="18"/>
  <c r="H370" i="18"/>
  <c r="F276" i="18"/>
  <c r="P291" i="18"/>
  <c r="M286" i="18"/>
  <c r="C351" i="18"/>
  <c r="Q314" i="18"/>
  <c r="S314" i="18" s="1"/>
  <c r="T274" i="18"/>
  <c r="C302" i="18"/>
  <c r="E278" i="18"/>
  <c r="I294" i="18"/>
  <c r="L315" i="18"/>
  <c r="M305" i="18"/>
  <c r="C337" i="18"/>
  <c r="O329" i="18"/>
  <c r="C290" i="18"/>
  <c r="H290" i="18"/>
  <c r="G353" i="18"/>
  <c r="U298" i="18"/>
  <c r="G384" i="18"/>
  <c r="G279" i="18"/>
  <c r="C312" i="18"/>
  <c r="U322" i="18"/>
  <c r="G294" i="18"/>
  <c r="K343" i="18"/>
  <c r="B353" i="18"/>
  <c r="P374" i="18"/>
  <c r="I386" i="18"/>
  <c r="H348" i="18"/>
  <c r="G341" i="18"/>
  <c r="I355" i="18"/>
  <c r="O345" i="18"/>
  <c r="J319" i="18"/>
  <c r="O357" i="18"/>
  <c r="E358" i="18"/>
  <c r="C318" i="18"/>
  <c r="F348" i="18"/>
  <c r="F326" i="18"/>
  <c r="B350" i="18"/>
  <c r="U330" i="18"/>
  <c r="D315" i="18"/>
  <c r="P280" i="18"/>
  <c r="E334" i="18"/>
  <c r="U381" i="18"/>
  <c r="Q48" i="19"/>
  <c r="Q315" i="18"/>
  <c r="S315" i="18" s="1"/>
  <c r="Q307" i="18"/>
  <c r="S307" i="18" s="1"/>
  <c r="T276" i="18"/>
  <c r="I351" i="18"/>
  <c r="J327" i="18"/>
  <c r="Q332" i="18"/>
  <c r="S332" i="18" s="1"/>
  <c r="E342" i="18"/>
  <c r="J387" i="18"/>
  <c r="O372" i="18"/>
  <c r="B289" i="18"/>
  <c r="K330" i="18"/>
  <c r="N290" i="18"/>
  <c r="H274" i="18"/>
  <c r="G302" i="18"/>
  <c r="Q333" i="18"/>
  <c r="S333" i="18" s="1"/>
  <c r="K307" i="18"/>
  <c r="G352" i="18"/>
  <c r="T293" i="18"/>
  <c r="C299" i="18"/>
  <c r="P350" i="18"/>
  <c r="B375" i="18"/>
  <c r="T363" i="18"/>
  <c r="T354" i="18"/>
  <c r="C369" i="18"/>
  <c r="G325" i="18"/>
  <c r="D351" i="18"/>
  <c r="L391" i="18"/>
  <c r="Q352" i="18"/>
  <c r="S352" i="18" s="1"/>
  <c r="B352" i="18"/>
  <c r="T380" i="18"/>
  <c r="C390" i="18"/>
  <c r="U379" i="18"/>
  <c r="E321" i="18"/>
  <c r="H351" i="18"/>
  <c r="H319" i="18"/>
  <c r="K280" i="18"/>
  <c r="M301" i="18"/>
  <c r="L316" i="18"/>
  <c r="G361" i="18"/>
  <c r="J359" i="18"/>
  <c r="L310" i="18"/>
  <c r="T347" i="18"/>
  <c r="L300" i="18"/>
  <c r="H384" i="18"/>
  <c r="T324" i="18"/>
  <c r="P376" i="18"/>
  <c r="Q279" i="18"/>
  <c r="S279" i="18" s="1"/>
  <c r="O272" i="18"/>
  <c r="F48" i="19"/>
  <c r="O332" i="18"/>
  <c r="D310" i="18"/>
  <c r="C385" i="18"/>
  <c r="K274" i="18"/>
  <c r="C389" i="18"/>
  <c r="B336" i="18"/>
  <c r="J296" i="18"/>
  <c r="Q344" i="18"/>
  <c r="S344" i="18" s="1"/>
  <c r="K319" i="18"/>
  <c r="P49" i="19"/>
  <c r="L355" i="18"/>
  <c r="G385" i="18"/>
  <c r="O336" i="18"/>
  <c r="J342" i="18"/>
  <c r="T333" i="18"/>
  <c r="P390" i="18"/>
  <c r="D307" i="18"/>
  <c r="K385" i="18"/>
  <c r="D355" i="18"/>
  <c r="E372" i="18"/>
  <c r="Q53" i="19"/>
  <c r="O52" i="19"/>
  <c r="N57" i="19"/>
  <c r="O56" i="19"/>
  <c r="E53" i="19"/>
  <c r="J57" i="19"/>
  <c r="F56" i="19"/>
  <c r="S52" i="19"/>
  <c r="L58" i="19"/>
  <c r="F58" i="19"/>
  <c r="AH55" i="19"/>
  <c r="AJ55" i="19" s="1"/>
  <c r="H54" i="19"/>
  <c r="S56" i="19"/>
  <c r="K55" i="19"/>
  <c r="P59" i="19"/>
  <c r="D53" i="19"/>
  <c r="P58" i="19"/>
  <c r="M58" i="19"/>
  <c r="M53" i="19"/>
  <c r="B58" i="19"/>
  <c r="N54" i="19"/>
  <c r="R52" i="19"/>
  <c r="M57" i="19"/>
  <c r="J54" i="19"/>
  <c r="Q55" i="19"/>
  <c r="K56" i="19"/>
  <c r="B51" i="19"/>
  <c r="T55" i="19"/>
  <c r="Q59" i="19"/>
  <c r="E57" i="19"/>
  <c r="I52" i="19"/>
  <c r="O54" i="19"/>
  <c r="M54" i="19"/>
  <c r="M59" i="19"/>
  <c r="U51" i="19"/>
  <c r="U53" i="19"/>
  <c r="N53" i="19"/>
  <c r="P57" i="19"/>
  <c r="J53" i="19"/>
  <c r="R51" i="19"/>
  <c r="L56" i="19"/>
  <c r="G55" i="19"/>
  <c r="S59" i="19"/>
  <c r="H55" i="19"/>
  <c r="B55" i="19"/>
  <c r="E52" i="19"/>
  <c r="N52" i="19"/>
  <c r="T57" i="19"/>
  <c r="Q56" i="19"/>
  <c r="D58" i="19"/>
  <c r="G51" i="19"/>
  <c r="K58" i="19"/>
  <c r="G58" i="19"/>
  <c r="B53" i="19"/>
  <c r="R54" i="19"/>
  <c r="F51" i="19"/>
  <c r="U56" i="19"/>
  <c r="M51" i="19"/>
  <c r="G59" i="19"/>
  <c r="AH52" i="19"/>
  <c r="AJ52" i="19" s="1"/>
  <c r="T52" i="19"/>
  <c r="D57" i="19"/>
  <c r="J56" i="19"/>
  <c r="P56" i="19"/>
  <c r="L55" i="19"/>
  <c r="N55" i="19"/>
  <c r="E54" i="19"/>
  <c r="Q52" i="19"/>
  <c r="T51" i="19"/>
  <c r="R56" i="19"/>
  <c r="F57" i="19"/>
  <c r="L57" i="19"/>
  <c r="C56" i="19"/>
  <c r="F55" i="19"/>
  <c r="D52" i="19"/>
  <c r="E59" i="19"/>
  <c r="T59" i="19"/>
  <c r="I59" i="19"/>
  <c r="O59" i="19"/>
  <c r="U57" i="19"/>
  <c r="I54" i="19"/>
  <c r="E51" i="19"/>
  <c r="J52" i="19"/>
  <c r="C54" i="19"/>
  <c r="N51" i="19"/>
  <c r="U59" i="19"/>
  <c r="E56" i="19"/>
  <c r="K52" i="19"/>
  <c r="B59" i="19"/>
  <c r="P54" i="19"/>
  <c r="AH58" i="19"/>
  <c r="AJ58" i="19" s="1"/>
  <c r="C55" i="19"/>
  <c r="G53" i="19"/>
  <c r="P51" i="19"/>
  <c r="D56" i="19"/>
  <c r="H58" i="19"/>
  <c r="O51" i="19"/>
  <c r="L52" i="19"/>
  <c r="N56" i="19"/>
  <c r="O58" i="19"/>
  <c r="R55" i="19"/>
  <c r="K54" i="19"/>
  <c r="G54" i="19"/>
  <c r="G56" i="19"/>
  <c r="O55" i="19"/>
  <c r="H59" i="19"/>
  <c r="N58" i="19"/>
  <c r="H51" i="19"/>
  <c r="C57" i="19"/>
  <c r="L51" i="19"/>
  <c r="I57" i="19"/>
  <c r="S58" i="19"/>
  <c r="U55" i="19"/>
  <c r="AH56" i="19"/>
  <c r="AJ56" i="19" s="1"/>
  <c r="AH53" i="19"/>
  <c r="AJ53" i="19" s="1"/>
  <c r="J59" i="19"/>
  <c r="D51" i="19"/>
  <c r="H53" i="19"/>
  <c r="U58" i="19"/>
  <c r="G57" i="19"/>
  <c r="AH54" i="19"/>
  <c r="AJ54" i="19" s="1"/>
  <c r="AH59" i="19"/>
  <c r="AJ59" i="19" s="1"/>
  <c r="M55" i="19"/>
  <c r="R53" i="19"/>
  <c r="P55" i="19"/>
  <c r="C58" i="19"/>
  <c r="M56" i="19"/>
  <c r="O53" i="19"/>
  <c r="S53" i="19"/>
  <c r="G52" i="19"/>
  <c r="R58" i="19"/>
  <c r="M52" i="19"/>
  <c r="I58" i="19"/>
  <c r="C59" i="19"/>
  <c r="S57" i="19"/>
  <c r="I53" i="19"/>
  <c r="S51" i="19"/>
  <c r="R57" i="19"/>
  <c r="N59" i="19"/>
  <c r="Q54" i="19"/>
  <c r="K51" i="19"/>
  <c r="E55" i="19"/>
  <c r="H57" i="19"/>
  <c r="T54" i="19"/>
  <c r="S55" i="19"/>
  <c r="O57" i="19"/>
  <c r="B57" i="19"/>
  <c r="J51" i="19"/>
  <c r="T58" i="19"/>
  <c r="Q57" i="19"/>
  <c r="P53" i="19"/>
  <c r="K53" i="19"/>
  <c r="Q58" i="19"/>
  <c r="F52" i="19"/>
  <c r="T56" i="19"/>
  <c r="F59" i="19"/>
  <c r="H52" i="19"/>
  <c r="D59" i="19"/>
  <c r="H56" i="19"/>
  <c r="J58" i="19"/>
  <c r="F54" i="19"/>
  <c r="P52" i="19"/>
  <c r="U52" i="19"/>
  <c r="D55" i="19"/>
  <c r="R59" i="19"/>
  <c r="J55" i="19"/>
  <c r="AH51" i="19"/>
  <c r="AJ51" i="19" s="1"/>
  <c r="U54" i="19"/>
  <c r="C53" i="19"/>
  <c r="B54" i="19"/>
  <c r="I51" i="19"/>
  <c r="L59" i="19"/>
  <c r="B52" i="19"/>
  <c r="L53" i="19"/>
  <c r="T53" i="19"/>
  <c r="K59" i="19"/>
  <c r="E58" i="19"/>
  <c r="D54" i="19"/>
  <c r="I55" i="19"/>
  <c r="C52" i="19"/>
  <c r="Q51" i="19"/>
  <c r="F53" i="19"/>
  <c r="L54" i="19"/>
  <c r="B56" i="19"/>
  <c r="S54" i="19"/>
  <c r="AH57" i="19"/>
  <c r="AJ57" i="19" s="1"/>
  <c r="C51" i="19"/>
  <c r="I56" i="19"/>
  <c r="K57" i="19"/>
  <c r="M246" i="14"/>
  <c r="F246" i="14"/>
  <c r="I84" i="20"/>
  <c r="O246" i="14"/>
  <c r="J246" i="14"/>
  <c r="M84" i="20"/>
  <c r="U246" i="14"/>
  <c r="G244" i="14"/>
  <c r="P245" i="14"/>
  <c r="L246" i="14"/>
  <c r="R244" i="14"/>
  <c r="P246" i="14"/>
  <c r="V244" i="14"/>
  <c r="G245" i="14"/>
  <c r="V245" i="14"/>
  <c r="B244" i="14"/>
  <c r="BH244" i="14" s="1"/>
  <c r="X244" i="14"/>
  <c r="S240" i="14"/>
  <c r="M245" i="14"/>
  <c r="I245" i="14"/>
  <c r="K84" i="20"/>
  <c r="N246" i="14"/>
  <c r="Q84" i="20"/>
  <c r="U84" i="20" s="1"/>
  <c r="AF246" i="14"/>
  <c r="J240" i="14"/>
  <c r="F240" i="14"/>
  <c r="E246" i="14"/>
  <c r="BI246" i="14" s="1"/>
  <c r="F84" i="20"/>
  <c r="T246" i="14"/>
  <c r="Z244" i="14"/>
  <c r="AG244" i="14" s="1"/>
  <c r="K245" i="14"/>
  <c r="D245" i="14"/>
  <c r="O245" i="14"/>
  <c r="H245" i="14"/>
  <c r="S245" i="14"/>
  <c r="H246" i="14"/>
  <c r="N244" i="14"/>
  <c r="I240" i="14"/>
  <c r="T240" i="14"/>
  <c r="M240" i="14"/>
  <c r="E244" i="14"/>
  <c r="BI244" i="14" s="1"/>
  <c r="J84" i="20"/>
  <c r="T244" i="14"/>
  <c r="K240" i="14"/>
  <c r="W244" i="14"/>
  <c r="G84" i="20"/>
  <c r="Q246" i="14"/>
  <c r="N240" i="14"/>
  <c r="L245" i="14"/>
  <c r="W245" i="14"/>
  <c r="C245" i="14"/>
  <c r="R245" i="14"/>
  <c r="Q240" i="14"/>
  <c r="D84" i="20"/>
  <c r="I244" i="14"/>
  <c r="H84" i="20"/>
  <c r="M244" i="14"/>
  <c r="L84" i="20"/>
  <c r="Q244" i="14"/>
  <c r="F245" i="14"/>
  <c r="E240" i="14"/>
  <c r="BI240" i="14" s="1"/>
  <c r="P240" i="14"/>
  <c r="O240" i="14"/>
  <c r="S246" i="14"/>
  <c r="D244" i="14"/>
  <c r="Z246" i="14"/>
  <c r="AG246" i="14" s="1"/>
  <c r="O244" i="14"/>
  <c r="K244" i="14"/>
  <c r="C84" i="20"/>
  <c r="C246" i="14"/>
  <c r="B240" i="14"/>
  <c r="BH240" i="14" s="1"/>
  <c r="D246" i="14"/>
  <c r="J244" i="14"/>
  <c r="P84" i="20"/>
  <c r="U244" i="14"/>
  <c r="J245" i="14"/>
  <c r="AF244" i="14"/>
  <c r="N245" i="14"/>
  <c r="B84" i="20"/>
  <c r="P244" i="14"/>
  <c r="C240" i="14"/>
  <c r="L244" i="14"/>
  <c r="O84" i="20"/>
  <c r="D240" i="14"/>
  <c r="H240" i="14"/>
  <c r="AF245" i="14"/>
  <c r="U245" i="14"/>
  <c r="G240" i="14"/>
  <c r="R246" i="14"/>
  <c r="S244" i="14"/>
  <c r="T245" i="14"/>
  <c r="E245" i="14"/>
  <c r="BI245" i="14" s="1"/>
  <c r="X245" i="14"/>
  <c r="I246" i="14"/>
  <c r="N84" i="20"/>
  <c r="X246" i="14"/>
  <c r="Z245" i="14"/>
  <c r="AG245" i="14" s="1"/>
  <c r="F244" i="14"/>
  <c r="B245" i="14"/>
  <c r="BH245" i="14" s="1"/>
  <c r="H244" i="14"/>
  <c r="L240" i="14"/>
  <c r="K246" i="14"/>
  <c r="G246" i="14"/>
  <c r="W246" i="14"/>
  <c r="V246" i="14"/>
  <c r="C244" i="14"/>
  <c r="R240" i="14"/>
  <c r="Q245" i="14"/>
  <c r="B246" i="14"/>
  <c r="BH246" i="14" s="1"/>
  <c r="E84" i="20"/>
  <c r="X240" i="14"/>
  <c r="Z240" i="14"/>
  <c r="AG240" i="14" s="1"/>
  <c r="AH240" i="14" s="1"/>
  <c r="AV240" i="14" s="1"/>
  <c r="W240" i="14"/>
  <c r="U240" i="14"/>
  <c r="V240" i="14"/>
  <c r="BA843" i="28"/>
  <c r="AP843" i="28"/>
  <c r="AT843" i="28"/>
  <c r="AU843" i="28" s="1"/>
  <c r="AA844" i="28"/>
  <c r="S164" i="18"/>
  <c r="AH244" i="14" l="1"/>
  <c r="AV244" i="14" s="1"/>
  <c r="AH245" i="14"/>
  <c r="AV245" i="14" s="1"/>
  <c r="AH246" i="14"/>
  <c r="AV246" i="14" s="1"/>
  <c r="AT844" i="28"/>
  <c r="AU844" i="28" s="1"/>
  <c r="AP844" i="28"/>
  <c r="BA844" i="28"/>
  <c r="P253" i="14" l="1"/>
  <c r="E256" i="14"/>
  <c r="BI256" i="14" s="1"/>
  <c r="T260" i="14"/>
  <c r="I251" i="14"/>
  <c r="C260" i="14"/>
  <c r="G249" i="14"/>
  <c r="C248" i="14"/>
  <c r="Q254" i="14"/>
  <c r="E241" i="14"/>
  <c r="BI241" i="14" s="1"/>
  <c r="Q258" i="14"/>
  <c r="H261" i="14"/>
  <c r="Q257" i="14"/>
  <c r="W260" i="14"/>
  <c r="K260" i="14"/>
  <c r="U261" i="14"/>
  <c r="V248" i="14"/>
  <c r="E247" i="14"/>
  <c r="BI247" i="14" s="1"/>
  <c r="V258" i="14"/>
  <c r="E255" i="14"/>
  <c r="BI255" i="14" s="1"/>
  <c r="K258" i="14"/>
  <c r="Y257" i="14"/>
  <c r="AF257" i="14" s="1"/>
  <c r="I259" i="14"/>
  <c r="G243" i="14"/>
  <c r="J261" i="14"/>
  <c r="J256" i="14"/>
  <c r="S252" i="14"/>
  <c r="Y255" i="14"/>
  <c r="AF255" i="14" s="1"/>
  <c r="M255" i="14"/>
  <c r="W256" i="14"/>
  <c r="N247" i="14"/>
  <c r="B261" i="14"/>
  <c r="BH261" i="14" s="1"/>
  <c r="X253" i="14"/>
  <c r="G250" i="14"/>
  <c r="M253" i="14"/>
  <c r="AA252" i="14"/>
  <c r="K254" i="14"/>
  <c r="T250" i="14"/>
  <c r="B248" i="14"/>
  <c r="BH248" i="14" s="1"/>
  <c r="L251" i="14"/>
  <c r="F260" i="14"/>
  <c r="AA250" i="14"/>
  <c r="O250" i="14"/>
  <c r="Y251" i="14"/>
  <c r="AF251" i="14" s="1"/>
  <c r="R255" i="14"/>
  <c r="H247" i="14"/>
  <c r="Z248" i="14"/>
  <c r="AG248" i="14" s="1"/>
  <c r="T257" i="14"/>
  <c r="Z260" i="14"/>
  <c r="AG260" i="14" s="1"/>
  <c r="N260" i="14"/>
  <c r="X261" i="14"/>
  <c r="P260" i="14"/>
  <c r="D247" i="14"/>
  <c r="G257" i="14"/>
  <c r="H255" i="14"/>
  <c r="N258" i="14"/>
  <c r="B258" i="14"/>
  <c r="BH258" i="14" s="1"/>
  <c r="L259" i="14"/>
  <c r="AA247" i="14"/>
  <c r="M252" i="14"/>
  <c r="I252" i="14"/>
  <c r="V252" i="14"/>
  <c r="X250" i="14"/>
  <c r="P255" i="14"/>
  <c r="Z256" i="14"/>
  <c r="AG256" i="14" s="1"/>
  <c r="S251" i="14"/>
  <c r="D242" i="14"/>
  <c r="V256" i="14"/>
  <c r="S250" i="14"/>
  <c r="C252" i="14"/>
  <c r="I255" i="14"/>
  <c r="I257" i="14"/>
  <c r="AA248" i="14"/>
  <c r="T247" i="14"/>
  <c r="J254" i="14"/>
  <c r="R260" i="14"/>
  <c r="Q249" i="14"/>
  <c r="W252" i="14"/>
  <c r="W254" i="14"/>
  <c r="W259" i="14"/>
  <c r="X247" i="14"/>
  <c r="X251" i="14"/>
  <c r="F258" i="14"/>
  <c r="P259" i="14"/>
  <c r="K250" i="14"/>
  <c r="K252" i="14"/>
  <c r="D241" i="14"/>
  <c r="R248" i="14"/>
  <c r="L249" i="14"/>
  <c r="T255" i="14"/>
  <c r="D257" i="14"/>
  <c r="J260" i="14"/>
  <c r="Y249" i="14"/>
  <c r="AF249" i="14" s="1"/>
  <c r="D248" i="14"/>
  <c r="R261" i="14"/>
  <c r="E258" i="14"/>
  <c r="BI258" i="14" s="1"/>
  <c r="H253" i="14"/>
  <c r="R254" i="14"/>
  <c r="X257" i="14"/>
  <c r="X259" i="14"/>
  <c r="Z251" i="14"/>
  <c r="AG251" i="14" s="1"/>
  <c r="B243" i="14"/>
  <c r="BH243" i="14" s="1"/>
  <c r="G253" i="14"/>
  <c r="V250" i="14"/>
  <c r="F252" i="14"/>
  <c r="L255" i="14"/>
  <c r="L257" i="14"/>
  <c r="X256" i="14"/>
  <c r="I247" i="14"/>
  <c r="U248" i="14"/>
  <c r="Y260" i="14"/>
  <c r="AF260" i="14" s="1"/>
  <c r="T249" i="14"/>
  <c r="F241" i="14"/>
  <c r="Z254" i="14"/>
  <c r="AG254" i="14" s="1"/>
  <c r="V261" i="14"/>
  <c r="Q242" i="14"/>
  <c r="I254" i="14"/>
  <c r="I249" i="14"/>
  <c r="Q241" i="14"/>
  <c r="T254" i="14"/>
  <c r="N257" i="14"/>
  <c r="L256" i="14"/>
  <c r="N249" i="14"/>
  <c r="M249" i="14"/>
  <c r="M242" i="14"/>
  <c r="O242" i="14"/>
  <c r="V249" i="14"/>
  <c r="P252" i="14"/>
  <c r="I243" i="14"/>
  <c r="L254" i="14"/>
  <c r="Q261" i="14"/>
  <c r="AA261" i="14"/>
  <c r="D260" i="14"/>
  <c r="B247" i="14"/>
  <c r="BH247" i="14" s="1"/>
  <c r="L248" i="14"/>
  <c r="P247" i="14"/>
  <c r="J259" i="14"/>
  <c r="E259" i="14"/>
  <c r="BI259" i="14" s="1"/>
  <c r="C257" i="14"/>
  <c r="V259" i="14"/>
  <c r="J253" i="14"/>
  <c r="L241" i="14"/>
  <c r="R249" i="14"/>
  <c r="K247" i="14"/>
  <c r="S256" i="14"/>
  <c r="E252" i="14"/>
  <c r="BI252" i="14" s="1"/>
  <c r="P242" i="14"/>
  <c r="S257" i="14"/>
  <c r="M260" i="14"/>
  <c r="U247" i="14"/>
  <c r="M250" i="14"/>
  <c r="G254" i="14"/>
  <c r="O260" i="14"/>
  <c r="Y261" i="14"/>
  <c r="AF261" i="14" s="1"/>
  <c r="U252" i="14"/>
  <c r="O255" i="14"/>
  <c r="J243" i="14"/>
  <c r="K255" i="14"/>
  <c r="U251" i="14"/>
  <c r="C258" i="14"/>
  <c r="M259" i="14"/>
  <c r="O248" i="14"/>
  <c r="Q250" i="14"/>
  <c r="B253" i="14"/>
  <c r="BH253" i="14" s="1"/>
  <c r="I260" i="14"/>
  <c r="T261" i="14"/>
  <c r="Q255" i="14"/>
  <c r="AA256" i="14"/>
  <c r="G260" i="14"/>
  <c r="M247" i="14"/>
  <c r="P250" i="14"/>
  <c r="N250" i="14"/>
  <c r="H259" i="14"/>
  <c r="E253" i="14"/>
  <c r="BI253" i="14" s="1"/>
  <c r="O254" i="14"/>
  <c r="U257" i="14"/>
  <c r="U259" i="14"/>
  <c r="F249" i="14"/>
  <c r="U255" i="14"/>
  <c r="AA258" i="14"/>
  <c r="C253" i="14"/>
  <c r="W255" i="14"/>
  <c r="Z261" i="14"/>
  <c r="AG261" i="14" s="1"/>
  <c r="E242" i="14"/>
  <c r="BI242" i="14" s="1"/>
  <c r="V251" i="14"/>
  <c r="I253" i="14"/>
  <c r="O256" i="14"/>
  <c r="S248" i="14"/>
  <c r="Y250" i="14"/>
  <c r="AF250" i="14" s="1"/>
  <c r="F243" i="14"/>
  <c r="K261" i="14"/>
  <c r="H250" i="14"/>
  <c r="W250" i="14"/>
  <c r="C254" i="14"/>
  <c r="AA260" i="14"/>
  <c r="Y259" i="14"/>
  <c r="AF259" i="14" s="1"/>
  <c r="Q247" i="14"/>
  <c r="M256" i="14"/>
  <c r="Z249" i="14"/>
  <c r="AG249" i="14" s="1"/>
  <c r="V260" i="14"/>
  <c r="Q251" i="14"/>
  <c r="O258" i="14"/>
  <c r="M257" i="14"/>
  <c r="I261" i="14"/>
  <c r="O251" i="14"/>
  <c r="K257" i="14"/>
  <c r="J258" i="14"/>
  <c r="P261" i="14"/>
  <c r="C256" i="14"/>
  <c r="AA254" i="14"/>
  <c r="W258" i="14"/>
  <c r="Y247" i="14"/>
  <c r="AF247" i="14" s="1"/>
  <c r="T242" i="14"/>
  <c r="X255" i="14"/>
  <c r="D259" i="14"/>
  <c r="Q253" i="14"/>
  <c r="O252" i="14"/>
  <c r="K256" i="14"/>
  <c r="Q259" i="14"/>
  <c r="L260" i="14"/>
  <c r="L253" i="14"/>
  <c r="R256" i="14"/>
  <c r="E251" i="14"/>
  <c r="BI251" i="14" s="1"/>
  <c r="C250" i="14"/>
  <c r="Y253" i="14"/>
  <c r="AF253" i="14" s="1"/>
  <c r="E257" i="14"/>
  <c r="BI257" i="14" s="1"/>
  <c r="S242" i="14"/>
  <c r="B242" i="14"/>
  <c r="BH242" i="14" s="1"/>
  <c r="AA255" i="14"/>
  <c r="U258" i="14"/>
  <c r="I241" i="14"/>
  <c r="N252" i="14"/>
  <c r="Q248" i="14"/>
  <c r="L252" i="14"/>
  <c r="F257" i="14"/>
  <c r="C251" i="14"/>
  <c r="W253" i="14"/>
  <c r="R241" i="14"/>
  <c r="B250" i="14"/>
  <c r="BH250" i="14" s="1"/>
  <c r="Y252" i="14"/>
  <c r="AF252" i="14" s="1"/>
  <c r="H243" i="14"/>
  <c r="H252" i="14"/>
  <c r="S247" i="14"/>
  <c r="E249" i="14"/>
  <c r="BI249" i="14" s="1"/>
  <c r="N259" i="14"/>
  <c r="K259" i="14"/>
  <c r="W257" i="14"/>
  <c r="F255" i="14"/>
  <c r="H248" i="14"/>
  <c r="Z259" i="14"/>
  <c r="AG259" i="14" s="1"/>
  <c r="J242" i="14"/>
  <c r="F259" i="14"/>
  <c r="M254" i="14"/>
  <c r="H249" i="14"/>
  <c r="X254" i="14"/>
  <c r="H241" i="14"/>
  <c r="B255" i="14"/>
  <c r="BH255" i="14" s="1"/>
  <c r="V257" i="14"/>
  <c r="L242" i="14"/>
  <c r="O249" i="14"/>
  <c r="J252" i="14"/>
  <c r="C241" i="14"/>
  <c r="E260" i="14"/>
  <c r="BI260" i="14" s="1"/>
  <c r="D250" i="14"/>
  <c r="X252" i="14"/>
  <c r="Y254" i="14"/>
  <c r="AF254" i="14" s="1"/>
  <c r="R242" i="14"/>
  <c r="B256" i="14"/>
  <c r="BH256" i="14" s="1"/>
  <c r="W248" i="14"/>
  <c r="G255" i="14"/>
  <c r="F247" i="14"/>
  <c r="P248" i="14"/>
  <c r="J248" i="14"/>
  <c r="L258" i="14"/>
  <c r="G248" i="14"/>
  <c r="S260" i="14"/>
  <c r="I250" i="14"/>
  <c r="Z253" i="14"/>
  <c r="AG253" i="14" s="1"/>
  <c r="P241" i="14"/>
  <c r="N248" i="14"/>
  <c r="N253" i="14"/>
  <c r="N243" i="14"/>
  <c r="G258" i="14"/>
  <c r="M261" i="14"/>
  <c r="AA257" i="14"/>
  <c r="U260" i="14"/>
  <c r="K249" i="14"/>
  <c r="X248" i="14"/>
  <c r="R253" i="14"/>
  <c r="C243" i="14"/>
  <c r="D252" i="14"/>
  <c r="X260" i="14"/>
  <c r="T258" i="14"/>
  <c r="M248" i="14"/>
  <c r="T243" i="14"/>
  <c r="J249" i="14"/>
  <c r="I258" i="14"/>
  <c r="D243" i="14"/>
  <c r="Z255" i="14"/>
  <c r="AG255" i="14" s="1"/>
  <c r="V253" i="14"/>
  <c r="N261" i="14"/>
  <c r="F248" i="14"/>
  <c r="E254" i="14"/>
  <c r="BI254" i="14" s="1"/>
  <c r="K253" i="14"/>
  <c r="M243" i="14"/>
  <c r="B251" i="14"/>
  <c r="BH251" i="14" s="1"/>
  <c r="C249" i="14"/>
  <c r="P256" i="14"/>
  <c r="B249" i="14"/>
  <c r="BH249" i="14" s="1"/>
  <c r="C259" i="14"/>
  <c r="E261" i="14"/>
  <c r="BI261" i="14" s="1"/>
  <c r="R257" i="14"/>
  <c r="R247" i="14"/>
  <c r="I242" i="14"/>
  <c r="R251" i="14"/>
  <c r="G241" i="14"/>
  <c r="X249" i="14"/>
  <c r="S258" i="14"/>
  <c r="J257" i="14"/>
  <c r="K243" i="14"/>
  <c r="S261" i="14"/>
  <c r="Z247" i="14"/>
  <c r="AG247" i="14" s="1"/>
  <c r="N255" i="14"/>
  <c r="Z252" i="14"/>
  <c r="AG252" i="14" s="1"/>
  <c r="G256" i="14"/>
  <c r="S241" i="14"/>
  <c r="Y258" i="14"/>
  <c r="AF258" i="14" s="1"/>
  <c r="U256" i="14"/>
  <c r="S243" i="14"/>
  <c r="V255" i="14"/>
  <c r="H257" i="14"/>
  <c r="U253" i="14"/>
  <c r="G251" i="14"/>
  <c r="AA253" i="14"/>
  <c r="W251" i="14"/>
  <c r="O259" i="14"/>
  <c r="C242" i="14"/>
  <c r="Z250" i="14"/>
  <c r="AG250" i="14" s="1"/>
  <c r="F254" i="14"/>
  <c r="D261" i="14"/>
  <c r="B260" i="14"/>
  <c r="BH260" i="14" s="1"/>
  <c r="M251" i="14"/>
  <c r="S254" i="14"/>
  <c r="L247" i="14"/>
  <c r="G261" i="14"/>
  <c r="T251" i="14"/>
  <c r="R258" i="14"/>
  <c r="P257" i="14"/>
  <c r="L261" i="14"/>
  <c r="G252" i="14"/>
  <c r="K242" i="14"/>
  <c r="I256" i="14"/>
  <c r="P243" i="14"/>
  <c r="F256" i="14"/>
  <c r="D255" i="14"/>
  <c r="Z258" i="14"/>
  <c r="AG258" i="14" s="1"/>
  <c r="U249" i="14"/>
  <c r="G242" i="14"/>
  <c r="K251" i="14"/>
  <c r="F251" i="14"/>
  <c r="T253" i="14"/>
  <c r="R252" i="14"/>
  <c r="N256" i="14"/>
  <c r="T259" i="14"/>
  <c r="C261" i="14"/>
  <c r="W247" i="14"/>
  <c r="N251" i="14"/>
  <c r="H251" i="14"/>
  <c r="F250" i="14"/>
  <c r="B254" i="14"/>
  <c r="BH254" i="14" s="1"/>
  <c r="S253" i="14"/>
  <c r="T241" i="14"/>
  <c r="H260" i="14"/>
  <c r="P254" i="14"/>
  <c r="W261" i="14"/>
  <c r="S259" i="14"/>
  <c r="P251" i="14"/>
  <c r="H242" i="14"/>
  <c r="T248" i="14"/>
  <c r="J255" i="14"/>
  <c r="H254" i="14"/>
  <c r="Y256" i="14"/>
  <c r="AF256" i="14" s="1"/>
  <c r="U254" i="14"/>
  <c r="D249" i="14"/>
  <c r="P258" i="14"/>
  <c r="F253" i="14"/>
  <c r="L250" i="14"/>
  <c r="R243" i="14"/>
  <c r="AA251" i="14"/>
  <c r="W249" i="14"/>
  <c r="O257" i="14"/>
  <c r="X258" i="14"/>
  <c r="D258" i="14"/>
  <c r="J247" i="14"/>
  <c r="K248" i="14"/>
  <c r="E248" i="14"/>
  <c r="BI248" i="14" s="1"/>
  <c r="C247" i="14"/>
  <c r="Q252" i="14"/>
  <c r="J241" i="14"/>
  <c r="N242" i="14"/>
  <c r="I248" i="14"/>
  <c r="J250" i="14"/>
  <c r="Q243" i="14"/>
  <c r="D253" i="14"/>
  <c r="N254" i="14"/>
  <c r="Q256" i="14"/>
  <c r="Z257" i="14"/>
  <c r="AG257" i="14" s="1"/>
  <c r="F261" i="14"/>
  <c r="AA259" i="14"/>
  <c r="E243" i="14"/>
  <c r="BI243" i="14" s="1"/>
  <c r="R250" i="14"/>
  <c r="B252" i="14"/>
  <c r="BH252" i="14" s="1"/>
  <c r="O261" i="14"/>
  <c r="H258" i="14"/>
  <c r="H256" i="14"/>
  <c r="C255" i="14"/>
  <c r="B257" i="14"/>
  <c r="BH257" i="14" s="1"/>
  <c r="Q260" i="14"/>
  <c r="P249" i="14"/>
  <c r="D251" i="14"/>
  <c r="B241" i="14"/>
  <c r="BH241" i="14" s="1"/>
  <c r="J251" i="14"/>
  <c r="E250" i="14"/>
  <c r="BI250" i="14" s="1"/>
  <c r="T256" i="14"/>
  <c r="S255" i="14"/>
  <c r="M258" i="14"/>
  <c r="V254" i="14"/>
  <c r="L243" i="14"/>
  <c r="V247" i="14"/>
  <c r="G247" i="14"/>
  <c r="O241" i="14"/>
  <c r="U250" i="14"/>
  <c r="O253" i="14"/>
  <c r="S249" i="14"/>
  <c r="M241" i="14"/>
  <c r="O243" i="14"/>
  <c r="B259" i="14"/>
  <c r="BH259" i="14" s="1"/>
  <c r="AA249" i="14"/>
  <c r="O247" i="14"/>
  <c r="Y248" i="14"/>
  <c r="AF248" i="14" s="1"/>
  <c r="K241" i="14"/>
  <c r="T252" i="14"/>
  <c r="G259" i="14"/>
  <c r="D254" i="14"/>
  <c r="N241" i="14"/>
  <c r="R259" i="14"/>
  <c r="F242" i="14"/>
  <c r="D256" i="14"/>
  <c r="U242" i="14"/>
  <c r="X242" i="14"/>
  <c r="W242" i="14"/>
  <c r="Z242" i="14"/>
  <c r="AG242" i="14" s="1"/>
  <c r="AF242" i="14"/>
  <c r="V242" i="14"/>
  <c r="F237" i="14"/>
  <c r="D237" i="14"/>
  <c r="B236" i="14"/>
  <c r="BH236" i="14" s="1"/>
  <c r="Q236" i="14"/>
  <c r="X237" i="14"/>
  <c r="J237" i="14"/>
  <c r="R236" i="14"/>
  <c r="AF236" i="14"/>
  <c r="X236" i="14"/>
  <c r="B237" i="14"/>
  <c r="BH237" i="14" s="1"/>
  <c r="P237" i="14"/>
  <c r="G236" i="14"/>
  <c r="P236" i="14"/>
  <c r="V236" i="14"/>
  <c r="Q237" i="14"/>
  <c r="M237" i="14"/>
  <c r="R237" i="14"/>
  <c r="U237" i="14"/>
  <c r="C236" i="14"/>
  <c r="S237" i="14"/>
  <c r="K237" i="14"/>
  <c r="I237" i="14"/>
  <c r="N237" i="14"/>
  <c r="W236" i="14"/>
  <c r="O236" i="14"/>
  <c r="T237" i="14"/>
  <c r="O237" i="14"/>
  <c r="G237" i="14"/>
  <c r="Z236" i="14"/>
  <c r="AG236" i="14" s="1"/>
  <c r="D236" i="14"/>
  <c r="N236" i="14"/>
  <c r="E237" i="14"/>
  <c r="BI237" i="14" s="1"/>
  <c r="E236" i="14"/>
  <c r="BI236" i="14" s="1"/>
  <c r="L236" i="14"/>
  <c r="K236" i="14"/>
  <c r="Z237" i="14"/>
  <c r="AG237" i="14" s="1"/>
  <c r="AF237" i="14"/>
  <c r="J236" i="14"/>
  <c r="F236" i="14"/>
  <c r="H237" i="14"/>
  <c r="W237" i="14"/>
  <c r="T236" i="14"/>
  <c r="H236" i="14"/>
  <c r="S236" i="14"/>
  <c r="U236" i="14"/>
  <c r="M236" i="14"/>
  <c r="I236" i="14"/>
  <c r="L237" i="14"/>
  <c r="C237" i="14"/>
  <c r="V237" i="14"/>
  <c r="W200" i="14"/>
  <c r="W201" i="14"/>
  <c r="W202" i="14"/>
  <c r="W197" i="14"/>
  <c r="W228" i="14"/>
  <c r="W172" i="14"/>
  <c r="W199" i="14"/>
  <c r="W194" i="14"/>
  <c r="W195" i="14"/>
  <c r="W196" i="14"/>
  <c r="W198" i="14"/>
  <c r="AH254" i="14" l="1"/>
  <c r="AV254" i="14" s="1"/>
  <c r="AH248" i="14"/>
  <c r="AV248" i="14" s="1"/>
  <c r="AH256" i="14"/>
  <c r="AV256" i="14" s="1"/>
  <c r="AH260" i="14"/>
  <c r="AV260" i="14" s="1"/>
  <c r="AH258" i="14"/>
  <c r="AV258" i="14" s="1"/>
  <c r="AH253" i="14"/>
  <c r="AV253" i="14" s="1"/>
  <c r="AH250" i="14"/>
  <c r="AV250" i="14" s="1"/>
  <c r="AH249" i="14"/>
  <c r="AV249" i="14" s="1"/>
  <c r="AH252" i="14"/>
  <c r="AV252" i="14" s="1"/>
  <c r="AH247" i="14"/>
  <c r="AI247" i="14" s="1"/>
  <c r="AH259" i="14"/>
  <c r="AV259" i="14" s="1"/>
  <c r="AH251" i="14"/>
  <c r="AV251" i="14" s="1"/>
  <c r="AH255" i="14"/>
  <c r="AV255" i="14" s="1"/>
  <c r="AH242" i="14"/>
  <c r="AV242" i="14" s="1"/>
  <c r="AH261" i="14"/>
  <c r="AV261" i="14" s="1"/>
  <c r="AH257" i="14"/>
  <c r="AV257" i="14" s="1"/>
  <c r="AH236" i="14"/>
  <c r="AV236" i="14" s="1"/>
  <c r="AH237" i="14"/>
  <c r="AV237" i="14" s="1"/>
  <c r="AJ247" i="14" l="1"/>
  <c r="AU247" i="14" s="1"/>
  <c r="X286" i="14" l="1"/>
  <c r="R282" i="14"/>
  <c r="V279" i="14"/>
  <c r="W279" i="14"/>
  <c r="V281" i="14"/>
  <c r="W280" i="14"/>
  <c r="V280" i="14"/>
  <c r="M279" i="14"/>
  <c r="E265" i="14"/>
  <c r="BI265" i="14" s="1"/>
  <c r="E297" i="14"/>
  <c r="BI297" i="14" s="1"/>
  <c r="P286" i="14"/>
  <c r="S283" i="14"/>
  <c r="C86" i="20"/>
  <c r="B287" i="14"/>
  <c r="BH287" i="14" s="1"/>
  <c r="AF284" i="14"/>
  <c r="B282" i="14"/>
  <c r="BH282" i="14" s="1"/>
  <c r="S297" i="14"/>
  <c r="E290" i="14"/>
  <c r="BI290" i="14" s="1"/>
  <c r="G297" i="14"/>
  <c r="Q281" i="14"/>
  <c r="AF290" i="14"/>
  <c r="Z287" i="14"/>
  <c r="AG287" i="14" s="1"/>
  <c r="O298" i="14"/>
  <c r="U280" i="14"/>
  <c r="S300" i="14"/>
  <c r="I299" i="14"/>
  <c r="K298" i="14"/>
  <c r="G86" i="20"/>
  <c r="O278" i="14"/>
  <c r="T278" i="14"/>
  <c r="F289" i="14"/>
  <c r="X290" i="14"/>
  <c r="M299" i="14"/>
  <c r="O300" i="14"/>
  <c r="P300" i="14"/>
  <c r="D279" i="14"/>
  <c r="H300" i="14"/>
  <c r="O265" i="14"/>
  <c r="AF300" i="14"/>
  <c r="V285" i="14"/>
  <c r="T288" i="14"/>
  <c r="B283" i="14"/>
  <c r="BH283" i="14" s="1"/>
  <c r="Q299" i="14"/>
  <c r="AF299" i="14"/>
  <c r="L300" i="14"/>
  <c r="T284" i="14"/>
  <c r="K300" i="14"/>
  <c r="N265" i="14"/>
  <c r="H283" i="14"/>
  <c r="C290" i="14"/>
  <c r="M265" i="14"/>
  <c r="G298" i="14"/>
  <c r="M288" i="14"/>
  <c r="I86" i="20"/>
  <c r="S288" i="14"/>
  <c r="S290" i="14"/>
  <c r="P264" i="14"/>
  <c r="K290" i="14"/>
  <c r="P297" i="14"/>
  <c r="R298" i="14"/>
  <c r="T299" i="14"/>
  <c r="F280" i="14"/>
  <c r="L299" i="14"/>
  <c r="Z289" i="14"/>
  <c r="AG289" i="14" s="1"/>
  <c r="E288" i="14"/>
  <c r="BI288" i="14" s="1"/>
  <c r="E282" i="14"/>
  <c r="BI282" i="14" s="1"/>
  <c r="J290" i="14"/>
  <c r="AF288" i="14"/>
  <c r="C286" i="14"/>
  <c r="N288" i="14"/>
  <c r="P284" i="14"/>
  <c r="C281" i="14"/>
  <c r="R283" i="14"/>
  <c r="Q280" i="14"/>
  <c r="H284" i="14"/>
  <c r="G264" i="14"/>
  <c r="G300" i="14"/>
  <c r="F264" i="14"/>
  <c r="R288" i="14"/>
  <c r="B286" i="14"/>
  <c r="BH286" i="14" s="1"/>
  <c r="D287" i="14"/>
  <c r="F288" i="14"/>
  <c r="X279" i="14"/>
  <c r="X287" i="14"/>
  <c r="Z285" i="14"/>
  <c r="AG285" i="14" s="1"/>
  <c r="H298" i="14"/>
  <c r="O280" i="14"/>
  <c r="I285" i="14"/>
  <c r="Q85" i="20"/>
  <c r="U85" i="20" s="1"/>
  <c r="M287" i="14"/>
  <c r="C298" i="14"/>
  <c r="E299" i="14"/>
  <c r="BI299" i="14" s="1"/>
  <c r="F282" i="14"/>
  <c r="W298" i="14"/>
  <c r="E284" i="14"/>
  <c r="BI284" i="14" s="1"/>
  <c r="G285" i="14"/>
  <c r="I286" i="14"/>
  <c r="L284" i="14"/>
  <c r="P280" i="14"/>
  <c r="AF297" i="14"/>
  <c r="H264" i="14"/>
  <c r="O288" i="14"/>
  <c r="T298" i="14"/>
  <c r="I284" i="14"/>
  <c r="N285" i="14"/>
  <c r="E286" i="14"/>
  <c r="BI286" i="14" s="1"/>
  <c r="K288" i="14"/>
  <c r="L286" i="14"/>
  <c r="I281" i="14"/>
  <c r="K287" i="14"/>
  <c r="C299" i="14"/>
  <c r="H279" i="14"/>
  <c r="AF282" i="14"/>
  <c r="W299" i="14"/>
  <c r="D286" i="14"/>
  <c r="N280" i="14"/>
  <c r="W281" i="14"/>
  <c r="R285" i="14"/>
  <c r="M283" i="14"/>
  <c r="G278" i="14"/>
  <c r="F85" i="20"/>
  <c r="W284" i="14"/>
  <c r="F297" i="14"/>
  <c r="AA281" i="14"/>
  <c r="U287" i="14"/>
  <c r="K279" i="14"/>
  <c r="J285" i="14"/>
  <c r="I85" i="20"/>
  <c r="O86" i="20"/>
  <c r="I287" i="14"/>
  <c r="L287" i="14"/>
  <c r="B279" i="14"/>
  <c r="BH279" i="14" s="1"/>
  <c r="D297" i="14"/>
  <c r="D280" i="14"/>
  <c r="C287" i="14"/>
  <c r="E283" i="14"/>
  <c r="BI283" i="14" s="1"/>
  <c r="Q287" i="14"/>
  <c r="O287" i="14"/>
  <c r="F279" i="14"/>
  <c r="X284" i="14"/>
  <c r="O281" i="14"/>
  <c r="M86" i="20"/>
  <c r="I282" i="14"/>
  <c r="C85" i="20"/>
  <c r="Q86" i="20"/>
  <c r="U86" i="20" s="1"/>
  <c r="G282" i="14"/>
  <c r="Z279" i="14"/>
  <c r="AG279" i="14" s="1"/>
  <c r="G286" i="14"/>
  <c r="F290" i="14"/>
  <c r="H297" i="14"/>
  <c r="F278" i="14"/>
  <c r="Z290" i="14"/>
  <c r="AG290" i="14" s="1"/>
  <c r="R281" i="14"/>
  <c r="D285" i="14"/>
  <c r="L265" i="14"/>
  <c r="H287" i="14"/>
  <c r="X285" i="14"/>
  <c r="B297" i="14"/>
  <c r="BH297" i="14" s="1"/>
  <c r="S279" i="14"/>
  <c r="F298" i="14"/>
  <c r="H299" i="14"/>
  <c r="X297" i="14"/>
  <c r="F86" i="20"/>
  <c r="L298" i="14"/>
  <c r="B280" i="14"/>
  <c r="BH280" i="14" s="1"/>
  <c r="O284" i="14"/>
  <c r="P299" i="14"/>
  <c r="P85" i="20"/>
  <c r="W286" i="14"/>
  <c r="B284" i="14"/>
  <c r="BH284" i="14" s="1"/>
  <c r="V300" i="14"/>
  <c r="T281" i="14"/>
  <c r="H289" i="14"/>
  <c r="Q286" i="14"/>
  <c r="S287" i="14"/>
  <c r="U288" i="14"/>
  <c r="L281" i="14"/>
  <c r="M264" i="14"/>
  <c r="Q289" i="14"/>
  <c r="I288" i="14"/>
  <c r="AF286" i="14"/>
  <c r="Q283" i="14"/>
  <c r="AA280" i="14"/>
  <c r="E298" i="14"/>
  <c r="BI298" i="14" s="1"/>
  <c r="G299" i="14"/>
  <c r="W297" i="14"/>
  <c r="Z280" i="14"/>
  <c r="AG280" i="14" s="1"/>
  <c r="R287" i="14"/>
  <c r="S280" i="14"/>
  <c r="D264" i="14"/>
  <c r="L288" i="14"/>
  <c r="M290" i="14"/>
  <c r="Z288" i="14"/>
  <c r="AG288" i="14" s="1"/>
  <c r="N299" i="14"/>
  <c r="U285" i="14"/>
  <c r="N279" i="14"/>
  <c r="H290" i="14"/>
  <c r="J298" i="14"/>
  <c r="U286" i="14"/>
  <c r="D282" i="14"/>
  <c r="Q288" i="14"/>
  <c r="F283" i="14"/>
  <c r="M85" i="20"/>
  <c r="U284" i="14"/>
  <c r="W285" i="14"/>
  <c r="M284" i="14"/>
  <c r="B289" i="14"/>
  <c r="BH289" i="14" s="1"/>
  <c r="L279" i="14"/>
  <c r="R286" i="14"/>
  <c r="T287" i="14"/>
  <c r="J286" i="14"/>
  <c r="G265" i="14"/>
  <c r="T289" i="14"/>
  <c r="V290" i="14"/>
  <c r="L289" i="14"/>
  <c r="M280" i="14"/>
  <c r="P265" i="14"/>
  <c r="J297" i="14"/>
  <c r="I265" i="14"/>
  <c r="B264" i="14"/>
  <c r="BH264" i="14" s="1"/>
  <c r="W282" i="14"/>
  <c r="N278" i="14"/>
  <c r="T297" i="14"/>
  <c r="D289" i="14"/>
  <c r="P298" i="14"/>
  <c r="Z283" i="14"/>
  <c r="AG283" i="14" s="1"/>
  <c r="Q284" i="14"/>
  <c r="G288" i="14"/>
  <c r="J287" i="14"/>
  <c r="C285" i="14"/>
  <c r="H282" i="14"/>
  <c r="F299" i="14"/>
  <c r="G280" i="14"/>
  <c r="U281" i="14"/>
  <c r="L278" i="14"/>
  <c r="K281" i="14"/>
  <c r="O285" i="14"/>
  <c r="D299" i="14"/>
  <c r="M285" i="14"/>
  <c r="V284" i="14"/>
  <c r="X299" i="14"/>
  <c r="AF283" i="14"/>
  <c r="X281" i="14"/>
  <c r="E289" i="14"/>
  <c r="BI289" i="14" s="1"/>
  <c r="G290" i="14"/>
  <c r="V288" i="14"/>
  <c r="F265" i="14"/>
  <c r="B300" i="14"/>
  <c r="BH300" i="14" s="1"/>
  <c r="R284" i="14"/>
  <c r="T285" i="14"/>
  <c r="O264" i="14"/>
  <c r="L285" i="14"/>
  <c r="I298" i="14"/>
  <c r="M289" i="14"/>
  <c r="X283" i="14"/>
  <c r="K282" i="14"/>
  <c r="AF287" i="14"/>
  <c r="N282" i="14"/>
  <c r="M297" i="14"/>
  <c r="B285" i="14"/>
  <c r="BH285" i="14" s="1"/>
  <c r="X298" i="14"/>
  <c r="H280" i="14"/>
  <c r="C300" i="14"/>
  <c r="D300" i="14"/>
  <c r="U299" i="14"/>
  <c r="M281" i="14"/>
  <c r="Q265" i="14"/>
  <c r="S289" i="14"/>
  <c r="U290" i="14"/>
  <c r="K289" i="14"/>
  <c r="T280" i="14"/>
  <c r="U282" i="14"/>
  <c r="W283" i="14"/>
  <c r="N297" i="14"/>
  <c r="O283" i="14"/>
  <c r="U283" i="14"/>
  <c r="Q290" i="14"/>
  <c r="J282" i="14"/>
  <c r="U298" i="14"/>
  <c r="K297" i="14"/>
  <c r="V289" i="14"/>
  <c r="O290" i="14"/>
  <c r="Q264" i="14"/>
  <c r="O289" i="14"/>
  <c r="U300" i="14"/>
  <c r="G289" i="14"/>
  <c r="O297" i="14"/>
  <c r="C297" i="14"/>
  <c r="D288" i="14"/>
  <c r="K265" i="14"/>
  <c r="F287" i="14"/>
  <c r="H288" i="14"/>
  <c r="R299" i="14"/>
  <c r="H281" i="14"/>
  <c r="E287" i="14"/>
  <c r="BI287" i="14" s="1"/>
  <c r="G287" i="14"/>
  <c r="V287" i="14"/>
  <c r="V299" i="14"/>
  <c r="L264" i="14"/>
  <c r="B86" i="20"/>
  <c r="J278" i="14"/>
  <c r="L280" i="14"/>
  <c r="Q278" i="14"/>
  <c r="Q279" i="14"/>
  <c r="AF285" i="14"/>
  <c r="P278" i="14"/>
  <c r="O282" i="14"/>
  <c r="R278" i="14"/>
  <c r="M282" i="14"/>
  <c r="J284" i="14"/>
  <c r="N86" i="20"/>
  <c r="I289" i="14"/>
  <c r="M298" i="14"/>
  <c r="T286" i="14"/>
  <c r="P288" i="14"/>
  <c r="T290" i="14"/>
  <c r="M300" i="14"/>
  <c r="N287" i="14"/>
  <c r="W289" i="14"/>
  <c r="R264" i="14"/>
  <c r="S264" i="14"/>
  <c r="N289" i="14"/>
  <c r="F285" i="14"/>
  <c r="R265" i="14"/>
  <c r="G283" i="14"/>
  <c r="Z299" i="14"/>
  <c r="AG299" i="14" s="1"/>
  <c r="K285" i="14"/>
  <c r="L282" i="14"/>
  <c r="V282" i="14"/>
  <c r="T264" i="14"/>
  <c r="I290" i="14"/>
  <c r="X288" i="14"/>
  <c r="N290" i="14"/>
  <c r="D298" i="14"/>
  <c r="J289" i="14"/>
  <c r="S282" i="14"/>
  <c r="G284" i="14"/>
  <c r="C289" i="14"/>
  <c r="O299" i="14"/>
  <c r="J280" i="14"/>
  <c r="N286" i="14"/>
  <c r="C288" i="14"/>
  <c r="I279" i="14"/>
  <c r="Z286" i="14"/>
  <c r="AG286" i="14" s="1"/>
  <c r="L290" i="14"/>
  <c r="B299" i="14"/>
  <c r="BH299" i="14" s="1"/>
  <c r="Y281" i="14"/>
  <c r="AF281" i="14" s="1"/>
  <c r="H286" i="14"/>
  <c r="X300" i="14"/>
  <c r="N284" i="14"/>
  <c r="S286" i="14"/>
  <c r="J299" i="14"/>
  <c r="E280" i="14"/>
  <c r="BI280" i="14" s="1"/>
  <c r="T265" i="14"/>
  <c r="Q298" i="14"/>
  <c r="S299" i="14"/>
  <c r="K278" i="14"/>
  <c r="K299" i="14"/>
  <c r="D290" i="14"/>
  <c r="S285" i="14"/>
  <c r="Q285" i="14"/>
  <c r="W287" i="14"/>
  <c r="M286" i="14"/>
  <c r="J279" i="14"/>
  <c r="AA279" i="14"/>
  <c r="Q300" i="14"/>
  <c r="K283" i="14"/>
  <c r="I300" i="14"/>
  <c r="K86" i="20"/>
  <c r="N298" i="14"/>
  <c r="D86" i="20"/>
  <c r="M278" i="14"/>
  <c r="N281" i="14"/>
  <c r="F300" i="14"/>
  <c r="J85" i="20"/>
  <c r="P285" i="14"/>
  <c r="N85" i="20"/>
  <c r="D278" i="14"/>
  <c r="D281" i="14"/>
  <c r="V286" i="14"/>
  <c r="R290" i="14"/>
  <c r="C279" i="14"/>
  <c r="V298" i="14"/>
  <c r="L297" i="14"/>
  <c r="L86" i="20"/>
  <c r="I280" i="14"/>
  <c r="P281" i="14"/>
  <c r="E86" i="20"/>
  <c r="D284" i="14"/>
  <c r="B278" i="14"/>
  <c r="BH278" i="14" s="1"/>
  <c r="K286" i="14"/>
  <c r="T282" i="14"/>
  <c r="F284" i="14"/>
  <c r="N264" i="14"/>
  <c r="B85" i="20"/>
  <c r="P279" i="14"/>
  <c r="O85" i="20"/>
  <c r="D85" i="20"/>
  <c r="J86" i="20"/>
  <c r="E278" i="14"/>
  <c r="BI278" i="14" s="1"/>
  <c r="P282" i="14"/>
  <c r="C278" i="14"/>
  <c r="X289" i="14"/>
  <c r="B290" i="14"/>
  <c r="BH290" i="14" s="1"/>
  <c r="E285" i="14"/>
  <c r="BI285" i="14" s="1"/>
  <c r="S281" i="14"/>
  <c r="I278" i="14"/>
  <c r="C282" i="14"/>
  <c r="B298" i="14"/>
  <c r="BH298" i="14" s="1"/>
  <c r="K85" i="20"/>
  <c r="Y279" i="14"/>
  <c r="AF279" i="14" s="1"/>
  <c r="L283" i="14"/>
  <c r="S284" i="14"/>
  <c r="F281" i="14"/>
  <c r="W290" i="14"/>
  <c r="W300" i="14"/>
  <c r="B265" i="14"/>
  <c r="BH265" i="14" s="1"/>
  <c r="Q282" i="14"/>
  <c r="V283" i="14"/>
  <c r="V297" i="14"/>
  <c r="Z298" i="14"/>
  <c r="AG298" i="14" s="1"/>
  <c r="T279" i="14"/>
  <c r="E281" i="14"/>
  <c r="BI281" i="14" s="1"/>
  <c r="T300" i="14"/>
  <c r="AF289" i="14"/>
  <c r="I264" i="14"/>
  <c r="Q297" i="14"/>
  <c r="S298" i="14"/>
  <c r="I297" i="14"/>
  <c r="R280" i="14"/>
  <c r="S278" i="14"/>
  <c r="E300" i="14"/>
  <c r="BI300" i="14" s="1"/>
  <c r="I283" i="14"/>
  <c r="P290" i="14"/>
  <c r="N300" i="14"/>
  <c r="U279" i="14"/>
  <c r="G85" i="20"/>
  <c r="Z300" i="14"/>
  <c r="AG300" i="14" s="1"/>
  <c r="N283" i="14"/>
  <c r="T283" i="14"/>
  <c r="H278" i="14"/>
  <c r="O286" i="14"/>
  <c r="R289" i="14"/>
  <c r="J281" i="14"/>
  <c r="Z284" i="14"/>
  <c r="AG284" i="14" s="1"/>
  <c r="J283" i="14"/>
  <c r="S265" i="14"/>
  <c r="C264" i="14"/>
  <c r="K284" i="14"/>
  <c r="C283" i="14"/>
  <c r="K280" i="14"/>
  <c r="O279" i="14"/>
  <c r="Y280" i="14"/>
  <c r="AF280" i="14" s="1"/>
  <c r="X282" i="14"/>
  <c r="X280" i="14"/>
  <c r="P287" i="14"/>
  <c r="C265" i="14"/>
  <c r="U289" i="14"/>
  <c r="J288" i="14"/>
  <c r="C284" i="14"/>
  <c r="P289" i="14"/>
  <c r="C280" i="14"/>
  <c r="Z282" i="14"/>
  <c r="AG282" i="14" s="1"/>
  <c r="R297" i="14"/>
  <c r="E279" i="14"/>
  <c r="BI279" i="14" s="1"/>
  <c r="U297" i="14"/>
  <c r="D265" i="14"/>
  <c r="F286" i="14"/>
  <c r="D283" i="14"/>
  <c r="B288" i="14"/>
  <c r="BH288" i="14" s="1"/>
  <c r="J264" i="14"/>
  <c r="H85" i="20"/>
  <c r="R300" i="14"/>
  <c r="H285" i="14"/>
  <c r="J300" i="14"/>
  <c r="P86" i="20"/>
  <c r="G279" i="14"/>
  <c r="R279" i="14"/>
  <c r="G281" i="14"/>
  <c r="H265" i="14"/>
  <c r="L85" i="20"/>
  <c r="E85" i="20"/>
  <c r="W288" i="14"/>
  <c r="E264" i="14"/>
  <c r="BI264" i="14" s="1"/>
  <c r="J265" i="14"/>
  <c r="Z297" i="14"/>
  <c r="AG297" i="14" s="1"/>
  <c r="AF298" i="14"/>
  <c r="H86" i="20"/>
  <c r="B281" i="14"/>
  <c r="BH281" i="14" s="1"/>
  <c r="P283" i="14"/>
  <c r="Z281" i="14"/>
  <c r="AG281" i="14" s="1"/>
  <c r="K264" i="14"/>
  <c r="W265" i="14"/>
  <c r="W278" i="14"/>
  <c r="Z265" i="14"/>
  <c r="AG265" i="14" s="1"/>
  <c r="U265" i="14"/>
  <c r="Y265" i="14"/>
  <c r="AF265" i="14" s="1"/>
  <c r="U278" i="14"/>
  <c r="X265" i="14"/>
  <c r="X278" i="14"/>
  <c r="Z278" i="14"/>
  <c r="AG278" i="14" s="1"/>
  <c r="AH278" i="14" s="1"/>
  <c r="AV278" i="14" s="1"/>
  <c r="AA265" i="14"/>
  <c r="V265" i="14"/>
  <c r="V278" i="14"/>
  <c r="AV247" i="14"/>
  <c r="Q196" i="18"/>
  <c r="S196" i="18" s="1"/>
  <c r="T192" i="18"/>
  <c r="Q201" i="18"/>
  <c r="S201" i="18" s="1"/>
  <c r="T179" i="18"/>
  <c r="T195" i="18"/>
  <c r="T180" i="18"/>
  <c r="T178" i="18"/>
  <c r="T193" i="18"/>
  <c r="T196" i="18"/>
  <c r="T174" i="18"/>
  <c r="T201" i="18"/>
  <c r="U209" i="18"/>
  <c r="Q203" i="18"/>
  <c r="AT420" i="28" s="1"/>
  <c r="AU420" i="28" s="1"/>
  <c r="T213" i="18"/>
  <c r="T210" i="18"/>
  <c r="Q206" i="18"/>
  <c r="AT427" i="28" s="1"/>
  <c r="AU427" i="28" s="1"/>
  <c r="U150" i="18"/>
  <c r="Q213" i="18"/>
  <c r="AT465" i="28" s="1"/>
  <c r="AU465" i="28" s="1"/>
  <c r="U143" i="18"/>
  <c r="U169" i="18"/>
  <c r="U160" i="18"/>
  <c r="U168" i="18"/>
  <c r="Q210" i="18"/>
  <c r="AT453" i="28" s="1"/>
  <c r="AU453" i="28" s="1"/>
  <c r="Q208" i="18"/>
  <c r="AT429" i="28" s="1"/>
  <c r="AU429" i="28" s="1"/>
  <c r="T175" i="18"/>
  <c r="U187" i="18"/>
  <c r="U138" i="18"/>
  <c r="U182" i="18"/>
  <c r="T208" i="18"/>
  <c r="U162" i="18"/>
  <c r="U159" i="18"/>
  <c r="U148" i="18"/>
  <c r="U179" i="18"/>
  <c r="U203" i="18"/>
  <c r="U196" i="18"/>
  <c r="U201" i="18"/>
  <c r="U180" i="18"/>
  <c r="T203" i="18"/>
  <c r="T202" i="18"/>
  <c r="U192" i="18"/>
  <c r="T173" i="18"/>
  <c r="U211" i="18"/>
  <c r="T212" i="18"/>
  <c r="U208" i="18"/>
  <c r="U207" i="18"/>
  <c r="T206" i="18"/>
  <c r="U147" i="18"/>
  <c r="U194" i="18"/>
  <c r="U176" i="18"/>
  <c r="U173" i="18"/>
  <c r="U175" i="18"/>
  <c r="U178" i="18"/>
  <c r="T205" i="18"/>
  <c r="U134" i="18"/>
  <c r="Q212" i="18"/>
  <c r="AT455" i="28" s="1"/>
  <c r="AU455" i="28" s="1"/>
  <c r="U149" i="18"/>
  <c r="Q205" i="18"/>
  <c r="AT422" i="28" s="1"/>
  <c r="AU422" i="28" s="1"/>
  <c r="U213" i="18"/>
  <c r="U206" i="18"/>
  <c r="Q207" i="18"/>
  <c r="AT428" i="28" s="1"/>
  <c r="AU428" i="28" s="1"/>
  <c r="U202" i="18"/>
  <c r="U205" i="18"/>
  <c r="U164" i="18"/>
  <c r="Q211" i="18"/>
  <c r="AT454" i="28" s="1"/>
  <c r="AU454" i="28" s="1"/>
  <c r="T209" i="18"/>
  <c r="U186" i="18"/>
  <c r="T194" i="18"/>
  <c r="U156" i="18"/>
  <c r="T207" i="18"/>
  <c r="T204" i="18"/>
  <c r="U204" i="18"/>
  <c r="U151" i="18"/>
  <c r="U157" i="18"/>
  <c r="U155" i="18"/>
  <c r="U212" i="18"/>
  <c r="U210" i="18"/>
  <c r="U158" i="18"/>
  <c r="Q209" i="18"/>
  <c r="AT452" i="28" s="1"/>
  <c r="AU452" i="28" s="1"/>
  <c r="Q204" i="18"/>
  <c r="AT421" i="28" s="1"/>
  <c r="AU421" i="28" s="1"/>
  <c r="U174" i="18"/>
  <c r="T211" i="18"/>
  <c r="U193" i="18"/>
  <c r="U172" i="18"/>
  <c r="U177" i="18"/>
  <c r="Q202" i="18"/>
  <c r="U195" i="18"/>
  <c r="U163" i="18"/>
  <c r="Q175" i="18"/>
  <c r="S175" i="18" s="1"/>
  <c r="T187" i="18"/>
  <c r="Q195" i="18"/>
  <c r="S195" i="18" s="1"/>
  <c r="T177" i="18"/>
  <c r="T186" i="18"/>
  <c r="Q179" i="18"/>
  <c r="S179" i="18" s="1"/>
  <c r="Q193" i="18"/>
  <c r="S193" i="18" s="1"/>
  <c r="Q180" i="18"/>
  <c r="S180" i="18" s="1"/>
  <c r="Q174" i="18"/>
  <c r="S174" i="18" s="1"/>
  <c r="Q194" i="18"/>
  <c r="S194" i="18" s="1"/>
  <c r="Q178" i="18"/>
  <c r="S178" i="18" s="1"/>
  <c r="Q187" i="18"/>
  <c r="S187" i="18" s="1"/>
  <c r="Q192" i="18"/>
  <c r="S192" i="18" s="1"/>
  <c r="Q173" i="18"/>
  <c r="S173" i="18" s="1"/>
  <c r="Q177" i="18"/>
  <c r="S177" i="18" s="1"/>
  <c r="Q186" i="18"/>
  <c r="S186" i="18" s="1"/>
  <c r="T306" i="14"/>
  <c r="Q235" i="14"/>
  <c r="P314" i="14"/>
  <c r="O329" i="14"/>
  <c r="C331" i="14"/>
  <c r="U301" i="14"/>
  <c r="N307" i="14"/>
  <c r="F333" i="14"/>
  <c r="N312" i="14"/>
  <c r="F301" i="14"/>
  <c r="C330" i="14"/>
  <c r="S315" i="14"/>
  <c r="H309" i="14"/>
  <c r="I301" i="14"/>
  <c r="M330" i="14"/>
  <c r="I331" i="14"/>
  <c r="S233" i="14"/>
  <c r="V329" i="14"/>
  <c r="H316" i="14"/>
  <c r="C308" i="14"/>
  <c r="B233" i="14"/>
  <c r="BH233" i="14" s="1"/>
  <c r="E334" i="14"/>
  <c r="BI334" i="14" s="1"/>
  <c r="Q315" i="14"/>
  <c r="S234" i="14"/>
  <c r="B309" i="14"/>
  <c r="BH309" i="14" s="1"/>
  <c r="U314" i="14"/>
  <c r="L331" i="14"/>
  <c r="G315" i="14"/>
  <c r="E303" i="14"/>
  <c r="BI303" i="14" s="1"/>
  <c r="P334" i="14"/>
  <c r="W302" i="14"/>
  <c r="J307" i="14"/>
  <c r="H235" i="14"/>
  <c r="X312" i="14"/>
  <c r="U312" i="14"/>
  <c r="X235" i="14"/>
  <c r="P234" i="14"/>
  <c r="W333" i="14"/>
  <c r="G311" i="14"/>
  <c r="Q307" i="14"/>
  <c r="C314" i="14"/>
  <c r="V304" i="14"/>
  <c r="AF308" i="14"/>
  <c r="T315" i="14"/>
  <c r="V334" i="14"/>
  <c r="P233" i="14"/>
  <c r="U306" i="14"/>
  <c r="N332" i="14"/>
  <c r="Z316" i="14"/>
  <c r="AG316" i="14" s="1"/>
  <c r="W316" i="14"/>
  <c r="S235" i="14"/>
  <c r="Q233" i="14"/>
  <c r="D332" i="14"/>
  <c r="O309" i="14"/>
  <c r="O234" i="14"/>
  <c r="M331" i="14"/>
  <c r="O334" i="14"/>
  <c r="M306" i="14"/>
  <c r="S316" i="14"/>
  <c r="G316" i="14"/>
  <c r="X301" i="14"/>
  <c r="L309" i="14"/>
  <c r="Q333" i="14"/>
  <c r="K315" i="14"/>
  <c r="G310" i="14"/>
  <c r="P308" i="14"/>
  <c r="D308" i="14"/>
  <c r="S314" i="14"/>
  <c r="O314" i="14"/>
  <c r="O303" i="14"/>
  <c r="O233" i="14"/>
  <c r="J316" i="14"/>
  <c r="R309" i="14"/>
  <c r="I332" i="14"/>
  <c r="B308" i="14"/>
  <c r="BH308" i="14" s="1"/>
  <c r="AF303" i="14"/>
  <c r="J334" i="14"/>
  <c r="AG235" i="14"/>
  <c r="K313" i="14"/>
  <c r="H234" i="14"/>
  <c r="O307" i="14"/>
  <c r="S312" i="14"/>
  <c r="K307" i="14"/>
  <c r="I308" i="14"/>
  <c r="V307" i="14"/>
  <c r="W307" i="14"/>
  <c r="F303" i="14"/>
  <c r="K308" i="14"/>
  <c r="T332" i="14"/>
  <c r="I329" i="14"/>
  <c r="C332" i="14"/>
  <c r="M310" i="14"/>
  <c r="Z309" i="14"/>
  <c r="AG309" i="14" s="1"/>
  <c r="R308" i="14"/>
  <c r="Z310" i="14"/>
  <c r="AG310" i="14" s="1"/>
  <c r="B311" i="14"/>
  <c r="BH311" i="14" s="1"/>
  <c r="U333" i="14"/>
  <c r="P304" i="14"/>
  <c r="S330" i="14"/>
  <c r="G330" i="14"/>
  <c r="T312" i="14"/>
  <c r="X234" i="14"/>
  <c r="P310" i="14"/>
  <c r="M314" i="14"/>
  <c r="E235" i="14"/>
  <c r="BI235" i="14" s="1"/>
  <c r="X334" i="14"/>
  <c r="R332" i="14"/>
  <c r="K233" i="14"/>
  <c r="U315" i="14"/>
  <c r="B301" i="14"/>
  <c r="BH301" i="14" s="1"/>
  <c r="G301" i="14"/>
  <c r="D315" i="14"/>
  <c r="F332" i="14"/>
  <c r="F311" i="14"/>
  <c r="O310" i="14"/>
  <c r="T305" i="14"/>
  <c r="V305" i="14"/>
  <c r="S310" i="14"/>
  <c r="C310" i="14"/>
  <c r="I311" i="14"/>
  <c r="G333" i="14"/>
  <c r="U334" i="14"/>
  <c r="I334" i="14"/>
  <c r="R329" i="14"/>
  <c r="Z308" i="14"/>
  <c r="AG308" i="14" s="1"/>
  <c r="Q304" i="14"/>
  <c r="E304" i="14"/>
  <c r="BI304" i="14" s="1"/>
  <c r="T303" i="14"/>
  <c r="C334" i="14"/>
  <c r="B306" i="14"/>
  <c r="BH306" i="14" s="1"/>
  <c r="Z330" i="14"/>
  <c r="AG330" i="14" s="1"/>
  <c r="N330" i="14"/>
  <c r="J233" i="14"/>
  <c r="AF313" i="14"/>
  <c r="H301" i="14"/>
  <c r="V235" i="14"/>
  <c r="L304" i="14"/>
  <c r="K334" i="14"/>
  <c r="D334" i="14"/>
  <c r="P330" i="14"/>
  <c r="O333" i="14"/>
  <c r="U307" i="14"/>
  <c r="S306" i="14"/>
  <c r="M305" i="14"/>
  <c r="L315" i="14"/>
  <c r="W313" i="14"/>
  <c r="C234" i="14"/>
  <c r="W235" i="14"/>
  <c r="T331" i="14"/>
  <c r="G313" i="14"/>
  <c r="D304" i="14"/>
  <c r="R307" i="14"/>
  <c r="G314" i="14"/>
  <c r="O331" i="14"/>
  <c r="S301" i="14"/>
  <c r="W329" i="14"/>
  <c r="AF304" i="14"/>
  <c r="R233" i="14"/>
  <c r="N333" i="14"/>
  <c r="V330" i="14"/>
  <c r="AF316" i="14"/>
  <c r="X330" i="14"/>
  <c r="H302" i="14"/>
  <c r="P309" i="14"/>
  <c r="H333" i="14"/>
  <c r="Z332" i="14"/>
  <c r="AG332" i="14" s="1"/>
  <c r="F316" i="14"/>
  <c r="O306" i="14"/>
  <c r="F313" i="14"/>
  <c r="W310" i="14"/>
  <c r="M302" i="14"/>
  <c r="X305" i="14"/>
  <c r="E310" i="14"/>
  <c r="BI310" i="14" s="1"/>
  <c r="X304" i="14"/>
  <c r="V309" i="14"/>
  <c r="J312" i="14"/>
  <c r="Z307" i="14"/>
  <c r="AG307" i="14" s="1"/>
  <c r="J301" i="14"/>
  <c r="N233" i="14"/>
  <c r="C329" i="14"/>
  <c r="Z331" i="14"/>
  <c r="AG331" i="14" s="1"/>
  <c r="P306" i="14"/>
  <c r="K333" i="14"/>
  <c r="J331" i="14"/>
  <c r="AF312" i="14"/>
  <c r="M313" i="14"/>
  <c r="H315" i="14"/>
  <c r="X331" i="14"/>
  <c r="W303" i="14"/>
  <c r="R315" i="14"/>
  <c r="AF307" i="14"/>
  <c r="V315" i="14"/>
  <c r="O312" i="14"/>
  <c r="C235" i="14"/>
  <c r="V234" i="14"/>
  <c r="Q316" i="14"/>
  <c r="C309" i="14"/>
  <c r="B316" i="14"/>
  <c r="BH316" i="14" s="1"/>
  <c r="G307" i="14"/>
  <c r="B329" i="14"/>
  <c r="BH329" i="14" s="1"/>
  <c r="U304" i="14"/>
  <c r="AF309" i="14"/>
  <c r="C302" i="14"/>
  <c r="Z313" i="14"/>
  <c r="AG313" i="14" s="1"/>
  <c r="V314" i="14"/>
  <c r="J332" i="14"/>
  <c r="F330" i="14"/>
  <c r="M311" i="14"/>
  <c r="R235" i="14"/>
  <c r="N329" i="14"/>
  <c r="R304" i="14"/>
  <c r="E316" i="14"/>
  <c r="BI316" i="14" s="1"/>
  <c r="F315" i="14"/>
  <c r="P235" i="14"/>
  <c r="E308" i="14"/>
  <c r="BI308" i="14" s="1"/>
  <c r="L303" i="14"/>
  <c r="W308" i="14"/>
  <c r="S332" i="14"/>
  <c r="U329" i="14"/>
  <c r="M316" i="14"/>
  <c r="AF234" i="14"/>
  <c r="V303" i="14"/>
  <c r="T307" i="14"/>
  <c r="V332" i="14"/>
  <c r="D314" i="14"/>
  <c r="C311" i="14"/>
  <c r="E332" i="14"/>
  <c r="BI332" i="14" s="1"/>
  <c r="R314" i="14"/>
  <c r="F314" i="14"/>
  <c r="H313" i="14"/>
  <c r="X315" i="14"/>
  <c r="N234" i="14"/>
  <c r="L311" i="14"/>
  <c r="E234" i="14"/>
  <c r="BI234" i="14" s="1"/>
  <c r="J311" i="14"/>
  <c r="I316" i="14"/>
  <c r="B334" i="14"/>
  <c r="BH334" i="14" s="1"/>
  <c r="S333" i="14"/>
  <c r="K234" i="14"/>
  <c r="D312" i="14"/>
  <c r="O235" i="14"/>
  <c r="X314" i="14"/>
  <c r="U330" i="14"/>
  <c r="T301" i="14"/>
  <c r="J309" i="14"/>
  <c r="E301" i="14"/>
  <c r="BI301" i="14" s="1"/>
  <c r="T334" i="14"/>
  <c r="I333" i="14"/>
  <c r="E306" i="14"/>
  <c r="BI306" i="14" s="1"/>
  <c r="N331" i="14"/>
  <c r="C303" i="14"/>
  <c r="P316" i="14"/>
  <c r="D316" i="14"/>
  <c r="N304" i="14"/>
  <c r="Q334" i="14"/>
  <c r="L233" i="14"/>
  <c r="S334" i="14"/>
  <c r="O305" i="14"/>
  <c r="G329" i="14"/>
  <c r="T316" i="14"/>
  <c r="F302" i="14"/>
  <c r="I330" i="14"/>
  <c r="X306" i="14"/>
  <c r="T234" i="14"/>
  <c r="V313" i="14"/>
  <c r="D310" i="14"/>
  <c r="H314" i="14"/>
  <c r="I313" i="14"/>
  <c r="X329" i="14"/>
  <c r="F235" i="14"/>
  <c r="J306" i="14"/>
  <c r="AF331" i="14"/>
  <c r="O301" i="14"/>
  <c r="G312" i="14"/>
  <c r="Q234" i="14"/>
  <c r="J308" i="14"/>
  <c r="P305" i="14"/>
  <c r="W304" i="14"/>
  <c r="G309" i="14"/>
  <c r="T308" i="14"/>
  <c r="Q313" i="14"/>
  <c r="U332" i="14"/>
  <c r="AF235" i="14"/>
  <c r="S307" i="14"/>
  <c r="M309" i="14"/>
  <c r="R306" i="14"/>
  <c r="K331" i="14"/>
  <c r="C233" i="14"/>
  <c r="Z301" i="14"/>
  <c r="AG301" i="14" s="1"/>
  <c r="H312" i="14"/>
  <c r="T329" i="14"/>
  <c r="W306" i="14"/>
  <c r="I309" i="14"/>
  <c r="K303" i="14"/>
  <c r="C316" i="14"/>
  <c r="X316" i="14"/>
  <c r="W330" i="14"/>
  <c r="H304" i="14"/>
  <c r="K304" i="14"/>
  <c r="Z303" i="14"/>
  <c r="AG303" i="14" s="1"/>
  <c r="U310" i="14"/>
  <c r="B315" i="14"/>
  <c r="BH315" i="14" s="1"/>
  <c r="N308" i="14"/>
  <c r="V308" i="14"/>
  <c r="R301" i="14"/>
  <c r="X308" i="14"/>
  <c r="C304" i="14"/>
  <c r="L302" i="14"/>
  <c r="N314" i="14"/>
  <c r="P329" i="14"/>
  <c r="S311" i="14"/>
  <c r="W311" i="14"/>
  <c r="S303" i="14"/>
  <c r="E329" i="14"/>
  <c r="BI329" i="14" s="1"/>
  <c r="Z329" i="14"/>
  <c r="AG329" i="14" s="1"/>
  <c r="B302" i="14"/>
  <c r="BH302" i="14" s="1"/>
  <c r="W312" i="14"/>
  <c r="J329" i="14"/>
  <c r="AF329" i="14"/>
  <c r="R302" i="14"/>
  <c r="P333" i="14"/>
  <c r="B235" i="14"/>
  <c r="BH235" i="14" s="1"/>
  <c r="R333" i="14"/>
  <c r="R234" i="14"/>
  <c r="W305" i="14"/>
  <c r="O330" i="14"/>
  <c r="G331" i="14"/>
  <c r="I314" i="14"/>
  <c r="D301" i="14"/>
  <c r="S329" i="14"/>
  <c r="Z306" i="14"/>
  <c r="AG306" i="14" s="1"/>
  <c r="K302" i="14"/>
  <c r="AF302" i="14"/>
  <c r="V310" i="14"/>
  <c r="P311" i="14"/>
  <c r="L312" i="14"/>
  <c r="D302" i="14"/>
  <c r="T330" i="14"/>
  <c r="AF310" i="14"/>
  <c r="O332" i="14"/>
  <c r="AG234" i="14"/>
  <c r="N302" i="14"/>
  <c r="AF306" i="14"/>
  <c r="D313" i="14"/>
  <c r="M308" i="14"/>
  <c r="P313" i="14"/>
  <c r="K305" i="14"/>
  <c r="U316" i="14"/>
  <c r="L333" i="14"/>
  <c r="L330" i="14"/>
  <c r="X303" i="14"/>
  <c r="F329" i="14"/>
  <c r="V333" i="14"/>
  <c r="G303" i="14"/>
  <c r="R316" i="14"/>
  <c r="I306" i="14"/>
  <c r="Z314" i="14"/>
  <c r="AG314" i="14" s="1"/>
  <c r="AF305" i="14"/>
  <c r="U303" i="14"/>
  <c r="D305" i="14"/>
  <c r="I305" i="14"/>
  <c r="L308" i="14"/>
  <c r="Z302" i="14"/>
  <c r="AG302" i="14" s="1"/>
  <c r="Q331" i="14"/>
  <c r="E331" i="14"/>
  <c r="BI331" i="14" s="1"/>
  <c r="W332" i="14"/>
  <c r="X302" i="14"/>
  <c r="K316" i="14"/>
  <c r="E309" i="14"/>
  <c r="BI309" i="14" s="1"/>
  <c r="R334" i="14"/>
  <c r="F334" i="14"/>
  <c r="M233" i="14"/>
  <c r="J333" i="14"/>
  <c r="C312" i="14"/>
  <c r="G233" i="14"/>
  <c r="W314" i="14"/>
  <c r="U313" i="14"/>
  <c r="N311" i="14"/>
  <c r="R303" i="14"/>
  <c r="Q306" i="14"/>
  <c r="AF332" i="14"/>
  <c r="E302" i="14"/>
  <c r="BI302" i="14" s="1"/>
  <c r="I303" i="14"/>
  <c r="B330" i="14"/>
  <c r="BH330" i="14" s="1"/>
  <c r="D306" i="14"/>
  <c r="O313" i="14"/>
  <c r="C313" i="14"/>
  <c r="G308" i="14"/>
  <c r="Q311" i="14"/>
  <c r="F304" i="14"/>
  <c r="L313" i="14"/>
  <c r="R312" i="14"/>
  <c r="F309" i="14"/>
  <c r="K310" i="14"/>
  <c r="X332" i="14"/>
  <c r="L332" i="14"/>
  <c r="N235" i="14"/>
  <c r="K235" i="14"/>
  <c r="N305" i="14"/>
  <c r="H334" i="14"/>
  <c r="B303" i="14"/>
  <c r="BH303" i="14" s="1"/>
  <c r="H307" i="14"/>
  <c r="W334" i="14"/>
  <c r="D233" i="14"/>
  <c r="S331" i="14"/>
  <c r="K330" i="14"/>
  <c r="I233" i="14"/>
  <c r="T304" i="14"/>
  <c r="G306" i="14"/>
  <c r="G304" i="14"/>
  <c r="I307" i="14"/>
  <c r="V306" i="14"/>
  <c r="M329" i="14"/>
  <c r="P332" i="14"/>
  <c r="AF315" i="14"/>
  <c r="M315" i="14"/>
  <c r="M303" i="14"/>
  <c r="E330" i="14"/>
  <c r="BI330" i="14" s="1"/>
  <c r="P302" i="14"/>
  <c r="E312" i="14"/>
  <c r="BI312" i="14" s="1"/>
  <c r="K311" i="14"/>
  <c r="W331" i="14"/>
  <c r="B310" i="14"/>
  <c r="BH310" i="14" s="1"/>
  <c r="O304" i="14"/>
  <c r="H310" i="14"/>
  <c r="H330" i="14"/>
  <c r="J314" i="14"/>
  <c r="N301" i="14"/>
  <c r="N313" i="14"/>
  <c r="B313" i="14"/>
  <c r="BH313" i="14" s="1"/>
  <c r="O315" i="14"/>
  <c r="U308" i="14"/>
  <c r="U302" i="14"/>
  <c r="I304" i="14"/>
  <c r="Z305" i="14"/>
  <c r="AG305" i="14" s="1"/>
  <c r="Q302" i="14"/>
  <c r="I235" i="14"/>
  <c r="T235" i="14"/>
  <c r="H329" i="14"/>
  <c r="X333" i="14"/>
  <c r="N309" i="14"/>
  <c r="I234" i="14"/>
  <c r="B332" i="14"/>
  <c r="BH332" i="14" s="1"/>
  <c r="L316" i="14"/>
  <c r="C333" i="14"/>
  <c r="Q303" i="14"/>
  <c r="F312" i="14"/>
  <c r="B307" i="14"/>
  <c r="BH307" i="14" s="1"/>
  <c r="I310" i="14"/>
  <c r="AF314" i="14"/>
  <c r="U305" i="14"/>
  <c r="G305" i="14"/>
  <c r="B331" i="14"/>
  <c r="BH331" i="14" s="1"/>
  <c r="H331" i="14"/>
  <c r="N316" i="14"/>
  <c r="Q301" i="14"/>
  <c r="F307" i="14"/>
  <c r="M301" i="14"/>
  <c r="O316" i="14"/>
  <c r="K329" i="14"/>
  <c r="C315" i="14"/>
  <c r="J305" i="14"/>
  <c r="B333" i="14"/>
  <c r="BH333" i="14" s="1"/>
  <c r="F308" i="14"/>
  <c r="Z304" i="14"/>
  <c r="AG304" i="14" s="1"/>
  <c r="L329" i="14"/>
  <c r="N310" i="14"/>
  <c r="D309" i="14"/>
  <c r="C305" i="14"/>
  <c r="T333" i="14"/>
  <c r="S309" i="14"/>
  <c r="C306" i="14"/>
  <c r="V301" i="14"/>
  <c r="V302" i="14"/>
  <c r="F310" i="14"/>
  <c r="V316" i="14"/>
  <c r="L305" i="14"/>
  <c r="L235" i="14"/>
  <c r="U235" i="14"/>
  <c r="Z333" i="14"/>
  <c r="AG333" i="14" s="1"/>
  <c r="N306" i="14"/>
  <c r="U311" i="14"/>
  <c r="L334" i="14"/>
  <c r="L301" i="14"/>
  <c r="Q314" i="14"/>
  <c r="P312" i="14"/>
  <c r="F234" i="14"/>
  <c r="F306" i="14"/>
  <c r="M332" i="14"/>
  <c r="S302" i="14"/>
  <c r="K301" i="14"/>
  <c r="T233" i="14"/>
  <c r="V331" i="14"/>
  <c r="L314" i="14"/>
  <c r="M312" i="14"/>
  <c r="J315" i="14"/>
  <c r="G235" i="14"/>
  <c r="K332" i="14"/>
  <c r="R330" i="14"/>
  <c r="M307" i="14"/>
  <c r="AF301" i="14"/>
  <c r="H233" i="14"/>
  <c r="M334" i="14"/>
  <c r="J302" i="14"/>
  <c r="L307" i="14"/>
  <c r="Q329" i="14"/>
  <c r="T310" i="14"/>
  <c r="R311" i="14"/>
  <c r="D303" i="14"/>
  <c r="H305" i="14"/>
  <c r="X309" i="14"/>
  <c r="E305" i="14"/>
  <c r="BI305" i="14" s="1"/>
  <c r="Q309" i="14"/>
  <c r="I315" i="14"/>
  <c r="H303" i="14"/>
  <c r="Q308" i="14"/>
  <c r="W315" i="14"/>
  <c r="W309" i="14"/>
  <c r="K309" i="14"/>
  <c r="I312" i="14"/>
  <c r="Z334" i="14"/>
  <c r="AG334" i="14" s="1"/>
  <c r="J235" i="14"/>
  <c r="J330" i="14"/>
  <c r="C301" i="14"/>
  <c r="T314" i="14"/>
  <c r="T313" i="14"/>
  <c r="S308" i="14"/>
  <c r="D329" i="14"/>
  <c r="W234" i="14"/>
  <c r="B314" i="14"/>
  <c r="BH314" i="14" s="1"/>
  <c r="S313" i="14"/>
  <c r="D330" i="14"/>
  <c r="G332" i="14"/>
  <c r="P301" i="14"/>
  <c r="T311" i="14"/>
  <c r="H311" i="14"/>
  <c r="M304" i="14"/>
  <c r="D307" i="14"/>
  <c r="X313" i="14"/>
  <c r="H308" i="14"/>
  <c r="E333" i="14"/>
  <c r="BI333" i="14" s="1"/>
  <c r="R331" i="14"/>
  <c r="E233" i="14"/>
  <c r="BI233" i="14" s="1"/>
  <c r="D331" i="14"/>
  <c r="Q330" i="14"/>
  <c r="E313" i="14"/>
  <c r="BI313" i="14" s="1"/>
  <c r="L306" i="14"/>
  <c r="M234" i="14"/>
  <c r="O302" i="14"/>
  <c r="X307" i="14"/>
  <c r="O311" i="14"/>
  <c r="X310" i="14"/>
  <c r="B305" i="14"/>
  <c r="BH305" i="14" s="1"/>
  <c r="P307" i="14"/>
  <c r="Q312" i="14"/>
  <c r="AF311" i="14"/>
  <c r="L234" i="14"/>
  <c r="D311" i="14"/>
  <c r="Q310" i="14"/>
  <c r="I302" i="14"/>
  <c r="K306" i="14"/>
  <c r="F305" i="14"/>
  <c r="Q305" i="14"/>
  <c r="AF333" i="14"/>
  <c r="O308" i="14"/>
  <c r="E314" i="14"/>
  <c r="BI314" i="14" s="1"/>
  <c r="R313" i="14"/>
  <c r="U309" i="14"/>
  <c r="S304" i="14"/>
  <c r="T302" i="14"/>
  <c r="E311" i="14"/>
  <c r="BI311" i="14" s="1"/>
  <c r="K314" i="14"/>
  <c r="G334" i="14"/>
  <c r="M235" i="14"/>
  <c r="H332" i="14"/>
  <c r="U331" i="14"/>
  <c r="AF330" i="14"/>
  <c r="B304" i="14"/>
  <c r="BH304" i="14" s="1"/>
  <c r="D234" i="14"/>
  <c r="M333" i="14"/>
  <c r="J310" i="14"/>
  <c r="T309" i="14"/>
  <c r="D333" i="14"/>
  <c r="Q332" i="14"/>
  <c r="S305" i="14"/>
  <c r="E315" i="14"/>
  <c r="BI315" i="14" s="1"/>
  <c r="J304" i="14"/>
  <c r="W301" i="14"/>
  <c r="C307" i="14"/>
  <c r="K312" i="14"/>
  <c r="X311" i="14"/>
  <c r="R305" i="14"/>
  <c r="L310" i="14"/>
  <c r="B234" i="14"/>
  <c r="BH234" i="14" s="1"/>
  <c r="J313" i="14"/>
  <c r="AF334" i="14"/>
  <c r="G234" i="14"/>
  <c r="P303" i="14"/>
  <c r="D235" i="14"/>
  <c r="V311" i="14"/>
  <c r="P315" i="14"/>
  <c r="V312" i="14"/>
  <c r="J234" i="14"/>
  <c r="F331" i="14"/>
  <c r="E307" i="14"/>
  <c r="BI307" i="14" s="1"/>
  <c r="N303" i="14"/>
  <c r="U234" i="14"/>
  <c r="Z315" i="14"/>
  <c r="AG315" i="14" s="1"/>
  <c r="B312" i="14"/>
  <c r="BH312" i="14" s="1"/>
  <c r="Z311" i="14"/>
  <c r="AG311" i="14" s="1"/>
  <c r="R310" i="14"/>
  <c r="J303" i="14"/>
  <c r="N315" i="14"/>
  <c r="G302" i="14"/>
  <c r="H306" i="14"/>
  <c r="N334" i="14"/>
  <c r="Z312" i="14"/>
  <c r="AG312" i="14" s="1"/>
  <c r="F233" i="14"/>
  <c r="P331" i="14"/>
  <c r="W233" i="14"/>
  <c r="U233" i="14"/>
  <c r="X233" i="14"/>
  <c r="AG233" i="14"/>
  <c r="AF233" i="14"/>
  <c r="V233" i="14"/>
  <c r="T32" i="19"/>
  <c r="O61" i="20"/>
  <c r="N82" i="20"/>
  <c r="N37" i="20"/>
  <c r="G19" i="19"/>
  <c r="M22" i="19"/>
  <c r="E9" i="20"/>
  <c r="H56" i="20"/>
  <c r="N30" i="20"/>
  <c r="AH10" i="19"/>
  <c r="AJ10" i="19" s="1"/>
  <c r="U28" i="19"/>
  <c r="P33" i="19"/>
  <c r="B10" i="19"/>
  <c r="F15" i="19"/>
  <c r="K43" i="19"/>
  <c r="P25" i="20"/>
  <c r="E31" i="20"/>
  <c r="N45" i="20"/>
  <c r="O7" i="19"/>
  <c r="B34" i="19"/>
  <c r="E34" i="20"/>
  <c r="N11" i="20"/>
  <c r="O73" i="20"/>
  <c r="J19" i="19"/>
  <c r="U45" i="19"/>
  <c r="L30" i="19"/>
  <c r="K24" i="19"/>
  <c r="M28" i="19"/>
  <c r="M24" i="19"/>
  <c r="I4" i="20"/>
  <c r="J20" i="20"/>
  <c r="H4" i="20"/>
  <c r="T13" i="19"/>
  <c r="J38" i="20"/>
  <c r="C7" i="20"/>
  <c r="F18" i="20"/>
  <c r="B25" i="19"/>
  <c r="I18" i="19"/>
  <c r="B18" i="19"/>
  <c r="E39" i="19"/>
  <c r="E11" i="19"/>
  <c r="P12" i="19"/>
  <c r="C19" i="20"/>
  <c r="B14" i="19"/>
  <c r="C25" i="19"/>
  <c r="O39" i="19"/>
  <c r="B45" i="19"/>
  <c r="M17" i="19"/>
  <c r="I8" i="20"/>
  <c r="K10" i="20"/>
  <c r="B54" i="20"/>
  <c r="B9" i="19"/>
  <c r="B33" i="19"/>
  <c r="F38" i="19"/>
  <c r="H31" i="19"/>
  <c r="B50" i="20"/>
  <c r="K28" i="20"/>
  <c r="J2" i="19"/>
  <c r="F36" i="19"/>
  <c r="E24" i="19"/>
  <c r="P21" i="20"/>
  <c r="M7" i="20"/>
  <c r="O35" i="20"/>
  <c r="B6" i="20"/>
  <c r="J18" i="19"/>
  <c r="O40" i="19"/>
  <c r="H32" i="19"/>
  <c r="C33" i="19"/>
  <c r="C11" i="19"/>
  <c r="K69" i="20"/>
  <c r="G29" i="20"/>
  <c r="H46" i="20"/>
  <c r="K41" i="19"/>
  <c r="T37" i="19"/>
  <c r="AH12" i="19"/>
  <c r="AJ12" i="19" s="1"/>
  <c r="H26" i="19"/>
  <c r="N42" i="19"/>
  <c r="L11" i="19"/>
  <c r="U23" i="19"/>
  <c r="B75" i="20"/>
  <c r="L9" i="20"/>
  <c r="I28" i="20"/>
  <c r="B11" i="19"/>
  <c r="K25" i="19"/>
  <c r="U40" i="19"/>
  <c r="E18" i="19"/>
  <c r="C32" i="19"/>
  <c r="I66" i="20"/>
  <c r="Q15" i="20"/>
  <c r="U15" i="20" s="1"/>
  <c r="H25" i="19"/>
  <c r="K19" i="19"/>
  <c r="Q70" i="20"/>
  <c r="U70" i="20" s="1"/>
  <c r="L81" i="20"/>
  <c r="AH13" i="19"/>
  <c r="AJ13" i="19" s="1"/>
  <c r="U13" i="19"/>
  <c r="Q6" i="19"/>
  <c r="B20" i="19"/>
  <c r="H2" i="20"/>
  <c r="K33" i="20"/>
  <c r="R28" i="19"/>
  <c r="N33" i="19"/>
  <c r="U29" i="19"/>
  <c r="H9" i="19"/>
  <c r="F19" i="20"/>
  <c r="E11" i="20"/>
  <c r="J2" i="20"/>
  <c r="K40" i="19"/>
  <c r="T12" i="19"/>
  <c r="AH30" i="19"/>
  <c r="AJ30" i="19" s="1"/>
  <c r="E43" i="20"/>
  <c r="I47" i="20"/>
  <c r="D82" i="20"/>
  <c r="O24" i="19"/>
  <c r="P20" i="19"/>
  <c r="J45" i="19"/>
  <c r="P33" i="20"/>
  <c r="O45" i="20"/>
  <c r="J30" i="20"/>
  <c r="M15" i="20"/>
  <c r="C18" i="19"/>
  <c r="O32" i="20"/>
  <c r="G20" i="20"/>
  <c r="N62" i="20"/>
  <c r="O30" i="20"/>
  <c r="Q29" i="20"/>
  <c r="U29" i="20" s="1"/>
  <c r="J28" i="19"/>
  <c r="L39" i="19"/>
  <c r="O26" i="19"/>
  <c r="F21" i="19"/>
  <c r="O37" i="20"/>
  <c r="D36" i="20"/>
  <c r="G53" i="20"/>
  <c r="B7" i="20"/>
  <c r="I37" i="19"/>
  <c r="F40" i="19"/>
  <c r="C16" i="19"/>
  <c r="P32" i="19"/>
  <c r="J42" i="20"/>
  <c r="H72" i="20"/>
  <c r="L25" i="20"/>
  <c r="O43" i="19"/>
  <c r="S37" i="19"/>
  <c r="K10" i="19"/>
  <c r="AH42" i="19"/>
  <c r="AJ42" i="19" s="1"/>
  <c r="F44" i="19"/>
  <c r="E29" i="19"/>
  <c r="D20" i="20"/>
  <c r="H15" i="20"/>
  <c r="G8" i="20"/>
  <c r="F24" i="20"/>
  <c r="L12" i="20"/>
  <c r="L22" i="20"/>
  <c r="O14" i="19"/>
  <c r="H21" i="19"/>
  <c r="J16" i="19"/>
  <c r="T8" i="19"/>
  <c r="H27" i="19"/>
  <c r="R22" i="19"/>
  <c r="J41" i="19"/>
  <c r="J65" i="20"/>
  <c r="D72" i="20"/>
  <c r="Q25" i="19"/>
  <c r="O33" i="19"/>
  <c r="J25" i="19"/>
  <c r="C40" i="19"/>
  <c r="K2" i="20"/>
  <c r="N19" i="20"/>
  <c r="B29" i="20"/>
  <c r="E37" i="19"/>
  <c r="S24" i="19"/>
  <c r="S36" i="19"/>
  <c r="J15" i="19"/>
  <c r="AH27" i="19"/>
  <c r="AJ27" i="19" s="1"/>
  <c r="S44" i="19"/>
  <c r="M78" i="20"/>
  <c r="I3" i="20"/>
  <c r="F9" i="19"/>
  <c r="I9" i="20"/>
  <c r="E16" i="20"/>
  <c r="D40" i="20"/>
  <c r="I40" i="19"/>
  <c r="O10" i="20"/>
  <c r="M43" i="20"/>
  <c r="G26" i="20"/>
  <c r="P31" i="20"/>
  <c r="AH45" i="19"/>
  <c r="AJ45" i="19" s="1"/>
  <c r="M25" i="19"/>
  <c r="B49" i="20"/>
  <c r="I35" i="20"/>
  <c r="K30" i="20"/>
  <c r="J33" i="20"/>
  <c r="AH3" i="19"/>
  <c r="AJ3" i="19" s="1"/>
  <c r="F12" i="19"/>
  <c r="Q10" i="20"/>
  <c r="U10" i="20" s="1"/>
  <c r="H20" i="20"/>
  <c r="U35" i="19"/>
  <c r="M15" i="19"/>
  <c r="T11" i="19"/>
  <c r="M10" i="19"/>
  <c r="AH23" i="19"/>
  <c r="AJ23" i="19" s="1"/>
  <c r="M82" i="20"/>
  <c r="P20" i="20"/>
  <c r="Q36" i="20"/>
  <c r="U36" i="20" s="1"/>
  <c r="H34" i="19"/>
  <c r="I41" i="19"/>
  <c r="L33" i="20"/>
  <c r="P36" i="20"/>
  <c r="B27" i="19"/>
  <c r="J12" i="19"/>
  <c r="H30" i="19"/>
  <c r="O32" i="19"/>
  <c r="B8" i="19"/>
  <c r="C35" i="19"/>
  <c r="H10" i="20"/>
  <c r="F20" i="20"/>
  <c r="L18" i="20"/>
  <c r="O12" i="19"/>
  <c r="G41" i="19"/>
  <c r="Q44" i="19"/>
  <c r="O11" i="19"/>
  <c r="B12" i="19"/>
  <c r="G45" i="20"/>
  <c r="H36" i="20"/>
  <c r="M8" i="19"/>
  <c r="L31" i="19"/>
  <c r="E7" i="19"/>
  <c r="B37" i="20"/>
  <c r="L15" i="20"/>
  <c r="R36" i="19"/>
  <c r="U17" i="19"/>
  <c r="G25" i="20"/>
  <c r="J29" i="19"/>
  <c r="F20" i="19"/>
  <c r="L17" i="20"/>
  <c r="J6" i="19"/>
  <c r="D64" i="20"/>
  <c r="K14" i="20"/>
  <c r="M3" i="20"/>
  <c r="K35" i="19"/>
  <c r="N2" i="19"/>
  <c r="C51" i="20"/>
  <c r="K20" i="20"/>
  <c r="I31" i="19"/>
  <c r="AH40" i="19"/>
  <c r="AJ40" i="19" s="1"/>
  <c r="H7" i="19"/>
  <c r="J35" i="19"/>
  <c r="C60" i="20"/>
  <c r="P15" i="19"/>
  <c r="P39" i="20"/>
  <c r="M44" i="19"/>
  <c r="N40" i="19"/>
  <c r="O22" i="20"/>
  <c r="H49" i="20"/>
  <c r="E68" i="20"/>
  <c r="D17" i="20"/>
  <c r="K32" i="20"/>
  <c r="Q53" i="20"/>
  <c r="U53" i="20" s="1"/>
  <c r="S12" i="19"/>
  <c r="F27" i="19"/>
  <c r="L65" i="20"/>
  <c r="D54" i="20"/>
  <c r="H53" i="20"/>
  <c r="L5" i="20"/>
  <c r="I16" i="20"/>
  <c r="M42" i="19"/>
  <c r="G21" i="19"/>
  <c r="F44" i="20"/>
  <c r="Q33" i="20"/>
  <c r="U33" i="20" s="1"/>
  <c r="M51" i="20"/>
  <c r="I10" i="19"/>
  <c r="H15" i="19"/>
  <c r="J17" i="19"/>
  <c r="Q31" i="20"/>
  <c r="U31" i="20" s="1"/>
  <c r="C47" i="20"/>
  <c r="J13" i="20"/>
  <c r="S42" i="19"/>
  <c r="F29" i="19"/>
  <c r="T25" i="19"/>
  <c r="G78" i="20"/>
  <c r="H34" i="20"/>
  <c r="E38" i="20"/>
  <c r="P31" i="19"/>
  <c r="M37" i="19"/>
  <c r="U41" i="19"/>
  <c r="E23" i="20"/>
  <c r="Q40" i="20"/>
  <c r="U40" i="20" s="1"/>
  <c r="L24" i="20"/>
  <c r="I2" i="20"/>
  <c r="N53" i="20"/>
  <c r="N11" i="19"/>
  <c r="AH36" i="19"/>
  <c r="AJ36" i="19" s="1"/>
  <c r="L33" i="19"/>
  <c r="G47" i="20"/>
  <c r="K44" i="20"/>
  <c r="K41" i="20"/>
  <c r="G46" i="20"/>
  <c r="N44" i="19"/>
  <c r="C14" i="19"/>
  <c r="L21" i="20"/>
  <c r="E67" i="20"/>
  <c r="M83" i="20"/>
  <c r="N39" i="20"/>
  <c r="N23" i="20"/>
  <c r="E30" i="19"/>
  <c r="K11" i="19"/>
  <c r="H60" i="20"/>
  <c r="M11" i="20"/>
  <c r="B28" i="19"/>
  <c r="F35" i="20"/>
  <c r="G32" i="20"/>
  <c r="U32" i="19"/>
  <c r="U43" i="19"/>
  <c r="P44" i="19"/>
  <c r="O8" i="20"/>
  <c r="D15" i="20"/>
  <c r="D9" i="20"/>
  <c r="H29" i="20"/>
  <c r="F25" i="20"/>
  <c r="K34" i="19"/>
  <c r="E34" i="19"/>
  <c r="N22" i="19"/>
  <c r="C77" i="20"/>
  <c r="M20" i="20"/>
  <c r="L2" i="19"/>
  <c r="E78" i="20"/>
  <c r="F78" i="20"/>
  <c r="P30" i="19"/>
  <c r="O66" i="20"/>
  <c r="J58" i="20"/>
  <c r="D27" i="20"/>
  <c r="M23" i="20"/>
  <c r="L3" i="20"/>
  <c r="S20" i="19"/>
  <c r="N30" i="19"/>
  <c r="U22" i="19"/>
  <c r="C44" i="19"/>
  <c r="J16" i="20"/>
  <c r="J9" i="19"/>
  <c r="O21" i="19"/>
  <c r="L29" i="19"/>
  <c r="G44" i="19"/>
  <c r="O23" i="20"/>
  <c r="U38" i="19"/>
  <c r="E42" i="19"/>
  <c r="L16" i="19"/>
  <c r="I50" i="20"/>
  <c r="F48" i="20"/>
  <c r="Q8" i="19"/>
  <c r="C26" i="19"/>
  <c r="J24" i="19"/>
  <c r="AH11" i="19"/>
  <c r="AJ11" i="19" s="1"/>
  <c r="I26" i="20"/>
  <c r="H43" i="20"/>
  <c r="N14" i="19"/>
  <c r="S19" i="19"/>
  <c r="S25" i="19"/>
  <c r="I44" i="19"/>
  <c r="G24" i="19"/>
  <c r="D63" i="20"/>
  <c r="M16" i="20"/>
  <c r="K13" i="19"/>
  <c r="I45" i="19"/>
  <c r="F12" i="20"/>
  <c r="B55" i="20"/>
  <c r="G34" i="19"/>
  <c r="R41" i="19"/>
  <c r="Q36" i="19"/>
  <c r="E10" i="19"/>
  <c r="G14" i="19"/>
  <c r="Q32" i="20"/>
  <c r="U32" i="20" s="1"/>
  <c r="M9" i="20"/>
  <c r="I32" i="20"/>
  <c r="N45" i="19"/>
  <c r="J64" i="20"/>
  <c r="P13" i="20"/>
  <c r="N9" i="19"/>
  <c r="L8" i="19"/>
  <c r="F35" i="19"/>
  <c r="O13" i="20"/>
  <c r="B59" i="20"/>
  <c r="G36" i="19"/>
  <c r="I39" i="19"/>
  <c r="H14" i="19"/>
  <c r="N37" i="19"/>
  <c r="C28" i="20"/>
  <c r="Q68" i="20"/>
  <c r="U68" i="20" s="1"/>
  <c r="H68" i="20"/>
  <c r="R31" i="19"/>
  <c r="U44" i="19"/>
  <c r="N34" i="19"/>
  <c r="B3" i="20"/>
  <c r="E5" i="20"/>
  <c r="R40" i="19"/>
  <c r="K32" i="19"/>
  <c r="AH43" i="19"/>
  <c r="AJ43" i="19" s="1"/>
  <c r="J4" i="19"/>
  <c r="H55" i="20"/>
  <c r="Q66" i="20"/>
  <c r="U66" i="20" s="1"/>
  <c r="J11" i="20"/>
  <c r="O28" i="20"/>
  <c r="I34" i="20"/>
  <c r="C2" i="19"/>
  <c r="K77" i="20"/>
  <c r="C13" i="19"/>
  <c r="J10" i="19"/>
  <c r="L36" i="19"/>
  <c r="F54" i="20"/>
  <c r="Q18" i="19"/>
  <c r="F19" i="19"/>
  <c r="O34" i="20"/>
  <c r="B32" i="19"/>
  <c r="H79" i="20"/>
  <c r="H38" i="20"/>
  <c r="D7" i="20"/>
  <c r="J32" i="20"/>
  <c r="S33" i="19"/>
  <c r="M9" i="19"/>
  <c r="F8" i="19"/>
  <c r="Q28" i="19"/>
  <c r="E15" i="20"/>
  <c r="M2" i="20"/>
  <c r="C29" i="20"/>
  <c r="D21" i="20"/>
  <c r="C10" i="19"/>
  <c r="P34" i="20"/>
  <c r="B8" i="20"/>
  <c r="L32" i="19"/>
  <c r="R27" i="19"/>
  <c r="Q41" i="19"/>
  <c r="I38" i="19"/>
  <c r="Q21" i="19"/>
  <c r="Q35" i="19"/>
  <c r="D5" i="20"/>
  <c r="M28" i="20"/>
  <c r="D83" i="20"/>
  <c r="P25" i="19"/>
  <c r="D23" i="20"/>
  <c r="N69" i="20"/>
  <c r="N56" i="20"/>
  <c r="F13" i="20"/>
  <c r="N25" i="19"/>
  <c r="N18" i="19"/>
  <c r="Q39" i="19"/>
  <c r="M31" i="19"/>
  <c r="Q31" i="19"/>
  <c r="I12" i="20"/>
  <c r="S14" i="19"/>
  <c r="T9" i="19"/>
  <c r="R32" i="19"/>
  <c r="H12" i="19"/>
  <c r="S11" i="19"/>
  <c r="C41" i="20"/>
  <c r="J27" i="19"/>
  <c r="U19" i="19"/>
  <c r="I30" i="19"/>
  <c r="O41" i="19"/>
  <c r="Q17" i="20"/>
  <c r="U17" i="20" s="1"/>
  <c r="F6" i="20"/>
  <c r="S29" i="19"/>
  <c r="G22" i="19"/>
  <c r="F10" i="19"/>
  <c r="N8" i="19"/>
  <c r="E8" i="19"/>
  <c r="G72" i="20"/>
  <c r="G11" i="20"/>
  <c r="U39" i="19"/>
  <c r="H29" i="19"/>
  <c r="L4" i="19"/>
  <c r="M8" i="20"/>
  <c r="B67" i="20"/>
  <c r="M21" i="20"/>
  <c r="L22" i="19"/>
  <c r="P8" i="19"/>
  <c r="K64" i="20"/>
  <c r="C35" i="20"/>
  <c r="B6" i="19"/>
  <c r="N64" i="20"/>
  <c r="I63" i="20"/>
  <c r="Q46" i="20"/>
  <c r="U46" i="20" s="1"/>
  <c r="B52" i="20"/>
  <c r="S6" i="19"/>
  <c r="I74" i="20"/>
  <c r="F22" i="20"/>
  <c r="O24" i="20"/>
  <c r="E44" i="19"/>
  <c r="M34" i="19"/>
  <c r="T18" i="19"/>
  <c r="C12" i="19"/>
  <c r="Q7" i="19"/>
  <c r="B37" i="19"/>
  <c r="J43" i="20"/>
  <c r="N44" i="20"/>
  <c r="Q32" i="19"/>
  <c r="U16" i="19"/>
  <c r="P11" i="19"/>
  <c r="G57" i="20"/>
  <c r="O58" i="20"/>
  <c r="B32" i="20"/>
  <c r="K46" i="20"/>
  <c r="S21" i="19"/>
  <c r="L15" i="19"/>
  <c r="K21" i="19"/>
  <c r="H5" i="19"/>
  <c r="K31" i="20"/>
  <c r="P29" i="20"/>
  <c r="N33" i="20"/>
  <c r="G17" i="19"/>
  <c r="P37" i="19"/>
  <c r="B65" i="20"/>
  <c r="F4" i="20"/>
  <c r="G40" i="20"/>
  <c r="H36" i="19"/>
  <c r="I42" i="19"/>
  <c r="K39" i="19"/>
  <c r="M21" i="19"/>
  <c r="I20" i="20"/>
  <c r="O18" i="19"/>
  <c r="H20" i="19"/>
  <c r="O42" i="19"/>
  <c r="I43" i="20"/>
  <c r="H33" i="20"/>
  <c r="P17" i="20"/>
  <c r="Q11" i="20"/>
  <c r="U11" i="20" s="1"/>
  <c r="E41" i="20"/>
  <c r="Q27" i="19"/>
  <c r="J21" i="19"/>
  <c r="J22" i="19"/>
  <c r="AH22" i="19"/>
  <c r="AJ22" i="19" s="1"/>
  <c r="G30" i="19"/>
  <c r="T27" i="19"/>
  <c r="O20" i="19"/>
  <c r="L19" i="20"/>
  <c r="Q26" i="20"/>
  <c r="U26" i="20" s="1"/>
  <c r="I38" i="20"/>
  <c r="J40" i="20"/>
  <c r="S17" i="19"/>
  <c r="P13" i="19"/>
  <c r="I32" i="19"/>
  <c r="N32" i="19"/>
  <c r="Q33" i="19"/>
  <c r="I24" i="20"/>
  <c r="S26" i="19"/>
  <c r="H23" i="19"/>
  <c r="T15" i="19"/>
  <c r="F34" i="19"/>
  <c r="R38" i="19"/>
  <c r="O77" i="20"/>
  <c r="K22" i="20"/>
  <c r="M13" i="20"/>
  <c r="P42" i="19"/>
  <c r="N10" i="19"/>
  <c r="B43" i="19"/>
  <c r="J18" i="20"/>
  <c r="C7" i="19"/>
  <c r="J8" i="19"/>
  <c r="H22" i="19"/>
  <c r="Q77" i="20"/>
  <c r="U77" i="20" s="1"/>
  <c r="F82" i="20"/>
  <c r="O25" i="20"/>
  <c r="AH6" i="19"/>
  <c r="AJ6" i="19" s="1"/>
  <c r="T20" i="19"/>
  <c r="I13" i="19"/>
  <c r="C34" i="19"/>
  <c r="C41" i="19"/>
  <c r="G27" i="20"/>
  <c r="K47" i="20"/>
  <c r="L20" i="20"/>
  <c r="T44" i="19"/>
  <c r="E25" i="19"/>
  <c r="L7" i="20"/>
  <c r="K6" i="20"/>
  <c r="N29" i="19"/>
  <c r="B22" i="19"/>
  <c r="Q43" i="19"/>
  <c r="S18" i="19"/>
  <c r="F41" i="19"/>
  <c r="J23" i="19"/>
  <c r="L10" i="19"/>
  <c r="C6" i="20"/>
  <c r="L72" i="20"/>
  <c r="C15" i="20"/>
  <c r="L40" i="19"/>
  <c r="I12" i="19"/>
  <c r="O8" i="19"/>
  <c r="J11" i="19"/>
  <c r="AH44" i="19"/>
  <c r="AJ44" i="19" s="1"/>
  <c r="I22" i="20"/>
  <c r="M27" i="20"/>
  <c r="Q9" i="20"/>
  <c r="U9" i="20" s="1"/>
  <c r="Q34" i="19"/>
  <c r="O16" i="19"/>
  <c r="H6" i="20"/>
  <c r="O41" i="20"/>
  <c r="L28" i="19"/>
  <c r="F14" i="19"/>
  <c r="P3" i="20"/>
  <c r="N15" i="19"/>
  <c r="O35" i="19"/>
  <c r="M35" i="20"/>
  <c r="O16" i="20"/>
  <c r="H8" i="20"/>
  <c r="G13" i="19"/>
  <c r="T24" i="19"/>
  <c r="K35" i="20"/>
  <c r="T16" i="19"/>
  <c r="G12" i="19"/>
  <c r="Q30" i="19"/>
  <c r="O17" i="20"/>
  <c r="B35" i="20"/>
  <c r="U5" i="19"/>
  <c r="S30" i="19"/>
  <c r="M36" i="19"/>
  <c r="H37" i="19"/>
  <c r="F8" i="20"/>
  <c r="Q19" i="20"/>
  <c r="U19" i="20" s="1"/>
  <c r="M30" i="20"/>
  <c r="F17" i="19"/>
  <c r="E43" i="19"/>
  <c r="B2" i="20"/>
  <c r="M25" i="20"/>
  <c r="B62" i="20"/>
  <c r="M19" i="19"/>
  <c r="T41" i="19"/>
  <c r="M29" i="20"/>
  <c r="B48" i="20"/>
  <c r="G15" i="19"/>
  <c r="M52" i="20"/>
  <c r="R44" i="19"/>
  <c r="I19" i="19"/>
  <c r="G33" i="19"/>
  <c r="F22" i="19"/>
  <c r="F6" i="19"/>
  <c r="Q18" i="20"/>
  <c r="U18" i="20" s="1"/>
  <c r="F42" i="19"/>
  <c r="Q72" i="20"/>
  <c r="U72" i="20" s="1"/>
  <c r="J32" i="19"/>
  <c r="F59" i="20"/>
  <c r="E21" i="19"/>
  <c r="B13" i="19"/>
  <c r="C20" i="19"/>
  <c r="AH20" i="19"/>
  <c r="AJ20" i="19" s="1"/>
  <c r="B51" i="20"/>
  <c r="P68" i="20"/>
  <c r="P30" i="20"/>
  <c r="K23" i="19"/>
  <c r="K29" i="19"/>
  <c r="M39" i="19"/>
  <c r="I17" i="19"/>
  <c r="G31" i="19"/>
  <c r="J36" i="20"/>
  <c r="C30" i="20"/>
  <c r="C42" i="20"/>
  <c r="G51" i="20"/>
  <c r="M19" i="20"/>
  <c r="N16" i="19"/>
  <c r="O39" i="20"/>
  <c r="O38" i="19"/>
  <c r="B46" i="20"/>
  <c r="J24" i="20"/>
  <c r="H45" i="20"/>
  <c r="O67" i="20"/>
  <c r="J4" i="20"/>
  <c r="Q45" i="19"/>
  <c r="G20" i="19"/>
  <c r="C21" i="19"/>
  <c r="N41" i="19"/>
  <c r="I34" i="19"/>
  <c r="O64" i="20"/>
  <c r="B56" i="20"/>
  <c r="F2" i="20"/>
  <c r="S7" i="19"/>
  <c r="M30" i="19"/>
  <c r="H24" i="19"/>
  <c r="L42" i="19"/>
  <c r="P75" i="20"/>
  <c r="D19" i="20"/>
  <c r="H22" i="20"/>
  <c r="B44" i="19"/>
  <c r="F18" i="19"/>
  <c r="B44" i="20"/>
  <c r="I52" i="20"/>
  <c r="N59" i="20"/>
  <c r="Q19" i="19"/>
  <c r="N39" i="19"/>
  <c r="M44" i="20"/>
  <c r="E32" i="20"/>
  <c r="P57" i="20"/>
  <c r="B34" i="20"/>
  <c r="U15" i="19"/>
  <c r="Q3" i="20"/>
  <c r="U3" i="20" s="1"/>
  <c r="C22" i="19"/>
  <c r="P24" i="19"/>
  <c r="P39" i="19"/>
  <c r="K27" i="19"/>
  <c r="G17" i="20"/>
  <c r="N17" i="20"/>
  <c r="H23" i="20"/>
  <c r="T19" i="19"/>
  <c r="J44" i="19"/>
  <c r="N57" i="20"/>
  <c r="F38" i="20"/>
  <c r="F37" i="20"/>
  <c r="H8" i="19"/>
  <c r="S31" i="19"/>
  <c r="F26" i="19"/>
  <c r="L80" i="20"/>
  <c r="O15" i="20"/>
  <c r="F31" i="19"/>
  <c r="D81" i="20"/>
  <c r="Q25" i="20"/>
  <c r="U25" i="20" s="1"/>
  <c r="J8" i="20"/>
  <c r="N54" i="20"/>
  <c r="U42" i="19"/>
  <c r="L41" i="19"/>
  <c r="O9" i="20"/>
  <c r="F7" i="20"/>
  <c r="G26" i="19"/>
  <c r="M38" i="19"/>
  <c r="C15" i="19"/>
  <c r="J42" i="19"/>
  <c r="L13" i="20"/>
  <c r="J48" i="20"/>
  <c r="K17" i="19"/>
  <c r="R16" i="19"/>
  <c r="R12" i="19"/>
  <c r="N42" i="20"/>
  <c r="L77" i="20"/>
  <c r="E19" i="19"/>
  <c r="U10" i="19"/>
  <c r="M32" i="19"/>
  <c r="B23" i="19"/>
  <c r="C38" i="19"/>
  <c r="S16" i="19"/>
  <c r="O57" i="20"/>
  <c r="E24" i="20"/>
  <c r="K71" i="20"/>
  <c r="E12" i="19"/>
  <c r="H43" i="19"/>
  <c r="R29" i="19"/>
  <c r="AH8" i="19"/>
  <c r="AJ8" i="19" s="1"/>
  <c r="L52" i="20"/>
  <c r="C11" i="20"/>
  <c r="C8" i="19"/>
  <c r="AH35" i="19"/>
  <c r="AJ35" i="19" s="1"/>
  <c r="H13" i="19"/>
  <c r="L7" i="19"/>
  <c r="K38" i="19"/>
  <c r="L45" i="19"/>
  <c r="S35" i="19"/>
  <c r="C3" i="20"/>
  <c r="I80" i="20"/>
  <c r="J37" i="19"/>
  <c r="O5" i="20"/>
  <c r="K68" i="20"/>
  <c r="C32" i="20"/>
  <c r="I42" i="20"/>
  <c r="G6" i="20"/>
  <c r="T34" i="19"/>
  <c r="G18" i="19"/>
  <c r="B35" i="19"/>
  <c r="P34" i="19"/>
  <c r="J36" i="19"/>
  <c r="S43" i="19"/>
  <c r="C27" i="20"/>
  <c r="R10" i="19"/>
  <c r="D46" i="20"/>
  <c r="D33" i="20"/>
  <c r="D41" i="20"/>
  <c r="J69" i="20"/>
  <c r="Q41" i="20"/>
  <c r="U41" i="20" s="1"/>
  <c r="J20" i="19"/>
  <c r="L17" i="19"/>
  <c r="T30" i="19"/>
  <c r="M7" i="19"/>
  <c r="U26" i="19"/>
  <c r="I30" i="20"/>
  <c r="E27" i="20"/>
  <c r="E21" i="20"/>
  <c r="N43" i="20"/>
  <c r="H5" i="20"/>
  <c r="K16" i="19"/>
  <c r="B30" i="20"/>
  <c r="P41" i="19"/>
  <c r="B29" i="19"/>
  <c r="S40" i="19"/>
  <c r="N6" i="20"/>
  <c r="H6" i="19"/>
  <c r="F27" i="20"/>
  <c r="AH19" i="19"/>
  <c r="AJ19" i="19" s="1"/>
  <c r="K59" i="20"/>
  <c r="D73" i="20"/>
  <c r="B82" i="20"/>
  <c r="L43" i="19"/>
  <c r="M5" i="19"/>
  <c r="E42" i="20"/>
  <c r="L8" i="20"/>
  <c r="N13" i="20"/>
  <c r="J45" i="20"/>
  <c r="P44" i="20"/>
  <c r="B40" i="19"/>
  <c r="U9" i="19"/>
  <c r="R25" i="19"/>
  <c r="AH9" i="19"/>
  <c r="AJ9" i="19" s="1"/>
  <c r="C48" i="20"/>
  <c r="N40" i="20"/>
  <c r="F10" i="20"/>
  <c r="I13" i="20"/>
  <c r="J30" i="19"/>
  <c r="H28" i="19"/>
  <c r="O44" i="19"/>
  <c r="C46" i="20"/>
  <c r="M42" i="20"/>
  <c r="D68" i="20"/>
  <c r="P26" i="19"/>
  <c r="J39" i="19"/>
  <c r="E15" i="19"/>
  <c r="S10" i="19"/>
  <c r="N38" i="19"/>
  <c r="J28" i="20"/>
  <c r="G48" i="20"/>
  <c r="G50" i="20"/>
  <c r="I25" i="20"/>
  <c r="G38" i="20"/>
  <c r="L21" i="19"/>
  <c r="R26" i="19"/>
  <c r="Q40" i="19"/>
  <c r="L41" i="20"/>
  <c r="P48" i="20"/>
  <c r="P19" i="19"/>
  <c r="E20" i="19"/>
  <c r="H39" i="19"/>
  <c r="M32" i="20"/>
  <c r="E25" i="20"/>
  <c r="Q45" i="20"/>
  <c r="U45" i="20" s="1"/>
  <c r="P11" i="20"/>
  <c r="D16" i="20"/>
  <c r="H19" i="19"/>
  <c r="B4" i="19"/>
  <c r="K22" i="19"/>
  <c r="AH16" i="19"/>
  <c r="AJ16" i="19" s="1"/>
  <c r="R14" i="19"/>
  <c r="P18" i="19"/>
  <c r="K36" i="19"/>
  <c r="O27" i="20"/>
  <c r="H70" i="20"/>
  <c r="I36" i="19"/>
  <c r="B38" i="19"/>
  <c r="Q24" i="19"/>
  <c r="E54" i="20"/>
  <c r="J6" i="20"/>
  <c r="Q44" i="20"/>
  <c r="U44" i="20" s="1"/>
  <c r="M53" i="20"/>
  <c r="I45" i="20"/>
  <c r="B16" i="19"/>
  <c r="S8" i="19"/>
  <c r="C27" i="19"/>
  <c r="Q20" i="19"/>
  <c r="J40" i="19"/>
  <c r="T22" i="19"/>
  <c r="G29" i="19"/>
  <c r="K20" i="19"/>
  <c r="F45" i="19"/>
  <c r="C17" i="19"/>
  <c r="Q21" i="20"/>
  <c r="U21" i="20" s="1"/>
  <c r="D11" i="20"/>
  <c r="E79" i="20"/>
  <c r="C75" i="20"/>
  <c r="T26" i="19"/>
  <c r="T45" i="19"/>
  <c r="I15" i="20"/>
  <c r="P9" i="20"/>
  <c r="I46" i="20"/>
  <c r="L13" i="19"/>
  <c r="AH38" i="19"/>
  <c r="AJ38" i="19" s="1"/>
  <c r="J31" i="19"/>
  <c r="I49" i="20"/>
  <c r="N27" i="20"/>
  <c r="L36" i="20"/>
  <c r="F36" i="20"/>
  <c r="H57" i="20"/>
  <c r="Q16" i="19"/>
  <c r="F11" i="19"/>
  <c r="E13" i="19"/>
  <c r="Q3" i="19"/>
  <c r="I60" i="20"/>
  <c r="M16" i="19"/>
  <c r="G38" i="19"/>
  <c r="K38" i="20"/>
  <c r="F67" i="20"/>
  <c r="N3" i="19"/>
  <c r="L44" i="20"/>
  <c r="G64" i="20"/>
  <c r="H41" i="20"/>
  <c r="J10" i="20"/>
  <c r="T23" i="19"/>
  <c r="N27" i="19"/>
  <c r="E19" i="20"/>
  <c r="O65" i="20"/>
  <c r="AH14" i="19"/>
  <c r="AJ14" i="19" s="1"/>
  <c r="R45" i="19"/>
  <c r="R30" i="19"/>
  <c r="U34" i="19"/>
  <c r="N60" i="20"/>
  <c r="L44" i="19"/>
  <c r="G35" i="19"/>
  <c r="H18" i="20"/>
  <c r="G28" i="19"/>
  <c r="J34" i="20"/>
  <c r="E13" i="20"/>
  <c r="U8" i="19"/>
  <c r="G41" i="20"/>
  <c r="E22" i="19"/>
  <c r="N68" i="20"/>
  <c r="E44" i="20"/>
  <c r="B26" i="19"/>
  <c r="M14" i="19"/>
  <c r="R21" i="19"/>
  <c r="J5" i="19"/>
  <c r="I82" i="20"/>
  <c r="Q34" i="20"/>
  <c r="U34" i="20" s="1"/>
  <c r="Q39" i="20"/>
  <c r="U39" i="20" s="1"/>
  <c r="M43" i="19"/>
  <c r="H66" i="20"/>
  <c r="O43" i="20"/>
  <c r="C23" i="20"/>
  <c r="U12" i="19"/>
  <c r="G42" i="19"/>
  <c r="G37" i="19"/>
  <c r="R34" i="19"/>
  <c r="B39" i="20"/>
  <c r="L51" i="20"/>
  <c r="J35" i="20"/>
  <c r="U30" i="19"/>
  <c r="L82" i="20"/>
  <c r="B41" i="20"/>
  <c r="K58" i="20"/>
  <c r="K4" i="19"/>
  <c r="H24" i="20"/>
  <c r="K65" i="20"/>
  <c r="N66" i="20"/>
  <c r="I6" i="19"/>
  <c r="I20" i="19"/>
  <c r="L39" i="20"/>
  <c r="I16" i="19"/>
  <c r="E81" i="20"/>
  <c r="H42" i="19"/>
  <c r="G60" i="20"/>
  <c r="G11" i="19"/>
  <c r="P3" i="19"/>
  <c r="R18" i="19"/>
  <c r="B68" i="20"/>
  <c r="H21" i="20"/>
  <c r="B3" i="19"/>
  <c r="AH34" i="19"/>
  <c r="AJ34" i="19" s="1"/>
  <c r="C62" i="20"/>
  <c r="M40" i="20"/>
  <c r="O38" i="20"/>
  <c r="S38" i="19"/>
  <c r="U3" i="19"/>
  <c r="P55" i="20"/>
  <c r="D34" i="20"/>
  <c r="M68" i="20"/>
  <c r="P26" i="20"/>
  <c r="J43" i="19"/>
  <c r="L70" i="20"/>
  <c r="S23" i="19"/>
  <c r="B23" i="20"/>
  <c r="I33" i="19"/>
  <c r="N4" i="19"/>
  <c r="F70" i="20"/>
  <c r="J14" i="20"/>
  <c r="C12" i="20"/>
  <c r="G9" i="19"/>
  <c r="E12" i="20"/>
  <c r="P43" i="19"/>
  <c r="L40" i="20"/>
  <c r="L35" i="20"/>
  <c r="Q35" i="20"/>
  <c r="U35" i="20" s="1"/>
  <c r="K7" i="20"/>
  <c r="B73" i="20"/>
  <c r="S41" i="19"/>
  <c r="I40" i="20"/>
  <c r="E51" i="20"/>
  <c r="L66" i="20"/>
  <c r="B63" i="20"/>
  <c r="M2" i="19"/>
  <c r="AH4" i="19"/>
  <c r="AJ4" i="19" s="1"/>
  <c r="H30" i="20"/>
  <c r="D39" i="20"/>
  <c r="E35" i="19"/>
  <c r="U25" i="19"/>
  <c r="J70" i="20"/>
  <c r="L64" i="20"/>
  <c r="M26" i="19"/>
  <c r="D67" i="20"/>
  <c r="N76" i="20"/>
  <c r="C57" i="20"/>
  <c r="E27" i="19"/>
  <c r="H37" i="20"/>
  <c r="J78" i="20"/>
  <c r="P10" i="20"/>
  <c r="T43" i="19"/>
  <c r="P16" i="20"/>
  <c r="D43" i="20"/>
  <c r="O80" i="20"/>
  <c r="E10" i="20"/>
  <c r="J56" i="20"/>
  <c r="G24" i="20"/>
  <c r="K25" i="20"/>
  <c r="AH15" i="19"/>
  <c r="AJ15" i="19" s="1"/>
  <c r="J29" i="20"/>
  <c r="P22" i="19"/>
  <c r="E73" i="20"/>
  <c r="E37" i="20"/>
  <c r="U7" i="19"/>
  <c r="C83" i="20"/>
  <c r="G34" i="20"/>
  <c r="G28" i="20"/>
  <c r="M57" i="20"/>
  <c r="L45" i="20"/>
  <c r="Q22" i="20"/>
  <c r="U22" i="20" s="1"/>
  <c r="P79" i="20"/>
  <c r="U27" i="19"/>
  <c r="J15" i="20"/>
  <c r="O69" i="20"/>
  <c r="P50" i="20"/>
  <c r="M33" i="20"/>
  <c r="L11" i="20"/>
  <c r="G4" i="20"/>
  <c r="F2" i="19"/>
  <c r="Q67" i="20"/>
  <c r="U67" i="20" s="1"/>
  <c r="B36" i="20"/>
  <c r="E26" i="19"/>
  <c r="Q42" i="20"/>
  <c r="U42" i="20" s="1"/>
  <c r="E74" i="20"/>
  <c r="O52" i="20"/>
  <c r="H35" i="19"/>
  <c r="J13" i="19"/>
  <c r="J44" i="20"/>
  <c r="S3" i="19"/>
  <c r="L35" i="19"/>
  <c r="N75" i="20"/>
  <c r="P4" i="19"/>
  <c r="N9" i="20"/>
  <c r="B7" i="19"/>
  <c r="O72" i="20"/>
  <c r="I54" i="20"/>
  <c r="K55" i="20"/>
  <c r="Q5" i="19"/>
  <c r="B13" i="20"/>
  <c r="F63" i="20"/>
  <c r="B21" i="20"/>
  <c r="B24" i="19"/>
  <c r="O12" i="20"/>
  <c r="L14" i="19"/>
  <c r="D28" i="20"/>
  <c r="P40" i="20"/>
  <c r="G42" i="20"/>
  <c r="L3" i="19"/>
  <c r="G6" i="19"/>
  <c r="Q76" i="20"/>
  <c r="U76" i="20" s="1"/>
  <c r="C69" i="20"/>
  <c r="O50" i="20"/>
  <c r="N35" i="20"/>
  <c r="F77" i="20"/>
  <c r="M66" i="20"/>
  <c r="I72" i="20"/>
  <c r="E14" i="19"/>
  <c r="B72" i="20"/>
  <c r="B36" i="19"/>
  <c r="G44" i="20"/>
  <c r="J79" i="20"/>
  <c r="T42" i="19"/>
  <c r="F66" i="20"/>
  <c r="B27" i="20"/>
  <c r="M47" i="20"/>
  <c r="L20" i="19"/>
  <c r="G49" i="20"/>
  <c r="J72" i="20"/>
  <c r="H82" i="20"/>
  <c r="H62" i="20"/>
  <c r="N79" i="20"/>
  <c r="AH31" i="19"/>
  <c r="AJ31" i="19" s="1"/>
  <c r="C70" i="20"/>
  <c r="Q79" i="20"/>
  <c r="U79" i="20" s="1"/>
  <c r="AH26" i="19"/>
  <c r="AJ26" i="19" s="1"/>
  <c r="M31" i="20"/>
  <c r="L24" i="19"/>
  <c r="H45" i="19"/>
  <c r="Q28" i="20"/>
  <c r="U28" i="20" s="1"/>
  <c r="N70" i="20"/>
  <c r="K18" i="20"/>
  <c r="B38" i="20"/>
  <c r="P83" i="20"/>
  <c r="C36" i="20"/>
  <c r="R7" i="19"/>
  <c r="F7" i="19"/>
  <c r="J61" i="20"/>
  <c r="P27" i="20"/>
  <c r="E53" i="20"/>
  <c r="T28" i="19"/>
  <c r="K45" i="20"/>
  <c r="Q73" i="20"/>
  <c r="U73" i="20" s="1"/>
  <c r="Q17" i="19"/>
  <c r="M74" i="20"/>
  <c r="K16" i="20"/>
  <c r="D29" i="20"/>
  <c r="Q83" i="20"/>
  <c r="U83" i="20" s="1"/>
  <c r="B17" i="20"/>
  <c r="J77" i="20"/>
  <c r="C2" i="20"/>
  <c r="N8" i="20"/>
  <c r="I51" i="20"/>
  <c r="Q59" i="20"/>
  <c r="U59" i="20" s="1"/>
  <c r="P23" i="19"/>
  <c r="E28" i="19"/>
  <c r="G59" i="20"/>
  <c r="E36" i="19"/>
  <c r="O49" i="20"/>
  <c r="E41" i="19"/>
  <c r="D53" i="20"/>
  <c r="T6" i="19"/>
  <c r="E61" i="20"/>
  <c r="H16" i="20"/>
  <c r="L27" i="19"/>
  <c r="J19" i="20"/>
  <c r="G55" i="20"/>
  <c r="J82" i="20"/>
  <c r="B24" i="20"/>
  <c r="B33" i="20"/>
  <c r="P41" i="20"/>
  <c r="J25" i="20"/>
  <c r="B39" i="19"/>
  <c r="E47" i="20"/>
  <c r="P18" i="20"/>
  <c r="K54" i="20"/>
  <c r="L79" i="20"/>
  <c r="C43" i="19"/>
  <c r="O31" i="19"/>
  <c r="F79" i="20"/>
  <c r="B42" i="19"/>
  <c r="K74" i="20"/>
  <c r="B31" i="20"/>
  <c r="L43" i="20"/>
  <c r="K9" i="20"/>
  <c r="C80" i="20"/>
  <c r="D65" i="20"/>
  <c r="O78" i="20"/>
  <c r="M14" i="20"/>
  <c r="P49" i="20"/>
  <c r="O11" i="20"/>
  <c r="U14" i="19"/>
  <c r="I78" i="20"/>
  <c r="R13" i="19"/>
  <c r="L59" i="20"/>
  <c r="I57" i="20"/>
  <c r="K66" i="20"/>
  <c r="H17" i="19"/>
  <c r="B42" i="20"/>
  <c r="F41" i="20"/>
  <c r="M63" i="20"/>
  <c r="Q51" i="20"/>
  <c r="U51" i="20" s="1"/>
  <c r="T17" i="19"/>
  <c r="P81" i="20"/>
  <c r="C5" i="19"/>
  <c r="D74" i="20"/>
  <c r="K30" i="19"/>
  <c r="K21" i="20"/>
  <c r="L27" i="20"/>
  <c r="L23" i="19"/>
  <c r="P77" i="20"/>
  <c r="D49" i="20"/>
  <c r="G43" i="20"/>
  <c r="H47" i="20"/>
  <c r="L14" i="20"/>
  <c r="S27" i="19"/>
  <c r="Q47" i="20"/>
  <c r="U47" i="20" s="1"/>
  <c r="K12" i="19"/>
  <c r="G61" i="20"/>
  <c r="D66" i="20"/>
  <c r="J39" i="20"/>
  <c r="D10" i="20"/>
  <c r="I36" i="20"/>
  <c r="I64" i="20"/>
  <c r="D24" i="20"/>
  <c r="G7" i="20"/>
  <c r="N3" i="20"/>
  <c r="M36" i="20"/>
  <c r="B15" i="20"/>
  <c r="M18" i="20"/>
  <c r="N34" i="20"/>
  <c r="Q61" i="20"/>
  <c r="U61" i="20" s="1"/>
  <c r="L48" i="20"/>
  <c r="K9" i="19"/>
  <c r="F4" i="19"/>
  <c r="F45" i="20"/>
  <c r="J68" i="20"/>
  <c r="I26" i="19"/>
  <c r="O26" i="20"/>
  <c r="I7" i="19"/>
  <c r="N51" i="20"/>
  <c r="P61" i="20"/>
  <c r="N50" i="20"/>
  <c r="B58" i="20"/>
  <c r="G77" i="20"/>
  <c r="K60" i="20"/>
  <c r="E69" i="20"/>
  <c r="S39" i="19"/>
  <c r="F81" i="20"/>
  <c r="N28" i="19"/>
  <c r="C16" i="20"/>
  <c r="C59" i="20"/>
  <c r="P53" i="20"/>
  <c r="J74" i="20"/>
  <c r="B20" i="20"/>
  <c r="B18" i="20"/>
  <c r="G56" i="20"/>
  <c r="G23" i="20"/>
  <c r="G19" i="20"/>
  <c r="R6" i="19"/>
  <c r="G2" i="19"/>
  <c r="J71" i="20"/>
  <c r="C82" i="20"/>
  <c r="K31" i="19"/>
  <c r="K14" i="19"/>
  <c r="H11" i="20"/>
  <c r="M24" i="20"/>
  <c r="O71" i="20"/>
  <c r="N58" i="20"/>
  <c r="I9" i="19"/>
  <c r="P38" i="20"/>
  <c r="H39" i="20"/>
  <c r="F43" i="19"/>
  <c r="C5" i="20"/>
  <c r="J55" i="20"/>
  <c r="C58" i="20"/>
  <c r="F74" i="20"/>
  <c r="I53" i="20"/>
  <c r="H54" i="20"/>
  <c r="P7" i="20"/>
  <c r="N18" i="20"/>
  <c r="O37" i="19"/>
  <c r="T14" i="19"/>
  <c r="I75" i="20"/>
  <c r="K43" i="20"/>
  <c r="J14" i="19"/>
  <c r="N31" i="20"/>
  <c r="G13" i="20"/>
  <c r="M10" i="20"/>
  <c r="O47" i="20"/>
  <c r="R19" i="19"/>
  <c r="F69" i="20"/>
  <c r="U4" i="19"/>
  <c r="N7" i="19"/>
  <c r="M5" i="20"/>
  <c r="F17" i="20"/>
  <c r="U36" i="19"/>
  <c r="N67" i="20"/>
  <c r="L23" i="20"/>
  <c r="S45" i="19"/>
  <c r="E65" i="20"/>
  <c r="E4" i="20"/>
  <c r="H51" i="20"/>
  <c r="J41" i="20"/>
  <c r="H25" i="20"/>
  <c r="J73" i="20"/>
  <c r="L6" i="19"/>
  <c r="L78" i="20"/>
  <c r="G12" i="20"/>
  <c r="C21" i="20"/>
  <c r="Q12" i="19"/>
  <c r="M6" i="19"/>
  <c r="C38" i="20"/>
  <c r="K53" i="20"/>
  <c r="T36" i="19"/>
  <c r="N28" i="20"/>
  <c r="B11" i="20"/>
  <c r="K34" i="20"/>
  <c r="I71" i="20"/>
  <c r="I27" i="20"/>
  <c r="U6" i="19"/>
  <c r="L46" i="20"/>
  <c r="Q42" i="19"/>
  <c r="N23" i="19"/>
  <c r="D58" i="20"/>
  <c r="K70" i="20"/>
  <c r="Q57" i="20"/>
  <c r="U57" i="20" s="1"/>
  <c r="P21" i="19"/>
  <c r="C9" i="20"/>
  <c r="J81" i="20"/>
  <c r="K23" i="20"/>
  <c r="G9" i="20"/>
  <c r="B15" i="19"/>
  <c r="J3" i="19"/>
  <c r="Q49" i="20"/>
  <c r="U49" i="20" s="1"/>
  <c r="Q38" i="20"/>
  <c r="U38" i="20" s="1"/>
  <c r="K44" i="19"/>
  <c r="D57" i="20"/>
  <c r="D2" i="20"/>
  <c r="AH32" i="19"/>
  <c r="AJ32" i="19" s="1"/>
  <c r="P43" i="20"/>
  <c r="K15" i="20"/>
  <c r="H40" i="19"/>
  <c r="L49" i="20"/>
  <c r="E22" i="20"/>
  <c r="L75" i="20"/>
  <c r="P17" i="19"/>
  <c r="H16" i="19"/>
  <c r="S5" i="19"/>
  <c r="O22" i="19"/>
  <c r="E14" i="20"/>
  <c r="B43" i="20"/>
  <c r="N73" i="20"/>
  <c r="E5" i="19"/>
  <c r="G14" i="20"/>
  <c r="B61" i="20"/>
  <c r="J46" i="20"/>
  <c r="F3" i="19"/>
  <c r="N77" i="20"/>
  <c r="M3" i="19"/>
  <c r="C26" i="20"/>
  <c r="Q27" i="20"/>
  <c r="U27" i="20" s="1"/>
  <c r="Q58" i="20"/>
  <c r="U58" i="20" s="1"/>
  <c r="F15" i="20"/>
  <c r="N16" i="20"/>
  <c r="R11" i="19"/>
  <c r="M49" i="20"/>
  <c r="E70" i="20"/>
  <c r="B69" i="20"/>
  <c r="N78" i="20"/>
  <c r="Q74" i="20"/>
  <c r="U74" i="20" s="1"/>
  <c r="K33" i="19"/>
  <c r="H71" i="20"/>
  <c r="H9" i="20"/>
  <c r="G39" i="20"/>
  <c r="O68" i="20"/>
  <c r="E30" i="20"/>
  <c r="M41" i="19"/>
  <c r="H7" i="20"/>
  <c r="I7" i="20"/>
  <c r="N32" i="20"/>
  <c r="J63" i="20"/>
  <c r="L42" i="20"/>
  <c r="T33" i="19"/>
  <c r="M11" i="19"/>
  <c r="N5" i="19"/>
  <c r="D30" i="20"/>
  <c r="G3" i="20"/>
  <c r="D42" i="20"/>
  <c r="B79" i="20"/>
  <c r="M73" i="20"/>
  <c r="F47" i="20"/>
  <c r="C34" i="20"/>
  <c r="P69" i="20"/>
  <c r="S34" i="19"/>
  <c r="N20" i="19"/>
  <c r="M76" i="20"/>
  <c r="J54" i="20"/>
  <c r="B53" i="20"/>
  <c r="Q20" i="20"/>
  <c r="U20" i="20" s="1"/>
  <c r="K61" i="20"/>
  <c r="AH21" i="19"/>
  <c r="AJ21" i="19" s="1"/>
  <c r="O29" i="20"/>
  <c r="O48" i="20"/>
  <c r="C18" i="20"/>
  <c r="I11" i="20"/>
  <c r="M64" i="20"/>
  <c r="L47" i="20"/>
  <c r="S4" i="19"/>
  <c r="I14" i="19"/>
  <c r="E45" i="20"/>
  <c r="L5" i="19"/>
  <c r="K80" i="20"/>
  <c r="T39" i="19"/>
  <c r="K63" i="20"/>
  <c r="L67" i="20"/>
  <c r="L34" i="19"/>
  <c r="M62" i="20"/>
  <c r="S9" i="19"/>
  <c r="Q12" i="20"/>
  <c r="U12" i="20" s="1"/>
  <c r="E55" i="20"/>
  <c r="M56" i="20"/>
  <c r="E52" i="20"/>
  <c r="O83" i="20"/>
  <c r="P47" i="20"/>
  <c r="D31" i="20"/>
  <c r="O15" i="19"/>
  <c r="J26" i="19"/>
  <c r="C37" i="19"/>
  <c r="H65" i="20"/>
  <c r="I79" i="20"/>
  <c r="E64" i="20"/>
  <c r="E28" i="20"/>
  <c r="G32" i="19"/>
  <c r="N36" i="20"/>
  <c r="L26" i="19"/>
  <c r="N24" i="20"/>
  <c r="H75" i="20"/>
  <c r="H4" i="19"/>
  <c r="U37" i="19"/>
  <c r="K52" i="20"/>
  <c r="O79" i="20"/>
  <c r="L18" i="19"/>
  <c r="O4" i="20"/>
  <c r="G16" i="19"/>
  <c r="K3" i="19"/>
  <c r="C20" i="20"/>
  <c r="B2" i="19"/>
  <c r="N13" i="19"/>
  <c r="H69" i="20"/>
  <c r="G25" i="19"/>
  <c r="K42" i="19"/>
  <c r="AH41" i="19"/>
  <c r="AJ41" i="19" s="1"/>
  <c r="R8" i="19"/>
  <c r="M61" i="20"/>
  <c r="Q48" i="20"/>
  <c r="U48" i="20" s="1"/>
  <c r="O2" i="19"/>
  <c r="P36" i="19"/>
  <c r="G3" i="19"/>
  <c r="H42" i="20"/>
  <c r="H61" i="20"/>
  <c r="Q78" i="20"/>
  <c r="U78" i="20" s="1"/>
  <c r="O17" i="19"/>
  <c r="F16" i="19"/>
  <c r="I10" i="20"/>
  <c r="F46" i="20"/>
  <c r="P12" i="20"/>
  <c r="H59" i="20"/>
  <c r="D38" i="20"/>
  <c r="P76" i="20"/>
  <c r="H31" i="20"/>
  <c r="H3" i="19"/>
  <c r="C76" i="20"/>
  <c r="F5" i="20"/>
  <c r="G5" i="20"/>
  <c r="G54" i="20"/>
  <c r="B70" i="20"/>
  <c r="N74" i="20"/>
  <c r="B47" i="20"/>
  <c r="F13" i="19"/>
  <c r="F40" i="20"/>
  <c r="O6" i="19"/>
  <c r="D26" i="20"/>
  <c r="M45" i="19"/>
  <c r="I67" i="20"/>
  <c r="F28" i="20"/>
  <c r="P35" i="19"/>
  <c r="H44" i="19"/>
  <c r="E17" i="20"/>
  <c r="E76" i="20"/>
  <c r="O70" i="20"/>
  <c r="C9" i="19"/>
  <c r="I59" i="20"/>
  <c r="F9" i="20"/>
  <c r="B64" i="20"/>
  <c r="E29" i="20"/>
  <c r="K3" i="20"/>
  <c r="AH5" i="19"/>
  <c r="AJ5" i="19" s="1"/>
  <c r="N6" i="19"/>
  <c r="J62" i="20"/>
  <c r="M17" i="20"/>
  <c r="D78" i="20"/>
  <c r="P28" i="19"/>
  <c r="C53" i="20"/>
  <c r="M27" i="19"/>
  <c r="O19" i="20"/>
  <c r="R15" i="19"/>
  <c r="O76" i="20"/>
  <c r="I17" i="20"/>
  <c r="E63" i="20"/>
  <c r="F39" i="19"/>
  <c r="B12" i="20"/>
  <c r="F57" i="20"/>
  <c r="N10" i="20"/>
  <c r="E16" i="19"/>
  <c r="L58" i="20"/>
  <c r="G35" i="20"/>
  <c r="N31" i="19"/>
  <c r="M6" i="20"/>
  <c r="F73" i="20"/>
  <c r="L74" i="20"/>
  <c r="T3" i="19"/>
  <c r="Q23" i="20"/>
  <c r="U23" i="20" s="1"/>
  <c r="N20" i="20"/>
  <c r="N80" i="20"/>
  <c r="G2" i="20"/>
  <c r="Q15" i="19"/>
  <c r="F3" i="20"/>
  <c r="Q4" i="19"/>
  <c r="K5" i="20"/>
  <c r="E49" i="20"/>
  <c r="H83" i="20"/>
  <c r="F83" i="20"/>
  <c r="I83" i="20"/>
  <c r="F23" i="19"/>
  <c r="M58" i="20"/>
  <c r="G81" i="20"/>
  <c r="L37" i="19"/>
  <c r="J26" i="20"/>
  <c r="E48" i="20"/>
  <c r="O33" i="20"/>
  <c r="H14" i="20"/>
  <c r="P2" i="19"/>
  <c r="J67" i="20"/>
  <c r="B30" i="19"/>
  <c r="O45" i="19"/>
  <c r="C64" i="20"/>
  <c r="I68" i="20"/>
  <c r="U24" i="19"/>
  <c r="I44" i="20"/>
  <c r="J38" i="19"/>
  <c r="R20" i="19"/>
  <c r="B31" i="19"/>
  <c r="S28" i="19"/>
  <c r="D79" i="20"/>
  <c r="N38" i="20"/>
  <c r="M33" i="19"/>
  <c r="G52" i="20"/>
  <c r="P46" i="20"/>
  <c r="G62" i="20"/>
  <c r="L62" i="20"/>
  <c r="R3" i="19"/>
  <c r="E80" i="20"/>
  <c r="Q38" i="19"/>
  <c r="B25" i="20"/>
  <c r="E56" i="20"/>
  <c r="K37" i="19"/>
  <c r="D69" i="20"/>
  <c r="C14" i="20"/>
  <c r="U20" i="19"/>
  <c r="D6" i="20"/>
  <c r="Q6" i="20"/>
  <c r="U6" i="20" s="1"/>
  <c r="F61" i="20"/>
  <c r="O40" i="20"/>
  <c r="I56" i="20"/>
  <c r="P19" i="20"/>
  <c r="I28" i="19"/>
  <c r="O62" i="20"/>
  <c r="H44" i="20"/>
  <c r="F51" i="20"/>
  <c r="K2" i="19"/>
  <c r="M37" i="20"/>
  <c r="K72" i="20"/>
  <c r="Q7" i="20"/>
  <c r="U7" i="20" s="1"/>
  <c r="D3" i="20"/>
  <c r="S32" i="19"/>
  <c r="P28" i="20"/>
  <c r="T29" i="19"/>
  <c r="P14" i="19"/>
  <c r="C54" i="20"/>
  <c r="R5" i="19"/>
  <c r="J27" i="20"/>
  <c r="C55" i="20"/>
  <c r="AH24" i="19"/>
  <c r="AJ24" i="19" s="1"/>
  <c r="N14" i="20"/>
  <c r="N55" i="20"/>
  <c r="Q2" i="20"/>
  <c r="U2" i="20" s="1"/>
  <c r="H80" i="20"/>
  <c r="O60" i="20"/>
  <c r="C25" i="20"/>
  <c r="L34" i="20"/>
  <c r="K67" i="20"/>
  <c r="P63" i="20"/>
  <c r="Q56" i="20"/>
  <c r="U56" i="20" s="1"/>
  <c r="F33" i="20"/>
  <c r="H64" i="20"/>
  <c r="Q2" i="19"/>
  <c r="E17" i="19"/>
  <c r="P67" i="20"/>
  <c r="P10" i="19"/>
  <c r="L29" i="20"/>
  <c r="M29" i="19"/>
  <c r="F29" i="20"/>
  <c r="C24" i="19"/>
  <c r="F23" i="20"/>
  <c r="L32" i="20"/>
  <c r="O28" i="19"/>
  <c r="Q60" i="20"/>
  <c r="U60" i="20" s="1"/>
  <c r="D47" i="20"/>
  <c r="E8" i="20"/>
  <c r="N12" i="20"/>
  <c r="M18" i="19"/>
  <c r="F68" i="20"/>
  <c r="R23" i="19"/>
  <c r="N71" i="20"/>
  <c r="Q26" i="19"/>
  <c r="H19" i="20"/>
  <c r="I21" i="19"/>
  <c r="D45" i="20"/>
  <c r="N26" i="20"/>
  <c r="I62" i="20"/>
  <c r="P62" i="20"/>
  <c r="C29" i="19"/>
  <c r="H78" i="20"/>
  <c r="Q64" i="20"/>
  <c r="U64" i="20" s="1"/>
  <c r="F76" i="20"/>
  <c r="N63" i="20"/>
  <c r="O25" i="19"/>
  <c r="O55" i="20"/>
  <c r="C45" i="20"/>
  <c r="J22" i="20"/>
  <c r="G82" i="20"/>
  <c r="D4" i="20"/>
  <c r="P74" i="20"/>
  <c r="C4" i="20"/>
  <c r="Q5" i="20"/>
  <c r="U5" i="20" s="1"/>
  <c r="E23" i="19"/>
  <c r="J21" i="20"/>
  <c r="B4" i="20"/>
  <c r="P51" i="20"/>
  <c r="E6" i="20"/>
  <c r="L60" i="20"/>
  <c r="P15" i="20"/>
  <c r="M55" i="20"/>
  <c r="F50" i="20"/>
  <c r="E26" i="20"/>
  <c r="M69" i="20"/>
  <c r="O82" i="20"/>
  <c r="L56" i="20"/>
  <c r="I58" i="20"/>
  <c r="M71" i="20"/>
  <c r="K62" i="20"/>
  <c r="J75" i="20"/>
  <c r="B66" i="20"/>
  <c r="H27" i="20"/>
  <c r="C37" i="20"/>
  <c r="M38" i="20"/>
  <c r="G79" i="20"/>
  <c r="B21" i="19"/>
  <c r="P45" i="20"/>
  <c r="G15" i="20"/>
  <c r="G67" i="20"/>
  <c r="C65" i="20"/>
  <c r="O13" i="19"/>
  <c r="G36" i="20"/>
  <c r="L19" i="19"/>
  <c r="G70" i="20"/>
  <c r="I14" i="20"/>
  <c r="E72" i="20"/>
  <c r="E33" i="19"/>
  <c r="E32" i="19"/>
  <c r="G39" i="19"/>
  <c r="K6" i="19"/>
  <c r="M13" i="19"/>
  <c r="K11" i="20"/>
  <c r="P24" i="20"/>
  <c r="M65" i="20"/>
  <c r="D56" i="20"/>
  <c r="G45" i="19"/>
  <c r="P42" i="20"/>
  <c r="B78" i="20"/>
  <c r="Q37" i="19"/>
  <c r="E71" i="20"/>
  <c r="L53" i="20"/>
  <c r="R37" i="19"/>
  <c r="C81" i="20"/>
  <c r="D61" i="20"/>
  <c r="L50" i="20"/>
  <c r="L31" i="20"/>
  <c r="B60" i="20"/>
  <c r="C63" i="20"/>
  <c r="O3" i="19"/>
  <c r="J12" i="20"/>
  <c r="F49" i="20"/>
  <c r="Q75" i="20"/>
  <c r="U75" i="20" s="1"/>
  <c r="S13" i="19"/>
  <c r="N49" i="20"/>
  <c r="F55" i="20"/>
  <c r="N35" i="19"/>
  <c r="M23" i="19"/>
  <c r="R2" i="19"/>
  <c r="G83" i="20"/>
  <c r="D75" i="20"/>
  <c r="E57" i="20"/>
  <c r="G8" i="19"/>
  <c r="D25" i="20"/>
  <c r="P6" i="19"/>
  <c r="M35" i="19"/>
  <c r="E77" i="20"/>
  <c r="F5" i="19"/>
  <c r="D32" i="20"/>
  <c r="N21" i="19"/>
  <c r="J5" i="20"/>
  <c r="F28" i="19"/>
  <c r="B26" i="20"/>
  <c r="E7" i="20"/>
  <c r="C74" i="20"/>
  <c r="D12" i="20"/>
  <c r="N83" i="20"/>
  <c r="J34" i="19"/>
  <c r="D80" i="20"/>
  <c r="C4" i="19"/>
  <c r="K27" i="20"/>
  <c r="L63" i="20"/>
  <c r="S22" i="19"/>
  <c r="L30" i="20"/>
  <c r="G71" i="20"/>
  <c r="N17" i="19"/>
  <c r="I65" i="20"/>
  <c r="B9" i="20"/>
  <c r="G80" i="20"/>
  <c r="I55" i="20"/>
  <c r="N47" i="20"/>
  <c r="K42" i="20"/>
  <c r="J31" i="20"/>
  <c r="F72" i="20"/>
  <c r="I31" i="20"/>
  <c r="K40" i="20"/>
  <c r="K78" i="20"/>
  <c r="G37" i="20"/>
  <c r="J47" i="20"/>
  <c r="O14" i="20"/>
  <c r="Q11" i="19"/>
  <c r="P80" i="20"/>
  <c r="R35" i="19"/>
  <c r="G65" i="20"/>
  <c r="R33" i="19"/>
  <c r="C50" i="20"/>
  <c r="I48" i="20"/>
  <c r="Q8" i="20"/>
  <c r="U8" i="20" s="1"/>
  <c r="P65" i="20"/>
  <c r="B5" i="20"/>
  <c r="L57" i="20"/>
  <c r="L69" i="20"/>
  <c r="I6" i="20"/>
  <c r="Q23" i="19"/>
  <c r="E3" i="19"/>
  <c r="F16" i="20"/>
  <c r="F21" i="20"/>
  <c r="K82" i="20"/>
  <c r="AH28" i="19"/>
  <c r="AJ28" i="19" s="1"/>
  <c r="H74" i="20"/>
  <c r="L26" i="20"/>
  <c r="C19" i="19"/>
  <c r="G4" i="19"/>
  <c r="C23" i="19"/>
  <c r="D44" i="20"/>
  <c r="C66" i="20"/>
  <c r="J66" i="20"/>
  <c r="P32" i="20"/>
  <c r="P60" i="20"/>
  <c r="G69" i="20"/>
  <c r="Q30" i="20"/>
  <c r="U30" i="20" s="1"/>
  <c r="E35" i="20"/>
  <c r="Q10" i="19"/>
  <c r="I77" i="20"/>
  <c r="H28" i="20"/>
  <c r="O29" i="19"/>
  <c r="I5" i="20"/>
  <c r="U21" i="19"/>
  <c r="K81" i="20"/>
  <c r="K18" i="19"/>
  <c r="J59" i="20"/>
  <c r="M59" i="20"/>
  <c r="P29" i="19"/>
  <c r="O75" i="20"/>
  <c r="C49" i="20"/>
  <c r="E66" i="20"/>
  <c r="F64" i="20"/>
  <c r="N48" i="20"/>
  <c r="C71" i="20"/>
  <c r="I37" i="20"/>
  <c r="K56" i="20"/>
  <c r="H35" i="20"/>
  <c r="C43" i="20"/>
  <c r="M20" i="19"/>
  <c r="O3" i="20"/>
  <c r="L71" i="20"/>
  <c r="Q65" i="20"/>
  <c r="U65" i="20" s="1"/>
  <c r="I2" i="19"/>
  <c r="H11" i="19"/>
  <c r="L9" i="19"/>
  <c r="T5" i="19"/>
  <c r="M67" i="20"/>
  <c r="F24" i="19"/>
  <c r="K4" i="20"/>
  <c r="L2" i="20"/>
  <c r="B83" i="20"/>
  <c r="Q22" i="19"/>
  <c r="E33" i="20"/>
  <c r="J83" i="20"/>
  <c r="K28" i="19"/>
  <c r="Q62" i="20"/>
  <c r="U62" i="20" s="1"/>
  <c r="C31" i="19"/>
  <c r="N41" i="20"/>
  <c r="C45" i="19"/>
  <c r="P78" i="20"/>
  <c r="K26" i="20"/>
  <c r="H77" i="20"/>
  <c r="AH2" i="19"/>
  <c r="AJ2" i="19" s="1"/>
  <c r="J50" i="20"/>
  <c r="M60" i="20"/>
  <c r="F62" i="20"/>
  <c r="K75" i="20"/>
  <c r="C56" i="20"/>
  <c r="I70" i="20"/>
  <c r="C52" i="20"/>
  <c r="J53" i="20"/>
  <c r="B28" i="20"/>
  <c r="D59" i="20"/>
  <c r="Q14" i="19"/>
  <c r="O30" i="19"/>
  <c r="H13" i="20"/>
  <c r="O74" i="20"/>
  <c r="D50" i="20"/>
  <c r="F37" i="19"/>
  <c r="M22" i="20"/>
  <c r="H38" i="19"/>
  <c r="I43" i="19"/>
  <c r="H73" i="20"/>
  <c r="B40" i="20"/>
  <c r="G5" i="19"/>
  <c r="H52" i="20"/>
  <c r="I23" i="20"/>
  <c r="N21" i="20"/>
  <c r="P52" i="20"/>
  <c r="I73" i="20"/>
  <c r="P73" i="20"/>
  <c r="M77" i="20"/>
  <c r="E83" i="20"/>
  <c r="Q9" i="19"/>
  <c r="K83" i="20"/>
  <c r="F11" i="20"/>
  <c r="O9" i="19"/>
  <c r="E31" i="19"/>
  <c r="L55" i="20"/>
  <c r="L37" i="20"/>
  <c r="E45" i="19"/>
  <c r="C22" i="20"/>
  <c r="H40" i="20"/>
  <c r="I5" i="19"/>
  <c r="G66" i="20"/>
  <c r="U11" i="19"/>
  <c r="B19" i="19"/>
  <c r="F58" i="20"/>
  <c r="O56" i="20"/>
  <c r="T38" i="19"/>
  <c r="I76" i="20"/>
  <c r="E4" i="19"/>
  <c r="P8" i="20"/>
  <c r="U31" i="19"/>
  <c r="M41" i="20"/>
  <c r="G31" i="20"/>
  <c r="E36" i="20"/>
  <c r="I27" i="19"/>
  <c r="H48" i="20"/>
  <c r="L68" i="20"/>
  <c r="M46" i="20"/>
  <c r="E20" i="20"/>
  <c r="O59" i="20"/>
  <c r="Q14" i="20"/>
  <c r="U14" i="20" s="1"/>
  <c r="Q29" i="19"/>
  <c r="C6" i="19"/>
  <c r="E75" i="20"/>
  <c r="C13" i="20"/>
  <c r="I3" i="19"/>
  <c r="K39" i="20"/>
  <c r="P59" i="20"/>
  <c r="L10" i="20"/>
  <c r="E39" i="20"/>
  <c r="M12" i="19"/>
  <c r="G40" i="19"/>
  <c r="H17" i="20"/>
  <c r="K37" i="20"/>
  <c r="O4" i="19"/>
  <c r="T40" i="19"/>
  <c r="G73" i="20"/>
  <c r="P40" i="19"/>
  <c r="E38" i="19"/>
  <c r="G10" i="19"/>
  <c r="M70" i="20"/>
  <c r="I24" i="19"/>
  <c r="J76" i="20"/>
  <c r="N72" i="20"/>
  <c r="B10" i="20"/>
  <c r="C31" i="20"/>
  <c r="I23" i="19"/>
  <c r="M26" i="20"/>
  <c r="K7" i="19"/>
  <c r="C36" i="19"/>
  <c r="J3" i="20"/>
  <c r="O42" i="20"/>
  <c r="R42" i="19"/>
  <c r="E2" i="19"/>
  <c r="D71" i="20"/>
  <c r="T10" i="19"/>
  <c r="M4" i="20"/>
  <c r="D8" i="20"/>
  <c r="M4" i="19"/>
  <c r="N22" i="20"/>
  <c r="E3" i="20"/>
  <c r="C40" i="20"/>
  <c r="U2" i="19"/>
  <c r="D62" i="20"/>
  <c r="F30" i="19"/>
  <c r="K49" i="20"/>
  <c r="Q54" i="20"/>
  <c r="U54" i="20" s="1"/>
  <c r="H3" i="20"/>
  <c r="I4" i="19"/>
  <c r="O18" i="20"/>
  <c r="E40" i="20"/>
  <c r="F32" i="20"/>
  <c r="C79" i="20"/>
  <c r="L16" i="20"/>
  <c r="B74" i="20"/>
  <c r="I61" i="20"/>
  <c r="P37" i="20"/>
  <c r="AH25" i="19"/>
  <c r="AJ25" i="19" s="1"/>
  <c r="H32" i="20"/>
  <c r="K12" i="20"/>
  <c r="F42" i="20"/>
  <c r="E59" i="20"/>
  <c r="O53" i="20"/>
  <c r="Q81" i="20"/>
  <c r="U81" i="20" s="1"/>
  <c r="L4" i="20"/>
  <c r="D35" i="20"/>
  <c r="Q55" i="20"/>
  <c r="U55" i="20" s="1"/>
  <c r="K19" i="20"/>
  <c r="F80" i="20"/>
  <c r="H41" i="19"/>
  <c r="J80" i="20"/>
  <c r="O27" i="19"/>
  <c r="E6" i="19"/>
  <c r="F52" i="20"/>
  <c r="P23" i="20"/>
  <c r="D48" i="20"/>
  <c r="J23" i="20"/>
  <c r="Q13" i="20"/>
  <c r="U13" i="20" s="1"/>
  <c r="F25" i="19"/>
  <c r="P54" i="20"/>
  <c r="G76" i="20"/>
  <c r="N52" i="20"/>
  <c r="L38" i="20"/>
  <c r="O63" i="20"/>
  <c r="C68" i="20"/>
  <c r="H12" i="20"/>
  <c r="D76" i="20"/>
  <c r="N7" i="20"/>
  <c r="D55" i="20"/>
  <c r="N19" i="19"/>
  <c r="I29" i="19"/>
  <c r="N29" i="20"/>
  <c r="B77" i="20"/>
  <c r="L83" i="20"/>
  <c r="K45" i="19"/>
  <c r="B71" i="20"/>
  <c r="G74" i="20"/>
  <c r="T2" i="19"/>
  <c r="F26" i="20"/>
  <c r="K29" i="20"/>
  <c r="O7" i="20"/>
  <c r="D77" i="20"/>
  <c r="J33" i="19"/>
  <c r="K76" i="20"/>
  <c r="O10" i="19"/>
  <c r="N26" i="19"/>
  <c r="N4" i="20"/>
  <c r="F14" i="20"/>
  <c r="Q63" i="20"/>
  <c r="U63" i="20" s="1"/>
  <c r="B14" i="20"/>
  <c r="K50" i="20"/>
  <c r="K48" i="20"/>
  <c r="B45" i="20"/>
  <c r="G23" i="19"/>
  <c r="H76" i="20"/>
  <c r="M39" i="20"/>
  <c r="C3" i="19"/>
  <c r="D37" i="20"/>
  <c r="G10" i="20"/>
  <c r="J37" i="20"/>
  <c r="M12" i="20"/>
  <c r="I18" i="20"/>
  <c r="AH33" i="19"/>
  <c r="AJ33" i="19" s="1"/>
  <c r="U33" i="19"/>
  <c r="D22" i="20"/>
  <c r="F39" i="20"/>
  <c r="N65" i="20"/>
  <c r="AH17" i="19"/>
  <c r="AJ17" i="19" s="1"/>
  <c r="P5" i="19"/>
  <c r="K36" i="20"/>
  <c r="D13" i="20"/>
  <c r="O44" i="20"/>
  <c r="J57" i="20"/>
  <c r="H2" i="19"/>
  <c r="C67" i="20"/>
  <c r="I21" i="20"/>
  <c r="B19" i="20"/>
  <c r="N12" i="19"/>
  <c r="M79" i="20"/>
  <c r="O54" i="20"/>
  <c r="N46" i="20"/>
  <c r="P38" i="19"/>
  <c r="Q43" i="20"/>
  <c r="U43" i="20" s="1"/>
  <c r="B57" i="20"/>
  <c r="O36" i="20"/>
  <c r="C24" i="20"/>
  <c r="M75" i="20"/>
  <c r="S15" i="19"/>
  <c r="M45" i="20"/>
  <c r="K24" i="20"/>
  <c r="B16" i="20"/>
  <c r="F32" i="19"/>
  <c r="P66" i="20"/>
  <c r="Q4" i="20"/>
  <c r="U4" i="20" s="1"/>
  <c r="P7" i="19"/>
  <c r="Q82" i="20"/>
  <c r="U82" i="20" s="1"/>
  <c r="P82" i="20"/>
  <c r="M34" i="20"/>
  <c r="K73" i="20"/>
  <c r="Q13" i="19"/>
  <c r="P6" i="20"/>
  <c r="B80" i="20"/>
  <c r="T35" i="19"/>
  <c r="G30" i="20"/>
  <c r="I41" i="20"/>
  <c r="P71" i="20"/>
  <c r="F71" i="20"/>
  <c r="L61" i="20"/>
  <c r="F65" i="20"/>
  <c r="E2" i="20"/>
  <c r="E50" i="20"/>
  <c r="R4" i="19"/>
  <c r="N24" i="19"/>
  <c r="Q24" i="20"/>
  <c r="U24" i="20" s="1"/>
  <c r="T7" i="19"/>
  <c r="I22" i="19"/>
  <c r="R24" i="19"/>
  <c r="C78" i="20"/>
  <c r="O5" i="19"/>
  <c r="O6" i="20"/>
  <c r="J51" i="20"/>
  <c r="Q71" i="20"/>
  <c r="U71" i="20" s="1"/>
  <c r="H18" i="19"/>
  <c r="K26" i="19"/>
  <c r="E60" i="20"/>
  <c r="G18" i="20"/>
  <c r="P22" i="20"/>
  <c r="O36" i="19"/>
  <c r="M72" i="20"/>
  <c r="G22" i="20"/>
  <c r="H67" i="20"/>
  <c r="B76" i="20"/>
  <c r="G7" i="19"/>
  <c r="I19" i="20"/>
  <c r="R43" i="19"/>
  <c r="I69" i="20"/>
  <c r="C33" i="20"/>
  <c r="M54" i="20"/>
  <c r="K17" i="20"/>
  <c r="C72" i="20"/>
  <c r="J7" i="19"/>
  <c r="E46" i="20"/>
  <c r="C44" i="20"/>
  <c r="O31" i="20"/>
  <c r="F75" i="20"/>
  <c r="K8" i="20"/>
  <c r="I81" i="20"/>
  <c r="D51" i="20"/>
  <c r="F56" i="20"/>
  <c r="O46" i="20"/>
  <c r="I25" i="19"/>
  <c r="C73" i="20"/>
  <c r="H50" i="20"/>
  <c r="Q37" i="20"/>
  <c r="U37" i="20" s="1"/>
  <c r="D70" i="20"/>
  <c r="M50" i="20"/>
  <c r="O34" i="19"/>
  <c r="G27" i="19"/>
  <c r="M40" i="19"/>
  <c r="O20" i="20"/>
  <c r="O23" i="19"/>
  <c r="P64" i="20"/>
  <c r="AH39" i="19"/>
  <c r="AJ39" i="19" s="1"/>
  <c r="H58" i="20"/>
  <c r="D14" i="20"/>
  <c r="P4" i="20"/>
  <c r="P27" i="19"/>
  <c r="F60" i="20"/>
  <c r="Q50" i="20"/>
  <c r="U50" i="20" s="1"/>
  <c r="M48" i="20"/>
  <c r="T21" i="19"/>
  <c r="P5" i="20"/>
  <c r="N43" i="19"/>
  <c r="F43" i="20"/>
  <c r="I15" i="19"/>
  <c r="L76" i="20"/>
  <c r="C42" i="19"/>
  <c r="P58" i="20"/>
  <c r="N15" i="20"/>
  <c r="H33" i="19"/>
  <c r="H63" i="20"/>
  <c r="D60" i="20"/>
  <c r="J49" i="20"/>
  <c r="G21" i="20"/>
  <c r="G43" i="19"/>
  <c r="R17" i="19"/>
  <c r="E18" i="20"/>
  <c r="J17" i="20"/>
  <c r="K8" i="19"/>
  <c r="P14" i="20"/>
  <c r="C8" i="20"/>
  <c r="Q16" i="20"/>
  <c r="U16" i="20" s="1"/>
  <c r="G68" i="20"/>
  <c r="N61" i="20"/>
  <c r="AH18" i="19"/>
  <c r="AJ18" i="19" s="1"/>
  <c r="N81" i="20"/>
  <c r="K15" i="19"/>
  <c r="E58" i="20"/>
  <c r="P72" i="20"/>
  <c r="U18" i="19"/>
  <c r="AH37" i="19"/>
  <c r="AJ37" i="19" s="1"/>
  <c r="J7" i="20"/>
  <c r="C10" i="20"/>
  <c r="F53" i="20"/>
  <c r="P2" i="20"/>
  <c r="L6" i="20"/>
  <c r="T4" i="19"/>
  <c r="K51" i="20"/>
  <c r="F33" i="19"/>
  <c r="N25" i="20"/>
  <c r="G58" i="20"/>
  <c r="Q80" i="20"/>
  <c r="U80" i="20" s="1"/>
  <c r="L12" i="19"/>
  <c r="F34" i="20"/>
  <c r="I29" i="20"/>
  <c r="O21" i="20"/>
  <c r="O19" i="19"/>
  <c r="N5" i="20"/>
  <c r="P9" i="19"/>
  <c r="P70" i="20"/>
  <c r="L38" i="19"/>
  <c r="J52" i="20"/>
  <c r="R39" i="19"/>
  <c r="O51" i="20"/>
  <c r="S2" i="19"/>
  <c r="L28" i="20"/>
  <c r="K79" i="20"/>
  <c r="H81" i="20"/>
  <c r="L54" i="20"/>
  <c r="E40" i="19"/>
  <c r="C61" i="20"/>
  <c r="P16" i="19"/>
  <c r="AH7" i="19"/>
  <c r="AJ7" i="19" s="1"/>
  <c r="H10" i="19"/>
  <c r="I11" i="19"/>
  <c r="B22" i="20"/>
  <c r="Q69" i="20"/>
  <c r="U69" i="20" s="1"/>
  <c r="F31" i="20"/>
  <c r="C28" i="19"/>
  <c r="Q52" i="20"/>
  <c r="U52" i="20" s="1"/>
  <c r="E9" i="19"/>
  <c r="G75" i="20"/>
  <c r="R9" i="19"/>
  <c r="K57" i="20"/>
  <c r="O2" i="20"/>
  <c r="B17" i="19"/>
  <c r="G16" i="20"/>
  <c r="C39" i="19"/>
  <c r="H26" i="20"/>
  <c r="I39" i="20"/>
  <c r="L25" i="19"/>
  <c r="D18" i="20"/>
  <c r="E62" i="20"/>
  <c r="AH29" i="19"/>
  <c r="AJ29" i="19" s="1"/>
  <c r="I35" i="19"/>
  <c r="C17" i="20"/>
  <c r="D52" i="20"/>
  <c r="C30" i="19"/>
  <c r="M81" i="20"/>
  <c r="I33" i="20"/>
  <c r="T31" i="19"/>
  <c r="L73" i="20"/>
  <c r="N36" i="19"/>
  <c r="M80" i="20"/>
  <c r="N2" i="20"/>
  <c r="K5" i="19"/>
  <c r="B41" i="19"/>
  <c r="G63" i="20"/>
  <c r="B81" i="20"/>
  <c r="B5" i="19"/>
  <c r="E82" i="20"/>
  <c r="I8" i="19"/>
  <c r="P45" i="19"/>
  <c r="O81" i="20"/>
  <c r="G33" i="20"/>
  <c r="F30" i="20"/>
  <c r="J60" i="20"/>
  <c r="K13" i="20"/>
  <c r="P56" i="20"/>
  <c r="P35" i="20"/>
  <c r="C39" i="20"/>
  <c r="J9" i="20"/>
  <c r="E218" i="14"/>
  <c r="BI218" i="14" s="1"/>
  <c r="L222" i="14"/>
  <c r="O223" i="14"/>
  <c r="AG225" i="14"/>
  <c r="D219" i="14"/>
  <c r="P219" i="14"/>
  <c r="F221" i="14"/>
  <c r="I222" i="14"/>
  <c r="L223" i="14"/>
  <c r="X223" i="14"/>
  <c r="S221" i="14"/>
  <c r="I223" i="14"/>
  <c r="L224" i="14"/>
  <c r="H219" i="14"/>
  <c r="K220" i="14"/>
  <c r="W220" i="14"/>
  <c r="M222" i="14"/>
  <c r="P223" i="14"/>
  <c r="S224" i="14"/>
  <c r="J218" i="14"/>
  <c r="N218" i="14"/>
  <c r="D220" i="14"/>
  <c r="G221" i="14"/>
  <c r="O218" i="14"/>
  <c r="E220" i="14"/>
  <c r="BI220" i="14" s="1"/>
  <c r="H221" i="14"/>
  <c r="K222" i="14"/>
  <c r="W222" i="14"/>
  <c r="M224" i="14"/>
  <c r="H225" i="14"/>
  <c r="AG219" i="14"/>
  <c r="D221" i="14"/>
  <c r="P221" i="14"/>
  <c r="F223" i="14"/>
  <c r="I224" i="14"/>
  <c r="E225" i="14"/>
  <c r="BI225" i="14" s="1"/>
  <c r="X218" i="14"/>
  <c r="V225" i="14"/>
  <c r="I218" i="14"/>
  <c r="C220" i="14"/>
  <c r="B221" i="14"/>
  <c r="BH221" i="14" s="1"/>
  <c r="B225" i="14"/>
  <c r="BH225" i="14" s="1"/>
  <c r="U218" i="14"/>
  <c r="X219" i="14"/>
  <c r="J221" i="14"/>
  <c r="D223" i="14"/>
  <c r="G224" i="14"/>
  <c r="O225" i="14"/>
  <c r="P225" i="14"/>
  <c r="AF220" i="14"/>
  <c r="S222" i="14"/>
  <c r="R223" i="14"/>
  <c r="U224" i="14"/>
  <c r="H218" i="14"/>
  <c r="K219" i="14"/>
  <c r="J220" i="14"/>
  <c r="V220" i="14"/>
  <c r="P222" i="14"/>
  <c r="S223" i="14"/>
  <c r="R224" i="14"/>
  <c r="AG221" i="14"/>
  <c r="T223" i="14"/>
  <c r="W224" i="14"/>
  <c r="B218" i="14"/>
  <c r="BH218" i="14" s="1"/>
  <c r="U225" i="14"/>
  <c r="O219" i="14"/>
  <c r="N220" i="14"/>
  <c r="Q221" i="14"/>
  <c r="D222" i="14"/>
  <c r="W223" i="14"/>
  <c r="V224" i="14"/>
  <c r="F225" i="14"/>
  <c r="R225" i="14"/>
  <c r="L219" i="14"/>
  <c r="O220" i="14"/>
  <c r="N221" i="14"/>
  <c r="I219" i="14"/>
  <c r="U219" i="14"/>
  <c r="O221" i="14"/>
  <c r="N222" i="14"/>
  <c r="Q223" i="14"/>
  <c r="C225" i="14"/>
  <c r="H220" i="14"/>
  <c r="K221" i="14"/>
  <c r="J222" i="14"/>
  <c r="V222" i="14"/>
  <c r="P224" i="14"/>
  <c r="C218" i="14"/>
  <c r="D218" i="14"/>
  <c r="G219" i="14"/>
  <c r="S219" i="14"/>
  <c r="I221" i="14"/>
  <c r="AF225" i="14"/>
  <c r="L218" i="14"/>
  <c r="B220" i="14"/>
  <c r="BH220" i="14" s="1"/>
  <c r="E221" i="14"/>
  <c r="BI221" i="14" s="1"/>
  <c r="H222" i="14"/>
  <c r="T222" i="14"/>
  <c r="J224" i="14"/>
  <c r="K225" i="14"/>
  <c r="V218" i="14"/>
  <c r="W221" i="14"/>
  <c r="F222" i="14"/>
  <c r="AF223" i="14"/>
  <c r="L225" i="14"/>
  <c r="X225" i="14"/>
  <c r="N219" i="14"/>
  <c r="Q220" i="14"/>
  <c r="T221" i="14"/>
  <c r="G222" i="14"/>
  <c r="V223" i="14"/>
  <c r="AF224" i="14"/>
  <c r="X222" i="14"/>
  <c r="K223" i="14"/>
  <c r="AG224" i="14"/>
  <c r="S218" i="14"/>
  <c r="B219" i="14"/>
  <c r="BH219" i="14" s="1"/>
  <c r="U220" i="14"/>
  <c r="X221" i="14"/>
  <c r="J223" i="14"/>
  <c r="M225" i="14"/>
  <c r="P218" i="14"/>
  <c r="C219" i="14"/>
  <c r="R220" i="14"/>
  <c r="U221" i="14"/>
  <c r="T219" i="14"/>
  <c r="G220" i="14"/>
  <c r="V221" i="14"/>
  <c r="AF222" i="14"/>
  <c r="C224" i="14"/>
  <c r="J225" i="14"/>
  <c r="M218" i="14"/>
  <c r="AF218" i="14"/>
  <c r="S220" i="14"/>
  <c r="R221" i="14"/>
  <c r="U222" i="14"/>
  <c r="H223" i="14"/>
  <c r="R218" i="14"/>
  <c r="F218" i="14"/>
  <c r="S225" i="14"/>
  <c r="K218" i="14"/>
  <c r="J219" i="14"/>
  <c r="M220" i="14"/>
  <c r="D224" i="14"/>
  <c r="D225" i="14"/>
  <c r="G218" i="14"/>
  <c r="F219" i="14"/>
  <c r="R219" i="14"/>
  <c r="L221" i="14"/>
  <c r="O222" i="14"/>
  <c r="N223" i="14"/>
  <c r="AG223" i="14"/>
  <c r="E222" i="14"/>
  <c r="BI222" i="14" s="1"/>
  <c r="Q222" i="14"/>
  <c r="K224" i="14"/>
  <c r="G225" i="14"/>
  <c r="E219" i="14"/>
  <c r="BI219" i="14" s="1"/>
  <c r="X220" i="14"/>
  <c r="AG222" i="14"/>
  <c r="M223" i="14"/>
  <c r="B223" i="14"/>
  <c r="BH223" i="14" s="1"/>
  <c r="E224" i="14"/>
  <c r="BI224" i="14" s="1"/>
  <c r="Q224" i="14"/>
  <c r="W225" i="14"/>
  <c r="AF219" i="14"/>
  <c r="L220" i="14"/>
  <c r="B222" i="14"/>
  <c r="BH222" i="14" s="1"/>
  <c r="E223" i="14"/>
  <c r="BI223" i="14" s="1"/>
  <c r="H224" i="14"/>
  <c r="T224" i="14"/>
  <c r="T225" i="14"/>
  <c r="W218" i="14"/>
  <c r="V219" i="14"/>
  <c r="I220" i="14"/>
  <c r="C222" i="14"/>
  <c r="AG220" i="14"/>
  <c r="M221" i="14"/>
  <c r="G223" i="14"/>
  <c r="F224" i="14"/>
  <c r="Q225" i="14"/>
  <c r="T218" i="14"/>
  <c r="W219" i="14"/>
  <c r="F220" i="14"/>
  <c r="AF221" i="14"/>
  <c r="C223" i="14"/>
  <c r="B224" i="14"/>
  <c r="BH224" i="14" s="1"/>
  <c r="N224" i="14"/>
  <c r="N225" i="14"/>
  <c r="Q218" i="14"/>
  <c r="AG218" i="14"/>
  <c r="Q219" i="14"/>
  <c r="T220" i="14"/>
  <c r="O224" i="14"/>
  <c r="M219" i="14"/>
  <c r="P220" i="14"/>
  <c r="C221" i="14"/>
  <c r="R222" i="14"/>
  <c r="U223" i="14"/>
  <c r="X224" i="14"/>
  <c r="I225" i="14"/>
  <c r="P229" i="14"/>
  <c r="G227" i="14"/>
  <c r="P226" i="14"/>
  <c r="H229" i="14"/>
  <c r="O226" i="14"/>
  <c r="I227" i="14"/>
  <c r="M230" i="14"/>
  <c r="N226" i="14"/>
  <c r="W230" i="14"/>
  <c r="U226" i="14"/>
  <c r="S226" i="14"/>
  <c r="G229" i="14"/>
  <c r="Q230" i="14"/>
  <c r="S230" i="14"/>
  <c r="N230" i="14"/>
  <c r="Q231" i="14"/>
  <c r="H231" i="14"/>
  <c r="W227" i="14"/>
  <c r="C229" i="14"/>
  <c r="S231" i="14"/>
  <c r="X231" i="14"/>
  <c r="V231" i="14"/>
  <c r="N229" i="14"/>
  <c r="C226" i="14"/>
  <c r="U229" i="14"/>
  <c r="AG226" i="14"/>
  <c r="V227" i="14"/>
  <c r="F229" i="14"/>
  <c r="K231" i="14"/>
  <c r="F230" i="14"/>
  <c r="H227" i="14"/>
  <c r="C231" i="14"/>
  <c r="W229" i="14"/>
  <c r="X227" i="14"/>
  <c r="F231" i="14"/>
  <c r="K227" i="14"/>
  <c r="E229" i="14"/>
  <c r="BI229" i="14" s="1"/>
  <c r="J229" i="14"/>
  <c r="L229" i="14"/>
  <c r="F227" i="14"/>
  <c r="M227" i="14"/>
  <c r="T230" i="14"/>
  <c r="N231" i="14"/>
  <c r="E231" i="14"/>
  <c r="BI231" i="14" s="1"/>
  <c r="P230" i="14"/>
  <c r="L231" i="14"/>
  <c r="G230" i="14"/>
  <c r="V230" i="14"/>
  <c r="AF231" i="14"/>
  <c r="I229" i="14"/>
  <c r="J227" i="14"/>
  <c r="W226" i="14"/>
  <c r="AF229" i="14"/>
  <c r="AG231" i="14"/>
  <c r="D226" i="14"/>
  <c r="AF230" i="14"/>
  <c r="O229" i="14"/>
  <c r="G231" i="14"/>
  <c r="U231" i="14"/>
  <c r="B229" i="14"/>
  <c r="BH229" i="14" s="1"/>
  <c r="C230" i="14"/>
  <c r="I231" i="14"/>
  <c r="G226" i="14"/>
  <c r="X226" i="14"/>
  <c r="E230" i="14"/>
  <c r="BI230" i="14" s="1"/>
  <c r="J231" i="14"/>
  <c r="O227" i="14"/>
  <c r="K230" i="14"/>
  <c r="P227" i="14"/>
  <c r="U227" i="14"/>
  <c r="P231" i="14"/>
  <c r="I226" i="14"/>
  <c r="L230" i="14"/>
  <c r="AF226" i="14"/>
  <c r="K226" i="14"/>
  <c r="V229" i="14"/>
  <c r="M229" i="14"/>
  <c r="E226" i="14"/>
  <c r="BI226" i="14" s="1"/>
  <c r="J226" i="14"/>
  <c r="H226" i="14"/>
  <c r="X229" i="14"/>
  <c r="D230" i="14"/>
  <c r="B226" i="14"/>
  <c r="BH226" i="14" s="1"/>
  <c r="AF227" i="14"/>
  <c r="M231" i="14"/>
  <c r="B230" i="14"/>
  <c r="BH230" i="14" s="1"/>
  <c r="R226" i="14"/>
  <c r="Q227" i="14"/>
  <c r="U230" i="14"/>
  <c r="J230" i="14"/>
  <c r="R229" i="14"/>
  <c r="D229" i="14"/>
  <c r="S227" i="14"/>
  <c r="L226" i="14"/>
  <c r="I230" i="14"/>
  <c r="T229" i="14"/>
  <c r="Q226" i="14"/>
  <c r="H230" i="14"/>
  <c r="D231" i="14"/>
  <c r="O230" i="14"/>
  <c r="R227" i="14"/>
  <c r="AG230" i="14"/>
  <c r="T231" i="14"/>
  <c r="B231" i="14"/>
  <c r="BH231" i="14" s="1"/>
  <c r="AG227" i="14"/>
  <c r="L227" i="14"/>
  <c r="V226" i="14"/>
  <c r="R231" i="14"/>
  <c r="M226" i="14"/>
  <c r="Q229" i="14"/>
  <c r="T226" i="14"/>
  <c r="B227" i="14"/>
  <c r="BH227" i="14" s="1"/>
  <c r="D227" i="14"/>
  <c r="W231" i="14"/>
  <c r="C227" i="14"/>
  <c r="AG229" i="14"/>
  <c r="T227" i="14"/>
  <c r="X230" i="14"/>
  <c r="F226" i="14"/>
  <c r="S229" i="14"/>
  <c r="R230" i="14"/>
  <c r="O231" i="14"/>
  <c r="N227" i="14"/>
  <c r="K229" i="14"/>
  <c r="E227" i="14"/>
  <c r="BI227" i="14" s="1"/>
  <c r="AH332" i="14" l="1"/>
  <c r="AV332" i="14" s="1"/>
  <c r="AH289" i="14"/>
  <c r="AV289" i="14" s="1"/>
  <c r="AH279" i="14"/>
  <c r="AV279" i="14" s="1"/>
  <c r="AH285" i="14"/>
  <c r="AV285" i="14" s="1"/>
  <c r="AH287" i="14"/>
  <c r="AV287" i="14" s="1"/>
  <c r="AH280" i="14"/>
  <c r="AV280" i="14" s="1"/>
  <c r="AH298" i="14"/>
  <c r="AH283" i="14"/>
  <c r="AV283" i="14" s="1"/>
  <c r="AH288" i="14"/>
  <c r="AV288" i="14" s="1"/>
  <c r="AH299" i="14"/>
  <c r="AH286" i="14"/>
  <c r="AV286" i="14" s="1"/>
  <c r="AH282" i="14"/>
  <c r="AV282" i="14" s="1"/>
  <c r="AH300" i="14"/>
  <c r="AH284" i="14"/>
  <c r="AV284" i="14" s="1"/>
  <c r="AH265" i="14"/>
  <c r="AV265" i="14" s="1"/>
  <c r="AH281" i="14"/>
  <c r="AV281" i="14" s="1"/>
  <c r="AH297" i="14"/>
  <c r="AH290" i="14"/>
  <c r="AV290" i="14" s="1"/>
  <c r="S202" i="18"/>
  <c r="AT419" i="28"/>
  <c r="AU419" i="28" s="1"/>
  <c r="S205" i="18"/>
  <c r="AT436" i="28"/>
  <c r="AU436" i="28" s="1"/>
  <c r="S203" i="18"/>
  <c r="AT457" i="28"/>
  <c r="AU457" i="28" s="1"/>
  <c r="S211" i="18"/>
  <c r="AT444" i="28"/>
  <c r="AU444" i="28" s="1"/>
  <c r="S207" i="18"/>
  <c r="AT447" i="28"/>
  <c r="AU447" i="28" s="1"/>
  <c r="S208" i="18"/>
  <c r="AT448" i="28"/>
  <c r="AU448" i="28" s="1"/>
  <c r="S206" i="18"/>
  <c r="AT446" i="28"/>
  <c r="AU446" i="28" s="1"/>
  <c r="S204" i="18"/>
  <c r="AT434" i="28"/>
  <c r="AU434" i="28" s="1"/>
  <c r="S212" i="18"/>
  <c r="AT464" i="28"/>
  <c r="AU464" i="28" s="1"/>
  <c r="S210" i="18"/>
  <c r="AT462" i="28"/>
  <c r="AU462" i="28" s="1"/>
  <c r="S209" i="18"/>
  <c r="AT449" i="28"/>
  <c r="AU449" i="28" s="1"/>
  <c r="S213" i="18"/>
  <c r="AT456" i="28"/>
  <c r="AU456" i="28" s="1"/>
  <c r="AH310" i="14"/>
  <c r="AV310" i="14" s="1"/>
  <c r="AH314" i="14"/>
  <c r="AV314" i="14" s="1"/>
  <c r="AH330" i="14"/>
  <c r="AV330" i="14" s="1"/>
  <c r="AH309" i="14"/>
  <c r="AV309" i="14" s="1"/>
  <c r="AH316" i="14"/>
  <c r="AV316" i="14" s="1"/>
  <c r="AH331" i="14"/>
  <c r="AV331" i="14" s="1"/>
  <c r="AH334" i="14"/>
  <c r="AV334" i="14" s="1"/>
  <c r="AH333" i="14"/>
  <c r="AV333" i="14" s="1"/>
  <c r="AH301" i="14"/>
  <c r="AV301" i="14" s="1"/>
  <c r="AH235" i="14"/>
  <c r="AV235" i="14" s="1"/>
  <c r="AH307" i="14"/>
  <c r="AV307" i="14" s="1"/>
  <c r="AH329" i="14"/>
  <c r="AV329" i="14" s="1"/>
  <c r="AH233" i="14"/>
  <c r="AV233" i="14" s="1"/>
  <c r="AH305" i="14"/>
  <c r="AV305" i="14" s="1"/>
  <c r="AH306" i="14"/>
  <c r="AV306" i="14" s="1"/>
  <c r="AH308" i="14"/>
  <c r="AV308" i="14" s="1"/>
  <c r="AH311" i="14"/>
  <c r="AV311" i="14" s="1"/>
  <c r="AH315" i="14"/>
  <c r="AV315" i="14" s="1"/>
  <c r="AH234" i="14"/>
  <c r="AV234" i="14" s="1"/>
  <c r="AH312" i="14"/>
  <c r="AV312" i="14" s="1"/>
  <c r="AH303" i="14"/>
  <c r="AV303" i="14" s="1"/>
  <c r="AH302" i="14"/>
  <c r="AV302" i="14" s="1"/>
  <c r="AH304" i="14"/>
  <c r="AV304" i="14" s="1"/>
  <c r="AH313" i="14"/>
  <c r="AV313" i="14" s="1"/>
  <c r="AH225" i="14"/>
  <c r="AV225" i="14" s="1"/>
  <c r="AH221" i="14"/>
  <c r="AV221" i="14" s="1"/>
  <c r="AH219" i="14"/>
  <c r="AV219" i="14" s="1"/>
  <c r="AH224" i="14"/>
  <c r="AV224" i="14" s="1"/>
  <c r="AH222" i="14"/>
  <c r="AV222" i="14" s="1"/>
  <c r="AH220" i="14"/>
  <c r="AV220" i="14" s="1"/>
  <c r="AH218" i="14"/>
  <c r="AV218" i="14" s="1"/>
  <c r="AH223" i="14"/>
  <c r="AV223" i="14" s="1"/>
  <c r="AH226" i="14"/>
  <c r="AV226" i="14" s="1"/>
  <c r="AH230" i="14"/>
  <c r="AV230" i="14" s="1"/>
  <c r="AH229" i="14"/>
  <c r="AV229" i="14" s="1"/>
  <c r="AH227" i="14"/>
  <c r="AV227" i="14" s="1"/>
  <c r="AH231" i="14"/>
  <c r="AV231" i="14" s="1"/>
  <c r="AV513" i="28" l="1"/>
  <c r="AX513" i="28"/>
</calcChain>
</file>

<file path=xl/comments1.xml><?xml version="1.0" encoding="utf-8"?>
<comments xmlns="http://schemas.openxmlformats.org/spreadsheetml/2006/main">
  <authors>
    <author>Sistemas</author>
  </authors>
  <commentList>
    <comment ref="M286" authorId="0" shapeId="0">
      <text>
        <r>
          <rPr>
            <b/>
            <sz val="9"/>
            <rFont val="Tahoma"/>
            <family val="2"/>
          </rPr>
          <t>Sistemas:</t>
        </r>
        <r>
          <rPr>
            <sz val="9"/>
            <rFont val="Tahoma"/>
            <family val="2"/>
          </rPr>
          <t xml:space="preserve">
Mantenimiento de Equipos Informaticos de la EOD-MAAC y sus Sedes, cpu, impresoras multifuncion, escanners, switches de datos </t>
        </r>
      </text>
    </comment>
  </commentList>
</comments>
</file>

<file path=xl/sharedStrings.xml><?xml version="1.0" encoding="utf-8"?>
<sst xmlns="http://schemas.openxmlformats.org/spreadsheetml/2006/main" count="22681" uniqueCount="2041">
  <si>
    <t>Ministerio de Cultura y Patrimonio
Plan Anual de la Política Pública PAPP /  Plan Anual Opertivo  POA 2024</t>
  </si>
  <si>
    <t>Misión :  Ejercer la rectoría del Sistema Nacional de Cultura, con respeto a la libertad de creación y  expresión, a la interculturalidad y a la diversidad; la gestión y promoción de la cultura y el patrimonio, así  como la formulación e implementación de la política pública nacional en este ámbito; garantizando el  ejercicio de los derechos culturales y  contribuyendo al cumplimiento de los objetivos del Plan de Creación de Oportunidades.</t>
  </si>
  <si>
    <t>Visión: El Ministerio de Cultura y Patrimonio como motor del desarrollo económico y social, a través del impulso a la creatividad e innovación, y la puesta en valor de la memoria social y el patrimonio cultural a nivel nacional e internacional.</t>
  </si>
  <si>
    <t>Línea POA</t>
  </si>
  <si>
    <t>CÓDIGO UNIDAD EJECUTORA</t>
  </si>
  <si>
    <t>SUBSECRETARIA / COORDINACIÓN</t>
  </si>
  <si>
    <t>DIRECCIÓN</t>
  </si>
  <si>
    <t>TIPO DE GASTO</t>
  </si>
  <si>
    <t>CUP</t>
  </si>
  <si>
    <t>NOMBRE PROYECTO</t>
  </si>
  <si>
    <t>OBJETIVO DEL PROYECTO / OBJETIVO OPERATIVO (GPR)</t>
  </si>
  <si>
    <t>COMPONENTE MARCO LÓGICO  (Solo inversión)</t>
  </si>
  <si>
    <t>ACTIVIDAD MARCO LÓGICO  (SOLO PROYECTO)</t>
  </si>
  <si>
    <t>SUB ACTIVIDAD MARCO LÓGICO  (SOLO PROYECTO)</t>
  </si>
  <si>
    <t>TIPO ACTIVIDAD NUEVA / ARRASTRE / PLURIANUAL</t>
  </si>
  <si>
    <t xml:space="preserve">ACTIVIDAD POA </t>
  </si>
  <si>
    <t>COD. UNIDAD EJECUTORA (PC-EOD)</t>
  </si>
  <si>
    <t>PROGRAMA  INSTITUCIONAL (2 DIGITOS)</t>
  </si>
  <si>
    <t>CÓDIGO PROYECTO (3 DIGITOS)</t>
  </si>
  <si>
    <t>ACTIVIDAD  (3 DIGITOS)</t>
  </si>
  <si>
    <t>GRUPO GASTO</t>
  </si>
  <si>
    <t>ÍTEM PRESUPUESTARIO</t>
  </si>
  <si>
    <t>Nombre  Ítem</t>
  </si>
  <si>
    <t>GEOGRÁFICO (4 DÍGITOS)</t>
  </si>
  <si>
    <t>FTE. FINANCIAMIENTO (3 DÍGITOS)</t>
  </si>
  <si>
    <t>ORGANISMO (4 DÍGITOS)</t>
  </si>
  <si>
    <t>CORRELATIVO (4 DÍGITOS)</t>
  </si>
  <si>
    <t>MONTO ACTUAL 
BASE IMPONIBLE</t>
  </si>
  <si>
    <t>MONTO ACTUAL 
IVA</t>
  </si>
  <si>
    <t>MONTO ACTUAL ACTIVIDAD</t>
  </si>
  <si>
    <t>ENE-- REPROGRAMADO</t>
  </si>
  <si>
    <t>FEB-- REPROGRAMADO</t>
  </si>
  <si>
    <t>MAR-- REPROGRAMADO</t>
  </si>
  <si>
    <t>ABR-- REPROGRAMADO</t>
  </si>
  <si>
    <t>MAY-- REPROGRAMADO</t>
  </si>
  <si>
    <t>JUN-- REPROGRAMADO</t>
  </si>
  <si>
    <t>JUL-- REPROGRAMADO</t>
  </si>
  <si>
    <t>AGO-- REPROGRAMADO</t>
  </si>
  <si>
    <t>SEP-- REPROGRAMADO</t>
  </si>
  <si>
    <t>OCT-- REPROGRAMADO</t>
  </si>
  <si>
    <t>NOV-- REPROGRAMADO</t>
  </si>
  <si>
    <t>DIC-- REPROGRAMADO</t>
  </si>
  <si>
    <t>TOTAL PROGRAMADO INICIAL</t>
  </si>
  <si>
    <t>TOTAL REPROGRAMADO</t>
  </si>
  <si>
    <t>REVISIÓN</t>
  </si>
  <si>
    <t>BENEFICIARIO GRUPO 58
RUC
(13 DIGITOS)</t>
  </si>
  <si>
    <t>BENEFICIARIO GRUPO 58
NOMBRE</t>
  </si>
  <si>
    <t>DOCUMENTO HABILITANTE GRUPO 58</t>
  </si>
  <si>
    <t>Constancia POA</t>
  </si>
  <si>
    <t>DISPONIBLE ACTIVIDAD POA</t>
  </si>
  <si>
    <t>TOTAL CERTIFICADO</t>
  </si>
  <si>
    <t>TOTAL COMPROMETIDO</t>
  </si>
  <si>
    <t>TOTAL DISPONIBLE DE LA CERTIFICACIÓN-mg</t>
  </si>
  <si>
    <t>TOTAL DISPONIBLE ACTIVIDAD (ESIGEF)</t>
  </si>
  <si>
    <t>TOTAL DEVENGADO</t>
  </si>
  <si>
    <t>SALDO POR DEVENGADO</t>
  </si>
  <si>
    <t>% EJECUCIÓN</t>
  </si>
  <si>
    <t>ENE-DEVENGADO</t>
  </si>
  <si>
    <t>FEB-DEVENGADO</t>
  </si>
  <si>
    <t>MAR-DEVENGADO</t>
  </si>
  <si>
    <t>ABR--DEVENGADO</t>
  </si>
  <si>
    <t>MAY-DEVENGADO</t>
  </si>
  <si>
    <t>JUN-DEVENGADO</t>
  </si>
  <si>
    <t>JUL-DEVENGADO</t>
  </si>
  <si>
    <t>AGO-DEVENGADO</t>
  </si>
  <si>
    <t>SEP-DEVENGADO</t>
  </si>
  <si>
    <t>OCT-DEVENGADO</t>
  </si>
  <si>
    <t>NOV-DEVENGADO</t>
  </si>
  <si>
    <t>DIC-DEVENGADO</t>
  </si>
  <si>
    <t>TOTAL DEV.</t>
  </si>
  <si>
    <t>REVISIÓN2</t>
  </si>
  <si>
    <t>TRANSFERENCIA</t>
  </si>
  <si>
    <t>Columna1</t>
  </si>
  <si>
    <t>Planta Central</t>
  </si>
  <si>
    <t>Coordinación General de Planificación y Gestión Estratégica</t>
  </si>
  <si>
    <t>Dirección de Tecnologías de la Información y Comunicación</t>
  </si>
  <si>
    <t>Corriente</t>
  </si>
  <si>
    <t>N/A</t>
  </si>
  <si>
    <t>PLURIANUAL 2023-2024</t>
  </si>
  <si>
    <t>Servicios de telecomunicaciones y nube para al Ministerio de Cultura y Patrimonio y sus dependencias 2023-2024</t>
  </si>
  <si>
    <t>01</t>
  </si>
  <si>
    <t>000</t>
  </si>
  <si>
    <t>001</t>
  </si>
  <si>
    <t>1701</t>
  </si>
  <si>
    <t>0000</t>
  </si>
  <si>
    <t>NUEVA</t>
  </si>
  <si>
    <t>Servicios de telecomunicaciones y nube para el Ministerio de Cultura y Patrimonio y sus dependencias 2024-2025</t>
  </si>
  <si>
    <t>ARRASTRE</t>
  </si>
  <si>
    <t>Servicio de impresión, fotocopiado y escaneo para el Ministerio de Cultura y Patrimonio  planta central-2023</t>
  </si>
  <si>
    <t>Servicio de mantenimiento preventivo y correctivo de impresoras y escaners para el Ministerio de Cultura y Patrimonio</t>
  </si>
  <si>
    <t>Servicio de impresión, fotocopiado y escaneo para el Ministerio de Cultura y Patrimonio  planta central-2024</t>
  </si>
  <si>
    <t>Servicio de mantenimiento preventivo para computadores portátiles del Ministerio de Cultura y Patrimonio</t>
  </si>
  <si>
    <t>Servicio de mantenimiento preventivo para computadores  de escritorio del Ministerio de Cultura y Patrimonio</t>
  </si>
  <si>
    <t xml:space="preserve">Caja chica Dirección de Tecnologias de la Información y Comunicación </t>
  </si>
  <si>
    <t>Adquisición de repuestos y accesorios para los equipos de computo del Ministerio de Cultura y Patrimonio.</t>
  </si>
  <si>
    <t xml:space="preserve">Renovación del Parque Tecnológico de equipos finales </t>
  </si>
  <si>
    <t>Renovación de la infraestructura de Red LAN y comunicaciones IP</t>
  </si>
  <si>
    <t>Implementación de Cableado estructurado</t>
  </si>
  <si>
    <t>Manteniiento del Cableado estructurado</t>
  </si>
  <si>
    <t>Contratación del servicio de uso de licencia del sistema tributario</t>
  </si>
  <si>
    <t xml:space="preserve">Contratación de servicios profesionales para la Dirección de Tecnologías de la Información y Comunicación </t>
  </si>
  <si>
    <t>Dirección de Planificación, Seguimiento y Evaluación</t>
  </si>
  <si>
    <t>Actividades culturales del Ministerio de Cultura y Patrimonio</t>
  </si>
  <si>
    <t>Coordinación General  de Asesoría Jurídica</t>
  </si>
  <si>
    <t>Pago de trámites notariales, procuración  judicial, legalización de documentos y arreglos extrajudiciales</t>
  </si>
  <si>
    <t>Servicios de consulta a bases de datos  jurídicos en línea</t>
  </si>
  <si>
    <t xml:space="preserve">Caja Chica Coordinación General de Asesoría Jurídica </t>
  </si>
  <si>
    <t>VIÁTICOS, ANTICIPO DE VIÁTICOS, SUBSISTENCIAS EN EL INTERIOR Y EXTERIOR,  REEMBOLSO DE GASTOS POR PASAJES AL INTERIOR, PEAJES Y COMBUSTIBLES PARA EL PERSONAL DE LA CGAJ</t>
  </si>
  <si>
    <t>Subsecretaría de Memoria Social</t>
  </si>
  <si>
    <t>Dirección de Política Pública de Memoria Social</t>
  </si>
  <si>
    <t>Transferencia biblioteca Aurelio Espinoza Pólit</t>
  </si>
  <si>
    <t>80</t>
  </si>
  <si>
    <t>002</t>
  </si>
  <si>
    <t>Membresía anual programas iberoamericanos Iberbibliotecas</t>
  </si>
  <si>
    <t>Consumidor Final</t>
  </si>
  <si>
    <t>Membresía anual programas iberoamericanos Ibermuseos</t>
  </si>
  <si>
    <t>Membresía anual programas iberoamericanos Iberarchivos</t>
  </si>
  <si>
    <t>INT0000000069</t>
  </si>
  <si>
    <t>ORGANIZACIÓN DE ESTADOS IBEROAMERICANOS</t>
  </si>
  <si>
    <t>Membresía anual programas iberoamericanos Ibermemoria</t>
  </si>
  <si>
    <t>Consultoría de servicio actuariales</t>
  </si>
  <si>
    <t xml:space="preserve">Consultoria para la creación del Museo de la Memoria para cumplimiento de la Sentencia Corte Constitucional Nro.27-20-AN/23 </t>
  </si>
  <si>
    <t xml:space="preserve">Viaticos </t>
  </si>
  <si>
    <t>Impresiones - estrategia comunicacional REMAB</t>
  </si>
  <si>
    <t>Dirección de Seguimiento y Evaluación de la Gestión de la Memoria Social</t>
  </si>
  <si>
    <t>Honorarios por Contratos Civiles de Servicios para el desarrollo del sistema de levantamiento de información de usuarios, visitantes e indicadores</t>
  </si>
  <si>
    <t>PC, Tablets  para registro de servicios y usuarios visitantes a los repositorios</t>
  </si>
  <si>
    <t>tiketera-para impresión de tiquetes por registro de servicios y usuarios visitantes a los repositorios</t>
  </si>
  <si>
    <t>Kioskos informàticas para registro de servicios y usuarios visitantes a los repositorios</t>
  </si>
  <si>
    <t>Subsecretaría de Emprendimiento, Arte e Innovación</t>
  </si>
  <si>
    <t xml:space="preserve">  Dirección de Artes y Gestión Cultural</t>
  </si>
  <si>
    <t>Producción y logística del fiavl  2024</t>
  </si>
  <si>
    <t>79</t>
  </si>
  <si>
    <t>Programa nacional camino a Loja 2024</t>
  </si>
  <si>
    <t>Dirección de Política Pública de Emprendimientos, Artes e Innovación</t>
  </si>
  <si>
    <t>Cumplimiento de agendas de igualdad</t>
  </si>
  <si>
    <t>Asistencia Técnica Banco Interamericano de Desarrollo para la elaboración del Plan Nacional de Política Pública</t>
  </si>
  <si>
    <t xml:space="preserve">Dirección de Segumiento y Evaluación de la gestión del Emprendimiento Arte e Innovación </t>
  </si>
  <si>
    <t>CONTRATACIÓN CIVIL DE SERVICIOS PROFESIONALES CON DENOMINACIÓN DE ESPECIALISTA EN SEGUIMIENTO Y EVALUACIÓN, CON GRADO OCUPACIONAL DE SERVIDOR PÚBLICO 7</t>
  </si>
  <si>
    <t>Viáticos, anticipo de viáticos y subsistencias para el personal de la Dirección de Seguimiento y Evaluación</t>
  </si>
  <si>
    <t xml:space="preserve">Dirección de Segumiento y Evaluación de la Gestión del Emprendimiento Arte e Innovación </t>
  </si>
  <si>
    <t>Pasajes al Interior para el personal de la Dirección de Seguimiento y Evaluación del Emprendimientos, Artes e Innovación</t>
  </si>
  <si>
    <t>Dirección de Fortalecimiento de Capacidades Culturales</t>
  </si>
  <si>
    <t>Pasajes al Interior para el personal de la Dirección de Fortalecimiento de Capacidades Culturales</t>
  </si>
  <si>
    <t>Membresía cerlalc</t>
  </si>
  <si>
    <t xml:space="preserve">	INT0000003795</t>
  </si>
  <si>
    <t>CERLALC - CENTRO REGIONAL PARA EL FOMENTO DEL LIBRO EN AMERICA LATINA Y EL CARIBE</t>
  </si>
  <si>
    <t xml:space="preserve">PRODUCCIÓN Y LOGÍSTICA DE CONCIERTOS DIDACTICOS PARA EL FORTALECIMIENTO DE CAPACIDADES CUTLURALES </t>
  </si>
  <si>
    <t>Contribución voluntaria UNESCO Fondo Internacional Diversidad Cultural - Convención 2005</t>
  </si>
  <si>
    <t>Participación del Ecuador en MICSUR Chile 2024</t>
  </si>
  <si>
    <t>Participación de Ecuador en la Plataforma Iberoamericana de la danza</t>
  </si>
  <si>
    <t>Viáticos, anticipo de viáticos y subsistencias para el personal de la Dirección de Política Pública de Emprendimientos, Artes e Innovación</t>
  </si>
  <si>
    <t>Viáticos, anticipo de viáticos y subsistencias para el personal de la Dirección de Fortalecimiento de Capacidades Culturales</t>
  </si>
  <si>
    <t>Pasajes al Interior para el personal de la Dirección de Política Pública de Emprendimientos, Artes e Innovación</t>
  </si>
  <si>
    <t>Subsecretaría de Patrimonio Cultural</t>
  </si>
  <si>
    <t>Dirección de Seguimiento y Evaluación de la Gestión de Patrimonio Cultural</t>
  </si>
  <si>
    <t>Repatriación de Bienes Culturales Patrimoniales</t>
  </si>
  <si>
    <t>Encuentro Binacional Ecuador- Perú al Tráfico Ilicio- Capitulo Ecuador</t>
  </si>
  <si>
    <t>Dirección de Política Pública de Patrimonio Cultural</t>
  </si>
  <si>
    <t>Material de divulgación sobre el Manual de Repatrición de Bienes y Objetos Patrimoniales</t>
  </si>
  <si>
    <t>Campaña de sensibilización sobre la protección y preservación el patrimonio cultural y colaboracion la lucha de tráficio ilícito de bienes culturales.</t>
  </si>
  <si>
    <t xml:space="preserve"> Día Internacional contra el Tráfico Ilícito de Bienes Culturales</t>
  </si>
  <si>
    <t>Servicios profesionales o técnicos especializados, sin relación de dependencia, para soporte en temas especializados (arquitectura, derecho con énfasis en patrimonio cultural, otros).</t>
  </si>
  <si>
    <t>Evento Día del Patrimonio Cultural. Organización y ejecución de evento para la difusión y activación del Patrimonio Cultural.</t>
  </si>
  <si>
    <t>Evento Día de los Pueblos y Nacionalidades. Organización y ejecución de portadores de saberes y conocimientos ancestrales de pueblos y nacionalidades bajo el tema propuesto para el 2023 o en su defecto el tema: "Patrimonio, lengua y territorio".</t>
  </si>
  <si>
    <t xml:space="preserve">Material de divulgación sobre gestión del patrimonio cultural. Cartilla de lineamientos de política pública de Lenguas indígenas para pueblos y nacionalidades y GADM. </t>
  </si>
  <si>
    <t>Servicios profesionales o técnicos especializados, sin relación de dependencia, para soporte en temas especializados (antropología, sociología, otros) para el desarrollo de planes, ejecución de diagnóstico, elaboración de metodologías en proyectos de patrimonio cultural, y/o fortalecimiento de 5 sitios de gestión comunitaria y/o GADMs de acuerdo a las necesidades de la dirección.</t>
  </si>
  <si>
    <t>Evento de fortalecimiento de conocimientos para GAD en estrategias para la gestión del patrimonio inmueble en marco de la transferencia de competencias. "Experienias exitosas de gestión del patrimonio cultural inmueble en Ecuador y América".</t>
  </si>
  <si>
    <t>Eventos de activación de los Raymis (Pawcar Raymi, Inti Raymi, Kulla Raymi,  Kapak Raymi).</t>
  </si>
  <si>
    <t>Dirección de Comunicación Social</t>
  </si>
  <si>
    <t>Implementación de la nueva línea gráfica institucional del Gobierno Nacional en la promoción de la cultura y patrimonio ecuatoriano material a través de material impreso y señalética.</t>
  </si>
  <si>
    <t xml:space="preserve">Mantenimiento y reparación de equipos para producción audiovisual </t>
  </si>
  <si>
    <t>Adquisición Equipos de producción audiovisual</t>
  </si>
  <si>
    <t>Viáticos, anticipo de viáticos y subsistencias para el personal de la Dirección de Comunicación Social</t>
  </si>
  <si>
    <t xml:space="preserve">Pago anual suscripción repositorio fotográfico en la plataforma Flickr </t>
  </si>
  <si>
    <t>Producción de  Albúm Cultural y Patrimonial. 10 mil ejemplares</t>
  </si>
  <si>
    <t>Dirección de Información del Sistema Nacional de Cultura</t>
  </si>
  <si>
    <t>PLURIANUAL 2022-2025</t>
  </si>
  <si>
    <t xml:space="preserve">Mantenimiento de computadoras
</t>
  </si>
  <si>
    <t>Mantenimiento de infraestructura de respaldos offline</t>
  </si>
  <si>
    <t>Viáticos, anticipo de viáticos, subsistencias en el interior y exterior,  reembolso de gastos por pasajes al interior, peajes y combustibles para el personal de la Dirección de Información SNC - FIALV 2024</t>
  </si>
  <si>
    <t>Viáticos, anticipo de viáticos, subsistencias en el interior,  reembolso de gastos por pasajes al interior, peajes y combustibles para el personal de la Dirección de Información SNC - Seguimiento registro de información en territorio GAD y CCE 2024</t>
  </si>
  <si>
    <t>Consultoría para el Diseño y desarrollo de estructuras para sistemas y subsistemas de información</t>
  </si>
  <si>
    <t>Dirección de Relaciones Internacionales y Cooperación Internacional</t>
  </si>
  <si>
    <t>XXII Reunión Iberoamericana Ministerial de Cultura</t>
  </si>
  <si>
    <t xml:space="preserve">Viáticos, anticipo de viáticos y subsistencias para el
personal de la Dirección de Relaciones
Internacionales </t>
  </si>
  <si>
    <t xml:space="preserve">Viáticos, anticipo de viáticos y subsistencias en el exterior para el
personal de la Dirección de Relaciones
Internacionales </t>
  </si>
  <si>
    <t>Coordinación General Administrativa Financiera</t>
  </si>
  <si>
    <t>Dirección de Administración de Talento Humano</t>
  </si>
  <si>
    <t>Remuneraciones</t>
  </si>
  <si>
    <t>1700</t>
  </si>
  <si>
    <t>Jubilación Patronal</t>
  </si>
  <si>
    <t>Contratación del servicio de transporte para servidores y trabajadores del Ministerio de Cultura y Patrimonio</t>
  </si>
  <si>
    <t>Contratación de centro de cuidado infantil para los hijos e hijas de servidores y trabajadores del Ministerio de Cultura y Patrimonio</t>
  </si>
  <si>
    <t>Adquisición de tarjetas, cordones y porta credenciales</t>
  </si>
  <si>
    <t>Adquisición de Ropa de Trabajo</t>
  </si>
  <si>
    <t>corriente</t>
  </si>
  <si>
    <t>Adquisición de Ropa de Trabajo 2023</t>
  </si>
  <si>
    <t>Adquisición de Equipo de protección personal para los servidores y trabajadores de Planta Central</t>
  </si>
  <si>
    <t xml:space="preserve">Adquisición de Chalecos para actividades de prevención </t>
  </si>
  <si>
    <t>Adquisición de carpetas para expedientes de personal</t>
  </si>
  <si>
    <t>Adquisición de Calzado de seguridad para el personal de mantenimiento de Planta Central</t>
  </si>
  <si>
    <t>Actualización Sistema Full Time</t>
  </si>
  <si>
    <t>A Pensiones Vitalicias</t>
  </si>
  <si>
    <t>Dirección Financiera</t>
  </si>
  <si>
    <t>PAGO A BENEFICIARIOS DE LAS PENSIONES VITALICIAS DEL PREMIO NACIONAL EUGENIO ESPEJO - EJERCICIO FISCAL 2024 A PERSONAS JURÍDICAS</t>
  </si>
  <si>
    <t>Archivo Histórico Nacional</t>
  </si>
  <si>
    <t>Remuneraciones del personal del Archivo Histórico Nacional y sus zonales</t>
  </si>
  <si>
    <t>0034</t>
  </si>
  <si>
    <t>Salario al personal bajo Código de Trabajo</t>
  </si>
  <si>
    <t>Beneficios laborales</t>
  </si>
  <si>
    <t>Beneficios laborales Código de Trabajo</t>
  </si>
  <si>
    <t>Asignación para la persona que subroga por ausencia legal del titular de un puesto del nivel jerárquico superior (Art. 126 LOSEP)</t>
  </si>
  <si>
    <t>Servicios Básicos, consumo de agua potable institucional y sus zonales en Tungurahua y Alausí</t>
  </si>
  <si>
    <t>Servicios Básicos, consumo de energía institucional y sus zonales en Tungurahua y Alausí</t>
  </si>
  <si>
    <t>Servicios Básicos, consumo de telefonía institucional y sus zonales en Tungurahua y Alausí</t>
  </si>
  <si>
    <t>Servicio de Correo</t>
  </si>
  <si>
    <t>Transporte de Personal</t>
  </si>
  <si>
    <t>Traslado de estanterias AHN Quito y sus zonales</t>
  </si>
  <si>
    <t xml:space="preserve">Almacenamiento, embalaje, desembalaje, envase, desenvase y recarga de extintores del Archivo Histórico Nacional - </t>
  </si>
  <si>
    <t>Edición, Impresión, Reproducción (Caja chica)</t>
  </si>
  <si>
    <t>Seguridad y vigilancia en el edificio donde funciona el Archivo Histórico Nacional (Guardias  de Enero a Junio)</t>
  </si>
  <si>
    <t>Seguridad y vigilancia en el edificio donde funciona el Archivo Histórico Nacional (Guardias de Julio a Diciembre)</t>
  </si>
  <si>
    <t>Seguridad y vigilancia en el edificio donde funciona el Archivo Histórico Nacional (Monitoreo)</t>
  </si>
  <si>
    <t>Servicios de Aseo-Lavado de vestimenta de trabajo-Fumigación-Desinfección Limpieza de Instalaciones manejo de desechos contaminados recuperación y clasificación de materiales reciclables (Enero-Junio)</t>
  </si>
  <si>
    <t>Servicios de Aseo-Lavado de vestimenta de trabajo-Fumigación-Desinfección Limpieza de Instalaciones manejo de desechos contaminados recuperación y clasificación de materiales reciclables (Julio-Diciembre)</t>
  </si>
  <si>
    <t>Pasajes para el personal del AHN que se traslada al exterior (eventos institucionales)</t>
  </si>
  <si>
    <t>Edificios, Locales, Residencias y Cableado Estructurado (Instalación, Mantenimiento y Reparaciones)</t>
  </si>
  <si>
    <t>Reparaciones menores de bienes muebles que utiliza el Archivo Histórico Nacional y sus zonales</t>
  </si>
  <si>
    <t>Arriendo de los locales donde funcionan las zonales del Archivo Histórico Nacional  (Tungurahua)</t>
  </si>
  <si>
    <t>Honorarios por Contratos Civiles de Servicios</t>
  </si>
  <si>
    <t>Capacitación al Personal del AHN para dar cumplimiento al Reglamento de Higienes y Seguridad en el trabajo solicitado por el MDT</t>
  </si>
  <si>
    <t>Capatic¡tadores Talleres de Procesos Técnicos y Servicios Archivisticos para la ciudadanía en general</t>
  </si>
  <si>
    <t>Mantenimiento y Reparación de Equipos y Sistemas Informáticos</t>
  </si>
  <si>
    <t xml:space="preserve">Edición, Impresión, Reproducción </t>
  </si>
  <si>
    <t>Adquisición de Biometricos de acceso a los repositorios del AHN Quito y adquisición de 1 lapto para tesorería</t>
  </si>
  <si>
    <t xml:space="preserve">Materiales e Difusión para Archivo Histórico Nacional ( Publicación cuadro de clasificación y material POP) </t>
  </si>
  <si>
    <t>Cuota de afiliación Asociación Latinoamericana de Archivos</t>
  </si>
  <si>
    <t>Viáticos para el personal que se traslada a las diferentes provincias que requieren asesoramiento técnico en archivos históricos</t>
  </si>
  <si>
    <t xml:space="preserve">Mantenimiento del sistema FM 200 instalado en los 4 repositorios del AHN, mantenimiento de extintores, copiadoras, circuito cerrado de televisión, sistema de alarma </t>
  </si>
  <si>
    <t>Actualización Pagina web del AHN</t>
  </si>
  <si>
    <t xml:space="preserve">Materiales de oficina (tóner de impresoras, copiadoras, papel, materiales de conservación, útiles de oficina) para el Archivo Histórico Nacional y sus zonales </t>
  </si>
  <si>
    <t>Impuesto predial del edificio del Archivo Histórico Nacional que se encuentra en comodato</t>
  </si>
  <si>
    <t xml:space="preserve">Prima de seguro contra incendios del edificio del Archivo Histórico Nacional que se encuentra en comodato </t>
  </si>
  <si>
    <t>Biblioteca Nacional Eugenio Espejo</t>
  </si>
  <si>
    <t>Remuneraciones unificadas</t>
  </si>
  <si>
    <t>0042</t>
  </si>
  <si>
    <t>Decimo tercer sueldo</t>
  </si>
  <si>
    <t>Decimo cuarto sueldo</t>
  </si>
  <si>
    <t>Servicios personales por contrato</t>
  </si>
  <si>
    <t>Aporte patronal</t>
  </si>
  <si>
    <t>Fondo de reserva</t>
  </si>
  <si>
    <t>Subrogación</t>
  </si>
  <si>
    <t>Servicio de energía eléctrica de la Biblioteca Nacional Eugenio Espejo</t>
  </si>
  <si>
    <t>Servicio de vigilancia y seguridad privada de las instalaciones de la Biblioteca Nacional Eugenio Espejo</t>
  </si>
  <si>
    <t>Servicio de limpieza de las instalaciones de la Biblioteca Nacional Eugenio Espejo</t>
  </si>
  <si>
    <t xml:space="preserve">Servicio de mantenimiento de los ascensores de las instalaciones asignadas para el funcionamiento de la Biblioteca Nacional Eugenio Espejo </t>
  </si>
  <si>
    <t>Servicio de rastreo del vehículo institucional perteneciente a la Biblioteca Nacional Eugenio Espejo</t>
  </si>
  <si>
    <t>Matriculación y revisión año 2024 del vehículo placas PEI-1619, asignado a la Biblioteca Nacional Eugenio Espejo</t>
  </si>
  <si>
    <t>Membresía anual para la Asociación de Estados Iberoamericanos para el desarrollo de las Bibliotecas Nacionales de Iberoamérica-ABINIA</t>
  </si>
  <si>
    <t xml:space="preserve">Liquidaciones de personal de ejercicios anteriores </t>
  </si>
  <si>
    <t>Servicio de impresión  copiado y digitalizacion para la Biblioteca Nacional Eugenio Espejo</t>
  </si>
  <si>
    <t>Vacaciones</t>
  </si>
  <si>
    <t>Programación de actividades culturales de la Biblioteca Nacional Eugenio Espejo</t>
  </si>
  <si>
    <t>Adquisición del Certificado SSL para la Biblioteca Nacional Eugenio Espejo</t>
  </si>
  <si>
    <t>Adquisición del sistema de control de asistencia para la Biblioteca Nacional Eugenio Espejo</t>
  </si>
  <si>
    <t>Repotenciación de equipos informáticos de la  Biblioteca Nacional Eugenio Espejo</t>
  </si>
  <si>
    <t>Servicio de mantenimiento preventivo y correctivo para el vehículo Chevrolet modelo LUV DMAX 3.5l asignado a la Biblioteca Nacional Eugenio Espejo</t>
  </si>
  <si>
    <t>Contratación de servicio de combustible para el vehículo Chevrolet modelo LUV DMAX 3.5l asignado a la Biblioteca Nacional Eugenio Espejo</t>
  </si>
  <si>
    <t>Contratación del servicio de mantenimiento preventivo y correctivo del sistema de detección de incendios para las instalaciones de la Biblioteca Nacional Eugenio Espejo</t>
  </si>
  <si>
    <t>Adquisición de mobiliario para exposiciones conservación de fondo antiguo de la Biblioteca Nacional Eugenio Espejo</t>
  </si>
  <si>
    <t>Adquisición de equipos de digitalización para el servicio virtual y preservación del Fondo Antiguo de la Biblioteca Nacional Eugenio Espejo</t>
  </si>
  <si>
    <t>Servicio de fumigación y desratización de las instalaciones de la Biblioteca Nacional Eugenio Espejo</t>
  </si>
  <si>
    <t>Servicio de correspondencia para la Biblioteca Nacional Eugenio Espejo</t>
  </si>
  <si>
    <t>Adquisicion de suministros de oficina para la Biblioteca Nacional Eugenio Espejo</t>
  </si>
  <si>
    <t xml:space="preserve"> Servicio de mudanza para el traslado de muebles y equipos tecnológicos de Biblioteca Nacional Eugenio Espejo</t>
  </si>
  <si>
    <t xml:space="preserve">Servicio de reforestación, talado, desalojo de material, retiro y puesta de adoquin, para la Biblioteca Nacional Eugenio Espejo
</t>
  </si>
  <si>
    <t>Servicio de mantenimiento de extintores de la Biblioteca Nacional Eugenio Espejo</t>
  </si>
  <si>
    <t xml:space="preserve">Servicio de mantenimiento preventivo y correctivo del sistema hidrosanitario del inmueble asignado a la Biblioteca Nacional Eugenio Espejo </t>
  </si>
  <si>
    <t>Servicio de mantenimiento de bombas, cisternas y generador eléctrico de Biblioteca Nacional Eugenio Espejo</t>
  </si>
  <si>
    <t>Apertura de Caja Chica</t>
  </si>
  <si>
    <t>Servicio de catalogación de material bibliográfico , hemerográfico y documental de la Biblioteca Nacional Eugenio Espejo</t>
  </si>
  <si>
    <t>Adquisición de equipos de conservación para la Biblioteca Nacional Eugenio Espejo</t>
  </si>
  <si>
    <t>Conservación curativa de 25 ejemplares del Fondo Jesuita de la Biblioteca Nacional Eugenio Espejo</t>
  </si>
  <si>
    <t>Adquisición de insumos de conservación para la Biblioteca Nacional Eugenio Espejo</t>
  </si>
  <si>
    <t>Diseño e implementación de Imágen institucional para la Biblioteca Nacional Eugenio Espejo</t>
  </si>
  <si>
    <t>Diseño e implementación de la página web institucional de la Biblioteca Nacional Eugenio Espejo</t>
  </si>
  <si>
    <t>Museo Antropológico y de Arte Contemporáneo</t>
  </si>
  <si>
    <t>REMUNERACIÓN</t>
  </si>
  <si>
    <t>0039</t>
  </si>
  <si>
    <t>Pago del consumo de energía eléctrica para todos los museos de la EOD y Archivo Histórico</t>
  </si>
  <si>
    <t xml:space="preserve">Pago de agua potable para las instalaciones que conforman el museo antropológico y de arte contemporánea </t>
  </si>
  <si>
    <t>Pago por el consumo de telefónico del museo antropológico  y espacios culturales de guayas y santa Elena</t>
  </si>
  <si>
    <t>Rastreo satelital para los vehículos institucionales de propiedad del museo Antropológico y de Arte Contemporáneo - MAAC</t>
  </si>
  <si>
    <t>Compra de combustible para los vehículos institucionales de propiedad del museo Antropológico y de arte Contemporáneo MAAC</t>
  </si>
  <si>
    <t>Reembolso de combustible para los señores conductores en cumplimiento de comisión de servicios del museo Antropológico y de Arte Contemporáneo- MAAC</t>
  </si>
  <si>
    <t>Contratación del servicio de pasajes aéreos nacionales para los funcionarios de esta cartera de Estado</t>
  </si>
  <si>
    <t>Para pago de reembolsos de gastos por concepto de movilizaciones y peajes en el cumplimiento de las comisiones de servicios de la eod-maac</t>
  </si>
  <si>
    <t>Viáticos y subsistencias en el interior para los funcionarios, servidores públicos y personal de código de trabajo en la ejecución de su actividades en el territorio</t>
  </si>
  <si>
    <t>Mantenimiento preventivo y correctivo para los vehículos institucionales de propiedad del Museo Antropológico y de Arte Contemporáneo MAAC</t>
  </si>
  <si>
    <t xml:space="preserve">Adquisición de materiales de oficina para el Museo Antropológico y de Arte Contemporáneo Maac y sus otros espacios </t>
  </si>
  <si>
    <t>ADQUISICIÒN DE TONERS  CATALOGADOS , PARA EL MUSEO ANTROPOLÒGICO Y ARTE  CONTEMPORÀNEO-MAAC Y SUS OTROS ESPACIOS</t>
  </si>
  <si>
    <t>ADQUISICIÒN DE TONERS, PARA EL MUSEO ANTROPOLÒGICO Y ARTE CONTEMPORÀNEO -MAAC Y SUS OTROS ESPACIOS</t>
  </si>
  <si>
    <t>Adquisición de llantas incluido enllantaje y servicio de alineación para el camión Chevrolet de placas pea-4210 de propiedad del Museo Antropológico y de Arte Contemporáneo MAAC</t>
  </si>
  <si>
    <t>Contratación del Servicio de Mantenimiento preventivo Fase 1 para la preservación del Sitio Arqueológico "Las Vegas" OGSE-80, Museo Amantes de Sumpa, Provincia de Santa Elena  para mitigar el impacto de los riesgos naturales</t>
  </si>
  <si>
    <t>Servicio de logística para la XVIII Mesa de Difuntos Vamos  Muertear</t>
  </si>
  <si>
    <t>Pago de tasa de Defensa Contra Incendios Museo Amantes de Sumpa</t>
  </si>
  <si>
    <t>Prestación del servicio de vigilancia y seguridad privada para las dependencias y edificios del Museo Antropológico y de Arte Contemporáneo del MCYP</t>
  </si>
  <si>
    <t>Contratación del servicio de limpieza para interiores y exteriores tipo III de la EOD-MAAC y sus sedes</t>
  </si>
  <si>
    <t>Servicio de pago tasa permiso de funcionamiento del Museo Presley Norton al benemérito cuerpo de bomberos de Guayaquil</t>
  </si>
  <si>
    <t>Servicio de fumigación especializada en el Museo Presley Norton</t>
  </si>
  <si>
    <t>Servicio de mantenimiento e impermeabilización de losa del museo Presley Norton</t>
  </si>
  <si>
    <t>Servicio de Mantenimiento correctivo y preventivo  de la impermeabilizacion  reserva de arte del MNI</t>
  </si>
  <si>
    <t>Pago tasa permiso de funcionamiento del Museo Nahim Isaías al BCBG</t>
  </si>
  <si>
    <t>Mantenimiento de Equipos Informaticos de la EOD-MAAC y sus Sedes</t>
  </si>
  <si>
    <t xml:space="preserve"> Actualización y mantenimiento de Sistemas Informáticos Especializados</t>
  </si>
  <si>
    <t>Contrato de Servicios Profesionales para la creación, estructuración e implementación del Plan Museológico Básico de la EOD-MAAC</t>
  </si>
  <si>
    <t>Contratación de servicios profesionales para la Unidad de Gestión de Comunicación Social/Elaboración de productos de diseño gráfico y comunicación visual para la EOD-MAAC y sedes</t>
  </si>
  <si>
    <t>Suscripciones de diarios y revista Vistazo</t>
  </si>
  <si>
    <t>Contratación del servicio de restauración del fondo fotográfico que incluye el encapsulado de negativos en placas de vidrio del Fondo Fotográfico Histórico del Archivo Histórico del Guayas</t>
  </si>
  <si>
    <t>Servicio de pago tasa permiso de funcionamiento del MAAC al Benemérito Cuerpo de Bomberos de Guayaquil</t>
  </si>
  <si>
    <t>Pago de predios urbanos del Museo Amantes de Sumpa por el año 2023</t>
  </si>
  <si>
    <t>Pago de impuestos mejoras y contribuciones prediales de los inmuebles museo Nahín Isaías, museo Presley Norton y archivo histórico del Guayas 2022</t>
  </si>
  <si>
    <t xml:space="preserve">Pago de tasa de recolección de basura maac, museo Nahín Isaías, museo Presley Norton y archivo histórico del Guayas </t>
  </si>
  <si>
    <t>El proceso de matriculación para los vehículos institucionales de propiedad del Ministerio de Cultura y Patrimonio al museo antropológico y de arte contemporáneo maac</t>
  </si>
  <si>
    <t>Servicio de pago para la tasa de permiso de funcionamiento del Archivo Histórico del Guayas  al Benemérito Cuerpo de Bomberos de Guayaquil</t>
  </si>
  <si>
    <t>Matriculaciòn para los vehículos Institucionales de propiedad del Museo Antropológico y de Arte Contemporáneo - MAAC</t>
  </si>
  <si>
    <t>Revisión técnica de los vehículos Institucionales de Propiedad del Museo Antropológico y de Arte Contemporáneo MAAC</t>
  </si>
  <si>
    <t xml:space="preserve">Reembolso de gastos para la creación de usuario sistema Esigef </t>
  </si>
  <si>
    <t>Pago por mora IESS</t>
  </si>
  <si>
    <t>Servicio de mantenimiento preventivo y correctivo del sistema contra incendio de la EOD-MAAC</t>
  </si>
  <si>
    <t>Pago de alícuotas a Fundación Malecón 2.000</t>
  </si>
  <si>
    <t xml:space="preserve">Servicio de mantenimiento del sistema hidrosanitario de la  EOD MAAC  y sus Sedes </t>
  </si>
  <si>
    <t xml:space="preserve">Servicio de mantenimiento de puertas de la   EOD MAAC  y sus Sedes </t>
  </si>
  <si>
    <t xml:space="preserve">Servicio de mantenimiento tumbados de la EOD MAAC  y sus Sedes </t>
  </si>
  <si>
    <t xml:space="preserve">Servicio de mantenimiento sistema de eléctrico de la EOD MAAC  y sus Sedes </t>
  </si>
  <si>
    <t>Servicio de mantenimiento correctivo de las cisternas y bombas de agua potable de la EOD MAAC</t>
  </si>
  <si>
    <t>Servicio de mantenimiento de los ascensores de la EOD MAAC</t>
  </si>
  <si>
    <t>Servicio de mantenimiento chiller 2</t>
  </si>
  <si>
    <t>Servicio de mantenimiento preventivo y correctivo de las centrales de aire acondicionado piso techo y splits de la EOD MAAC y sus sedes</t>
  </si>
  <si>
    <t xml:space="preserve">Servicio de mantenimiento sistema de transferencia de la EOD MAAC  y sus Sedes </t>
  </si>
  <si>
    <t xml:space="preserve">Servicio de mantenimiento sistema transformadores de corriente de la EOD MAAC  y sus Sedes </t>
  </si>
  <si>
    <t xml:space="preserve">Servicio de mantenimiento sistema generadores eléctricos de la EOD MAAC  y sus Sedes </t>
  </si>
  <si>
    <t xml:space="preserve">Servicio de mantenimiento y reparación de mobiliaro   EOD MAAC  y sus Sedes </t>
  </si>
  <si>
    <t xml:space="preserve">Contratación del servicio de mantenimiento del CCTV de la EOD - MAAC </t>
  </si>
  <si>
    <t>Servicio de Recarga de Extintores Portàtiles para
la EOD-MAAC y sus Sedes</t>
  </si>
  <si>
    <t>Adquisición de materiales para el mantenimiento y montaje de las salas de exposiciones de la EOD MAAC</t>
  </si>
  <si>
    <t>Servicio de impresión de textos y materiales gráficos para exposiciones de la EOD-MAAC</t>
  </si>
  <si>
    <t>Museo Nacional del Ecuador</t>
  </si>
  <si>
    <t xml:space="preserve">Remuneraciones Unificadas </t>
  </si>
  <si>
    <t>0038</t>
  </si>
  <si>
    <t>Remuneraciones Unificadas</t>
  </si>
  <si>
    <t>0037</t>
  </si>
  <si>
    <t>Salarios Unificados</t>
  </si>
  <si>
    <t>Decimo Tercer Sueldo</t>
  </si>
  <si>
    <t>Decimo Cuarto Sueldo</t>
  </si>
  <si>
    <t>COMPENSACION POR TRANSPORTE</t>
  </si>
  <si>
    <t>Compensación por Transporte</t>
  </si>
  <si>
    <t>ALIMENTACION</t>
  </si>
  <si>
    <t>Alimentación</t>
  </si>
  <si>
    <t>POR CARGAS FAMILIARES</t>
  </si>
  <si>
    <t>SUBSIDIO DE ANTIGÜEDAD</t>
  </si>
  <si>
    <t>Subsidio de Antigüedad</t>
  </si>
  <si>
    <t>Servicios Personales por Contrato</t>
  </si>
  <si>
    <t>Aporte Patronal</t>
  </si>
  <si>
    <t>Fondo de Reserva</t>
  </si>
  <si>
    <t xml:space="preserve">COMPENSACION POR VACACIONES NO GOZADAS POR
CESACION DE FUNCIONES
</t>
  </si>
  <si>
    <t>AGUA POTABLE</t>
  </si>
  <si>
    <t xml:space="preserve">ENERGIA ELECTRICA </t>
  </si>
  <si>
    <t>Pago consumo mensual energía eléctrica Museo Nacional del Ecuador</t>
  </si>
  <si>
    <t xml:space="preserve">TELECOMUNICACIONES </t>
  </si>
  <si>
    <t>SERVICIO DE MANTENIMIENTO CORRECTIVO Y PREVENTIVO DE EXTINTORES , MANGUERAS DE EMERGENCIA  Y DEMAS ACCESORIOS  PARA EL MUNA Y SUS SEDES</t>
  </si>
  <si>
    <t>Contratación del servicio de vigilancia y seguridad privada para el museo nacional del ecuador y sus dependencias</t>
  </si>
  <si>
    <t>Contratación del servicio de limpieza para museo nacional del ecuador y sus sedes</t>
  </si>
  <si>
    <t>Contratación del Servicio de abastecimiento de combustible  para el vehiculo del Museo Nacional del Ecuador</t>
  </si>
  <si>
    <t xml:space="preserve">CONTRATACIÓN DEL SERVICIO DE AGENCIA DE VIAJES PARA LA PROVISIÓN DE PASAJES AÉREOS PARA PERSONAL DE MUNA Y SUS SEDES </t>
  </si>
  <si>
    <t xml:space="preserve">VIATICOS Y SUSBSISTENCIAS EN EL INTERIOS PARA EL PERSONAL DEL MUNA Y SUS SEDES </t>
  </si>
  <si>
    <t>"MANTENIMIENTO PREVENTIVO   ASCENSOR Y PLATAFORMA PARA PERSONAS CON DISCAPACIDAD  DEL MUSEO NACIONAL DEL ECUADOR"</t>
  </si>
  <si>
    <t>-</t>
  </si>
  <si>
    <t>Contratación del servicio de mantenimiento preventivo y correctivo del vehículo institucional del muna</t>
  </si>
  <si>
    <t xml:space="preserve">INVESTIGACION CURADURIA Y MONTAJE DE DOS EXPOSICIONES TEMPORALES  PARA EL MUSEO NACIONAL DEL ECUADOR </t>
  </si>
  <si>
    <t>CONTRATACIÓN CIVIL DE PERSONAL POR SERVICIOS PROFESIONALES, SIN RELACIÓN DE DEPENDENCIA, PARA EL MUNA Y SUS SEDES</t>
  </si>
  <si>
    <t xml:space="preserve">SUSCRIPCIÓN ANUAL DE UNA (1) LICENCIA FIEL WEB PLUS+ UTILIZADA POR LA UNIDAD DE GESTIÓN DE ASESORÍA INSTITUCIONAL”
</t>
  </si>
  <si>
    <t>Servicio de arrendamiento integral de impresión, copiado y escáneo para la EOD Museo Nacional del Ecuador</t>
  </si>
  <si>
    <t>ADQUISICION DE MATERIALES Y HERRAMIENTAS DE FERRETERIA ´PARA EL MUNA Y SUS SEDES</t>
  </si>
  <si>
    <t>Adquisición de pinturas para la Unidad De Investigación, Museología Y Museografía del Museo Nacional Del Ecuador</t>
  </si>
  <si>
    <t xml:space="preserve">ADQUISICIÓN DE MATERIALES  DE CONSERVACION Y RESTAURACION PARA EL MUSEO NACIONAL DEL ECUADOR </t>
  </si>
  <si>
    <t>ADQUISICION MOBILIARIO MUSEOGRAFICO PARA EL MUSEO NACIONAL DE ECUADOR</t>
  </si>
  <si>
    <t>Fondo de reposición caja Chica</t>
  </si>
  <si>
    <t>IMPUESTO PREDIAL</t>
  </si>
  <si>
    <t>Pago revisión y matriculación vehicular  del  vehículo del Museo Nacional del Ecuador</t>
  </si>
  <si>
    <t>Obligaciones de Ejercicios Anteriores por Egresos de Personal</t>
  </si>
  <si>
    <t xml:space="preserve">Adquisición de materiales y suministros de oficina para el museo nacional del ecuador y sus sedes </t>
  </si>
  <si>
    <t xml:space="preserve">MANTENIMIENTO PREVENTIVO PROYECTORES DEL MUSEO NACIONAL DEL ECUADOR </t>
  </si>
  <si>
    <t>SERVICIO DE FUMIGACION ESPECIALIZADO DE  DEPOSITO BIBLIOGRAFICO</t>
  </si>
  <si>
    <t xml:space="preserve">SERVICIO DE RESTAURACION Y MONTAJE  DE BIENES CULTURALES DEL MUSEO NACIONAL DEL ECUADOR </t>
  </si>
  <si>
    <t>“ADQUISICIÓN DE MATERIAL DIDÁCTICO – EDUCATIVO PARA LA UNIDAD DE SERVICIOS CULTURALES DEL MUSEO NACIONAL DEL ECUADOR.”</t>
  </si>
  <si>
    <t>INVESTIGACION CURADURIA Y MONTAJE DE DOS EXPOSICIONES PARA EL MUSEO CC IBARRA</t>
  </si>
  <si>
    <t xml:space="preserve">INVESTIGACION CURADURIA  Y MONTAJE DE DOS EXPOSICIONES PARA EL MUSEO CC ESMERALDAS </t>
  </si>
  <si>
    <t>INVESTIGACION CURADURIA Y MONTAJE DE DOS EXPOSICIONES PARA EL MUSEO CAMILO EGAS</t>
  </si>
  <si>
    <t>INVESTIGACION Y CURADURIA  SALA DE METALES DEL MUSEO NACIONAL DEL ECUADOR</t>
  </si>
  <si>
    <t>ELABORACION DE MESA DE TRABAJO, 2  COCHES Y 1 CAJA DE HERRAMIENTAS PARA  USO MOSEOGRAFICO</t>
  </si>
  <si>
    <t>CONTRATACIÓN DEL SERVICIO DE IMPRESIONES PARA EL MUSEO NACIONAL Y SUS SEDES</t>
  </si>
  <si>
    <t xml:space="preserve">CONSULTORIA PARA ESTUDIO ELECTRICO DE LAS INSTALACIONES  DEL  CENTRO CULTURAL, MUSEO Y BIBLIOTECA MARISCAL SUCRE </t>
  </si>
  <si>
    <t xml:space="preserve">CONSULTORIA PARA INVENTARIO Y FICHAS SIPCE  DE BIENES  CULTURALES Y PATRIMONIALES DE LA RESERVA DE ARTE MODERNO Y COLONIAL </t>
  </si>
  <si>
    <t xml:space="preserve">CONTRATACIÓN DEL SERVICIO ORGANIZACIÓN , EJECUCION Y DESARROLLO DE  SEMINARIO RELACIONADO A LA GESTION DE LOS MUSEOS 
</t>
  </si>
  <si>
    <t>SERVICIO DE INSTALACIÓN Y MANTENIMIENTO DE SISTEMA CONTRA INCENDIOS PARA EL MUSEO NACIONAL DEL ECUADOR (Servicio)</t>
  </si>
  <si>
    <t>ADQUISICIÓN DE BOTIQUÍN DE PRIMEROS AUXILIOS PARA EL MUSEO NACIONAL DEL ECUADOR Y SUS SEDES.</t>
  </si>
  <si>
    <t>Teatro Benjamín Carrión Mora de Loja - TBCML</t>
  </si>
  <si>
    <t>Remuneración</t>
  </si>
  <si>
    <t>0036</t>
  </si>
  <si>
    <t>Salarios</t>
  </si>
  <si>
    <t>Compensación</t>
  </si>
  <si>
    <t>Subsidio Antigüedad</t>
  </si>
  <si>
    <t>Cargas familiares</t>
  </si>
  <si>
    <t>Horas Extras</t>
  </si>
  <si>
    <t>Encargo</t>
  </si>
  <si>
    <t>Agua Potable</t>
  </si>
  <si>
    <t>Energía Eléctrica</t>
  </si>
  <si>
    <t>Servicio de Seguridad y Vigilancia</t>
  </si>
  <si>
    <t>Servicios de Aseo, Lavado de Vestimenta de Trabajo, Fumigación, Desinfección, Limpieza de Instalaciones, manejo de desechos contaminados, recuperación y clasificación de materiales reciclables.</t>
  </si>
  <si>
    <t>Viáticos y subsistencias en el interior</t>
  </si>
  <si>
    <t>Vestuario, Lencería, Prendas de Protección, Insumos y Accesorios para uniformes del personal de Protección, Vigilancia y Seguridad.</t>
  </si>
  <si>
    <t>Combustibles</t>
  </si>
  <si>
    <t>Almacenamiento, Embalaje, Desembalaje, Envase, Desenvase y Recarga de Extintores</t>
  </si>
  <si>
    <t>Edificios, Locales, Residencias y Cableado Estructurado (Instalación, Mantenimiento y Reparación)</t>
  </si>
  <si>
    <t>Tasas Generales Impuestos Contribuciones - Permisos - Licencias y Patentes.
(Predio TBCML - Matrícula Vehículos PEN0195 / PEI1677 - Permiso anual bomberos TBCML)</t>
  </si>
  <si>
    <t>Maquinarias y Equipos (Instalación, Mantenimiento y Reparación)</t>
  </si>
  <si>
    <t>Evento de Cultura</t>
  </si>
  <si>
    <t>Corporación Ciudad Alfaro</t>
  </si>
  <si>
    <t>0035</t>
  </si>
  <si>
    <t>Décimo Tercer Sueldo</t>
  </si>
  <si>
    <t>Décimo Cuarto Sueldo</t>
  </si>
  <si>
    <t>Por Cargas Familiares</t>
  </si>
  <si>
    <t xml:space="preserve">Aporte Patronal </t>
  </si>
  <si>
    <t>Compensación por Vacaciones no Gozadas por Cesación de Funciones</t>
  </si>
  <si>
    <t>Pago de servicio de telefonía fija de la Sede Museo y Centro Cultural de Manta</t>
  </si>
  <si>
    <t>Pago del servicio de telefonía fija de la Sede Museo Bahía de Caráquez</t>
  </si>
  <si>
    <t>Pago del servicio de telefonía fija de la Sede Museo Portoviejo y Archivo Histórico</t>
  </si>
  <si>
    <t>Pago del servicio de telefonía fija  de las Sedes Museo y Centro Cultural de Manta, Museo Portoviejo y Archivo Histórico, y Museo Bahía de Caráquez de los años 2022 y 2023 cuya razón social se encuentra a nombre del Ministerio de Cultura y Patrimonio</t>
  </si>
  <si>
    <t>Pago del servicio de telefonía fija e internet de los meses de Noviembre y Diciembre del 2024 de la Corporación Ciudad Alfaro</t>
  </si>
  <si>
    <t>Pago del servicio de telefonía fija e internet de la Corporación Ciudad Alfaro</t>
  </si>
  <si>
    <t>Pago de expensas comunales de las instalaciones del Museo Portoviejo y Archivo Histórico</t>
  </si>
  <si>
    <t>Pago de expensas comunales del mes de Diciembre del 2023 de las instalaciones del Museo Portoviejo y Archivo Histórico</t>
  </si>
  <si>
    <t>Pago del servicio de aseo y limpieza del Museo Centro Cultural Manta por el período 2023-2024</t>
  </si>
  <si>
    <t>Pago del Servicio de aseo y Limpieza del Museo Bahía de Caráquez por el período 2023-2024</t>
  </si>
  <si>
    <t>Pago del Servicio de aseo y Limpieza de la Corporación Ciudad Alfaro</t>
  </si>
  <si>
    <t>Pago del servicio de seguridad y vigilancia de la Corporación Alfaro y sus Sedes</t>
  </si>
  <si>
    <t>Contratación del servicio de agua potable por tanquero para la Corporación Ciudad Alfaro y sus Sedes</t>
  </si>
  <si>
    <t>Pago del servicio de agua potable de los meses de Octubre, Noviembre y Diciembre del 2023 de la Corporación Ciudad Alfaro</t>
  </si>
  <si>
    <t>Pago del servicio de agua potable de la Corporación Ciudad Alfaro</t>
  </si>
  <si>
    <t>Pago del servicio de energía eléctrica de los meses de Noviembre y Diciembre del 2023 de la Corporación Ciudad Alfaro</t>
  </si>
  <si>
    <t>Pago del servicio de energía eléctrica de la Corporación Ciudad Alfaro</t>
  </si>
  <si>
    <t>Pago del servicio de energía eléctrica del Museo Portoviejo y Archivo Histórico</t>
  </si>
  <si>
    <t>Pago del servicio de energía eléctrica de los meses de Noviembre y Diciembre del 2023 del Museo Portoviejo y Archivo Histórico</t>
  </si>
  <si>
    <t>Pago Mensual del servicio de Alcantarillado de los meses de Noviembre y Diciembre del 2023 del Museo Bahía de Caráquez</t>
  </si>
  <si>
    <t>Pago Mensual del servicio de Alcantarillado Bahía de Caráquez</t>
  </si>
  <si>
    <t>Pago Mensual del Servicio de Agua Potable de los meses de Noviembre y Diciembre del 2023 del Museo Bahía de Caráquez</t>
  </si>
  <si>
    <t>Pago Mensual del servicio de Agua Potable del Museo Bahía de Caráquez</t>
  </si>
  <si>
    <t>Pago Mensual del servicio de Energía Eléctrica de los meses de Noviembre y Diciembre del 2023 del Museo Bahía de Caráquez</t>
  </si>
  <si>
    <t>Pago Mensual del servicio de Energía Eléctrica del Museo Bahía de Caráquez</t>
  </si>
  <si>
    <t>Pago Mensual del servicio de Agua Potable del mes de Diciembre del 2023 del Museo Centro Cultural de Manta</t>
  </si>
  <si>
    <t>Pago Mensual del servicio de Agua Potable del Museo Centro Cultural de Manta</t>
  </si>
  <si>
    <t>Pago mensual del servicio de energía eléctrica de los meses de Noviembre y Diciembre del 2023 del Museo y Centro Cultural de Manta</t>
  </si>
  <si>
    <t>Pago mensual del servicio de energía eléctrica del Museo y Centro Cultural de Manta</t>
  </si>
  <si>
    <t>Reintegro de gastos por peajes para los Servidores y Trabajadores de la Corporación Ciudad Alfaro y sus Sedes en comisión de servicios institucionales</t>
  </si>
  <si>
    <t>Contratación del servicio de rastreo satelital para los vehículos de la Corporación Ciudad Alfaro</t>
  </si>
  <si>
    <t xml:space="preserve">Reintegro de gastos por trámite de tasas de contribución especial en la matriculación vehicular por rodaje cantonal </t>
  </si>
  <si>
    <t>Pago de contribución especial por mejoramiento vial rural de los vehículos de la Corporación Ciudad Alfaro</t>
  </si>
  <si>
    <t>Pago de matriculación 2024 de los vehículos de la Corporación Ciudad Alfaro y sus sedes</t>
  </si>
  <si>
    <t>Pago de tasas y contribuciones a los predios urbanos y cuerpo de bomberos del Museo Bahía de Caráquez</t>
  </si>
  <si>
    <t>Pago de tasas y contribuciones a los predios urbanos y cuerpo de bomberos de la Corporación Ciudad Alfaro</t>
  </si>
  <si>
    <t>Pago de tasas y contribuciones a los predios urbanos y cuerpo de bomberos del Museo Portoviejo y Archivo Histórico</t>
  </si>
  <si>
    <t xml:space="preserve">Pago de impuesto predial 2023 del Museo Centro Cultural Manta </t>
  </si>
  <si>
    <t>Contratación del servicio de combustible para  los vehículos de la Corporación Ciudad Alfaro</t>
  </si>
  <si>
    <t>Actualización y mantenimiento de sistemas informáticos</t>
  </si>
  <si>
    <t>Contratación del servicio de consultas legales en base de datos jurídicas en línea a través de la plataforma Sistema Web de
información jurídica</t>
  </si>
  <si>
    <t>Renovación de dominio web y web hosting para www.ciudadalfaro.gob.ec</t>
  </si>
  <si>
    <t>Instalación del sistema contra incendios para el Museo Bahía de Caráquez</t>
  </si>
  <si>
    <t>Pago de peaje para los vehículos de la Corporación Ciudad Alfaro</t>
  </si>
  <si>
    <t>Recarga de extintores contra incendios de la Corporación Ciudad Alfaro y sus Sedes</t>
  </si>
  <si>
    <t>Reintegro Por Renovación de Certificado digital</t>
  </si>
  <si>
    <t>Adquisición de biométricos para La Corporación Centro Cívico Ciudad Alfaro Montecristi y sus sedes en Manta, Portoviejo y Bahía.</t>
  </si>
  <si>
    <t>Adquisición de Equipos Informaticos para la Corporación Ciudad Alfaro y sus sedes</t>
  </si>
  <si>
    <t xml:space="preserve">Adquisición de equipos de audios y videos para la corporación Ciudad Alfaro y sus sedes </t>
  </si>
  <si>
    <t>Adquisicíon de sistema de camara de seguridad de video vigilancia para la corporación ciudad alfaro y sus sedes</t>
  </si>
  <si>
    <t>Mantenimiento, Reparación preventivo y correctivo de los vehículos de la corporación ciudad alfaro</t>
  </si>
  <si>
    <t>                         -  </t>
  </si>
  <si>
    <t>                             -  </t>
  </si>
  <si>
    <t>                                -  </t>
  </si>
  <si>
    <t>                           -  </t>
  </si>
  <si>
    <t>                      -  </t>
  </si>
  <si>
    <t>                     -  </t>
  </si>
  <si>
    <t>                            -  </t>
  </si>
  <si>
    <t>                          -  </t>
  </si>
  <si>
    <t>                                 -  </t>
  </si>
  <si>
    <t>Adquisición  de suministros y materiales de oficina para la corporación ciudad alfaro y sus sedes</t>
  </si>
  <si>
    <t>Adquisición de tonners y tintas para las impresoras de la corporación ciudad alfaro y sus sedes</t>
  </si>
  <si>
    <t>Mantenimiento preventivo y correctivo de las cerchas metálicas, ventanas, puertas y mampostería de la corporación ciudad alfaro</t>
  </si>
  <si>
    <t>Mantenimiento y reparación de las puertas enrollables de la corporación ciudad alfaro y sus sedes</t>
  </si>
  <si>
    <t>Construcción de cubierta en la sede del Museo Bahía de Caráquez</t>
  </si>
  <si>
    <t>Pago del servicio de correo de la Corporación Ciudad Alfaro y sus sedes</t>
  </si>
  <si>
    <t>Pago de pasajes en el interior para el personal de la Corporación Ciudad Alfaro y sus sedes</t>
  </si>
  <si>
    <t>Pago de viáticos para el personal de la Corporación Ciudad Alfaro y sus sedes</t>
  </si>
  <si>
    <t>Reembolso de pasajes aereos  para el personal de la Corporación Ciudad Alfaro y sus sedes</t>
  </si>
  <si>
    <t xml:space="preserve">Adquisición de materiales y suministros de conservación y restauración para la Corporación Ciudad Alfaro y sus sedes </t>
  </si>
  <si>
    <t>Lavado de Menaje</t>
  </si>
  <si>
    <t>Renovación, adecuación, reparación del museo rodante y los bienes museográficos culturales e implementacion de mobiliarios.</t>
  </si>
  <si>
    <t>Eventos enmarcados en el rescate y la recuperación de los saberes ancestrales, difusión y fortalecimiento de la memoria social y cultural de la Corporación Ciudad Alfaro y sus sedes en Portoviejo, Manta y Bahía de Caráquez</t>
  </si>
  <si>
    <t xml:space="preserve">Mantenimiento y reparación de bombas sumergibles y bombas de agua potable en el Museo Centro Cultural Manta, sede de la Corporación Ciudad Alfaro </t>
  </si>
  <si>
    <t xml:space="preserve">Mantenimiento y reparación de bombas sumergibles y bombas de agua potable en el Museo Bahía de Caráquez, sede de la Corporación Ciudad Alfaro </t>
  </si>
  <si>
    <t>Mantenimiento y Reparación de Ascensores del Museo Centro Cultural Manta</t>
  </si>
  <si>
    <t>Mantenimiento y Reparación de Ascensores del Museo Bahía de Caráquez</t>
  </si>
  <si>
    <t>Servicio de impresión de banners, hacking publicitario y Tripticos para tener presencia institucional en las actividades de los repositorios de la memoria de la Corporación Ciudad Alfaro y sus sedes</t>
  </si>
  <si>
    <t>Mantenimiento preventivo y correctivo de torres manteñas y astas de banderas pertenecientes a la Corporación Ciudad Alfaro</t>
  </si>
  <si>
    <t>Dirección Administrativa</t>
  </si>
  <si>
    <t>PLURIANUAL</t>
  </si>
  <si>
    <t>CONTRATACIÓN DEL SERVICIO DE SEGURIDAD Y VIGILANCIA PRIVADA DE LAS INSTALACIONES DEL MINISTERIO DE CULTURA Y PATRIMONIO, PLANTA CENTRAL (PERIODO 2023-2024)</t>
  </si>
  <si>
    <t>CONTRATACIÓN DE SERVICIO DE LIMPIEZA PARA LAS DEPENDENCIAS DEL MINISTERIO DE CULTURA Y PATRIMONIO 2023 - 2024</t>
  </si>
  <si>
    <t>CONTRATACIÓN DEL SERVICIO DE SEGURIDAD Y VIGILANCIA PRIVADA DE LAS INSTALACIONES DEL MINISTERIO DE CULTURA Y PATRIMONIO, PLANTA CENTRAL (PERIODO 2024-2025)</t>
  </si>
  <si>
    <t>CONTRATACIÓN DE SERVICIO DE LIMPIEZA PARA LAS DEPENDENCIAS DEL MINISTERIO DE CULTURA Y PATRIMONIO 2024 - 2025</t>
  </si>
  <si>
    <t>ADQUISICIÓN DE PASAJES AÉREOS NACIONALES E INTERNACIONALES CON AGENCIA DE VIAJES PARA EL MINISTERIO DE CULTURA Y PATRIMONIO</t>
  </si>
  <si>
    <t>MANTENIMIENTO PREVENTIVO Y CORRECTIVO PARA LOS VEHÍCULOS INSTITUCIONALES DE LA
MARCA TOYOTA DEL MINISTERIO DE CULTURA Y PATRIMONIO</t>
  </si>
  <si>
    <t>SERVICIO DE RASTREO SATELITAL PARA LOS VEHÍCULOS DEL MINISTERIO DE CULTURA Y PATRIMONIO A CARGO DE PLANTA CENTRAL 2024</t>
  </si>
  <si>
    <t xml:space="preserve">MANTENIMIENTO PREVENTIVO Y CORRECTIVO DE LOS VEHICULOS DE USO Y PROPIEDAD DEL MINISTERIO DE CULTURA Y PATRIMONIO    </t>
  </si>
  <si>
    <t xml:space="preserve">MANTENIMIENTO PREVENTIVO Y CORRECTIVO DE LOS VEHICULOS DE USO Y PROPIEDAD DEL MINISTERIO DE CULTURA Y PATRIMONIO   2024-2025 </t>
  </si>
  <si>
    <t>SERVICIO DE RASTREO SATELITAL PARA LOS VEHÍCULOS DEL MINISTERIO DE CULTURA Y PATRIMONIO A CARGO DE PLANTA CENTRAL 2023 sep, oct, nov y dic.</t>
  </si>
  <si>
    <t xml:space="preserve">ADQUISICIÓN DE SUMINISTROS DE OFICINA PARA EL MINISTERIO DE CULTURA Y PATRIMONIO Y LAS DEPENDENCIAS BAJO RESPONSABILIDAD DE PLANTA CENTRAL  </t>
  </si>
  <si>
    <t xml:space="preserve">ADQUISICIÓN DE MATERIALES E INSUMOS, PARA EFECTUAR LOS MANTENIMIENTOS PREVENTIVOS DEL MOBILIARIO, PARA EL MINISTERIO DE CULTURA Y PATRIMONIO Y LAS DEPENDENCIAS BAJO LA RESPONSABILIDAD DE PLANTA CENTRAL
</t>
  </si>
  <si>
    <t>SERVICIO DE ABASTECIMIENTO DE COMBUSTIBLE PARA LOS VEHÍCULOS DE USO Y PROPIEDAD DEL MINISTERIO DE CULTURA Y PATRIMONIO</t>
  </si>
  <si>
    <t>ADQUISICIÓN DE NEUMÁTICOS PARA LOS VEHÍCULOS DE USO Y PROPIEDAD DEL MINISTERIO DE CULTURA Y PATRIMONIO</t>
  </si>
  <si>
    <t>REENCAUCHE  DE LOS NEUMÁTICOS PARA LOS VEHÍCULOS DE USO Y PROPIEDAD DEL MINISTERIO DE CULTURA Y PATRIMONIO</t>
  </si>
  <si>
    <t>PAGO DE REVISIÓN VEHICULAR, MATRICULACIÓN, FONDO VIAL, Y OTROS TRÁMITES  PARA LEGALIZACIÓN DE LOS VEHÍCULOS DE USO Y PROPIEDAD DEL MINISTERIO DE CULTURA Y PATRIMONIO</t>
  </si>
  <si>
    <t>CAJA CHICA TRANSPORTE</t>
  </si>
  <si>
    <t>PAGO POR SERVICIO DE PEAJE PARA LOS VEHÍCULOS DE PROPIEDAD Y USO DEL MINISTERIO DE CULTURA Y PATRIMONIO</t>
  </si>
  <si>
    <t xml:space="preserve">INSUMOS Y HERRAMIENTAS BÁSICAS PARA LOS VEHICULOS DE USO Y PROPIEDAD DEL MINISTERIO DE CULTURA Y PATRIMONIO    </t>
  </si>
  <si>
    <t>PAGO MENSUAL DEL SERVICIO TELEFONÍA DEL MINISTERIO DE CULTURA Y PATRIMONIO</t>
  </si>
  <si>
    <t>PAGO MENSUAL DEL SERVICIO DE ENERGÍA ELÉCTRICA DE LAS DEPENDENCIAS DE RESPONSABILIDAD DE PLANTA CENTRAL</t>
  </si>
  <si>
    <t>PAGO MENSUAL DEL SERVICIO DE AGUA POTABLE DEL MINISTERIO DE CULTURA Y PATRIMONIO</t>
  </si>
  <si>
    <t>PAGO DE CONTRIBUCIONES ESPECIALES Y TASAS DEL MINISTERIO DE CULTURA Y PATRIMONIO</t>
  </si>
  <si>
    <t>CAJA CHICA DIRECCIÓN ADMINISTRATIVA</t>
  </si>
  <si>
    <t>CAJA CHICA DIRECCIÓN COORDINACIÓN ADMINISTRATIVA FINANCIERA</t>
  </si>
  <si>
    <t>EXTENSIÓN DE POLIZA DE SEGUROS</t>
  </si>
  <si>
    <t>CONTRATACIÓN DE PÓLIZAS DE SEGUROS PARA BIENES MUEBLES, INMUEBLES, PATRIMONIALES Y CULTURALES DEL MINISTERIO DE CULTURA Y PATRIMONIO</t>
  </si>
  <si>
    <t>PAGO DE PRIMAS Y DEDUCIBLES</t>
  </si>
  <si>
    <t>RECARGA DE EXTINTORES DE LOS EDIFICIOS Y VEHICULOS A CARGO DE PLANTA CENTRAL DEL MINISTERIO DE CULTURA Y PATRIMONIO</t>
  </si>
  <si>
    <t>SERVICIO DE MANTENIMIENTO PREVENTIVO Y CORRECTIVO DE BOMBAS DE AGUA Y SISTEMA HIDROSANITARIO DE LOS EDIFICIOS A CARGO DEL MINISTERIO DE CULTURA Y PATRIMONIO</t>
  </si>
  <si>
    <t>SERVICIO DE MANTENIMIENTO DE GENERADORES DE LOS EDIFICIOS A CARGO DE PLANTA CENTRAL DEL MINISTERIO DE CULTURA Y PATRIMONIO</t>
  </si>
  <si>
    <t>SERVICIO DE MANTENIMIENTO DE ASCENSORES DE LOS EDIFICIOS A CARGO DE PLANTA CENTRAL DEL MINISTERIO DE CULTURA Y PATRIMONIO</t>
  </si>
  <si>
    <t>ADQUISICIÓN DE SISTEMA CONTRA INCENDIOS PARA EL EDIFICIO MATRIZ DEL MINISTERIO DE CULTURA Y PATRIMONIO</t>
  </si>
  <si>
    <t>SERVICIO DE MANTENIMIENTO DE SISTEMA CONTRA INCENDIOS DE LAS DEPENDENCIAS DE PLANTA CENTRAL</t>
  </si>
  <si>
    <t>REPARACIÓN DE LAS CUBIERTAS DEL EDIFICIO MATRIZ DEL MINISTERIO DE CULTURA Y PATRIMONIO</t>
  </si>
  <si>
    <t>ADQUISICIÓN DE MOTOR PARA GARAGE Y MANTENIMIENTO DE ACCESOS DEL EDIFICIO MATRIZ</t>
  </si>
  <si>
    <t>SERVICIO DE MANTENIMIENTO DE ACCESOS DEL EDIFICIO MATRIZ</t>
  </si>
  <si>
    <t>ADQUISICION DE MATERIAL FERRETERO Y MATERIAL DE CONSTRUCCIÓN</t>
  </si>
  <si>
    <t>ADQUISICION DE MATERIAL FERRETERO Y MATERIAL DE CONTRUCCIÓN</t>
  </si>
  <si>
    <t>ADQUISICION DE PINTURA</t>
  </si>
  <si>
    <t>ADQUISICIÓN DE EQUIPO DE PROTECCIÓN PARA EL PERSONAL DE MANTENIMIENTO</t>
  </si>
  <si>
    <t>ADQUISICIÓN DE DISCOS DUROS PARA EL SISTEMA DE CCTV</t>
  </si>
  <si>
    <t xml:space="preserve">VIÁTICOS, ANTICIPO DE VIÁTICOS, SUBSISTENCIAS EN EL INTERIOR Y EXTERIOR, REEMBOLSO DE GASTOS POR PASAJES AL INTERIOR, PEAJES Y COMBUSTIBLES PARA EL PERSONAL DEL MCYP
</t>
  </si>
  <si>
    <t xml:space="preserve">CONTRATO COMPLEMENTARIO AL CONTRATO PRINCIPAL NRO. MCYP-CGAJ-2022-009 DE MANTENIMIENTO PREVENTIVO Y CORRECTIVO DE LOS VEHICULOS DE PROPIEDAD DEL MINISTERIO DE CULTURA Y PATRIMONIO    </t>
  </si>
  <si>
    <t>PROCEDIMIENTO DE MEDIACIÓN NO.0664-DNCM 2021-QUI, BODEGAS DEL EX COSSFA</t>
  </si>
  <si>
    <t xml:space="preserve">MANTENIMIENTO DE AIRE ACONDICINADOS </t>
  </si>
  <si>
    <t>MANTENIMIENTO DE PLAZA DE LAS ARTES MCYP</t>
  </si>
  <si>
    <t xml:space="preserve">PAGO EXPROPIACIÓN DEL PARQUE LÚDICO EN MANTA </t>
  </si>
  <si>
    <t xml:space="preserve">PAGO SETENTENCIA CORREOS DEL ECUADOR </t>
  </si>
  <si>
    <t>PAGO DE VIÁTICOS A SERVIDORES DEL MINISTERIO DE CULTURA Y PATRIMONIO DE AÑOS ANTERIORES</t>
  </si>
  <si>
    <t xml:space="preserve">INCREMNENTO SALARIAL CONTRATO NRO. MCYP-CGJ2020-006 SEGURIDAD Y VIGILANCIA </t>
  </si>
  <si>
    <t xml:space="preserve"> CONTRATO COMPLEMENTARIO  SEGURIDAD Y VIGILANCIA </t>
  </si>
  <si>
    <t>Inversión</t>
  </si>
  <si>
    <t>91500000.0000.388616</t>
  </si>
  <si>
    <t>Fortalecimiento de capacidades de procesos artísticos y culturales sostenibles en territorio - Teatro del Barrio</t>
  </si>
  <si>
    <t>Fortalecer las capacidades de los integrantes de procesos artísticos y culturales en el territorio ecuatoriano, a través de financiamiento y acompañamiento técnico, impulsando su sostenibilidad.</t>
  </si>
  <si>
    <t>Arrastres proyectos no vigentes (Renovación-Rehabilitación-PNPLLJC-SOS)</t>
  </si>
  <si>
    <t>009</t>
  </si>
  <si>
    <t>202</t>
  </si>
  <si>
    <t>91500000.0000.387110</t>
  </si>
  <si>
    <t>Implementación del Sistema Integral de Información Cultural SIIC</t>
  </si>
  <si>
    <t>Identificar el aporte del sector cultural al crecimiento económico y desarrollo social del país</t>
  </si>
  <si>
    <t>Componente 1. Diagnóstico del estado situacional de la cultura y patrimonio en el país y definición de la línea base.</t>
  </si>
  <si>
    <t>1.2 Levantamiento de información de fuentes primarias, articulación y seguimiento del proceso de recopilación de información en territorio</t>
  </si>
  <si>
    <t>Consultoría para Levantamiento de información de fuentes primarias</t>
  </si>
  <si>
    <t>005</t>
  </si>
  <si>
    <t>1.3 Diagnóstico del sector cultural a través del procesamiento, análisis de información y construcción de la línea base</t>
  </si>
  <si>
    <t>Diagnóstico del sector cultural a través del procesamiento, análisis de información y construcción de la línea base a través de Servicios Personales por Contrato</t>
  </si>
  <si>
    <t>Componente 2. Implementación de la plataforma informática para la gestión del SIIC, el acceso y generación de información; y promoción y difusión de productos y servicios.</t>
  </si>
  <si>
    <t>2.1 Estandarización de los procesos de gestión y generación de información del SIIC</t>
  </si>
  <si>
    <t>Estandarización de los procesos de gestión y generación de información del SIIC</t>
  </si>
  <si>
    <t>2.2 Desarrollo y evaluación de las  herramientas tecnológicas y sus características funcionales.</t>
  </si>
  <si>
    <t>Desarrollo y evaluación de las  herramientas tecnológicas y sus características funcionales por servicios personales por contrato</t>
  </si>
  <si>
    <t>2.3 Diseño de la arquitectura institucional para el desarrollo del SIIC</t>
  </si>
  <si>
    <t>Desarrollo, integración e implementación de aplicaciones. módulos y herramientas tecnológicas que permitan la gestión y visualización de la información cultural y patrimonial</t>
  </si>
  <si>
    <t>2.4 Desarrollo e implementación de la solución tecnológica de integración de información del SIIC</t>
  </si>
  <si>
    <t>2.6 Herramientas de difusión y puesta en valor de la informaciòn</t>
  </si>
  <si>
    <t>Diseño e implementación  de una APP Cultural a través de servicio profesional</t>
  </si>
  <si>
    <t>Componente 3. Gestión técnica-administrativa del proyecto "Implementación del Sistema Integral de Información Cultural - SIIC".</t>
  </si>
  <si>
    <t>3.1 Gestión tecnica administrativa del proyecto</t>
  </si>
  <si>
    <t>Gestión tecnica administrativa del proyecto a través de Servicios Personales por Contrato</t>
  </si>
  <si>
    <t>Viáticos y Subsistencias en el Interior</t>
  </si>
  <si>
    <t>Pasajes al Interior</t>
  </si>
  <si>
    <t>Obligaciones generadas y no pagadas por egresos en personal de ejercicios fiscales de años anteriores</t>
  </si>
  <si>
    <t>C1. Acompañar técnicamente y otorgar financiamiento no reembolsable a procesos artísticos y culturales en el territorio para una gestión sostenible</t>
  </si>
  <si>
    <t xml:space="preserve">1.2.1. Transferencias de recursos a beneficiarios </t>
  </si>
  <si>
    <t>Nueva</t>
  </si>
  <si>
    <t xml:space="preserve">Transferencias de recursos a beneficiarios </t>
  </si>
  <si>
    <t>C2. Reforzar la capacidad administrativa y técnica del MCYP para gestionar el fortalecimiento de capacidades de procesos artísticos y culturales en territorio.</t>
  </si>
  <si>
    <t>2.1. Gestión del personal ejecutivo, administrativo y técnico del proyecto.</t>
  </si>
  <si>
    <t>1.1.1. Contratación de facilitadores y promotores culturales a través de Honorarios por Contratos Civiles de Servicios</t>
  </si>
  <si>
    <t>Contratación de facilitadores y promotores culturales a través de Honorarios por Contratos Civiles de Servicios</t>
  </si>
  <si>
    <t>Arrastre</t>
  </si>
  <si>
    <t>8888</t>
  </si>
  <si>
    <t>2.2. Movilización del personal ejecutivo y técnico del proyecto en el territorio nacional para la ejecución de las actividades y componentes del proyecto.</t>
  </si>
  <si>
    <t>Pago de viáticos al interior (Gerencia)</t>
  </si>
  <si>
    <t>Pago de viáticos al interior (Equipo técnico en territorio)</t>
  </si>
  <si>
    <t>Pago de viáticos al interior (Facilitadores-Promotores en territorio)</t>
  </si>
  <si>
    <t>Contratación del servicio de pasajes aéreos al interior</t>
  </si>
  <si>
    <t xml:space="preserve">Pasajes terrestres al interior </t>
  </si>
  <si>
    <t xml:space="preserve"> Contratación de personal técnico para levantamiento de manual de procedimientos del Proyecto</t>
  </si>
  <si>
    <t>2.3. Promoción y difusión del proyecto en cada una de sus fases de implementación, incluyendo la dotación de equipamiento, elaboración de estrategias, productos, eventos y actividades de comunicación y socialización.</t>
  </si>
  <si>
    <t>Contratación del servicio de logistica para la socializacion del proyecto de inversión Teatro del Barrio</t>
  </si>
  <si>
    <t>Contratación del servicio de preproducción, producción y postproducción de videos y fotografías para la promoción y difusión del proyecto</t>
  </si>
  <si>
    <t>Museo y Parque Arqueológico Pumapungo</t>
  </si>
  <si>
    <t xml:space="preserve">Remuneraciones unificadas Pumapungo </t>
  </si>
  <si>
    <t>0040</t>
  </si>
  <si>
    <t>Salarios unificados Pumapungo</t>
  </si>
  <si>
    <t xml:space="preserve">Décimo tercero Pumapungo </t>
  </si>
  <si>
    <t xml:space="preserve">Décimo cuarto Pumapungo </t>
  </si>
  <si>
    <t>Compensación por transporte</t>
  </si>
  <si>
    <t>Subsidios por cargas familiares</t>
  </si>
  <si>
    <t>Subsidio de antigüedad</t>
  </si>
  <si>
    <t>Servicios personales por contrato Pumapungo</t>
  </si>
  <si>
    <t xml:space="preserve">Aporte patronal Pumapungo </t>
  </si>
  <si>
    <t xml:space="preserve">Fondo de reserva Pumapungo </t>
  </si>
  <si>
    <t>Agua potable Museo y Teatro Pumapungo reembolso BCE</t>
  </si>
  <si>
    <t>Agua potable Parque Pumapungo</t>
  </si>
  <si>
    <t>Agua potable Museo de la Cultura Lojana</t>
  </si>
  <si>
    <t>Energía eléctrica Museo y Teatro Pumapungo reembolso BCE</t>
  </si>
  <si>
    <t>Energía eléctrica Parque Pumapungo</t>
  </si>
  <si>
    <t>Energía eléctrica Museo de la Cultura Lojana</t>
  </si>
  <si>
    <t>Energía eléctrica Museo y Centro Cultural Riobamba</t>
  </si>
  <si>
    <t>Telecomunicaciones Cuenca</t>
  </si>
  <si>
    <t>Telecomunicaciones Loja</t>
  </si>
  <si>
    <t>Telecomunicaciones Riobamba</t>
  </si>
  <si>
    <t>Servicio de correo EOD Pumapungo</t>
  </si>
  <si>
    <t>Transporte y movilización de bienes del Museo de la Cultura Lojana al Museo Pumapungo</t>
  </si>
  <si>
    <t>Mantenimiento y recarga de extintores museos EOD Pumapungo</t>
  </si>
  <si>
    <t>Material de infografía para exposiciones y eventos EOD Pumapungo</t>
  </si>
  <si>
    <t>Eventos culturales, artísticos,  de mediación educativa y académicos EOD Pumapungo</t>
  </si>
  <si>
    <t xml:space="preserve">Servicio de vigilancia y seguridad privada para las dependencias y edificios de la EOD Museo Pumapungo y Parque y Teatro Pumapungo, en Cuenca, Loja y Riobamba </t>
  </si>
  <si>
    <t>Control de plagas EOD Pumapungo</t>
  </si>
  <si>
    <t>Servicio de limpieza tipo III para las dependencias de la EOD Museo y Parque Arqueológico Pumapungo en Cuenca, Loja y Riobamba</t>
  </si>
  <si>
    <t>Servicios de atención veterinaria para la aves y demás animales del Parque Pumapungo</t>
  </si>
  <si>
    <t>Combustible vehículos Museo Pumapungo</t>
  </si>
  <si>
    <t>Combustible vehículo Museo y Centro Cultural Riobamba</t>
  </si>
  <si>
    <t>Pasajes funcionarios EOD Pumapungo</t>
  </si>
  <si>
    <t>Viáticos funcionarios EOD Pumapungo</t>
  </si>
  <si>
    <t>Mantenimiento infraestructura EOD Pumapungo en Cuenca</t>
  </si>
  <si>
    <t>Mantenimiento infraestructura EOD Pumapungo en Loja</t>
  </si>
  <si>
    <t>Mantenimiento infraestructura EOD Pumapungo en Riobamba</t>
  </si>
  <si>
    <t>MANTENIMIENTO DE LA CISTERNA QUE ABASTECE DE AGUA POTABLE A LOS EDIFICIOS DEL MUSEO PUMAPUNGO (BLOQUES 2, 3 Y 4)</t>
  </si>
  <si>
    <t>Mantenimiento mobiliario museografico sala permanente de arqueología</t>
  </si>
  <si>
    <t>Mantenimiento sistema de ventilación mecánica Museo Pumapungo</t>
  </si>
  <si>
    <t>Mantenimiento preventivo ascensores Museo Pumapungo</t>
  </si>
  <si>
    <t>Mantenimiento sistemas de  incendios y seguridad del Museo y Centro Cultural Riobamba</t>
  </si>
  <si>
    <t>Mantenimiento preventivo ascensor Museo y Centro Cultural Riobamba</t>
  </si>
  <si>
    <t>Mantenimiento del sistema integral de detección de incendios del Museo, Teatro Pumapungo y Parque Pumapungo</t>
  </si>
  <si>
    <t>Mantenimiento correctivo ascensores  Museo Pumapungo</t>
  </si>
  <si>
    <t>MANTENIMIENTO CORRECTIVO ASCENSORES MUSEO Y CENTRO CULTURAL RIOBAMBA</t>
  </si>
  <si>
    <t xml:space="preserve">  Mantenimiento preventivo y correctivo de vehículos EOD Pumapungo</t>
  </si>
  <si>
    <t>Conservación Activa De Los Muros Arqueológicos Del Parque Pumapungo</t>
  </si>
  <si>
    <t>Conservación de bienes de la reserva de arte, reserva de arqueología, reserva de etnografía, Biblioteca Víctor Manuel Albornoz (Hemeroteca)</t>
  </si>
  <si>
    <t>READECUACION MUSEOGRAFICA DE LAS DIFERENTES SALAS EXPOSISTIVAS DE LA OED PUMAPUNGO</t>
  </si>
  <si>
    <t>Arrendamiento de impresoras EOD Pumapungo</t>
  </si>
  <si>
    <t>Mantenimiento y reparación ups EOD Pumapungo</t>
  </si>
  <si>
    <t>Prendas de protección personal EOD Pumapungo</t>
  </si>
  <si>
    <t>Materiales de oficina EOD Pumapungo</t>
  </si>
  <si>
    <t>Adquisición de materiales de aseo y bioseguridad EOD Pumapungo</t>
  </si>
  <si>
    <t>Adquisición de material de construcción y eléctrico EOD Pumapungo</t>
  </si>
  <si>
    <t>SEÑALÉTICA PARA EL MUSEO, PARQUE Y TEATRO PUMAPUNGO</t>
  </si>
  <si>
    <t>Adquisición de material para consesrvación y embalaje de bienes cultuales EOD Pumapungo</t>
  </si>
  <si>
    <t xml:space="preserve">Herramientas menores EOD Pumapungo </t>
  </si>
  <si>
    <t xml:space="preserve">Alimento para aves Parque Pumapungo </t>
  </si>
  <si>
    <t xml:space="preserve">Adquisicion abonos orgánicos Parque Pumapungo </t>
  </si>
  <si>
    <t>Predio inmuebles EOD Pumapungo</t>
  </si>
  <si>
    <t>Recolección de basura Museos EOD Pumapungo</t>
  </si>
  <si>
    <t>Tasas para matriculación vehicular EOD Pumapungo</t>
  </si>
  <si>
    <t>Patentes de funcionamiento  Parque Arqueológico Pumapungo- MAE y GAD cuenca</t>
  </si>
  <si>
    <t>Obtención de permisos de funcionamiento Museo y Centro Cultural Riobamba</t>
  </si>
  <si>
    <t>Obtención de permisos de funcionamiento  del Museo de la Cultura Lojana</t>
  </si>
  <si>
    <t>Pago por regeneración urbana‐intervención directa (sectorial), del Museo de la Cultura Lojana, al Municipio de Loja</t>
  </si>
  <si>
    <t>Obligaciones de ejercicios anteriores por egresos del personal</t>
  </si>
  <si>
    <t>Impermealización de las reservas del Museo Pumapungo Cuenca</t>
  </si>
  <si>
    <t>Implementación de puertas de seguridad en las reservas de bienes culturales.patrimoniales</t>
  </si>
  <si>
    <t>Estudio de diagnóstico para la conseravación y restauración y gran canal , tunel, muros y otros vestijios arqueologicos asociados dentro del Parque Arqueológico Pumapungo</t>
  </si>
  <si>
    <t>Conservación y Restauración de las estructuras arqueologicas existentes en El Parque Pumapungo</t>
  </si>
  <si>
    <t>Mantenimiento y reparación del equipamiento arquitectónico del Parque Arqueologico Pumapungo (estructuras de madera del Pararque), (infraestrutura física, sistemas hidrosanitario y electrico del Parque Pumapungo baños), (Caminerias Intenas) (Estructura cafeteria), (cubiculos del santuario de aves)</t>
  </si>
  <si>
    <t>Renovación del sistema de Riego del Parque Pumapungo</t>
  </si>
  <si>
    <t>Implementación de espacio para la colección del Padre Crespi del Parque Arqueológico Pumapungo</t>
  </si>
  <si>
    <t>Renovación del sistema eléctrico de las reservas de Arqueología y Etnogragia</t>
  </si>
  <si>
    <t>Renovacón del Sistema de Redes de voz  y datos</t>
  </si>
  <si>
    <t>Arrendamiento de computadoras para la EOD Pumapungo</t>
  </si>
  <si>
    <t>Estudios técnicos de la infraestructura para la programación de mantemimientos preventivos y correctivos de todos los espacios de la EOD</t>
  </si>
  <si>
    <t>Fumigación puntual de los bienes de las reservas y Museos de la EOD Pumapungo</t>
  </si>
  <si>
    <t xml:space="preserve">Ampliación  y actualización del sistema CCTV de  del Museo Pumapungo </t>
  </si>
  <si>
    <t>Adquisión de equpos de deshumificación</t>
  </si>
  <si>
    <t>Digitalización de la hemeroteca decada 1950-1960</t>
  </si>
  <si>
    <t>Actividades culturales educativos basados en los contenidos de la reserva de Arqueología, Etnografía, Arte y Documental</t>
  </si>
  <si>
    <t>Encargos</t>
  </si>
  <si>
    <t>Pago del servicio de telefonía fija e internet del mes de Diciembre del 2023 de la Corporación Ciudad Alfaro</t>
  </si>
  <si>
    <t>Pago mensual del servicio de energía eléctrica del Museo y Centro Cultural de Manta por el período 2024</t>
  </si>
  <si>
    <t>Contratación del servicio de combustible para  los vehículos de la Corporación Ciudad Alfaro para el año 2024</t>
  </si>
  <si>
    <t>Contratación de los servicios profesionales para fortalecer la gestión cultural en el marco de Ley Orgánica para el Desarrollo Económico y Sostenibilidad fiscal en la EOD MAAC</t>
  </si>
  <si>
    <t>Contratación de los servicios profesionales para el desarrollo y organización de proyectos de investigación, museología e museografía de la EOD-MAAC</t>
  </si>
  <si>
    <t>CONTRATACIÓN DE SERVICIO DE LIMPIEZA PARA
LAS DEPENDENCIAS DEL MINISTERIO DE CULTURA Y 
PATRIMONIO</t>
  </si>
  <si>
    <t>CAJA CHICA DESPACHO MINISTERIAL</t>
  </si>
  <si>
    <t>CAJA CHICA VICEDESPACHO MINISTERIAL</t>
  </si>
  <si>
    <t xml:space="preserve">Contratación para la programación, exposiciones  y programas educativos en la EOD – MAAC y sus sedes </t>
  </si>
  <si>
    <t>Servicios profesionales para fortalecer la programación, producción y gestión  cultural de la EOD-MAAC y la red de museos 2024</t>
  </si>
  <si>
    <t>Servicios profesionales para la estructuración de los procedimientos de la gestión cultural de las actividades formativas  de la EOD MAAC</t>
  </si>
  <si>
    <t>Servicios profesionales para la asistencia de organización de proyectos expositorios, museología y museografía para la EOD MAAC</t>
  </si>
  <si>
    <t>Pago consumo mensual de agua del Museo Nacional</t>
  </si>
  <si>
    <t>Pago consumo mensual de agua del Museo Camilo Egas</t>
  </si>
  <si>
    <t>Pago consumo mensual de agua del Museo Mariscal Sucre</t>
  </si>
  <si>
    <t>Pago consumo mensual de agua del Centro Cultural de Ibarra</t>
  </si>
  <si>
    <t>Pago consumo mensual de agua sede Esmeraldas</t>
  </si>
  <si>
    <t>Pago consumo mensual de agua Complejo Fábrica Imbabura</t>
  </si>
  <si>
    <t>Pago consumo mensual de servicio telefónico museo Camilo Egas</t>
  </si>
  <si>
    <t>Pago consumo mensual de servicio telefónico del Centro Cultural de Ibarra</t>
  </si>
  <si>
    <t>Pago consumo mensual de servicio telefónico sede Esmeraldas</t>
  </si>
  <si>
    <t>Pago consumo mensual de energía eléctrica del Museo Mariscal Sucre</t>
  </si>
  <si>
    <t>Pago consumo mensual de energía eléctrica del Museo Nacional del Ecuador</t>
  </si>
  <si>
    <t>Pago consumo mensual de energía eléctrica del Complejo Fabrica Imbabura</t>
  </si>
  <si>
    <t>Pago consumo mensual de energía eléctrica del Museo Camilo Egas</t>
  </si>
  <si>
    <t>Pago consumo mensual de energía eléctrica del Centro Cultural de Ibarra</t>
  </si>
  <si>
    <t>Pago consumo mensual de energía eléctrica sede Esmeraldas</t>
  </si>
  <si>
    <t>INVESTIGACIÓN Y  ELABORACIÓN DE PRODUCTO EDITORIAL SOBRE HISTORIA DEL ARTE EN EL ECUADOR</t>
  </si>
  <si>
    <t>TALLERES ARTISTICOS Y CULTURALES DEL MUSEO DEL MUSEO NACIONAL DEL ECUADOR</t>
  </si>
  <si>
    <t>CONGRESOS CONFERENCIAS Y CHARLAS DEL MUSEO NACIONAL DEL ECUADOR</t>
  </si>
  <si>
    <t>PRODUCCIÓN DE VIDEOS EDUCATIVOS DEL MUSEO NACIONAL DEL ECUADOR</t>
  </si>
  <si>
    <t>CONVENCIÓN DE CULTURAS JUVENILES Y VISUALIDADES CONTEMPORANEAS DEL MUSEO NACIONAL DEL ECUADOR</t>
  </si>
  <si>
    <t>ADQUISICIÓN MOBILIARIO MUSEOGRÁFICO PARA EL ESPACIO PERMANENTE EDUCATIVO DEL MUSEO NACIONAL DEL ECUADOR</t>
  </si>
  <si>
    <t>SERVICIO DE ELABORACIÓN DE  GLOSARIO DE TERMINOS MUSEOLOGICOS EN LEGUAJE DE SEÑAS, COMO PROYECTO DE INCLUSIÓN SOCIAL PARA PERSONAS CON CAPACIDADES ESPECIALES</t>
  </si>
  <si>
    <t>CONTRATACIÓN DEL SERVICIO DE IMPRESIONES CATALOGOS DE EXPOSICIONES MUSEO NACIONAL  DEL ECUADOR Y SUS SEDES</t>
  </si>
  <si>
    <t>CONCEPTUALIZACIÓN E IMPLEMENTACIÓN MUSEOGRÁFICA DE EXPOSICIONES TEMPORALES  DEL MUSEO NACIONAL DEL ECUADOR Y MUSEO CAMILO EGAS 2024</t>
  </si>
  <si>
    <t>CONCEPTUALIZACIÓN E IMPLEMENTACIÓN DE PROGRAMACIÓN CULTURAL Y EDUCATIVA DEL MUSEO CENTRO CULTURAL IBARRA</t>
  </si>
  <si>
    <t xml:space="preserve">CONCEPTUALIZACIÓN E IMPLEMENTACIÓN DE PROGRAMACIÓN CULTURAL Y EDUCATIVA DEL MUSEO CENTRO CULTURAL ESMERALDAS </t>
  </si>
  <si>
    <t>MANTENIMIENTO MENORES DE EDIFICACIONES DEL MUNA Y SUS SEDES</t>
  </si>
  <si>
    <t>CONCEPTUALIZACIÓN E IMPLEMENTACIÓN  DE PROYECTO COMUNITARIO DEL CENTRO CIVICO CULTURAL BIBLIOTECA Y MUSEO MARISCAL SUCRE</t>
  </si>
  <si>
    <t>COSTAS JUDICIALES, TRÁMITES NOTARIALES, LEGALIZACIÓN DE DOCUMENTOS Y ARREGLOS EXTRAJUDICIALES</t>
  </si>
  <si>
    <t xml:space="preserve">Pago de impuesto predial 2024 del Museo Centro Cultural Manta </t>
  </si>
  <si>
    <t>Ropa de Trabajo</t>
  </si>
  <si>
    <t>SERVICIO DE  DISEÑO, CREACION E IMPLEMENTACIÓN MUSEOGRÁFICA DEL MUSEO DE LA MEMORIA</t>
  </si>
  <si>
    <t>Instalación del sistema de detección de humo automático en planta baja, mezzanine, 1erpiso del museo bahía de caráquez.</t>
  </si>
  <si>
    <t>Construcción cubierta en la sede del Museo Bahía de Caráquez</t>
  </si>
  <si>
    <t>Servicio de organización, producción y ejecución de los eventos enmarcados en el calendario patrimonial, cultural e histórico, para la difusión y fortalecimiento de la memoria social del Museo Nuclear Corporación Ciudad Alfaro, y sus sedes en Portoviejo, Manta y Bahía de Caráquez.</t>
  </si>
  <si>
    <t xml:space="preserve">Mantenimiento preventivo y correctivo de equipos menores del Museo Nuclear Corporación Ciudad Alfaro y su Sedes. </t>
  </si>
  <si>
    <t>Mantenimiento preventivo y correctivo de la puerta principal, cerramiento lateral y puerta   posterior del Museo Nuclear corporación Ciudad Alfaro.</t>
  </si>
  <si>
    <t>Pago del servicio de combustible para los vehículos de la Corporación Ciudad Alfaro de los meses, octubre, noviembre y diciembre del año 2023</t>
  </si>
  <si>
    <t>Estudio para el diseño y desarrollo de estructuras para sistemas y subsistemas de información</t>
  </si>
  <si>
    <t>1792183243001</t>
  </si>
  <si>
    <t>ORGANIZACION DE ESTADOS IBEROAMERICANOS</t>
  </si>
  <si>
    <t>Liquidación de Caja Chica</t>
  </si>
  <si>
    <t>HONORARIOS POR CONTRATOS CIVILES DE SERVICIOS PARA LA MEDIACIÓN DEL MUSEO DE LA MEMORIA</t>
  </si>
  <si>
    <t>SERVICIO DE AMBIENTACIÓN MUSEOGRÁFICA PARA UNA EXPOSICIÓN EN EL MUSEO DE LA MEMORIA DEL MINISTERIO DE CULTURA Y PATRIMONIO</t>
  </si>
  <si>
    <t>Producción y logística del FAVL 2023</t>
  </si>
  <si>
    <t>Contratación del servicio de Producción y logística del FIAVL 2024</t>
  </si>
  <si>
    <t xml:space="preserve">Material de infografía para exposiciones y eventos EOD Pumapungo </t>
  </si>
  <si>
    <t>Fortalecimiento de Capacidades Culturales</t>
  </si>
  <si>
    <t>Convenio Específico de Cooperación entre el Ministerio de Cultura y Patrimonio y la Cámara Ecuatoriana del Libro -Núcleo Pichincha - Ferias Internacionales del Libro 2024</t>
  </si>
  <si>
    <t>Interes por mora patronal IESS - Planta Central</t>
  </si>
  <si>
    <t>9999</t>
  </si>
  <si>
    <t>Dirección de Artes y Gestión Cultural</t>
  </si>
  <si>
    <t>Viáticos, anticipo de viáticos y subsistencias para el exterior  para el personal de la Dirección de Artes y Gestión Cultural</t>
  </si>
  <si>
    <t>Viáticos, anticipo de viáticos y subsistencias para el interior  para el personal de la Dirección de Artes y Gestión Cultural</t>
  </si>
  <si>
    <t>Viáticos, anticipo de viáticos y subsistencias en el exterior para el personal de la Dirección de Fortalecimiento de Capacidades Culturales</t>
  </si>
  <si>
    <t>Servicio de edición, impresión del material correspondiente a la premiación de ganadores Premio Nacional Eugenio Espejo 2024</t>
  </si>
  <si>
    <t xml:space="preserve">si </t>
  </si>
  <si>
    <t>Pasajes al Interior (Funcionarios del AHN)</t>
  </si>
  <si>
    <t>Construcción cubierta en la terraza del primer piso de la sede del Museo Bahía de Caráquez</t>
  </si>
  <si>
    <t>Contratacion del servicio de mantenimiento preventivo y Recarga de extintores contraincendios del Museo Nuclear Corporación Ciudad  Alfaro y sus Sedes.</t>
  </si>
  <si>
    <t>Contratación del servicio de correspondencia Nacional para el Museo Nuclear Corporación Ciudad Alfaro y sus sedes.</t>
  </si>
  <si>
    <t>Contratación del servicio de mantenimiento y readecuación del museo rodante del Museo Nuclear Corporación Ciudad Alfaro</t>
  </si>
  <si>
    <t>Contratación del servicio de mantenimiento preventivo y correctivo de bombas sumergibles y bombas de agua potable en el Museo Centro Cultural Manta,  sede de la Corporación Ciudad Alfaro</t>
  </si>
  <si>
    <t>Contratación del servicio de actualización  de sistemas informáticos de la Corporación Ciudad Alfaro y sus sedes</t>
  </si>
  <si>
    <t>Contratación del servicio de mantenimiento correctivo de los tableros de distribución eléctrica TDE de los equipos de climatización en el museo centro cultural manta</t>
  </si>
  <si>
    <t>Contratación del servicio de instalación, mantenimiento y reparación del auditorio del Museo Portoviejo y Archivo Histórico</t>
  </si>
  <si>
    <t>Mantenimiento Preventivo y Correctivo para una central de aire de Planta Baja, una central de aire del Mezzanine, del Museo Bahía de Caráquez</t>
  </si>
  <si>
    <t>Edición de contenido editorial digital de publicación sobre historia del arte en el Ecuador</t>
  </si>
  <si>
    <t>Servicio de mantenimiento y reparación integral de las instalaciones eléctricas del Centro Cultural, Museo y Biblioteca Mariscal Sucre</t>
  </si>
  <si>
    <t>PAGO EN REFERENCIA A INCREMENTO SALARIAL CONTRATO No. MCYP-CGJ-2020-006</t>
  </si>
  <si>
    <t>CONTRATO COMPLEMENTARIO DEL SERVICIO DE SEGURIDAD Y VIGILANCIA DE LAS INSTALACIONES DEL MINISTERIO DE CULTURA Y PATRIMONIO-PLANTA CENTRAL</t>
  </si>
  <si>
    <t>Comisiones bancarias en relación a la donación cultural “Proyecto de mejora de equipos de aislamiento sísmico para museos de la Provincia de Manabí”</t>
  </si>
  <si>
    <t>"CONTRATACIÓN DE SERVICIO DE LIMPIEZA PARA LAS DEPENDENCIAS DEL MINISTERIO DE CULTURA Y PATRIMONIO" por los servicios recibidos de 27 de julio de 2023 al 26 de noviembre de 2023, orden de compra CE-20230002456988</t>
  </si>
  <si>
    <t>Pago del servicio de energía eléctrica de la Corporación Ciudad Alfaro - octubre - noviembre</t>
  </si>
  <si>
    <t>CONCEPTUALIZACIÓN, CURADURÍA Y ELABORACIÓN DEL GUION MUSEOLÓGICO DE LA NUEVA SALA PERMANENTE DE ARQUEOLOGÍA</t>
  </si>
  <si>
    <t>SERVICIO DE FOTOMONTAJES Y PRESENTACIÓN AUDIOVISUAL PARA LA DIFUSIÓN Y PROMOCIÓN DEL ANTEPROYECTO DEL MUSEO NACIONAL DEL MCYP</t>
  </si>
  <si>
    <t>Adquisición de Llantas para el Camión Chevrolet de Placas PEA-4210 de Propiedad del Museo Antropológico y de Arte Contemporáneo MAAC</t>
  </si>
  <si>
    <t>0901</t>
  </si>
  <si>
    <t>Adquisición de llantas para camioneta Chevrolet de placas PEQ-0952 y Vitara Chevrolet de placas PEQ-0656 de propiedad del Museo Antropológico y de Arte Contemporáneo MAAC</t>
  </si>
  <si>
    <t>Obligaciones IESS - Títulos de Crédito</t>
  </si>
  <si>
    <t>Obligaciones IESS - Glosas</t>
  </si>
  <si>
    <t xml:space="preserve">Servicio de impresión, fotocopiado y escaneo para el Ministerio de Cultura y Patrimonio  </t>
  </si>
  <si>
    <t>CONTRATO COMPLEMENTARIO AL CONTRATO PRINCIPAL NRO. MCYP-CGAJ-2022-009</t>
  </si>
  <si>
    <t>(Varios elementos)</t>
  </si>
  <si>
    <t>Valores</t>
  </si>
  <si>
    <t>Suma de TOTAL REPROGRAMADO</t>
  </si>
  <si>
    <t>Suma de TOTAL DISPONIBLE DE LA CERTIFICACIÓN-mg</t>
  </si>
  <si>
    <t>Suma de TOTAL COMPROMETIDO</t>
  </si>
  <si>
    <t>Suma de TOTAL DEV.</t>
  </si>
  <si>
    <t>b</t>
  </si>
  <si>
    <t>c</t>
  </si>
  <si>
    <t>d</t>
  </si>
  <si>
    <t>e</t>
  </si>
  <si>
    <t>Programa</t>
  </si>
  <si>
    <t>Proyecto</t>
  </si>
  <si>
    <t>Componente</t>
  </si>
  <si>
    <t>Grupo de gasto</t>
  </si>
  <si>
    <t xml:space="preserve">Ítem </t>
  </si>
  <si>
    <t xml:space="preserve"> Codificado</t>
  </si>
  <si>
    <t xml:space="preserve"> Certificado</t>
  </si>
  <si>
    <t xml:space="preserve"> Comprometido</t>
  </si>
  <si>
    <t xml:space="preserve"> Devengado</t>
  </si>
  <si>
    <t>51</t>
  </si>
  <si>
    <t>01 00 000</t>
  </si>
  <si>
    <t>01 00 000 001</t>
  </si>
  <si>
    <t>53</t>
  </si>
  <si>
    <t>57</t>
  </si>
  <si>
    <t>58</t>
  </si>
  <si>
    <t>84</t>
  </si>
  <si>
    <t>99</t>
  </si>
  <si>
    <t>79 00 000</t>
  </si>
  <si>
    <t>79 00 000 001</t>
  </si>
  <si>
    <t>79 00 000 002</t>
  </si>
  <si>
    <t>71</t>
  </si>
  <si>
    <t>79 00 005</t>
  </si>
  <si>
    <t>79 00 005 001</t>
  </si>
  <si>
    <t>73</t>
  </si>
  <si>
    <t>79 00 009</t>
  </si>
  <si>
    <t>79 00 009 002</t>
  </si>
  <si>
    <t>78</t>
  </si>
  <si>
    <t>80 00 000</t>
  </si>
  <si>
    <t>80 00 000 001</t>
  </si>
  <si>
    <t>80 00 000 002</t>
  </si>
  <si>
    <t>Total general</t>
  </si>
  <si>
    <t>(Todas)</t>
  </si>
  <si>
    <t>Etiquetas de fila</t>
  </si>
  <si>
    <t>Suma de MONTO ACTUAL ACTIVIDAD</t>
  </si>
  <si>
    <t>Suma de TOTAL DEVENGADO</t>
  </si>
  <si>
    <t>AHN</t>
  </si>
  <si>
    <t>BNEE</t>
  </si>
  <si>
    <t>CCA</t>
  </si>
  <si>
    <t>MAAC</t>
  </si>
  <si>
    <t>MPAP</t>
  </si>
  <si>
    <t>MUNA</t>
  </si>
  <si>
    <t>PC</t>
  </si>
  <si>
    <t>TBCML</t>
  </si>
  <si>
    <t>esigef</t>
  </si>
  <si>
    <t>PAPP/POA</t>
  </si>
  <si>
    <t>DIFERENCIAS</t>
  </si>
  <si>
    <t>Suma de CODIFICADO</t>
  </si>
  <si>
    <t>Suma de COMPROMISO</t>
  </si>
  <si>
    <t>Suma de DEVENGADO</t>
  </si>
  <si>
    <t>MONTO</t>
  </si>
  <si>
    <t>COMPROMETIDO</t>
  </si>
  <si>
    <t>DEVENGADO</t>
  </si>
  <si>
    <t>CODIF</t>
  </si>
  <si>
    <t>COMPR</t>
  </si>
  <si>
    <t>DEV</t>
  </si>
  <si>
    <t>OBSERVACIÓN</t>
  </si>
  <si>
    <t>ARCHIVO HISTORICO NACIONAL</t>
  </si>
  <si>
    <t>BIBLIOTECA NACIONAL EUGENIO ESPEJO</t>
  </si>
  <si>
    <t>COMPLEJO FABRICA IMBABURA</t>
  </si>
  <si>
    <t>CORPORACION CIUDAD ALFARO</t>
  </si>
  <si>
    <t>MINISTERIO DE CULTURA Y PATRIMONIO - PLANTA CENTRAL</t>
  </si>
  <si>
    <t xml:space="preserve">INVERSIÓN </t>
  </si>
  <si>
    <t>MUSEO ANTROPOLOGICO Y DE ARTE CONTEMPORANEO MAAC</t>
  </si>
  <si>
    <t>MUSEO NACIONAL DEL ECUADOR MUNA</t>
  </si>
  <si>
    <t>REFORMA PENDINTE HACIA LA CCE</t>
  </si>
  <si>
    <t>MUSEO Y PARQUE ARQUEOLOGICO PUMAPUNGO</t>
  </si>
  <si>
    <t>TEATRO BENJAMIN CARRION MORA DE LOJA</t>
  </si>
  <si>
    <t>EJE</t>
  </si>
  <si>
    <t>OBJETIVO</t>
  </si>
  <si>
    <t>POLÍTICA</t>
  </si>
  <si>
    <t>META</t>
  </si>
  <si>
    <t>PROGRAMA NACIONAL</t>
  </si>
  <si>
    <t>OBJETIVO ESTRATÉGICO INSTITUCIONAL</t>
  </si>
  <si>
    <t>INDICADOR ESRATÉGICO</t>
  </si>
  <si>
    <t xml:space="preserve">PRODUCTO INSTITUCIONAL </t>
  </si>
  <si>
    <t>OBJETIVO OPERATIVO</t>
  </si>
  <si>
    <t>UNIDAD EJECUTORA (PC-EOD)</t>
  </si>
  <si>
    <t>SEDE/UNIDAD</t>
  </si>
  <si>
    <t>FUNCIONAL</t>
  </si>
  <si>
    <t>IGUALDAD</t>
  </si>
  <si>
    <t>MONTO BASE IMPONIBLE</t>
  </si>
  <si>
    <t>MONTO IVA</t>
  </si>
  <si>
    <t>MONTO ASIGNADO ACTIVIDAD</t>
  </si>
  <si>
    <t xml:space="preserve"> + 
INCREMENTO
BASE IMPONIBLE</t>
  </si>
  <si>
    <t xml:space="preserve"> -
REDUCCION
BASE IMPONIBLE</t>
  </si>
  <si>
    <t xml:space="preserve"> + 
INCREMENTO 
IVA</t>
  </si>
  <si>
    <t xml:space="preserve"> - 
REDUCCION
IVA</t>
  </si>
  <si>
    <t>PRESUPUESTO TOTAL</t>
  </si>
  <si>
    <t>ENE-PROGRAMADO</t>
  </si>
  <si>
    <t>FEB-PROGRAMADO</t>
  </si>
  <si>
    <t>MAR-PROGRAMADO</t>
  </si>
  <si>
    <t>ABR-PROGRAMADO</t>
  </si>
  <si>
    <t>MAY-PROGRAMADO</t>
  </si>
  <si>
    <t>JUN-PROGRAMADO</t>
  </si>
  <si>
    <t>JUL-PROGRAMADO</t>
  </si>
  <si>
    <t>AGO-PROGRAMADO</t>
  </si>
  <si>
    <t>SEP-PROGRAMADO</t>
  </si>
  <si>
    <t>OCT-PROGRAMADO</t>
  </si>
  <si>
    <t>NOV-PROGRAMADO</t>
  </si>
  <si>
    <t>DIC-PROGRAMADO</t>
  </si>
  <si>
    <t>detalle</t>
  </si>
  <si>
    <t>H21</t>
  </si>
  <si>
    <t>Sin constancia PAPP-POA - SIN CP</t>
  </si>
  <si>
    <t>Sin  Constancia PAPP/POA y con CP- EOD</t>
  </si>
  <si>
    <t>Museo Centro Cultural Manta</t>
  </si>
  <si>
    <t>Museo Bahía de Caráquez</t>
  </si>
  <si>
    <t>Museo Portoviejo y Archivo Histórico</t>
  </si>
  <si>
    <t>Instalación del sistema de detección contra incendio automatizado para planta baja, mezzanine y 1er piso del Museo Bahía de Caráquez.</t>
  </si>
  <si>
    <t>LÍNEA POA</t>
  </si>
  <si>
    <t>PROYECTO</t>
  </si>
  <si>
    <t>COMPONENTE</t>
  </si>
  <si>
    <t>ACTIVIDAD DEL COMPONENTE</t>
  </si>
  <si>
    <t>SUB-ACTIVIDAD DEL COMPONENTE</t>
  </si>
  <si>
    <t>GRUPO</t>
  </si>
  <si>
    <t xml:space="preserve">ÍTEM </t>
  </si>
  <si>
    <t>CONSTANCIA POA</t>
  </si>
  <si>
    <t>MONTO TOTAL ACTIVIDAD</t>
  </si>
  <si>
    <r>
      <rPr>
        <sz val="10"/>
        <rFont val="Calibri"/>
        <family val="2"/>
      </rPr>
      <t xml:space="preserve"> -- </t>
    </r>
    <r>
      <rPr>
        <b/>
        <sz val="10"/>
        <rFont val="Calibri"/>
        <family val="2"/>
      </rPr>
      <t xml:space="preserve">
REDUCCION
BASE IMPONIBLE</t>
    </r>
  </si>
  <si>
    <r>
      <t xml:space="preserve"> </t>
    </r>
    <r>
      <rPr>
        <sz val="10"/>
        <rFont val="Calibri"/>
        <family val="2"/>
      </rPr>
      <t xml:space="preserve">-- </t>
    </r>
    <r>
      <rPr>
        <b/>
        <sz val="10"/>
        <rFont val="Calibri"/>
        <family val="2"/>
      </rPr>
      <t xml:space="preserve">
REDUCCION
IVA</t>
    </r>
  </si>
  <si>
    <t>MONTO  ACTUAL BASE IMPONIBLE</t>
  </si>
  <si>
    <t>MONTO ACTUAL IVA ACTIVIDAD</t>
  </si>
  <si>
    <t>MONTO TOTAL ACTUAL ACTIVIDAD</t>
  </si>
  <si>
    <t>ENE</t>
  </si>
  <si>
    <t>FEB</t>
  </si>
  <si>
    <t>MAR</t>
  </si>
  <si>
    <t>ABR</t>
  </si>
  <si>
    <t>MAY</t>
  </si>
  <si>
    <t>JUN</t>
  </si>
  <si>
    <t>JUL</t>
  </si>
  <si>
    <t>AGO</t>
  </si>
  <si>
    <t>SEP</t>
  </si>
  <si>
    <t>OCT</t>
  </si>
  <si>
    <t>NOV</t>
  </si>
  <si>
    <t>DIC</t>
  </si>
  <si>
    <t>MONTO REFORMADO</t>
  </si>
  <si>
    <t>VERIFICACIÓN</t>
  </si>
  <si>
    <t>NRO. DE REFORMA</t>
  </si>
  <si>
    <t>MEMORANDO DE SOLICITUD</t>
  </si>
  <si>
    <t>FECHA DE SOLICITUD</t>
  </si>
  <si>
    <t>MEMORANDO DE RESPUESTA</t>
  </si>
  <si>
    <t>FECHA DE RESPUESTA</t>
  </si>
  <si>
    <t>DIAS</t>
  </si>
  <si>
    <t>JUSTIFICACIÓN CÁLCULO</t>
  </si>
  <si>
    <t>MEMORANDO DE APROBACIÓN CGAF</t>
  </si>
  <si>
    <t>FECHA DE APROBACIÓN CGAF</t>
  </si>
  <si>
    <t>OBSERVACIONES</t>
  </si>
  <si>
    <t>MES</t>
  </si>
  <si>
    <t>UNIDAD</t>
  </si>
  <si>
    <t>Reforma Nro. 9 cca_armonización_eod</t>
  </si>
  <si>
    <t>MCYP-CCA-2024-0092-M</t>
  </si>
  <si>
    <t>MCYP-CGPGE-2024-0054-M</t>
  </si>
  <si>
    <t>Reforma Nro. 10 cca_grupo 53,51,99</t>
  </si>
  <si>
    <t>MCYP-CGAF-2024-0045-M</t>
  </si>
  <si>
    <t>MCYP-CGPGE-2024-0063-M</t>
  </si>
  <si>
    <t>Reforma Nro. 20  CCA_GRUPO 99 GEOGRAFICO</t>
  </si>
  <si>
    <t>MCYP-CCA-2024-0183-M</t>
  </si>
  <si>
    <t>MCYP-CGPGE-2024-0073-M</t>
  </si>
  <si>
    <t>Reforma Nro. 23_cca_cambio_nombre_actividad</t>
  </si>
  <si>
    <t>MCYP-CCA-2024-0212-M</t>
  </si>
  <si>
    <t>MCYP-CGPGE-2024-0092-M</t>
  </si>
  <si>
    <t>MCYP-CGPGE-2024-0099-M</t>
  </si>
  <si>
    <t>MCYP-CGAF-2024-0120-M</t>
  </si>
  <si>
    <t>MCYP-CGPGE-2024-0103-M</t>
  </si>
  <si>
    <t>Reforma Nro. 33-cca-grupo_51_53-reversa</t>
  </si>
  <si>
    <t>MCYP-CCA-2024-0305-M</t>
  </si>
  <si>
    <t>ADRY</t>
  </si>
  <si>
    <t>MCYP-DISNC-2024-0029-M</t>
  </si>
  <si>
    <t>MCYP-CGPGE-2024-0136-M</t>
  </si>
  <si>
    <t>MCYP-SEAI-2024-0094-M</t>
  </si>
  <si>
    <t>MCYP-CGPGE-2024-0139-M</t>
  </si>
  <si>
    <t>MCYP-CGAF-2024-0148-M</t>
  </si>
  <si>
    <t>MCYP-CGPGE-2024-0147-M</t>
  </si>
  <si>
    <t>MCYP-CGPGE-2024-0149-M</t>
  </si>
  <si>
    <t>MCYP-CGAF-2024-0173-M</t>
  </si>
  <si>
    <t>MCYP-CGAJ-2024-0124-M</t>
  </si>
  <si>
    <t>Reforma_Nro. 58_CCA_cambio_nombre</t>
  </si>
  <si>
    <t>MCYP-CCA-2024-0473-M</t>
  </si>
  <si>
    <t>MCYP-CGPGE-2024-0196-M</t>
  </si>
  <si>
    <t>Reforma_Nro. 59_CCA_ financiamiento</t>
  </si>
  <si>
    <t>Reforma Nro. 60 CCA_DÉFICIT</t>
  </si>
  <si>
    <t>MCYP-CGPGE-2024-0197-M</t>
  </si>
  <si>
    <t>MCYP-CGAF-2024-0231-M</t>
  </si>
  <si>
    <t>MCYP-CGPGE-2024-0218-M</t>
  </si>
  <si>
    <t>MCYP-SPC-2024-0076-M</t>
  </si>
  <si>
    <t>MCYP-CGAF-2024-0277-M</t>
  </si>
  <si>
    <t>MCYP-CGPGE-2024-0239-M</t>
  </si>
  <si>
    <t>Reforma Nro. 88_CCA_GRUPO_53 Instalación del sistema de detección contra incendio automatizado para planta baja</t>
  </si>
  <si>
    <t>MCYP-CCA-2024-0639-M</t>
  </si>
  <si>
    <t>MCYP-CGPGE-2024-0248-M</t>
  </si>
  <si>
    <t>MCYP-CGAF-2024-0293-M</t>
  </si>
  <si>
    <t>MCYP-CGPGE-2024-0256-M</t>
  </si>
  <si>
    <t>MCYP-DTIC-2024-0053-M</t>
  </si>
  <si>
    <t>MCYP-SEAI-2024-0241-M</t>
  </si>
  <si>
    <t>MCYP-CGPGE-2024-0278-M</t>
  </si>
  <si>
    <t>MCYP-CGPGE-2024-0289-M</t>
  </si>
  <si>
    <t xml:space="preserve">memo disponibilidad </t>
  </si>
  <si>
    <t xml:space="preserve">MONTO DISMINUIDO </t>
  </si>
  <si>
    <t xml:space="preserve">Memo solicitud reforma </t>
  </si>
  <si>
    <t>VALOR ACTUAL DISPONIBLE</t>
  </si>
  <si>
    <t>. MCYP-DATH-2024-0192-M</t>
  </si>
  <si>
    <t>reforma 52</t>
  </si>
  <si>
    <t>UNIDAD EJECUTORA</t>
  </si>
  <si>
    <t>TIPO ACTIVIDAD</t>
  </si>
  <si>
    <t>Actividad e-SIGEF</t>
  </si>
  <si>
    <t>DESCRIPCIÓN ÍTEM PRESUPUESTARIO</t>
  </si>
  <si>
    <t>MONTO CONSTANCIA POA</t>
  </si>
  <si>
    <t>SALDO DISPONIBLE ACTIVIDAD</t>
  </si>
  <si>
    <t>DEVENGADO REGISTRADO</t>
  </si>
  <si>
    <t>GRUPO PRESUPUESTARIO</t>
  </si>
  <si>
    <t>Nros. Constancia</t>
  </si>
  <si>
    <t>Memorando Solicitud</t>
  </si>
  <si>
    <t>Fecha Solicitud</t>
  </si>
  <si>
    <t>Memorando Respuesta</t>
  </si>
  <si>
    <t>Fecha Respuesta</t>
  </si>
  <si>
    <t>Monto Constancia</t>
  </si>
  <si>
    <t>Actualización 1</t>
  </si>
  <si>
    <t>Nro. de Días</t>
  </si>
  <si>
    <t>Nro. C-POA</t>
  </si>
  <si>
    <t>Memorando Solicitud 2</t>
  </si>
  <si>
    <t>Fecha Solicitud 2</t>
  </si>
  <si>
    <t>Memorando Respuesta 2</t>
  </si>
  <si>
    <t>Fecha Respuesta 2</t>
  </si>
  <si>
    <t>Monto Constancia 2</t>
  </si>
  <si>
    <t>Actualización 2</t>
  </si>
  <si>
    <t>Nro. de Días 2</t>
  </si>
  <si>
    <t>Memorando Solicitud 3</t>
  </si>
  <si>
    <t>Fecha Solicitud 3</t>
  </si>
  <si>
    <t>Memorando Respuesta 3</t>
  </si>
  <si>
    <t>Fecha Respuesta 3</t>
  </si>
  <si>
    <t>Monto Constancia 3</t>
  </si>
  <si>
    <t>Actualización 3</t>
  </si>
  <si>
    <t>Nro. de Días 3</t>
  </si>
  <si>
    <t>Memorando Solicitud 4</t>
  </si>
  <si>
    <t>Fecha Solicitud 4</t>
  </si>
  <si>
    <t>Memorando Respuesta 4</t>
  </si>
  <si>
    <t>Fecha Respuesta 4</t>
  </si>
  <si>
    <t>Monto Constancia 4</t>
  </si>
  <si>
    <t>Actualización</t>
  </si>
  <si>
    <t>Nro. de Días 4</t>
  </si>
  <si>
    <t>Memorando Solicitud 5</t>
  </si>
  <si>
    <t>Fecha Solicitud 5</t>
  </si>
  <si>
    <t>Memorando Respuesta 5</t>
  </si>
  <si>
    <t>Fecha Respuesta 5</t>
  </si>
  <si>
    <t>Monto Constancia 5</t>
  </si>
  <si>
    <t>Actualización 5</t>
  </si>
  <si>
    <t>Nro. de Días 5</t>
  </si>
  <si>
    <t>Memorando Solicitud 6</t>
  </si>
  <si>
    <t>Fecha Solicitud 6</t>
  </si>
  <si>
    <t>Memorando Respuesta 6</t>
  </si>
  <si>
    <t>Fecha Respuesta 6</t>
  </si>
  <si>
    <t>Monto Constancia 6</t>
  </si>
  <si>
    <t>Actualización 6</t>
  </si>
  <si>
    <t>Nro. de Días 6</t>
  </si>
  <si>
    <t>Memorando Solicitud 7</t>
  </si>
  <si>
    <t>Fecha Solicitud 7</t>
  </si>
  <si>
    <t>Memorando Respuesta 7</t>
  </si>
  <si>
    <t>Fecha Respuesta 7</t>
  </si>
  <si>
    <t>Monto Constancia 7</t>
  </si>
  <si>
    <t>Actualización 7</t>
  </si>
  <si>
    <t>Nro. de Días 7</t>
  </si>
  <si>
    <t>Memorando Solicitud 8</t>
  </si>
  <si>
    <t>Fecha Solicitud 8</t>
  </si>
  <si>
    <t>Memorando Respuesta 8</t>
  </si>
  <si>
    <t>Fecha Respuesta 8</t>
  </si>
  <si>
    <t>Monto Constancia 8</t>
  </si>
  <si>
    <t>Actualización 8</t>
  </si>
  <si>
    <t>Nro. de Días 8</t>
  </si>
  <si>
    <t>Memorando Solicitud 9</t>
  </si>
  <si>
    <t>Fecha Solicitud 9</t>
  </si>
  <si>
    <t>Memorando Respuesta 9</t>
  </si>
  <si>
    <t>Fecha Respuesta 9</t>
  </si>
  <si>
    <t>Monto Constancia 9</t>
  </si>
  <si>
    <t>Actualización 9</t>
  </si>
  <si>
    <t>Nro. de Días 9</t>
  </si>
  <si>
    <t>Nro. C-POA 9</t>
  </si>
  <si>
    <t>Memorando Solicitud 10</t>
  </si>
  <si>
    <t>Fecha Solicitud 10</t>
  </si>
  <si>
    <t>Memorando Respuesta 10</t>
  </si>
  <si>
    <t>Fecha Respuesta 10</t>
  </si>
  <si>
    <t>Monto Constancia 10</t>
  </si>
  <si>
    <t>Actualización 10</t>
  </si>
  <si>
    <t>Nro. de Días 10</t>
  </si>
  <si>
    <t>Nro. C-POA 10</t>
  </si>
  <si>
    <t>MES1</t>
  </si>
  <si>
    <t>MES2</t>
  </si>
  <si>
    <t>MES3</t>
  </si>
  <si>
    <t>MES4</t>
  </si>
  <si>
    <t>MES5</t>
  </si>
  <si>
    <t>MES6</t>
  </si>
  <si>
    <t>MES7</t>
  </si>
  <si>
    <t>MES8</t>
  </si>
  <si>
    <t>MES9</t>
  </si>
  <si>
    <t>MES10</t>
  </si>
  <si>
    <t>MCYP-DA-2024-0044-M</t>
  </si>
  <si>
    <t>MCYP-CGPGE-2024-0026-M</t>
  </si>
  <si>
    <t>1ar-</t>
  </si>
  <si>
    <t>lp-</t>
  </si>
  <si>
    <t>lt</t>
  </si>
  <si>
    <t>MCYP-DA-2024-0422-M</t>
  </si>
  <si>
    <t>MCYP-DPSE-2024-0066-M</t>
  </si>
  <si>
    <t>ltar-</t>
  </si>
  <si>
    <t>52ar-</t>
  </si>
  <si>
    <t>MCYP-DA-2024-0122-M</t>
  </si>
  <si>
    <t>MCYP-DPSE-2024-0021-M</t>
  </si>
  <si>
    <t>14ar-</t>
  </si>
  <si>
    <t>ltmg-</t>
  </si>
  <si>
    <t>MCYP-DA-2024-0415-M</t>
  </si>
  <si>
    <t>MCYP-DPSE-2024-0064-M</t>
  </si>
  <si>
    <t xml:space="preserve"> MCYP-DTIC-2024-0006-M</t>
  </si>
  <si>
    <t>MCYP-DPSE-2024-0006-M</t>
  </si>
  <si>
    <t>2ar-</t>
  </si>
  <si>
    <t xml:space="preserve">MCYP-DTIC-2024-0007-M </t>
  </si>
  <si>
    <t>MCYP-DPSE-2024-0008-M</t>
  </si>
  <si>
    <t>3ar-</t>
  </si>
  <si>
    <t>MCYP-DCS-2024-0009-M</t>
  </si>
  <si>
    <t>MCYP-DPSE-2024-0009-M</t>
  </si>
  <si>
    <t>4ar-</t>
  </si>
  <si>
    <t>MCYP-DTIC-2024-0009-M</t>
  </si>
  <si>
    <t>MCYP-DPSE-2024-0010-M</t>
  </si>
  <si>
    <t>5ar-</t>
  </si>
  <si>
    <t>MCYP-DTIC-2024-0010-M</t>
  </si>
  <si>
    <t>MCYP-DPSE-2024-0011-M</t>
  </si>
  <si>
    <t>6ar-</t>
  </si>
  <si>
    <t>MCYP-DTIC-2024-0011-M</t>
  </si>
  <si>
    <t>MCYP-DPSE-2024-0013-M</t>
  </si>
  <si>
    <t>7ar-</t>
  </si>
  <si>
    <t>MCYP-TBCML-2024-0032-M</t>
  </si>
  <si>
    <t>MCYP-DPSE-2024-0012-M</t>
  </si>
  <si>
    <t>8ar-</t>
  </si>
  <si>
    <t>MCYP-TBCML-2024-0119-M</t>
  </si>
  <si>
    <t>MCYP-DPSE-2024-0057-M</t>
  </si>
  <si>
    <t>45ar-</t>
  </si>
  <si>
    <t>MCYP-DISNC-2024-0017-M</t>
  </si>
  <si>
    <t>MCYP-DPSE-2024-0015-M</t>
  </si>
  <si>
    <t>9ar-</t>
  </si>
  <si>
    <t>MCYP-PFCPACST-2024-0011-M</t>
  </si>
  <si>
    <t>MCYP-DPSE-2024-0014-M</t>
  </si>
  <si>
    <t>10ar-</t>
  </si>
  <si>
    <t>MCYP-PFCPACST-2024-0075-M</t>
  </si>
  <si>
    <t>64ar-</t>
  </si>
  <si>
    <t>MCYP-DPSE-2024-0016-M</t>
  </si>
  <si>
    <t>11ar-</t>
  </si>
  <si>
    <t>MCYP-TBCML-2024-0043-M</t>
  </si>
  <si>
    <t>MCYP-DPSE-2024-0017-M</t>
  </si>
  <si>
    <t>12ar-</t>
  </si>
  <si>
    <t>MCYP-CGAF-2024-0077-M, d</t>
  </si>
  <si>
    <t>MCYP-DPSE-2024-0019-M</t>
  </si>
  <si>
    <t>13ar-</t>
  </si>
  <si>
    <t>MCYP-CGAF-2024-0176-M</t>
  </si>
  <si>
    <t>lt-</t>
  </si>
  <si>
    <t>29ar-</t>
  </si>
  <si>
    <t>MCYP-CGAF-2024-0295-M</t>
  </si>
  <si>
    <t>MCYP-DPSE-2024-0071-M</t>
  </si>
  <si>
    <t>MCYP-SEAI-2024-0046-</t>
  </si>
  <si>
    <t>MCYP-DPSE-2024-0022-M</t>
  </si>
  <si>
    <t>15ar-</t>
  </si>
  <si>
    <t>MCYP-CGAF-2024-0083-M</t>
  </si>
  <si>
    <t>MCYP-DPSE-2024-0024-M</t>
  </si>
  <si>
    <t>16ar-</t>
  </si>
  <si>
    <t>MCYP-SEAI-2024-0048-M</t>
  </si>
  <si>
    <t>MCYP-DPSE-2024-0025-M</t>
  </si>
  <si>
    <t>17ar-</t>
  </si>
  <si>
    <t xml:space="preserve"> MCYP-DATH-2024-0074-M</t>
  </si>
  <si>
    <t>MCYP-DPSE-2024-0023-M</t>
  </si>
  <si>
    <t>18ar-</t>
  </si>
  <si>
    <t>MCYP-DATH-2024-0084-M</t>
  </si>
  <si>
    <t>MCYP-DPSE-2024-0026-M</t>
  </si>
  <si>
    <t>20ar-</t>
  </si>
  <si>
    <t>MCYP-CGAF-2024-0114-M</t>
  </si>
  <si>
    <t>19ar-</t>
  </si>
  <si>
    <t>MCYP-DA-2024-0198-M</t>
  </si>
  <si>
    <t>MCYP-DPSE-2024-0028-M</t>
  </si>
  <si>
    <t>21ar-</t>
  </si>
  <si>
    <t>MCYP-CGAJ-2024-0081-M d</t>
  </si>
  <si>
    <t>MCYP-DPSE-2024-0031-M</t>
  </si>
  <si>
    <t>22ar-</t>
  </si>
  <si>
    <t>MCYP-CGPGE-2024-0183-M</t>
  </si>
  <si>
    <t>MCYP-CGAJ-2024-0143-M</t>
  </si>
  <si>
    <t>41ar-</t>
  </si>
  <si>
    <t>23ar-</t>
  </si>
  <si>
    <t>MCYP-DISNC-2024-0036-M</t>
  </si>
  <si>
    <t>32ar-</t>
  </si>
  <si>
    <t>MCYP-SMS-2024-0101-M</t>
  </si>
  <si>
    <t>MCYP-DPSE-2024-0032-M</t>
  </si>
  <si>
    <t>24ar-</t>
  </si>
  <si>
    <t>25-ar</t>
  </si>
  <si>
    <t>MCYP-DA-2024-0246-M</t>
  </si>
  <si>
    <t xml:space="preserve">MCYP-DPSE-2024-0034-M
</t>
  </si>
  <si>
    <t>26mg</t>
  </si>
  <si>
    <t>MCYP-SMS-2024-0098-M</t>
  </si>
  <si>
    <t>MCYP-DPSE-2024-0036-M</t>
  </si>
  <si>
    <t>27mg</t>
  </si>
  <si>
    <t>MCYP-SMS-2024-0116-M</t>
  </si>
  <si>
    <t>MCYP-DPSE-2024-0037-M</t>
  </si>
  <si>
    <t>28mg-</t>
  </si>
  <si>
    <t>MCYP-PFCPACST-2024-0031-M</t>
  </si>
  <si>
    <t>MCYP-DRICI-2024-0084-M</t>
  </si>
  <si>
    <t>MCYP-DPSE-2024-0042-M</t>
  </si>
  <si>
    <t>31mg-</t>
  </si>
  <si>
    <t>MCYP-DA-2024-0299-M</t>
  </si>
  <si>
    <t>33ar-</t>
  </si>
  <si>
    <t>MCYP-SMS-2024-0134-M</t>
  </si>
  <si>
    <t>MCYP-DPSE-2024-0045-M</t>
  </si>
  <si>
    <t>34MG-</t>
  </si>
  <si>
    <t>MCYP-SEAI-2024-0130-M</t>
  </si>
  <si>
    <t>35ar-</t>
  </si>
  <si>
    <t>MCYP-SEAI-2024-0138-M</t>
  </si>
  <si>
    <t>MCYP-DPSE-2024-0047-M</t>
  </si>
  <si>
    <t>36MG-</t>
  </si>
  <si>
    <t>MCYP-SEAI-2024-0139-M</t>
  </si>
  <si>
    <t>MCYP-DPSE-2024-0048-M</t>
  </si>
  <si>
    <t>37mg</t>
  </si>
  <si>
    <t>MCYP-DA-2024-0319-M</t>
  </si>
  <si>
    <t>MCYP-DPSE-2024-0049-M</t>
  </si>
  <si>
    <t>38mg-</t>
  </si>
  <si>
    <t>MCYP-SMS-2024-0148-M</t>
  </si>
  <si>
    <t>39ar-</t>
  </si>
  <si>
    <t>MCYP-CGAF-2024-0221-M</t>
  </si>
  <si>
    <t>MCYP-DPSE-2024-0053-M</t>
  </si>
  <si>
    <t>42ar-</t>
  </si>
  <si>
    <t>MCYP-DATH-2024-0237-M</t>
  </si>
  <si>
    <t>MCYP-DCS-2024-0036-M</t>
  </si>
  <si>
    <t>43ar-</t>
  </si>
  <si>
    <t>MCYP-CGAF-2024-0240-M</t>
  </si>
  <si>
    <t>MCYP-DPSE-2024-0056-M</t>
  </si>
  <si>
    <t>44mg-</t>
  </si>
  <si>
    <t>MCYP-DISNC-2024-0046-M</t>
  </si>
  <si>
    <t>46ar-</t>
  </si>
  <si>
    <t>47ar-</t>
  </si>
  <si>
    <t>48ar-</t>
  </si>
  <si>
    <t>MCYP-SPC-2024-0107-M y MCYP-SPC-2024-0115-M de</t>
  </si>
  <si>
    <t>lpar-</t>
  </si>
  <si>
    <t>MCYP-SPC-2024-0061-</t>
  </si>
  <si>
    <t>40mg-</t>
  </si>
  <si>
    <t>MCYP-DA-2024-0400-M</t>
  </si>
  <si>
    <t>49ar-</t>
  </si>
  <si>
    <t>50ar-</t>
  </si>
  <si>
    <t>MCYP-DCS-2024-0061-M</t>
  </si>
  <si>
    <t>MCYP-DPSE-2024-0065-M</t>
  </si>
  <si>
    <t>51ar-</t>
  </si>
  <si>
    <t>MCYP-SPC-2024-0082-M</t>
  </si>
  <si>
    <t>MCYP-DPSE-2024-0067-M</t>
  </si>
  <si>
    <t>53ar-</t>
  </si>
  <si>
    <t>MCYP-DTIC-2024-0049-M</t>
  </si>
  <si>
    <t>MCYP-DPSE-2024-0068-M</t>
  </si>
  <si>
    <t>54ar-</t>
  </si>
  <si>
    <t>56ar-</t>
  </si>
  <si>
    <t>MCYP-TBCML-2024-0162-M</t>
  </si>
  <si>
    <t>MCYP-DPSE-2024-0070-M</t>
  </si>
  <si>
    <t>57MG-</t>
  </si>
  <si>
    <t>MCYP-SEAI-2024-0237-M</t>
  </si>
  <si>
    <t>58mg-</t>
  </si>
  <si>
    <t>59mg-</t>
  </si>
  <si>
    <t>MCYP-SMS-2024-0208-M</t>
  </si>
  <si>
    <t>MCYP-DPSE-2024-0073-M</t>
  </si>
  <si>
    <t>60ar-</t>
  </si>
  <si>
    <t>MCYP-DTIC-2024-0056-M</t>
  </si>
  <si>
    <t>MCYP-DPSE-2024-0074-M</t>
  </si>
  <si>
    <t>61ar-</t>
  </si>
  <si>
    <t>MCYP-CGPGE-2024-0036-M d</t>
  </si>
  <si>
    <t>MCYP-DPSE-2024-0075-M</t>
  </si>
  <si>
    <t>62ar-</t>
  </si>
  <si>
    <t>MCYP-CGAF-2024-0328-M de</t>
  </si>
  <si>
    <t>MCYP-DPSE-2024-0076-M</t>
  </si>
  <si>
    <t>63ar-</t>
  </si>
  <si>
    <t>LINEA POA</t>
  </si>
  <si>
    <t>SUBSECRETARIA / COORDINACIÓN /DIRECCIÓN</t>
  </si>
  <si>
    <t>TIPO ACTIVIDAD NUEVA/ ARRASTRE</t>
  </si>
  <si>
    <t>ACTIVIDAD  POA</t>
  </si>
  <si>
    <t>PROGRAMA</t>
  </si>
  <si>
    <t>ACTIVIDAD</t>
  </si>
  <si>
    <t>GRUPO DE GASTO</t>
  </si>
  <si>
    <t>FTE. FINANCIAMIENTO</t>
  </si>
  <si>
    <t>ORG</t>
  </si>
  <si>
    <t>CORR</t>
  </si>
  <si>
    <t>MONTO ACTUAL</t>
  </si>
  <si>
    <t>CERTIFICADO</t>
  </si>
  <si>
    <t>TOTAL DISPONIBLE DE LA CERTIFICACIÓN</t>
  </si>
  <si>
    <t>TOTAL DISPONIBLE  ACTIVIDAD</t>
  </si>
  <si>
    <t xml:space="preserve">N° DE CERTIFICACIÓN </t>
  </si>
  <si>
    <t>ESTADO</t>
  </si>
  <si>
    <t>MES CERTIFICADO</t>
  </si>
  <si>
    <t>MONTO CERTIFICADO</t>
  </si>
  <si>
    <t>MONTO COMPROMISO</t>
  </si>
  <si>
    <t>MONTO DISPONIBLE</t>
  </si>
  <si>
    <t>Devengado</t>
  </si>
  <si>
    <t>APROBADO</t>
  </si>
  <si>
    <t>ENERO</t>
  </si>
  <si>
    <t>FEBRERO</t>
  </si>
  <si>
    <t>MARZO</t>
  </si>
  <si>
    <t>LIQUIDADA</t>
  </si>
  <si>
    <t>ABRIL</t>
  </si>
  <si>
    <t>LIQUIDADO</t>
  </si>
  <si>
    <t>UDAF/CENTRO GESTOR</t>
  </si>
  <si>
    <t>COMPONENTE DEL PROYECTO (Solo inversión)</t>
  </si>
  <si>
    <t>ACTIVIDAD POA</t>
  </si>
  <si>
    <t>ENERO DEVENGADO</t>
  </si>
  <si>
    <t>FEBRERO DEVENGADO</t>
  </si>
  <si>
    <t>MARZO DEVENGADO</t>
  </si>
  <si>
    <t>ABRIL DEVENGADO</t>
  </si>
  <si>
    <t>MAYO DEVENGADO</t>
  </si>
  <si>
    <t>JUNIO DEVENGADO</t>
  </si>
  <si>
    <t>JULIO DEVENGADO</t>
  </si>
  <si>
    <t>AGOSTO DEVENGADO</t>
  </si>
  <si>
    <t>SEPTIEMBRE DEVENGADO</t>
  </si>
  <si>
    <t>OCTUBRE DEVENGADO</t>
  </si>
  <si>
    <t>NOVIEMBRE DEVENGADO</t>
  </si>
  <si>
    <t>DICIEMBRE DEVENGADO</t>
  </si>
  <si>
    <t>PROGRAMADO ACUMULADO</t>
  </si>
  <si>
    <t>SALDO DEVENGADO</t>
  </si>
  <si>
    <t>ítem</t>
  </si>
  <si>
    <t>Des. Ítem</t>
  </si>
  <si>
    <t>INGRESOS CORRIENTES</t>
  </si>
  <si>
    <t>EGRESOS CORRIENTES</t>
  </si>
  <si>
    <t>EGRESOS EN PERSONAL</t>
  </si>
  <si>
    <t>Remuneraciones Básicas</t>
  </si>
  <si>
    <t>Haber Militar y Policial</t>
  </si>
  <si>
    <t>Remuneración Mensual Unificada de Docentes del Magisterio y Docentes e Investigadores Universitarios</t>
  </si>
  <si>
    <t>Remuneración Mensual Unificada en el Exterior</t>
  </si>
  <si>
    <t>Remuneraciones Unificadas de Profesionales de la Salud</t>
  </si>
  <si>
    <t>Remuneraciones Complementarias</t>
  </si>
  <si>
    <t>Egresos de Representación</t>
  </si>
  <si>
    <t>Bonificación para Educadores Comunitarios, Alfabetizadores</t>
  </si>
  <si>
    <t>Remuneración Variable por Emergencia Sanitaria COVID-19</t>
  </si>
  <si>
    <t>Remuneraciones Compensatorias</t>
  </si>
  <si>
    <t>Egresos por Residencia</t>
  </si>
  <si>
    <t>Bonificación Geográfica</t>
  </si>
  <si>
    <t>Compensación en el Exterior</t>
  </si>
  <si>
    <t>Comisariato</t>
  </si>
  <si>
    <t>Compensación Régimen Remunerativo de Fuerzas Armadas, Policía y Cuerpos de Bomberos</t>
  </si>
  <si>
    <t>Compensación por Cesación de Funciones</t>
  </si>
  <si>
    <t>Subsidios</t>
  </si>
  <si>
    <t>Beneficios Sociales</t>
  </si>
  <si>
    <t>Remuneraciones Temporales</t>
  </si>
  <si>
    <t>Remuneración Unificada para Pasantes e Internos Rotativos de Salud</t>
  </si>
  <si>
    <t>Licencia Remunerada</t>
  </si>
  <si>
    <t>Honorarios</t>
  </si>
  <si>
    <t>Horas Extraordinarias y Suplementarias</t>
  </si>
  <si>
    <t>Contratos de Servicios Ocasionales en el Exterior</t>
  </si>
  <si>
    <t>Contratos Ocasionales para el Cumplimiento del Servicio Rural</t>
  </si>
  <si>
    <t>Contratos Ocasionales para el Cumplimiento de la Devengación de Becas</t>
  </si>
  <si>
    <t>Servicios Personales por Contrato de Profesionales de la Salud</t>
  </si>
  <si>
    <t>Servicios Personales por Contrato de Docentes del Magisterio y Docentes e Investigadores Universitarios</t>
  </si>
  <si>
    <t>Aportes Patronales a la Seguridad Social</t>
  </si>
  <si>
    <t>Asignación Global de Jubilación Patronal para Trabajadores Amparados por el Código de Trabajo</t>
  </si>
  <si>
    <t>Indemnizaciones</t>
  </si>
  <si>
    <t>Supresión de Puesto</t>
  </si>
  <si>
    <t>Despido Intempestivo</t>
  </si>
  <si>
    <t>Compensación por Desahucio</t>
  </si>
  <si>
    <t>Restitución de Puesto</t>
  </si>
  <si>
    <t>Beneficio por Jubilación</t>
  </si>
  <si>
    <t>Por Accidente de Trabajo o Enfermedad</t>
  </si>
  <si>
    <t>Por Renuncia Voluntaria</t>
  </si>
  <si>
    <t>Por Compra de Renuncia</t>
  </si>
  <si>
    <t>Indemnizaciones Laborales</t>
  </si>
  <si>
    <t>Incentivo Excepcional para la Jubilación (Trabajadores del IESS)</t>
  </si>
  <si>
    <t>BIENES Y SERVICIOS DE CONSUMO</t>
  </si>
  <si>
    <t>Servicios Básicos</t>
  </si>
  <si>
    <t>Agua de Riego</t>
  </si>
  <si>
    <t>Telecomunicaciones</t>
  </si>
  <si>
    <t>Servicios Generales</t>
  </si>
  <si>
    <t>Fletes y Maniobras</t>
  </si>
  <si>
    <t>Edición, Impresión, Reproducción, Publicaciones, Suscripciones, Fotocopiado, Traducción, Empastado, Enmarcación,
Serigrafía, Fotografía, Carnetización, Filmación e Imágenes Satelitales.</t>
  </si>
  <si>
    <t>Espectáculos Culturales y Sociales</t>
  </si>
  <si>
    <t>Difusión, Información y Publicidad</t>
  </si>
  <si>
    <t>Servicios de Aseo, Lavado de Vestimenta de Trabajo, Fumigación, Desinfección,  Limpieza de Instalaciones, manejo
de desechos contaminados, recuperación y clasificación de materiales reciclables.</t>
  </si>
  <si>
    <t>Servicio de Guardería</t>
  </si>
  <si>
    <t>Servicios especiales para Inteligencia y Contrainteligencia</t>
  </si>
  <si>
    <t>Servicios de Voluntariado</t>
  </si>
  <si>
    <t>Servicios para Actividades Agropecuarias, Pesca y Caza</t>
  </si>
  <si>
    <t>Servicios Personales Eventuales sin Relación de Dependencia</t>
  </si>
  <si>
    <t>Servicios y Derechos en Producción y Programación de Radio y Televisión</t>
  </si>
  <si>
    <t>Servicio de Implementación y Administración de Bancos de Información</t>
  </si>
  <si>
    <t>Servicio de Incineración de Documentos Públicos, Sustancias Estupefacientes y Psicotrópicas, Bienes Defectuosos
y/o Caducados, Productos Agropecuarios Decomisados, Desechos de Laboratorio y Otros</t>
  </si>
  <si>
    <t>Servicios Médicos Hospitalarios y Complementarios</t>
  </si>
  <si>
    <t>Servicios de Repatriación de Cadáveres de Ecuatorianos Fallecidos en el Exterior</t>
  </si>
  <si>
    <t>Servicios de Provisión de Dispositivos Electrónicos y Certificación para Registro de Firmas Digitales</t>
  </si>
  <si>
    <t>Soporte al Usuario a través de Centros de Servicios y Operadores Telefónicos</t>
  </si>
  <si>
    <t>Digitalización de Información y Datos Públicos</t>
  </si>
  <si>
    <t>Servicios de Protección y Asistencia Técnica a Víctimas, Testigos y Otros Participantes en Procesos Penales</t>
  </si>
  <si>
    <t>Barrido Predial para la Modernización del Sistema de Información</t>
  </si>
  <si>
    <t>Servicios en Actividades Mineras e Hidrocarburíferas</t>
  </si>
  <si>
    <t>Comisiones por la Venta de Productos, Servicios Postales y Financieros</t>
  </si>
  <si>
    <t>Servicio de Alimentación</t>
  </si>
  <si>
    <t>Servicios en Plantaciones Forestales</t>
  </si>
  <si>
    <t>Remediación, Restauración y Descontaminación de Cuerpos de Agua</t>
  </si>
  <si>
    <t>Servicio de Administración de Patio de Contenedores</t>
  </si>
  <si>
    <t>Membrecías</t>
  </si>
  <si>
    <t>Servicios Exequiales</t>
  </si>
  <si>
    <t>Servicio de Monitoreo de la Información en Televisión, Radio, Prensa, Medios On-Line y Otros</t>
  </si>
  <si>
    <t>Servicios  de  Almacenamiento,  Control,  Custodia,  Dispensación  de  Medicamentos,  Materiales  e  Insumos  Médicos  y
Otros</t>
  </si>
  <si>
    <t>Garantía Extendida de Bienes</t>
  </si>
  <si>
    <t>Servicio de Confección de Menaje de Hogar y/o Prendas de Protección</t>
  </si>
  <si>
    <t>Servicios relacionados a la exhumación e inhumación de cadáveres</t>
  </si>
  <si>
    <t>Servicios de Identificación, Marcación, Autentificación, Rastreo, Monitoreo, Seguimiento y/o Trazabilidad</t>
  </si>
  <si>
    <t>Servicio de Educación en el Exterior para hijos/as del personal diplomático y auxiliar del servicio exterior</t>
  </si>
  <si>
    <t>Eventos Oficiales</t>
  </si>
  <si>
    <t>Eventos Públicos Promocionales</t>
  </si>
  <si>
    <t>Egresos para Migrantes en Procesos de Deportación o en Estados de Vulnerabilidad</t>
  </si>
  <si>
    <t>Procesos de Deportación de Inmigrantes, Control Migratorio y de Residencia en la provincia de Galápagos</t>
  </si>
  <si>
    <t>Licencias y Derechos No Exclusivos de Obras y Productos Culturales</t>
  </si>
  <si>
    <t>Servicios Generales para Subastas, Arriendos y Remates</t>
  </si>
  <si>
    <t>Servicios de Prestaciones o Protecciones</t>
  </si>
  <si>
    <t>Traslados, Instalaciones, Viáticos y Subsistencias</t>
  </si>
  <si>
    <t>Pasajes al Exterior</t>
  </si>
  <si>
    <t>Viáticos y Subsistencias en el Exterior</t>
  </si>
  <si>
    <t>Mudanzas e Instalaciones</t>
  </si>
  <si>
    <t>Viáticos por Gastos de Residencia</t>
  </si>
  <si>
    <t>Atención a Delegados Extranjeros y Nacionales, Deportistas, Entrenadores y Cuerpo Técnico que Representen al País</t>
  </si>
  <si>
    <t>Recargos por cambios en pasajes al interior y al exterior del país</t>
  </si>
  <si>
    <t>Gastos de Representación en el Exterior</t>
  </si>
  <si>
    <t>Instalación, Mantenimiento, Reparación y Demolición</t>
  </si>
  <si>
    <t>Terrenos (Mantenimiento)</t>
  </si>
  <si>
    <t>Mobiliarios  (Instalación, Mantenimiento y Reparación)</t>
  </si>
  <si>
    <t>Vehículos (Servicio para Mantenimiento y Reparación)</t>
  </si>
  <si>
    <t>Herramientas (Mantenimiento y Reparación)</t>
  </si>
  <si>
    <t>Bienes Artísticos y Culturales</t>
  </si>
  <si>
    <t>Libros y Colecciones</t>
  </si>
  <si>
    <t>Bienes de Uso Bélico y de Seguridad Pública</t>
  </si>
  <si>
    <t>Bienes Biológicos</t>
  </si>
  <si>
    <t>Infraestructura</t>
  </si>
  <si>
    <t>Mantenimiento de Áreas Verdes y Arreglo de Vías Internas</t>
  </si>
  <si>
    <t>Bienes Deportivos (Instalación, Mantenimiento y Reparación)</t>
  </si>
  <si>
    <t>Instalación, Readecuación, Montaje de Exposiciones, Mantenimiento y Reparación de Espacios y Bienes Culturales</t>
  </si>
  <si>
    <t>Demoliciones de Edificios, Locales, Residencias y Otros</t>
  </si>
  <si>
    <t>Arrendamiento de Bienes</t>
  </si>
  <si>
    <t>Terrenos (Arrendamiento)</t>
  </si>
  <si>
    <t>Edificios, Locales y Residencias, Parqueaderos, Casilleros Judiciales y Bancarios (Arrendamiento)</t>
  </si>
  <si>
    <t>Mobiliario (Arrendamiento)</t>
  </si>
  <si>
    <t>Maquinarias y Equipos (Arrendamiento)</t>
  </si>
  <si>
    <t>Vehículos (Arrendamiento)</t>
  </si>
  <si>
    <t>Herramientas (Arrendamiento)</t>
  </si>
  <si>
    <t>Bienes Biológicos (Alquiler)</t>
  </si>
  <si>
    <t>Indumentaria, Prendas de protección, Accesorios y Otros</t>
  </si>
  <si>
    <t>Contratación de Estudios, Investigaciones y Servicios Técnicos Especializados.</t>
  </si>
  <si>
    <t>Consultoría, Asesoría e Investigación Especializada</t>
  </si>
  <si>
    <t>Servicio de Auditoría</t>
  </si>
  <si>
    <t>Fiscalización e Inspecciones Técnicas</t>
  </si>
  <si>
    <t>Estudio y Diseño de Proyectos</t>
  </si>
  <si>
    <t>Servicios Técnicos Especializados</t>
  </si>
  <si>
    <t>Registro, Inscripción y Otros Egresos Previos a la Aceptación para Capacitación en el Exterior</t>
  </si>
  <si>
    <t>Investigaciones Profesionales y Análisis de Laboratorio</t>
  </si>
  <si>
    <t>Servicios de Cartografía</t>
  </si>
  <si>
    <t>Congresos, Seminarios y Convenciones</t>
  </si>
  <si>
    <t>Capacitación a Servidores Públicos</t>
  </si>
  <si>
    <t>Capacitación para la Ciudadanía en General</t>
  </si>
  <si>
    <t>Egresos en Informática</t>
  </si>
  <si>
    <t>Desarrollo, Actualización, Asistencia Técnica y Soporte de Sistemas Informáticos</t>
  </si>
  <si>
    <t>Arrendamiento y Licencias de Uso de Paquetes Informáticos</t>
  </si>
  <si>
    <t>Arrendamiento de Equipos Informáticos</t>
  </si>
  <si>
    <t>Bienes de Uso y Consumo Corriente</t>
  </si>
  <si>
    <t>Alimentos y Bebidas</t>
  </si>
  <si>
    <t>Vestuario,  Lencería,  Prendas  de  Protección,  Insumos  y  Accesorios  para  uniformes  del  personal  de  Protección,
Vigilancia y Seguridad.</t>
  </si>
  <si>
    <t>Lubricantes</t>
  </si>
  <si>
    <t>Materiales de Oficina</t>
  </si>
  <si>
    <t>Materiales de Aseo</t>
  </si>
  <si>
    <t>Materiales de Impresión, Fotografía, Reproducción y Publicaciones</t>
  </si>
  <si>
    <t>Instrumental Médico Quirúrgico</t>
  </si>
  <si>
    <t>Medicamentos</t>
  </si>
  <si>
    <t>Dispositivos Médicos para Laboratorio Clínico y de Patología</t>
  </si>
  <si>
    <t>Insumos,   Materiales   y   Suministros   para   Construcción,   Electricidad,   Plomería,   Carpintería,   Señalización   Vial,
Navegación, Contra Incendios y Placas</t>
  </si>
  <si>
    <t>Materiales Didácticos</t>
  </si>
  <si>
    <t>Repuestos y Accesorios</t>
  </si>
  <si>
    <t>Suministros para Actividades Agropecuarias, Pesca y Caza</t>
  </si>
  <si>
    <t>Acuñación de Monedas</t>
  </si>
  <si>
    <t>Derivados de Hidrocarburos para la Comercialización Interna</t>
  </si>
  <si>
    <t>Productos Agrícolas</t>
  </si>
  <si>
    <t>Accesorios e Insumos Químicos y Orgánicos</t>
  </si>
  <si>
    <t>Menaje y Accesorios Descartables</t>
  </si>
  <si>
    <t>Egresos para Situaciones de Emergencia</t>
  </si>
  <si>
    <t>Condecoraciones</t>
  </si>
  <si>
    <t>Egresos para Sanidad Agropecuaria</t>
  </si>
  <si>
    <t>Insumos, Bienes y Materiales para  Producción de  Programas de  Radio, Televisión,  Eventos Culturales,  Artísticos y
Entretenimiento en General</t>
  </si>
  <si>
    <t>Insumos y Accesorios para Compensar Discapacidades</t>
  </si>
  <si>
    <t>Dispositivos Médicos de Uso General</t>
  </si>
  <si>
    <t>Uniformes Deportivos</t>
  </si>
  <si>
    <t>Materiales de Peluquería</t>
  </si>
  <si>
    <t>Insumos, Materiales, Suministros y Bienes para Investigación</t>
  </si>
  <si>
    <t>Dispositivos Médicos para Odontología</t>
  </si>
  <si>
    <t>Dispositivos Médicos para Imagen</t>
  </si>
  <si>
    <t>Prótesis, Endoprótesis e Implantes Corporales</t>
  </si>
  <si>
    <t>Muestras de Productos para Ferias, Exposiciones y Negociaciones Nacionales e Internacionales</t>
  </si>
  <si>
    <t>Productos Homeopáticos</t>
  </si>
  <si>
    <t>Insumos para Medicina Alternativa</t>
  </si>
  <si>
    <t>Pertrechos para la Defensa y Seguridad Pública</t>
  </si>
  <si>
    <t>Logística</t>
  </si>
  <si>
    <t>Suministros para la Defensa y Seguridad Pública</t>
  </si>
  <si>
    <t>Convenios de Adhesión para Adquisición de Medicamentos de Consulta Externa</t>
  </si>
  <si>
    <t>Convenios de Adhesión para Adquisición de Medicamentos de Consulta Externa en Farmacias Externalizadas</t>
  </si>
  <si>
    <t>Bienes Muebles no Depreciables</t>
  </si>
  <si>
    <t>Mobiliario</t>
  </si>
  <si>
    <t>Maquinarias y Equipos</t>
  </si>
  <si>
    <t>Herramientas y Equipos menores</t>
  </si>
  <si>
    <t>Equipos, Sistemas y Paquetes Informáticos</t>
  </si>
  <si>
    <t>Bienes Artísticos, Culturales, Deportivos y Símbolos Patrios</t>
  </si>
  <si>
    <t>Partes y Repuestos</t>
  </si>
  <si>
    <t>Bienes Biológicos no Depreciables</t>
  </si>
  <si>
    <t>Semovientes</t>
  </si>
  <si>
    <t>Acuáticos</t>
  </si>
  <si>
    <t>Plantas</t>
  </si>
  <si>
    <t>Fondos de Reposición</t>
  </si>
  <si>
    <t>Fondos de Reposición Cajas Chicas</t>
  </si>
  <si>
    <t>Fondos Rotativos</t>
  </si>
  <si>
    <t>OTROS EGRESOS CORRIENTES</t>
  </si>
  <si>
    <t>Impuestos, Tasas y Contribuciones</t>
  </si>
  <si>
    <t>Tasas Generales, Impuestos, Contribuciones, Permisos, Licencias y Patentes.</t>
  </si>
  <si>
    <t>Tasas Portuarias y Aeroportuarias</t>
  </si>
  <si>
    <t>Contribuciones Especiales y de Mejora</t>
  </si>
  <si>
    <t>Otros Impuestos, Tasas y Contribuciones</t>
  </si>
  <si>
    <t>Seguros, Costos Financieros y Otros Egresos</t>
  </si>
  <si>
    <t>Seguros</t>
  </si>
  <si>
    <t>Comisiones Bancarias</t>
  </si>
  <si>
    <t>Reajustes de Inversiones</t>
  </si>
  <si>
    <t>Diferencial Cambiario</t>
  </si>
  <si>
    <t>Costas Judiciales, Trámites Notariales, Legalización de Documentos y Arreglos Extrajudiciales</t>
  </si>
  <si>
    <t>Comisiones y Participaciones por Denuncias</t>
  </si>
  <si>
    <t>Prima de Riesgo de Instituciones Financieras</t>
  </si>
  <si>
    <t>Indemnizaciones por Sentencias Judiciales</t>
  </si>
  <si>
    <t>Obligaciones con el IESS por Responsabilidad Patronal</t>
  </si>
  <si>
    <t>Obligaciones por Coactivas Interpuestas por el IESS</t>
  </si>
  <si>
    <t>Intereses por Mora Patronal al IESS</t>
  </si>
  <si>
    <t>Devoluciones</t>
  </si>
  <si>
    <t>Dietas</t>
  </si>
  <si>
    <t>TRANSFERENCIAS O DONACIONES CORRIENTES</t>
  </si>
  <si>
    <t>Transferencias o Donaciones Corrientes al Sector Público</t>
  </si>
  <si>
    <t>A Entidades del Presupuesto General del Estado</t>
  </si>
  <si>
    <t>A Entidades Descentralizadas y Autónomas</t>
  </si>
  <si>
    <t>A Empresas Públicas</t>
  </si>
  <si>
    <t>A Gobiernos Autónomos Descentralizados</t>
  </si>
  <si>
    <t>A Entidades Financieras Públicas</t>
  </si>
  <si>
    <t>A Cuentas o Fondos Especiales</t>
  </si>
  <si>
    <t>A la Cuenta de Financiamiento de Derivados Deficitarios</t>
  </si>
  <si>
    <t>Transferencias o Donaciones Corrientes al Sector Privado Interno</t>
  </si>
  <si>
    <t>Al Sector Privado Financiero</t>
  </si>
  <si>
    <t>Al Sector Privado no Financiero</t>
  </si>
  <si>
    <t>Indemnizaciones por Afectaciones a los Derechos Humanos</t>
  </si>
  <si>
    <t>Becas y Ayudas Económicas</t>
  </si>
  <si>
    <t>A Jubilados Patronales</t>
  </si>
  <si>
    <t>A Pensionistas Vitalicios</t>
  </si>
  <si>
    <t>Donaciones Corrientes al Exterior</t>
  </si>
  <si>
    <t>A Organismos Multilaterales</t>
  </si>
  <si>
    <t>A Gobiernos y Organismos Gubernamentales</t>
  </si>
  <si>
    <t>Aportes y Participaciones al Sector Público</t>
  </si>
  <si>
    <t>Contribución 0.5% de las Planillas de Pago al IESS</t>
  </si>
  <si>
    <t>Por Aplicación de Fondos Ajenos</t>
  </si>
  <si>
    <t>Por Aplicación de Cuentas y Fondos Especiales</t>
  </si>
  <si>
    <t>Entrega de Depósitos Inmovilizados</t>
  </si>
  <si>
    <t>De Precios y Tarifas a Entes Públicos</t>
  </si>
  <si>
    <t>De Precios y Tarifas a Entes Privados</t>
  </si>
  <si>
    <t>De Tarifas a Entes Privados</t>
  </si>
  <si>
    <t>Subsidio a la Vivienda</t>
  </si>
  <si>
    <t>Bono de Desarrollo Humano</t>
  </si>
  <si>
    <t>Adquisición de Insumos Agroquímicos</t>
  </si>
  <si>
    <t>Subsidio Consumo Interno de Derivados de Petróleo</t>
  </si>
  <si>
    <t>Bono de Desnutrición</t>
  </si>
  <si>
    <t>Pensión de Adultos Mayores</t>
  </si>
  <si>
    <t>Pensión para Personas con Capacidades Especiales</t>
  </si>
  <si>
    <t>Bono por Discapacidad</t>
  </si>
  <si>
    <t>Bono por Emergencia</t>
  </si>
  <si>
    <t>Bono Joaquín Gallegos Lara</t>
  </si>
  <si>
    <t>Bono de Adherencia a la Tuberculosis</t>
  </si>
  <si>
    <t>Bono para Niños, Niñas y Adolescentes en Situación de Orfandad por muerte violenta de su Madre o Progenitora</t>
  </si>
  <si>
    <t>Impulso para el emprendimiento</t>
  </si>
  <si>
    <t>Bono por Emergencia Sanitaria</t>
  </si>
  <si>
    <t>Aporte Económico del Empleo Trabajadores</t>
  </si>
  <si>
    <t>Aporte Económico del Empleo Ciudadanos</t>
  </si>
  <si>
    <t>Aportes y Participaciones Corrientes a Gobiernos Autónomos Descentralizados y Regímenes Especiales</t>
  </si>
  <si>
    <t>A  Gobiernos  Autónomos  Descentralizados  Provinciales  y  al  Régimen  Especial  de  Galápagos  por  la  aplicación  del
Modelo de Equidad Territorial</t>
  </si>
  <si>
    <t>A  Gobiernos  Autónomos  Descentralizados  Distritales  y  Municipales  por  la  aplicación  del  Modelo  de  Equidad
Territorial</t>
  </si>
  <si>
    <t>A Gobiernos Autónomos Descentralizados Parroquiales Rurales por la aplicación del Modelo de Equidad Territorial</t>
  </si>
  <si>
    <t>A Gobiernos Autónomos Descentralizados Provinciales por asumir la Competencia de Riego y Drenaje</t>
  </si>
  <si>
    <t>A  Gobiernos  Autónomos  Descentralizados  Metropolitanos  y  Municipales  por  asumir  la  Competencia  de  Tránsito,
Transporte Terrestre y Seguridad Vial</t>
  </si>
  <si>
    <t>A Gobiernos Autónomos Descentralizados Metropolitanos y Municipales por asumir la Competencia para Preservar el
Patrimonio Arquitectónico y Cultural</t>
  </si>
  <si>
    <t>Transferencias Corrientes a la Seguridad Social</t>
  </si>
  <si>
    <t>Contribuciones 40% Pensiones Pagadas por el Seguro General</t>
  </si>
  <si>
    <t>Contribución 40% Pensiones Riesgos del Trabajo</t>
  </si>
  <si>
    <t>Financiamiento Seguro Social Campesino 30% del 1% de Sueldos y Salarios</t>
  </si>
  <si>
    <t>Contribuciones 40% Pensiones Seguro Social Campesino</t>
  </si>
  <si>
    <t>Aporte Anual Seguro Social Campesino</t>
  </si>
  <si>
    <t>Reservas Matemáticas</t>
  </si>
  <si>
    <t>Asignaciones del Estado para el pago de Pensiones del ISSFA</t>
  </si>
  <si>
    <t>Pensiones a Cargo del Estado Pagadas por el ISSFA</t>
  </si>
  <si>
    <t>Asignaciones del Estado para el pago de Pensiones del ISSPOL</t>
  </si>
  <si>
    <t>Pensiones a Cargo del Estado pagadas por el ISSPOL</t>
  </si>
  <si>
    <t>Reconocimiento de Pago de Pensiones a Héroes y Heroínas Nacionales</t>
  </si>
  <si>
    <t>Ley 2004-39 Incremento de las Pensiones Jubilares del IESS</t>
  </si>
  <si>
    <t>Pensiones del Seguro Adicional del  Magisterio Fiscal</t>
  </si>
  <si>
    <t>A la Seguridad Social por Subsidio del Porcentaje de la Aportación Individual de las Personas que Realizan Trabajo no
Remunerado del Hogar</t>
  </si>
  <si>
    <t>A la Seguridad Social como Aporte del Estado por el Trabajo Juvenil</t>
  </si>
  <si>
    <t>Reconocimiento  a  los  ex  combatientes  no  remunerados,  ni  pensionados,  que  se  encuentren  en  situación  de vulnerabilidad ISSFA</t>
  </si>
  <si>
    <t>Transferencias por Convenios Internacionales</t>
  </si>
  <si>
    <t>Convenios Internacionales para la Seguridad Social</t>
  </si>
  <si>
    <t>Transferencias  para  Usuarios  con  Enfermedades  Catastróficas  Beneficiarios  de  Cobertura  Internacional  y  para
Convenios de Cooperación Técnica Internacional</t>
  </si>
  <si>
    <t>A Usuarios con Enfermedades Catastróficas Beneficiarios de Cobertura Internacional</t>
  </si>
  <si>
    <t>Convenio de Cooperación Técnica Internacional</t>
  </si>
  <si>
    <t>Asignaciones a Distribuir</t>
  </si>
  <si>
    <t>Asignación a Distribuir para Transferencias y Donaciones Corrientes</t>
  </si>
  <si>
    <t>EGRESOS DE INVERSIÓN</t>
  </si>
  <si>
    <t>EGRESOS EN PERSONAL PARA INVERSIÓN</t>
  </si>
  <si>
    <t>Subsidios por Antigüedad</t>
  </si>
  <si>
    <t>Remuneración Unificada para Pasantes</t>
  </si>
  <si>
    <t>BIENES Y SERVICIOS PARA INVERSIÓN</t>
  </si>
  <si>
    <t>Edición, Impresión, Reproducción, Publicaciones, Suscripciones, Fotocopiado, Traducción, Empastado, Enmarcación, Serigrafía, Fotografía, Carnetización, Filmación e Imágenes Satelitales.</t>
  </si>
  <si>
    <t>Servicio de Implementación de Bancos de Información</t>
  </si>
  <si>
    <t>Servicio de Incineración de Documentos Públicos, Sustancias Estupefacientes y Psicotrópicas, Bienes Defectuosos o
Caducados, Productos Agropecuarios Decomisados, Desechos de Laboratorio y Otros</t>
  </si>
  <si>
    <t>Atención a Delegados Extranjeros y Nacionales, Deportistas, Entrenadores y Cuerpo Técnico que Representen al País.</t>
  </si>
  <si>
    <t>Instalación, Mantenimiento y Reparación</t>
  </si>
  <si>
    <t>Edificios, Locales, Residencias y Cableado Estructurado (Mantenimiento, Reparación e Instalación)</t>
  </si>
  <si>
    <t>Mobiliarios (Instalación, Mantenimiento y Reparación)</t>
  </si>
  <si>
    <t>Instalación, Mantenimiento y Reparación de Bienes Deportivos</t>
  </si>
  <si>
    <t>Edificios, Locales, Residencias, Parqueaderos, Casilleros Judiciales y Bancarios (Arrendamiento)</t>
  </si>
  <si>
    <t>Bienes Bilógicos (Alquiler)</t>
  </si>
  <si>
    <t>Registro, Inscripción y Otros egresos previos a la aceptación para una Capacitación en el Exterior</t>
  </si>
  <si>
    <t>Bienes de Uso y Consumo de Inversión</t>
  </si>
  <si>
    <t>Insumos, Bienes y Materiales para la Producción de Programas de Radio y Televisión, Eventos Culturales, Artísticos y
Entretenimiento en General</t>
  </si>
  <si>
    <t>Ayudas Técnicas para Compensar Discapacidades</t>
  </si>
  <si>
    <t>Suministros para la defensa y seguridad pública</t>
  </si>
  <si>
    <t>Mobiliarios</t>
  </si>
  <si>
    <t>Herramientas y equipos menores</t>
  </si>
  <si>
    <t>Bienes Artísticos, Culturales, Bienes Deportivos y Símbolos Patrios</t>
  </si>
  <si>
    <t>Fondos de Reposición de Inversión</t>
  </si>
  <si>
    <t>Fondos de Reposición Cajas Chicas en Proyectos y Programas de Inversión</t>
  </si>
  <si>
    <t>Fondos Rotativos en Proyectos y Programas de Inversión</t>
  </si>
  <si>
    <t>OBRAS PÚBLICAS</t>
  </si>
  <si>
    <t>Obras de Infraestructura</t>
  </si>
  <si>
    <t>Riego y Manejo de Aguas</t>
  </si>
  <si>
    <t>Alcantarillado</t>
  </si>
  <si>
    <t>Urbanización y Embellecimiento</t>
  </si>
  <si>
    <t>Transporte y Vías</t>
  </si>
  <si>
    <t>Construcciones y Edificaciones</t>
  </si>
  <si>
    <t>Hospitales, Centros de Asistencia Social y Salud</t>
  </si>
  <si>
    <t>Construcciones Agropecuarias</t>
  </si>
  <si>
    <t>Plantas Industriales</t>
  </si>
  <si>
    <t>Habilitación y Protección del Suelo, Subsuelo y Áreas Ecológicas</t>
  </si>
  <si>
    <t>Formación de Plantaciones</t>
  </si>
  <si>
    <t>Explotación de Aguas Subterráneas</t>
  </si>
  <si>
    <t>Control de Inundaciones y Estabilización de Cauces</t>
  </si>
  <si>
    <t>Otras Obras de Infraestructura</t>
  </si>
  <si>
    <t>Obras para Generación de Energía</t>
  </si>
  <si>
    <t>Generación Eléctrica Hidráulica</t>
  </si>
  <si>
    <t>Generación Eléctrica Térmica</t>
  </si>
  <si>
    <t>Sistemas Alternativos de Generación de Energía</t>
  </si>
  <si>
    <t>Obras Hidrocarburíferas y Mineras</t>
  </si>
  <si>
    <t>Extracción de Hidrocarburos</t>
  </si>
  <si>
    <t>Refinación</t>
  </si>
  <si>
    <t>Almacenamiento</t>
  </si>
  <si>
    <t>Comercialización</t>
  </si>
  <si>
    <t>Transporte de Materias Primas y Derivados</t>
  </si>
  <si>
    <t>Actividad Minera</t>
  </si>
  <si>
    <t>Obras en Líneas, Redes e Instalaciones Eléctricas y Telecomunicaciones</t>
  </si>
  <si>
    <t>Líneas, Redes e Instalaciones Eléctricas</t>
  </si>
  <si>
    <t>Líneas, Redes e Instalaciones de Telecomunicaciones</t>
  </si>
  <si>
    <t>Mantenimiento y Reparaciones de Infraestructura</t>
  </si>
  <si>
    <t>Obras para Generación de Energía Eléctrica</t>
  </si>
  <si>
    <t>Obras de Líneas, Redes e Instalaciones Eléctricas y de Telecomunicaciones</t>
  </si>
  <si>
    <t>OTROS EGRESOS DE INVERSIÓN</t>
  </si>
  <si>
    <t>Tasas Generales, Impuestos, Contribuciones, Permisos, Licencias y Patentes</t>
  </si>
  <si>
    <t>Intereses por mora Patronal al IESS</t>
  </si>
  <si>
    <t>TRANSFERENCIAS O DONACIONES PARA INVERSION</t>
  </si>
  <si>
    <t>Transferencias o Donaciones para Inversión al Sector Público</t>
  </si>
  <si>
    <t>A Entidades Descentralizadas y Autónomas (Transferencias para Inversión)</t>
  </si>
  <si>
    <t>Transferencias o Donaciones de Inversión al Sector Privado Interno</t>
  </si>
  <si>
    <t>Transferencias o Donaciones al  Sector Privado Financiero</t>
  </si>
  <si>
    <t>Transferencias o Donaciones al Sector Privado no Financiero</t>
  </si>
  <si>
    <t>Becas</t>
  </si>
  <si>
    <t>Bono de la Vivienda</t>
  </si>
  <si>
    <t>Transferencias al Sector Privado no Financiero para sustitución del gas licuado de petróleo por eficiencia energética</t>
  </si>
  <si>
    <t>Transferencias o Donaciones de Inversión al Exterior</t>
  </si>
  <si>
    <t>Al  Exterior</t>
  </si>
  <si>
    <t>A Organismos Externos Partícipes del Fondo Ecuador – Venezuela para el Desarrollo</t>
  </si>
  <si>
    <t>Transferencias o Donaciones de Inversión al Sector Privado no Financiero</t>
  </si>
  <si>
    <t>Subsidios e Incentivo Económico</t>
  </si>
  <si>
    <t>Incentivo Económico para Actividades Agropecuarias, Caza y Pesca</t>
  </si>
  <si>
    <t>Bono para Niños, Niñas y Adolescentes en Situación de Orfandad por muerte violenta de su Madre o Progenitora en
inversión</t>
  </si>
  <si>
    <t>Aportes y Participaciones para Inversión a Gobiernos Autónomos Descentralizados y Regímenes Especiales</t>
  </si>
  <si>
    <t>A Gobiernos Autónomos Descentralizados Provinciales y Régimen Especial de Galápagos por el Ejercicio de Nuevas
Competencias</t>
  </si>
  <si>
    <t>Transferencias  para  Usuarios  con  Enfermedades  Catastróficas  Beneficiarios  de  Cobertura  Internacional  y  para
Convenios de Cooperación Técnica Internacional de Inversión</t>
  </si>
  <si>
    <t>EGRESOS DE CAPITAL</t>
  </si>
  <si>
    <t>BIENES DE LARGA DURACIÓN (PROPIEDADES PLANTA Y EQUIPO)</t>
  </si>
  <si>
    <t>Bienes Muebles</t>
  </si>
  <si>
    <t>Vehículos</t>
  </si>
  <si>
    <t>Herramientas</t>
  </si>
  <si>
    <t>Bienes de Seguridad Nacional Estratégica</t>
  </si>
  <si>
    <t>Equipos Médicos</t>
  </si>
  <si>
    <t>Equipos Odontológicos</t>
  </si>
  <si>
    <t>Bienes Inmuebles</t>
  </si>
  <si>
    <t>Terrenos (Inmuebles)</t>
  </si>
  <si>
    <t>Edificios, Locales y Residencias (Inmuebles)</t>
  </si>
  <si>
    <t>Bienes Prefabricados (Inmuebles)</t>
  </si>
  <si>
    <t>Expropiaciones de Bienes</t>
  </si>
  <si>
    <t>Terrenos (Expropiación)</t>
  </si>
  <si>
    <t>Edificios, Locales y Residencias (Expropiación)</t>
  </si>
  <si>
    <t>Intangibles</t>
  </si>
  <si>
    <t>Patentes, Derechos de Autor, Marcas Registradas y Derecho de Llave.</t>
  </si>
  <si>
    <t>Licencias Computacionales</t>
  </si>
  <si>
    <t>Sistemas de Información</t>
  </si>
  <si>
    <t>Páginas Web</t>
  </si>
  <si>
    <t>Bosques</t>
  </si>
  <si>
    <t>INVERSIONES FINANCIERAS</t>
  </si>
  <si>
    <t>Inversiones en Títulos – Valores</t>
  </si>
  <si>
    <t>Certificados del Tesoro Nacional</t>
  </si>
  <si>
    <t>Bonos del Estado</t>
  </si>
  <si>
    <t>Depósitos a Plazo</t>
  </si>
  <si>
    <t>Compra de Acciones</t>
  </si>
  <si>
    <t>Participaciones de Capital</t>
  </si>
  <si>
    <t>Participaciones Fiduciarias</t>
  </si>
  <si>
    <t>Inversiones IESS</t>
  </si>
  <si>
    <t>Otros Títulos</t>
  </si>
  <si>
    <t>Concesión de Préstamos</t>
  </si>
  <si>
    <t>Al Presupuesto General del Estado</t>
  </si>
  <si>
    <t>A Entidades del Gobierno Autónomo Descentralizado</t>
  </si>
  <si>
    <t>A la Seguridad Social</t>
  </si>
  <si>
    <t>Al Sector Privado</t>
  </si>
  <si>
    <t>A Organismos Externos Partícipes del Fondo Ecuador - Venezuela para el Desarrollo</t>
  </si>
  <si>
    <t>Inversiones en Títulos - Valores</t>
  </si>
  <si>
    <t>Participaciones de capital</t>
  </si>
  <si>
    <t>TRANSFERENCIAS O DONACIONES DE CAPITAL</t>
  </si>
  <si>
    <t>Transferencias o Donaciones de Capital al Sector Público</t>
  </si>
  <si>
    <t>A Entidades de Educación Superior con Financiamiento Público</t>
  </si>
  <si>
    <t>A Empresas Públicas con Financiamiento Público</t>
  </si>
  <si>
    <t>Transferencia o Donaciones de Capital al Sector Privado Interno</t>
  </si>
  <si>
    <t>Transferencias o Donaciones a Empresas Petroleras Privadas por aplicación de la Disposición Transitoria Primera de
la Ley Reformatoria a la Ley de Hidrocarburos y a la Ley de Régimen Tributario Interno</t>
  </si>
  <si>
    <t>Aplicación de Cuentas y Fondos Especiales</t>
  </si>
  <si>
    <t>Aportes y Participaciones de Capital e Inversión a Gobiernos Autónomos Descentralizados y Regímenes Especiales</t>
  </si>
  <si>
    <t>A Gobiernos Autónomos Descentralizados a través del Banco del Estado, Subvenciones PROMADEC</t>
  </si>
  <si>
    <t>A Gobiernos Autónomos Descentralizados a través del Banco del Estado, Subvenciones PRODEPRO</t>
  </si>
  <si>
    <t>A Gobiernos Autónomos Descentralizados a través del Banco del Estado, Subvenciones PROCECAM</t>
  </si>
  <si>
    <t>A Gobiernos Autónomos Descentralizados a través del Banco del Estado, Subvenciones Mantenimiento Vial</t>
  </si>
  <si>
    <t>A Gobiernos Autónomos Descentralizados Provinciales y Régimen Especial de Galápagos por la participación en el
10% de Ingresos no Permanentes</t>
  </si>
  <si>
    <t>A  Gobiernos  Autónomos  Descentralizados  Distritales  y  Municipales  por  la  participación  en  el  10% de  Ingresos  no
Permanentes</t>
  </si>
  <si>
    <t>A  Gobiernos  Autónomos  Descentralizados  Parroquiales  Rurales  por  la  participación  en  el  10%  de  Ingresos  no
Permanentes</t>
  </si>
  <si>
    <t>A Gobiernos Autónomos Descentralizados Distritales y Municipales por asumir Nuevas Competencias</t>
  </si>
  <si>
    <t>Aporte a Gobiernos Autónomos Descentralizados Municipales según Ley 47 y Reformas</t>
  </si>
  <si>
    <t>Aporte a Gobiernos Autónomos Descentralizados Provinciales según Ley 47 y Reformas</t>
  </si>
  <si>
    <t>Aporte a Gobiernos Autónomos Descentralizados Parroquiales según Ley 47 y Reformas</t>
  </si>
  <si>
    <t>Reintegro del IVA</t>
  </si>
  <si>
    <t>A Gobiernos Autónomos Descentralizados Provinciales</t>
  </si>
  <si>
    <t>A Gobiernos Autónomos Descentralizados Municipales</t>
  </si>
  <si>
    <t>A Gobiernos Autónomos Descentralizados Parroquiales Rurales</t>
  </si>
  <si>
    <t>A Empresas Públicas de los Gobiernos Autónomos Descentralizados</t>
  </si>
  <si>
    <t>A Empresas Públicas Nacionales</t>
  </si>
  <si>
    <t>A Universidades y Escuelas Politécnicas</t>
  </si>
  <si>
    <t>Asignación a Distribuir para Transferencias y Donaciones de Capital</t>
  </si>
  <si>
    <t>APLICACIÓN DEL FINANCIAMIENTO</t>
  </si>
  <si>
    <t>Obligaciones por Ventas Anticipadas de Petróleo,  Derivados y por Convenios con Entidades del Sector  Público No
Financiero</t>
  </si>
  <si>
    <t>Obligaciones por Ventas Anticipadas de Petróleo y Derivados</t>
  </si>
  <si>
    <t>Obligaciones por Ventas Anticipadas de Petróleo</t>
  </si>
  <si>
    <t>Obligaciones por Ventas Anticipadas de Derivados de Petróleo</t>
  </si>
  <si>
    <t>Convenios con Entidades del Sector Público No Financiero</t>
  </si>
  <si>
    <t>Obligaciones por Convenios de Cooperación Interinstitucional</t>
  </si>
  <si>
    <t>OTROS PASIVOS</t>
  </si>
  <si>
    <t>Obligaciones no Reconocidas ni Pagadas de Ejercicios Anteriores</t>
  </si>
  <si>
    <t>Obligaciones de Ejercicios Anteriores por Egresos en Servicios</t>
  </si>
  <si>
    <t>Obligaciones de Ejercicios Anteriores por Laudos y Sentencias Nacionales e Internacionales</t>
  </si>
  <si>
    <t>Otras Obligaciones por Ventas Anticipadas de Petróleo</t>
  </si>
  <si>
    <t>Obligaciones  de  Ejercicios  Anteriores  por  Contribuciones  Establecidas  en  la  Constitución  y  en  las  Leyes  para  la
Seguridad Social</t>
  </si>
  <si>
    <t>Obligaciones para el Reconocimiento de la Materialización de Riesgos Fiscales</t>
  </si>
  <si>
    <t>Obligaciones por Amortizaciones de Títulos Valores en el Mercado Nacional de Corto Plazo</t>
  </si>
  <si>
    <t>MCYP-DPSE-2024-0077-M</t>
  </si>
  <si>
    <t xml:space="preserve">MCYP-DISNC-2024-0069-M </t>
  </si>
  <si>
    <t>MCYP-DPSE-2024-0078-M</t>
  </si>
  <si>
    <t>MCYP-CGAF-2024-0358-M</t>
  </si>
  <si>
    <t>MCYP-CGPGE-2024-0296-M</t>
  </si>
  <si>
    <t>66mg-</t>
  </si>
  <si>
    <t>MCYP-DA-2024-0541-M</t>
  </si>
  <si>
    <t>MCYP-DA-2024-0548-M</t>
  </si>
  <si>
    <t>MCYP-CGPGE-2024-0299-M</t>
  </si>
  <si>
    <t>68ar-</t>
  </si>
  <si>
    <t>65ar-</t>
  </si>
  <si>
    <t>67mg-</t>
  </si>
  <si>
    <t>MCYP-DPSE-2024-0081-M</t>
  </si>
  <si>
    <t>MCYP-DPSE-2024-0082-M</t>
  </si>
  <si>
    <t xml:space="preserve"> MCYP-CGAF-2024-0377-M</t>
  </si>
  <si>
    <t>LP-MG-</t>
  </si>
  <si>
    <t>MCYP-DPSE-2024-0085-M</t>
  </si>
  <si>
    <t>69mg-</t>
  </si>
  <si>
    <t>MCYP-CGPGE-2024-0306-M</t>
  </si>
  <si>
    <t>MCYP-DPSE-2024-0086-M</t>
  </si>
  <si>
    <t>MCYP-DA-2024-0586-M</t>
  </si>
  <si>
    <t>70mg-</t>
  </si>
  <si>
    <t>lp1mg-</t>
  </si>
  <si>
    <t>lp14MG-</t>
  </si>
  <si>
    <t>MCYP-SEAI-2024-0274-M</t>
  </si>
  <si>
    <t>MCYP-DPSE-2024-0054-M</t>
  </si>
  <si>
    <t>MCYP-DCS-2024-0078-M</t>
  </si>
  <si>
    <t>MCYP-CGPGE-2024-0310-M</t>
  </si>
  <si>
    <t>MCYP-CCA-2024-0790-M</t>
  </si>
  <si>
    <t>MCYP-DPSE-2024-0072-M</t>
  </si>
  <si>
    <t>MCYP-CGPGE-2024-0311-M</t>
  </si>
  <si>
    <t>MCYP-SMS-2024-0256-M</t>
  </si>
  <si>
    <t>lt59mg-</t>
  </si>
  <si>
    <t>71mg-</t>
  </si>
  <si>
    <t>72-AD-</t>
  </si>
  <si>
    <t>MCYP-DCS-2024-0079-M</t>
  </si>
  <si>
    <t>LT71MG-</t>
  </si>
  <si>
    <t>MCYP-DPSE-2024-0088-M</t>
  </si>
  <si>
    <t>MCYP-DPSE-2024-0087-M</t>
  </si>
  <si>
    <t>73AD-</t>
  </si>
  <si>
    <t>MCYP-CGPGE-2024-0313-M</t>
  </si>
  <si>
    <t>MCYP-SMS-2024-0260-M</t>
  </si>
  <si>
    <t>MCYP-CGAF-2024-0390-M</t>
  </si>
  <si>
    <t>74ar-</t>
  </si>
  <si>
    <t>MCYP-DPSE-2024-0089-M</t>
  </si>
  <si>
    <t>PLURIANUAL 2024 - 2025</t>
  </si>
  <si>
    <t>Contratación del servicio de Construcción de la cubierta con estructura metálica ubicado en el primer piso del edificio Bahía de Caráquez y mantenimiento preventivo y correctivo de las cerchas metálicas del bloque cancebí correspondiente al Museo Nuclear Corporación Ciudad Alfaro</t>
  </si>
  <si>
    <t>Contratación del servicio de mantenimiento preventivo y correctivo del sistema de climatización del piso 5 en el museo intermedio Manta, sede de la Corporación Ciudad Alfaro</t>
  </si>
  <si>
    <t>Pago del servicio de telefonía fija de las Sedes Museo y Centro Cultural de Manta, Museo Portoviejo y Archivo Histórico, y Museo Bahía de Caráquez cuya razón social se encuentra a nombre del Ministerio de Cultura y Patrimonio</t>
  </si>
  <si>
    <t xml:space="preserve">Regularización del IVA - año 2023, para conciliación de saldos contables y administrativos </t>
  </si>
  <si>
    <t>Contratación del servicio de mantenimiento preventivo y correctivo de 4 aires acondicionados tipo Split ubicados en el Museo Nuclear Corporación Ciudad Alfaro</t>
  </si>
  <si>
    <t>Contratación del servicio de Aseo y limpieza para el Museo Nuclear Corporación Ciudad Alfaro, durante el período 2024-2025</t>
  </si>
  <si>
    <t>Contratación del servicio de Aseo y limpieza para el Museo Centro Cultural Manta, durante el período 2024-2025</t>
  </si>
  <si>
    <t>Contratación del servicio de Aseo y limpieza para el Museo Bahía de Caráquez, durante el período 2024-2025</t>
  </si>
  <si>
    <t>Contratación del servicio de vigilancia y seguridad privada para el Museo Nuclear Corporación Ciudad Alfaro y sus Sedes, durante el período 2024-2025</t>
  </si>
  <si>
    <t>Reforma_Nro_120_CCA_reforma_presupuestaria</t>
  </si>
  <si>
    <t>Reforma Nro. 122 reprogramación  cca</t>
  </si>
  <si>
    <t xml:space="preserve">Reforma_Nro_121_CCA_reforma_reversión </t>
  </si>
  <si>
    <t>MCYP-CGPGE-2024-0317-M</t>
  </si>
  <si>
    <t>MCYP-CGAF-2024-0413-M</t>
  </si>
  <si>
    <t>lp68mg-</t>
  </si>
  <si>
    <t>cp</t>
  </si>
  <si>
    <t>MCYP-DPSE-2024-0083-M</t>
  </si>
  <si>
    <t>MCYP-SEAI-2024-0297-M</t>
  </si>
  <si>
    <t>MCYP-DPSE-2024-0090-M</t>
  </si>
  <si>
    <t>75mg-</t>
  </si>
  <si>
    <t>lp36-mg-</t>
  </si>
  <si>
    <t>76AD-</t>
  </si>
  <si>
    <t>MCYP-CGPGE-2024-0327-M</t>
  </si>
  <si>
    <t>MCYP-CGAF-2024-0425-</t>
  </si>
  <si>
    <t>MCYP-DA-2024-0661-M</t>
  </si>
  <si>
    <t>77ar-</t>
  </si>
  <si>
    <t>MCYP-SEAI-2024-0300-M</t>
  </si>
  <si>
    <t>78ar-</t>
  </si>
  <si>
    <t>MCYP-CGAF-2024-0430-M</t>
  </si>
  <si>
    <t>Lp</t>
  </si>
  <si>
    <t>79mg-</t>
  </si>
  <si>
    <t>MCYP-DPSE-2024-0093-M</t>
  </si>
  <si>
    <t>MCYP-PFCPACST-2024-0091-M</t>
  </si>
  <si>
    <t>80ar-</t>
  </si>
  <si>
    <t xml:space="preserve">	MCYP-CGPGE-2024-0256-M</t>
  </si>
  <si>
    <t>MCYP-DA-2024-0676-M</t>
  </si>
  <si>
    <t>81ar-</t>
  </si>
  <si>
    <t>MES CERTIFICADO -ENE</t>
  </si>
  <si>
    <t>MES CERTIFICADO- FEB</t>
  </si>
  <si>
    <t>MES CERTIFICADO -MAR</t>
  </si>
  <si>
    <t>MES CERTIFICADO-ABR</t>
  </si>
  <si>
    <t>MES CERTIFICADO-MAY</t>
  </si>
  <si>
    <t>MES CERTIFICADO-JUN</t>
  </si>
  <si>
    <t>MES CERTIFICADO- JUL</t>
  </si>
  <si>
    <t>MAYO</t>
  </si>
  <si>
    <t>MCYP-CCA-2024-1009-M</t>
  </si>
  <si>
    <t>MCYP-CGPGE-2024-0344-M</t>
  </si>
  <si>
    <t>MCYP-PFCPACST-2024-0102-M</t>
  </si>
  <si>
    <t xml:space="preserve">MCYP-DPSE-2024-0097-M 	</t>
  </si>
  <si>
    <t>82ar-</t>
  </si>
  <si>
    <t>Reforma 137  cca grupo 99-51 pago ex servidores</t>
  </si>
  <si>
    <t>MCYP-SEAI-2024-0326-M</t>
  </si>
  <si>
    <t>83ar-</t>
  </si>
  <si>
    <t>Reforma Nro. 138- Financiamiento requerimiento del AHN</t>
  </si>
  <si>
    <t>MCYP-CGPGE-2024-0347-M</t>
  </si>
  <si>
    <t>MCYP-AHN-2024-0610-M
MCYP-CCA-2024-1000-M</t>
  </si>
  <si>
    <t>Reforma Nro. 139- Financiamiento Seguridad CCA Plurianual</t>
  </si>
  <si>
    <t>MCYP-CCA-2024-1016-M</t>
  </si>
  <si>
    <t>MCYP-CGPGE-2024-0351-M</t>
  </si>
  <si>
    <t>MCYP-CCA-2024-0040-M</t>
  </si>
  <si>
    <t>MCYP-CCA-2024-0041-M</t>
  </si>
  <si>
    <t>MCYP-CCA-2024-0052-M</t>
  </si>
  <si>
    <t>MCYP-CCA-2024-0055-M</t>
  </si>
  <si>
    <t>MCYP-CCA-2024-0057-M</t>
  </si>
  <si>
    <t>MCYP-CCA-2024-0060-M</t>
  </si>
  <si>
    <t>MCYP-CCA-2024-0054-M</t>
  </si>
  <si>
    <t>MCYP-CCA-2024-0058-M</t>
  </si>
  <si>
    <t>MCYP-CCA-2024-0059-M</t>
  </si>
  <si>
    <t>MCYP-CCA-2024-0069-M</t>
  </si>
  <si>
    <t>MCYP-CCA-2024-0074-M</t>
  </si>
  <si>
    <t>MCYP-CCA-2024-0082-M</t>
  </si>
  <si>
    <t>MCYP-CCA-2024-0088-M</t>
  </si>
  <si>
    <t>MCYP-CCA-2024-0089-M</t>
  </si>
  <si>
    <t>MCYP-CCA-2024-0105-M</t>
  </si>
  <si>
    <t>MCYP-CCA-2024-0108-M</t>
  </si>
  <si>
    <t>MCYP-CCA-2024-0122-M</t>
  </si>
  <si>
    <t>MCYP-CCA-2024-0126-M</t>
  </si>
  <si>
    <t>MCYP-CCA-2024-0121-M</t>
  </si>
  <si>
    <t>MCYP-CCA-2024-0124-M</t>
  </si>
  <si>
    <t>MCYP-CCA-2024-0150-M</t>
  </si>
  <si>
    <t>MCYP-CCA-2024-0152-M</t>
  </si>
  <si>
    <t>MCYP-CCA-2024-0148-M</t>
  </si>
  <si>
    <t>MCYP-CCA-2024-0151-M</t>
  </si>
  <si>
    <t>MCYP-CCA-2024-0175-M</t>
  </si>
  <si>
    <t>MCYP-CCA-2024-0176-M</t>
  </si>
  <si>
    <t>MCYP-CCA-2024-0192-M</t>
  </si>
  <si>
    <t>MCYP-CCA-2024-0193-M</t>
  </si>
  <si>
    <t>MCYP-CCA-2024-0213-M</t>
  </si>
  <si>
    <t>MCYP-CCA-2024-0214-M</t>
  </si>
  <si>
    <t>MCYP-CCA-2024-0239-M</t>
  </si>
  <si>
    <t>MCYP-CCA-2024-0263-M</t>
  </si>
  <si>
    <t>MCYP-CCA-2024-0280-M</t>
  </si>
  <si>
    <t>MCYP-CCA-2024-0285-M</t>
  </si>
  <si>
    <t>MCYP-CCA-2024-0343-M</t>
  </si>
  <si>
    <t>MCYP-CCA-2024-0344-M</t>
  </si>
  <si>
    <t>MCYP-CCA-2024-0368-M</t>
  </si>
  <si>
    <t>MCYP-CCA-2024-0373-M</t>
  </si>
  <si>
    <t>MCYP-CCA-2024-0422-M</t>
  </si>
  <si>
    <t>MCYP-CCA-2024-0424-M</t>
  </si>
  <si>
    <t>MCYP-CCA-2024-0513-M</t>
  </si>
  <si>
    <t>MCYP-CCA-2024-0514-M</t>
  </si>
  <si>
    <t>MCYP-CCA-2024-0556-M</t>
  </si>
  <si>
    <t>MCYP-CCA-2024-0558-M</t>
  </si>
  <si>
    <t>MCYP-CCA-2024-0599-M</t>
  </si>
  <si>
    <t>MCYP-CCA-2024-0600-M</t>
  </si>
  <si>
    <t>MCYP-CCA-2024-0698-M</t>
  </si>
  <si>
    <t>MCYP-CCA-2024-0700-M</t>
  </si>
  <si>
    <t>MCYP-CCA-2024-0935-M</t>
  </si>
  <si>
    <t>MCYP-CCA-2024-0938-M</t>
  </si>
  <si>
    <t>MCYP-CCA-2024-0772-M</t>
  </si>
  <si>
    <t>MCYP-CCA-2024-0776-M</t>
  </si>
  <si>
    <t>MCYP-CCA-2024-0937-M</t>
  </si>
  <si>
    <t>MCYP-CCA-2024-0939-M</t>
  </si>
  <si>
    <t>MCYP-CCA-2024-0767-M</t>
  </si>
  <si>
    <t>MCYP-CCA-2024-0769-M</t>
  </si>
  <si>
    <t>MCYP-CCA-2024-0892-M</t>
  </si>
  <si>
    <t>MCYP-CCA-2024-0895-M</t>
  </si>
  <si>
    <t>MCYP-CCA-2024-0784-M</t>
  </si>
  <si>
    <t>MCYP-CCA-2024-0785-M</t>
  </si>
  <si>
    <t>MCYP-CCA-2024-0774-M</t>
  </si>
  <si>
    <t>MCYP-CCA-2024-0779-M</t>
  </si>
  <si>
    <t>MCYP-CCA-2024-0763-M</t>
  </si>
  <si>
    <t>MCYP-CCA-2024-0762-M</t>
  </si>
  <si>
    <t>MCYP-CCA-2024-0777-M</t>
  </si>
  <si>
    <t>MCYP-CCA-2024-0781-M</t>
  </si>
  <si>
    <t>MCYP-CCA-2024-0893-M</t>
  </si>
  <si>
    <t>MCYP-CCA-2024-0896-M</t>
  </si>
  <si>
    <t>MCYP-CCA-2024-0932-M</t>
  </si>
  <si>
    <t>MCYP-CCA-2024-0936-M</t>
  </si>
  <si>
    <t>MCYP-CCA-2024-0942-M</t>
  </si>
  <si>
    <t>MCYP-CCA-2024-0943-M</t>
  </si>
  <si>
    <t>MCYP-CCA-2024-0770-M</t>
  </si>
  <si>
    <t>MCYP-CCA-2024-0773-M</t>
  </si>
  <si>
    <t>MCYP-CCA-2024-0768-M</t>
  </si>
  <si>
    <t>MCYP-CCA-2024-0771-M</t>
  </si>
  <si>
    <t>MCYP-CCA-2024-0946-M</t>
  </si>
  <si>
    <t>MCYP-CCA-2024-0951-M</t>
  </si>
  <si>
    <t>MCYP-CCA-2024-0947-M</t>
  </si>
  <si>
    <t>MCYP-CCA-2024-0955-M</t>
  </si>
  <si>
    <t>MCYP-CCA-2024-0948-M</t>
  </si>
  <si>
    <t>MCYP-CCA-2024-0949-M</t>
  </si>
  <si>
    <t>MCYP-CCA-2024-1053-M</t>
  </si>
  <si>
    <t>MCYP-CCA-2024-1054-M</t>
  </si>
  <si>
    <t>MCYP-CCA-2024-1096-M</t>
  </si>
  <si>
    <t>Contratación del servicio de mantenimiento preventivo de hardware de los equipos informáticos para el Museo Nuclear Corporación Ciudad Alfaro y sus sedes</t>
  </si>
  <si>
    <t>MCYP-CCA-2024-1194-M</t>
  </si>
  <si>
    <t>MCYP-CGPGE-2024-0412-M</t>
  </si>
  <si>
    <t>Reforma Nro. 165- Financiamiento varias actividades de CCA</t>
  </si>
  <si>
    <t>MCYP-CGPGE-2024-0419-M</t>
  </si>
  <si>
    <t>Reforma Nro. 168- Reprogramación de varias actividades de CCA</t>
  </si>
  <si>
    <t>JULIO</t>
  </si>
  <si>
    <t>Reforma PAPP/POA Nro. 180 EOD CCA grupo 51</t>
  </si>
  <si>
    <t>MCYP-CCA-2024-1265-M</t>
  </si>
  <si>
    <t>MCYP-CGPGE-2024-0442-M</t>
  </si>
  <si>
    <t>Contratación del servicio de mantenimiento de las letras corpóreas de la entrada del edificio Museo Centro Cultural Manta</t>
  </si>
  <si>
    <t>Contratación del servicio de mantenimiento de la fachada frontal y laterales del edificio Museo Centro Cultural Manta.</t>
  </si>
  <si>
    <t>Contratación del servicio de mantenimiento preventivo y correctivo de las cerchas metálicas, ventanas, puertas y mampostería del Museo artesanal Cancebí de la Corporación Ciudad Alfaro.</t>
  </si>
  <si>
    <t>MCYP-CCA-2024-1325-M</t>
  </si>
  <si>
    <t>Reforma PAPP/POA Nro. 190 EOD Corporación Ciudad Alfaro, grupo 53</t>
  </si>
  <si>
    <t>MCYP-CGPGE-2024-0461-M</t>
  </si>
  <si>
    <t>Reforma PAPP/POA Nro. 191 Corporación Ciudad Alfaro y Biblioteca Nacional, grupo 51</t>
  </si>
  <si>
    <t>MCYP-CCA-2024-1328-M</t>
  </si>
  <si>
    <t>MCYP-CGPGE-2024-0464-M</t>
  </si>
  <si>
    <t>Reforma PAPP/POA Nro. 207  PARA FINANCIAR ACTIVIDAD EN EL MUSEO MANTA</t>
  </si>
  <si>
    <t>MCYP-CCA-2024-1516-M</t>
  </si>
  <si>
    <t>Reforma PAPP/POA Nº 213  optimización de recursos desde la EOD CCA y financiamiento de evento UNESCO -SPC</t>
  </si>
  <si>
    <t>MCYP-CCA-2024-1562-M</t>
  </si>
  <si>
    <t>MCYP-CGPGE-2024-0524-M</t>
  </si>
  <si>
    <t>Reforma PAPP/POA Nº 214  para financiamiento de "Servicios de telecomunicaciones y nube para el Ministerio de Cultura y Patrimonio y sus dependencias 2024-2026 de la Planta Central</t>
  </si>
  <si>
    <t>MCYP-CGPGE-2024-0525-M</t>
  </si>
  <si>
    <t>REFORMA PAPP/POA Nº 211 Alcance al Memorando Nro. MCYP-CGPGE-2024-0521-M de 27 de agosto
de 2024 de aprobación de reforma Nro. 211</t>
  </si>
  <si>
    <t>MCYP-CGPGE-2024-0522-M</t>
  </si>
  <si>
    <t>MCYP-CGPGE-2024-0511-M</t>
  </si>
  <si>
    <t>MCYP-CCA-2024-1589-M</t>
  </si>
  <si>
    <t>Aprobación reforma PAPP/POA Nro. 217 - CCA -MUSEO MANTA</t>
  </si>
  <si>
    <t>MCYP-CGPGE-2024-0531-M</t>
  </si>
  <si>
    <t>Aprobación de reforma PAPP/POA Nro. 219 para financiamiento de "Servicios de telecomunicaciones y nube para el Ministerio de Cultura y Patrimonio y sus dependencias 2024-2026 de la Planta Central", y optimización de recursos de CCA y SEAI</t>
  </si>
  <si>
    <t>MCYP-CGPGE-2024-0533-M</t>
  </si>
  <si>
    <t>MCYP-CCA-2024-1596-M</t>
  </si>
  <si>
    <t>APROBADA</t>
  </si>
  <si>
    <t>AGOSTO</t>
  </si>
  <si>
    <t>REMUNERACIONES UNIFICADAS</t>
  </si>
  <si>
    <t>Horas extraordinarias y suplementarias</t>
  </si>
  <si>
    <t>Aprobación de reforma PAPP/POA Nro. 226 EOD Corporación Ciudad Alfaro grupo 51</t>
  </si>
  <si>
    <t>MCYP-CGPGE-2024-0552-M</t>
  </si>
  <si>
    <t>MCYP-CCA-2024-1655-M</t>
  </si>
  <si>
    <t>Contratación del servicio de mantenimiento preventivo y correctivo de bombas sumergibles y bombas de agua potable en el Museo Centro Cultural Manta, sede de la Corporación Ciudad Alfaro</t>
  </si>
  <si>
    <t>Reintegro de gastos para los Servidores y Trabajadores de la Corporación Ciudad Alfaro y sus Sedes por concepto de combustible utilizado en comisión de servicios institucionales</t>
  </si>
  <si>
    <t>APROBAD0</t>
  </si>
  <si>
    <t>OCTUBRE</t>
  </si>
  <si>
    <t>Aprobación de reforma PAPP/POA NRO. 280- SEAI- ADENDA CONVENIO</t>
  </si>
  <si>
    <t>MCYP-SEAI-2024-0579-M</t>
  </si>
  <si>
    <t>MCYP-CGPGE-2024-0681-M</t>
  </si>
  <si>
    <t>Beneficio centro de cuidado infantil para los hijos e hijas de servidores y trabajadores del Ministerio de Cultura y Patrimonio-Museo Nuclear Corporaciòn Ciudad Alfaro</t>
  </si>
  <si>
    <t>Aprobación de reforma PAPP/POA Nro. 283 financiamiento pago de guarderías del personal
del MCYP en las EODS</t>
  </si>
  <si>
    <t>MCYP-CGAF-2024-1051-M</t>
  </si>
  <si>
    <t>MCYP-CGPGE-2024-0699-M</t>
  </si>
  <si>
    <t>Obligaciones con el IESS por responsabilidad patronal</t>
  </si>
  <si>
    <t xml:space="preserve">Intereses patronal al IESS </t>
  </si>
  <si>
    <t>Elaboración e Instalación de rótulo institucional del Museo Manta</t>
  </si>
  <si>
    <t>Pago de rodaje cantonal de los vehículos de la Corporación Ciudad Alfaro</t>
  </si>
  <si>
    <t>Pago de revisión vehicular a los vehículos de la Corporación Ciudad Alfaro</t>
  </si>
  <si>
    <t>Aprobación de reformas PAPP/POA Nro. 284 y 285 CCA varios grupos de gasto y fuentes de
financiamiento 01 y 02, incluye actividades "Obligaciones con el IESS por responsabilidad
patronal" "Intereses patronal al IESS"</t>
  </si>
  <si>
    <t>MCYP-CCA-2024-2049-M</t>
  </si>
  <si>
    <t>MCYP-CGPGE-2024-0700-M</t>
  </si>
  <si>
    <t>Servicio de diseño, edición e impresión para el montaje de exposición temporal Hadatty en el Museo Centro Cultural Manta</t>
  </si>
  <si>
    <t>Aprobación de reforma Nro. 294 - Asignación parcial para cumplimiento
inmediato de las obligaciones pendientes por expensas comunales de las
instalaciones del Museo Portoviejo y Archivo Histórico</t>
  </si>
  <si>
    <t>MCYP-CGPGE-2024-0716-M</t>
  </si>
  <si>
    <t>MCYP-CCA-2024-2137-M</t>
  </si>
  <si>
    <t>Reembolso beneficio adquisición de ropa de trabajo</t>
  </si>
  <si>
    <t>MCYP-CGAF-2024-1093-M</t>
  </si>
  <si>
    <t>MCYP-CGPGE-2024-0720-M</t>
  </si>
  <si>
    <t>Aprobación de Reforma al PAPP/POA Nro. 297 pago de ropa de trabajo CGAF</t>
  </si>
  <si>
    <t>NOVIEMBRE</t>
  </si>
  <si>
    <t>MCYP-CCA-2024-2207-M</t>
  </si>
  <si>
    <t xml:space="preserve"> Aprobación de reforma PAPP/POA Nro. 299 CCA para pago de expensas comunales de las instalaciones del Museo Portoviejo y Archivo Histórico </t>
  </si>
  <si>
    <t>MCYP-CCA-2024-2306-M</t>
  </si>
  <si>
    <t>Aprobación de reforma PAPP/POA Nro 311 OPTIMIZACIÓN-CCA-ALICUOTA
FUENTE 001</t>
  </si>
  <si>
    <t>MCYP-CGPGE-2024-0745-M</t>
  </si>
  <si>
    <t>RECHAZADO el comprobante de modificación presupuestaria Nro. 278 y 279 para
"Pago de expensas comunales de las instalaciones del Museo Portoviejo y Archivo
Histórico" fuente 002</t>
  </si>
  <si>
    <t>MCYP-CGAF-2024-1161-M</t>
  </si>
  <si>
    <t>Aprobación de reforma PAPP/POA Nro. 326 CCA grupo 57 y 53</t>
  </si>
  <si>
    <t>MCYP-CGPGE-2024-0769-M</t>
  </si>
  <si>
    <t>MCYP-CCA-2024-2385-M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</si>
</sst>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64" formatCode="&quot;$&quot;#,##0.00;[Red]&quot;$&quot;\-#,##0.00"/>
    <numFmt numFmtId="165" formatCode="_ &quot;$&quot;* #,##0_ ;_ &quot;$&quot;* \-#,##0_ ;_ &quot;$&quot;* &quot;-&quot;_ ;_ @_ "/>
    <numFmt numFmtId="166" formatCode="_ * #,##0_ ;_ * \-#,##0_ ;_ * &quot;-&quot;_ ;_ @_ "/>
    <numFmt numFmtId="167" formatCode="_ &quot;$&quot;* #,##0.00_ ;_ &quot;$&quot;* \-#,##0.00_ ;_ &quot;$&quot;* &quot;-&quot;??_ ;_ @_ "/>
    <numFmt numFmtId="168" formatCode="_ * #,##0.00_ ;_ * \-#,##0.00_ ;_ * &quot;-&quot;??_ ;_ @_ "/>
    <numFmt numFmtId="169" formatCode="_-* #,##0.00_-;\-* #,##0.00_-;_-* &quot;-&quot;??_-;_-@_-"/>
    <numFmt numFmtId="170" formatCode="_(&quot;$&quot;\ * #,##0.00_);_(&quot;$&quot;\ * \(#,##0.00\);_(&quot;$&quot;\ * &quot;-&quot;??_);_(@_)"/>
    <numFmt numFmtId="171" formatCode="_(* #,##0.00_);_(* \(#,##0.00\);_(* &quot;-&quot;??_);_(@_)"/>
    <numFmt numFmtId="172" formatCode="&quot; &quot;#,##0&quot; &quot;;&quot; -&quot;#,##0&quot; &quot;;&quot; -&quot;00&quot; &quot;;&quot; &quot;@&quot; &quot;"/>
    <numFmt numFmtId="173" formatCode="&quot; &quot;#,##0.00&quot; &quot;;&quot; (&quot;#,##0.00&quot;)&quot;;&quot; -&quot;00&quot; &quot;;&quot; &quot;@&quot; &quot;"/>
    <numFmt numFmtId="174" formatCode="&quot; &quot;&quot;$&quot;#,##0.00&quot; &quot;;&quot; &quot;&quot;$&quot;&quot;-&quot;#,##0.00&quot; &quot;;&quot; &quot;&quot;$&quot;&quot;-&quot;00&quot; &quot;;&quot; &quot;@&quot; &quot;"/>
    <numFmt numFmtId="175" formatCode="&quot; &quot;&quot;$&quot;&quot; &quot;#,##0.00&quot; &quot;;&quot; &quot;&quot;$&quot;&quot; (&quot;#,##0.00&quot;)&quot;;&quot; &quot;&quot;$&quot;&quot; -&quot;00&quot; &quot;;&quot; &quot;@&quot; &quot;"/>
    <numFmt numFmtId="176" formatCode="&quot; &quot;#,##0&quot; &quot;;&quot; (&quot;#,##0&quot;)&quot;;&quot; -&quot;00&quot; &quot;;&quot; &quot;@&quot; &quot;"/>
    <numFmt numFmtId="177" formatCode="&quot; &quot;#,##0.00&quot; &quot;;&quot; -&quot;#,##0.00&quot; &quot;;&quot; -&quot;00.00&quot; &quot;;&quot; &quot;@&quot; &quot;"/>
    <numFmt numFmtId="178" formatCode="[$$-300A]&quot; &quot;#,##0.00"/>
    <numFmt numFmtId="179" formatCode="[$$-300A]#,##0.00"/>
    <numFmt numFmtId="180" formatCode="[$$-300A]\ #,##0.00;[Red][$$-300A]\ #,##0.00"/>
    <numFmt numFmtId="181" formatCode="&quot; &quot;&quot;$&quot;#,##0.0000&quot; &quot;;&quot; &quot;&quot;$&quot;&quot;-&quot;#,##0.0000&quot; &quot;;&quot; &quot;&quot;$&quot;&quot;-&quot;00.00&quot; &quot;;&quot; &quot;@&quot; &quot;"/>
    <numFmt numFmtId="182" formatCode="_ * #.##0.00_ ;_ * \-#.##0.00_ ;_ * &quot;-&quot;??_ ;_ @_ "/>
  </numFmts>
  <fonts count="53">
    <font>
      <sz val="11"/>
      <color theme="1"/>
      <name val="Calibri"/>
      <family val="2"/>
      <scheme val="minor"/>
    </font>
    <font>
      <sz val="11"/>
      <name val="Calibri"/>
      <family val="2"/>
    </font>
    <font>
      <sz val="9"/>
      <name val="Calibri"/>
      <family val="2"/>
    </font>
    <font>
      <b/>
      <sz val="9"/>
      <name val="Calibri"/>
      <family val="2"/>
    </font>
    <font>
      <sz val="10"/>
      <name val="Calibri"/>
      <family val="2"/>
    </font>
    <font>
      <sz val="8"/>
      <name val="Calibri"/>
      <family val="2"/>
    </font>
    <font>
      <b/>
      <sz val="10"/>
      <name val="Calibri"/>
      <family val="2"/>
    </font>
    <font>
      <b/>
      <sz val="8"/>
      <name val="Calibri"/>
      <family val="2"/>
    </font>
    <font>
      <sz val="7"/>
      <name val="Calibri"/>
      <family val="2"/>
    </font>
    <font>
      <b/>
      <sz val="7"/>
      <name val="Calibri"/>
      <family val="2"/>
    </font>
    <font>
      <sz val="7"/>
      <color indexed="2"/>
      <name val="Calibri"/>
      <family val="2"/>
    </font>
    <font>
      <b/>
      <sz val="8"/>
      <name val="Arial"/>
      <family val="2"/>
    </font>
    <font>
      <sz val="8"/>
      <name val="Arial"/>
      <family val="2"/>
    </font>
    <font>
      <sz val="11"/>
      <color indexed="8"/>
      <name val="Calibri"/>
      <family val="2"/>
    </font>
    <font>
      <b/>
      <sz val="9"/>
      <name val="Arial"/>
      <family val="2"/>
    </font>
    <font>
      <sz val="8"/>
      <name val="Calibri"/>
      <family val="2"/>
    </font>
    <font>
      <b/>
      <sz val="9"/>
      <name val="Tahoma"/>
      <family val="2"/>
    </font>
    <font>
      <sz val="9"/>
      <name val="Tahoma"/>
      <family val="2"/>
    </font>
    <font>
      <sz val="8"/>
      <color indexed="8"/>
      <name val="Calibri"/>
      <family val="2"/>
    </font>
    <font>
      <sz val="8"/>
      <name val="Calibri"/>
      <family val="2"/>
    </font>
    <font>
      <sz val="6.5"/>
      <name val="Calibri"/>
      <family val="2"/>
    </font>
    <font>
      <sz val="11"/>
      <color theme="1"/>
      <name val="Calibri"/>
      <family val="2"/>
      <scheme val="minor"/>
    </font>
    <font>
      <sz val="11"/>
      <color theme="0"/>
      <name val="Calibri"/>
      <family val="2"/>
      <scheme val="minor"/>
    </font>
    <font>
      <sz val="11"/>
      <color rgb="FF9C5700"/>
      <name val="Calibri"/>
      <family val="2"/>
      <scheme val="minor"/>
    </font>
    <font>
      <sz val="11"/>
      <color rgb="FF9C6500"/>
      <name val="Calibri"/>
      <family val="2"/>
      <scheme val="minor"/>
    </font>
    <font>
      <b/>
      <sz val="11"/>
      <color rgb="FF3F3F3F"/>
      <name val="Calibri"/>
      <family val="2"/>
      <scheme val="minor"/>
    </font>
    <font>
      <sz val="11"/>
      <color indexed="2"/>
      <name val="Calibri"/>
      <family val="2"/>
      <scheme val="minor"/>
    </font>
    <font>
      <b/>
      <sz val="11"/>
      <color theme="1"/>
      <name val="Calibri"/>
      <family val="2"/>
      <scheme val="minor"/>
    </font>
    <font>
      <sz val="9"/>
      <color theme="1"/>
      <name val="Calibri"/>
      <family val="2"/>
    </font>
    <font>
      <sz val="10"/>
      <color theme="1"/>
      <name val="Calibri"/>
      <family val="2"/>
    </font>
    <font>
      <sz val="7"/>
      <color theme="1"/>
      <name val="Calibri"/>
      <family val="2"/>
    </font>
    <font>
      <b/>
      <sz val="7"/>
      <color theme="1"/>
      <name val="Calibri"/>
      <family val="2"/>
    </font>
    <font>
      <sz val="8"/>
      <color theme="0"/>
      <name val="Calibri"/>
      <family val="2"/>
    </font>
    <font>
      <sz val="9"/>
      <color theme="1"/>
      <name val="Calibri"/>
      <family val="2"/>
      <scheme val="minor"/>
    </font>
    <font>
      <b/>
      <sz val="10"/>
      <color theme="1"/>
      <name val="Calibri"/>
      <family val="2"/>
    </font>
    <font>
      <sz val="8"/>
      <color theme="1"/>
      <name val="Calibri"/>
      <family val="2"/>
      <scheme val="minor"/>
    </font>
    <font>
      <sz val="11"/>
      <color theme="1"/>
      <name val="Aptos Narrow"/>
      <family val="2"/>
    </font>
    <font>
      <sz val="8"/>
      <color theme="1"/>
      <name val="Aptos Narrow"/>
      <family val="2"/>
    </font>
    <font>
      <sz val="8"/>
      <color rgb="FFFF0000"/>
      <name val="Calibri"/>
      <family val="2"/>
      <scheme val="minor"/>
    </font>
    <font>
      <sz val="8"/>
      <color theme="1"/>
      <name val="Calibri"/>
      <family val="2"/>
    </font>
    <font>
      <b/>
      <sz val="10"/>
      <color theme="0"/>
      <name val="Calibri"/>
      <family val="2"/>
    </font>
    <font>
      <sz val="8"/>
      <color rgb="FF000000"/>
      <name val="Calibri"/>
      <family val="2"/>
    </font>
    <font>
      <sz val="10"/>
      <color theme="1"/>
      <name val="Calibri"/>
      <family val="2"/>
      <scheme val="minor"/>
    </font>
    <font>
      <sz val="7"/>
      <color theme="1"/>
      <name val="Calibri"/>
      <family val="2"/>
      <scheme val="minor"/>
    </font>
    <font>
      <sz val="7"/>
      <color rgb="FF000000"/>
      <name val="Calibri"/>
      <family val="2"/>
    </font>
    <font>
      <sz val="7"/>
      <color rgb="FF000000"/>
      <name val="Calibri"/>
      <family val="2"/>
      <scheme val="minor"/>
    </font>
    <font>
      <sz val="7"/>
      <color rgb="FF000000"/>
      <name val="Arial"/>
      <family val="2"/>
    </font>
    <font>
      <sz val="11"/>
      <color theme="1"/>
      <name val="Times New Roman"/>
      <family val="1"/>
    </font>
    <font>
      <sz val="8"/>
      <color rgb="FFFF0000"/>
      <name val="Calibri"/>
      <family val="2"/>
    </font>
    <font>
      <sz val="8"/>
      <color rgb="FF000000"/>
      <name val="Calibri"/>
      <family val="2"/>
      <scheme val="minor"/>
    </font>
    <font>
      <sz val="8"/>
      <color rgb="FFFFFFFF"/>
      <name val="Calibri"/>
      <family val="2"/>
    </font>
    <font>
      <sz val="11"/>
      <color theme="1"/>
      <name val="Calibri"/>
      <family val="2"/>
    </font>
    <font>
      <sz val="10"/>
      <color rgb="FF000000"/>
      <name val="Times New Roman"/>
      <family val="1"/>
    </font>
  </fonts>
  <fills count="62">
    <fill>
      <patternFill patternType="none"/>
    </fill>
    <fill>
      <patternFill patternType="gray125"/>
    </fill>
    <fill>
      <patternFill patternType="solid">
        <fgColor indexed="26"/>
        <bgColor indexed="64"/>
      </patternFill>
    </fill>
    <fill>
      <patternFill patternType="solid">
        <fgColor indexed="5"/>
        <bgColor indexed="64"/>
      </patternFill>
    </fill>
    <fill>
      <patternFill patternType="solid">
        <fgColor indexed="62"/>
        <bgColor indexed="64"/>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FFEB9C"/>
        <bgColor indexed="64"/>
      </patternFill>
    </fill>
    <fill>
      <patternFill patternType="solid">
        <fgColor theme="7" tint="0.79992065187536243"/>
        <bgColor indexed="64"/>
      </patternFill>
    </fill>
    <fill>
      <patternFill patternType="solid">
        <fgColor rgb="FF00B050"/>
        <bgColor indexed="64"/>
      </patternFill>
    </fill>
    <fill>
      <patternFill patternType="solid">
        <fgColor rgb="FFE6B8B7"/>
        <bgColor indexed="64"/>
      </patternFill>
    </fill>
    <fill>
      <patternFill patternType="solid">
        <fgColor rgb="FFCCC0DA"/>
        <bgColor indexed="64"/>
      </patternFill>
    </fill>
    <fill>
      <patternFill patternType="solid">
        <fgColor rgb="FFC4D79B"/>
        <bgColor indexed="64"/>
      </patternFill>
    </fill>
    <fill>
      <patternFill patternType="solid">
        <fgColor rgb="FF963634"/>
        <bgColor indexed="64"/>
      </patternFill>
    </fill>
    <fill>
      <patternFill patternType="solid">
        <fgColor rgb="FFB1A0C7"/>
        <bgColor indexed="64"/>
      </patternFill>
    </fill>
    <fill>
      <patternFill patternType="solid">
        <fgColor rgb="FFF2DCDB"/>
        <bgColor indexed="64"/>
      </patternFill>
    </fill>
    <fill>
      <patternFill patternType="solid">
        <fgColor theme="4" tint="-0.24991607409894101"/>
        <bgColor indexed="64"/>
      </patternFill>
    </fill>
    <fill>
      <patternFill patternType="solid">
        <fgColor rgb="FFFFC000"/>
        <bgColor indexed="64"/>
      </patternFill>
    </fill>
    <fill>
      <patternFill patternType="solid">
        <fgColor theme="7" tint="-0.24991607409894101"/>
        <bgColor indexed="64"/>
      </patternFill>
    </fill>
    <fill>
      <patternFill patternType="solid">
        <fgColor theme="7" tint="-0.49995422223578601"/>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7030A0"/>
        <bgColor indexed="64"/>
      </patternFill>
    </fill>
    <fill>
      <patternFill patternType="solid">
        <fgColor theme="4" tint="0.79998168889431442"/>
        <bgColor theme="4" tint="0.79998168889431442"/>
      </patternFill>
    </fill>
    <fill>
      <patternFill patternType="solid">
        <fgColor rgb="FFFF0000"/>
        <bgColor indexed="64"/>
      </patternFill>
    </fill>
    <fill>
      <patternFill patternType="solid">
        <fgColor theme="0"/>
        <bgColor indexed="64"/>
      </patternFill>
    </fill>
    <fill>
      <patternFill patternType="solid">
        <fgColor rgb="FFFFFFFF"/>
        <bgColor rgb="FF000000"/>
      </patternFill>
    </fill>
    <fill>
      <patternFill patternType="solid">
        <fgColor theme="5" tint="0.59999389629810485"/>
        <bgColor indexed="64"/>
      </patternFill>
    </fill>
    <fill>
      <patternFill patternType="solid">
        <fgColor rgb="FF333F4F"/>
        <bgColor indexed="64"/>
      </patternFill>
    </fill>
    <fill>
      <patternFill patternType="solid">
        <fgColor rgb="FF92D050"/>
        <bgColor indexed="64"/>
      </patternFill>
    </fill>
    <fill>
      <patternFill patternType="solid">
        <fgColor rgb="FF95B3D7"/>
        <bgColor indexed="64"/>
      </patternFill>
    </fill>
    <fill>
      <patternFill patternType="solid">
        <fgColor rgb="FFFFFF00"/>
        <bgColor rgb="FF000000"/>
      </patternFill>
    </fill>
    <fill>
      <patternFill patternType="solid">
        <fgColor theme="7" tint="0.39997558519241921"/>
        <bgColor rgb="FF000000"/>
      </patternFill>
    </fill>
    <fill>
      <patternFill patternType="solid">
        <fgColor theme="0"/>
        <bgColor rgb="FF000000"/>
      </patternFill>
    </fill>
    <fill>
      <patternFill patternType="solid">
        <fgColor rgb="FF305496"/>
        <bgColor rgb="FF000000"/>
      </patternFill>
    </fill>
    <fill>
      <patternFill patternType="solid">
        <fgColor theme="5" tint="-0.24991607409894101"/>
        <bgColor indexed="64"/>
      </patternFill>
    </fill>
    <fill>
      <patternFill patternType="solid">
        <fgColor rgb="FFFDE9D9"/>
        <bgColor indexed="64"/>
      </patternFill>
    </fill>
    <fill>
      <patternFill patternType="solid">
        <fgColor theme="9" tint="-0.24991607409894101"/>
        <bgColor indexed="64"/>
      </patternFill>
    </fill>
    <fill>
      <patternFill patternType="solid">
        <fgColor theme="7" tint="0.59999389629810485"/>
        <bgColor indexed="64"/>
      </patternFill>
    </fill>
    <fill>
      <patternFill patternType="solid">
        <fgColor rgb="FFB1A0C7"/>
        <bgColor rgb="FF000000"/>
      </patternFill>
    </fill>
    <fill>
      <patternFill patternType="solid">
        <fgColor rgb="FF00B0F0"/>
        <bgColor indexed="64"/>
      </patternFill>
    </fill>
    <fill>
      <patternFill patternType="solid">
        <fgColor rgb="FF0070C0"/>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5" tint="-0.249977111117893"/>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n">
        <color theme="4" tint="0.39997558519241921"/>
      </bottom>
      <diagonal/>
    </border>
    <border>
      <left style="thin">
        <color rgb="FF000000"/>
      </left>
      <right style="thin">
        <color rgb="FF000000"/>
      </right>
      <top style="thin">
        <color rgb="FF000000"/>
      </top>
      <bottom style="thin">
        <color rgb="FF000000"/>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indexed="64"/>
      </left>
      <right style="thin">
        <color indexed="64"/>
      </right>
      <top style="medium">
        <color indexed="64"/>
      </top>
      <bottom style="thin">
        <color indexed="64"/>
      </bottom>
      <diagonal/>
    </border>
  </borders>
  <cellStyleXfs count="547">
    <xf numFmtId="0" fontId="0" fillId="0" borderId="0"/>
    <xf numFmtId="0" fontId="21" fillId="5" borderId="0" applyNumberFormat="0" applyBorder="0"/>
    <xf numFmtId="0" fontId="21" fillId="6" borderId="0" applyNumberFormat="0" applyBorder="0"/>
    <xf numFmtId="0" fontId="21" fillId="7" borderId="0" applyNumberFormat="0" applyBorder="0"/>
    <xf numFmtId="0" fontId="21" fillId="8" borderId="0" applyNumberFormat="0" applyBorder="0"/>
    <xf numFmtId="0" fontId="21" fillId="9" borderId="0" applyNumberFormat="0" applyBorder="0"/>
    <xf numFmtId="0" fontId="21" fillId="10" borderId="0" applyNumberFormat="0" applyBorder="0"/>
    <xf numFmtId="0" fontId="21" fillId="11" borderId="0" applyNumberFormat="0" applyBorder="0"/>
    <xf numFmtId="0" fontId="21" fillId="12" borderId="0" applyNumberFormat="0" applyBorder="0"/>
    <xf numFmtId="0" fontId="21" fillId="13" borderId="0" applyNumberFormat="0" applyBorder="0"/>
    <xf numFmtId="0" fontId="21" fillId="14" borderId="0" applyNumberFormat="0" applyBorder="0"/>
    <xf numFmtId="0" fontId="21" fillId="15" borderId="0" applyNumberFormat="0" applyBorder="0"/>
    <xf numFmtId="0" fontId="21" fillId="16" borderId="0" applyNumberFormat="0" applyBorder="0"/>
    <xf numFmtId="0" fontId="21" fillId="17" borderId="0" applyNumberFormat="0" applyBorder="0"/>
    <xf numFmtId="0" fontId="22" fillId="17" borderId="0" applyNumberFormat="0" applyBorder="0"/>
    <xf numFmtId="0" fontId="21" fillId="18" borderId="0" applyNumberFormat="0" applyBorder="0"/>
    <xf numFmtId="0" fontId="22" fillId="18" borderId="0" applyNumberFormat="0" applyBorder="0"/>
    <xf numFmtId="0" fontId="21" fillId="19" borderId="0" applyNumberFormat="0" applyBorder="0"/>
    <xf numFmtId="0" fontId="22" fillId="19" borderId="0" applyNumberFormat="0" applyBorder="0"/>
    <xf numFmtId="0" fontId="21" fillId="20" borderId="0" applyNumberFormat="0" applyBorder="0"/>
    <xf numFmtId="0" fontId="22" fillId="20" borderId="0" applyNumberFormat="0" applyBorder="0"/>
    <xf numFmtId="0" fontId="21" fillId="21" borderId="0" applyNumberFormat="0" applyBorder="0"/>
    <xf numFmtId="0" fontId="22" fillId="21" borderId="0" applyNumberFormat="0" applyBorder="0"/>
    <xf numFmtId="0" fontId="21" fillId="22" borderId="0" applyNumberFormat="0" applyBorder="0"/>
    <xf numFmtId="0" fontId="22" fillId="22" borderId="0" applyNumberFormat="0" applyBorder="0"/>
    <xf numFmtId="168" fontId="21" fillId="0" borderId="0" applyFont="0" applyFill="0" applyBorder="0"/>
    <xf numFmtId="166" fontId="21" fillId="0" borderId="0" applyFont="0" applyFill="0" applyBorder="0" applyAlignment="0" applyProtection="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xf numFmtId="166" fontId="21" fillId="0" borderId="0" applyFont="0" applyFill="0" applyBorder="0" applyAlignment="0" applyProtection="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82" fontId="21" fillId="0" borderId="0" applyFont="0" applyFill="0" applyBorder="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73" fontId="1" fillId="0" borderId="0"/>
    <xf numFmtId="173" fontId="1" fillId="0" borderId="0"/>
    <xf numFmtId="168" fontId="21" fillId="0" borderId="0" applyFont="0" applyFill="0" applyBorder="0"/>
    <xf numFmtId="168" fontId="21" fillId="0" borderId="0" applyFont="0" applyFill="0" applyBorder="0"/>
    <xf numFmtId="169" fontId="21" fillId="0" borderId="0" applyFont="0" applyFill="0" applyBorder="0"/>
    <xf numFmtId="168" fontId="21" fillId="0" borderId="0" applyFont="0" applyFill="0" applyBorder="0"/>
    <xf numFmtId="168" fontId="21" fillId="0" borderId="0" applyFont="0" applyFill="0" applyBorder="0"/>
    <xf numFmtId="169"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applyAlignment="0" applyProtection="0"/>
    <xf numFmtId="168" fontId="21" fillId="0" borderId="0" applyFont="0" applyFill="0" applyBorder="0" applyAlignment="0" applyProtection="0"/>
    <xf numFmtId="169" fontId="21" fillId="0" borderId="0" applyFont="0" applyFill="0" applyBorder="0" applyAlignment="0" applyProtection="0"/>
    <xf numFmtId="169" fontId="21" fillId="0" borderId="0"/>
    <xf numFmtId="168" fontId="21" fillId="0" borderId="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applyAlignment="0" applyProtection="0"/>
    <xf numFmtId="168" fontId="13" fillId="0" borderId="0"/>
    <xf numFmtId="168" fontId="13" fillId="0" borderId="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xf numFmtId="168" fontId="21" fillId="0" borderId="0" applyFont="0" applyFill="0" applyBorder="0" applyAlignment="0" applyProtection="0"/>
    <xf numFmtId="168" fontId="21" fillId="0" borderId="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xf numFmtId="168" fontId="21" fillId="0" borderId="0" applyFont="0" applyFill="0" applyBorder="0" applyAlignment="0" applyProtection="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xf numFmtId="168" fontId="21" fillId="0" borderId="0"/>
    <xf numFmtId="168" fontId="21" fillId="0" borderId="0"/>
    <xf numFmtId="168" fontId="21" fillId="0" borderId="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13" fillId="0" borderId="0"/>
    <xf numFmtId="168" fontId="13" fillId="0" borderId="0"/>
    <xf numFmtId="168" fontId="21" fillId="0" borderId="0" applyFont="0" applyFill="0" applyBorder="0"/>
    <xf numFmtId="168" fontId="21" fillId="0" borderId="0" applyFont="0" applyFill="0" applyBorder="0"/>
    <xf numFmtId="168" fontId="21" fillId="0" borderId="0" applyFont="0" applyFill="0" applyBorder="0"/>
    <xf numFmtId="168" fontId="21" fillId="0" borderId="0"/>
    <xf numFmtId="168" fontId="21" fillId="0" borderId="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xf numFmtId="168" fontId="21" fillId="0" borderId="0"/>
    <xf numFmtId="168" fontId="21" fillId="0" borderId="0"/>
    <xf numFmtId="168" fontId="21" fillId="0" borderId="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xf numFmtId="168" fontId="21" fillId="0" borderId="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applyAlignment="0" applyProtection="0"/>
    <xf numFmtId="168" fontId="21" fillId="0" borderId="0" applyFont="0" applyFill="0" applyBorder="0" applyAlignment="0" applyProtection="0"/>
    <xf numFmtId="168" fontId="21" fillId="0" borderId="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applyAlignment="0" applyProtection="0"/>
    <xf numFmtId="168" fontId="21" fillId="0" borderId="0" applyFont="0" applyFill="0" applyBorder="0"/>
    <xf numFmtId="168" fontId="21" fillId="0" borderId="0"/>
    <xf numFmtId="168" fontId="21" fillId="0" borderId="0"/>
    <xf numFmtId="168" fontId="21" fillId="0" borderId="0"/>
    <xf numFmtId="168" fontId="21" fillId="0" borderId="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xf numFmtId="168" fontId="21" fillId="0" borderId="0"/>
    <xf numFmtId="168" fontId="21" fillId="0" borderId="0" applyFont="0" applyFill="0" applyBorder="0"/>
    <xf numFmtId="168" fontId="21" fillId="0" borderId="0" applyFont="0" applyFill="0" applyBorder="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xf numFmtId="168" fontId="21" fillId="0" borderId="0" applyFont="0" applyFill="0" applyBorder="0"/>
    <xf numFmtId="168" fontId="21" fillId="0" borderId="0"/>
    <xf numFmtId="168" fontId="21" fillId="0" borderId="0"/>
    <xf numFmtId="168" fontId="21" fillId="0" borderId="0"/>
    <xf numFmtId="168" fontId="21" fillId="0" borderId="0"/>
    <xf numFmtId="168" fontId="21" fillId="0" borderId="0" applyFont="0" applyFill="0" applyBorder="0"/>
    <xf numFmtId="168" fontId="21" fillId="0" borderId="0" applyFont="0" applyFill="0" applyBorder="0"/>
    <xf numFmtId="168" fontId="21" fillId="0" borderId="0" applyFont="0" applyFill="0" applyBorder="0"/>
    <xf numFmtId="168" fontId="21" fillId="0" borderId="0"/>
    <xf numFmtId="168" fontId="21" fillId="0" borderId="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9" fontId="21" fillId="0" borderId="0"/>
    <xf numFmtId="169" fontId="21" fillId="0" borderId="0"/>
    <xf numFmtId="169" fontId="21" fillId="0" borderId="0"/>
    <xf numFmtId="169" fontId="21" fillId="0" borderId="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9" fontId="21" fillId="0" borderId="0"/>
    <xf numFmtId="169" fontId="21" fillId="0" borderId="0"/>
    <xf numFmtId="168" fontId="21" fillId="0" borderId="0" applyFont="0" applyFill="0" applyBorder="0"/>
    <xf numFmtId="168" fontId="21" fillId="0" borderId="0" applyFont="0" applyFill="0" applyBorder="0"/>
    <xf numFmtId="169" fontId="21" fillId="0" borderId="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71" fontId="21" fillId="0" borderId="0"/>
    <xf numFmtId="171" fontId="21" fillId="0" borderId="0"/>
    <xf numFmtId="168" fontId="21" fillId="0" borderId="0"/>
    <xf numFmtId="168" fontId="21" fillId="0" borderId="0"/>
    <xf numFmtId="168" fontId="21" fillId="0" borderId="0"/>
    <xf numFmtId="168" fontId="21" fillId="0" borderId="0"/>
    <xf numFmtId="169" fontId="21" fillId="0" borderId="0"/>
    <xf numFmtId="168" fontId="21" fillId="0" borderId="0"/>
    <xf numFmtId="168" fontId="21" fillId="0" borderId="0"/>
    <xf numFmtId="168" fontId="21" fillId="0" borderId="0" applyFont="0" applyFill="0" applyBorder="0"/>
    <xf numFmtId="168" fontId="21" fillId="0" borderId="0"/>
    <xf numFmtId="168" fontId="21" fillId="0" borderId="0"/>
    <xf numFmtId="168" fontId="21" fillId="0" borderId="0"/>
    <xf numFmtId="168" fontId="21" fillId="0" borderId="0"/>
    <xf numFmtId="168" fontId="21" fillId="0" borderId="0" applyFont="0" applyFill="0" applyBorder="0"/>
    <xf numFmtId="169" fontId="21" fillId="0" borderId="0"/>
    <xf numFmtId="168" fontId="21" fillId="0" borderId="0"/>
    <xf numFmtId="168" fontId="21" fillId="0" borderId="0"/>
    <xf numFmtId="174" fontId="21" fillId="0" borderId="0" applyFont="0" applyFill="0" applyBorder="0"/>
    <xf numFmtId="174" fontId="21" fillId="0" borderId="0" applyFont="0" applyFill="0" applyBorder="0"/>
    <xf numFmtId="174" fontId="21" fillId="0" borderId="0" applyFont="0" applyFill="0" applyBorder="0" applyAlignment="0" applyProtection="0"/>
    <xf numFmtId="174"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applyAlignment="0" applyProtection="0"/>
    <xf numFmtId="168" fontId="21" fillId="0" borderId="0" applyFont="0" applyFill="0" applyBorder="0" applyAlignment="0" applyProtection="0"/>
    <xf numFmtId="168" fontId="21" fillId="0" borderId="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xf numFmtId="168" fontId="21" fillId="0" borderId="0" applyFont="0" applyFill="0" applyBorder="0"/>
    <xf numFmtId="168" fontId="21" fillId="0" borderId="0" applyFont="0" applyFill="0" applyBorder="0"/>
    <xf numFmtId="168" fontId="21" fillId="0" borderId="0"/>
    <xf numFmtId="168" fontId="21" fillId="0" borderId="0"/>
    <xf numFmtId="168" fontId="21" fillId="0" borderId="0"/>
    <xf numFmtId="168" fontId="21" fillId="0" borderId="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xf numFmtId="168" fontId="21" fillId="0" borderId="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xf numFmtId="168" fontId="21" fillId="0" borderId="0"/>
    <xf numFmtId="168" fontId="21" fillId="0" borderId="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8" fontId="21" fillId="0" borderId="0" applyFont="0" applyFill="0" applyBorder="0"/>
    <xf numFmtId="169" fontId="21" fillId="0" borderId="0" applyFont="0" applyFill="0" applyBorder="0"/>
    <xf numFmtId="168" fontId="21" fillId="0" borderId="0" applyFont="0" applyFill="0" applyBorder="0"/>
    <xf numFmtId="168" fontId="21" fillId="0" borderId="0" applyFont="0" applyFill="0" applyBorder="0"/>
    <xf numFmtId="169" fontId="21" fillId="0" borderId="0" applyFont="0" applyFill="0" applyBorder="0"/>
    <xf numFmtId="168" fontId="21" fillId="0" borderId="0" applyFont="0" applyFill="0" applyBorder="0"/>
    <xf numFmtId="167" fontId="21" fillId="0" borderId="0" applyFont="0" applyFill="0" applyBorder="0" applyAlignment="0" applyProtection="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70" fontId="21" fillId="0" borderId="0" applyFont="0" applyFill="0" applyBorder="0"/>
    <xf numFmtId="170" fontId="21" fillId="0" borderId="0" applyFont="0" applyFill="0" applyBorder="0" applyAlignment="0" applyProtection="0"/>
    <xf numFmtId="170" fontId="21" fillId="0" borderId="0"/>
    <xf numFmtId="170" fontId="21" fillId="0" borderId="0" applyFont="0" applyFill="0" applyBorder="0"/>
    <xf numFmtId="170" fontId="21" fillId="0" borderId="0" applyFont="0" applyFill="0" applyBorder="0" applyAlignment="0" applyProtection="0"/>
    <xf numFmtId="170" fontId="21" fillId="0" borderId="0" applyFont="0" applyFill="0" applyBorder="0"/>
    <xf numFmtId="170" fontId="21" fillId="0" borderId="0" applyFont="0" applyFill="0" applyBorder="0"/>
    <xf numFmtId="170" fontId="21" fillId="0" borderId="0"/>
    <xf numFmtId="170" fontId="21" fillId="0" borderId="0"/>
    <xf numFmtId="170" fontId="21" fillId="0" borderId="0" applyFont="0" applyFill="0" applyBorder="0"/>
    <xf numFmtId="170" fontId="21" fillId="0" borderId="0" applyFont="0" applyFill="0" applyBorder="0"/>
    <xf numFmtId="170" fontId="21" fillId="0" borderId="0" applyFont="0" applyFill="0" applyBorder="0"/>
    <xf numFmtId="170" fontId="21" fillId="0" borderId="0" applyFont="0" applyFill="0" applyBorder="0"/>
    <xf numFmtId="170" fontId="21" fillId="0" borderId="0" applyFont="0" applyFill="0" applyBorder="0"/>
    <xf numFmtId="170" fontId="21" fillId="0" borderId="0" applyFont="0" applyFill="0" applyBorder="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5" fontId="1" fillId="0" borderId="0"/>
    <xf numFmtId="175" fontId="1" fillId="0" borderId="0"/>
    <xf numFmtId="170" fontId="21" fillId="0" borderId="0" applyFont="0" applyFill="0" applyBorder="0" applyAlignment="0" applyProtection="0"/>
    <xf numFmtId="170" fontId="21" fillId="0" borderId="0" applyFont="0" applyFill="0" applyBorder="0" applyAlignment="0" applyProtection="0"/>
    <xf numFmtId="170" fontId="21" fillId="0" borderId="0"/>
    <xf numFmtId="170" fontId="21" fillId="0" borderId="0" applyFont="0" applyFill="0" applyBorder="0" applyAlignment="0" applyProtection="0"/>
    <xf numFmtId="170" fontId="21" fillId="0" borderId="0" applyFont="0" applyFill="0" applyBorder="0" applyAlignment="0" applyProtection="0"/>
    <xf numFmtId="170" fontId="21" fillId="0" borderId="0"/>
    <xf numFmtId="170" fontId="21" fillId="0" borderId="0" applyFont="0" applyFill="0" applyBorder="0" applyAlignment="0" applyProtection="0"/>
    <xf numFmtId="170" fontId="21" fillId="0" borderId="0" applyFont="0" applyFill="0" applyBorder="0"/>
    <xf numFmtId="170" fontId="21" fillId="0" borderId="0" applyFont="0" applyFill="0" applyBorder="0"/>
    <xf numFmtId="170" fontId="21" fillId="0" borderId="0"/>
    <xf numFmtId="170" fontId="21" fillId="0" borderId="0"/>
    <xf numFmtId="170" fontId="21" fillId="0" borderId="0" applyFont="0" applyFill="0" applyBorder="0"/>
    <xf numFmtId="170" fontId="21" fillId="0" borderId="0" applyFont="0" applyFill="0" applyBorder="0"/>
    <xf numFmtId="170" fontId="21" fillId="0" borderId="0" applyFont="0" applyFill="0" applyBorder="0"/>
    <xf numFmtId="170" fontId="21" fillId="0" borderId="0" applyFont="0" applyFill="0" applyBorder="0"/>
    <xf numFmtId="170" fontId="21" fillId="0" borderId="0" applyFont="0" applyFill="0" applyBorder="0"/>
    <xf numFmtId="170" fontId="21" fillId="0" borderId="0" applyFont="0" applyFill="0" applyBorder="0" applyAlignment="0" applyProtection="0"/>
    <xf numFmtId="170" fontId="21" fillId="0" borderId="0" applyFont="0" applyFill="0" applyBorder="0"/>
    <xf numFmtId="170" fontId="21" fillId="0" borderId="0" applyFont="0" applyFill="0" applyBorder="0"/>
    <xf numFmtId="170" fontId="21" fillId="0" borderId="0"/>
    <xf numFmtId="170" fontId="21" fillId="0" borderId="0"/>
    <xf numFmtId="170" fontId="21" fillId="0" borderId="0" applyFont="0" applyFill="0" applyBorder="0"/>
    <xf numFmtId="170" fontId="21" fillId="0" borderId="0" applyFont="0" applyFill="0" applyBorder="0"/>
    <xf numFmtId="170" fontId="21" fillId="0" borderId="0" applyFont="0" applyFill="0" applyBorder="0"/>
    <xf numFmtId="170" fontId="21" fillId="0" borderId="0" applyFont="0" applyFill="0" applyBorder="0"/>
    <xf numFmtId="170" fontId="21" fillId="0" borderId="0" applyFont="0" applyFill="0" applyBorder="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xf numFmtId="167"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xf numFmtId="167" fontId="21" fillId="0" borderId="0"/>
    <xf numFmtId="167" fontId="21" fillId="0" borderId="0"/>
    <xf numFmtId="167" fontId="21" fillId="0" borderId="0"/>
    <xf numFmtId="167" fontId="21" fillId="0" borderId="0"/>
    <xf numFmtId="170" fontId="21" fillId="0" borderId="0" applyFont="0" applyFill="0" applyBorder="0"/>
    <xf numFmtId="167" fontId="21" fillId="0" borderId="0"/>
    <xf numFmtId="167" fontId="21" fillId="0" borderId="0"/>
    <xf numFmtId="167" fontId="21" fillId="0" borderId="0"/>
    <xf numFmtId="167" fontId="21" fillId="0" borderId="0"/>
    <xf numFmtId="170" fontId="21" fillId="0" borderId="0" applyFont="0" applyFill="0" applyBorder="0"/>
    <xf numFmtId="170" fontId="21" fillId="0" borderId="0" applyFont="0" applyFill="0" applyBorder="0"/>
    <xf numFmtId="170" fontId="21" fillId="0" borderId="0" applyFont="0" applyFill="0" applyBorder="0"/>
    <xf numFmtId="170" fontId="21" fillId="0" borderId="0" applyFont="0" applyFill="0" applyBorder="0"/>
    <xf numFmtId="0" fontId="24" fillId="14" borderId="0"/>
    <xf numFmtId="0" fontId="23" fillId="23" borderId="0" applyNumberFormat="0" applyBorder="0"/>
    <xf numFmtId="0" fontId="24" fillId="23" borderId="0" applyNumberFormat="0" applyBorder="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8" borderId="14"/>
    <xf numFmtId="0" fontId="21" fillId="8" borderId="14"/>
    <xf numFmtId="0" fontId="13" fillId="24" borderId="14"/>
    <xf numFmtId="0" fontId="13" fillId="8" borderId="14"/>
    <xf numFmtId="0" fontId="21" fillId="2" borderId="14" applyNumberFormat="0" applyFont="0"/>
    <xf numFmtId="0" fontId="21" fillId="2" borderId="14" applyNumberFormat="0" applyFont="0"/>
    <xf numFmtId="0" fontId="21" fillId="2" borderId="14" applyNumberFormat="0" applyFont="0"/>
    <xf numFmtId="0" fontId="21" fillId="2" borderId="14" applyNumberFormat="0" applyFont="0"/>
    <xf numFmtId="0" fontId="21" fillId="2" borderId="14" applyNumberFormat="0" applyFont="0"/>
    <xf numFmtId="0" fontId="21" fillId="2" borderId="14" applyNumberFormat="0" applyFont="0"/>
    <xf numFmtId="9" fontId="21" fillId="0" borderId="0"/>
    <xf numFmtId="9" fontId="21" fillId="0" borderId="0"/>
    <xf numFmtId="9" fontId="21" fillId="0" borderId="0" applyFont="0" applyFill="0" applyBorder="0"/>
    <xf numFmtId="9" fontId="21" fillId="0" borderId="0"/>
    <xf numFmtId="9" fontId="21" fillId="0" borderId="0" applyFont="0" applyFill="0" applyBorder="0"/>
    <xf numFmtId="9" fontId="21" fillId="0" borderId="0" applyFont="0" applyFill="0" applyBorder="0"/>
    <xf numFmtId="9" fontId="21" fillId="0" borderId="0" applyFont="0" applyFill="0" applyBorder="0" applyAlignment="0" applyProtection="0"/>
    <xf numFmtId="0" fontId="25" fillId="13" borderId="15"/>
    <xf numFmtId="0" fontId="26" fillId="0" borderId="0" applyNumberFormat="0" applyFill="0" applyBorder="0"/>
    <xf numFmtId="0" fontId="26" fillId="0" borderId="0"/>
    <xf numFmtId="0" fontId="26" fillId="0" borderId="0" applyNumberFormat="0" applyFill="0" applyBorder="0"/>
    <xf numFmtId="168" fontId="21" fillId="0" borderId="0" applyFont="0" applyFill="0" applyBorder="0"/>
  </cellStyleXfs>
  <cellXfs count="524">
    <xf numFmtId="0" fontId="0" fillId="0" borderId="0" xfId="0"/>
    <xf numFmtId="0" fontId="0" fillId="0" borderId="0" xfId="0" applyAlignment="1">
      <alignment horizontal="center"/>
    </xf>
    <xf numFmtId="0" fontId="0" fillId="0" borderId="0" xfId="0" applyAlignment="1">
      <alignment wrapText="1"/>
    </xf>
    <xf numFmtId="0" fontId="0" fillId="0" borderId="0" xfId="0" applyAlignment="1">
      <alignment horizontal="left"/>
    </xf>
    <xf numFmtId="0" fontId="28" fillId="0" borderId="1" xfId="0" applyFont="1" applyBorder="1" applyAlignment="1">
      <alignment horizontal="center" vertical="center" wrapText="1"/>
    </xf>
    <xf numFmtId="0" fontId="0" fillId="0" borderId="1" xfId="0" applyBorder="1" applyAlignment="1">
      <alignment wrapText="1"/>
    </xf>
    <xf numFmtId="0" fontId="0" fillId="0" borderId="1" xfId="0" applyBorder="1"/>
    <xf numFmtId="0" fontId="29" fillId="0" borderId="0" xfId="0" applyFont="1" applyAlignment="1">
      <alignment vertical="center"/>
    </xf>
    <xf numFmtId="0" fontId="29" fillId="0" borderId="0" xfId="535" applyNumberFormat="1" applyFont="1" applyAlignment="1">
      <alignment horizontal="center" vertical="center"/>
    </xf>
    <xf numFmtId="0" fontId="29" fillId="0" borderId="0" xfId="535" applyNumberFormat="1" applyFont="1" applyAlignment="1">
      <alignment vertical="center"/>
    </xf>
    <xf numFmtId="0" fontId="29" fillId="0" borderId="0" xfId="535" applyNumberFormat="1" applyFont="1" applyAlignment="1">
      <alignment vertical="center" wrapText="1"/>
    </xf>
    <xf numFmtId="168" fontId="29" fillId="0" borderId="0" xfId="409" applyNumberFormat="1" applyFont="1" applyAlignment="1">
      <alignment vertical="center"/>
    </xf>
    <xf numFmtId="0" fontId="4" fillId="0" borderId="1" xfId="535" applyNumberFormat="1" applyFont="1" applyBorder="1" applyAlignment="1">
      <alignment horizontal="center" vertical="center" wrapText="1"/>
    </xf>
    <xf numFmtId="168" fontId="4" fillId="0" borderId="1" xfId="409" applyNumberFormat="1" applyFont="1" applyBorder="1" applyAlignment="1">
      <alignment vertical="center"/>
    </xf>
    <xf numFmtId="0" fontId="4" fillId="0" borderId="1" xfId="409" applyNumberFormat="1" applyFont="1" applyBorder="1" applyAlignment="1">
      <alignment horizontal="center" vertical="center" wrapText="1"/>
    </xf>
    <xf numFmtId="168" fontId="4" fillId="0" borderId="1" xfId="409" applyNumberFormat="1" applyFont="1" applyBorder="1" applyAlignment="1">
      <alignment horizontal="center" vertical="center" wrapText="1"/>
    </xf>
    <xf numFmtId="15" fontId="4" fillId="0" borderId="1" xfId="535" applyNumberFormat="1" applyFont="1" applyBorder="1" applyAlignment="1">
      <alignment horizontal="center" vertical="center"/>
    </xf>
    <xf numFmtId="172" fontId="4" fillId="0" borderId="1" xfId="409" applyNumberFormat="1" applyFont="1" applyBorder="1" applyAlignment="1">
      <alignment horizontal="center" vertical="center"/>
    </xf>
    <xf numFmtId="14" fontId="4" fillId="0" borderId="1" xfId="535" applyNumberFormat="1" applyFont="1" applyBorder="1" applyAlignment="1">
      <alignment horizontal="center" vertical="center"/>
    </xf>
    <xf numFmtId="0" fontId="4" fillId="0" borderId="1" xfId="535" applyNumberFormat="1" applyFont="1" applyBorder="1" applyAlignment="1">
      <alignment horizontal="center" vertical="center"/>
    </xf>
    <xf numFmtId="0" fontId="4" fillId="0" borderId="2" xfId="535" applyNumberFormat="1" applyFont="1" applyBorder="1" applyAlignment="1">
      <alignment horizontal="center" vertical="center" wrapText="1"/>
    </xf>
    <xf numFmtId="0" fontId="30" fillId="0" borderId="0" xfId="0" applyFont="1" applyAlignment="1">
      <alignment horizontal="center" vertical="center" wrapText="1"/>
    </xf>
    <xf numFmtId="168" fontId="31" fillId="25" borderId="1" xfId="87" applyNumberFormat="1" applyFont="1" applyFill="1" applyBorder="1" applyAlignment="1">
      <alignment horizontal="center" vertical="center" wrapText="1"/>
    </xf>
    <xf numFmtId="0" fontId="31" fillId="25" borderId="1" xfId="87" applyNumberFormat="1" applyFont="1" applyFill="1" applyBorder="1" applyAlignment="1">
      <alignment horizontal="center" vertical="center" wrapText="1"/>
    </xf>
    <xf numFmtId="49" fontId="31" fillId="25" borderId="1" xfId="87" applyNumberFormat="1" applyFont="1" applyFill="1" applyBorder="1" applyAlignment="1">
      <alignment horizontal="center" vertical="center" wrapText="1"/>
    </xf>
    <xf numFmtId="168" fontId="31" fillId="3" borderId="1" xfId="87" applyNumberFormat="1" applyFont="1" applyFill="1" applyBorder="1" applyAlignment="1">
      <alignment horizontal="center" vertical="center" wrapText="1"/>
    </xf>
    <xf numFmtId="177" fontId="31" fillId="3" borderId="1" xfId="87" applyNumberFormat="1" applyFont="1" applyFill="1" applyBorder="1" applyAlignment="1">
      <alignment horizontal="center" vertical="center" wrapText="1"/>
    </xf>
    <xf numFmtId="176" fontId="9" fillId="26" borderId="1" xfId="87" applyNumberFormat="1" applyFont="1" applyFill="1" applyBorder="1" applyAlignment="1">
      <alignment horizontal="center" vertical="center" wrapText="1"/>
    </xf>
    <xf numFmtId="14" fontId="9" fillId="26" borderId="1" xfId="87" applyNumberFormat="1" applyFont="1" applyFill="1" applyBorder="1" applyAlignment="1">
      <alignment horizontal="center" vertical="center" wrapText="1"/>
    </xf>
    <xf numFmtId="168" fontId="9" fillId="26" borderId="1" xfId="87" applyNumberFormat="1" applyFont="1" applyFill="1" applyBorder="1" applyAlignment="1">
      <alignment horizontal="center" vertical="center" wrapText="1"/>
    </xf>
    <xf numFmtId="0" fontId="9" fillId="26" borderId="1" xfId="87" applyNumberFormat="1" applyFont="1" applyFill="1" applyBorder="1" applyAlignment="1">
      <alignment horizontal="center" vertical="center" wrapText="1"/>
    </xf>
    <xf numFmtId="176" fontId="9" fillId="12" borderId="1" xfId="87" applyNumberFormat="1" applyFont="1" applyFill="1" applyBorder="1" applyAlignment="1">
      <alignment horizontal="center" vertical="center" wrapText="1"/>
    </xf>
    <xf numFmtId="14" fontId="9" fillId="12" borderId="1" xfId="87" applyNumberFormat="1" applyFont="1" applyFill="1" applyBorder="1" applyAlignment="1">
      <alignment horizontal="center" vertical="center" wrapText="1"/>
    </xf>
    <xf numFmtId="168" fontId="9" fillId="12" borderId="1" xfId="87" applyNumberFormat="1" applyFont="1" applyFill="1" applyBorder="1" applyAlignment="1">
      <alignment horizontal="center" vertical="center" wrapText="1"/>
    </xf>
    <xf numFmtId="0" fontId="9" fillId="12" borderId="1" xfId="87" applyNumberFormat="1" applyFont="1" applyFill="1" applyBorder="1" applyAlignment="1">
      <alignment horizontal="center" vertical="center" wrapText="1"/>
    </xf>
    <xf numFmtId="0" fontId="31" fillId="26" borderId="1" xfId="87" applyNumberFormat="1" applyFont="1" applyFill="1" applyBorder="1" applyAlignment="1">
      <alignment horizontal="center" vertical="center" wrapText="1"/>
    </xf>
    <xf numFmtId="176" fontId="31" fillId="12" borderId="1" xfId="87" applyNumberFormat="1" applyFont="1" applyFill="1" applyBorder="1" applyAlignment="1">
      <alignment horizontal="center" vertical="center" wrapText="1"/>
    </xf>
    <xf numFmtId="14" fontId="31" fillId="12" borderId="1" xfId="87" applyNumberFormat="1" applyFont="1" applyFill="1" applyBorder="1" applyAlignment="1">
      <alignment horizontal="center" vertical="center" wrapText="1"/>
    </xf>
    <xf numFmtId="168" fontId="31" fillId="12" borderId="1" xfId="87" applyNumberFormat="1" applyFont="1" applyFill="1" applyBorder="1" applyAlignment="1">
      <alignment horizontal="center" vertical="center" wrapText="1"/>
    </xf>
    <xf numFmtId="0" fontId="31" fillId="12" borderId="1" xfId="87" applyNumberFormat="1" applyFont="1" applyFill="1" applyBorder="1" applyAlignment="1">
      <alignment horizontal="center" vertical="center" wrapText="1"/>
    </xf>
    <xf numFmtId="0" fontId="31" fillId="18" borderId="1" xfId="87" applyNumberFormat="1" applyFont="1" applyFill="1" applyBorder="1" applyAlignment="1">
      <alignment horizontal="center" vertical="center" wrapText="1"/>
    </xf>
    <xf numFmtId="176" fontId="31" fillId="27" borderId="1" xfId="87" applyNumberFormat="1" applyFont="1" applyFill="1" applyBorder="1" applyAlignment="1">
      <alignment horizontal="center" vertical="center" wrapText="1"/>
    </xf>
    <xf numFmtId="0" fontId="30" fillId="0" borderId="0" xfId="0" applyFont="1" applyAlignment="1">
      <alignment horizontal="center" vertical="center"/>
    </xf>
    <xf numFmtId="168" fontId="3" fillId="25" borderId="1" xfId="87" applyNumberFormat="1" applyFont="1" applyFill="1" applyBorder="1" applyAlignment="1">
      <alignment horizontal="left" vertical="center" wrapText="1"/>
    </xf>
    <xf numFmtId="49" fontId="3" fillId="25" borderId="1" xfId="87" applyNumberFormat="1" applyFont="1" applyFill="1" applyBorder="1" applyAlignment="1">
      <alignment horizontal="left" vertical="center" wrapText="1"/>
    </xf>
    <xf numFmtId="0" fontId="3" fillId="25" borderId="1" xfId="87" applyNumberFormat="1" applyFont="1" applyFill="1" applyBorder="1" applyAlignment="1">
      <alignment horizontal="left" vertical="center" wrapText="1"/>
    </xf>
    <xf numFmtId="2" fontId="3" fillId="25" borderId="1" xfId="87" applyNumberFormat="1" applyFont="1" applyFill="1" applyBorder="1" applyAlignment="1">
      <alignment horizontal="left" vertical="center" wrapText="1"/>
    </xf>
    <xf numFmtId="0" fontId="3" fillId="25" borderId="2" xfId="87" applyNumberFormat="1" applyFont="1" applyFill="1" applyBorder="1" applyAlignment="1">
      <alignment horizontal="left" vertical="center" wrapText="1"/>
    </xf>
    <xf numFmtId="167" fontId="11" fillId="30" borderId="1" xfId="509" applyNumberFormat="1" applyFont="1" applyFill="1" applyBorder="1" applyAlignment="1">
      <alignment horizontal="left" vertical="center" wrapText="1"/>
    </xf>
    <xf numFmtId="0" fontId="2" fillId="0" borderId="1" xfId="0" applyFont="1" applyBorder="1" applyAlignment="1">
      <alignment horizontal="center" vertical="center"/>
    </xf>
    <xf numFmtId="178" fontId="2" fillId="0" borderId="4" xfId="87" applyNumberFormat="1" applyFont="1" applyBorder="1" applyAlignment="1">
      <alignment horizontal="center" vertical="center"/>
    </xf>
    <xf numFmtId="178" fontId="2" fillId="0" borderId="1" xfId="87" applyNumberFormat="1" applyFont="1" applyBorder="1" applyAlignment="1">
      <alignment horizontal="center" vertical="center"/>
    </xf>
    <xf numFmtId="0" fontId="2" fillId="0" borderId="1" xfId="0" applyFont="1" applyBorder="1" applyAlignment="1">
      <alignment horizontal="left" vertical="center" wrapText="1"/>
    </xf>
    <xf numFmtId="0" fontId="0" fillId="0" borderId="0" xfId="0" applyAlignment="1">
      <alignment horizontal="left" wrapText="1"/>
    </xf>
    <xf numFmtId="49" fontId="11" fillId="4" borderId="1" xfId="87" applyNumberFormat="1" applyFont="1" applyFill="1" applyBorder="1" applyAlignment="1">
      <alignment horizontal="center" vertical="center" wrapText="1"/>
    </xf>
    <xf numFmtId="168" fontId="11" fillId="25" borderId="1" xfId="87" applyNumberFormat="1" applyFont="1" applyFill="1" applyBorder="1" applyAlignment="1">
      <alignment horizontal="center" vertical="center" wrapText="1"/>
    </xf>
    <xf numFmtId="49" fontId="11" fillId="25" borderId="1" xfId="87" applyNumberFormat="1" applyFont="1" applyFill="1" applyBorder="1" applyAlignment="1">
      <alignment horizontal="center" vertical="center" wrapText="1"/>
    </xf>
    <xf numFmtId="176" fontId="7" fillId="26" borderId="1" xfId="87" applyNumberFormat="1" applyFont="1" applyFill="1" applyBorder="1" applyAlignment="1">
      <alignment horizontal="center" vertical="center" wrapText="1"/>
    </xf>
    <xf numFmtId="167" fontId="7" fillId="26" borderId="1" xfId="509" applyNumberFormat="1" applyFont="1" applyFill="1" applyBorder="1" applyAlignment="1">
      <alignment horizontal="center" vertical="center" wrapText="1"/>
    </xf>
    <xf numFmtId="176" fontId="7" fillId="31" borderId="1" xfId="87" applyNumberFormat="1" applyFont="1" applyFill="1" applyBorder="1" applyAlignment="1">
      <alignment horizontal="center" vertical="center" wrapText="1"/>
    </xf>
    <xf numFmtId="176" fontId="7" fillId="31" borderId="5" xfId="87" applyNumberFormat="1" applyFont="1" applyFill="1" applyBorder="1" applyAlignment="1">
      <alignment horizontal="center" vertical="center" wrapText="1"/>
    </xf>
    <xf numFmtId="0" fontId="0" fillId="0" borderId="1" xfId="0" applyBorder="1" applyAlignment="1">
      <alignment horizontal="left"/>
    </xf>
    <xf numFmtId="168" fontId="4" fillId="0" borderId="1" xfId="25" applyFont="1" applyBorder="1" applyAlignment="1">
      <alignment vertical="center"/>
    </xf>
    <xf numFmtId="168" fontId="29" fillId="0" borderId="0" xfId="25" applyFont="1" applyAlignment="1">
      <alignment vertical="center"/>
    </xf>
    <xf numFmtId="168" fontId="4" fillId="0" borderId="1" xfId="25" applyFont="1" applyFill="1" applyBorder="1" applyAlignment="1">
      <alignment vertical="center"/>
    </xf>
    <xf numFmtId="0" fontId="32" fillId="32" borderId="1" xfId="36" applyNumberFormat="1" applyFont="1" applyFill="1" applyBorder="1" applyAlignment="1">
      <alignment horizontal="center" vertical="center" wrapText="1"/>
    </xf>
    <xf numFmtId="168" fontId="3" fillId="25" borderId="1" xfId="87" applyNumberFormat="1" applyFont="1" applyFill="1" applyBorder="1" applyAlignment="1">
      <alignment horizontal="center" vertical="center" wrapText="1"/>
    </xf>
    <xf numFmtId="49" fontId="3" fillId="25" borderId="1" xfId="87" applyNumberFormat="1" applyFont="1" applyFill="1" applyBorder="1" applyAlignment="1">
      <alignment horizontal="center" vertical="center" wrapText="1"/>
    </xf>
    <xf numFmtId="175" fontId="14" fillId="33" borderId="1" xfId="446" applyNumberFormat="1" applyFont="1" applyFill="1" applyBorder="1" applyAlignment="1">
      <alignment horizontal="center" vertical="center" wrapText="1"/>
    </xf>
    <xf numFmtId="1" fontId="3" fillId="26" borderId="1" xfId="87" applyNumberFormat="1" applyFont="1" applyFill="1" applyBorder="1" applyAlignment="1">
      <alignment horizontal="center" vertical="center" wrapText="1"/>
    </xf>
    <xf numFmtId="176" fontId="3" fillId="26" borderId="1" xfId="87" applyNumberFormat="1" applyFont="1" applyFill="1" applyBorder="1" applyAlignment="1">
      <alignment horizontal="center" vertical="center" wrapText="1"/>
    </xf>
    <xf numFmtId="167" fontId="3" fillId="26" borderId="1" xfId="509" applyNumberFormat="1" applyFont="1" applyFill="1" applyBorder="1" applyAlignment="1">
      <alignment horizontal="center" vertical="center" wrapText="1"/>
    </xf>
    <xf numFmtId="1" fontId="3" fillId="31" borderId="1" xfId="87" applyNumberFormat="1" applyFont="1" applyFill="1" applyBorder="1" applyAlignment="1">
      <alignment horizontal="center" vertical="center" wrapText="1"/>
    </xf>
    <xf numFmtId="176" fontId="3" fillId="31" borderId="1" xfId="87" applyNumberFormat="1" applyFont="1" applyFill="1" applyBorder="1" applyAlignment="1">
      <alignment horizontal="center" vertical="center" wrapText="1"/>
    </xf>
    <xf numFmtId="0" fontId="33" fillId="0" borderId="0" xfId="0" applyFont="1" applyAlignment="1">
      <alignment wrapText="1"/>
    </xf>
    <xf numFmtId="0" fontId="4" fillId="25" borderId="0" xfId="409" applyNumberFormat="1" applyFont="1" applyFill="1" applyAlignment="1">
      <alignment horizontal="center" vertical="center" wrapText="1"/>
    </xf>
    <xf numFmtId="168" fontId="4" fillId="25" borderId="0" xfId="409" applyNumberFormat="1" applyFont="1" applyFill="1" applyAlignment="1">
      <alignment horizontal="center" vertical="center" wrapText="1"/>
    </xf>
    <xf numFmtId="0" fontId="4" fillId="22" borderId="0" xfId="409" applyNumberFormat="1" applyFont="1" applyFill="1" applyAlignment="1">
      <alignment horizontal="center" vertical="center" wrapText="1"/>
    </xf>
    <xf numFmtId="49" fontId="4" fillId="25" borderId="0" xfId="409" applyNumberFormat="1" applyFont="1" applyFill="1" applyAlignment="1">
      <alignment horizontal="center" vertical="center" wrapText="1"/>
    </xf>
    <xf numFmtId="2" fontId="4" fillId="25" borderId="0" xfId="409" applyNumberFormat="1" applyFont="1" applyFill="1" applyAlignment="1">
      <alignment horizontal="center" vertical="center" wrapText="1"/>
    </xf>
    <xf numFmtId="168" fontId="4" fillId="33" borderId="0" xfId="25" applyFont="1" applyFill="1" applyBorder="1" applyAlignment="1">
      <alignment vertical="center"/>
    </xf>
    <xf numFmtId="168" fontId="4" fillId="35" borderId="0" xfId="25" applyFont="1" applyFill="1" applyBorder="1" applyAlignment="1">
      <alignment vertical="center"/>
    </xf>
    <xf numFmtId="168" fontId="6" fillId="3" borderId="0" xfId="409" applyNumberFormat="1" applyFont="1" applyFill="1" applyAlignment="1">
      <alignment vertical="center"/>
    </xf>
    <xf numFmtId="168" fontId="6" fillId="32" borderId="0" xfId="409" applyNumberFormat="1" applyFont="1" applyFill="1" applyAlignment="1">
      <alignment vertical="center"/>
    </xf>
    <xf numFmtId="168" fontId="34" fillId="32" borderId="0" xfId="409" applyNumberFormat="1" applyFont="1" applyFill="1" applyAlignment="1">
      <alignment vertical="center"/>
    </xf>
    <xf numFmtId="173" fontId="4" fillId="7" borderId="0" xfId="88" applyNumberFormat="1" applyFont="1" applyFill="1" applyAlignment="1">
      <alignment horizontal="center" vertical="center" wrapText="1"/>
    </xf>
    <xf numFmtId="14" fontId="4" fillId="7" borderId="0" xfId="535" applyNumberFormat="1" applyFont="1" applyFill="1" applyAlignment="1">
      <alignment horizontal="center" vertical="center" wrapText="1"/>
    </xf>
    <xf numFmtId="0" fontId="4" fillId="7" borderId="0" xfId="535" applyNumberFormat="1" applyFont="1" applyFill="1" applyAlignment="1">
      <alignment horizontal="center" vertical="center" wrapText="1"/>
    </xf>
    <xf numFmtId="0" fontId="4" fillId="27" borderId="0" xfId="535" applyNumberFormat="1" applyFont="1" applyFill="1" applyAlignment="1">
      <alignment horizontal="center" vertical="center" wrapText="1"/>
    </xf>
    <xf numFmtId="14" fontId="4" fillId="27" borderId="0" xfId="535" applyNumberFormat="1" applyFont="1" applyFill="1" applyAlignment="1">
      <alignment horizontal="center" vertical="center" wrapText="1"/>
    </xf>
    <xf numFmtId="0" fontId="4" fillId="15" borderId="0" xfId="535" applyNumberFormat="1" applyFont="1" applyFill="1" applyAlignment="1">
      <alignment horizontal="center" vertical="center" wrapText="1"/>
    </xf>
    <xf numFmtId="0" fontId="0" fillId="0" borderId="6" xfId="0" applyBorder="1"/>
    <xf numFmtId="0" fontId="0" fillId="0" borderId="0" xfId="0" applyAlignment="1">
      <alignment vertical="center" wrapText="1"/>
    </xf>
    <xf numFmtId="0" fontId="30" fillId="0" borderId="1" xfId="0" applyFont="1" applyBorder="1" applyAlignment="1">
      <alignment horizontal="center" vertical="center" wrapText="1"/>
    </xf>
    <xf numFmtId="168" fontId="30" fillId="0" borderId="1" xfId="87" applyNumberFormat="1" applyFont="1" applyBorder="1" applyAlignment="1">
      <alignment horizontal="center" vertical="center" wrapText="1"/>
    </xf>
    <xf numFmtId="168" fontId="30" fillId="0" borderId="1" xfId="25" applyFont="1" applyFill="1" applyBorder="1" applyAlignment="1">
      <alignment horizontal="center" vertical="center"/>
    </xf>
    <xf numFmtId="15" fontId="8" fillId="0" borderId="1" xfId="0" applyNumberFormat="1" applyFont="1" applyBorder="1" applyAlignment="1">
      <alignment horizontal="center" vertical="center" wrapText="1"/>
    </xf>
    <xf numFmtId="176" fontId="8" fillId="0" borderId="1" xfId="87" applyNumberFormat="1" applyFont="1" applyBorder="1" applyAlignment="1">
      <alignment horizontal="center" vertical="center" wrapText="1"/>
    </xf>
    <xf numFmtId="168" fontId="8" fillId="0" borderId="1" xfId="87" applyNumberFormat="1" applyFont="1" applyBorder="1" applyAlignment="1">
      <alignment horizontal="center" vertical="center" wrapText="1"/>
    </xf>
    <xf numFmtId="0" fontId="8" fillId="0" borderId="1" xfId="0" applyFont="1" applyBorder="1" applyAlignment="1">
      <alignment horizontal="center" vertical="center" wrapText="1"/>
    </xf>
    <xf numFmtId="0" fontId="10" fillId="0" borderId="1" xfId="87" applyNumberFormat="1" applyFont="1" applyBorder="1" applyAlignment="1">
      <alignment horizontal="center" vertical="center" wrapText="1"/>
    </xf>
    <xf numFmtId="14" fontId="8" fillId="0" borderId="1" xfId="0" applyNumberFormat="1" applyFont="1" applyBorder="1" applyAlignment="1">
      <alignment horizontal="center" vertical="center" wrapText="1"/>
    </xf>
    <xf numFmtId="168" fontId="8" fillId="0" borderId="1" xfId="25" applyFont="1" applyFill="1" applyBorder="1" applyAlignment="1">
      <alignment horizontal="center" vertical="center"/>
    </xf>
    <xf numFmtId="15" fontId="30" fillId="0" borderId="1" xfId="0" applyNumberFormat="1" applyFont="1" applyBorder="1" applyAlignment="1">
      <alignment horizontal="center" vertical="center" wrapText="1"/>
    </xf>
    <xf numFmtId="176" fontId="30" fillId="0" borderId="1" xfId="87" applyNumberFormat="1" applyFont="1" applyBorder="1" applyAlignment="1">
      <alignment horizontal="center" vertical="center" wrapText="1"/>
    </xf>
    <xf numFmtId="14" fontId="30" fillId="0" borderId="1" xfId="0" applyNumberFormat="1" applyFont="1" applyBorder="1" applyAlignment="1">
      <alignment horizontal="center" vertical="center" wrapText="1"/>
    </xf>
    <xf numFmtId="0" fontId="30" fillId="0" borderId="1" xfId="0" applyFont="1" applyBorder="1" applyAlignment="1">
      <alignment horizontal="center" vertical="center"/>
    </xf>
    <xf numFmtId="15" fontId="8" fillId="0" borderId="1" xfId="535" applyNumberFormat="1" applyFont="1" applyBorder="1" applyAlignment="1">
      <alignment horizontal="center" vertical="center"/>
    </xf>
    <xf numFmtId="168" fontId="30" fillId="0" borderId="1" xfId="0" applyNumberFormat="1" applyFont="1" applyBorder="1" applyAlignment="1">
      <alignment horizontal="center" vertical="center" wrapText="1"/>
    </xf>
    <xf numFmtId="14" fontId="8" fillId="0" borderId="1" xfId="87" applyNumberFormat="1" applyFont="1" applyBorder="1" applyAlignment="1">
      <alignment horizontal="center" vertical="center" wrapText="1"/>
    </xf>
    <xf numFmtId="0" fontId="10" fillId="0" borderId="1" xfId="0" applyFont="1" applyBorder="1" applyAlignment="1">
      <alignment horizontal="center" vertical="center" wrapText="1"/>
    </xf>
    <xf numFmtId="168" fontId="6" fillId="20" borderId="0" xfId="409" applyNumberFormat="1" applyFont="1" applyFill="1" applyAlignment="1">
      <alignment vertical="center"/>
    </xf>
    <xf numFmtId="0" fontId="35" fillId="0" borderId="1" xfId="0" applyFont="1" applyBorder="1" applyAlignment="1">
      <alignment horizontal="center" vertical="center" wrapText="1"/>
    </xf>
    <xf numFmtId="0" fontId="35" fillId="0" borderId="1" xfId="48" applyNumberFormat="1" applyFont="1" applyBorder="1" applyAlignment="1">
      <alignment horizontal="center" vertical="center" wrapText="1"/>
    </xf>
    <xf numFmtId="49" fontId="35" fillId="0" borderId="1" xfId="0" applyNumberFormat="1" applyFont="1" applyBorder="1" applyAlignment="1">
      <alignment horizontal="center" vertical="center" wrapText="1"/>
    </xf>
    <xf numFmtId="2" fontId="35" fillId="0" borderId="1" xfId="0" applyNumberFormat="1" applyFont="1" applyBorder="1" applyAlignment="1">
      <alignment horizontal="center" vertical="center" wrapText="1"/>
    </xf>
    <xf numFmtId="168" fontId="35" fillId="0" borderId="1" xfId="26" applyNumberFormat="1" applyFont="1" applyBorder="1" applyAlignment="1">
      <alignment horizontal="center" vertical="center" wrapText="1"/>
    </xf>
    <xf numFmtId="168" fontId="35" fillId="0" borderId="1" xfId="48" applyFont="1" applyBorder="1" applyAlignment="1">
      <alignment horizontal="center" vertical="center" wrapText="1"/>
    </xf>
    <xf numFmtId="49" fontId="35" fillId="0" borderId="1" xfId="48" applyNumberFormat="1" applyFont="1" applyBorder="1" applyAlignment="1">
      <alignment horizontal="center" vertical="center" wrapText="1"/>
    </xf>
    <xf numFmtId="168" fontId="35" fillId="0" borderId="1" xfId="124" applyFont="1" applyBorder="1" applyAlignment="1">
      <alignment horizontal="center" vertical="center" wrapText="1"/>
    </xf>
    <xf numFmtId="170" fontId="35" fillId="0" borderId="1" xfId="443" applyFont="1" applyBorder="1" applyAlignment="1">
      <alignment horizontal="center" vertical="center" wrapText="1"/>
    </xf>
    <xf numFmtId="170" fontId="35" fillId="0" borderId="1" xfId="409" applyNumberFormat="1" applyFont="1" applyBorder="1" applyAlignment="1">
      <alignment horizontal="center" vertical="center" wrapText="1"/>
    </xf>
    <xf numFmtId="0" fontId="35" fillId="0" borderId="1" xfId="26" applyNumberFormat="1" applyFont="1" applyBorder="1" applyAlignment="1">
      <alignment horizontal="center" vertical="center" wrapText="1"/>
    </xf>
    <xf numFmtId="49" fontId="35" fillId="0" borderId="1" xfId="96" applyNumberFormat="1" applyFont="1" applyBorder="1" applyAlignment="1">
      <alignment horizontal="center" vertical="center" wrapText="1"/>
    </xf>
    <xf numFmtId="0" fontId="35" fillId="0" borderId="1" xfId="96" applyNumberFormat="1" applyFont="1" applyBorder="1" applyAlignment="1">
      <alignment horizontal="center" vertical="center" wrapText="1"/>
    </xf>
    <xf numFmtId="168" fontId="35" fillId="0" borderId="1" xfId="36" applyFont="1" applyBorder="1" applyAlignment="1">
      <alignment horizontal="center" vertical="center" wrapText="1"/>
    </xf>
    <xf numFmtId="0" fontId="35" fillId="0" borderId="1" xfId="36" applyNumberFormat="1" applyFont="1" applyBorder="1" applyAlignment="1">
      <alignment horizontal="center" vertical="center" wrapText="1"/>
    </xf>
    <xf numFmtId="49" fontId="35" fillId="0" borderId="1" xfId="36" applyNumberFormat="1" applyFont="1" applyBorder="1" applyAlignment="1">
      <alignment horizontal="center" vertical="center" wrapText="1"/>
    </xf>
    <xf numFmtId="0" fontId="35" fillId="0" borderId="1" xfId="0" quotePrefix="1" applyFont="1" applyBorder="1" applyAlignment="1">
      <alignment horizontal="center" vertical="center" wrapText="1"/>
    </xf>
    <xf numFmtId="168" fontId="36" fillId="0" borderId="1" xfId="0" applyNumberFormat="1" applyFont="1" applyBorder="1" applyAlignment="1">
      <alignment vertical="center"/>
    </xf>
    <xf numFmtId="0" fontId="35" fillId="0" borderId="1" xfId="139" applyNumberFormat="1" applyFont="1" applyBorder="1" applyAlignment="1">
      <alignment horizontal="center" vertical="center" wrapText="1"/>
    </xf>
    <xf numFmtId="0" fontId="35" fillId="37" borderId="1" xfId="96" applyNumberFormat="1" applyFont="1" applyFill="1" applyBorder="1" applyAlignment="1">
      <alignment horizontal="center" vertical="center" wrapText="1"/>
    </xf>
    <xf numFmtId="0" fontId="35" fillId="0" borderId="1" xfId="124" applyNumberFormat="1" applyFont="1" applyBorder="1" applyAlignment="1">
      <alignment horizontal="center" vertical="center" wrapText="1"/>
    </xf>
    <xf numFmtId="1" fontId="35" fillId="0" borderId="1" xfId="96" applyNumberFormat="1" applyFont="1" applyBorder="1" applyAlignment="1">
      <alignment horizontal="center" vertical="center" wrapText="1"/>
    </xf>
    <xf numFmtId="1" fontId="35" fillId="0" borderId="1" xfId="0" applyNumberFormat="1" applyFont="1" applyBorder="1" applyAlignment="1">
      <alignment horizontal="center" vertical="center" wrapText="1"/>
    </xf>
    <xf numFmtId="0" fontId="29" fillId="37" borderId="0" xfId="535" applyNumberFormat="1" applyFont="1" applyFill="1" applyAlignment="1">
      <alignment horizontal="center" vertical="center"/>
    </xf>
    <xf numFmtId="0" fontId="4" fillId="37" borderId="1" xfId="535" applyNumberFormat="1" applyFont="1" applyFill="1" applyBorder="1" applyAlignment="1">
      <alignment horizontal="center" vertical="center" wrapText="1"/>
    </xf>
    <xf numFmtId="168" fontId="4" fillId="37" borderId="1" xfId="25" applyFont="1" applyFill="1" applyBorder="1" applyAlignment="1">
      <alignment vertical="center"/>
    </xf>
    <xf numFmtId="168" fontId="4" fillId="37" borderId="1" xfId="409" applyNumberFormat="1" applyFont="1" applyFill="1" applyBorder="1" applyAlignment="1">
      <alignment vertical="center"/>
    </xf>
    <xf numFmtId="168" fontId="36" fillId="37" borderId="1" xfId="0" applyNumberFormat="1" applyFont="1" applyFill="1" applyBorder="1" applyAlignment="1">
      <alignment vertical="center"/>
    </xf>
    <xf numFmtId="171" fontId="35" fillId="0" borderId="1" xfId="25" applyNumberFormat="1" applyFont="1" applyFill="1" applyBorder="1" applyAlignment="1">
      <alignment horizontal="center" vertical="center" wrapText="1"/>
    </xf>
    <xf numFmtId="0" fontId="38" fillId="0" borderId="1" xfId="26" applyNumberFormat="1" applyFont="1" applyBorder="1" applyAlignment="1">
      <alignment horizontal="center" vertical="center" wrapText="1"/>
    </xf>
    <xf numFmtId="14" fontId="0" fillId="0" borderId="0" xfId="0" applyNumberFormat="1" applyAlignment="1">
      <alignment vertical="center" wrapText="1"/>
    </xf>
    <xf numFmtId="0" fontId="35" fillId="37" borderId="1" xfId="0" applyFont="1" applyFill="1" applyBorder="1" applyAlignment="1">
      <alignment horizontal="center" vertical="center" wrapText="1"/>
    </xf>
    <xf numFmtId="0" fontId="2" fillId="0" borderId="1" xfId="0" applyFont="1" applyBorder="1" applyAlignment="1">
      <alignment horizontal="left" vertical="center"/>
    </xf>
    <xf numFmtId="0" fontId="0" fillId="0" borderId="0" xfId="0" applyAlignment="1">
      <alignment horizontal="left" vertical="center"/>
    </xf>
    <xf numFmtId="2" fontId="8" fillId="0" borderId="1" xfId="87" applyNumberFormat="1" applyFont="1" applyBorder="1" applyAlignment="1">
      <alignment horizontal="center" vertical="center" wrapText="1"/>
    </xf>
    <xf numFmtId="0" fontId="0" fillId="0" borderId="0" xfId="0" applyAlignment="1">
      <alignment horizontal="left" vertical="top" wrapText="1"/>
    </xf>
    <xf numFmtId="0" fontId="27" fillId="39" borderId="16" xfId="0" applyFont="1" applyFill="1" applyBorder="1"/>
    <xf numFmtId="0" fontId="30" fillId="40" borderId="1" xfId="0" applyFont="1" applyFill="1" applyBorder="1" applyAlignment="1">
      <alignment horizontal="center" vertical="center" wrapText="1"/>
    </xf>
    <xf numFmtId="168" fontId="30" fillId="40" borderId="1" xfId="87" applyNumberFormat="1" applyFont="1" applyFill="1" applyBorder="1" applyAlignment="1">
      <alignment horizontal="center" vertical="center" wrapText="1"/>
    </xf>
    <xf numFmtId="176" fontId="8" fillId="40" borderId="1" xfId="87" applyNumberFormat="1" applyFont="1" applyFill="1" applyBorder="1" applyAlignment="1">
      <alignment horizontal="center" vertical="center" wrapText="1"/>
    </xf>
    <xf numFmtId="0" fontId="8" fillId="40" borderId="1" xfId="0" applyFont="1" applyFill="1" applyBorder="1" applyAlignment="1">
      <alignment horizontal="center" vertical="center" wrapText="1"/>
    </xf>
    <xf numFmtId="168" fontId="8" fillId="40" borderId="1" xfId="87" applyNumberFormat="1" applyFont="1" applyFill="1" applyBorder="1" applyAlignment="1">
      <alignment horizontal="center" vertical="center" wrapText="1"/>
    </xf>
    <xf numFmtId="14" fontId="8" fillId="40" borderId="1" xfId="0" applyNumberFormat="1" applyFont="1" applyFill="1" applyBorder="1" applyAlignment="1">
      <alignment horizontal="center" vertical="center" wrapText="1"/>
    </xf>
    <xf numFmtId="15" fontId="8" fillId="40" borderId="1" xfId="0" applyNumberFormat="1" applyFont="1" applyFill="1" applyBorder="1" applyAlignment="1">
      <alignment horizontal="center" vertical="center" wrapText="1"/>
    </xf>
    <xf numFmtId="168" fontId="8" fillId="40" borderId="1" xfId="25" applyFont="1" applyFill="1" applyBorder="1" applyAlignment="1">
      <alignment horizontal="center" vertical="center"/>
    </xf>
    <xf numFmtId="15" fontId="30" fillId="40" borderId="1" xfId="0" applyNumberFormat="1" applyFont="1" applyFill="1" applyBorder="1" applyAlignment="1">
      <alignment horizontal="center" vertical="center" wrapText="1"/>
    </xf>
    <xf numFmtId="176" fontId="30" fillId="40" borderId="1" xfId="87" applyNumberFormat="1" applyFont="1" applyFill="1" applyBorder="1" applyAlignment="1">
      <alignment horizontal="center" vertical="center" wrapText="1"/>
    </xf>
    <xf numFmtId="14" fontId="30" fillId="40" borderId="1" xfId="0" applyNumberFormat="1" applyFont="1" applyFill="1" applyBorder="1" applyAlignment="1">
      <alignment horizontal="center" vertical="center" wrapText="1"/>
    </xf>
    <xf numFmtId="0" fontId="30" fillId="40" borderId="1" xfId="0" applyFont="1" applyFill="1" applyBorder="1" applyAlignment="1">
      <alignment horizontal="center" vertical="center"/>
    </xf>
    <xf numFmtId="15" fontId="8" fillId="40" borderId="1" xfId="535" applyNumberFormat="1" applyFont="1" applyFill="1" applyBorder="1" applyAlignment="1">
      <alignment horizontal="center" vertical="center"/>
    </xf>
    <xf numFmtId="168" fontId="30" fillId="40" borderId="1" xfId="0" applyNumberFormat="1" applyFont="1" applyFill="1" applyBorder="1" applyAlignment="1">
      <alignment horizontal="center" vertical="center" wrapText="1"/>
    </xf>
    <xf numFmtId="0" fontId="30" fillId="40" borderId="0" xfId="0" applyFont="1" applyFill="1" applyAlignment="1">
      <alignment horizontal="center" vertical="center"/>
    </xf>
    <xf numFmtId="0" fontId="39" fillId="41" borderId="1" xfId="0" applyFont="1" applyFill="1" applyBorder="1" applyAlignment="1">
      <alignment horizontal="center" vertical="center" wrapText="1"/>
    </xf>
    <xf numFmtId="0" fontId="4" fillId="43" borderId="1" xfId="535" applyNumberFormat="1" applyFont="1" applyFill="1" applyBorder="1" applyAlignment="1">
      <alignment horizontal="center" vertical="center" wrapText="1"/>
    </xf>
    <xf numFmtId="168" fontId="4" fillId="43" borderId="1" xfId="25" applyFont="1" applyFill="1" applyBorder="1" applyAlignment="1">
      <alignment vertical="center"/>
    </xf>
    <xf numFmtId="0" fontId="29" fillId="43" borderId="0" xfId="535" applyNumberFormat="1" applyFont="1" applyFill="1" applyAlignment="1">
      <alignment horizontal="center" vertical="center"/>
    </xf>
    <xf numFmtId="168" fontId="4" fillId="43" borderId="1" xfId="409" applyNumberFormat="1" applyFont="1" applyFill="1" applyBorder="1" applyAlignment="1">
      <alignment vertical="center"/>
    </xf>
    <xf numFmtId="168" fontId="36" fillId="43" borderId="1" xfId="0" applyNumberFormat="1" applyFont="1" applyFill="1" applyBorder="1" applyAlignment="1">
      <alignment vertical="center"/>
    </xf>
    <xf numFmtId="0" fontId="4" fillId="43" borderId="1" xfId="409" applyNumberFormat="1" applyFont="1" applyFill="1" applyBorder="1" applyAlignment="1">
      <alignment horizontal="center" vertical="center" wrapText="1"/>
    </xf>
    <xf numFmtId="0" fontId="27" fillId="0" borderId="1" xfId="0" applyFont="1" applyBorder="1"/>
    <xf numFmtId="49" fontId="35" fillId="42" borderId="1" xfId="0" applyNumberFormat="1" applyFont="1" applyFill="1" applyBorder="1" applyAlignment="1">
      <alignment horizontal="center" vertical="center" wrapText="1"/>
    </xf>
    <xf numFmtId="168" fontId="0" fillId="0" borderId="0" xfId="0" applyNumberFormat="1"/>
    <xf numFmtId="168" fontId="0" fillId="0" borderId="1" xfId="0" applyNumberFormat="1" applyBorder="1"/>
    <xf numFmtId="168" fontId="32" fillId="44" borderId="1" xfId="36" applyFont="1" applyFill="1" applyBorder="1" applyAlignment="1">
      <alignment horizontal="center" vertical="center" wrapText="1"/>
    </xf>
    <xf numFmtId="0" fontId="32" fillId="44" borderId="1" xfId="36" applyNumberFormat="1" applyFont="1" applyFill="1" applyBorder="1" applyAlignment="1">
      <alignment horizontal="center" vertical="center" wrapText="1"/>
    </xf>
    <xf numFmtId="0" fontId="32" fillId="45" borderId="1" xfId="36" applyNumberFormat="1" applyFont="1" applyFill="1" applyBorder="1" applyAlignment="1">
      <alignment horizontal="center" vertical="center" wrapText="1"/>
    </xf>
    <xf numFmtId="49" fontId="32" fillId="44" borderId="1" xfId="36" applyNumberFormat="1" applyFont="1" applyFill="1" applyBorder="1" applyAlignment="1">
      <alignment horizontal="center" vertical="center" wrapText="1"/>
    </xf>
    <xf numFmtId="168" fontId="32" fillId="46" borderId="1" xfId="36" applyFont="1" applyFill="1" applyBorder="1" applyAlignment="1">
      <alignment horizontal="center" vertical="center" wrapText="1"/>
    </xf>
    <xf numFmtId="170" fontId="35" fillId="0" borderId="1" xfId="429" applyFont="1" applyBorder="1" applyAlignment="1">
      <alignment horizontal="center" vertical="center" wrapText="1"/>
    </xf>
    <xf numFmtId="0" fontId="35" fillId="0" borderId="1" xfId="429" applyNumberFormat="1" applyFont="1" applyBorder="1" applyAlignment="1">
      <alignment horizontal="center" vertical="center" wrapText="1"/>
    </xf>
    <xf numFmtId="49" fontId="35" fillId="0" borderId="1" xfId="429" applyNumberFormat="1" applyFont="1" applyBorder="1" applyAlignment="1">
      <alignment horizontal="center" vertical="center" wrapText="1"/>
    </xf>
    <xf numFmtId="0" fontId="38" fillId="0" borderId="1" xfId="0" applyFont="1" applyBorder="1" applyAlignment="1">
      <alignment horizontal="center" vertical="center" wrapText="1"/>
    </xf>
    <xf numFmtId="168" fontId="38" fillId="0" borderId="1" xfId="48" applyFont="1" applyBorder="1" applyAlignment="1">
      <alignment horizontal="center" vertical="center" wrapText="1"/>
    </xf>
    <xf numFmtId="49" fontId="38" fillId="0" borderId="1" xfId="0" applyNumberFormat="1" applyFont="1" applyBorder="1" applyAlignment="1">
      <alignment horizontal="center" vertical="center" wrapText="1"/>
    </xf>
    <xf numFmtId="2" fontId="38" fillId="0" borderId="1" xfId="0" applyNumberFormat="1" applyFont="1" applyBorder="1" applyAlignment="1">
      <alignment horizontal="center" vertical="center" wrapText="1"/>
    </xf>
    <xf numFmtId="170" fontId="38" fillId="0" borderId="1" xfId="429" applyFont="1" applyBorder="1" applyAlignment="1">
      <alignment horizontal="center" vertical="center" wrapText="1"/>
    </xf>
    <xf numFmtId="0" fontId="38" fillId="0" borderId="1" xfId="48" applyNumberFormat="1" applyFont="1" applyBorder="1" applyAlignment="1">
      <alignment horizontal="center" vertical="center" wrapText="1"/>
    </xf>
    <xf numFmtId="49" fontId="38" fillId="0" borderId="1" xfId="48" applyNumberFormat="1" applyFont="1" applyBorder="1" applyAlignment="1">
      <alignment horizontal="center" vertical="center" wrapText="1"/>
    </xf>
    <xf numFmtId="0" fontId="4" fillId="37" borderId="1" xfId="409" applyNumberFormat="1" applyFont="1" applyFill="1" applyBorder="1" applyAlignment="1">
      <alignment horizontal="center" vertical="center" wrapText="1"/>
    </xf>
    <xf numFmtId="168" fontId="4" fillId="37" borderId="1" xfId="409" applyNumberFormat="1" applyFont="1" applyFill="1" applyBorder="1" applyAlignment="1">
      <alignment horizontal="center" vertical="center" wrapText="1"/>
    </xf>
    <xf numFmtId="15" fontId="4" fillId="37" borderId="1" xfId="535" applyNumberFormat="1" applyFont="1" applyFill="1" applyBorder="1" applyAlignment="1">
      <alignment horizontal="center" vertical="center"/>
    </xf>
    <xf numFmtId="172" fontId="4" fillId="37" borderId="1" xfId="409" applyNumberFormat="1" applyFont="1" applyFill="1" applyBorder="1" applyAlignment="1">
      <alignment horizontal="center" vertical="center"/>
    </xf>
    <xf numFmtId="0" fontId="30" fillId="41" borderId="1" xfId="0" applyFont="1" applyFill="1" applyBorder="1" applyAlignment="1">
      <alignment horizontal="center" vertical="center" wrapText="1"/>
    </xf>
    <xf numFmtId="0" fontId="29" fillId="0" borderId="1" xfId="0" applyFont="1" applyBorder="1" applyAlignment="1">
      <alignment vertical="center"/>
    </xf>
    <xf numFmtId="168" fontId="29" fillId="0" borderId="1" xfId="0" applyNumberFormat="1" applyFont="1" applyBorder="1" applyAlignment="1">
      <alignment vertical="center"/>
    </xf>
    <xf numFmtId="0" fontId="4" fillId="20" borderId="0" xfId="409" applyNumberFormat="1" applyFont="1" applyFill="1" applyAlignment="1">
      <alignment horizontal="center" vertical="center" wrapText="1"/>
    </xf>
    <xf numFmtId="168" fontId="4" fillId="20" borderId="0" xfId="409" applyNumberFormat="1" applyFont="1" applyFill="1" applyAlignment="1">
      <alignment horizontal="center" vertical="center" wrapText="1"/>
    </xf>
    <xf numFmtId="49" fontId="4" fillId="20" borderId="0" xfId="409" applyNumberFormat="1" applyFont="1" applyFill="1" applyAlignment="1">
      <alignment horizontal="center" vertical="center" wrapText="1"/>
    </xf>
    <xf numFmtId="2" fontId="4" fillId="20" borderId="0" xfId="409" applyNumberFormat="1" applyFont="1" applyFill="1" applyAlignment="1">
      <alignment horizontal="center" vertical="center" wrapText="1"/>
    </xf>
    <xf numFmtId="168" fontId="4" fillId="20" borderId="0" xfId="25" applyFont="1" applyFill="1" applyBorder="1" applyAlignment="1">
      <alignment vertical="center"/>
    </xf>
    <xf numFmtId="168" fontId="40" fillId="20" borderId="0" xfId="409" applyNumberFormat="1" applyFont="1" applyFill="1" applyAlignment="1">
      <alignment vertical="center"/>
    </xf>
    <xf numFmtId="173" fontId="4" fillId="20" borderId="0" xfId="88" applyNumberFormat="1" applyFont="1" applyFill="1" applyAlignment="1">
      <alignment horizontal="center" vertical="center" wrapText="1"/>
    </xf>
    <xf numFmtId="0" fontId="41" fillId="0" borderId="7" xfId="0" applyFont="1" applyBorder="1" applyAlignment="1">
      <alignment horizontal="center" vertical="center" wrapText="1"/>
    </xf>
    <xf numFmtId="0" fontId="41" fillId="0" borderId="8" xfId="0" applyFont="1" applyBorder="1" applyAlignment="1">
      <alignment horizontal="center" vertical="center" wrapText="1"/>
    </xf>
    <xf numFmtId="0" fontId="5" fillId="42" borderId="1" xfId="541" applyNumberFormat="1" applyFont="1" applyFill="1" applyBorder="1" applyAlignment="1">
      <alignment horizontal="center" vertical="center" wrapText="1"/>
    </xf>
    <xf numFmtId="0" fontId="39" fillId="0" borderId="1" xfId="0" applyFont="1" applyBorder="1" applyAlignment="1">
      <alignment horizontal="center" vertical="center" wrapText="1"/>
    </xf>
    <xf numFmtId="49" fontId="39" fillId="0" borderId="1" xfId="0" applyNumberFormat="1" applyFont="1" applyBorder="1" applyAlignment="1">
      <alignment horizontal="center" vertical="center" wrapText="1"/>
    </xf>
    <xf numFmtId="49" fontId="39" fillId="0" borderId="1" xfId="26" applyNumberFormat="1" applyFont="1" applyBorder="1" applyAlignment="1">
      <alignment horizontal="center" vertical="center" wrapText="1"/>
    </xf>
    <xf numFmtId="0" fontId="39" fillId="0" borderId="1" xfId="26" applyNumberFormat="1" applyFont="1" applyBorder="1" applyAlignment="1">
      <alignment horizontal="center" vertical="center" wrapText="1"/>
    </xf>
    <xf numFmtId="2" fontId="39" fillId="0" borderId="1" xfId="0" applyNumberFormat="1" applyFont="1" applyBorder="1" applyAlignment="1">
      <alignment horizontal="center" vertical="center" wrapText="1"/>
    </xf>
    <xf numFmtId="0" fontId="39" fillId="0" borderId="1" xfId="48" applyNumberFormat="1" applyFont="1" applyBorder="1" applyAlignment="1">
      <alignment horizontal="center" vertical="center" wrapText="1"/>
    </xf>
    <xf numFmtId="0" fontId="39" fillId="0" borderId="0" xfId="0" applyFont="1" applyAlignment="1">
      <alignment horizontal="center" vertical="center" wrapText="1"/>
    </xf>
    <xf numFmtId="49" fontId="39" fillId="0" borderId="0" xfId="0" applyNumberFormat="1" applyFont="1" applyAlignment="1">
      <alignment horizontal="center" vertical="center" wrapText="1"/>
    </xf>
    <xf numFmtId="14" fontId="4" fillId="37" borderId="1" xfId="535" applyNumberFormat="1" applyFont="1" applyFill="1" applyBorder="1" applyAlignment="1">
      <alignment horizontal="center" vertical="center"/>
    </xf>
    <xf numFmtId="0" fontId="4" fillId="37" borderId="1" xfId="535" applyNumberFormat="1" applyFont="1" applyFill="1" applyBorder="1" applyAlignment="1">
      <alignment horizontal="center" vertical="center"/>
    </xf>
    <xf numFmtId="0" fontId="4" fillId="37" borderId="2" xfId="535" applyNumberFormat="1" applyFont="1" applyFill="1" applyBorder="1" applyAlignment="1">
      <alignment horizontal="center" vertical="center" wrapText="1"/>
    </xf>
    <xf numFmtId="0" fontId="30" fillId="36" borderId="1" xfId="0" applyFont="1" applyFill="1" applyBorder="1" applyAlignment="1">
      <alignment horizontal="center" vertical="center" wrapText="1"/>
    </xf>
    <xf numFmtId="168" fontId="30" fillId="36" borderId="1" xfId="87" applyNumberFormat="1" applyFont="1" applyFill="1" applyBorder="1" applyAlignment="1">
      <alignment horizontal="center" vertical="center" wrapText="1"/>
    </xf>
    <xf numFmtId="0" fontId="39" fillId="37" borderId="1" xfId="0" applyFont="1" applyFill="1" applyBorder="1" applyAlignment="1">
      <alignment horizontal="center" vertical="center" wrapText="1"/>
    </xf>
    <xf numFmtId="0" fontId="41" fillId="0" borderId="1" xfId="0" applyFont="1" applyBorder="1" applyAlignment="1">
      <alignment horizontal="center" vertical="center" wrapText="1"/>
    </xf>
    <xf numFmtId="49" fontId="41" fillId="0" borderId="1" xfId="0" applyNumberFormat="1" applyFont="1" applyBorder="1" applyAlignment="1">
      <alignment horizontal="center" vertical="center" wrapText="1"/>
    </xf>
    <xf numFmtId="171" fontId="41" fillId="0" borderId="1" xfId="25" applyNumberFormat="1" applyFont="1" applyFill="1" applyBorder="1" applyAlignment="1">
      <alignment horizontal="center" vertical="center" wrapText="1"/>
    </xf>
    <xf numFmtId="168" fontId="39" fillId="0" borderId="1" xfId="25" applyFont="1" applyBorder="1" applyAlignment="1">
      <alignment horizontal="center" vertical="center" wrapText="1"/>
    </xf>
    <xf numFmtId="0" fontId="35" fillId="0" borderId="0" xfId="0" applyFont="1" applyAlignment="1">
      <alignment horizontal="center" vertical="center" wrapText="1"/>
    </xf>
    <xf numFmtId="168" fontId="4" fillId="43" borderId="1" xfId="409" applyNumberFormat="1" applyFont="1" applyFill="1" applyBorder="1" applyAlignment="1">
      <alignment horizontal="center" vertical="center" wrapText="1"/>
    </xf>
    <xf numFmtId="15" fontId="4" fillId="43" borderId="1" xfId="535" applyNumberFormat="1" applyFont="1" applyFill="1" applyBorder="1" applyAlignment="1">
      <alignment horizontal="center" vertical="center"/>
    </xf>
    <xf numFmtId="0" fontId="0" fillId="43" borderId="0" xfId="0" applyFill="1"/>
    <xf numFmtId="172" fontId="4" fillId="43" borderId="1" xfId="409" applyNumberFormat="1" applyFont="1" applyFill="1" applyBorder="1" applyAlignment="1">
      <alignment horizontal="center" vertical="center"/>
    </xf>
    <xf numFmtId="14" fontId="4" fillId="43" borderId="1" xfId="535" applyNumberFormat="1" applyFont="1" applyFill="1" applyBorder="1" applyAlignment="1">
      <alignment horizontal="center" vertical="center"/>
    </xf>
    <xf numFmtId="0" fontId="4" fillId="43" borderId="1" xfId="535" applyNumberFormat="1" applyFont="1" applyFill="1" applyBorder="1" applyAlignment="1">
      <alignment horizontal="center" vertical="center"/>
    </xf>
    <xf numFmtId="0" fontId="4" fillId="43" borderId="2" xfId="535" applyNumberFormat="1" applyFont="1" applyFill="1" applyBorder="1" applyAlignment="1">
      <alignment horizontal="center" vertical="center" wrapText="1"/>
    </xf>
    <xf numFmtId="168" fontId="30" fillId="41" borderId="1" xfId="87" applyNumberFormat="1" applyFont="1" applyFill="1" applyBorder="1" applyAlignment="1">
      <alignment horizontal="center" vertical="center" wrapText="1"/>
    </xf>
    <xf numFmtId="176" fontId="8" fillId="41" borderId="1" xfId="87" applyNumberFormat="1" applyFont="1" applyFill="1" applyBorder="1" applyAlignment="1">
      <alignment horizontal="center" vertical="center" wrapText="1"/>
    </xf>
    <xf numFmtId="14" fontId="8" fillId="41" borderId="1" xfId="87" applyNumberFormat="1" applyFont="1" applyFill="1" applyBorder="1" applyAlignment="1">
      <alignment horizontal="center" vertical="center" wrapText="1"/>
    </xf>
    <xf numFmtId="168" fontId="8" fillId="41" borderId="1" xfId="87" applyNumberFormat="1" applyFont="1" applyFill="1" applyBorder="1" applyAlignment="1">
      <alignment horizontal="center" vertical="center" wrapText="1"/>
    </xf>
    <xf numFmtId="0" fontId="8" fillId="41" borderId="1" xfId="0" applyFont="1" applyFill="1" applyBorder="1" applyAlignment="1">
      <alignment horizontal="center" vertical="center" wrapText="1"/>
    </xf>
    <xf numFmtId="0" fontId="10" fillId="41" borderId="1" xfId="0" applyFont="1" applyFill="1" applyBorder="1" applyAlignment="1">
      <alignment horizontal="center" vertical="center" wrapText="1"/>
    </xf>
    <xf numFmtId="14" fontId="8" fillId="41" borderId="1" xfId="0" applyNumberFormat="1" applyFont="1" applyFill="1" applyBorder="1" applyAlignment="1">
      <alignment horizontal="center" vertical="center" wrapText="1"/>
    </xf>
    <xf numFmtId="0" fontId="30" fillId="41" borderId="0" xfId="0" applyFont="1" applyFill="1" applyAlignment="1">
      <alignment horizontal="center" vertical="center" wrapText="1"/>
    </xf>
    <xf numFmtId="15" fontId="8" fillId="41" borderId="1" xfId="0" applyNumberFormat="1" applyFont="1" applyFill="1" applyBorder="1" applyAlignment="1">
      <alignment horizontal="center" vertical="center" wrapText="1"/>
    </xf>
    <xf numFmtId="168" fontId="8" fillId="41" borderId="1" xfId="25" applyFont="1" applyFill="1" applyBorder="1" applyAlignment="1">
      <alignment horizontal="center" vertical="center"/>
    </xf>
    <xf numFmtId="15" fontId="30" fillId="41" borderId="1" xfId="0" applyNumberFormat="1" applyFont="1" applyFill="1" applyBorder="1" applyAlignment="1">
      <alignment horizontal="center" vertical="center" wrapText="1"/>
    </xf>
    <xf numFmtId="176" fontId="30" fillId="41" borderId="1" xfId="87" applyNumberFormat="1" applyFont="1" applyFill="1" applyBorder="1" applyAlignment="1">
      <alignment horizontal="center" vertical="center" wrapText="1"/>
    </xf>
    <xf numFmtId="14" fontId="30" fillId="41" borderId="1" xfId="0" applyNumberFormat="1" applyFont="1" applyFill="1" applyBorder="1" applyAlignment="1">
      <alignment horizontal="center" vertical="center" wrapText="1"/>
    </xf>
    <xf numFmtId="0" fontId="30" fillId="41" borderId="1" xfId="0" applyFont="1" applyFill="1" applyBorder="1" applyAlignment="1">
      <alignment horizontal="center" vertical="center"/>
    </xf>
    <xf numFmtId="15" fontId="8" fillId="41" borderId="1" xfId="535" applyNumberFormat="1" applyFont="1" applyFill="1" applyBorder="1" applyAlignment="1">
      <alignment horizontal="center" vertical="center"/>
    </xf>
    <xf numFmtId="168" fontId="30" fillId="41" borderId="1" xfId="0" applyNumberFormat="1" applyFont="1" applyFill="1" applyBorder="1" applyAlignment="1">
      <alignment horizontal="center" vertical="center" wrapText="1"/>
    </xf>
    <xf numFmtId="0" fontId="39" fillId="0" borderId="3" xfId="0" applyFont="1" applyBorder="1" applyAlignment="1">
      <alignment horizontal="center" vertical="center" wrapText="1"/>
    </xf>
    <xf numFmtId="0" fontId="35" fillId="0" borderId="3" xfId="0" applyFont="1" applyBorder="1" applyAlignment="1">
      <alignment horizontal="center" vertical="center" wrapText="1"/>
    </xf>
    <xf numFmtId="0" fontId="30" fillId="20" borderId="1" xfId="0" applyFont="1" applyFill="1" applyBorder="1" applyAlignment="1">
      <alignment horizontal="center" vertical="center" wrapText="1"/>
    </xf>
    <xf numFmtId="170" fontId="43" fillId="0" borderId="1" xfId="420" applyFont="1" applyFill="1" applyBorder="1" applyAlignment="1">
      <alignment horizontal="center" vertical="center" wrapText="1"/>
    </xf>
    <xf numFmtId="0" fontId="43" fillId="0" borderId="1" xfId="0" applyFont="1" applyBorder="1" applyAlignment="1">
      <alignment vertical="center"/>
    </xf>
    <xf numFmtId="0" fontId="44" fillId="42" borderId="1" xfId="0" applyFont="1" applyFill="1" applyBorder="1" applyAlignment="1">
      <alignment horizontal="center" vertical="center" wrapText="1"/>
    </xf>
    <xf numFmtId="0" fontId="45" fillId="36" borderId="1" xfId="0" applyFont="1" applyFill="1" applyBorder="1" applyAlignment="1">
      <alignment horizontal="center" vertical="center" wrapText="1"/>
    </xf>
    <xf numFmtId="0" fontId="43" fillId="18" borderId="17" xfId="0" applyFont="1" applyFill="1" applyBorder="1" applyAlignment="1">
      <alignment vertical="center" wrapText="1"/>
    </xf>
    <xf numFmtId="0" fontId="46" fillId="0" borderId="0" xfId="0" applyFont="1"/>
    <xf numFmtId="0" fontId="44" fillId="48" borderId="1" xfId="0" applyFont="1" applyFill="1" applyBorder="1" applyAlignment="1">
      <alignment horizontal="center" vertical="center" wrapText="1"/>
    </xf>
    <xf numFmtId="15" fontId="4" fillId="40" borderId="1" xfId="535" applyNumberFormat="1" applyFont="1" applyFill="1" applyBorder="1" applyAlignment="1">
      <alignment horizontal="center" vertical="center"/>
    </xf>
    <xf numFmtId="168" fontId="35" fillId="0" borderId="3" xfId="36" applyFont="1" applyBorder="1" applyAlignment="1">
      <alignment horizontal="center" vertical="center" wrapText="1"/>
    </xf>
    <xf numFmtId="168" fontId="35" fillId="0" borderId="3" xfId="48" applyFont="1" applyBorder="1" applyAlignment="1">
      <alignment horizontal="center" vertical="center" wrapText="1"/>
    </xf>
    <xf numFmtId="0" fontId="47" fillId="0" borderId="0" xfId="0" applyFont="1"/>
    <xf numFmtId="1" fontId="32" fillId="44" borderId="1" xfId="25" applyNumberFormat="1" applyFont="1" applyFill="1" applyBorder="1" applyAlignment="1">
      <alignment horizontal="center" vertical="center" wrapText="1"/>
    </xf>
    <xf numFmtId="168" fontId="39" fillId="0" borderId="1" xfId="124" applyFont="1" applyFill="1" applyBorder="1" applyAlignment="1">
      <alignment horizontal="center" vertical="center" wrapText="1"/>
    </xf>
    <xf numFmtId="0" fontId="39" fillId="0" borderId="1" xfId="124" applyNumberFormat="1" applyFont="1" applyFill="1" applyBorder="1" applyAlignment="1">
      <alignment horizontal="center" vertical="center" wrapText="1"/>
    </xf>
    <xf numFmtId="49" fontId="39" fillId="0" borderId="1" xfId="48" applyNumberFormat="1" applyFont="1" applyBorder="1" applyAlignment="1">
      <alignment horizontal="center" vertical="center" wrapText="1"/>
    </xf>
    <xf numFmtId="181" fontId="41" fillId="0" borderId="1" xfId="266" applyNumberFormat="1" applyFont="1" applyFill="1" applyBorder="1" applyAlignment="1">
      <alignment horizontal="center" vertical="center" wrapText="1"/>
    </xf>
    <xf numFmtId="0" fontId="39" fillId="0" borderId="1" xfId="25" applyNumberFormat="1" applyFont="1" applyBorder="1" applyAlignment="1">
      <alignment horizontal="center" vertical="center" wrapText="1"/>
    </xf>
    <xf numFmtId="1" fontId="39" fillId="0" borderId="1" xfId="25" applyNumberFormat="1" applyFont="1" applyBorder="1" applyAlignment="1">
      <alignment horizontal="center" vertical="center" wrapText="1"/>
    </xf>
    <xf numFmtId="1" fontId="39" fillId="0" borderId="0" xfId="25" applyNumberFormat="1" applyFont="1" applyAlignment="1">
      <alignment horizontal="center" vertical="center" wrapText="1"/>
    </xf>
    <xf numFmtId="168" fontId="41" fillId="0" borderId="1" xfId="25" applyFont="1" applyFill="1" applyBorder="1" applyAlignment="1">
      <alignment horizontal="center" vertical="center"/>
    </xf>
    <xf numFmtId="168" fontId="39" fillId="0" borderId="1" xfId="25" applyFont="1" applyBorder="1" applyAlignment="1">
      <alignment horizontal="center" vertical="center"/>
    </xf>
    <xf numFmtId="168" fontId="37" fillId="0" borderId="1" xfId="25" applyFont="1" applyBorder="1" applyAlignment="1">
      <alignment horizontal="center" vertical="center"/>
    </xf>
    <xf numFmtId="168" fontId="39" fillId="0" borderId="3" xfId="25" applyFont="1" applyBorder="1" applyAlignment="1">
      <alignment horizontal="center" vertical="center"/>
    </xf>
    <xf numFmtId="168" fontId="39" fillId="0" borderId="0" xfId="25" applyFont="1" applyAlignment="1">
      <alignment horizontal="center" vertical="center"/>
    </xf>
    <xf numFmtId="168" fontId="39" fillId="0" borderId="0" xfId="36" applyFont="1" applyAlignment="1">
      <alignment horizontal="center" vertical="center" wrapText="1"/>
    </xf>
    <xf numFmtId="2" fontId="39" fillId="0" borderId="0" xfId="36" applyNumberFormat="1" applyFont="1" applyAlignment="1">
      <alignment horizontal="center" vertical="center" wrapText="1"/>
    </xf>
    <xf numFmtId="49" fontId="39" fillId="0" borderId="0" xfId="36" applyNumberFormat="1" applyFont="1" applyAlignment="1">
      <alignment horizontal="center" vertical="center" wrapText="1"/>
    </xf>
    <xf numFmtId="168" fontId="37" fillId="0" borderId="1" xfId="0" applyNumberFormat="1" applyFont="1" applyBorder="1" applyAlignment="1">
      <alignment horizontal="center" vertical="center" wrapText="1"/>
    </xf>
    <xf numFmtId="168" fontId="39" fillId="0" borderId="2" xfId="25" applyFont="1" applyBorder="1" applyAlignment="1">
      <alignment horizontal="center" vertical="center" wrapText="1"/>
    </xf>
    <xf numFmtId="168" fontId="39" fillId="0" borderId="9" xfId="25" applyFont="1" applyBorder="1" applyAlignment="1">
      <alignment horizontal="center" vertical="center" wrapText="1"/>
    </xf>
    <xf numFmtId="168" fontId="37" fillId="0" borderId="6" xfId="0" applyNumberFormat="1" applyFont="1" applyBorder="1" applyAlignment="1">
      <alignment horizontal="center" vertical="center" wrapText="1"/>
    </xf>
    <xf numFmtId="0" fontId="48" fillId="0" borderId="1" xfId="0" applyFont="1" applyBorder="1" applyAlignment="1">
      <alignment horizontal="center" vertical="center" wrapText="1"/>
    </xf>
    <xf numFmtId="168" fontId="48" fillId="0" borderId="1" xfId="25" applyFont="1" applyBorder="1" applyAlignment="1">
      <alignment horizontal="center" vertical="center" wrapText="1"/>
    </xf>
    <xf numFmtId="170" fontId="5" fillId="42" borderId="1" xfId="420" applyFont="1" applyFill="1" applyBorder="1" applyAlignment="1">
      <alignment horizontal="center" vertical="center" wrapText="1"/>
    </xf>
    <xf numFmtId="170" fontId="5" fillId="42" borderId="3" xfId="420" applyFont="1" applyFill="1" applyBorder="1" applyAlignment="1">
      <alignment horizontal="center" vertical="center" wrapText="1"/>
    </xf>
    <xf numFmtId="168" fontId="35" fillId="0" borderId="10" xfId="420" applyNumberFormat="1" applyFont="1" applyFill="1" applyBorder="1" applyAlignment="1">
      <alignment horizontal="center" vertical="center"/>
    </xf>
    <xf numFmtId="168" fontId="35" fillId="0" borderId="3" xfId="420" applyNumberFormat="1" applyFont="1" applyFill="1" applyBorder="1" applyAlignment="1">
      <alignment horizontal="center" vertical="center"/>
    </xf>
    <xf numFmtId="180" fontId="35" fillId="0" borderId="3" xfId="420" applyNumberFormat="1" applyFont="1" applyFill="1" applyBorder="1" applyAlignment="1">
      <alignment horizontal="center" vertical="center"/>
    </xf>
    <xf numFmtId="168" fontId="39" fillId="0" borderId="3" xfId="25" applyFont="1" applyBorder="1" applyAlignment="1">
      <alignment horizontal="center" vertical="center" wrapText="1"/>
    </xf>
    <xf numFmtId="168" fontId="39" fillId="0" borderId="6" xfId="25" applyFont="1" applyBorder="1" applyAlignment="1">
      <alignment horizontal="center" vertical="center" wrapText="1"/>
    </xf>
    <xf numFmtId="168" fontId="37" fillId="0" borderId="3" xfId="0" applyNumberFormat="1" applyFont="1" applyBorder="1" applyAlignment="1">
      <alignment horizontal="center" vertical="center" wrapText="1"/>
    </xf>
    <xf numFmtId="168" fontId="41" fillId="0" borderId="1" xfId="343" applyFont="1" applyBorder="1" applyAlignment="1">
      <alignment horizontal="center" vertical="center"/>
    </xf>
    <xf numFmtId="180" fontId="35" fillId="41" borderId="1" xfId="420" applyNumberFormat="1" applyFont="1" applyFill="1" applyBorder="1" applyAlignment="1">
      <alignment horizontal="center" vertical="center"/>
    </xf>
    <xf numFmtId="180" fontId="35" fillId="0" borderId="18" xfId="420" applyNumberFormat="1" applyFont="1" applyFill="1" applyBorder="1" applyAlignment="1">
      <alignment horizontal="center" vertical="center"/>
    </xf>
    <xf numFmtId="168" fontId="39" fillId="0" borderId="1" xfId="25" applyFont="1" applyFill="1" applyBorder="1" applyAlignment="1">
      <alignment horizontal="center" vertical="center" wrapText="1"/>
    </xf>
    <xf numFmtId="168" fontId="39" fillId="0" borderId="1" xfId="36" applyFont="1" applyBorder="1" applyAlignment="1">
      <alignment horizontal="center" vertical="center" wrapText="1"/>
    </xf>
    <xf numFmtId="168" fontId="39" fillId="0" borderId="1" xfId="0" applyNumberFormat="1" applyFont="1" applyBorder="1" applyAlignment="1">
      <alignment horizontal="center" vertical="center" wrapText="1"/>
    </xf>
    <xf numFmtId="0" fontId="39" fillId="41" borderId="1" xfId="408" applyNumberFormat="1" applyFont="1" applyFill="1" applyBorder="1" applyAlignment="1">
      <alignment horizontal="center" vertical="center" wrapText="1"/>
    </xf>
    <xf numFmtId="1" fontId="39" fillId="0" borderId="1" xfId="0" applyNumberFormat="1" applyFont="1" applyBorder="1" applyAlignment="1">
      <alignment horizontal="center" vertical="center" wrapText="1"/>
    </xf>
    <xf numFmtId="0" fontId="39" fillId="0" borderId="1" xfId="0" quotePrefix="1" applyFont="1" applyBorder="1" applyAlignment="1">
      <alignment horizontal="center" vertical="center" wrapText="1"/>
    </xf>
    <xf numFmtId="0" fontId="41" fillId="42" borderId="1" xfId="0" applyFont="1" applyFill="1" applyBorder="1" applyAlignment="1">
      <alignment horizontal="center" vertical="center" wrapText="1"/>
    </xf>
    <xf numFmtId="0" fontId="41" fillId="41" borderId="1" xfId="0" applyFont="1" applyFill="1" applyBorder="1" applyAlignment="1">
      <alignment horizontal="center" vertical="center" wrapText="1"/>
    </xf>
    <xf numFmtId="49" fontId="41" fillId="49" borderId="1" xfId="0" applyNumberFormat="1" applyFont="1" applyFill="1" applyBorder="1" applyAlignment="1">
      <alignment horizontal="center" vertical="center" wrapText="1"/>
    </xf>
    <xf numFmtId="49" fontId="41" fillId="42" borderId="1" xfId="95" applyNumberFormat="1" applyFont="1" applyFill="1" applyBorder="1" applyAlignment="1">
      <alignment horizontal="center" vertical="center" wrapText="1"/>
    </xf>
    <xf numFmtId="49" fontId="41" fillId="42" borderId="1" xfId="0" applyNumberFormat="1" applyFont="1" applyFill="1" applyBorder="1" applyAlignment="1">
      <alignment horizontal="center" vertical="center" wrapText="1"/>
    </xf>
    <xf numFmtId="49" fontId="41" fillId="0" borderId="3" xfId="0" applyNumberFormat="1" applyFont="1" applyBorder="1" applyAlignment="1">
      <alignment horizontal="center" vertical="center" wrapText="1"/>
    </xf>
    <xf numFmtId="0" fontId="41" fillId="0" borderId="3" xfId="0" applyFont="1" applyBorder="1" applyAlignment="1">
      <alignment horizontal="center" vertical="center" wrapText="1"/>
    </xf>
    <xf numFmtId="4" fontId="35" fillId="0" borderId="1" xfId="0" applyNumberFormat="1" applyFont="1" applyBorder="1" applyAlignment="1">
      <alignment horizontal="center" vertical="center"/>
    </xf>
    <xf numFmtId="4" fontId="39" fillId="0" borderId="1" xfId="0" applyNumberFormat="1" applyFont="1" applyBorder="1" applyAlignment="1">
      <alignment horizontal="center" vertical="center" wrapText="1"/>
    </xf>
    <xf numFmtId="1" fontId="39" fillId="0" borderId="1" xfId="25" applyNumberFormat="1" applyFont="1" applyFill="1" applyBorder="1" applyAlignment="1">
      <alignment horizontal="center" vertical="center" wrapText="1"/>
    </xf>
    <xf numFmtId="168" fontId="37" fillId="0" borderId="1" xfId="0" applyNumberFormat="1" applyFont="1" applyBorder="1" applyAlignment="1">
      <alignment horizontal="center" vertical="center"/>
    </xf>
    <xf numFmtId="0" fontId="39" fillId="0" borderId="6" xfId="0" applyFont="1" applyBorder="1" applyAlignment="1">
      <alignment horizontal="center" vertical="center" wrapText="1"/>
    </xf>
    <xf numFmtId="168" fontId="5" fillId="42" borderId="1" xfId="25" applyFont="1" applyFill="1" applyBorder="1" applyAlignment="1">
      <alignment horizontal="center" vertical="center"/>
    </xf>
    <xf numFmtId="49" fontId="41" fillId="0" borderId="1" xfId="95" applyNumberFormat="1" applyFont="1" applyFill="1" applyBorder="1" applyAlignment="1">
      <alignment horizontal="center" vertical="center" wrapText="1"/>
    </xf>
    <xf numFmtId="0" fontId="18" fillId="41" borderId="1" xfId="0" applyFont="1" applyFill="1" applyBorder="1" applyAlignment="1">
      <alignment horizontal="center" vertical="center" wrapText="1"/>
    </xf>
    <xf numFmtId="171" fontId="5" fillId="42" borderId="1" xfId="25" applyNumberFormat="1" applyFont="1" applyFill="1" applyBorder="1" applyAlignment="1">
      <alignment horizontal="center" vertical="center" wrapText="1"/>
    </xf>
    <xf numFmtId="171" fontId="5" fillId="42" borderId="3" xfId="25" applyNumberFormat="1" applyFont="1" applyFill="1" applyBorder="1" applyAlignment="1">
      <alignment horizontal="center" vertical="center" wrapText="1"/>
    </xf>
    <xf numFmtId="168" fontId="5" fillId="42" borderId="3" xfId="25" applyFont="1" applyFill="1" applyBorder="1" applyAlignment="1">
      <alignment horizontal="center" vertical="center"/>
    </xf>
    <xf numFmtId="0" fontId="18" fillId="0" borderId="1" xfId="0" applyFont="1" applyBorder="1" applyAlignment="1">
      <alignment horizontal="center" vertical="center" wrapText="1"/>
    </xf>
    <xf numFmtId="0" fontId="39" fillId="0" borderId="9" xfId="0" applyFont="1" applyBorder="1" applyAlignment="1">
      <alignment horizontal="center" vertical="center" wrapText="1"/>
    </xf>
    <xf numFmtId="168" fontId="35" fillId="0" borderId="1" xfId="25" applyFont="1" applyBorder="1" applyAlignment="1">
      <alignment horizontal="center" vertical="center"/>
    </xf>
    <xf numFmtId="0" fontId="41" fillId="42" borderId="3" xfId="0" applyFont="1" applyFill="1" applyBorder="1" applyAlignment="1">
      <alignment horizontal="center" vertical="center" wrapText="1"/>
    </xf>
    <xf numFmtId="0" fontId="49" fillId="0" borderId="1" xfId="0" applyFont="1" applyBorder="1" applyAlignment="1">
      <alignment horizontal="center" vertical="center" wrapText="1"/>
    </xf>
    <xf numFmtId="164" fontId="37" fillId="0" borderId="1" xfId="0" applyNumberFormat="1" applyFont="1" applyBorder="1" applyAlignment="1">
      <alignment horizontal="center" vertical="center" wrapText="1"/>
    </xf>
    <xf numFmtId="168" fontId="37" fillId="0" borderId="1" xfId="25" applyFont="1" applyBorder="1"/>
    <xf numFmtId="168" fontId="32" fillId="45" borderId="1" xfId="25" applyFont="1" applyFill="1" applyBorder="1" applyAlignment="1">
      <alignment horizontal="center" vertical="center" wrapText="1"/>
    </xf>
    <xf numFmtId="168" fontId="50" fillId="50" borderId="1" xfId="25" applyFont="1" applyFill="1" applyBorder="1" applyAlignment="1">
      <alignment horizontal="center" vertical="center" wrapText="1"/>
    </xf>
    <xf numFmtId="168" fontId="32" fillId="51" borderId="1" xfId="25" applyFont="1" applyFill="1" applyBorder="1" applyAlignment="1">
      <alignment horizontal="center" vertical="center" wrapText="1"/>
    </xf>
    <xf numFmtId="168" fontId="32" fillId="33" borderId="1" xfId="25" applyFont="1" applyFill="1" applyBorder="1" applyAlignment="1">
      <alignment horizontal="center" vertical="center" wrapText="1"/>
    </xf>
    <xf numFmtId="168" fontId="39" fillId="33" borderId="1" xfId="25" applyFont="1" applyFill="1" applyBorder="1" applyAlignment="1">
      <alignment horizontal="center" vertical="center" wrapText="1"/>
    </xf>
    <xf numFmtId="168" fontId="39" fillId="52" borderId="1" xfId="25" applyFont="1" applyFill="1" applyBorder="1" applyAlignment="1">
      <alignment horizontal="center" vertical="center" wrapText="1"/>
    </xf>
    <xf numFmtId="168" fontId="39" fillId="53" borderId="1" xfId="25" applyFont="1" applyFill="1" applyBorder="1" applyAlignment="1">
      <alignment horizontal="center" vertical="center" wrapText="1"/>
    </xf>
    <xf numFmtId="168" fontId="39" fillId="26" borderId="1" xfId="25" applyFont="1" applyFill="1" applyBorder="1" applyAlignment="1">
      <alignment horizontal="center" vertical="center" wrapText="1"/>
    </xf>
    <xf numFmtId="168" fontId="32" fillId="46" borderId="1" xfId="25" applyFont="1" applyFill="1" applyBorder="1" applyAlignment="1">
      <alignment horizontal="center" vertical="center" wrapText="1"/>
    </xf>
    <xf numFmtId="168" fontId="32" fillId="30" borderId="1" xfId="25" applyFont="1" applyFill="1" applyBorder="1" applyAlignment="1">
      <alignment horizontal="center" vertical="center" wrapText="1"/>
    </xf>
    <xf numFmtId="168" fontId="32" fillId="3" borderId="1" xfId="25" applyFont="1" applyFill="1" applyBorder="1" applyAlignment="1">
      <alignment horizontal="center" vertical="center" wrapText="1"/>
    </xf>
    <xf numFmtId="178" fontId="2" fillId="42" borderId="1" xfId="87" applyNumberFormat="1" applyFont="1" applyFill="1" applyBorder="1" applyAlignment="1">
      <alignment horizontal="center" vertical="center"/>
    </xf>
    <xf numFmtId="168" fontId="21" fillId="0" borderId="1" xfId="84" applyFont="1" applyFill="1" applyBorder="1"/>
    <xf numFmtId="168" fontId="21" fillId="0" borderId="1" xfId="84" applyFont="1" applyBorder="1"/>
    <xf numFmtId="0" fontId="39" fillId="43" borderId="1" xfId="0" applyFont="1" applyFill="1" applyBorder="1" applyAlignment="1">
      <alignment horizontal="center" vertical="center" wrapText="1"/>
    </xf>
    <xf numFmtId="0" fontId="0" fillId="0" borderId="0" xfId="0" pivotButton="1"/>
    <xf numFmtId="0" fontId="0" fillId="0" borderId="0" xfId="0" applyAlignment="1">
      <alignment horizontal="left" indent="1"/>
    </xf>
    <xf numFmtId="168" fontId="32" fillId="44" borderId="1" xfId="25" applyFont="1" applyFill="1" applyBorder="1" applyAlignment="1">
      <alignment horizontal="center" vertical="center"/>
    </xf>
    <xf numFmtId="168" fontId="32" fillId="32" borderId="1" xfId="25" applyFont="1" applyFill="1" applyBorder="1" applyAlignment="1">
      <alignment horizontal="center" vertical="center"/>
    </xf>
    <xf numFmtId="168" fontId="32" fillId="3" borderId="1" xfId="25" applyFont="1" applyFill="1" applyBorder="1" applyAlignment="1">
      <alignment horizontal="center" vertical="center"/>
    </xf>
    <xf numFmtId="168" fontId="32" fillId="45" borderId="1" xfId="25" applyFont="1" applyFill="1" applyBorder="1" applyAlignment="1">
      <alignment horizontal="center" vertical="center"/>
    </xf>
    <xf numFmtId="168" fontId="32" fillId="51" borderId="1" xfId="25" applyFont="1" applyFill="1" applyBorder="1" applyAlignment="1">
      <alignment horizontal="center" vertical="center"/>
    </xf>
    <xf numFmtId="168" fontId="32" fillId="33" borderId="1" xfId="25" applyFont="1" applyFill="1" applyBorder="1" applyAlignment="1">
      <alignment horizontal="center" vertical="center"/>
    </xf>
    <xf numFmtId="168" fontId="32" fillId="53" borderId="1" xfId="25" applyFont="1" applyFill="1" applyBorder="1" applyAlignment="1">
      <alignment horizontal="center" vertical="center"/>
    </xf>
    <xf numFmtId="168" fontId="32" fillId="26" borderId="1" xfId="25" applyFont="1" applyFill="1" applyBorder="1" applyAlignment="1">
      <alignment horizontal="center" vertical="center"/>
    </xf>
    <xf numFmtId="168" fontId="32" fillId="46" borderId="1" xfId="25" applyFont="1" applyFill="1" applyBorder="1" applyAlignment="1">
      <alignment horizontal="center" vertical="center"/>
    </xf>
    <xf numFmtId="168" fontId="32" fillId="30" borderId="1" xfId="25" applyFont="1" applyFill="1" applyBorder="1" applyAlignment="1">
      <alignment horizontal="center" vertical="center"/>
    </xf>
    <xf numFmtId="0" fontId="32" fillId="0" borderId="0" xfId="0" applyFont="1" applyAlignment="1">
      <alignment horizontal="center" vertical="center" wrapText="1"/>
    </xf>
    <xf numFmtId="168" fontId="8" fillId="38" borderId="1" xfId="87" applyNumberFormat="1" applyFont="1" applyFill="1" applyBorder="1" applyAlignment="1">
      <alignment horizontal="center" vertical="center" wrapText="1"/>
    </xf>
    <xf numFmtId="0" fontId="44" fillId="42" borderId="3" xfId="0" applyFont="1" applyFill="1" applyBorder="1" applyAlignment="1">
      <alignment horizontal="center" vertical="center" wrapText="1"/>
    </xf>
    <xf numFmtId="0" fontId="30" fillId="0" borderId="3" xfId="0" applyFont="1" applyBorder="1" applyAlignment="1">
      <alignment horizontal="center" vertical="center" wrapText="1"/>
    </xf>
    <xf numFmtId="168" fontId="30" fillId="0" borderId="3" xfId="87" applyNumberFormat="1" applyFont="1" applyBorder="1" applyAlignment="1">
      <alignment horizontal="center" vertical="center" wrapText="1"/>
    </xf>
    <xf numFmtId="15" fontId="8" fillId="0" borderId="3" xfId="0" applyNumberFormat="1" applyFont="1" applyBorder="1" applyAlignment="1">
      <alignment horizontal="center" vertical="center" wrapText="1"/>
    </xf>
    <xf numFmtId="176" fontId="8" fillId="0" borderId="3" xfId="87" applyNumberFormat="1" applyFont="1" applyBorder="1" applyAlignment="1">
      <alignment horizontal="center" vertical="center" wrapText="1"/>
    </xf>
    <xf numFmtId="168" fontId="8" fillId="0" borderId="3" xfId="87" applyNumberFormat="1" applyFont="1" applyBorder="1" applyAlignment="1">
      <alignment horizontal="center" vertical="center" wrapText="1"/>
    </xf>
    <xf numFmtId="0" fontId="8" fillId="0" borderId="3" xfId="0" applyFont="1" applyBorder="1" applyAlignment="1">
      <alignment horizontal="center" vertical="center" wrapText="1"/>
    </xf>
    <xf numFmtId="0" fontId="10" fillId="0" borderId="3" xfId="87" applyNumberFormat="1" applyFont="1" applyBorder="1" applyAlignment="1">
      <alignment horizontal="center" vertical="center" wrapText="1"/>
    </xf>
    <xf numFmtId="14" fontId="8" fillId="0" borderId="3" xfId="0" applyNumberFormat="1" applyFont="1" applyBorder="1" applyAlignment="1">
      <alignment horizontal="center" vertical="center" wrapText="1"/>
    </xf>
    <xf numFmtId="168" fontId="8" fillId="0" borderId="3" xfId="25" applyFont="1" applyFill="1" applyBorder="1" applyAlignment="1">
      <alignment horizontal="center" vertical="center"/>
    </xf>
    <xf numFmtId="15" fontId="30" fillId="0" borderId="3" xfId="0" applyNumberFormat="1" applyFont="1" applyBorder="1" applyAlignment="1">
      <alignment horizontal="center" vertical="center" wrapText="1"/>
    </xf>
    <xf numFmtId="176" fontId="30" fillId="0" borderId="3" xfId="87" applyNumberFormat="1" applyFont="1" applyBorder="1" applyAlignment="1">
      <alignment horizontal="center" vertical="center" wrapText="1"/>
    </xf>
    <xf numFmtId="14" fontId="30" fillId="0" borderId="3" xfId="0" applyNumberFormat="1" applyFont="1" applyBorder="1" applyAlignment="1">
      <alignment horizontal="center" vertical="center" wrapText="1"/>
    </xf>
    <xf numFmtId="0" fontId="30" fillId="0" borderId="3" xfId="0" applyFont="1" applyBorder="1" applyAlignment="1">
      <alignment horizontal="center" vertical="center"/>
    </xf>
    <xf numFmtId="15" fontId="8" fillId="0" borderId="3" xfId="535" applyNumberFormat="1" applyFont="1" applyBorder="1" applyAlignment="1">
      <alignment horizontal="center" vertical="center"/>
    </xf>
    <xf numFmtId="168" fontId="30" fillId="0" borderId="3" xfId="0" applyNumberFormat="1" applyFont="1" applyBorder="1" applyAlignment="1">
      <alignment horizontal="center" vertical="center" wrapText="1"/>
    </xf>
    <xf numFmtId="168" fontId="5" fillId="52" borderId="1" xfId="25" applyFont="1" applyFill="1" applyBorder="1" applyAlignment="1">
      <alignment horizontal="center" vertical="center"/>
    </xf>
    <xf numFmtId="168" fontId="8" fillId="54" borderId="1" xfId="87" applyNumberFormat="1" applyFont="1" applyFill="1" applyBorder="1" applyAlignment="1">
      <alignment horizontal="center" vertical="center" wrapText="1"/>
    </xf>
    <xf numFmtId="0" fontId="52" fillId="0" borderId="0" xfId="0" applyFont="1" applyAlignment="1">
      <alignment horizontal="left" vertical="top"/>
    </xf>
    <xf numFmtId="0" fontId="52" fillId="47" borderId="0" xfId="0" applyFont="1" applyFill="1" applyAlignment="1">
      <alignment horizontal="left" vertical="top"/>
    </xf>
    <xf numFmtId="0" fontId="52" fillId="55" borderId="0" xfId="0" applyFont="1" applyFill="1" applyAlignment="1">
      <alignment horizontal="left" vertical="top"/>
    </xf>
    <xf numFmtId="168" fontId="4" fillId="40" borderId="1" xfId="409" applyNumberFormat="1" applyFont="1" applyFill="1" applyBorder="1" applyAlignment="1">
      <alignment horizontal="center" vertical="center" wrapText="1"/>
    </xf>
    <xf numFmtId="0" fontId="8" fillId="0" borderId="5" xfId="0" applyFont="1" applyBorder="1" applyAlignment="1">
      <alignment horizontal="center" vertical="center" wrapText="1"/>
    </xf>
    <xf numFmtId="15" fontId="8" fillId="0" borderId="5" xfId="0" applyNumberFormat="1" applyFont="1" applyBorder="1" applyAlignment="1">
      <alignment horizontal="center" vertical="center" wrapText="1"/>
    </xf>
    <xf numFmtId="0" fontId="8" fillId="0" borderId="6" xfId="0" applyFont="1" applyBorder="1" applyAlignment="1">
      <alignment horizontal="center" vertical="center" wrapText="1"/>
    </xf>
    <xf numFmtId="15" fontId="8" fillId="0" borderId="6" xfId="0" applyNumberFormat="1" applyFont="1" applyBorder="1" applyAlignment="1">
      <alignment horizontal="center" vertical="center" wrapText="1"/>
    </xf>
    <xf numFmtId="0" fontId="30" fillId="0" borderId="6" xfId="0" applyFont="1" applyBorder="1" applyAlignment="1">
      <alignment horizontal="center" vertical="center" wrapText="1"/>
    </xf>
    <xf numFmtId="4" fontId="30" fillId="0" borderId="1" xfId="0" applyNumberFormat="1" applyFont="1" applyBorder="1" applyAlignment="1">
      <alignment horizontal="center" vertical="center" wrapText="1"/>
    </xf>
    <xf numFmtId="168" fontId="30" fillId="0" borderId="1" xfId="25" applyFont="1" applyBorder="1" applyAlignment="1">
      <alignment vertical="center"/>
    </xf>
    <xf numFmtId="0" fontId="0" fillId="40" borderId="0" xfId="0" applyFill="1"/>
    <xf numFmtId="168" fontId="6" fillId="56" borderId="0" xfId="36" applyFont="1" applyFill="1" applyAlignment="1">
      <alignment horizontal="center" vertical="center"/>
    </xf>
    <xf numFmtId="168" fontId="6" fillId="56" borderId="0" xfId="36" applyFont="1" applyFill="1" applyAlignment="1">
      <alignment horizontal="center" vertical="center" wrapText="1"/>
    </xf>
    <xf numFmtId="168" fontId="4" fillId="0" borderId="1" xfId="25" applyFont="1" applyFill="1" applyBorder="1" applyAlignment="1">
      <alignment horizontal="center" vertical="center"/>
    </xf>
    <xf numFmtId="168" fontId="4" fillId="0" borderId="1" xfId="36" applyFont="1" applyBorder="1" applyAlignment="1">
      <alignment horizontal="center" vertical="center"/>
    </xf>
    <xf numFmtId="168" fontId="4" fillId="37" borderId="1" xfId="25" applyFont="1" applyFill="1" applyBorder="1" applyAlignment="1">
      <alignment horizontal="center" vertical="center"/>
    </xf>
    <xf numFmtId="168" fontId="4" fillId="37" borderId="1" xfId="36" applyFont="1" applyFill="1" applyBorder="1" applyAlignment="1">
      <alignment horizontal="center" vertical="center"/>
    </xf>
    <xf numFmtId="168" fontId="4" fillId="43" borderId="1" xfId="25" applyFont="1" applyFill="1" applyBorder="1" applyAlignment="1">
      <alignment horizontal="center" vertical="center"/>
    </xf>
    <xf numFmtId="168" fontId="4" fillId="43" borderId="1" xfId="36" applyFont="1" applyFill="1" applyBorder="1" applyAlignment="1">
      <alignment horizontal="center" vertical="center"/>
    </xf>
    <xf numFmtId="168" fontId="29" fillId="0" borderId="0" xfId="36" applyFont="1" applyAlignment="1">
      <alignment horizontal="center" vertical="center"/>
    </xf>
    <xf numFmtId="168" fontId="29" fillId="0" borderId="0" xfId="409" applyNumberFormat="1" applyFont="1" applyAlignment="1">
      <alignment horizontal="center" vertical="center"/>
    </xf>
    <xf numFmtId="0" fontId="39" fillId="54" borderId="1" xfId="0" applyFont="1" applyFill="1" applyBorder="1" applyAlignment="1">
      <alignment horizontal="center" vertical="center" wrapText="1"/>
    </xf>
    <xf numFmtId="168" fontId="8" fillId="0" borderId="1" xfId="87" applyNumberFormat="1" applyFont="1" applyBorder="1" applyAlignment="1">
      <alignment horizontal="left" vertical="center" wrapText="1" indent="1"/>
    </xf>
    <xf numFmtId="0" fontId="12" fillId="0" borderId="1"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 xfId="0" applyBorder="1" applyAlignment="1">
      <alignment horizontal="center" vertical="center" wrapText="1"/>
    </xf>
    <xf numFmtId="168" fontId="21" fillId="0" borderId="1" xfId="87" applyNumberFormat="1" applyBorder="1" applyAlignment="1">
      <alignment horizontal="center" vertical="center" wrapText="1"/>
    </xf>
    <xf numFmtId="167" fontId="5" fillId="0" borderId="1" xfId="509" applyNumberFormat="1" applyFont="1" applyBorder="1" applyAlignment="1">
      <alignment horizontal="center" vertical="center" wrapText="1"/>
    </xf>
    <xf numFmtId="1" fontId="5" fillId="0" borderId="1" xfId="87" applyNumberFormat="1" applyFont="1" applyBorder="1" applyAlignment="1">
      <alignment horizontal="center" vertical="center" wrapText="1"/>
    </xf>
    <xf numFmtId="168" fontId="12" fillId="0" borderId="1" xfId="87" applyNumberFormat="1" applyFont="1" applyBorder="1" applyAlignment="1">
      <alignment horizontal="center" vertical="center" wrapText="1"/>
    </xf>
    <xf numFmtId="1" fontId="12" fillId="0" borderId="1" xfId="0" applyNumberFormat="1" applyFont="1" applyBorder="1" applyAlignment="1">
      <alignment horizontal="center" vertical="center" wrapText="1"/>
    </xf>
    <xf numFmtId="178" fontId="0" fillId="0" borderId="0" xfId="0" applyNumberFormat="1" applyAlignment="1">
      <alignment horizontal="left"/>
    </xf>
    <xf numFmtId="179" fontId="0" fillId="0" borderId="0" xfId="0" applyNumberFormat="1" applyAlignment="1">
      <alignment horizontal="left"/>
    </xf>
    <xf numFmtId="168" fontId="39" fillId="0" borderId="1" xfId="25" applyFont="1" applyBorder="1"/>
    <xf numFmtId="168" fontId="35" fillId="41" borderId="1" xfId="25" applyFont="1" applyFill="1" applyBorder="1"/>
    <xf numFmtId="168" fontId="39" fillId="54" borderId="1" xfId="25" applyFont="1" applyFill="1" applyBorder="1" applyAlignment="1">
      <alignment horizontal="center" vertical="center"/>
    </xf>
    <xf numFmtId="168" fontId="39" fillId="54" borderId="1" xfId="25" applyFont="1" applyFill="1" applyBorder="1"/>
    <xf numFmtId="168" fontId="39" fillId="54" borderId="1" xfId="25" applyFont="1" applyFill="1" applyBorder="1" applyAlignment="1">
      <alignment horizontal="center" vertical="center" wrapText="1"/>
    </xf>
    <xf numFmtId="1" fontId="39" fillId="54" borderId="1" xfId="25" applyNumberFormat="1" applyFont="1" applyFill="1" applyBorder="1" applyAlignment="1">
      <alignment horizontal="center" vertical="center" wrapText="1"/>
    </xf>
    <xf numFmtId="170" fontId="20" fillId="0" borderId="1" xfId="420" applyFont="1" applyFill="1" applyBorder="1" applyAlignment="1">
      <alignment horizontal="center" vertical="center" wrapText="1"/>
    </xf>
    <xf numFmtId="0" fontId="29" fillId="43" borderId="1" xfId="535" applyNumberFormat="1" applyFont="1" applyFill="1" applyBorder="1" applyAlignment="1">
      <alignment horizontal="center" vertical="center"/>
    </xf>
    <xf numFmtId="4" fontId="8" fillId="0" borderId="1" xfId="0" applyNumberFormat="1" applyFont="1" applyBorder="1" applyAlignment="1">
      <alignment horizontal="center" vertical="center" wrapText="1"/>
    </xf>
    <xf numFmtId="1" fontId="39" fillId="41" borderId="1" xfId="25" applyNumberFormat="1" applyFont="1" applyFill="1" applyBorder="1" applyAlignment="1">
      <alignment horizontal="center" vertical="center" wrapText="1"/>
    </xf>
    <xf numFmtId="168" fontId="39" fillId="41" borderId="1" xfId="25" applyFont="1" applyFill="1" applyBorder="1" applyAlignment="1">
      <alignment horizontal="center" vertical="center"/>
    </xf>
    <xf numFmtId="168" fontId="39" fillId="41" borderId="1" xfId="25" applyFont="1" applyFill="1" applyBorder="1" applyAlignment="1">
      <alignment horizontal="center" vertical="center" wrapText="1"/>
    </xf>
    <xf numFmtId="168" fontId="39" fillId="41" borderId="1" xfId="25" applyFont="1" applyFill="1" applyBorder="1"/>
    <xf numFmtId="0" fontId="39" fillId="41" borderId="0" xfId="0" applyFont="1" applyFill="1" applyAlignment="1">
      <alignment horizontal="center" vertical="center" wrapText="1"/>
    </xf>
    <xf numFmtId="0" fontId="4" fillId="42" borderId="1" xfId="541" applyNumberFormat="1" applyFont="1" applyFill="1" applyBorder="1" applyAlignment="1">
      <alignment horizontal="center" vertical="center" wrapText="1"/>
    </xf>
    <xf numFmtId="170" fontId="4" fillId="42" borderId="1" xfId="420" applyFont="1" applyFill="1" applyBorder="1" applyAlignment="1">
      <alignment horizontal="center" vertical="center" wrapText="1"/>
    </xf>
    <xf numFmtId="170" fontId="29" fillId="0" borderId="3" xfId="420" applyFont="1" applyBorder="1" applyAlignment="1">
      <alignment horizontal="center" vertical="center" wrapText="1"/>
    </xf>
    <xf numFmtId="168" fontId="29" fillId="0" borderId="1" xfId="36" applyFont="1" applyBorder="1" applyAlignment="1">
      <alignment horizontal="center" vertical="center" wrapText="1"/>
    </xf>
    <xf numFmtId="16" fontId="30" fillId="0" borderId="1" xfId="0" applyNumberFormat="1" applyFont="1" applyBorder="1" applyAlignment="1">
      <alignment horizontal="center" vertical="center" wrapText="1"/>
    </xf>
    <xf numFmtId="0" fontId="51" fillId="0" borderId="1" xfId="0" applyFont="1" applyBorder="1" applyAlignment="1">
      <alignment horizontal="center" vertical="center" wrapText="1"/>
    </xf>
    <xf numFmtId="16" fontId="30" fillId="40" borderId="1" xfId="0" applyNumberFormat="1" applyFont="1" applyFill="1" applyBorder="1" applyAlignment="1">
      <alignment horizontal="center" vertical="center" wrapText="1"/>
    </xf>
    <xf numFmtId="168" fontId="39" fillId="58" borderId="1" xfId="25" applyFont="1" applyFill="1" applyBorder="1" applyAlignment="1">
      <alignment horizontal="center" vertical="center" wrapText="1"/>
    </xf>
    <xf numFmtId="0" fontId="29" fillId="37" borderId="0" xfId="0" applyFont="1" applyFill="1" applyAlignment="1">
      <alignment vertical="center"/>
    </xf>
    <xf numFmtId="168" fontId="0" fillId="41" borderId="1" xfId="0" applyNumberFormat="1" applyFill="1" applyBorder="1"/>
    <xf numFmtId="0" fontId="29" fillId="54" borderId="1" xfId="535" applyNumberFormat="1" applyFont="1" applyFill="1" applyBorder="1" applyAlignment="1">
      <alignment horizontal="center" vertical="center"/>
    </xf>
    <xf numFmtId="0" fontId="30" fillId="59" borderId="1" xfId="0" applyFont="1" applyFill="1" applyBorder="1" applyAlignment="1">
      <alignment horizontal="center" vertical="center" wrapText="1"/>
    </xf>
    <xf numFmtId="0" fontId="30" fillId="45" borderId="1" xfId="0" applyFont="1" applyFill="1" applyBorder="1" applyAlignment="1">
      <alignment horizontal="center" vertical="center" wrapText="1"/>
    </xf>
    <xf numFmtId="15" fontId="30" fillId="45" borderId="1" xfId="0" applyNumberFormat="1" applyFont="1" applyFill="1" applyBorder="1" applyAlignment="1">
      <alignment horizontal="center" vertical="center" wrapText="1"/>
    </xf>
    <xf numFmtId="0" fontId="30" fillId="45" borderId="0" xfId="0" applyFont="1" applyFill="1" applyAlignment="1">
      <alignment horizontal="center" vertical="center" wrapText="1"/>
    </xf>
    <xf numFmtId="0" fontId="30" fillId="45" borderId="0" xfId="0" applyFont="1" applyFill="1" applyAlignment="1">
      <alignment horizontal="center" vertical="center"/>
    </xf>
    <xf numFmtId="168" fontId="11" fillId="25" borderId="2" xfId="87" applyNumberFormat="1" applyFont="1" applyFill="1" applyBorder="1" applyAlignment="1">
      <alignment horizontal="left" vertical="center" wrapText="1"/>
    </xf>
    <xf numFmtId="168" fontId="11" fillId="30" borderId="9" xfId="87" applyNumberFormat="1" applyFont="1" applyFill="1" applyBorder="1" applyAlignment="1">
      <alignment horizontal="left" vertical="center" wrapText="1"/>
    </xf>
    <xf numFmtId="168" fontId="11" fillId="28" borderId="1" xfId="87" applyNumberFormat="1" applyFont="1" applyFill="1" applyBorder="1" applyAlignment="1">
      <alignment horizontal="left" vertical="center" wrapText="1"/>
    </xf>
    <xf numFmtId="167" fontId="11" fillId="29" borderId="1" xfId="509" applyNumberFormat="1" applyFont="1" applyFill="1" applyBorder="1" applyAlignment="1">
      <alignment horizontal="left" vertical="center" wrapText="1"/>
    </xf>
    <xf numFmtId="0" fontId="2" fillId="43" borderId="1" xfId="0" applyFont="1" applyFill="1" applyBorder="1" applyAlignment="1">
      <alignment horizontal="center" vertical="center" wrapText="1"/>
    </xf>
    <xf numFmtId="0" fontId="2" fillId="43" borderId="1" xfId="0" applyFont="1" applyFill="1" applyBorder="1" applyAlignment="1">
      <alignment horizontal="left" vertical="center" wrapText="1"/>
    </xf>
    <xf numFmtId="0" fontId="0" fillId="43" borderId="1" xfId="0" applyFill="1" applyBorder="1" applyAlignment="1">
      <alignment horizontal="center" vertical="center" wrapText="1"/>
    </xf>
    <xf numFmtId="168" fontId="21" fillId="43" borderId="1" xfId="87" applyNumberFormat="1" applyFill="1" applyBorder="1" applyAlignment="1">
      <alignment horizontal="center" vertical="center" wrapText="1"/>
    </xf>
    <xf numFmtId="167" fontId="5" fillId="43" borderId="1" xfId="509" applyNumberFormat="1" applyFont="1" applyFill="1" applyBorder="1" applyAlignment="1">
      <alignment horizontal="center" vertical="center" wrapText="1"/>
    </xf>
    <xf numFmtId="0" fontId="2" fillId="43" borderId="1" xfId="0" applyFont="1" applyFill="1" applyBorder="1" applyAlignment="1">
      <alignment horizontal="left" vertical="center"/>
    </xf>
    <xf numFmtId="0" fontId="2" fillId="43" borderId="1" xfId="0" applyFont="1" applyFill="1" applyBorder="1" applyAlignment="1">
      <alignment horizontal="center" vertical="center"/>
    </xf>
    <xf numFmtId="178" fontId="2" fillId="43" borderId="4" xfId="87" applyNumberFormat="1" applyFont="1" applyFill="1" applyBorder="1" applyAlignment="1">
      <alignment horizontal="center" vertical="center"/>
    </xf>
    <xf numFmtId="167" fontId="8" fillId="0" borderId="1" xfId="408" applyFont="1" applyBorder="1" applyAlignment="1">
      <alignment horizontal="center" vertical="center" wrapText="1"/>
    </xf>
    <xf numFmtId="49" fontId="39" fillId="54" borderId="1" xfId="0" applyNumberFormat="1" applyFont="1" applyFill="1" applyBorder="1" applyAlignment="1">
      <alignment horizontal="center" vertical="center" wrapText="1"/>
    </xf>
    <xf numFmtId="0" fontId="0" fillId="54" borderId="17" xfId="0" applyFill="1" applyBorder="1" applyAlignment="1">
      <alignment horizontal="center" vertical="center" wrapText="1"/>
    </xf>
    <xf numFmtId="0" fontId="4" fillId="0" borderId="6" xfId="535" applyNumberFormat="1" applyFont="1" applyBorder="1" applyAlignment="1">
      <alignment horizontal="center" vertical="center" wrapText="1"/>
    </xf>
    <xf numFmtId="168" fontId="4" fillId="0" borderId="6" xfId="25" applyFont="1" applyBorder="1" applyAlignment="1">
      <alignment vertical="center"/>
    </xf>
    <xf numFmtId="168" fontId="4" fillId="0" borderId="6" xfId="25" applyFont="1" applyFill="1" applyBorder="1" applyAlignment="1">
      <alignment horizontal="center" vertical="center"/>
    </xf>
    <xf numFmtId="168" fontId="4" fillId="0" borderId="6" xfId="36" applyFont="1" applyBorder="1" applyAlignment="1">
      <alignment horizontal="center" vertical="center"/>
    </xf>
    <xf numFmtId="168" fontId="4" fillId="0" borderId="6" xfId="409" applyNumberFormat="1" applyFont="1" applyBorder="1" applyAlignment="1">
      <alignment vertical="center"/>
    </xf>
    <xf numFmtId="168" fontId="36" fillId="0" borderId="6" xfId="0" applyNumberFormat="1" applyFont="1" applyBorder="1" applyAlignment="1">
      <alignment vertical="center"/>
    </xf>
    <xf numFmtId="0" fontId="4" fillId="0" borderId="6" xfId="409" applyNumberFormat="1" applyFont="1" applyBorder="1" applyAlignment="1">
      <alignment horizontal="center" vertical="center" wrapText="1"/>
    </xf>
    <xf numFmtId="0" fontId="29" fillId="0" borderId="1" xfId="535" applyNumberFormat="1" applyFont="1" applyBorder="1" applyAlignment="1">
      <alignment horizontal="center" vertical="center"/>
    </xf>
    <xf numFmtId="180" fontId="42" fillId="0" borderId="18" xfId="420" applyNumberFormat="1" applyFont="1" applyFill="1" applyBorder="1" applyAlignment="1">
      <alignment horizontal="center" vertical="center"/>
    </xf>
    <xf numFmtId="178" fontId="2" fillId="0" borderId="1" xfId="95" applyNumberFormat="1" applyFont="1" applyBorder="1" applyAlignment="1">
      <alignment horizontal="center" vertical="center"/>
    </xf>
    <xf numFmtId="180" fontId="42" fillId="41" borderId="18" xfId="420" applyNumberFormat="1" applyFont="1" applyFill="1" applyBorder="1" applyAlignment="1">
      <alignment horizontal="center" vertical="center"/>
    </xf>
    <xf numFmtId="168" fontId="32" fillId="50" borderId="1" xfId="25" applyFont="1" applyFill="1" applyBorder="1" applyAlignment="1">
      <alignment horizontal="center" vertical="center" wrapText="1"/>
    </xf>
    <xf numFmtId="0" fontId="0" fillId="0" borderId="3" xfId="0" applyBorder="1" applyAlignment="1">
      <alignment horizontal="center" vertical="center" wrapText="1"/>
    </xf>
    <xf numFmtId="168" fontId="21" fillId="0" borderId="3" xfId="87" applyNumberFormat="1" applyBorder="1" applyAlignment="1">
      <alignment horizontal="center" vertical="center" wrapText="1"/>
    </xf>
    <xf numFmtId="167" fontId="5" fillId="0" borderId="3" xfId="509" applyNumberFormat="1" applyFont="1" applyBorder="1" applyAlignment="1">
      <alignment horizontal="center" vertical="center" wrapText="1"/>
    </xf>
    <xf numFmtId="0" fontId="33" fillId="0" borderId="1" xfId="0" applyFont="1" applyBorder="1" applyAlignment="1">
      <alignment wrapText="1"/>
    </xf>
    <xf numFmtId="0" fontId="0" fillId="43" borderId="1" xfId="0" applyFill="1" applyBorder="1" applyAlignment="1">
      <alignment wrapText="1"/>
    </xf>
    <xf numFmtId="0" fontId="30" fillId="37" borderId="1" xfId="0" applyFont="1" applyFill="1" applyBorder="1" applyAlignment="1">
      <alignment horizontal="center" vertical="center" wrapText="1"/>
    </xf>
    <xf numFmtId="168" fontId="30" fillId="37" borderId="1" xfId="87" applyNumberFormat="1" applyFont="1" applyFill="1" applyBorder="1" applyAlignment="1">
      <alignment horizontal="center" vertical="center" wrapText="1"/>
    </xf>
    <xf numFmtId="168" fontId="30" fillId="37" borderId="1" xfId="25" applyFont="1" applyFill="1" applyBorder="1" applyAlignment="1">
      <alignment horizontal="center" vertical="center"/>
    </xf>
    <xf numFmtId="176" fontId="8" fillId="37" borderId="1" xfId="87" applyNumberFormat="1" applyFont="1" applyFill="1" applyBorder="1" applyAlignment="1">
      <alignment horizontal="center" vertical="center" wrapText="1"/>
    </xf>
    <xf numFmtId="14" fontId="8" fillId="37" borderId="1" xfId="87" applyNumberFormat="1" applyFont="1" applyFill="1" applyBorder="1" applyAlignment="1">
      <alignment horizontal="center" vertical="center" wrapText="1"/>
    </xf>
    <xf numFmtId="0" fontId="8" fillId="37" borderId="1" xfId="0" applyFont="1" applyFill="1" applyBorder="1" applyAlignment="1">
      <alignment horizontal="center" vertical="center" wrapText="1"/>
    </xf>
    <xf numFmtId="0" fontId="30" fillId="37" borderId="0" xfId="0" applyFont="1" applyFill="1" applyAlignment="1">
      <alignment horizontal="center" vertical="center" wrapText="1"/>
    </xf>
    <xf numFmtId="0" fontId="30" fillId="37" borderId="0" xfId="0" applyFont="1" applyFill="1" applyAlignment="1">
      <alignment horizontal="center" vertical="center"/>
    </xf>
    <xf numFmtId="169" fontId="39" fillId="0" borderId="1" xfId="86" applyFont="1" applyBorder="1" applyAlignment="1">
      <alignment horizontal="center" vertical="center" wrapText="1"/>
    </xf>
    <xf numFmtId="180" fontId="42" fillId="0" borderId="19" xfId="420" applyNumberFormat="1" applyFont="1" applyFill="1" applyBorder="1" applyAlignment="1">
      <alignment horizontal="center" vertical="center"/>
    </xf>
    <xf numFmtId="169" fontId="39" fillId="0" borderId="3" xfId="86" applyFont="1" applyBorder="1" applyAlignment="1">
      <alignment horizontal="center" vertical="center" wrapText="1"/>
    </xf>
    <xf numFmtId="180" fontId="42" fillId="0" borderId="1" xfId="420" applyNumberFormat="1" applyFont="1" applyFill="1" applyBorder="1" applyAlignment="1">
      <alignment horizontal="center" vertical="center"/>
    </xf>
    <xf numFmtId="49" fontId="35" fillId="54" borderId="1" xfId="0" applyNumberFormat="1" applyFont="1" applyFill="1" applyBorder="1" applyAlignment="1">
      <alignment horizontal="center" vertical="center" wrapText="1"/>
    </xf>
    <xf numFmtId="168" fontId="39" fillId="54" borderId="0" xfId="25" applyFont="1" applyFill="1" applyAlignment="1">
      <alignment horizontal="center" vertical="center"/>
    </xf>
    <xf numFmtId="180" fontId="42" fillId="37" borderId="18" xfId="420" applyNumberFormat="1" applyFont="1" applyFill="1" applyBorder="1" applyAlignment="1">
      <alignment horizontal="center" vertical="center"/>
    </xf>
    <xf numFmtId="0" fontId="29" fillId="37" borderId="1" xfId="535" applyNumberFormat="1" applyFont="1" applyFill="1" applyBorder="1" applyAlignment="1">
      <alignment horizontal="center" vertical="center"/>
    </xf>
    <xf numFmtId="0" fontId="0" fillId="0" borderId="0" xfId="0" applyNumberFormat="1"/>
    <xf numFmtId="0" fontId="0" fillId="0" borderId="0" xfId="0" applyFill="1" applyAlignment="1">
      <alignment wrapText="1"/>
    </xf>
    <xf numFmtId="0" fontId="2" fillId="0" borderId="1"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0" fillId="0" borderId="1" xfId="0" applyFill="1" applyBorder="1" applyAlignment="1">
      <alignment horizontal="center" vertical="center" wrapText="1"/>
    </xf>
    <xf numFmtId="168" fontId="21" fillId="0" borderId="1" xfId="87" applyNumberFormat="1" applyFill="1" applyBorder="1" applyAlignment="1">
      <alignment horizontal="center" vertical="center" wrapText="1"/>
    </xf>
    <xf numFmtId="167" fontId="5" fillId="0" borderId="1" xfId="509" applyNumberFormat="1" applyFont="1" applyFill="1" applyBorder="1" applyAlignment="1">
      <alignment horizontal="center" vertical="center" wrapText="1"/>
    </xf>
    <xf numFmtId="0" fontId="33" fillId="0" borderId="1" xfId="0" applyFont="1" applyFill="1" applyBorder="1" applyAlignment="1">
      <alignment wrapText="1"/>
    </xf>
    <xf numFmtId="0" fontId="12" fillId="0" borderId="1" xfId="0" applyFont="1" applyFill="1" applyBorder="1" applyAlignment="1">
      <alignment horizontal="center" vertical="center" wrapText="1"/>
    </xf>
    <xf numFmtId="0" fontId="0" fillId="0" borderId="1" xfId="0" applyFill="1" applyBorder="1" applyAlignment="1">
      <alignment wrapText="1"/>
    </xf>
    <xf numFmtId="0" fontId="29" fillId="18" borderId="1" xfId="535" applyNumberFormat="1" applyFont="1" applyFill="1" applyBorder="1" applyAlignment="1">
      <alignment horizontal="center" vertical="center"/>
    </xf>
    <xf numFmtId="0" fontId="29" fillId="18" borderId="0" xfId="535" applyNumberFormat="1" applyFont="1" applyFill="1" applyAlignment="1">
      <alignment horizontal="center" vertical="center"/>
    </xf>
    <xf numFmtId="167" fontId="4" fillId="0" borderId="1" xfId="408" applyFont="1" applyFill="1" applyBorder="1" applyAlignment="1">
      <alignment horizontal="center" vertical="center" wrapText="1"/>
    </xf>
    <xf numFmtId="168" fontId="4" fillId="34" borderId="0" xfId="25" applyFont="1" applyFill="1" applyBorder="1" applyAlignment="1">
      <alignment vertical="center" wrapText="1"/>
    </xf>
    <xf numFmtId="168" fontId="4" fillId="33" borderId="0" xfId="25" applyFont="1" applyFill="1" applyBorder="1" applyAlignment="1">
      <alignment vertical="center" wrapText="1"/>
    </xf>
    <xf numFmtId="168" fontId="40" fillId="57" borderId="0" xfId="409" applyNumberFormat="1" applyFont="1" applyFill="1" applyAlignment="1">
      <alignment horizontal="center" vertical="center" wrapText="1"/>
    </xf>
    <xf numFmtId="180" fontId="42" fillId="0" borderId="1" xfId="444" applyNumberFormat="1" applyFont="1" applyFill="1" applyBorder="1" applyAlignment="1">
      <alignment horizontal="center" vertical="center"/>
    </xf>
    <xf numFmtId="168" fontId="39" fillId="0" borderId="1" xfId="546" applyFont="1" applyBorder="1" applyAlignment="1">
      <alignment horizontal="center" vertical="center" wrapText="1"/>
    </xf>
    <xf numFmtId="180" fontId="42" fillId="0" borderId="20" xfId="444" applyNumberFormat="1" applyFont="1" applyFill="1" applyBorder="1" applyAlignment="1">
      <alignment horizontal="center" vertical="center"/>
    </xf>
    <xf numFmtId="178" fontId="2" fillId="37" borderId="1" xfId="87" applyNumberFormat="1" applyFont="1" applyFill="1" applyBorder="1" applyAlignment="1">
      <alignment horizontal="center" vertical="center"/>
    </xf>
    <xf numFmtId="178" fontId="2" fillId="60" borderId="1" xfId="87" applyNumberFormat="1" applyFont="1" applyFill="1" applyBorder="1" applyAlignment="1">
      <alignment horizontal="center" vertical="center"/>
    </xf>
    <xf numFmtId="168" fontId="39" fillId="37" borderId="1" xfId="25" applyFont="1" applyFill="1" applyBorder="1" applyAlignment="1">
      <alignment horizontal="center" vertical="center" wrapText="1"/>
    </xf>
    <xf numFmtId="168" fontId="39" fillId="60" borderId="0" xfId="25" applyFont="1" applyFill="1" applyAlignment="1">
      <alignment horizontal="center" vertical="center"/>
    </xf>
    <xf numFmtId="0" fontId="29" fillId="61" borderId="0" xfId="535" applyNumberFormat="1" applyFont="1" applyFill="1" applyAlignment="1">
      <alignment horizontal="center" vertical="center"/>
    </xf>
    <xf numFmtId="178" fontId="2" fillId="41" borderId="1" xfId="95" applyNumberFormat="1" applyFont="1" applyFill="1" applyBorder="1" applyAlignment="1">
      <alignment horizontal="center" vertical="center"/>
    </xf>
    <xf numFmtId="1" fontId="5" fillId="37" borderId="1" xfId="87" applyNumberFormat="1" applyFont="1" applyFill="1" applyBorder="1" applyAlignment="1">
      <alignment horizontal="center" vertical="center" wrapText="1"/>
    </xf>
    <xf numFmtId="1" fontId="12" fillId="37" borderId="1" xfId="0" applyNumberFormat="1" applyFont="1" applyFill="1" applyBorder="1" applyAlignment="1">
      <alignment horizontal="center" vertical="center" wrapText="1"/>
    </xf>
    <xf numFmtId="168" fontId="39" fillId="0" borderId="4" xfId="36" applyFont="1" applyBorder="1" applyAlignment="1">
      <alignment horizontal="center" vertical="center" wrapText="1"/>
    </xf>
    <xf numFmtId="168" fontId="39" fillId="0" borderId="0" xfId="36" applyFont="1" applyAlignment="1">
      <alignment horizontal="center" vertical="center" wrapText="1"/>
    </xf>
    <xf numFmtId="49" fontId="39" fillId="0" borderId="4" xfId="36" applyNumberFormat="1" applyFont="1" applyBorder="1" applyAlignment="1">
      <alignment horizontal="center" vertical="center" wrapText="1"/>
    </xf>
    <xf numFmtId="49" fontId="39" fillId="0" borderId="0" xfId="36" applyNumberFormat="1" applyFont="1" applyAlignment="1">
      <alignment horizontal="center" vertical="center" wrapText="1"/>
    </xf>
    <xf numFmtId="168" fontId="39" fillId="0" borderId="11" xfId="36" applyFont="1" applyBorder="1" applyAlignment="1">
      <alignment horizontal="center" vertical="center" wrapText="1"/>
    </xf>
    <xf numFmtId="168" fontId="39" fillId="0" borderId="12" xfId="36" applyFont="1" applyBorder="1" applyAlignment="1">
      <alignment horizontal="center" vertical="center" wrapText="1"/>
    </xf>
    <xf numFmtId="0" fontId="0" fillId="0" borderId="12" xfId="0"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13" xfId="0" applyBorder="1" applyAlignment="1">
      <alignment horizontal="center"/>
    </xf>
    <xf numFmtId="0" fontId="0" fillId="0" borderId="9" xfId="0" applyBorder="1" applyAlignment="1">
      <alignment horizontal="center"/>
    </xf>
  </cellXfs>
  <cellStyles count="547">
    <cellStyle name="20% - Énfasis1 2" xfId="1"/>
    <cellStyle name="20% - Énfasis2 2" xfId="2"/>
    <cellStyle name="20% - Énfasis3 2" xfId="3"/>
    <cellStyle name="20% - Énfasis4 2" xfId="4"/>
    <cellStyle name="20% - Énfasis5 2" xfId="5"/>
    <cellStyle name="20% - Énfasis6 2" xfId="6"/>
    <cellStyle name="40% - Énfasis1 2" xfId="7"/>
    <cellStyle name="40% - Énfasis2 2" xfId="8"/>
    <cellStyle name="40% - Énfasis3 2" xfId="9"/>
    <cellStyle name="40% - Énfasis4 2" xfId="10"/>
    <cellStyle name="40% - Énfasis5 2" xfId="11"/>
    <cellStyle name="40% - Énfasis6 2" xfId="12"/>
    <cellStyle name="60% - Énfasis1 2" xfId="13"/>
    <cellStyle name="60% - Énfasis1 3" xfId="14"/>
    <cellStyle name="60% - Énfasis2 2" xfId="15"/>
    <cellStyle name="60% - Énfasis2 3" xfId="16"/>
    <cellStyle name="60% - Énfasis3 2" xfId="17"/>
    <cellStyle name="60% - Énfasis3 3" xfId="18"/>
    <cellStyle name="60% - Énfasis4 2" xfId="19"/>
    <cellStyle name="60% - Énfasis4 3" xfId="20"/>
    <cellStyle name="60% - Énfasis5 2" xfId="21"/>
    <cellStyle name="60% - Énfasis5 3" xfId="22"/>
    <cellStyle name="60% - Énfasis6 2" xfId="23"/>
    <cellStyle name="60% - Énfasis6 3" xfId="24"/>
    <cellStyle name="Millares" xfId="25" builtinId="3"/>
    <cellStyle name="Millares [0]" xfId="26" builtinId="6"/>
    <cellStyle name="Millares [0] 2" xfId="27"/>
    <cellStyle name="Millares [0] 2 2" xfId="28"/>
    <cellStyle name="Millares [0] 2 2 2" xfId="29"/>
    <cellStyle name="Millares [0] 2 3" xfId="30"/>
    <cellStyle name="Millares [0] 3" xfId="31"/>
    <cellStyle name="Millares [0] 3 2" xfId="32"/>
    <cellStyle name="Millares [0] 4" xfId="33"/>
    <cellStyle name="Millares [0] 4 2" xfId="34"/>
    <cellStyle name="Millares [0] 5" xfId="35"/>
    <cellStyle name="Millares 10" xfId="36"/>
    <cellStyle name="Millares 10 10" xfId="37"/>
    <cellStyle name="Millares 10 10 2" xfId="38"/>
    <cellStyle name="Millares 10 11" xfId="39"/>
    <cellStyle name="Millares 10 11 2" xfId="40"/>
    <cellStyle name="Millares 10 12" xfId="41"/>
    <cellStyle name="Millares 10 12 2" xfId="42"/>
    <cellStyle name="Millares 10 13" xfId="43"/>
    <cellStyle name="Millares 10 13 2" xfId="44"/>
    <cellStyle name="Millares 10 14" xfId="45"/>
    <cellStyle name="Millares 10 15" xfId="46"/>
    <cellStyle name="Millares 10 16" xfId="47"/>
    <cellStyle name="Millares 10 2" xfId="48"/>
    <cellStyle name="Millares 10 2 2" xfId="49"/>
    <cellStyle name="Millares 10 2 2 2" xfId="50"/>
    <cellStyle name="Millares 10 2 3" xfId="51"/>
    <cellStyle name="Millares 10 2 3 2" xfId="52"/>
    <cellStyle name="Millares 10 2 4" xfId="53"/>
    <cellStyle name="Millares 10 2 4 2" xfId="54"/>
    <cellStyle name="Millares 10 2 5" xfId="55"/>
    <cellStyle name="Millares 10 2 6" xfId="56"/>
    <cellStyle name="Millares 10 2 7" xfId="57"/>
    <cellStyle name="Millares 10 3" xfId="58"/>
    <cellStyle name="Millares 10 3 2" xfId="59"/>
    <cellStyle name="Millares 10 4" xfId="60"/>
    <cellStyle name="Millares 10 4 2" xfId="61"/>
    <cellStyle name="Millares 10 5" xfId="62"/>
    <cellStyle name="Millares 10 5 2" xfId="63"/>
    <cellStyle name="Millares 10 6" xfId="64"/>
    <cellStyle name="Millares 10 6 2" xfId="65"/>
    <cellStyle name="Millares 10 7" xfId="66"/>
    <cellStyle name="Millares 10 7 2" xfId="67"/>
    <cellStyle name="Millares 10 8" xfId="68"/>
    <cellStyle name="Millares 10 8 2" xfId="69"/>
    <cellStyle name="Millares 10 9" xfId="70"/>
    <cellStyle name="Millares 10 9 2" xfId="71"/>
    <cellStyle name="Millares 11" xfId="72"/>
    <cellStyle name="Millares 11 2" xfId="73"/>
    <cellStyle name="Millares 12" xfId="74"/>
    <cellStyle name="Millares 12 2" xfId="75"/>
    <cellStyle name="Millares 13" xfId="76"/>
    <cellStyle name="Millares 14" xfId="77"/>
    <cellStyle name="Millares 14 2" xfId="78"/>
    <cellStyle name="Millares 15" xfId="79"/>
    <cellStyle name="Millares 16" xfId="80"/>
    <cellStyle name="Millares 16 2" xfId="81"/>
    <cellStyle name="Millares 17" xfId="82"/>
    <cellStyle name="Millares 17 2" xfId="83"/>
    <cellStyle name="Millares 18" xfId="84"/>
    <cellStyle name="Millares 18 2" xfId="85"/>
    <cellStyle name="Millares 19" xfId="86"/>
    <cellStyle name="Millares 2" xfId="87"/>
    <cellStyle name="Millares 2 10" xfId="88"/>
    <cellStyle name="Millares 2 10 10" xfId="89"/>
    <cellStyle name="Millares 2 10 10 2" xfId="90"/>
    <cellStyle name="Millares 2 10 11" xfId="91"/>
    <cellStyle name="Millares 2 10 11 2" xfId="92"/>
    <cellStyle name="Millares 2 10 12" xfId="93"/>
    <cellStyle name="Millares 2 10 12 2" xfId="94"/>
    <cellStyle name="Millares 2 10 13" xfId="95"/>
    <cellStyle name="Millares 2 10 13 2" xfId="96"/>
    <cellStyle name="Millares 2 10 13 2 2" xfId="97"/>
    <cellStyle name="Millares 2 10 13 3" xfId="98"/>
    <cellStyle name="Millares 2 10 14" xfId="99"/>
    <cellStyle name="Millares 2 10 14 2" xfId="100"/>
    <cellStyle name="Millares 2 10 15" xfId="101"/>
    <cellStyle name="Millares 2 10 15 2" xfId="102"/>
    <cellStyle name="Millares 2 10 16" xfId="103"/>
    <cellStyle name="Millares 2 10 16 2" xfId="104"/>
    <cellStyle name="Millares 2 10 17" xfId="105"/>
    <cellStyle name="Millares 2 10 18" xfId="106"/>
    <cellStyle name="Millares 2 10 19" xfId="107"/>
    <cellStyle name="Millares 2 10 2" xfId="108"/>
    <cellStyle name="Millares 2 10 2 10" xfId="109"/>
    <cellStyle name="Millares 2 10 2 10 2" xfId="110"/>
    <cellStyle name="Millares 2 10 2 11" xfId="111"/>
    <cellStyle name="Millares 2 10 2 11 2" xfId="112"/>
    <cellStyle name="Millares 2 10 2 12" xfId="113"/>
    <cellStyle name="Millares 2 10 2 12 2" xfId="114"/>
    <cellStyle name="Millares 2 10 2 13" xfId="115"/>
    <cellStyle name="Millares 2 10 2 13 2" xfId="116"/>
    <cellStyle name="Millares 2 10 2 14" xfId="117"/>
    <cellStyle name="Millares 2 10 2 14 2" xfId="118"/>
    <cellStyle name="Millares 2 10 2 15" xfId="119"/>
    <cellStyle name="Millares 2 10 2 15 2" xfId="120"/>
    <cellStyle name="Millares 2 10 2 16" xfId="121"/>
    <cellStyle name="Millares 2 10 2 17" xfId="122"/>
    <cellStyle name="Millares 2 10 2 18" xfId="123"/>
    <cellStyle name="Millares 2 10 2 2" xfId="124"/>
    <cellStyle name="Millares 2 10 2 2 2" xfId="125"/>
    <cellStyle name="Millares 2 10 2 2 2 2" xfId="126"/>
    <cellStyle name="Millares 2 10 2 2 3" xfId="127"/>
    <cellStyle name="Millares 2 10 2 3" xfId="128"/>
    <cellStyle name="Millares 2 10 2 3 2" xfId="129"/>
    <cellStyle name="Millares 2 10 2 3 2 2" xfId="130"/>
    <cellStyle name="Millares 2 10 2 3 3" xfId="131"/>
    <cellStyle name="Millares 2 10 2 3 3 2" xfId="132"/>
    <cellStyle name="Millares 2 10 2 3 4" xfId="133"/>
    <cellStyle name="Millares 2 10 2 4" xfId="134"/>
    <cellStyle name="Millares 2 10 2 4 2" xfId="135"/>
    <cellStyle name="Millares 2 10 2 5" xfId="136"/>
    <cellStyle name="Millares 2 10 2 5 2" xfId="137"/>
    <cellStyle name="Millares 2 10 2 6" xfId="138"/>
    <cellStyle name="Millares 2 10 2 6 2" xfId="139"/>
    <cellStyle name="Millares 2 10 2 6 2 2" xfId="140"/>
    <cellStyle name="Millares 2 10 2 6 3" xfId="141"/>
    <cellStyle name="Millares 2 10 2 7" xfId="142"/>
    <cellStyle name="Millares 2 10 2 7 2" xfId="143"/>
    <cellStyle name="Millares 2 10 2 8" xfId="144"/>
    <cellStyle name="Millares 2 10 2 8 2" xfId="145"/>
    <cellStyle name="Millares 2 10 2 9" xfId="146"/>
    <cellStyle name="Millares 2 10 2 9 2" xfId="147"/>
    <cellStyle name="Millares 2 10 3" xfId="148"/>
    <cellStyle name="Millares 2 10 3 2" xfId="149"/>
    <cellStyle name="Millares 2 10 3 2 2" xfId="150"/>
    <cellStyle name="Millares 2 10 3 3" xfId="151"/>
    <cellStyle name="Millares 2 10 4" xfId="152"/>
    <cellStyle name="Millares 2 10 4 2" xfId="153"/>
    <cellStyle name="Millares 2 10 4 2 2" xfId="154"/>
    <cellStyle name="Millares 2 10 4 3" xfId="155"/>
    <cellStyle name="Millares 2 10 4 3 2" xfId="156"/>
    <cellStyle name="Millares 2 10 4 4" xfId="157"/>
    <cellStyle name="Millares 2 10 5" xfId="158"/>
    <cellStyle name="Millares 2 10 5 2" xfId="159"/>
    <cellStyle name="Millares 2 10 6" xfId="160"/>
    <cellStyle name="Millares 2 10 6 2" xfId="161"/>
    <cellStyle name="Millares 2 10 7" xfId="162"/>
    <cellStyle name="Millares 2 10 7 2" xfId="163"/>
    <cellStyle name="Millares 2 10 8" xfId="164"/>
    <cellStyle name="Millares 2 10 8 2" xfId="165"/>
    <cellStyle name="Millares 2 10 9" xfId="166"/>
    <cellStyle name="Millares 2 10 9 2" xfId="167"/>
    <cellStyle name="Millares 2 11" xfId="168"/>
    <cellStyle name="Millares 2 11 2" xfId="169"/>
    <cellStyle name="Millares 2 12" xfId="170"/>
    <cellStyle name="Millares 2 12 2" xfId="171"/>
    <cellStyle name="Millares 2 13" xfId="172"/>
    <cellStyle name="Millares 2 13 2" xfId="173"/>
    <cellStyle name="Millares 2 13 2 2" xfId="174"/>
    <cellStyle name="Millares 2 13 2 2 2" xfId="175"/>
    <cellStyle name="Millares 2 13 2 3" xfId="176"/>
    <cellStyle name="Millares 2 13 3" xfId="177"/>
    <cellStyle name="Millares 2 13 3 2" xfId="178"/>
    <cellStyle name="Millares 2 13 4" xfId="179"/>
    <cellStyle name="Millares 2 14" xfId="180"/>
    <cellStyle name="Millares 2 14 2" xfId="181"/>
    <cellStyle name="Millares 2 15" xfId="182"/>
    <cellStyle name="Millares 2 15 2" xfId="183"/>
    <cellStyle name="Millares 2 16" xfId="184"/>
    <cellStyle name="Millares 2 16 2" xfId="185"/>
    <cellStyle name="Millares 2 17" xfId="186"/>
    <cellStyle name="Millares 2 17 2" xfId="187"/>
    <cellStyle name="Millares 2 18" xfId="188"/>
    <cellStyle name="Millares 2 18 2" xfId="189"/>
    <cellStyle name="Millares 2 19" xfId="190"/>
    <cellStyle name="Millares 2 19 2" xfId="191"/>
    <cellStyle name="Millares 2 2" xfId="192"/>
    <cellStyle name="Millares 2 2 10" xfId="193"/>
    <cellStyle name="Millares 2 2 10 2" xfId="194"/>
    <cellStyle name="Millares 2 2 11" xfId="195"/>
    <cellStyle name="Millares 2 2 11 2" xfId="196"/>
    <cellStyle name="Millares 2 2 12" xfId="197"/>
    <cellStyle name="Millares 2 2 12 2" xfId="198"/>
    <cellStyle name="Millares 2 2 13" xfId="199"/>
    <cellStyle name="Millares 2 2 13 2" xfId="200"/>
    <cellStyle name="Millares 2 2 14" xfId="201"/>
    <cellStyle name="Millares 2 2 14 2" xfId="202"/>
    <cellStyle name="Millares 2 2 15" xfId="203"/>
    <cellStyle name="Millares 2 2 15 2" xfId="204"/>
    <cellStyle name="Millares 2 2 16" xfId="205"/>
    <cellStyle name="Millares 2 2 16 2" xfId="206"/>
    <cellStyle name="Millares 2 2 17" xfId="207"/>
    <cellStyle name="Millares 2 2 18" xfId="208"/>
    <cellStyle name="Millares 2 2 19" xfId="209"/>
    <cellStyle name="Millares 2 2 2" xfId="210"/>
    <cellStyle name="Millares 2 2 2 2" xfId="211"/>
    <cellStyle name="Millares 2 2 2 2 2" xfId="212"/>
    <cellStyle name="Millares 2 2 2 3" xfId="213"/>
    <cellStyle name="Millares 2 2 20" xfId="214"/>
    <cellStyle name="Millares 2 2 3" xfId="215"/>
    <cellStyle name="Millares 2 2 3 2" xfId="216"/>
    <cellStyle name="Millares 2 2 3 2 2" xfId="217"/>
    <cellStyle name="Millares 2 2 3 3" xfId="218"/>
    <cellStyle name="Millares 2 2 3 3 2" xfId="219"/>
    <cellStyle name="Millares 2 2 3 4" xfId="220"/>
    <cellStyle name="Millares 2 2 4" xfId="221"/>
    <cellStyle name="Millares 2 2 4 2" xfId="222"/>
    <cellStyle name="Millares 2 2 5" xfId="223"/>
    <cellStyle name="Millares 2 2 5 2" xfId="224"/>
    <cellStyle name="Millares 2 2 6" xfId="225"/>
    <cellStyle name="Millares 2 2 6 2" xfId="226"/>
    <cellStyle name="Millares 2 2 7" xfId="227"/>
    <cellStyle name="Millares 2 2 7 2" xfId="228"/>
    <cellStyle name="Millares 2 2 8" xfId="229"/>
    <cellStyle name="Millares 2 2 8 2" xfId="230"/>
    <cellStyle name="Millares 2 2 9" xfId="231"/>
    <cellStyle name="Millares 2 2 9 2" xfId="232"/>
    <cellStyle name="Millares 2 20" xfId="233"/>
    <cellStyle name="Millares 2 20 2" xfId="234"/>
    <cellStyle name="Millares 2 21" xfId="235"/>
    <cellStyle name="Millares 2 21 2" xfId="236"/>
    <cellStyle name="Millares 2 22" xfId="237"/>
    <cellStyle name="Millares 2 22 2" xfId="238"/>
    <cellStyle name="Millares 2 23" xfId="239"/>
    <cellStyle name="Millares 2 23 2" xfId="240"/>
    <cellStyle name="Millares 2 24" xfId="241"/>
    <cellStyle name="Millares 2 24 2" xfId="242"/>
    <cellStyle name="Millares 2 25" xfId="243"/>
    <cellStyle name="Millares 2 26" xfId="244"/>
    <cellStyle name="Millares 2 27" xfId="245"/>
    <cellStyle name="Millares 2 28" xfId="246"/>
    <cellStyle name="Millares 2 3" xfId="247"/>
    <cellStyle name="Millares 2 3 10" xfId="248"/>
    <cellStyle name="Millares 2 3 10 2" xfId="249"/>
    <cellStyle name="Millares 2 3 11" xfId="250"/>
    <cellStyle name="Millares 2 3 12" xfId="251"/>
    <cellStyle name="Millares 2 3 2" xfId="252"/>
    <cellStyle name="Millares 2 3 2 2" xfId="253"/>
    <cellStyle name="Millares 2 3 2 2 2" xfId="254"/>
    <cellStyle name="Millares 2 3 2 3" xfId="255"/>
    <cellStyle name="Millares 2 3 2 3 2" xfId="256"/>
    <cellStyle name="Millares 2 3 2 4" xfId="257"/>
    <cellStyle name="Millares 2 3 3" xfId="258"/>
    <cellStyle name="Millares 2 3 3 2" xfId="259"/>
    <cellStyle name="Millares 2 3 4" xfId="260"/>
    <cellStyle name="Millares 2 3 4 2" xfId="261"/>
    <cellStyle name="Millares 2 3 5" xfId="262"/>
    <cellStyle name="Millares 2 3 5 2" xfId="263"/>
    <cellStyle name="Millares 2 3 6" xfId="264"/>
    <cellStyle name="Millares 2 3 6 2" xfId="265"/>
    <cellStyle name="Millares 2 3 7" xfId="266"/>
    <cellStyle name="Millares 2 3 7 2" xfId="267"/>
    <cellStyle name="Millares 2 3 8" xfId="268"/>
    <cellStyle name="Millares 2 3 8 2" xfId="269"/>
    <cellStyle name="Millares 2 3 9" xfId="270"/>
    <cellStyle name="Millares 2 3 9 2" xfId="271"/>
    <cellStyle name="Millares 2 4" xfId="272"/>
    <cellStyle name="Millares 2 4 2" xfId="273"/>
    <cellStyle name="Millares 2 4 2 2" xfId="274"/>
    <cellStyle name="Millares 2 4 3" xfId="275"/>
    <cellStyle name="Millares 2 5" xfId="276"/>
    <cellStyle name="Millares 2 5 2" xfId="277"/>
    <cellStyle name="Millares 2 5 2 2" xfId="278"/>
    <cellStyle name="Millares 2 5 3" xfId="279"/>
    <cellStyle name="Millares 2 6" xfId="280"/>
    <cellStyle name="Millares 2 6 2" xfId="281"/>
    <cellStyle name="Millares 2 6 3" xfId="282"/>
    <cellStyle name="Millares 2 6 4" xfId="283"/>
    <cellStyle name="Millares 2 7" xfId="284"/>
    <cellStyle name="Millares 2 7 2" xfId="285"/>
    <cellStyle name="Millares 2 7 3" xfId="286"/>
    <cellStyle name="Millares 2 8" xfId="287"/>
    <cellStyle name="Millares 2 8 2" xfId="288"/>
    <cellStyle name="Millares 2 9" xfId="289"/>
    <cellStyle name="Millares 2 9 2" xfId="290"/>
    <cellStyle name="Millares 20" xfId="291"/>
    <cellStyle name="Millares 20 2" xfId="292"/>
    <cellStyle name="Millares 21" xfId="293"/>
    <cellStyle name="Millares 21 2" xfId="294"/>
    <cellStyle name="Millares 22" xfId="295"/>
    <cellStyle name="Millares 22 2" xfId="296"/>
    <cellStyle name="Millares 23" xfId="297"/>
    <cellStyle name="Millares 23 2" xfId="298"/>
    <cellStyle name="Millares 24" xfId="299"/>
    <cellStyle name="Millares 24 2" xfId="300"/>
    <cellStyle name="Millares 25" xfId="301"/>
    <cellStyle name="Millares 25 2" xfId="302"/>
    <cellStyle name="Millares 26" xfId="303"/>
    <cellStyle name="Millares 26 2" xfId="304"/>
    <cellStyle name="Millares 27" xfId="305"/>
    <cellStyle name="Millares 27 2" xfId="306"/>
    <cellStyle name="Millares 28" xfId="307"/>
    <cellStyle name="Millares 28 2" xfId="308"/>
    <cellStyle name="Millares 29" xfId="309"/>
    <cellStyle name="Millares 29 2" xfId="310"/>
    <cellStyle name="Millares 3" xfId="311"/>
    <cellStyle name="Millares 3 2" xfId="312"/>
    <cellStyle name="Millares 3 2 2" xfId="313"/>
    <cellStyle name="Millares 3 2 2 2" xfId="314"/>
    <cellStyle name="Millares 3 2 2 2 2" xfId="315"/>
    <cellStyle name="Millares 3 2 2 3" xfId="316"/>
    <cellStyle name="Millares 3 2 3" xfId="317"/>
    <cellStyle name="Millares 3 2 4" xfId="318"/>
    <cellStyle name="Millares 3 2 4 2" xfId="319"/>
    <cellStyle name="Millares 3 3" xfId="320"/>
    <cellStyle name="Millares 3 3 2" xfId="321"/>
    <cellStyle name="Millares 3 3 2 2" xfId="322"/>
    <cellStyle name="Millares 3 3 3" xfId="323"/>
    <cellStyle name="Millares 3 3 3 2" xfId="324"/>
    <cellStyle name="Millares 3 3 4" xfId="325"/>
    <cellStyle name="Millares 3 4" xfId="326"/>
    <cellStyle name="Millares 3 5" xfId="327"/>
    <cellStyle name="Millares 3 5 2" xfId="328"/>
    <cellStyle name="Millares 3 6" xfId="329"/>
    <cellStyle name="Millares 3 7" xfId="330"/>
    <cellStyle name="Millares 3 8" xfId="331"/>
    <cellStyle name="Millares 3 9" xfId="332"/>
    <cellStyle name="Millares 30" xfId="333"/>
    <cellStyle name="Millares 30 2" xfId="334"/>
    <cellStyle name="Millares 31" xfId="335"/>
    <cellStyle name="Millares 32" xfId="336"/>
    <cellStyle name="Millares 33" xfId="337"/>
    <cellStyle name="Millares 34" xfId="338"/>
    <cellStyle name="Millares 35" xfId="339"/>
    <cellStyle name="Millares 36" xfId="340"/>
    <cellStyle name="Millares 37" xfId="341"/>
    <cellStyle name="Millares 38" xfId="342"/>
    <cellStyle name="Millares 39" xfId="546"/>
    <cellStyle name="Millares 4" xfId="343"/>
    <cellStyle name="Millares 4 10" xfId="344"/>
    <cellStyle name="Millares 4 10 2" xfId="345"/>
    <cellStyle name="Millares 4 11" xfId="346"/>
    <cellStyle name="Millares 4 11 2" xfId="347"/>
    <cellStyle name="Millares 4 12" xfId="348"/>
    <cellStyle name="Millares 4 12 2" xfId="349"/>
    <cellStyle name="Millares 4 13" xfId="350"/>
    <cellStyle name="Millares 4 13 2" xfId="351"/>
    <cellStyle name="Millares 4 14" xfId="352"/>
    <cellStyle name="Millares 4 14 2" xfId="353"/>
    <cellStyle name="Millares 4 15" xfId="354"/>
    <cellStyle name="Millares 4 15 2" xfId="355"/>
    <cellStyle name="Millares 4 16" xfId="356"/>
    <cellStyle name="Millares 4 17" xfId="357"/>
    <cellStyle name="Millares 4 18" xfId="358"/>
    <cellStyle name="Millares 4 19" xfId="359"/>
    <cellStyle name="Millares 4 2" xfId="360"/>
    <cellStyle name="Millares 4 2 2" xfId="361"/>
    <cellStyle name="Millares 4 2 2 2" xfId="362"/>
    <cellStyle name="Millares 4 2 3" xfId="363"/>
    <cellStyle name="Millares 4 2 3 2" xfId="364"/>
    <cellStyle name="Millares 4 2 4" xfId="365"/>
    <cellStyle name="Millares 4 3" xfId="366"/>
    <cellStyle name="Millares 4 3 2" xfId="367"/>
    <cellStyle name="Millares 4 4" xfId="368"/>
    <cellStyle name="Millares 4 4 2" xfId="369"/>
    <cellStyle name="Millares 4 5" xfId="370"/>
    <cellStyle name="Millares 4 5 2" xfId="371"/>
    <cellStyle name="Millares 4 6" xfId="372"/>
    <cellStyle name="Millares 4 6 2" xfId="373"/>
    <cellStyle name="Millares 4 7" xfId="374"/>
    <cellStyle name="Millares 4 7 2" xfId="375"/>
    <cellStyle name="Millares 4 8" xfId="376"/>
    <cellStyle name="Millares 4 8 2" xfId="377"/>
    <cellStyle name="Millares 4 9" xfId="378"/>
    <cellStyle name="Millares 4 9 2" xfId="379"/>
    <cellStyle name="Millares 5" xfId="380"/>
    <cellStyle name="Millares 5 2" xfId="381"/>
    <cellStyle name="Millares 5 2 2" xfId="382"/>
    <cellStyle name="Millares 5 2 2 2" xfId="383"/>
    <cellStyle name="Millares 5 2 3" xfId="384"/>
    <cellStyle name="Millares 5 3" xfId="385"/>
    <cellStyle name="Millares 5 3 2" xfId="386"/>
    <cellStyle name="Millares 5 4" xfId="387"/>
    <cellStyle name="Millares 6" xfId="388"/>
    <cellStyle name="Millares 6 2" xfId="389"/>
    <cellStyle name="Millares 6 2 2" xfId="390"/>
    <cellStyle name="Millares 6 2 2 2" xfId="391"/>
    <cellStyle name="Millares 6 2 3" xfId="392"/>
    <cellStyle name="Millares 6 3" xfId="393"/>
    <cellStyle name="Millares 6 3 2" xfId="394"/>
    <cellStyle name="Millares 6 4" xfId="395"/>
    <cellStyle name="Millares 7" xfId="396"/>
    <cellStyle name="Millares 7 2" xfId="397"/>
    <cellStyle name="Millares 7 2 2" xfId="398"/>
    <cellStyle name="Millares 7 3" xfId="399"/>
    <cellStyle name="Millares 7 3 2" xfId="400"/>
    <cellStyle name="Millares 7 4" xfId="401"/>
    <cellStyle name="Millares 8" xfId="402"/>
    <cellStyle name="Millares 8 2" xfId="403"/>
    <cellStyle name="Millares 8 3" xfId="404"/>
    <cellStyle name="Millares 9" xfId="405"/>
    <cellStyle name="Millares 9 2" xfId="406"/>
    <cellStyle name="Millares 9 3" xfId="407"/>
    <cellStyle name="Moneda" xfId="408" builtinId="4"/>
    <cellStyle name="Moneda [0]" xfId="409" builtinId="7"/>
    <cellStyle name="Moneda [0] 2" xfId="410"/>
    <cellStyle name="Moneda [0] 2 2" xfId="411"/>
    <cellStyle name="Moneda [0] 2 2 2" xfId="412"/>
    <cellStyle name="Moneda [0] 2 3" xfId="413"/>
    <cellStyle name="Moneda [0] 3" xfId="414"/>
    <cellStyle name="Moneda [0] 3 2" xfId="415"/>
    <cellStyle name="Moneda [0] 4" xfId="416"/>
    <cellStyle name="Moneda [0] 4 2" xfId="417"/>
    <cellStyle name="Moneda [0] 5" xfId="418"/>
    <cellStyle name="Moneda 10" xfId="419"/>
    <cellStyle name="Moneda 11" xfId="420"/>
    <cellStyle name="Moneda 12" xfId="421"/>
    <cellStyle name="Moneda 12 10" xfId="422"/>
    <cellStyle name="Moneda 12 11" xfId="423"/>
    <cellStyle name="Moneda 12 2" xfId="424"/>
    <cellStyle name="Moneda 12 3" xfId="425"/>
    <cellStyle name="Moneda 12 3 2" xfId="426"/>
    <cellStyle name="Moneda 12 3 3" xfId="427"/>
    <cellStyle name="Moneda 12 4" xfId="428"/>
    <cellStyle name="Moneda 12 5" xfId="429"/>
    <cellStyle name="Moneda 12 6" xfId="430"/>
    <cellStyle name="Moneda 12 7" xfId="431"/>
    <cellStyle name="Moneda 12 8" xfId="432"/>
    <cellStyle name="Moneda 12 9" xfId="433"/>
    <cellStyle name="Moneda 13" xfId="434"/>
    <cellStyle name="Moneda 14" xfId="435"/>
    <cellStyle name="Moneda 15" xfId="436"/>
    <cellStyle name="Moneda 16" xfId="437"/>
    <cellStyle name="Moneda 17" xfId="438"/>
    <cellStyle name="Moneda 17 2" xfId="439"/>
    <cellStyle name="Moneda 17 2 2" xfId="440"/>
    <cellStyle name="Moneda 18" xfId="441"/>
    <cellStyle name="Moneda 19" xfId="442"/>
    <cellStyle name="Moneda 2" xfId="443"/>
    <cellStyle name="Moneda 2 10" xfId="444"/>
    <cellStyle name="Moneda 2 11" xfId="445"/>
    <cellStyle name="Moneda 2 2" xfId="446"/>
    <cellStyle name="Moneda 2 2 10" xfId="447"/>
    <cellStyle name="Moneda 2 2 2" xfId="448"/>
    <cellStyle name="Moneda 2 2 3" xfId="449"/>
    <cellStyle name="Moneda 2 2 3 2" xfId="450"/>
    <cellStyle name="Moneda 2 2 3 3" xfId="451"/>
    <cellStyle name="Moneda 2 2 4" xfId="452"/>
    <cellStyle name="Moneda 2 2 5" xfId="453"/>
    <cellStyle name="Moneda 2 2 6" xfId="454"/>
    <cellStyle name="Moneda 2 2 7" xfId="455"/>
    <cellStyle name="Moneda 2 2 8" xfId="456"/>
    <cellStyle name="Moneda 2 2 9" xfId="457"/>
    <cellStyle name="Moneda 2 3" xfId="458"/>
    <cellStyle name="Moneda 2 4" xfId="459"/>
    <cellStyle name="Moneda 2 4 2" xfId="460"/>
    <cellStyle name="Moneda 2 4 3" xfId="461"/>
    <cellStyle name="Moneda 2 5" xfId="462"/>
    <cellStyle name="Moneda 2 6" xfId="463"/>
    <cellStyle name="Moneda 2 7" xfId="464"/>
    <cellStyle name="Moneda 2 8" xfId="465"/>
    <cellStyle name="Moneda 2 9" xfId="466"/>
    <cellStyle name="Moneda 20" xfId="467"/>
    <cellStyle name="Moneda 21" xfId="468"/>
    <cellStyle name="Moneda 22" xfId="469"/>
    <cellStyle name="Moneda 23" xfId="470"/>
    <cellStyle name="Moneda 24" xfId="471"/>
    <cellStyle name="Moneda 25" xfId="472"/>
    <cellStyle name="Moneda 26" xfId="473"/>
    <cellStyle name="Moneda 27" xfId="474"/>
    <cellStyle name="Moneda 28" xfId="475"/>
    <cellStyle name="Moneda 29" xfId="476"/>
    <cellStyle name="Moneda 3" xfId="477"/>
    <cellStyle name="Moneda 3 2" xfId="478"/>
    <cellStyle name="Moneda 3 2 2" xfId="479"/>
    <cellStyle name="Moneda 3 2 2 2" xfId="480"/>
    <cellStyle name="Moneda 3 2 3" xfId="481"/>
    <cellStyle name="Moneda 3 3" xfId="482"/>
    <cellStyle name="Moneda 3 3 2" xfId="483"/>
    <cellStyle name="Moneda 3 4" xfId="484"/>
    <cellStyle name="Moneda 30" xfId="485"/>
    <cellStyle name="Moneda 31" xfId="486"/>
    <cellStyle name="Moneda 32" xfId="487"/>
    <cellStyle name="Moneda 4" xfId="488"/>
    <cellStyle name="Moneda 4 2" xfId="489"/>
    <cellStyle name="Moneda 4 2 2" xfId="490"/>
    <cellStyle name="Moneda 4 2 2 2" xfId="491"/>
    <cellStyle name="Moneda 4 2 3" xfId="492"/>
    <cellStyle name="Moneda 5" xfId="493"/>
    <cellStyle name="Moneda 5 2" xfId="494"/>
    <cellStyle name="Moneda 5 2 2" xfId="495"/>
    <cellStyle name="Moneda 5 3" xfId="496"/>
    <cellStyle name="Moneda 5 3 2" xfId="497"/>
    <cellStyle name="Moneda 6" xfId="498"/>
    <cellStyle name="Moneda 7" xfId="499"/>
    <cellStyle name="Moneda 8" xfId="500"/>
    <cellStyle name="Moneda 9" xfId="501"/>
    <cellStyle name="Neutral 2" xfId="502"/>
    <cellStyle name="Neutral 3" xfId="503"/>
    <cellStyle name="Neutral 4" xfId="504"/>
    <cellStyle name="Normal" xfId="0" builtinId="0"/>
    <cellStyle name="Normal 10" xfId="505"/>
    <cellStyle name="Normal 11" xfId="506"/>
    <cellStyle name="Normal 12" xfId="507"/>
    <cellStyle name="Normal 13" xfId="508"/>
    <cellStyle name="Normal 2" xfId="509"/>
    <cellStyle name="Normal 2 2" xfId="510"/>
    <cellStyle name="Normal 2 2 2" xfId="511"/>
    <cellStyle name="Normal 2 3" xfId="512"/>
    <cellStyle name="Normal 2 4" xfId="513"/>
    <cellStyle name="Normal 2 5" xfId="514"/>
    <cellStyle name="Normal 2 6" xfId="515"/>
    <cellStyle name="Normal 2 7" xfId="516"/>
    <cellStyle name="Normal 3" xfId="517"/>
    <cellStyle name="Normal 4" xfId="518"/>
    <cellStyle name="Normal 5" xfId="519"/>
    <cellStyle name="Normal 5 2" xfId="520"/>
    <cellStyle name="Normal 6" xfId="521"/>
    <cellStyle name="Normal 7" xfId="522"/>
    <cellStyle name="Normal 8" xfId="523"/>
    <cellStyle name="Normal 9" xfId="524"/>
    <cellStyle name="Notas 2" xfId="525"/>
    <cellStyle name="Notas 2 2" xfId="526"/>
    <cellStyle name="Notas 2 3" xfId="527"/>
    <cellStyle name="Notas 2 4" xfId="528"/>
    <cellStyle name="Notas 3" xfId="529"/>
    <cellStyle name="Notas 3 2" xfId="530"/>
    <cellStyle name="Notas 4" xfId="531"/>
    <cellStyle name="Notas 5" xfId="532"/>
    <cellStyle name="Notas 6" xfId="533"/>
    <cellStyle name="Notas 7" xfId="534"/>
    <cellStyle name="Porcentaje" xfId="535" builtinId="5"/>
    <cellStyle name="Porcentaje 2" xfId="536"/>
    <cellStyle name="Porcentaje 3" xfId="537"/>
    <cellStyle name="Porcentaje 3 2" xfId="538"/>
    <cellStyle name="Porcentaje 4" xfId="539"/>
    <cellStyle name="Porcentaje 5" xfId="540"/>
    <cellStyle name="Porcentaje 6" xfId="541"/>
    <cellStyle name="Salida 2" xfId="542"/>
    <cellStyle name="Texto de advertencia 2" xfId="543"/>
    <cellStyle name="Texto de advertencia 3" xfId="544"/>
    <cellStyle name="Texto de advertencia 4" xfId="545"/>
  </cellStyles>
  <dxfs count="154">
    <dxf>
      <font>
        <strike/>
        <color rgb="FFFF0000"/>
      </font>
    </dxf>
    <dxf>
      <font>
        <strike/>
        <color rgb="FFFF0000"/>
      </font>
    </dxf>
    <dxf>
      <font>
        <strike/>
        <color indexed="2"/>
      </font>
      <fill>
        <patternFill patternType="solid">
          <fgColor indexed="51"/>
          <bgColor indexed="51"/>
        </patternFill>
      </fill>
    </dxf>
    <dxf>
      <font>
        <color indexed="20"/>
      </font>
      <fill>
        <patternFill patternType="solid">
          <fgColor indexed="45"/>
          <bgColor indexed="45"/>
        </patternFill>
      </fill>
    </dxf>
    <dxf>
      <font>
        <color indexed="20"/>
      </font>
      <fill>
        <patternFill patternType="solid">
          <fgColor indexed="45"/>
          <bgColor indexed="45"/>
        </patternFill>
      </fill>
    </dxf>
    <dxf>
      <font>
        <color indexed="20"/>
      </font>
      <fill>
        <patternFill patternType="solid">
          <fgColor indexed="45"/>
          <bgColor indexed="45"/>
        </patternFill>
      </fill>
    </dxf>
    <dxf>
      <font>
        <strike/>
      </font>
    </dxf>
    <dxf>
      <font>
        <b val="0"/>
        <i/>
        <strike/>
        <color indexed="2"/>
      </font>
    </dxf>
    <dxf>
      <font>
        <strike/>
      </font>
    </dxf>
    <dxf>
      <font>
        <strike/>
        <color rgb="FFFF0000"/>
      </font>
    </dxf>
    <dxf>
      <font>
        <strike/>
        <color indexed="10"/>
      </font>
    </dxf>
    <dxf>
      <font>
        <strike/>
        <color indexed="10"/>
      </font>
    </dxf>
    <dxf>
      <font>
        <strike/>
        <color rgb="FFFF0000"/>
      </font>
    </dxf>
    <dxf>
      <font>
        <strike/>
        <color rgb="FFFF0000"/>
      </font>
    </dxf>
    <dxf>
      <font>
        <strike/>
        <color indexed="10"/>
      </font>
    </dxf>
    <dxf>
      <font>
        <strike/>
        <color indexed="10"/>
      </font>
    </dxf>
    <dxf>
      <font>
        <strike/>
        <color rgb="FFFF0000"/>
      </font>
    </dxf>
    <dxf>
      <font>
        <strike/>
        <color rgb="FFFF0000"/>
      </font>
    </dxf>
    <dxf>
      <font>
        <strike/>
        <color indexed="10"/>
      </font>
    </dxf>
    <dxf>
      <font>
        <strike/>
        <color indexed="10"/>
      </font>
    </dxf>
    <dxf>
      <font>
        <strike/>
        <color rgb="FFFF0000"/>
      </font>
    </dxf>
    <dxf>
      <font>
        <strike/>
        <color rgb="FFFF0000"/>
      </font>
    </dxf>
    <dxf>
      <font>
        <strike/>
        <color indexed="10"/>
      </font>
    </dxf>
    <dxf>
      <font>
        <strike/>
        <color indexed="10"/>
      </font>
    </dxf>
    <dxf>
      <font>
        <strike/>
        <color rgb="FFFF0000"/>
      </font>
    </dxf>
    <dxf>
      <font>
        <strike/>
        <color rgb="FFFF0000"/>
      </font>
    </dxf>
    <dxf>
      <font>
        <strike/>
        <color indexed="10"/>
      </font>
    </dxf>
    <dxf>
      <font>
        <strike/>
        <color indexed="10"/>
      </font>
    </dxf>
    <dxf>
      <font>
        <strike/>
        <color rgb="FFFF0000"/>
      </font>
    </dxf>
    <dxf>
      <font>
        <strike/>
        <color rgb="FFFF0000"/>
      </font>
    </dxf>
    <dxf>
      <font>
        <strike/>
        <color indexed="10"/>
      </font>
    </dxf>
    <dxf>
      <font>
        <strike/>
        <color indexed="10"/>
      </font>
    </dxf>
    <dxf>
      <font>
        <strike/>
        <color rgb="FFFF0000"/>
      </font>
    </dxf>
    <dxf>
      <font>
        <strike/>
        <color rgb="FFFF0000"/>
      </font>
    </dxf>
    <dxf>
      <font>
        <strike/>
        <color indexed="10"/>
      </font>
    </dxf>
    <dxf>
      <font>
        <strike/>
        <color indexed="10"/>
      </font>
    </dxf>
    <dxf>
      <font>
        <strike/>
        <color rgb="FFFF0000"/>
      </font>
    </dxf>
    <dxf>
      <font>
        <strike/>
        <color rgb="FFFF0000"/>
      </font>
    </dxf>
    <dxf>
      <font>
        <strike/>
        <color indexed="10"/>
      </font>
    </dxf>
    <dxf>
      <font>
        <strike/>
        <color indexed="10"/>
      </font>
    </dxf>
    <dxf>
      <font>
        <strike/>
        <color rgb="FFFF0000"/>
      </font>
    </dxf>
    <dxf>
      <font>
        <strike/>
        <color rgb="FFFF0000"/>
      </font>
    </dxf>
    <dxf>
      <font>
        <strike/>
        <color indexed="10"/>
      </font>
    </dxf>
    <dxf>
      <font>
        <strike/>
        <color indexed="10"/>
      </font>
    </dxf>
    <dxf>
      <font>
        <strike/>
        <color rgb="FFFF0000"/>
      </font>
    </dxf>
    <dxf>
      <font>
        <strike/>
        <color rgb="FFFF0000"/>
      </font>
    </dxf>
    <dxf>
      <font>
        <strike/>
        <color indexed="10"/>
      </font>
    </dxf>
    <dxf>
      <font>
        <strike/>
        <color indexed="1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indexed="1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rgb="FFFF0000"/>
      </font>
    </dxf>
    <dxf>
      <font>
        <strike/>
        <color indexed="10"/>
      </font>
    </dxf>
    <dxf>
      <font>
        <strike/>
        <color indexed="10"/>
      </font>
    </dxf>
    <dxf>
      <font>
        <strike/>
        <color rgb="FFFF0000"/>
      </font>
    </dxf>
    <dxf>
      <font>
        <strike/>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JAHAIRA%20SANTACRUZ/Downloads/MATRIZ%20PAPP-POA-CCA_2024-JULI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ulturaypatrimonio-my.sharepoint.com/personal/mguandinango_culturaypatrimonio_gob_ec/Documents/DPSE%202024/1)%20PLANIFICACI&#211;N%202024/8)%20POA-EOD/5%20Mayo/3)%20MATRIZ%20PAPP-31-MAY-24-CCA-O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2024-resumen"/>
      <sheetName val="verificación-vr"/>
      <sheetName val="verificación-mg-"/>
      <sheetName val="Vale-may"/>
      <sheetName val="Hoja1"/>
      <sheetName val="Matriz POA 2024-TRABAJO"/>
      <sheetName val="Reforma"/>
      <sheetName val="disponibles"/>
      <sheetName val="Constancias POA"/>
      <sheetName val="CP"/>
      <sheetName val="Devengado"/>
      <sheetName val="ITE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LINEA POA</v>
          </cell>
          <cell r="B1" t="str">
            <v>UDAF/CENTRO GESTOR</v>
          </cell>
          <cell r="C1" t="str">
            <v>SUBSECRETARIA / COORDINACIÓN</v>
          </cell>
          <cell r="D1" t="str">
            <v>DIRECCIÓN</v>
          </cell>
          <cell r="E1" t="str">
            <v>NOMBRE PROYECTO</v>
          </cell>
          <cell r="F1" t="str">
            <v>CUP</v>
          </cell>
          <cell r="G1" t="str">
            <v>COMPONENTE DEL PROYECTO (Solo inversión)</v>
          </cell>
          <cell r="H1" t="str">
            <v>TIPO ACTIVIDAD NUEVA / ARRASTRE / PLURIANUAL</v>
          </cell>
          <cell r="I1" t="str">
            <v>ACTIVIDAD POA</v>
          </cell>
          <cell r="J1" t="str">
            <v>CÓDIGO UNIDAD EJECUTORA</v>
          </cell>
          <cell r="K1" t="str">
            <v>PROGRAMA  INSTITUCIONAL (2 DIGITOS)</v>
          </cell>
          <cell r="L1" t="str">
            <v>CÓDIGO PROYECTO (3 DIGITOS)</v>
          </cell>
          <cell r="M1" t="str">
            <v>ACTIVIDAD  (3 DIGITOS)</v>
          </cell>
          <cell r="N1" t="str">
            <v>GRUPO</v>
          </cell>
          <cell r="O1" t="str">
            <v xml:space="preserve">ÍTEM </v>
          </cell>
          <cell r="P1" t="str">
            <v>DESCRIPCIÓN ÍTEM PRESUPUESTARIO</v>
          </cell>
          <cell r="Q1" t="str">
            <v>GEOGRÁFICO (4 DÍGITOS)</v>
          </cell>
          <cell r="R1" t="str">
            <v>FTE. FINANCIAMIENTO (3 DÍGITOS)</v>
          </cell>
          <cell r="S1" t="str">
            <v>ORGANISMO (4 DÍGITOS)</v>
          </cell>
          <cell r="T1" t="str">
            <v>CORRELATIVO (4 DÍGITOS)</v>
          </cell>
          <cell r="U1" t="str">
            <v>MONTO ACTUAL</v>
          </cell>
          <cell r="V1" t="str">
            <v>ENERO DEVENGADO</v>
          </cell>
          <cell r="W1" t="str">
            <v>FEBRERO DEVENGADO</v>
          </cell>
          <cell r="X1" t="str">
            <v>MARZO DEVENGADO</v>
          </cell>
          <cell r="Y1" t="str">
            <v>ABRIL DEVENGADO</v>
          </cell>
          <cell r="Z1" t="str">
            <v>MAYO DEVENGADO</v>
          </cell>
          <cell r="AA1" t="str">
            <v>JUNIO DEVENGADO</v>
          </cell>
          <cell r="AB1" t="str">
            <v>JULIO DEVENGADO</v>
          </cell>
          <cell r="AC1" t="str">
            <v>AGOSTO DEVENGADO</v>
          </cell>
          <cell r="AD1" t="str">
            <v>SEPTIEMBRE DEVENGADO</v>
          </cell>
          <cell r="AE1" t="str">
            <v>OCTUBRE DEVENGADO</v>
          </cell>
          <cell r="AF1" t="str">
            <v>NOVIEMBRE DEVENGADO</v>
          </cell>
          <cell r="AG1" t="str">
            <v>DICIEMBRE DEVENGADO</v>
          </cell>
          <cell r="AH1" t="str">
            <v>PROGRAMADO ACUMULADO</v>
          </cell>
          <cell r="AI1" t="str">
            <v>TOTAL DEVENGADO</v>
          </cell>
        </row>
        <row r="2">
          <cell r="A2">
            <v>452</v>
          </cell>
          <cell r="B2" t="str">
            <v>Corporación Ciudad Alfaro</v>
          </cell>
          <cell r="C2" t="str">
            <v>N/A</v>
          </cell>
          <cell r="D2" t="str">
            <v>N/A</v>
          </cell>
          <cell r="E2" t="str">
            <v>N/A</v>
          </cell>
          <cell r="F2" t="str">
            <v>N/A</v>
          </cell>
          <cell r="G2" t="str">
            <v>N/A</v>
          </cell>
          <cell r="H2" t="str">
            <v>ARRASTRE</v>
          </cell>
          <cell r="I2" t="str">
            <v>Pago Mensual del servicio de Energía Eléctrica de los meses de Noviembre y Diciembre del 2023 del Museo Bahía de Caráquez</v>
          </cell>
          <cell r="J2" t="str">
            <v>0035</v>
          </cell>
          <cell r="K2" t="str">
            <v>80</v>
          </cell>
          <cell r="L2" t="str">
            <v>000</v>
          </cell>
          <cell r="M2" t="str">
            <v>002</v>
          </cell>
          <cell r="N2" t="str">
            <v>53</v>
          </cell>
          <cell r="O2">
            <v>530104</v>
          </cell>
          <cell r="P2" t="str">
            <v>Energía Eléctrica</v>
          </cell>
          <cell r="Q2">
            <v>1314</v>
          </cell>
          <cell r="R2" t="str">
            <v>001</v>
          </cell>
          <cell r="S2" t="str">
            <v>0000</v>
          </cell>
          <cell r="T2" t="str">
            <v>0000</v>
          </cell>
          <cell r="U2">
            <v>1600</v>
          </cell>
          <cell r="V2">
            <v>277.45</v>
          </cell>
          <cell r="W2">
            <v>569.96</v>
          </cell>
          <cell r="AH2">
            <v>1600</v>
          </cell>
          <cell r="AI2">
            <v>847.41000000000008</v>
          </cell>
        </row>
        <row r="3">
          <cell r="A3">
            <v>450</v>
          </cell>
          <cell r="B3" t="str">
            <v>Corporación Ciudad Alfaro</v>
          </cell>
          <cell r="C3" t="str">
            <v>N/A</v>
          </cell>
          <cell r="D3" t="str">
            <v>N/A</v>
          </cell>
          <cell r="E3" t="str">
            <v>N/A</v>
          </cell>
          <cell r="F3" t="str">
            <v>N/A</v>
          </cell>
          <cell r="G3" t="str">
            <v>N/A</v>
          </cell>
          <cell r="H3" t="str">
            <v>ARRASTRE</v>
          </cell>
          <cell r="I3" t="str">
            <v>Pago Mensual del Servicio de Agua Potable de los meses de Noviembre y Diciembre del 2023 del Museo Bahía de Caráquez</v>
          </cell>
          <cell r="J3" t="str">
            <v>0035</v>
          </cell>
          <cell r="K3" t="str">
            <v>80</v>
          </cell>
          <cell r="L3" t="str">
            <v>000</v>
          </cell>
          <cell r="M3" t="str">
            <v>002</v>
          </cell>
          <cell r="N3" t="str">
            <v>53</v>
          </cell>
          <cell r="O3">
            <v>530101</v>
          </cell>
          <cell r="P3" t="str">
            <v>Agua Potable</v>
          </cell>
          <cell r="Q3">
            <v>1314</v>
          </cell>
          <cell r="R3" t="str">
            <v>001</v>
          </cell>
          <cell r="S3" t="str">
            <v>0000</v>
          </cell>
          <cell r="T3" t="str">
            <v>0000</v>
          </cell>
          <cell r="U3">
            <v>80</v>
          </cell>
          <cell r="V3">
            <v>2.75</v>
          </cell>
          <cell r="AH3">
            <v>80</v>
          </cell>
          <cell r="AI3">
            <v>2.75</v>
          </cell>
        </row>
        <row r="4">
          <cell r="A4">
            <v>448</v>
          </cell>
          <cell r="B4" t="str">
            <v>Corporación Ciudad Alfaro</v>
          </cell>
          <cell r="C4" t="str">
            <v>N/A</v>
          </cell>
          <cell r="D4" t="str">
            <v>N/A</v>
          </cell>
          <cell r="E4" t="str">
            <v>N/A</v>
          </cell>
          <cell r="F4" t="str">
            <v>N/A</v>
          </cell>
          <cell r="G4" t="str">
            <v>N/A</v>
          </cell>
          <cell r="H4" t="str">
            <v>ARRASTRE</v>
          </cell>
          <cell r="I4" t="str">
            <v>Pago Mensual del servicio de Alcantarillado de los meses de Noviembre y Diciembre del 2023 del Museo Bahía de Caráquez</v>
          </cell>
          <cell r="J4" t="str">
            <v>0035</v>
          </cell>
          <cell r="K4" t="str">
            <v>80</v>
          </cell>
          <cell r="L4" t="str">
            <v>000</v>
          </cell>
          <cell r="M4" t="str">
            <v>002</v>
          </cell>
          <cell r="N4" t="str">
            <v>53</v>
          </cell>
          <cell r="O4">
            <v>530101</v>
          </cell>
          <cell r="P4" t="str">
            <v>Agua Potable</v>
          </cell>
          <cell r="Q4">
            <v>1314</v>
          </cell>
          <cell r="R4" t="str">
            <v>001</v>
          </cell>
          <cell r="S4" t="str">
            <v>0000</v>
          </cell>
          <cell r="T4" t="str">
            <v>0000</v>
          </cell>
          <cell r="U4">
            <v>40</v>
          </cell>
          <cell r="V4">
            <v>2</v>
          </cell>
          <cell r="AH4">
            <v>40</v>
          </cell>
          <cell r="AI4">
            <v>2</v>
          </cell>
        </row>
        <row r="5">
          <cell r="A5">
            <v>417</v>
          </cell>
          <cell r="B5" t="str">
            <v>Corporación Ciudad Alfaro</v>
          </cell>
          <cell r="C5" t="str">
            <v>N/A</v>
          </cell>
          <cell r="D5" t="str">
            <v>N/A</v>
          </cell>
          <cell r="E5" t="str">
            <v>N/A</v>
          </cell>
          <cell r="F5" t="str">
            <v>N/A</v>
          </cell>
          <cell r="G5" t="str">
            <v>N/A</v>
          </cell>
          <cell r="H5" t="str">
            <v>NUEVA</v>
          </cell>
          <cell r="I5" t="str">
            <v>Décimo Tercer Sueldo</v>
          </cell>
          <cell r="J5" t="str">
            <v>0035</v>
          </cell>
          <cell r="K5" t="str">
            <v>80</v>
          </cell>
          <cell r="L5" t="str">
            <v>000</v>
          </cell>
          <cell r="M5" t="str">
            <v>002</v>
          </cell>
          <cell r="N5" t="str">
            <v>51</v>
          </cell>
          <cell r="O5">
            <v>510203</v>
          </cell>
          <cell r="P5" t="str">
            <v>Decimo Tercer Sueldo</v>
          </cell>
          <cell r="Q5">
            <v>1300</v>
          </cell>
          <cell r="R5" t="str">
            <v>001</v>
          </cell>
          <cell r="S5" t="str">
            <v>0000</v>
          </cell>
          <cell r="T5" t="str">
            <v>0000</v>
          </cell>
          <cell r="U5">
            <v>31901.07</v>
          </cell>
          <cell r="W5">
            <v>1558.86</v>
          </cell>
          <cell r="X5">
            <v>779.43</v>
          </cell>
          <cell r="Y5">
            <v>779.43</v>
          </cell>
          <cell r="Z5">
            <v>779.43</v>
          </cell>
          <cell r="AA5">
            <v>779.43</v>
          </cell>
          <cell r="AH5">
            <v>31901.070000000003</v>
          </cell>
          <cell r="AI5">
            <v>4676.58</v>
          </cell>
        </row>
        <row r="6">
          <cell r="A6">
            <v>418</v>
          </cell>
          <cell r="B6" t="str">
            <v>Corporación Ciudad Alfaro</v>
          </cell>
          <cell r="C6" t="str">
            <v>N/A</v>
          </cell>
          <cell r="D6" t="str">
            <v>N/A</v>
          </cell>
          <cell r="E6" t="str">
            <v>N/A</v>
          </cell>
          <cell r="F6" t="str">
            <v>N/A</v>
          </cell>
          <cell r="G6" t="str">
            <v>N/A</v>
          </cell>
          <cell r="H6" t="str">
            <v>NUEVA</v>
          </cell>
          <cell r="I6" t="str">
            <v>Décimo Cuarto Sueldo</v>
          </cell>
          <cell r="J6" t="str">
            <v>0035</v>
          </cell>
          <cell r="K6" t="str">
            <v>80</v>
          </cell>
          <cell r="L6" t="str">
            <v>000</v>
          </cell>
          <cell r="M6" t="str">
            <v>002</v>
          </cell>
          <cell r="N6" t="str">
            <v>51</v>
          </cell>
          <cell r="O6">
            <v>510204</v>
          </cell>
          <cell r="P6" t="str">
            <v>Decimo Cuarto Sueldo</v>
          </cell>
          <cell r="Q6">
            <v>1300</v>
          </cell>
          <cell r="R6" t="str">
            <v>001</v>
          </cell>
          <cell r="S6" t="str">
            <v>0000</v>
          </cell>
          <cell r="T6" t="str">
            <v>0000</v>
          </cell>
          <cell r="U6">
            <v>16817.650000000001</v>
          </cell>
          <cell r="W6">
            <v>689.94</v>
          </cell>
          <cell r="X6">
            <v>12686.69</v>
          </cell>
          <cell r="Y6">
            <v>344.97</v>
          </cell>
          <cell r="Z6">
            <v>344.97</v>
          </cell>
          <cell r="AA6">
            <v>344.97</v>
          </cell>
          <cell r="AH6">
            <v>16817.649999999998</v>
          </cell>
          <cell r="AI6">
            <v>14411.539999999999</v>
          </cell>
        </row>
        <row r="7">
          <cell r="A7">
            <v>425</v>
          </cell>
          <cell r="B7" t="str">
            <v>Corporación Ciudad Alfaro</v>
          </cell>
          <cell r="C7" t="str">
            <v>N/A</v>
          </cell>
          <cell r="D7" t="str">
            <v>N/A</v>
          </cell>
          <cell r="E7" t="str">
            <v>N/A</v>
          </cell>
          <cell r="F7" t="str">
            <v>N/A</v>
          </cell>
          <cell r="G7" t="str">
            <v>N/A</v>
          </cell>
          <cell r="H7" t="str">
            <v>NUEVA</v>
          </cell>
          <cell r="I7" t="str">
            <v>Fondo de Reserva</v>
          </cell>
          <cell r="J7" t="str">
            <v>0035</v>
          </cell>
          <cell r="K7" t="str">
            <v>80</v>
          </cell>
          <cell r="L7" t="str">
            <v>000</v>
          </cell>
          <cell r="M7" t="str">
            <v>002</v>
          </cell>
          <cell r="N7" t="str">
            <v>51</v>
          </cell>
          <cell r="O7">
            <v>510602</v>
          </cell>
          <cell r="P7" t="str">
            <v>Fondo de Reserva</v>
          </cell>
          <cell r="Q7">
            <v>1300</v>
          </cell>
          <cell r="R7" t="str">
            <v>001</v>
          </cell>
          <cell r="S7" t="str">
            <v>0000</v>
          </cell>
          <cell r="T7" t="str">
            <v>0000</v>
          </cell>
          <cell r="U7">
            <v>28176.35</v>
          </cell>
          <cell r="W7">
            <v>2332.5700000000002</v>
          </cell>
          <cell r="X7">
            <v>2332.5700000000002</v>
          </cell>
          <cell r="Y7">
            <v>2332.5700000000002</v>
          </cell>
          <cell r="Z7">
            <v>2332.5700000000002</v>
          </cell>
          <cell r="AA7">
            <v>2332.5700000000002</v>
          </cell>
          <cell r="AH7">
            <v>28176.35</v>
          </cell>
          <cell r="AI7">
            <v>11662.85</v>
          </cell>
        </row>
        <row r="8">
          <cell r="A8">
            <v>444</v>
          </cell>
          <cell r="B8" t="str">
            <v>Corporación Ciudad Alfaro</v>
          </cell>
          <cell r="C8" t="str">
            <v>N/A</v>
          </cell>
          <cell r="D8" t="str">
            <v>N/A</v>
          </cell>
          <cell r="E8" t="str">
            <v>N/A</v>
          </cell>
          <cell r="F8" t="str">
            <v>N/A</v>
          </cell>
          <cell r="G8" t="str">
            <v>N/A</v>
          </cell>
          <cell r="H8" t="str">
            <v>ARRASTRE</v>
          </cell>
          <cell r="I8" t="str">
            <v>Pago del servicio de energía eléctrica de los meses de Noviembre y Diciembre del 2023 de la Corporación Ciudad Alfaro</v>
          </cell>
          <cell r="J8" t="str">
            <v>0035</v>
          </cell>
          <cell r="K8" t="str">
            <v>80</v>
          </cell>
          <cell r="L8" t="str">
            <v>000</v>
          </cell>
          <cell r="M8" t="str">
            <v>002</v>
          </cell>
          <cell r="N8" t="str">
            <v>53</v>
          </cell>
          <cell r="O8">
            <v>530104</v>
          </cell>
          <cell r="P8" t="str">
            <v>Energía Eléctrica</v>
          </cell>
          <cell r="Q8">
            <v>1309</v>
          </cell>
          <cell r="R8" t="str">
            <v>001</v>
          </cell>
          <cell r="S8" t="str">
            <v>0000</v>
          </cell>
          <cell r="T8" t="str">
            <v>0000</v>
          </cell>
          <cell r="U8">
            <v>2447.1799999999998</v>
          </cell>
          <cell r="W8">
            <v>2447.1800000000003</v>
          </cell>
          <cell r="AH8">
            <v>2447.1799999999998</v>
          </cell>
          <cell r="AI8">
            <v>2447.1800000000003</v>
          </cell>
        </row>
        <row r="9">
          <cell r="A9">
            <v>451</v>
          </cell>
          <cell r="B9" t="str">
            <v>Corporación Ciudad Alfaro</v>
          </cell>
          <cell r="C9" t="str">
            <v>N/A</v>
          </cell>
          <cell r="D9" t="str">
            <v>N/A</v>
          </cell>
          <cell r="E9" t="str">
            <v>N/A</v>
          </cell>
          <cell r="F9" t="str">
            <v>N/A</v>
          </cell>
          <cell r="G9" t="str">
            <v>N/A</v>
          </cell>
          <cell r="H9" t="str">
            <v>NUEVA</v>
          </cell>
          <cell r="I9" t="str">
            <v>Pago Mensual del servicio de Agua Potable del Museo Bahía de Caráquez</v>
          </cell>
          <cell r="J9" t="str">
            <v>0035</v>
          </cell>
          <cell r="K9" t="str">
            <v>80</v>
          </cell>
          <cell r="L9" t="str">
            <v>000</v>
          </cell>
          <cell r="M9" t="str">
            <v>002</v>
          </cell>
          <cell r="N9" t="str">
            <v>53</v>
          </cell>
          <cell r="O9">
            <v>530101</v>
          </cell>
          <cell r="P9" t="str">
            <v>Agua Potable</v>
          </cell>
          <cell r="Q9">
            <v>1314</v>
          </cell>
          <cell r="R9" t="str">
            <v>001</v>
          </cell>
          <cell r="S9" t="str">
            <v>0000</v>
          </cell>
          <cell r="T9" t="str">
            <v>0000</v>
          </cell>
          <cell r="U9">
            <v>360</v>
          </cell>
          <cell r="W9">
            <v>2.35</v>
          </cell>
          <cell r="X9">
            <v>4.1500000000000004</v>
          </cell>
          <cell r="Y9">
            <v>3.75</v>
          </cell>
          <cell r="Z9">
            <v>4.18</v>
          </cell>
          <cell r="AA9">
            <v>3.55</v>
          </cell>
          <cell r="AH9">
            <v>360</v>
          </cell>
          <cell r="AI9">
            <v>17.98</v>
          </cell>
        </row>
        <row r="10">
          <cell r="A10">
            <v>465</v>
          </cell>
          <cell r="B10" t="str">
            <v>Corporación Ciudad Alfaro</v>
          </cell>
          <cell r="C10" t="str">
            <v>N/A</v>
          </cell>
          <cell r="D10" t="str">
            <v>N/A</v>
          </cell>
          <cell r="E10" t="str">
            <v>N/A</v>
          </cell>
          <cell r="F10" t="str">
            <v>N/A</v>
          </cell>
          <cell r="G10" t="str">
            <v>N/A</v>
          </cell>
          <cell r="H10" t="str">
            <v>NUEVA</v>
          </cell>
          <cell r="I10" t="str">
            <v>Pago de tasas y contribuciones a los predios urbanos y cuerpo de bomberos del Museo Portoviejo y Archivo Histórico</v>
          </cell>
          <cell r="J10" t="str">
            <v>0035</v>
          </cell>
          <cell r="K10" t="str">
            <v>80</v>
          </cell>
          <cell r="L10" t="str">
            <v>000</v>
          </cell>
          <cell r="M10" t="str">
            <v>002</v>
          </cell>
          <cell r="N10" t="str">
            <v>57</v>
          </cell>
          <cell r="O10">
            <v>570102</v>
          </cell>
          <cell r="P10" t="str">
            <v>Tasas Generales, Impuestos, Contribuciones, Permisos, Licencias y Patentes.</v>
          </cell>
          <cell r="Q10">
            <v>1301</v>
          </cell>
          <cell r="R10" t="str">
            <v>001</v>
          </cell>
          <cell r="S10" t="str">
            <v>0000</v>
          </cell>
          <cell r="T10" t="str">
            <v>0000</v>
          </cell>
          <cell r="U10">
            <v>1407.92</v>
          </cell>
          <cell r="W10">
            <v>1407.92</v>
          </cell>
          <cell r="AH10">
            <v>1407.92</v>
          </cell>
          <cell r="AI10">
            <v>1407.92</v>
          </cell>
        </row>
        <row r="11">
          <cell r="A11">
            <v>456</v>
          </cell>
          <cell r="B11" t="str">
            <v>Corporación Ciudad Alfaro</v>
          </cell>
          <cell r="C11" t="str">
            <v>N/A</v>
          </cell>
          <cell r="D11" t="str">
            <v>N/A</v>
          </cell>
          <cell r="E11" t="str">
            <v>N/A</v>
          </cell>
          <cell r="F11" t="str">
            <v>N/A</v>
          </cell>
          <cell r="G11" t="str">
            <v>N/A</v>
          </cell>
          <cell r="H11" t="str">
            <v>ARRASTRE</v>
          </cell>
          <cell r="I11" t="str">
            <v>Pago mensual del servicio de energía eléctrica de los meses de Noviembre y Diciembre del 2023 del Museo y Centro Cultural de Manta</v>
          </cell>
          <cell r="J11" t="str">
            <v>0035</v>
          </cell>
          <cell r="K11" t="str">
            <v>80</v>
          </cell>
          <cell r="L11" t="str">
            <v>000</v>
          </cell>
          <cell r="M11" t="str">
            <v>002</v>
          </cell>
          <cell r="N11" t="str">
            <v>53</v>
          </cell>
          <cell r="O11">
            <v>530104</v>
          </cell>
          <cell r="P11" t="str">
            <v>Energía Eléctrica</v>
          </cell>
          <cell r="Q11">
            <v>1308</v>
          </cell>
          <cell r="R11" t="str">
            <v>001</v>
          </cell>
          <cell r="S11" t="str">
            <v>0000</v>
          </cell>
          <cell r="T11" t="str">
            <v>0000</v>
          </cell>
          <cell r="U11">
            <v>2941.33</v>
          </cell>
          <cell r="W11">
            <v>1186.46</v>
          </cell>
          <cell r="AH11">
            <v>2941.33</v>
          </cell>
          <cell r="AI11">
            <v>1186.46</v>
          </cell>
        </row>
        <row r="12">
          <cell r="A12">
            <v>447</v>
          </cell>
          <cell r="B12" t="str">
            <v>Corporación Ciudad Alfaro</v>
          </cell>
          <cell r="C12" t="str">
            <v>N/A</v>
          </cell>
          <cell r="D12" t="str">
            <v>N/A</v>
          </cell>
          <cell r="E12" t="str">
            <v>N/A</v>
          </cell>
          <cell r="F12" t="str">
            <v>N/A</v>
          </cell>
          <cell r="G12" t="str">
            <v>N/A</v>
          </cell>
          <cell r="H12" t="str">
            <v>ARRASTRE</v>
          </cell>
          <cell r="I12" t="str">
            <v>Pago del servicio de energía eléctrica de los meses de Noviembre y Diciembre del 2023 del Museo Portoviejo y Archivo Histórico</v>
          </cell>
          <cell r="J12" t="str">
            <v>0035</v>
          </cell>
          <cell r="K12" t="str">
            <v>80</v>
          </cell>
          <cell r="L12" t="str">
            <v>000</v>
          </cell>
          <cell r="M12" t="str">
            <v>002</v>
          </cell>
          <cell r="N12" t="str">
            <v>53</v>
          </cell>
          <cell r="O12">
            <v>530104</v>
          </cell>
          <cell r="P12" t="str">
            <v>Energía Eléctrica</v>
          </cell>
          <cell r="Q12">
            <v>1301</v>
          </cell>
          <cell r="R12" t="str">
            <v>001</v>
          </cell>
          <cell r="S12" t="str">
            <v>0000</v>
          </cell>
          <cell r="T12" t="str">
            <v>0000</v>
          </cell>
          <cell r="U12">
            <v>1579.49</v>
          </cell>
          <cell r="W12">
            <v>1579.49</v>
          </cell>
          <cell r="AH12">
            <v>1579.49</v>
          </cell>
          <cell r="AI12">
            <v>1579.49</v>
          </cell>
        </row>
        <row r="13">
          <cell r="A13">
            <v>455</v>
          </cell>
          <cell r="B13" t="str">
            <v>Corporación Ciudad Alfaro</v>
          </cell>
          <cell r="C13" t="str">
            <v>N/A</v>
          </cell>
          <cell r="D13" t="str">
            <v>N/A</v>
          </cell>
          <cell r="E13" t="str">
            <v>N/A</v>
          </cell>
          <cell r="F13" t="str">
            <v>N/A</v>
          </cell>
          <cell r="G13" t="str">
            <v>N/A</v>
          </cell>
          <cell r="H13" t="str">
            <v>NUEVA</v>
          </cell>
          <cell r="I13" t="str">
            <v>Pago Mensual del servicio de Agua Potable del Museo Centro Cultural de Manta</v>
          </cell>
          <cell r="J13" t="str">
            <v>0035</v>
          </cell>
          <cell r="K13" t="str">
            <v>80</v>
          </cell>
          <cell r="L13" t="str">
            <v>000</v>
          </cell>
          <cell r="M13" t="str">
            <v>002</v>
          </cell>
          <cell r="N13" t="str">
            <v>53</v>
          </cell>
          <cell r="O13">
            <v>530101</v>
          </cell>
          <cell r="P13" t="str">
            <v>Agua Potable</v>
          </cell>
          <cell r="Q13">
            <v>1308</v>
          </cell>
          <cell r="R13" t="str">
            <v>001</v>
          </cell>
          <cell r="S13" t="str">
            <v>0000</v>
          </cell>
          <cell r="T13" t="str">
            <v>0000</v>
          </cell>
          <cell r="U13">
            <v>135</v>
          </cell>
          <cell r="W13">
            <v>29.619999999999997</v>
          </cell>
          <cell r="X13">
            <v>14.7</v>
          </cell>
          <cell r="AA13">
            <v>14.85</v>
          </cell>
          <cell r="AH13">
            <v>135</v>
          </cell>
          <cell r="AI13">
            <v>59.169999999999995</v>
          </cell>
        </row>
        <row r="14">
          <cell r="A14">
            <v>461</v>
          </cell>
          <cell r="B14" t="str">
            <v>Corporación Ciudad Alfaro</v>
          </cell>
          <cell r="C14" t="str">
            <v>N/A</v>
          </cell>
          <cell r="D14" t="str">
            <v>N/A</v>
          </cell>
          <cell r="E14" t="str">
            <v>N/A</v>
          </cell>
          <cell r="F14" t="str">
            <v>N/A</v>
          </cell>
          <cell r="G14" t="str">
            <v>N/A</v>
          </cell>
          <cell r="H14" t="str">
            <v>NUEVA</v>
          </cell>
          <cell r="I14" t="str">
            <v>Pago de contribución especial por mejoramiento vial rural de los vehículos de la Corporación Ciudad Alfaro</v>
          </cell>
          <cell r="J14" t="str">
            <v>0035</v>
          </cell>
          <cell r="K14" t="str">
            <v>80</v>
          </cell>
          <cell r="L14" t="str">
            <v>000</v>
          </cell>
          <cell r="M14" t="str">
            <v>002</v>
          </cell>
          <cell r="N14" t="str">
            <v>57</v>
          </cell>
          <cell r="O14">
            <v>570102</v>
          </cell>
          <cell r="P14" t="str">
            <v>Tasas Generales, Impuestos, Contribuciones, Permisos, Licencias y Patentes.</v>
          </cell>
          <cell r="Q14">
            <v>1309</v>
          </cell>
          <cell r="R14" t="str">
            <v>001</v>
          </cell>
          <cell r="S14" t="str">
            <v>0000</v>
          </cell>
          <cell r="T14" t="str">
            <v>0000</v>
          </cell>
          <cell r="U14">
            <v>65.16</v>
          </cell>
          <cell r="W14">
            <v>65.16</v>
          </cell>
          <cell r="AH14">
            <v>65.16</v>
          </cell>
          <cell r="AI14">
            <v>65.16</v>
          </cell>
        </row>
        <row r="15">
          <cell r="A15">
            <v>434</v>
          </cell>
          <cell r="B15" t="str">
            <v>Corporación Ciudad Alfaro</v>
          </cell>
          <cell r="C15" t="str">
            <v>N/A</v>
          </cell>
          <cell r="D15" t="str">
            <v>N/A</v>
          </cell>
          <cell r="E15" t="str">
            <v>N/A</v>
          </cell>
          <cell r="F15" t="str">
            <v>N/A</v>
          </cell>
          <cell r="G15" t="str">
            <v>N/A</v>
          </cell>
          <cell r="H15" t="str">
            <v>ARRASTRE</v>
          </cell>
          <cell r="I15" t="str">
            <v>Pago de expensas comunales del mes de Diciembre del 2023 de las instalaciones del Museo Portoviejo y Archivo Histórico</v>
          </cell>
          <cell r="J15" t="str">
            <v>0035</v>
          </cell>
          <cell r="K15" t="str">
            <v>80</v>
          </cell>
          <cell r="L15" t="str">
            <v>000</v>
          </cell>
          <cell r="M15" t="str">
            <v>002</v>
          </cell>
          <cell r="N15" t="str">
            <v>53</v>
          </cell>
          <cell r="O15">
            <v>530402</v>
          </cell>
          <cell r="P15" t="str">
            <v>Edificios, Locales, Residencias y Cableado Estructurado (Instalación, Mantenimiento y Reparación)</v>
          </cell>
          <cell r="Q15">
            <v>1301</v>
          </cell>
          <cell r="R15" t="str">
            <v>001</v>
          </cell>
          <cell r="S15" t="str">
            <v>0000</v>
          </cell>
          <cell r="T15" t="str">
            <v>0000</v>
          </cell>
          <cell r="U15">
            <v>6624</v>
          </cell>
          <cell r="W15">
            <v>6624</v>
          </cell>
          <cell r="AH15">
            <v>6624</v>
          </cell>
          <cell r="AI15">
            <v>6624</v>
          </cell>
        </row>
        <row r="16">
          <cell r="A16">
            <v>780</v>
          </cell>
          <cell r="B16" t="str">
            <v>Corporación Ciudad Alfaro</v>
          </cell>
          <cell r="C16" t="str">
            <v>N/A</v>
          </cell>
          <cell r="D16" t="str">
            <v>N/A</v>
          </cell>
          <cell r="E16" t="str">
            <v>N/A</v>
          </cell>
          <cell r="F16" t="str">
            <v>N/A</v>
          </cell>
          <cell r="G16" t="str">
            <v>N/A</v>
          </cell>
          <cell r="H16" t="str">
            <v>NUEVA</v>
          </cell>
          <cell r="I16" t="str">
            <v xml:space="preserve">Pago de impuesto predial 2024 del Museo Centro Cultural Manta </v>
          </cell>
          <cell r="J16" t="str">
            <v>0035</v>
          </cell>
          <cell r="K16" t="str">
            <v>80</v>
          </cell>
          <cell r="L16" t="str">
            <v>000</v>
          </cell>
          <cell r="M16" t="str">
            <v>002</v>
          </cell>
          <cell r="N16" t="str">
            <v>57</v>
          </cell>
          <cell r="O16">
            <v>570102</v>
          </cell>
          <cell r="P16" t="str">
            <v>Tasas Generales, Impuestos, Contribuciones, Permisos, Licencias y Patentes.</v>
          </cell>
          <cell r="Q16">
            <v>1308</v>
          </cell>
          <cell r="R16" t="str">
            <v>001</v>
          </cell>
          <cell r="S16" t="str">
            <v>0000</v>
          </cell>
          <cell r="T16" t="str">
            <v>0000</v>
          </cell>
          <cell r="U16">
            <v>6283.11</v>
          </cell>
          <cell r="W16">
            <v>6283.11</v>
          </cell>
          <cell r="AH16">
            <v>6283.11</v>
          </cell>
          <cell r="AI16">
            <v>6283.11</v>
          </cell>
        </row>
        <row r="17">
          <cell r="A17">
            <v>449</v>
          </cell>
          <cell r="B17" t="str">
            <v>Corporación Ciudad Alfaro</v>
          </cell>
          <cell r="C17" t="str">
            <v>N/A</v>
          </cell>
          <cell r="D17" t="str">
            <v>N/A</v>
          </cell>
          <cell r="E17" t="str">
            <v>N/A</v>
          </cell>
          <cell r="F17" t="str">
            <v>N/A</v>
          </cell>
          <cell r="G17" t="str">
            <v>N/A</v>
          </cell>
          <cell r="H17" t="str">
            <v>NUEVA</v>
          </cell>
          <cell r="I17" t="str">
            <v>Pago Mensual del servicio de Alcantarillado Bahía de Caráquez</v>
          </cell>
          <cell r="J17" t="str">
            <v>0035</v>
          </cell>
          <cell r="K17" t="str">
            <v>80</v>
          </cell>
          <cell r="L17" t="str">
            <v>000</v>
          </cell>
          <cell r="M17" t="str">
            <v>002</v>
          </cell>
          <cell r="N17" t="str">
            <v>53</v>
          </cell>
          <cell r="O17">
            <v>530101</v>
          </cell>
          <cell r="P17" t="str">
            <v>Agua Potable</v>
          </cell>
          <cell r="Q17">
            <v>1314</v>
          </cell>
          <cell r="R17" t="str">
            <v>001</v>
          </cell>
          <cell r="S17" t="str">
            <v>0000</v>
          </cell>
          <cell r="T17" t="str">
            <v>0000</v>
          </cell>
          <cell r="U17">
            <v>180</v>
          </cell>
          <cell r="W17">
            <v>2</v>
          </cell>
          <cell r="X17">
            <v>2</v>
          </cell>
          <cell r="Y17">
            <v>2</v>
          </cell>
          <cell r="Z17">
            <v>2</v>
          </cell>
          <cell r="AA17">
            <v>2</v>
          </cell>
          <cell r="AH17">
            <v>180</v>
          </cell>
          <cell r="AI17">
            <v>10</v>
          </cell>
        </row>
        <row r="18">
          <cell r="A18">
            <v>462</v>
          </cell>
          <cell r="B18" t="str">
            <v>Corporación Ciudad Alfaro</v>
          </cell>
          <cell r="C18" t="str">
            <v>N/A</v>
          </cell>
          <cell r="D18" t="str">
            <v>N/A</v>
          </cell>
          <cell r="E18" t="str">
            <v>N/A</v>
          </cell>
          <cell r="F18" t="str">
            <v>N/A</v>
          </cell>
          <cell r="G18" t="str">
            <v>N/A</v>
          </cell>
          <cell r="H18" t="str">
            <v>NUEVA</v>
          </cell>
          <cell r="I18" t="str">
            <v>Pago de matriculación 2024 de los vehículos de la Corporación Ciudad Alfaro y sus sedes</v>
          </cell>
          <cell r="J18" t="str">
            <v>0035</v>
          </cell>
          <cell r="K18" t="str">
            <v>80</v>
          </cell>
          <cell r="L18" t="str">
            <v>000</v>
          </cell>
          <cell r="M18" t="str">
            <v>002</v>
          </cell>
          <cell r="N18" t="str">
            <v>57</v>
          </cell>
          <cell r="O18">
            <v>570102</v>
          </cell>
          <cell r="P18" t="str">
            <v>Tasas Generales, Impuestos, Contribuciones, Permisos, Licencias y Patentes.</v>
          </cell>
          <cell r="Q18">
            <v>1309</v>
          </cell>
          <cell r="R18" t="str">
            <v>001</v>
          </cell>
          <cell r="S18" t="str">
            <v>0000</v>
          </cell>
          <cell r="T18" t="str">
            <v>0000</v>
          </cell>
          <cell r="U18">
            <v>622.08000000000004</v>
          </cell>
          <cell r="W18">
            <v>622.08000000000004</v>
          </cell>
          <cell r="AH18">
            <v>622.08000000000004</v>
          </cell>
          <cell r="AI18">
            <v>622.08000000000004</v>
          </cell>
        </row>
        <row r="19">
          <cell r="A19">
            <v>436</v>
          </cell>
          <cell r="B19" t="str">
            <v>Corporación Ciudad Alfaro</v>
          </cell>
          <cell r="C19" t="str">
            <v>N/A</v>
          </cell>
          <cell r="D19" t="str">
            <v>N/A</v>
          </cell>
          <cell r="E19" t="str">
            <v>N/A</v>
          </cell>
          <cell r="F19" t="str">
            <v>N/A</v>
          </cell>
          <cell r="G19" t="str">
            <v>N/A</v>
          </cell>
          <cell r="H19" t="str">
            <v>PLURIANUAL 2023-2024</v>
          </cell>
          <cell r="I19" t="str">
            <v>Pago del Servicio de aseo y Limpieza del Museo Bahía de Caráquez por el período 2023-2024</v>
          </cell>
          <cell r="J19" t="str">
            <v>0035</v>
          </cell>
          <cell r="K19" t="str">
            <v>80</v>
          </cell>
          <cell r="L19" t="str">
            <v>000</v>
          </cell>
          <cell r="M19" t="str">
            <v>002</v>
          </cell>
          <cell r="N19" t="str">
            <v>53</v>
          </cell>
          <cell r="O19">
            <v>530209</v>
          </cell>
          <cell r="P19" t="str">
            <v>Servicios de Aseo, Lavado de Vestimenta de Trabajo, Fumigación, Desinfección,  Limpieza de Instalaciones, manejo
de desechos contaminados, recuperación y clasificación de materiales reciclables.</v>
          </cell>
          <cell r="Q19">
            <v>1314</v>
          </cell>
          <cell r="R19" t="str">
            <v>001</v>
          </cell>
          <cell r="S19" t="str">
            <v>0000</v>
          </cell>
          <cell r="T19" t="str">
            <v>0000</v>
          </cell>
          <cell r="U19">
            <v>22446</v>
          </cell>
          <cell r="W19">
            <v>4644</v>
          </cell>
          <cell r="X19">
            <v>2322</v>
          </cell>
          <cell r="Y19">
            <v>2322</v>
          </cell>
          <cell r="Z19">
            <v>2322</v>
          </cell>
          <cell r="AA19">
            <v>2322</v>
          </cell>
          <cell r="AH19">
            <v>22446</v>
          </cell>
          <cell r="AI19">
            <v>13932</v>
          </cell>
        </row>
        <row r="20">
          <cell r="A20">
            <v>435</v>
          </cell>
          <cell r="B20" t="str">
            <v>Corporación Ciudad Alfaro</v>
          </cell>
          <cell r="C20" t="str">
            <v>N/A</v>
          </cell>
          <cell r="D20" t="str">
            <v>N/A</v>
          </cell>
          <cell r="E20" t="str">
            <v>N/A</v>
          </cell>
          <cell r="F20" t="str">
            <v>N/A</v>
          </cell>
          <cell r="G20" t="str">
            <v>N/A</v>
          </cell>
          <cell r="H20" t="str">
            <v>PLURIANUAL 2023-2024</v>
          </cell>
          <cell r="I20" t="str">
            <v>Pago del servicio de aseo y limpieza del Museo Centro Cultural Manta por el período 2023-2024</v>
          </cell>
          <cell r="J20" t="str">
            <v>0035</v>
          </cell>
          <cell r="K20" t="str">
            <v>80</v>
          </cell>
          <cell r="L20" t="str">
            <v>000</v>
          </cell>
          <cell r="M20" t="str">
            <v>002</v>
          </cell>
          <cell r="N20" t="str">
            <v>53</v>
          </cell>
          <cell r="O20">
            <v>530209</v>
          </cell>
          <cell r="P20" t="str">
            <v>Servicios de Aseo, Lavado de Vestimenta de Trabajo, Fumigación, Desinfección,  Limpieza de Instalaciones, manejo
de desechos contaminados, recuperación y clasificación de materiales reciclables.</v>
          </cell>
          <cell r="Q20">
            <v>1308</v>
          </cell>
          <cell r="R20" t="str">
            <v>001</v>
          </cell>
          <cell r="S20" t="str">
            <v>0000</v>
          </cell>
          <cell r="T20" t="str">
            <v>0000</v>
          </cell>
          <cell r="U20">
            <v>22446</v>
          </cell>
          <cell r="W20">
            <v>4644</v>
          </cell>
          <cell r="X20">
            <v>2322</v>
          </cell>
          <cell r="Y20">
            <v>2322</v>
          </cell>
          <cell r="AA20">
            <v>4644</v>
          </cell>
          <cell r="AH20">
            <v>22446</v>
          </cell>
          <cell r="AI20">
            <v>13932</v>
          </cell>
        </row>
        <row r="21">
          <cell r="A21">
            <v>438</v>
          </cell>
          <cell r="B21" t="str">
            <v>Corporación Ciudad Alfaro</v>
          </cell>
          <cell r="C21" t="str">
            <v>N/A</v>
          </cell>
          <cell r="D21" t="str">
            <v>N/A</v>
          </cell>
          <cell r="E21" t="str">
            <v>N/A</v>
          </cell>
          <cell r="F21" t="str">
            <v>N/A</v>
          </cell>
          <cell r="G21" t="str">
            <v>N/A</v>
          </cell>
          <cell r="H21" t="str">
            <v>PLURIANUAL 2023-2024</v>
          </cell>
          <cell r="I21" t="str">
            <v>Pago del Servicio de aseo y Limpieza de la Corporación Ciudad Alfaro</v>
          </cell>
          <cell r="J21" t="str">
            <v>0035</v>
          </cell>
          <cell r="K21" t="str">
            <v>80</v>
          </cell>
          <cell r="L21" t="str">
            <v>000</v>
          </cell>
          <cell r="M21" t="str">
            <v>002</v>
          </cell>
          <cell r="N21" t="str">
            <v>53</v>
          </cell>
          <cell r="O21">
            <v>530209</v>
          </cell>
          <cell r="P21" t="str">
            <v>Servicios de Aseo, Lavado de Vestimenta de Trabajo, Fumigación, Desinfección,  Limpieza de Instalaciones, manejo
de desechos contaminados, recuperación y clasificación de materiales reciclables.</v>
          </cell>
          <cell r="Q21">
            <v>1309</v>
          </cell>
          <cell r="R21" t="str">
            <v>001</v>
          </cell>
          <cell r="S21" t="str">
            <v>0000</v>
          </cell>
          <cell r="T21" t="str">
            <v>0000</v>
          </cell>
          <cell r="U21">
            <v>22523.4</v>
          </cell>
          <cell r="W21">
            <v>4644</v>
          </cell>
          <cell r="X21">
            <v>2322</v>
          </cell>
          <cell r="Z21">
            <v>4644</v>
          </cell>
          <cell r="AH21">
            <v>22523.4</v>
          </cell>
          <cell r="AI21">
            <v>11610</v>
          </cell>
        </row>
        <row r="22">
          <cell r="A22">
            <v>440</v>
          </cell>
          <cell r="B22" t="str">
            <v>Corporación Ciudad Alfaro</v>
          </cell>
          <cell r="C22" t="str">
            <v>N/A</v>
          </cell>
          <cell r="D22" t="str">
            <v>N/A</v>
          </cell>
          <cell r="E22" t="str">
            <v>N/A</v>
          </cell>
          <cell r="F22" t="str">
            <v>N/A</v>
          </cell>
          <cell r="G22" t="str">
            <v>N/A</v>
          </cell>
          <cell r="H22" t="str">
            <v>PLURIANUAL 2023-2024</v>
          </cell>
          <cell r="I22" t="str">
            <v>Pago del servicio de seguridad y vigilancia de la Corporación Alfaro y sus Sedes</v>
          </cell>
          <cell r="J22" t="str">
            <v>0035</v>
          </cell>
          <cell r="K22" t="str">
            <v>80</v>
          </cell>
          <cell r="L22" t="str">
            <v>000</v>
          </cell>
          <cell r="M22" t="str">
            <v>002</v>
          </cell>
          <cell r="N22" t="str">
            <v>53</v>
          </cell>
          <cell r="O22">
            <v>530208</v>
          </cell>
          <cell r="P22" t="str">
            <v>Servicio de Seguridad y Vigilancia</v>
          </cell>
          <cell r="Q22">
            <v>1309</v>
          </cell>
          <cell r="R22" t="str">
            <v>001</v>
          </cell>
          <cell r="S22" t="str">
            <v>0000</v>
          </cell>
          <cell r="T22" t="str">
            <v>0000</v>
          </cell>
          <cell r="U22">
            <v>178957</v>
          </cell>
          <cell r="W22">
            <v>30128.48</v>
          </cell>
          <cell r="X22">
            <v>15064.24</v>
          </cell>
          <cell r="Y22">
            <v>15064.24</v>
          </cell>
          <cell r="AA22">
            <v>15064.24</v>
          </cell>
          <cell r="AH22">
            <v>178957.00000000003</v>
          </cell>
          <cell r="AI22">
            <v>75321.2</v>
          </cell>
        </row>
        <row r="23">
          <cell r="A23">
            <v>419</v>
          </cell>
          <cell r="B23" t="str">
            <v>Corporación Ciudad Alfaro</v>
          </cell>
          <cell r="C23" t="str">
            <v>N/A</v>
          </cell>
          <cell r="D23" t="str">
            <v>N/A</v>
          </cell>
          <cell r="E23" t="str">
            <v>N/A</v>
          </cell>
          <cell r="F23" t="str">
            <v>N/A</v>
          </cell>
          <cell r="G23" t="str">
            <v>N/A</v>
          </cell>
          <cell r="H23" t="str">
            <v>NUEVA</v>
          </cell>
          <cell r="I23" t="str">
            <v>Compensación por Transporte</v>
          </cell>
          <cell r="J23" t="str">
            <v>0035</v>
          </cell>
          <cell r="K23" t="str">
            <v>80</v>
          </cell>
          <cell r="L23" t="str">
            <v>000</v>
          </cell>
          <cell r="M23" t="str">
            <v>002</v>
          </cell>
          <cell r="N23" t="str">
            <v>51</v>
          </cell>
          <cell r="O23">
            <v>510304</v>
          </cell>
          <cell r="P23" t="str">
            <v>Compensación por Transporte</v>
          </cell>
          <cell r="Q23">
            <v>1300</v>
          </cell>
          <cell r="R23" t="str">
            <v>001</v>
          </cell>
          <cell r="S23" t="str">
            <v>0000</v>
          </cell>
          <cell r="T23" t="str">
            <v>0000</v>
          </cell>
          <cell r="U23">
            <v>1220</v>
          </cell>
          <cell r="W23">
            <v>185</v>
          </cell>
          <cell r="X23">
            <v>92</v>
          </cell>
          <cell r="Y23">
            <v>90</v>
          </cell>
          <cell r="Z23">
            <v>80</v>
          </cell>
          <cell r="AA23">
            <v>96.5</v>
          </cell>
          <cell r="AH23">
            <v>1220</v>
          </cell>
          <cell r="AI23">
            <v>543.5</v>
          </cell>
        </row>
        <row r="24">
          <cell r="A24">
            <v>420</v>
          </cell>
          <cell r="B24" t="str">
            <v>Corporación Ciudad Alfaro</v>
          </cell>
          <cell r="C24" t="str">
            <v>N/A</v>
          </cell>
          <cell r="D24" t="str">
            <v>N/A</v>
          </cell>
          <cell r="E24" t="str">
            <v>N/A</v>
          </cell>
          <cell r="F24" t="str">
            <v>N/A</v>
          </cell>
          <cell r="G24" t="str">
            <v>N/A</v>
          </cell>
          <cell r="H24" t="str">
            <v>NUEVA</v>
          </cell>
          <cell r="I24" t="str">
            <v>Alimentación</v>
          </cell>
          <cell r="J24" t="str">
            <v>0035</v>
          </cell>
          <cell r="K24" t="str">
            <v>80</v>
          </cell>
          <cell r="L24" t="str">
            <v>000</v>
          </cell>
          <cell r="M24" t="str">
            <v>002</v>
          </cell>
          <cell r="N24" t="str">
            <v>51</v>
          </cell>
          <cell r="O24">
            <v>510306</v>
          </cell>
          <cell r="P24" t="str">
            <v>Alimentación</v>
          </cell>
          <cell r="Q24">
            <v>1300</v>
          </cell>
          <cell r="R24" t="str">
            <v>001</v>
          </cell>
          <cell r="S24" t="str">
            <v>0000</v>
          </cell>
          <cell r="T24" t="str">
            <v>0000</v>
          </cell>
          <cell r="U24">
            <v>8640</v>
          </cell>
          <cell r="W24">
            <v>1295</v>
          </cell>
          <cell r="X24">
            <v>644</v>
          </cell>
          <cell r="Y24">
            <v>630</v>
          </cell>
          <cell r="Z24">
            <v>560</v>
          </cell>
          <cell r="AA24">
            <v>675.5</v>
          </cell>
          <cell r="AH24">
            <v>8640</v>
          </cell>
          <cell r="AI24">
            <v>3804.5</v>
          </cell>
        </row>
        <row r="25">
          <cell r="A25">
            <v>421</v>
          </cell>
          <cell r="B25" t="str">
            <v>Corporación Ciudad Alfaro</v>
          </cell>
          <cell r="C25" t="str">
            <v>N/A</v>
          </cell>
          <cell r="D25" t="str">
            <v>N/A</v>
          </cell>
          <cell r="E25" t="str">
            <v>N/A</v>
          </cell>
          <cell r="F25" t="str">
            <v>N/A</v>
          </cell>
          <cell r="G25" t="str">
            <v>N/A</v>
          </cell>
          <cell r="H25" t="str">
            <v>NUEVA</v>
          </cell>
          <cell r="I25" t="str">
            <v>Por Cargas Familiares</v>
          </cell>
          <cell r="J25" t="str">
            <v>0035</v>
          </cell>
          <cell r="K25" t="str">
            <v>80</v>
          </cell>
          <cell r="L25" t="str">
            <v>000</v>
          </cell>
          <cell r="M25" t="str">
            <v>002</v>
          </cell>
          <cell r="N25" t="str">
            <v>51</v>
          </cell>
          <cell r="O25">
            <v>510401</v>
          </cell>
          <cell r="P25" t="str">
            <v>Por Cargas Familiares</v>
          </cell>
          <cell r="Q25">
            <v>1300</v>
          </cell>
          <cell r="R25" t="str">
            <v>001</v>
          </cell>
          <cell r="S25" t="str">
            <v>0000</v>
          </cell>
          <cell r="T25" t="str">
            <v>0000</v>
          </cell>
          <cell r="U25">
            <v>393.12</v>
          </cell>
          <cell r="W25">
            <v>67.259999999999991</v>
          </cell>
          <cell r="X25">
            <v>31.86</v>
          </cell>
          <cell r="Y25">
            <v>31.86</v>
          </cell>
          <cell r="Z25">
            <v>31.86</v>
          </cell>
          <cell r="AA25">
            <v>31.86</v>
          </cell>
          <cell r="AH25">
            <v>393.12000000000012</v>
          </cell>
          <cell r="AI25">
            <v>194.7</v>
          </cell>
        </row>
        <row r="26">
          <cell r="A26">
            <v>422</v>
          </cell>
          <cell r="B26" t="str">
            <v>Corporación Ciudad Alfaro</v>
          </cell>
          <cell r="C26" t="str">
            <v>N/A</v>
          </cell>
          <cell r="D26" t="str">
            <v>N/A</v>
          </cell>
          <cell r="E26" t="str">
            <v>N/A</v>
          </cell>
          <cell r="F26" t="str">
            <v>N/A</v>
          </cell>
          <cell r="G26" t="str">
            <v>N/A</v>
          </cell>
          <cell r="H26" t="str">
            <v>NUEVA</v>
          </cell>
          <cell r="I26" t="str">
            <v>Subsidio de Antigüedad</v>
          </cell>
          <cell r="J26" t="str">
            <v>0035</v>
          </cell>
          <cell r="K26" t="str">
            <v>80</v>
          </cell>
          <cell r="L26" t="str">
            <v>000</v>
          </cell>
          <cell r="M26" t="str">
            <v>002</v>
          </cell>
          <cell r="N26" t="str">
            <v>51</v>
          </cell>
          <cell r="O26">
            <v>510408</v>
          </cell>
          <cell r="P26" t="str">
            <v>Subsidio de Antigüedad</v>
          </cell>
          <cell r="Q26">
            <v>1300</v>
          </cell>
          <cell r="R26" t="str">
            <v>001</v>
          </cell>
          <cell r="S26" t="str">
            <v>0000</v>
          </cell>
          <cell r="T26" t="str">
            <v>0000</v>
          </cell>
          <cell r="U26">
            <v>510</v>
          </cell>
          <cell r="W26">
            <v>63.09</v>
          </cell>
          <cell r="X26">
            <v>34.380000000000003</v>
          </cell>
          <cell r="Y26">
            <v>34.380000000000003</v>
          </cell>
          <cell r="Z26">
            <v>34.380000000000003</v>
          </cell>
          <cell r="AA26">
            <v>34.380000000000003</v>
          </cell>
          <cell r="AH26">
            <v>510.00000000000011</v>
          </cell>
          <cell r="AI26">
            <v>200.60999999999999</v>
          </cell>
        </row>
        <row r="27">
          <cell r="A27">
            <v>415</v>
          </cell>
          <cell r="B27" t="str">
            <v>Corporación Ciudad Alfaro</v>
          </cell>
          <cell r="C27" t="str">
            <v>N/A</v>
          </cell>
          <cell r="D27" t="str">
            <v>N/A</v>
          </cell>
          <cell r="E27" t="str">
            <v>N/A</v>
          </cell>
          <cell r="F27" t="str">
            <v>N/A</v>
          </cell>
          <cell r="G27" t="str">
            <v>N/A</v>
          </cell>
          <cell r="H27" t="str">
            <v>NUEVA</v>
          </cell>
          <cell r="I27" t="str">
            <v>Remuneraciones Unificadas</v>
          </cell>
          <cell r="J27" t="str">
            <v>0035</v>
          </cell>
          <cell r="K27" t="str">
            <v>80</v>
          </cell>
          <cell r="L27" t="str">
            <v>000</v>
          </cell>
          <cell r="M27" t="str">
            <v>002</v>
          </cell>
          <cell r="N27" t="str">
            <v>51</v>
          </cell>
          <cell r="O27">
            <v>510105</v>
          </cell>
          <cell r="P27" t="str">
            <v>Remuneraciones Unificadas</v>
          </cell>
          <cell r="Q27">
            <v>1300</v>
          </cell>
          <cell r="R27" t="str">
            <v>001</v>
          </cell>
          <cell r="S27" t="str">
            <v>0000</v>
          </cell>
          <cell r="T27" t="str">
            <v>0000</v>
          </cell>
          <cell r="U27">
            <v>280176.76999999996</v>
          </cell>
          <cell r="V27">
            <v>22767</v>
          </cell>
          <cell r="W27">
            <v>22767</v>
          </cell>
          <cell r="X27">
            <v>22767</v>
          </cell>
          <cell r="Y27">
            <v>22767</v>
          </cell>
          <cell r="Z27">
            <v>22767</v>
          </cell>
          <cell r="AA27">
            <v>22767</v>
          </cell>
          <cell r="AH27">
            <v>280176.7699999999</v>
          </cell>
          <cell r="AI27">
            <v>136602</v>
          </cell>
        </row>
        <row r="28">
          <cell r="A28">
            <v>416</v>
          </cell>
          <cell r="B28" t="str">
            <v>Corporación Ciudad Alfaro</v>
          </cell>
          <cell r="C28" t="str">
            <v>N/A</v>
          </cell>
          <cell r="D28" t="str">
            <v>N/A</v>
          </cell>
          <cell r="E28" t="str">
            <v>N/A</v>
          </cell>
          <cell r="F28" t="str">
            <v>N/A</v>
          </cell>
          <cell r="G28" t="str">
            <v>N/A</v>
          </cell>
          <cell r="H28" t="str">
            <v>NUEVA</v>
          </cell>
          <cell r="I28" t="str">
            <v>Salarios Unificados</v>
          </cell>
          <cell r="J28" t="str">
            <v>0035</v>
          </cell>
          <cell r="K28" t="str">
            <v>80</v>
          </cell>
          <cell r="L28" t="str">
            <v>000</v>
          </cell>
          <cell r="M28" t="str">
            <v>002</v>
          </cell>
          <cell r="N28" t="str">
            <v>51</v>
          </cell>
          <cell r="O28">
            <v>510106</v>
          </cell>
          <cell r="P28" t="str">
            <v>Salarios Unificados</v>
          </cell>
          <cell r="Q28">
            <v>1300</v>
          </cell>
          <cell r="R28" t="str">
            <v>001</v>
          </cell>
          <cell r="S28" t="str">
            <v>0000</v>
          </cell>
          <cell r="T28" t="str">
            <v>0000</v>
          </cell>
          <cell r="U28">
            <v>68580</v>
          </cell>
          <cell r="V28">
            <v>5715</v>
          </cell>
          <cell r="W28">
            <v>5715</v>
          </cell>
          <cell r="X28">
            <v>5715</v>
          </cell>
          <cell r="Y28">
            <v>5715</v>
          </cell>
          <cell r="Z28">
            <v>5715</v>
          </cell>
          <cell r="AA28">
            <v>5715</v>
          </cell>
          <cell r="AH28">
            <v>68580</v>
          </cell>
          <cell r="AI28">
            <v>34290</v>
          </cell>
        </row>
        <row r="29">
          <cell r="A29">
            <v>423</v>
          </cell>
          <cell r="B29" t="str">
            <v>Corporación Ciudad Alfaro</v>
          </cell>
          <cell r="C29" t="str">
            <v>N/A</v>
          </cell>
          <cell r="D29" t="str">
            <v>N/A</v>
          </cell>
          <cell r="E29" t="str">
            <v>N/A</v>
          </cell>
          <cell r="F29" t="str">
            <v>N/A</v>
          </cell>
          <cell r="G29" t="str">
            <v>N/A</v>
          </cell>
          <cell r="H29" t="str">
            <v>NUEVA</v>
          </cell>
          <cell r="I29" t="str">
            <v>Servicios Personales por Contrato</v>
          </cell>
          <cell r="J29" t="str">
            <v>0035</v>
          </cell>
          <cell r="K29" t="str">
            <v>80</v>
          </cell>
          <cell r="L29" t="str">
            <v>000</v>
          </cell>
          <cell r="M29" t="str">
            <v>002</v>
          </cell>
          <cell r="N29" t="str">
            <v>51</v>
          </cell>
          <cell r="O29">
            <v>510510</v>
          </cell>
          <cell r="P29" t="str">
            <v>Servicios Personales por Contrato</v>
          </cell>
          <cell r="Q29">
            <v>1300</v>
          </cell>
          <cell r="R29" t="str">
            <v>001</v>
          </cell>
          <cell r="S29" t="str">
            <v>0000</v>
          </cell>
          <cell r="T29" t="str">
            <v>0000</v>
          </cell>
          <cell r="U29">
            <v>32136</v>
          </cell>
          <cell r="V29">
            <v>2678</v>
          </cell>
          <cell r="W29">
            <v>2678</v>
          </cell>
          <cell r="X29">
            <v>2678</v>
          </cell>
          <cell r="Y29">
            <v>2678</v>
          </cell>
          <cell r="Z29">
            <v>2678</v>
          </cell>
          <cell r="AA29">
            <v>2678</v>
          </cell>
          <cell r="AH29">
            <v>32136</v>
          </cell>
          <cell r="AI29">
            <v>16068</v>
          </cell>
        </row>
        <row r="30">
          <cell r="A30">
            <v>424</v>
          </cell>
          <cell r="B30" t="str">
            <v>Corporación Ciudad Alfaro</v>
          </cell>
          <cell r="C30" t="str">
            <v>N/A</v>
          </cell>
          <cell r="D30" t="str">
            <v>N/A</v>
          </cell>
          <cell r="E30" t="str">
            <v>N/A</v>
          </cell>
          <cell r="F30" t="str">
            <v>N/A</v>
          </cell>
          <cell r="G30" t="str">
            <v>N/A</v>
          </cell>
          <cell r="H30" t="str">
            <v>NUEVA</v>
          </cell>
          <cell r="I30" t="str">
            <v xml:space="preserve">Aporte Patronal </v>
          </cell>
          <cell r="J30" t="str">
            <v>0035</v>
          </cell>
          <cell r="K30" t="str">
            <v>80</v>
          </cell>
          <cell r="L30" t="str">
            <v>000</v>
          </cell>
          <cell r="M30" t="str">
            <v>002</v>
          </cell>
          <cell r="N30" t="str">
            <v>51</v>
          </cell>
          <cell r="O30">
            <v>510601</v>
          </cell>
          <cell r="P30" t="str">
            <v>Aporte Patronal</v>
          </cell>
          <cell r="Q30">
            <v>1300</v>
          </cell>
          <cell r="R30" t="str">
            <v>001</v>
          </cell>
          <cell r="S30" t="str">
            <v>0000</v>
          </cell>
          <cell r="T30" t="str">
            <v>0000</v>
          </cell>
          <cell r="U30">
            <v>38582.559999999998</v>
          </cell>
          <cell r="V30">
            <v>3149.96</v>
          </cell>
          <cell r="W30">
            <v>3149.96</v>
          </cell>
          <cell r="X30">
            <v>3149.96</v>
          </cell>
          <cell r="Y30">
            <v>3149.96</v>
          </cell>
          <cell r="Z30">
            <v>3149.96</v>
          </cell>
          <cell r="AA30">
            <v>3149.96</v>
          </cell>
          <cell r="AH30">
            <v>38582.559999999998</v>
          </cell>
          <cell r="AI30">
            <v>18899.759999999998</v>
          </cell>
        </row>
        <row r="31">
          <cell r="A31">
            <v>454</v>
          </cell>
          <cell r="B31" t="str">
            <v>Corporación Ciudad Alfaro</v>
          </cell>
          <cell r="C31" t="str">
            <v>N/A</v>
          </cell>
          <cell r="D31" t="str">
            <v>N/A</v>
          </cell>
          <cell r="E31" t="str">
            <v>N/A</v>
          </cell>
          <cell r="F31" t="str">
            <v>N/A</v>
          </cell>
          <cell r="G31" t="str">
            <v>N/A</v>
          </cell>
          <cell r="H31" t="str">
            <v>ARRASTRE</v>
          </cell>
          <cell r="I31" t="str">
            <v>Pago Mensual del servicio de Agua Potable del mes de Diciembre del 2023 del Museo Centro Cultural de Manta</v>
          </cell>
          <cell r="J31" t="str">
            <v>0035</v>
          </cell>
          <cell r="K31" t="str">
            <v>80</v>
          </cell>
          <cell r="L31" t="str">
            <v>000</v>
          </cell>
          <cell r="M31" t="str">
            <v>002</v>
          </cell>
          <cell r="N31" t="str">
            <v>53</v>
          </cell>
          <cell r="O31">
            <v>530101</v>
          </cell>
          <cell r="P31" t="str">
            <v>Agua Potable</v>
          </cell>
          <cell r="Q31">
            <v>1308</v>
          </cell>
          <cell r="R31" t="str">
            <v>001</v>
          </cell>
          <cell r="S31" t="str">
            <v>0000</v>
          </cell>
          <cell r="T31" t="str">
            <v>0000</v>
          </cell>
          <cell r="U31">
            <v>15</v>
          </cell>
          <cell r="W31">
            <v>14.77</v>
          </cell>
          <cell r="AH31">
            <v>15</v>
          </cell>
          <cell r="AI31">
            <v>14.77</v>
          </cell>
        </row>
        <row r="32">
          <cell r="A32">
            <v>463</v>
          </cell>
          <cell r="B32" t="str">
            <v>Corporación Ciudad Alfaro</v>
          </cell>
          <cell r="C32" t="str">
            <v>N/A</v>
          </cell>
          <cell r="D32" t="str">
            <v>N/A</v>
          </cell>
          <cell r="E32" t="str">
            <v>N/A</v>
          </cell>
          <cell r="F32" t="str">
            <v>N/A</v>
          </cell>
          <cell r="G32" t="str">
            <v>N/A</v>
          </cell>
          <cell r="H32" t="str">
            <v>NUEVA</v>
          </cell>
          <cell r="I32" t="str">
            <v>Pago de tasas y contribuciones a los predios urbanos y cuerpo de bomberos del Museo Bahía de Caráquez</v>
          </cell>
          <cell r="J32" t="str">
            <v>0035</v>
          </cell>
          <cell r="K32" t="str">
            <v>80</v>
          </cell>
          <cell r="L32" t="str">
            <v>000</v>
          </cell>
          <cell r="M32" t="str">
            <v>002</v>
          </cell>
          <cell r="N32" t="str">
            <v>57</v>
          </cell>
          <cell r="O32">
            <v>570102</v>
          </cell>
          <cell r="P32" t="str">
            <v>Tasas Generales, Impuestos, Contribuciones, Permisos, Licencias y Patentes.</v>
          </cell>
          <cell r="Q32">
            <v>1314</v>
          </cell>
          <cell r="R32" t="str">
            <v>001</v>
          </cell>
          <cell r="S32" t="str">
            <v>0000</v>
          </cell>
          <cell r="T32" t="str">
            <v>0000</v>
          </cell>
          <cell r="U32">
            <v>2500</v>
          </cell>
          <cell r="X32">
            <v>1190.3699999999999</v>
          </cell>
          <cell r="AH32">
            <v>2500</v>
          </cell>
          <cell r="AI32">
            <v>1190.3699999999999</v>
          </cell>
        </row>
        <row r="33">
          <cell r="A33">
            <v>732</v>
          </cell>
          <cell r="B33" t="str">
            <v>Corporación Ciudad Alfaro</v>
          </cell>
          <cell r="C33" t="str">
            <v>N/A</v>
          </cell>
          <cell r="D33" t="str">
            <v>N/A</v>
          </cell>
          <cell r="E33" t="str">
            <v>N/A</v>
          </cell>
          <cell r="F33" t="str">
            <v>N/A</v>
          </cell>
          <cell r="G33" t="str">
            <v>N/A</v>
          </cell>
          <cell r="H33" t="str">
            <v>ARRASTRE</v>
          </cell>
          <cell r="I33" t="str">
            <v>Pago del servicio de telefonía fija e internet del mes de Diciembre del 2023 de la Corporación Ciudad Alfaro</v>
          </cell>
          <cell r="J33" t="str">
            <v>0035</v>
          </cell>
          <cell r="K33" t="str">
            <v>80</v>
          </cell>
          <cell r="L33" t="str">
            <v>000</v>
          </cell>
          <cell r="M33" t="str">
            <v>002</v>
          </cell>
          <cell r="N33" t="str">
            <v>53</v>
          </cell>
          <cell r="O33">
            <v>530105</v>
          </cell>
          <cell r="P33" t="str">
            <v>Telecomunicaciones</v>
          </cell>
          <cell r="Q33">
            <v>1309</v>
          </cell>
          <cell r="R33" t="str">
            <v>001</v>
          </cell>
          <cell r="S33" t="str">
            <v>0000</v>
          </cell>
          <cell r="T33" t="str">
            <v>0000</v>
          </cell>
          <cell r="U33">
            <v>1194.77</v>
          </cell>
          <cell r="X33">
            <v>1066.76</v>
          </cell>
          <cell r="AH33">
            <v>1194.77</v>
          </cell>
          <cell r="AI33">
            <v>1066.76</v>
          </cell>
        </row>
        <row r="34">
          <cell r="A34">
            <v>432</v>
          </cell>
          <cell r="B34" t="str">
            <v>Corporación Ciudad Alfaro</v>
          </cell>
          <cell r="C34" t="str">
            <v>N/A</v>
          </cell>
          <cell r="D34" t="str">
            <v>N/A</v>
          </cell>
          <cell r="E34" t="str">
            <v>N/A</v>
          </cell>
          <cell r="F34" t="str">
            <v>N/A</v>
          </cell>
          <cell r="G34" t="str">
            <v>N/A</v>
          </cell>
          <cell r="H34" t="str">
            <v>NUEVA</v>
          </cell>
          <cell r="I34" t="str">
            <v>Pago del servicio de telefonía fija e internet de la Corporación Ciudad Alfaro</v>
          </cell>
          <cell r="J34" t="str">
            <v>0035</v>
          </cell>
          <cell r="K34" t="str">
            <v>80</v>
          </cell>
          <cell r="L34" t="str">
            <v>000</v>
          </cell>
          <cell r="M34" t="str">
            <v>002</v>
          </cell>
          <cell r="N34" t="str">
            <v>53</v>
          </cell>
          <cell r="O34">
            <v>530105</v>
          </cell>
          <cell r="P34" t="str">
            <v>Telecomunicaciones</v>
          </cell>
          <cell r="Q34">
            <v>1309</v>
          </cell>
          <cell r="R34" t="str">
            <v>001</v>
          </cell>
          <cell r="S34" t="str">
            <v>0000</v>
          </cell>
          <cell r="T34" t="str">
            <v>0000</v>
          </cell>
          <cell r="U34">
            <v>8836</v>
          </cell>
          <cell r="X34">
            <v>1323.68</v>
          </cell>
          <cell r="Z34">
            <v>1323.68</v>
          </cell>
          <cell r="AA34">
            <v>661.84</v>
          </cell>
          <cell r="AH34">
            <v>8836</v>
          </cell>
          <cell r="AI34">
            <v>3309.2000000000003</v>
          </cell>
        </row>
        <row r="35">
          <cell r="A35">
            <v>442</v>
          </cell>
          <cell r="B35" t="str">
            <v>Corporación Ciudad Alfaro</v>
          </cell>
          <cell r="C35" t="str">
            <v>N/A</v>
          </cell>
          <cell r="D35" t="str">
            <v>N/A</v>
          </cell>
          <cell r="E35" t="str">
            <v>N/A</v>
          </cell>
          <cell r="F35" t="str">
            <v>N/A</v>
          </cell>
          <cell r="G35" t="str">
            <v>N/A</v>
          </cell>
          <cell r="H35" t="str">
            <v>ARRASTRE</v>
          </cell>
          <cell r="I35" t="str">
            <v>Pago del servicio de agua potable de los meses de Octubre, Noviembre y Diciembre del 2023 de la Corporación Ciudad Alfaro</v>
          </cell>
          <cell r="J35" t="str">
            <v>0035</v>
          </cell>
          <cell r="K35" t="str">
            <v>80</v>
          </cell>
          <cell r="L35" t="str">
            <v>000</v>
          </cell>
          <cell r="M35" t="str">
            <v>002</v>
          </cell>
          <cell r="N35" t="str">
            <v>53</v>
          </cell>
          <cell r="O35">
            <v>530101</v>
          </cell>
          <cell r="P35" t="str">
            <v>Agua Potable</v>
          </cell>
          <cell r="Q35">
            <v>1309</v>
          </cell>
          <cell r="R35" t="str">
            <v>001</v>
          </cell>
          <cell r="S35" t="str">
            <v>0000</v>
          </cell>
          <cell r="T35" t="str">
            <v>0000</v>
          </cell>
          <cell r="U35">
            <v>3.7000000000000455</v>
          </cell>
          <cell r="X35">
            <v>3.7</v>
          </cell>
          <cell r="AH35">
            <v>3.7</v>
          </cell>
          <cell r="AI35">
            <v>3.7</v>
          </cell>
        </row>
        <row r="36">
          <cell r="A36">
            <v>453</v>
          </cell>
          <cell r="B36" t="str">
            <v>Corporación Ciudad Alfaro</v>
          </cell>
          <cell r="C36" t="str">
            <v>N/A</v>
          </cell>
          <cell r="D36" t="str">
            <v>N/A</v>
          </cell>
          <cell r="E36" t="str">
            <v>N/A</v>
          </cell>
          <cell r="F36" t="str">
            <v>N/A</v>
          </cell>
          <cell r="G36" t="str">
            <v>N/A</v>
          </cell>
          <cell r="H36" t="str">
            <v>NUEVA</v>
          </cell>
          <cell r="I36" t="str">
            <v>Pago Mensual del servicio de Energía Eléctrica del Museo Bahía de Caráquez</v>
          </cell>
          <cell r="J36" t="str">
            <v>0035</v>
          </cell>
          <cell r="K36" t="str">
            <v>80</v>
          </cell>
          <cell r="L36" t="str">
            <v>000</v>
          </cell>
          <cell r="M36" t="str">
            <v>002</v>
          </cell>
          <cell r="N36" t="str">
            <v>53</v>
          </cell>
          <cell r="O36">
            <v>530104</v>
          </cell>
          <cell r="P36" t="str">
            <v>Energía Eléctrica</v>
          </cell>
          <cell r="Q36">
            <v>1314</v>
          </cell>
          <cell r="R36" t="str">
            <v>001</v>
          </cell>
          <cell r="S36" t="str">
            <v>0000</v>
          </cell>
          <cell r="T36" t="str">
            <v>0000</v>
          </cell>
          <cell r="U36">
            <v>9000</v>
          </cell>
          <cell r="X36">
            <v>781.86</v>
          </cell>
          <cell r="Y36">
            <v>714.28</v>
          </cell>
          <cell r="Z36">
            <v>707.7</v>
          </cell>
          <cell r="AA36">
            <v>571.37</v>
          </cell>
          <cell r="AH36">
            <v>9000</v>
          </cell>
          <cell r="AI36">
            <v>2775.21</v>
          </cell>
        </row>
        <row r="37">
          <cell r="A37">
            <v>443</v>
          </cell>
          <cell r="B37" t="str">
            <v>Corporación Ciudad Alfaro</v>
          </cell>
          <cell r="C37" t="str">
            <v>N/A</v>
          </cell>
          <cell r="D37" t="str">
            <v>N/A</v>
          </cell>
          <cell r="E37" t="str">
            <v>N/A</v>
          </cell>
          <cell r="F37" t="str">
            <v>N/A</v>
          </cell>
          <cell r="G37" t="str">
            <v>N/A</v>
          </cell>
          <cell r="H37" t="str">
            <v>NUEVA</v>
          </cell>
          <cell r="I37" t="str">
            <v>Pago del servicio de agua potable de la Corporación Ciudad Alfaro</v>
          </cell>
          <cell r="J37" t="str">
            <v>0035</v>
          </cell>
          <cell r="K37" t="str">
            <v>80</v>
          </cell>
          <cell r="L37" t="str">
            <v>000</v>
          </cell>
          <cell r="M37" t="str">
            <v>002</v>
          </cell>
          <cell r="N37" t="str">
            <v>53</v>
          </cell>
          <cell r="O37">
            <v>530101</v>
          </cell>
          <cell r="P37" t="str">
            <v>Agua Potable</v>
          </cell>
          <cell r="Q37">
            <v>1309</v>
          </cell>
          <cell r="R37" t="str">
            <v>001</v>
          </cell>
          <cell r="S37" t="str">
            <v>0000</v>
          </cell>
          <cell r="T37" t="str">
            <v>0000</v>
          </cell>
          <cell r="U37">
            <v>1800</v>
          </cell>
          <cell r="X37">
            <v>3.7</v>
          </cell>
          <cell r="AA37">
            <v>11.55</v>
          </cell>
          <cell r="AH37">
            <v>1800</v>
          </cell>
          <cell r="AI37">
            <v>15.25</v>
          </cell>
        </row>
        <row r="38">
          <cell r="A38">
            <v>446</v>
          </cell>
          <cell r="B38" t="str">
            <v>Corporación Ciudad Alfaro</v>
          </cell>
          <cell r="C38" t="str">
            <v>N/A</v>
          </cell>
          <cell r="D38" t="str">
            <v>N/A</v>
          </cell>
          <cell r="E38" t="str">
            <v>N/A</v>
          </cell>
          <cell r="F38" t="str">
            <v>N/A</v>
          </cell>
          <cell r="G38" t="str">
            <v>N/A</v>
          </cell>
          <cell r="H38" t="str">
            <v>NUEVA</v>
          </cell>
          <cell r="I38" t="str">
            <v>Pago del servicio de energía eléctrica del Museo Portoviejo y Archivo Histórico</v>
          </cell>
          <cell r="J38" t="str">
            <v>0035</v>
          </cell>
          <cell r="K38" t="str">
            <v>80</v>
          </cell>
          <cell r="L38" t="str">
            <v>000</v>
          </cell>
          <cell r="M38" t="str">
            <v>002</v>
          </cell>
          <cell r="N38" t="str">
            <v>53</v>
          </cell>
          <cell r="O38">
            <v>530104</v>
          </cell>
          <cell r="P38" t="str">
            <v>Energía Eléctrica</v>
          </cell>
          <cell r="Q38">
            <v>1301</v>
          </cell>
          <cell r="R38" t="str">
            <v>001</v>
          </cell>
          <cell r="S38" t="str">
            <v>0000</v>
          </cell>
          <cell r="T38" t="str">
            <v>0000</v>
          </cell>
          <cell r="U38">
            <v>8800</v>
          </cell>
          <cell r="X38">
            <v>872.64</v>
          </cell>
          <cell r="Y38">
            <v>886.55</v>
          </cell>
          <cell r="Z38">
            <v>947.99</v>
          </cell>
          <cell r="AA38">
            <v>933.36</v>
          </cell>
          <cell r="AH38">
            <v>8800</v>
          </cell>
          <cell r="AI38">
            <v>3640.5400000000004</v>
          </cell>
        </row>
        <row r="39">
          <cell r="A39">
            <v>733</v>
          </cell>
          <cell r="B39" t="str">
            <v>Corporación Ciudad Alfaro</v>
          </cell>
          <cell r="C39" t="str">
            <v>N/A</v>
          </cell>
          <cell r="D39" t="str">
            <v>N/A</v>
          </cell>
          <cell r="E39" t="str">
            <v>N/A</v>
          </cell>
          <cell r="F39" t="str">
            <v>N/A</v>
          </cell>
          <cell r="G39" t="str">
            <v>N/A</v>
          </cell>
          <cell r="H39" t="str">
            <v>NUEVA</v>
          </cell>
          <cell r="I39" t="str">
            <v>Pago mensual del servicio de energía eléctrica del Museo y Centro Cultural de Manta por el período 2024</v>
          </cell>
          <cell r="J39" t="str">
            <v>0035</v>
          </cell>
          <cell r="K39" t="str">
            <v>80</v>
          </cell>
          <cell r="L39" t="str">
            <v>000</v>
          </cell>
          <cell r="M39" t="str">
            <v>002</v>
          </cell>
          <cell r="N39" t="str">
            <v>53</v>
          </cell>
          <cell r="O39">
            <v>530104</v>
          </cell>
          <cell r="P39" t="str">
            <v>Energía Eléctrica</v>
          </cell>
          <cell r="Q39">
            <v>1308</v>
          </cell>
          <cell r="R39" t="str">
            <v>001</v>
          </cell>
          <cell r="S39" t="str">
            <v>0000</v>
          </cell>
          <cell r="T39" t="str">
            <v>0000</v>
          </cell>
          <cell r="U39">
            <v>14500</v>
          </cell>
          <cell r="X39">
            <v>1062.32</v>
          </cell>
          <cell r="Z39">
            <v>2736.69</v>
          </cell>
          <cell r="AH39">
            <v>14500</v>
          </cell>
          <cell r="AI39">
            <v>3799.01</v>
          </cell>
        </row>
        <row r="40">
          <cell r="A40">
            <v>487</v>
          </cell>
          <cell r="B40" t="str">
            <v>Corporación Ciudad Alfaro</v>
          </cell>
          <cell r="C40" t="str">
            <v>N/A</v>
          </cell>
          <cell r="D40" t="str">
            <v>N/A</v>
          </cell>
          <cell r="E40" t="str">
            <v>N/A</v>
          </cell>
          <cell r="F40" t="str">
            <v>N/A</v>
          </cell>
          <cell r="G40" t="str">
            <v>N/A</v>
          </cell>
          <cell r="H40" t="str">
            <v>NUEVA</v>
          </cell>
          <cell r="I40" t="str">
            <v>Pago de viáticos para el personal de la Corporación Ciudad Alfaro y sus sedes</v>
          </cell>
          <cell r="J40" t="str">
            <v>0035</v>
          </cell>
          <cell r="K40" t="str">
            <v>80</v>
          </cell>
          <cell r="L40" t="str">
            <v>000</v>
          </cell>
          <cell r="M40" t="str">
            <v>002</v>
          </cell>
          <cell r="N40" t="str">
            <v>53</v>
          </cell>
          <cell r="O40">
            <v>530303</v>
          </cell>
          <cell r="P40" t="str">
            <v>Viáticos y Subsistencias en el Interior</v>
          </cell>
          <cell r="Q40">
            <v>1309</v>
          </cell>
          <cell r="R40" t="str">
            <v>001</v>
          </cell>
          <cell r="S40" t="str">
            <v>0000</v>
          </cell>
          <cell r="T40" t="str">
            <v>0000</v>
          </cell>
          <cell r="U40">
            <v>4801.58</v>
          </cell>
          <cell r="X40">
            <v>420</v>
          </cell>
          <cell r="AH40">
            <v>4801.58</v>
          </cell>
          <cell r="AI40">
            <v>420</v>
          </cell>
        </row>
        <row r="41">
          <cell r="A41">
            <v>445</v>
          </cell>
          <cell r="B41" t="str">
            <v>Corporación Ciudad Alfaro</v>
          </cell>
          <cell r="C41" t="str">
            <v>N/A</v>
          </cell>
          <cell r="D41" t="str">
            <v>N/A</v>
          </cell>
          <cell r="E41" t="str">
            <v>N/A</v>
          </cell>
          <cell r="F41" t="str">
            <v>N/A</v>
          </cell>
          <cell r="G41" t="str">
            <v>N/A</v>
          </cell>
          <cell r="H41" t="str">
            <v>NUEVA</v>
          </cell>
          <cell r="I41" t="str">
            <v>Pago del servicio de energía eléctrica de la Corporación Ciudad Alfaro</v>
          </cell>
          <cell r="J41" t="str">
            <v>0035</v>
          </cell>
          <cell r="K41" t="str">
            <v>80</v>
          </cell>
          <cell r="L41" t="str">
            <v>000</v>
          </cell>
          <cell r="M41" t="str">
            <v>002</v>
          </cell>
          <cell r="N41" t="str">
            <v>53</v>
          </cell>
          <cell r="O41">
            <v>530104</v>
          </cell>
          <cell r="P41" t="str">
            <v>Energía Eléctrica</v>
          </cell>
          <cell r="Q41">
            <v>1309</v>
          </cell>
          <cell r="R41" t="str">
            <v>001</v>
          </cell>
          <cell r="S41" t="str">
            <v>0000</v>
          </cell>
          <cell r="T41" t="str">
            <v>0000</v>
          </cell>
          <cell r="U41">
            <v>27000</v>
          </cell>
          <cell r="X41">
            <v>2029.47</v>
          </cell>
          <cell r="Z41">
            <v>1780.34</v>
          </cell>
          <cell r="AA41">
            <v>98.35</v>
          </cell>
          <cell r="AH41">
            <v>27000</v>
          </cell>
          <cell r="AI41">
            <v>3908.16</v>
          </cell>
        </row>
        <row r="42">
          <cell r="A42">
            <v>490</v>
          </cell>
          <cell r="B42" t="str">
            <v>Corporación Ciudad Alfaro</v>
          </cell>
          <cell r="C42" t="str">
            <v>N/A</v>
          </cell>
          <cell r="D42" t="str">
            <v>N/A</v>
          </cell>
          <cell r="E42" t="str">
            <v>N/A</v>
          </cell>
          <cell r="F42" t="str">
            <v>N/A</v>
          </cell>
          <cell r="G42" t="str">
            <v>N/A</v>
          </cell>
          <cell r="H42" t="str">
            <v>NUEVA</v>
          </cell>
          <cell r="I42" t="str">
            <v>Lavado de Menaje</v>
          </cell>
          <cell r="J42" t="str">
            <v>0035</v>
          </cell>
          <cell r="K42" t="str">
            <v>80</v>
          </cell>
          <cell r="L42" t="str">
            <v>000</v>
          </cell>
          <cell r="M42" t="str">
            <v>002</v>
          </cell>
          <cell r="N42" t="str">
            <v>53</v>
          </cell>
          <cell r="O42">
            <v>530209</v>
          </cell>
          <cell r="P42" t="str">
            <v>Servicios de Aseo, Lavado de Vestimenta de Trabajo, Fumigación, Desinfección,  Limpieza de Instalaciones, manejo
de desechos contaminados, recuperación y clasificación de materiales reciclables.</v>
          </cell>
          <cell r="Q42">
            <v>1309</v>
          </cell>
          <cell r="R42" t="str">
            <v>001</v>
          </cell>
          <cell r="S42" t="str">
            <v>0000</v>
          </cell>
          <cell r="T42" t="str">
            <v>0000</v>
          </cell>
          <cell r="U42">
            <v>1508.5</v>
          </cell>
          <cell r="X42">
            <v>1508.5</v>
          </cell>
          <cell r="AH42">
            <v>1508.5</v>
          </cell>
          <cell r="AI42">
            <v>1508.5</v>
          </cell>
        </row>
        <row r="43">
          <cell r="A43">
            <v>734</v>
          </cell>
          <cell r="B43" t="str">
            <v>Corporación Ciudad Alfaro</v>
          </cell>
          <cell r="C43" t="str">
            <v>N/A</v>
          </cell>
          <cell r="D43" t="str">
            <v>N/A</v>
          </cell>
          <cell r="E43" t="str">
            <v>N/A</v>
          </cell>
          <cell r="F43" t="str">
            <v>N/A</v>
          </cell>
          <cell r="G43" t="str">
            <v>N/A</v>
          </cell>
          <cell r="H43" t="str">
            <v>NUEVA</v>
          </cell>
          <cell r="I43" t="str">
            <v>Contratación del servicio de combustible para  los vehículos de la Corporación Ciudad Alfaro para el año 2024</v>
          </cell>
          <cell r="J43" t="str">
            <v>0035</v>
          </cell>
          <cell r="K43" t="str">
            <v>80</v>
          </cell>
          <cell r="L43" t="str">
            <v>000</v>
          </cell>
          <cell r="M43" t="str">
            <v>002</v>
          </cell>
          <cell r="N43" t="str">
            <v>53</v>
          </cell>
          <cell r="O43">
            <v>530255</v>
          </cell>
          <cell r="P43" t="str">
            <v>Combustibles</v>
          </cell>
          <cell r="Q43">
            <v>1309</v>
          </cell>
          <cell r="R43" t="str">
            <v>001</v>
          </cell>
          <cell r="S43" t="str">
            <v>0000</v>
          </cell>
          <cell r="T43" t="str">
            <v>0000</v>
          </cell>
          <cell r="U43">
            <v>6659.36</v>
          </cell>
          <cell r="X43">
            <v>550.28</v>
          </cell>
          <cell r="Z43">
            <v>218.45000000000002</v>
          </cell>
          <cell r="AA43">
            <v>280.48</v>
          </cell>
          <cell r="AH43">
            <v>6659.3600000000006</v>
          </cell>
          <cell r="AI43">
            <v>1049.21</v>
          </cell>
        </row>
        <row r="44">
          <cell r="A44">
            <v>474</v>
          </cell>
          <cell r="B44" t="str">
            <v>Corporación Ciudad Alfaro</v>
          </cell>
          <cell r="C44" t="str">
            <v>N/A</v>
          </cell>
          <cell r="D44" t="str">
            <v>N/A</v>
          </cell>
          <cell r="E44" t="str">
            <v>N/A</v>
          </cell>
          <cell r="F44" t="str">
            <v>N/A</v>
          </cell>
          <cell r="G44" t="str">
            <v>N/A</v>
          </cell>
          <cell r="H44" t="str">
            <v>NUEVA</v>
          </cell>
          <cell r="I44" t="str">
            <v>Reintegro Por Renovación de Certificado digital</v>
          </cell>
          <cell r="J44" t="str">
            <v>0035</v>
          </cell>
          <cell r="K44" t="str">
            <v>80</v>
          </cell>
          <cell r="L44" t="str">
            <v>000</v>
          </cell>
          <cell r="M44" t="str">
            <v>002</v>
          </cell>
          <cell r="N44" t="str">
            <v>53</v>
          </cell>
          <cell r="O44">
            <v>530228</v>
          </cell>
          <cell r="P44" t="str">
            <v>Servicios de Provisión de Dispositivos Electrónicos y Certificación para Registro de Firmas Digitales</v>
          </cell>
          <cell r="Q44">
            <v>1309</v>
          </cell>
          <cell r="R44" t="str">
            <v>001</v>
          </cell>
          <cell r="S44" t="str">
            <v>0000</v>
          </cell>
          <cell r="T44" t="str">
            <v>0000</v>
          </cell>
          <cell r="U44">
            <v>30</v>
          </cell>
          <cell r="Z44">
            <v>20.16</v>
          </cell>
          <cell r="AH44">
            <v>30</v>
          </cell>
          <cell r="AI44">
            <v>20.16</v>
          </cell>
        </row>
        <row r="45">
          <cell r="A45">
            <v>872</v>
          </cell>
          <cell r="B45" t="str">
            <v>Corporación Ciudad Alfaro</v>
          </cell>
          <cell r="C45" t="str">
            <v>N/A</v>
          </cell>
          <cell r="D45" t="str">
            <v>N/A</v>
          </cell>
          <cell r="E45" t="str">
            <v>N/A</v>
          </cell>
          <cell r="F45" t="str">
            <v>N/A</v>
          </cell>
          <cell r="G45" t="str">
            <v>N/A</v>
          </cell>
          <cell r="H45" t="str">
            <v>NUEVA</v>
          </cell>
          <cell r="I45" t="str">
            <v xml:space="preserve">Regularización del IVA - año 2023, para conciliación de saldos contables y administrativos </v>
          </cell>
          <cell r="J45" t="str">
            <v>0035</v>
          </cell>
          <cell r="K45" t="str">
            <v>80</v>
          </cell>
          <cell r="L45" t="str">
            <v>000</v>
          </cell>
          <cell r="M45" t="str">
            <v>002</v>
          </cell>
          <cell r="N45" t="str">
            <v>53</v>
          </cell>
          <cell r="O45">
            <v>530813</v>
          </cell>
          <cell r="P45" t="str">
            <v>Repuestos y Accesorios</v>
          </cell>
          <cell r="Q45">
            <v>1309</v>
          </cell>
          <cell r="R45" t="str">
            <v>001</v>
          </cell>
          <cell r="S45" t="str">
            <v>0000</v>
          </cell>
          <cell r="T45" t="str">
            <v>0000</v>
          </cell>
          <cell r="U45">
            <v>115</v>
          </cell>
          <cell r="Z45">
            <v>114.04</v>
          </cell>
          <cell r="AH45">
            <v>115</v>
          </cell>
          <cell r="AI45">
            <v>114.04</v>
          </cell>
        </row>
        <row r="46">
          <cell r="B46" t="e">
            <v>#N/A</v>
          </cell>
          <cell r="C46" t="e">
            <v>#N/A</v>
          </cell>
          <cell r="D46" t="e">
            <v>#N/A</v>
          </cell>
          <cell r="E46" t="e">
            <v>#N/A</v>
          </cell>
          <cell r="F46" t="e">
            <v>#N/A</v>
          </cell>
          <cell r="G46" t="e">
            <v>#N/A</v>
          </cell>
          <cell r="H46" t="e">
            <v>#N/A</v>
          </cell>
          <cell r="I46" t="e">
            <v>#N/A</v>
          </cell>
          <cell r="J46" t="e">
            <v>#N/A</v>
          </cell>
          <cell r="K46" t="e">
            <v>#N/A</v>
          </cell>
          <cell r="L46" t="e">
            <v>#N/A</v>
          </cell>
          <cell r="M46" t="e">
            <v>#N/A</v>
          </cell>
          <cell r="N46" t="e">
            <v>#N/A</v>
          </cell>
          <cell r="O46" t="e">
            <v>#N/A</v>
          </cell>
          <cell r="P46" t="e">
            <v>#N/A</v>
          </cell>
          <cell r="Q46" t="e">
            <v>#N/A</v>
          </cell>
          <cell r="R46" t="e">
            <v>#N/A</v>
          </cell>
          <cell r="S46" t="e">
            <v>#N/A</v>
          </cell>
          <cell r="T46" t="e">
            <v>#N/A</v>
          </cell>
          <cell r="U46" t="e">
            <v>#N/A</v>
          </cell>
          <cell r="V46">
            <v>0</v>
          </cell>
          <cell r="W46">
            <v>0</v>
          </cell>
          <cell r="AH46" t="e">
            <v>#N/A</v>
          </cell>
          <cell r="AI46">
            <v>0</v>
          </cell>
        </row>
        <row r="47">
          <cell r="B47" t="e">
            <v>#N/A</v>
          </cell>
          <cell r="C47" t="e">
            <v>#N/A</v>
          </cell>
          <cell r="D47" t="e">
            <v>#N/A</v>
          </cell>
          <cell r="E47" t="e">
            <v>#N/A</v>
          </cell>
          <cell r="F47" t="e">
            <v>#N/A</v>
          </cell>
          <cell r="G47" t="e">
            <v>#N/A</v>
          </cell>
          <cell r="H47" t="e">
            <v>#N/A</v>
          </cell>
          <cell r="I47" t="e">
            <v>#N/A</v>
          </cell>
          <cell r="J47" t="e">
            <v>#N/A</v>
          </cell>
          <cell r="K47" t="e">
            <v>#N/A</v>
          </cell>
          <cell r="L47" t="e">
            <v>#N/A</v>
          </cell>
          <cell r="M47" t="e">
            <v>#N/A</v>
          </cell>
          <cell r="N47" t="e">
            <v>#N/A</v>
          </cell>
          <cell r="O47" t="e">
            <v>#N/A</v>
          </cell>
          <cell r="P47" t="e">
            <v>#N/A</v>
          </cell>
          <cell r="Q47" t="e">
            <v>#N/A</v>
          </cell>
          <cell r="R47" t="e">
            <v>#N/A</v>
          </cell>
          <cell r="S47" t="e">
            <v>#N/A</v>
          </cell>
          <cell r="T47" t="e">
            <v>#N/A</v>
          </cell>
          <cell r="U47" t="e">
            <v>#N/A</v>
          </cell>
          <cell r="V47">
            <v>0</v>
          </cell>
          <cell r="W47">
            <v>0</v>
          </cell>
          <cell r="AH47" t="e">
            <v>#N/A</v>
          </cell>
          <cell r="AI47">
            <v>0</v>
          </cell>
        </row>
        <row r="48">
          <cell r="B48" t="e">
            <v>#N/A</v>
          </cell>
          <cell r="C48" t="e">
            <v>#N/A</v>
          </cell>
          <cell r="D48" t="e">
            <v>#N/A</v>
          </cell>
          <cell r="E48" t="e">
            <v>#N/A</v>
          </cell>
          <cell r="F48" t="e">
            <v>#N/A</v>
          </cell>
          <cell r="G48" t="e">
            <v>#N/A</v>
          </cell>
          <cell r="H48" t="e">
            <v>#N/A</v>
          </cell>
          <cell r="I48" t="e">
            <v>#N/A</v>
          </cell>
          <cell r="J48" t="e">
            <v>#N/A</v>
          </cell>
          <cell r="K48" t="e">
            <v>#N/A</v>
          </cell>
          <cell r="L48" t="e">
            <v>#N/A</v>
          </cell>
          <cell r="M48" t="e">
            <v>#N/A</v>
          </cell>
          <cell r="N48" t="e">
            <v>#N/A</v>
          </cell>
          <cell r="O48" t="e">
            <v>#N/A</v>
          </cell>
          <cell r="P48" t="e">
            <v>#N/A</v>
          </cell>
          <cell r="Q48" t="e">
            <v>#N/A</v>
          </cell>
          <cell r="R48" t="e">
            <v>#N/A</v>
          </cell>
          <cell r="S48" t="e">
            <v>#N/A</v>
          </cell>
          <cell r="T48" t="e">
            <v>#N/A</v>
          </cell>
          <cell r="U48" t="e">
            <v>#N/A</v>
          </cell>
          <cell r="V48">
            <v>0</v>
          </cell>
          <cell r="W48">
            <v>0</v>
          </cell>
          <cell r="AH48" t="e">
            <v>#N/A</v>
          </cell>
          <cell r="AI48">
            <v>0</v>
          </cell>
        </row>
        <row r="49">
          <cell r="A49">
            <v>464</v>
          </cell>
          <cell r="B49" t="str">
            <v>Corporación Ciudad Alfaro</v>
          </cell>
          <cell r="C49" t="str">
            <v>N/A</v>
          </cell>
          <cell r="D49" t="str">
            <v>N/A</v>
          </cell>
          <cell r="E49" t="str">
            <v>N/A</v>
          </cell>
          <cell r="F49" t="str">
            <v>N/A</v>
          </cell>
          <cell r="G49" t="str">
            <v>N/A</v>
          </cell>
          <cell r="H49" t="str">
            <v>NUEVA</v>
          </cell>
          <cell r="I49" t="str">
            <v>Pago de tasas y contribuciones a los predios urbanos y cuerpo de bomberos de la Corporación Ciudad Alfaro</v>
          </cell>
          <cell r="J49" t="str">
            <v>0035</v>
          </cell>
          <cell r="K49" t="str">
            <v>80</v>
          </cell>
          <cell r="L49" t="str">
            <v>000</v>
          </cell>
          <cell r="M49" t="str">
            <v>002</v>
          </cell>
          <cell r="N49" t="str">
            <v>57</v>
          </cell>
          <cell r="O49">
            <v>570102</v>
          </cell>
          <cell r="P49" t="str">
            <v>Tasas Generales, Impuestos, Contribuciones, Permisos, Licencias y Patentes.</v>
          </cell>
          <cell r="Q49">
            <v>1309</v>
          </cell>
          <cell r="R49" t="str">
            <v>001</v>
          </cell>
          <cell r="S49" t="str">
            <v>0000</v>
          </cell>
          <cell r="T49" t="str">
            <v>0000</v>
          </cell>
          <cell r="U49">
            <v>3000</v>
          </cell>
          <cell r="V49">
            <v>0</v>
          </cell>
          <cell r="W49">
            <v>0</v>
          </cell>
          <cell r="AA49">
            <v>69.67</v>
          </cell>
          <cell r="AH49">
            <v>3000</v>
          </cell>
          <cell r="AI49">
            <v>69.67</v>
          </cell>
        </row>
        <row r="50">
          <cell r="B50" t="e">
            <v>#N/A</v>
          </cell>
          <cell r="C50" t="e">
            <v>#N/A</v>
          </cell>
          <cell r="D50" t="e">
            <v>#N/A</v>
          </cell>
          <cell r="E50" t="e">
            <v>#N/A</v>
          </cell>
          <cell r="F50" t="e">
            <v>#N/A</v>
          </cell>
          <cell r="G50" t="e">
            <v>#N/A</v>
          </cell>
          <cell r="H50" t="e">
            <v>#N/A</v>
          </cell>
          <cell r="I50" t="e">
            <v>#N/A</v>
          </cell>
          <cell r="J50" t="e">
            <v>#N/A</v>
          </cell>
          <cell r="K50" t="e">
            <v>#N/A</v>
          </cell>
          <cell r="L50" t="e">
            <v>#N/A</v>
          </cell>
          <cell r="M50" t="e">
            <v>#N/A</v>
          </cell>
          <cell r="N50" t="e">
            <v>#N/A</v>
          </cell>
          <cell r="O50" t="e">
            <v>#N/A</v>
          </cell>
          <cell r="P50" t="e">
            <v>#N/A</v>
          </cell>
          <cell r="Q50" t="e">
            <v>#N/A</v>
          </cell>
          <cell r="R50" t="e">
            <v>#N/A</v>
          </cell>
          <cell r="S50" t="e">
            <v>#N/A</v>
          </cell>
          <cell r="T50" t="e">
            <v>#N/A</v>
          </cell>
          <cell r="U50" t="e">
            <v>#N/A</v>
          </cell>
          <cell r="V50">
            <v>0</v>
          </cell>
          <cell r="W50">
            <v>0</v>
          </cell>
          <cell r="AH50" t="e">
            <v>#N/A</v>
          </cell>
          <cell r="AI50">
            <v>0</v>
          </cell>
        </row>
        <row r="51">
          <cell r="B51" t="e">
            <v>#N/A</v>
          </cell>
          <cell r="C51" t="e">
            <v>#N/A</v>
          </cell>
          <cell r="D51" t="e">
            <v>#N/A</v>
          </cell>
          <cell r="E51" t="e">
            <v>#N/A</v>
          </cell>
          <cell r="F51" t="e">
            <v>#N/A</v>
          </cell>
          <cell r="G51" t="e">
            <v>#N/A</v>
          </cell>
          <cell r="H51" t="e">
            <v>#N/A</v>
          </cell>
          <cell r="I51" t="e">
            <v>#N/A</v>
          </cell>
          <cell r="J51" t="e">
            <v>#N/A</v>
          </cell>
          <cell r="K51" t="e">
            <v>#N/A</v>
          </cell>
          <cell r="L51" t="e">
            <v>#N/A</v>
          </cell>
          <cell r="M51" t="e">
            <v>#N/A</v>
          </cell>
          <cell r="N51" t="e">
            <v>#N/A</v>
          </cell>
          <cell r="O51" t="e">
            <v>#N/A</v>
          </cell>
          <cell r="P51" t="e">
            <v>#N/A</v>
          </cell>
          <cell r="Q51" t="e">
            <v>#N/A</v>
          </cell>
          <cell r="R51" t="e">
            <v>#N/A</v>
          </cell>
          <cell r="S51" t="e">
            <v>#N/A</v>
          </cell>
          <cell r="T51" t="e">
            <v>#N/A</v>
          </cell>
          <cell r="U51" t="e">
            <v>#N/A</v>
          </cell>
          <cell r="V51">
            <v>0</v>
          </cell>
          <cell r="W51">
            <v>0</v>
          </cell>
          <cell r="AH51" t="e">
            <v>#N/A</v>
          </cell>
          <cell r="AI51">
            <v>0</v>
          </cell>
        </row>
        <row r="52">
          <cell r="B52" t="e">
            <v>#N/A</v>
          </cell>
          <cell r="C52" t="e">
            <v>#N/A</v>
          </cell>
          <cell r="D52" t="e">
            <v>#N/A</v>
          </cell>
          <cell r="E52" t="e">
            <v>#N/A</v>
          </cell>
          <cell r="F52" t="e">
            <v>#N/A</v>
          </cell>
          <cell r="G52" t="e">
            <v>#N/A</v>
          </cell>
          <cell r="H52" t="e">
            <v>#N/A</v>
          </cell>
          <cell r="I52" t="e">
            <v>#N/A</v>
          </cell>
          <cell r="J52" t="e">
            <v>#N/A</v>
          </cell>
          <cell r="K52" t="e">
            <v>#N/A</v>
          </cell>
          <cell r="L52" t="e">
            <v>#N/A</v>
          </cell>
          <cell r="M52" t="e">
            <v>#N/A</v>
          </cell>
          <cell r="N52" t="e">
            <v>#N/A</v>
          </cell>
          <cell r="O52" t="e">
            <v>#N/A</v>
          </cell>
          <cell r="P52" t="e">
            <v>#N/A</v>
          </cell>
          <cell r="Q52" t="e">
            <v>#N/A</v>
          </cell>
          <cell r="R52" t="e">
            <v>#N/A</v>
          </cell>
          <cell r="S52" t="e">
            <v>#N/A</v>
          </cell>
          <cell r="T52" t="e">
            <v>#N/A</v>
          </cell>
          <cell r="U52" t="e">
            <v>#N/A</v>
          </cell>
          <cell r="V52">
            <v>0</v>
          </cell>
          <cell r="W52">
            <v>0</v>
          </cell>
          <cell r="AH52" t="e">
            <v>#N/A</v>
          </cell>
          <cell r="AI52">
            <v>0</v>
          </cell>
        </row>
        <row r="53">
          <cell r="B53" t="e">
            <v>#N/A</v>
          </cell>
          <cell r="C53" t="e">
            <v>#N/A</v>
          </cell>
          <cell r="D53" t="e">
            <v>#N/A</v>
          </cell>
          <cell r="E53" t="e">
            <v>#N/A</v>
          </cell>
          <cell r="F53" t="e">
            <v>#N/A</v>
          </cell>
          <cell r="G53" t="e">
            <v>#N/A</v>
          </cell>
          <cell r="H53" t="e">
            <v>#N/A</v>
          </cell>
          <cell r="I53" t="e">
            <v>#N/A</v>
          </cell>
          <cell r="J53" t="e">
            <v>#N/A</v>
          </cell>
          <cell r="K53" t="e">
            <v>#N/A</v>
          </cell>
          <cell r="L53" t="e">
            <v>#N/A</v>
          </cell>
          <cell r="M53" t="e">
            <v>#N/A</v>
          </cell>
          <cell r="N53" t="e">
            <v>#N/A</v>
          </cell>
          <cell r="O53" t="e">
            <v>#N/A</v>
          </cell>
          <cell r="P53" t="e">
            <v>#N/A</v>
          </cell>
          <cell r="Q53" t="e">
            <v>#N/A</v>
          </cell>
          <cell r="R53" t="e">
            <v>#N/A</v>
          </cell>
          <cell r="S53" t="e">
            <v>#N/A</v>
          </cell>
          <cell r="T53" t="e">
            <v>#N/A</v>
          </cell>
          <cell r="U53" t="e">
            <v>#N/A</v>
          </cell>
          <cell r="V53">
            <v>0</v>
          </cell>
          <cell r="W53">
            <v>0</v>
          </cell>
          <cell r="AH53" t="e">
            <v>#N/A</v>
          </cell>
          <cell r="AI53">
            <v>0</v>
          </cell>
        </row>
        <row r="54">
          <cell r="B54" t="e">
            <v>#N/A</v>
          </cell>
          <cell r="C54" t="e">
            <v>#N/A</v>
          </cell>
          <cell r="D54" t="e">
            <v>#N/A</v>
          </cell>
          <cell r="E54" t="e">
            <v>#N/A</v>
          </cell>
          <cell r="F54" t="e">
            <v>#N/A</v>
          </cell>
          <cell r="G54" t="e">
            <v>#N/A</v>
          </cell>
          <cell r="H54" t="e">
            <v>#N/A</v>
          </cell>
          <cell r="I54" t="e">
            <v>#N/A</v>
          </cell>
          <cell r="J54" t="e">
            <v>#N/A</v>
          </cell>
          <cell r="K54" t="e">
            <v>#N/A</v>
          </cell>
          <cell r="L54" t="e">
            <v>#N/A</v>
          </cell>
          <cell r="M54" t="e">
            <v>#N/A</v>
          </cell>
          <cell r="N54" t="e">
            <v>#N/A</v>
          </cell>
          <cell r="O54" t="e">
            <v>#N/A</v>
          </cell>
          <cell r="P54" t="e">
            <v>#N/A</v>
          </cell>
          <cell r="Q54" t="e">
            <v>#N/A</v>
          </cell>
          <cell r="R54" t="e">
            <v>#N/A</v>
          </cell>
          <cell r="S54" t="e">
            <v>#N/A</v>
          </cell>
          <cell r="T54" t="e">
            <v>#N/A</v>
          </cell>
          <cell r="U54" t="e">
            <v>#N/A</v>
          </cell>
          <cell r="V54">
            <v>0</v>
          </cell>
          <cell r="W54">
            <v>0</v>
          </cell>
          <cell r="AH54" t="e">
            <v>#N/A</v>
          </cell>
          <cell r="AI54">
            <v>0</v>
          </cell>
        </row>
        <row r="55">
          <cell r="B55" t="e">
            <v>#N/A</v>
          </cell>
          <cell r="C55" t="e">
            <v>#N/A</v>
          </cell>
          <cell r="D55" t="e">
            <v>#N/A</v>
          </cell>
          <cell r="E55" t="e">
            <v>#N/A</v>
          </cell>
          <cell r="F55" t="e">
            <v>#N/A</v>
          </cell>
          <cell r="G55" t="e">
            <v>#N/A</v>
          </cell>
          <cell r="H55" t="e">
            <v>#N/A</v>
          </cell>
          <cell r="I55" t="e">
            <v>#N/A</v>
          </cell>
          <cell r="J55" t="e">
            <v>#N/A</v>
          </cell>
          <cell r="K55" t="e">
            <v>#N/A</v>
          </cell>
          <cell r="L55" t="e">
            <v>#N/A</v>
          </cell>
          <cell r="M55" t="e">
            <v>#N/A</v>
          </cell>
          <cell r="N55" t="e">
            <v>#N/A</v>
          </cell>
          <cell r="O55" t="e">
            <v>#N/A</v>
          </cell>
          <cell r="P55" t="e">
            <v>#N/A</v>
          </cell>
          <cell r="Q55" t="e">
            <v>#N/A</v>
          </cell>
          <cell r="R55" t="e">
            <v>#N/A</v>
          </cell>
          <cell r="S55" t="e">
            <v>#N/A</v>
          </cell>
          <cell r="T55" t="e">
            <v>#N/A</v>
          </cell>
          <cell r="U55" t="e">
            <v>#N/A</v>
          </cell>
          <cell r="V55">
            <v>0</v>
          </cell>
          <cell r="W55">
            <v>0</v>
          </cell>
          <cell r="AH55" t="e">
            <v>#N/A</v>
          </cell>
          <cell r="AI55">
            <v>0</v>
          </cell>
        </row>
        <row r="56">
          <cell r="B56" t="e">
            <v>#N/A</v>
          </cell>
          <cell r="C56" t="e">
            <v>#N/A</v>
          </cell>
          <cell r="D56" t="e">
            <v>#N/A</v>
          </cell>
          <cell r="E56" t="e">
            <v>#N/A</v>
          </cell>
          <cell r="F56" t="e">
            <v>#N/A</v>
          </cell>
          <cell r="G56" t="e">
            <v>#N/A</v>
          </cell>
          <cell r="H56" t="e">
            <v>#N/A</v>
          </cell>
          <cell r="I56" t="e">
            <v>#N/A</v>
          </cell>
          <cell r="J56" t="e">
            <v>#N/A</v>
          </cell>
          <cell r="K56" t="e">
            <v>#N/A</v>
          </cell>
          <cell r="L56" t="e">
            <v>#N/A</v>
          </cell>
          <cell r="M56" t="e">
            <v>#N/A</v>
          </cell>
          <cell r="N56" t="e">
            <v>#N/A</v>
          </cell>
          <cell r="O56" t="e">
            <v>#N/A</v>
          </cell>
          <cell r="P56" t="e">
            <v>#N/A</v>
          </cell>
          <cell r="Q56" t="e">
            <v>#N/A</v>
          </cell>
          <cell r="R56" t="e">
            <v>#N/A</v>
          </cell>
          <cell r="S56" t="e">
            <v>#N/A</v>
          </cell>
          <cell r="T56" t="e">
            <v>#N/A</v>
          </cell>
          <cell r="U56" t="e">
            <v>#N/A</v>
          </cell>
          <cell r="V56">
            <v>0</v>
          </cell>
          <cell r="W56">
            <v>0</v>
          </cell>
          <cell r="AH56" t="e">
            <v>#N/A</v>
          </cell>
          <cell r="AI56">
            <v>0</v>
          </cell>
        </row>
        <row r="57">
          <cell r="A57">
            <v>741</v>
          </cell>
          <cell r="B57" t="str">
            <v>Corporación Ciudad Alfaro</v>
          </cell>
          <cell r="C57" t="str">
            <v>N/A</v>
          </cell>
          <cell r="D57" t="str">
            <v>N/A</v>
          </cell>
          <cell r="E57" t="str">
            <v>N/A</v>
          </cell>
          <cell r="F57" t="str">
            <v>N/A</v>
          </cell>
          <cell r="G57" t="str">
            <v>N/A</v>
          </cell>
          <cell r="H57" t="str">
            <v>NUEVA</v>
          </cell>
          <cell r="I57" t="str">
            <v>Obligaciones de Ejercicios Anteriores por Egresos de Personal</v>
          </cell>
          <cell r="J57" t="str">
            <v>0035</v>
          </cell>
          <cell r="K57" t="str">
            <v>80</v>
          </cell>
          <cell r="L57" t="str">
            <v>000</v>
          </cell>
          <cell r="M57" t="str">
            <v>002</v>
          </cell>
          <cell r="N57" t="str">
            <v>99</v>
          </cell>
          <cell r="O57">
            <v>990101</v>
          </cell>
          <cell r="P57" t="str">
            <v>Obligaciones de Ejercicios Anteriores por Egresos de Personal</v>
          </cell>
          <cell r="Q57">
            <v>1309</v>
          </cell>
          <cell r="R57" t="str">
            <v>001</v>
          </cell>
          <cell r="S57" t="str">
            <v>0000</v>
          </cell>
          <cell r="T57" t="str">
            <v>0000</v>
          </cell>
          <cell r="U57">
            <v>5560.46</v>
          </cell>
          <cell r="V57">
            <v>0</v>
          </cell>
          <cell r="W57">
            <v>0</v>
          </cell>
          <cell r="AA57">
            <v>5560.46</v>
          </cell>
          <cell r="AH57">
            <v>5560.46</v>
          </cell>
          <cell r="AI57">
            <v>5560.46</v>
          </cell>
        </row>
        <row r="58">
          <cell r="B58" t="e">
            <v>#N/A</v>
          </cell>
          <cell r="C58" t="e">
            <v>#N/A</v>
          </cell>
          <cell r="D58" t="e">
            <v>#N/A</v>
          </cell>
          <cell r="E58" t="e">
            <v>#N/A</v>
          </cell>
          <cell r="F58" t="e">
            <v>#N/A</v>
          </cell>
          <cell r="G58" t="e">
            <v>#N/A</v>
          </cell>
          <cell r="H58" t="e">
            <v>#N/A</v>
          </cell>
          <cell r="I58" t="e">
            <v>#N/A</v>
          </cell>
          <cell r="J58" t="e">
            <v>#N/A</v>
          </cell>
          <cell r="K58" t="e">
            <v>#N/A</v>
          </cell>
          <cell r="L58" t="e">
            <v>#N/A</v>
          </cell>
          <cell r="M58" t="e">
            <v>#N/A</v>
          </cell>
          <cell r="N58" t="e">
            <v>#N/A</v>
          </cell>
          <cell r="O58" t="e">
            <v>#N/A</v>
          </cell>
          <cell r="P58" t="e">
            <v>#N/A</v>
          </cell>
          <cell r="Q58" t="e">
            <v>#N/A</v>
          </cell>
          <cell r="R58" t="e">
            <v>#N/A</v>
          </cell>
          <cell r="S58" t="e">
            <v>#N/A</v>
          </cell>
          <cell r="T58" t="e">
            <v>#N/A</v>
          </cell>
          <cell r="U58" t="e">
            <v>#N/A</v>
          </cell>
          <cell r="V58">
            <v>0</v>
          </cell>
          <cell r="W58">
            <v>0</v>
          </cell>
          <cell r="AH58" t="e">
            <v>#N/A</v>
          </cell>
          <cell r="AI58">
            <v>0</v>
          </cell>
        </row>
        <row r="59">
          <cell r="B59" t="e">
            <v>#N/A</v>
          </cell>
          <cell r="C59" t="e">
            <v>#N/A</v>
          </cell>
          <cell r="D59" t="e">
            <v>#N/A</v>
          </cell>
          <cell r="E59" t="e">
            <v>#N/A</v>
          </cell>
          <cell r="F59" t="e">
            <v>#N/A</v>
          </cell>
          <cell r="G59" t="e">
            <v>#N/A</v>
          </cell>
          <cell r="H59" t="e">
            <v>#N/A</v>
          </cell>
          <cell r="I59" t="e">
            <v>#N/A</v>
          </cell>
          <cell r="J59" t="e">
            <v>#N/A</v>
          </cell>
          <cell r="K59" t="e">
            <v>#N/A</v>
          </cell>
          <cell r="L59" t="e">
            <v>#N/A</v>
          </cell>
          <cell r="M59" t="e">
            <v>#N/A</v>
          </cell>
          <cell r="N59" t="e">
            <v>#N/A</v>
          </cell>
          <cell r="O59" t="e">
            <v>#N/A</v>
          </cell>
          <cell r="P59" t="e">
            <v>#N/A</v>
          </cell>
          <cell r="Q59" t="e">
            <v>#N/A</v>
          </cell>
          <cell r="R59" t="e">
            <v>#N/A</v>
          </cell>
          <cell r="S59" t="e">
            <v>#N/A</v>
          </cell>
          <cell r="T59" t="e">
            <v>#N/A</v>
          </cell>
          <cell r="U59" t="e">
            <v>#N/A</v>
          </cell>
          <cell r="V59">
            <v>0</v>
          </cell>
          <cell r="W59">
            <v>0</v>
          </cell>
          <cell r="AH59" t="e">
            <v>#N/A</v>
          </cell>
          <cell r="AI59">
            <v>0</v>
          </cell>
        </row>
        <row r="60">
          <cell r="B60" t="e">
            <v>#N/A</v>
          </cell>
          <cell r="C60" t="e">
            <v>#N/A</v>
          </cell>
          <cell r="D60" t="e">
            <v>#N/A</v>
          </cell>
          <cell r="E60" t="e">
            <v>#N/A</v>
          </cell>
          <cell r="F60" t="e">
            <v>#N/A</v>
          </cell>
          <cell r="G60" t="e">
            <v>#N/A</v>
          </cell>
          <cell r="H60" t="e">
            <v>#N/A</v>
          </cell>
          <cell r="I60" t="e">
            <v>#N/A</v>
          </cell>
          <cell r="J60" t="e">
            <v>#N/A</v>
          </cell>
          <cell r="K60" t="e">
            <v>#N/A</v>
          </cell>
          <cell r="L60" t="e">
            <v>#N/A</v>
          </cell>
          <cell r="M60" t="e">
            <v>#N/A</v>
          </cell>
          <cell r="N60" t="e">
            <v>#N/A</v>
          </cell>
          <cell r="O60" t="e">
            <v>#N/A</v>
          </cell>
          <cell r="P60" t="e">
            <v>#N/A</v>
          </cell>
          <cell r="Q60" t="e">
            <v>#N/A</v>
          </cell>
          <cell r="R60" t="e">
            <v>#N/A</v>
          </cell>
          <cell r="S60" t="e">
            <v>#N/A</v>
          </cell>
          <cell r="T60" t="e">
            <v>#N/A</v>
          </cell>
          <cell r="U60" t="e">
            <v>#N/A</v>
          </cell>
          <cell r="V60">
            <v>0</v>
          </cell>
          <cell r="W60">
            <v>0</v>
          </cell>
          <cell r="AH60" t="e">
            <v>#N/A</v>
          </cell>
          <cell r="AI60">
            <v>0</v>
          </cell>
        </row>
        <row r="61">
          <cell r="B61" t="e">
            <v>#N/A</v>
          </cell>
          <cell r="C61" t="e">
            <v>#N/A</v>
          </cell>
          <cell r="D61" t="e">
            <v>#N/A</v>
          </cell>
          <cell r="E61" t="e">
            <v>#N/A</v>
          </cell>
          <cell r="F61" t="e">
            <v>#N/A</v>
          </cell>
          <cell r="G61" t="e">
            <v>#N/A</v>
          </cell>
          <cell r="H61" t="e">
            <v>#N/A</v>
          </cell>
          <cell r="I61" t="e">
            <v>#N/A</v>
          </cell>
          <cell r="J61" t="e">
            <v>#N/A</v>
          </cell>
          <cell r="K61" t="e">
            <v>#N/A</v>
          </cell>
          <cell r="L61" t="e">
            <v>#N/A</v>
          </cell>
          <cell r="M61" t="e">
            <v>#N/A</v>
          </cell>
          <cell r="N61" t="e">
            <v>#N/A</v>
          </cell>
          <cell r="O61" t="e">
            <v>#N/A</v>
          </cell>
          <cell r="P61" t="e">
            <v>#N/A</v>
          </cell>
          <cell r="Q61" t="e">
            <v>#N/A</v>
          </cell>
          <cell r="R61" t="e">
            <v>#N/A</v>
          </cell>
          <cell r="S61" t="e">
            <v>#N/A</v>
          </cell>
          <cell r="T61" t="e">
            <v>#N/A</v>
          </cell>
          <cell r="U61" t="e">
            <v>#N/A</v>
          </cell>
          <cell r="V61">
            <v>0</v>
          </cell>
          <cell r="W61">
            <v>0</v>
          </cell>
          <cell r="AH61" t="e">
            <v>#N/A</v>
          </cell>
          <cell r="AI61">
            <v>0</v>
          </cell>
        </row>
        <row r="62">
          <cell r="B62" t="e">
            <v>#N/A</v>
          </cell>
          <cell r="C62" t="e">
            <v>#N/A</v>
          </cell>
          <cell r="D62" t="e">
            <v>#N/A</v>
          </cell>
          <cell r="E62" t="e">
            <v>#N/A</v>
          </cell>
          <cell r="F62" t="e">
            <v>#N/A</v>
          </cell>
          <cell r="G62" t="e">
            <v>#N/A</v>
          </cell>
          <cell r="H62" t="e">
            <v>#N/A</v>
          </cell>
          <cell r="I62" t="e">
            <v>#N/A</v>
          </cell>
          <cell r="J62" t="e">
            <v>#N/A</v>
          </cell>
          <cell r="K62" t="e">
            <v>#N/A</v>
          </cell>
          <cell r="L62" t="e">
            <v>#N/A</v>
          </cell>
          <cell r="M62" t="e">
            <v>#N/A</v>
          </cell>
          <cell r="N62" t="e">
            <v>#N/A</v>
          </cell>
          <cell r="O62" t="e">
            <v>#N/A</v>
          </cell>
          <cell r="P62" t="e">
            <v>#N/A</v>
          </cell>
          <cell r="Q62" t="e">
            <v>#N/A</v>
          </cell>
          <cell r="R62" t="e">
            <v>#N/A</v>
          </cell>
          <cell r="S62" t="e">
            <v>#N/A</v>
          </cell>
          <cell r="T62" t="e">
            <v>#N/A</v>
          </cell>
          <cell r="U62" t="e">
            <v>#N/A</v>
          </cell>
          <cell r="V62">
            <v>0</v>
          </cell>
          <cell r="W62">
            <v>0</v>
          </cell>
          <cell r="AH62" t="e">
            <v>#N/A</v>
          </cell>
          <cell r="AI62">
            <v>0</v>
          </cell>
        </row>
        <row r="63">
          <cell r="B63" t="e">
            <v>#N/A</v>
          </cell>
          <cell r="C63" t="e">
            <v>#N/A</v>
          </cell>
          <cell r="D63" t="e">
            <v>#N/A</v>
          </cell>
          <cell r="E63" t="e">
            <v>#N/A</v>
          </cell>
          <cell r="F63" t="e">
            <v>#N/A</v>
          </cell>
          <cell r="G63" t="e">
            <v>#N/A</v>
          </cell>
          <cell r="H63" t="e">
            <v>#N/A</v>
          </cell>
          <cell r="I63" t="e">
            <v>#N/A</v>
          </cell>
          <cell r="J63" t="e">
            <v>#N/A</v>
          </cell>
          <cell r="K63" t="e">
            <v>#N/A</v>
          </cell>
          <cell r="L63" t="e">
            <v>#N/A</v>
          </cell>
          <cell r="M63" t="e">
            <v>#N/A</v>
          </cell>
          <cell r="N63" t="e">
            <v>#N/A</v>
          </cell>
          <cell r="O63" t="e">
            <v>#N/A</v>
          </cell>
          <cell r="P63" t="e">
            <v>#N/A</v>
          </cell>
          <cell r="Q63" t="e">
            <v>#N/A</v>
          </cell>
          <cell r="R63" t="e">
            <v>#N/A</v>
          </cell>
          <cell r="S63" t="e">
            <v>#N/A</v>
          </cell>
          <cell r="T63" t="e">
            <v>#N/A</v>
          </cell>
          <cell r="U63" t="e">
            <v>#N/A</v>
          </cell>
          <cell r="V63">
            <v>0</v>
          </cell>
          <cell r="W63">
            <v>0</v>
          </cell>
          <cell r="AH63" t="e">
            <v>#N/A</v>
          </cell>
          <cell r="AI63">
            <v>0</v>
          </cell>
        </row>
        <row r="64">
          <cell r="B64" t="e">
            <v>#N/A</v>
          </cell>
          <cell r="C64" t="e">
            <v>#N/A</v>
          </cell>
          <cell r="D64" t="e">
            <v>#N/A</v>
          </cell>
          <cell r="E64" t="e">
            <v>#N/A</v>
          </cell>
          <cell r="F64" t="e">
            <v>#N/A</v>
          </cell>
          <cell r="G64" t="e">
            <v>#N/A</v>
          </cell>
          <cell r="H64" t="e">
            <v>#N/A</v>
          </cell>
          <cell r="I64" t="e">
            <v>#N/A</v>
          </cell>
          <cell r="J64" t="e">
            <v>#N/A</v>
          </cell>
          <cell r="K64" t="e">
            <v>#N/A</v>
          </cell>
          <cell r="L64" t="e">
            <v>#N/A</v>
          </cell>
          <cell r="M64" t="e">
            <v>#N/A</v>
          </cell>
          <cell r="N64" t="e">
            <v>#N/A</v>
          </cell>
          <cell r="O64" t="e">
            <v>#N/A</v>
          </cell>
          <cell r="P64" t="e">
            <v>#N/A</v>
          </cell>
          <cell r="Q64" t="e">
            <v>#N/A</v>
          </cell>
          <cell r="R64" t="e">
            <v>#N/A</v>
          </cell>
          <cell r="S64" t="e">
            <v>#N/A</v>
          </cell>
          <cell r="T64" t="e">
            <v>#N/A</v>
          </cell>
          <cell r="U64" t="e">
            <v>#N/A</v>
          </cell>
          <cell r="V64">
            <v>0</v>
          </cell>
          <cell r="W64">
            <v>0</v>
          </cell>
          <cell r="AH64" t="e">
            <v>#N/A</v>
          </cell>
          <cell r="AI64">
            <v>0</v>
          </cell>
        </row>
        <row r="65">
          <cell r="B65" t="e">
            <v>#N/A</v>
          </cell>
          <cell r="C65" t="e">
            <v>#N/A</v>
          </cell>
          <cell r="D65" t="e">
            <v>#N/A</v>
          </cell>
          <cell r="E65" t="e">
            <v>#N/A</v>
          </cell>
          <cell r="F65" t="e">
            <v>#N/A</v>
          </cell>
          <cell r="G65" t="e">
            <v>#N/A</v>
          </cell>
          <cell r="H65" t="e">
            <v>#N/A</v>
          </cell>
          <cell r="I65" t="e">
            <v>#N/A</v>
          </cell>
          <cell r="J65" t="e">
            <v>#N/A</v>
          </cell>
          <cell r="K65" t="e">
            <v>#N/A</v>
          </cell>
          <cell r="L65" t="e">
            <v>#N/A</v>
          </cell>
          <cell r="M65" t="e">
            <v>#N/A</v>
          </cell>
          <cell r="N65" t="e">
            <v>#N/A</v>
          </cell>
          <cell r="O65" t="e">
            <v>#N/A</v>
          </cell>
          <cell r="P65" t="e">
            <v>#N/A</v>
          </cell>
          <cell r="Q65" t="e">
            <v>#N/A</v>
          </cell>
          <cell r="R65" t="e">
            <v>#N/A</v>
          </cell>
          <cell r="S65" t="e">
            <v>#N/A</v>
          </cell>
          <cell r="T65" t="e">
            <v>#N/A</v>
          </cell>
          <cell r="U65" t="e">
            <v>#N/A</v>
          </cell>
          <cell r="V65">
            <v>0</v>
          </cell>
          <cell r="W65">
            <v>0</v>
          </cell>
          <cell r="AH65" t="e">
            <v>#N/A</v>
          </cell>
          <cell r="AI65">
            <v>0</v>
          </cell>
        </row>
        <row r="66">
          <cell r="B66" t="e">
            <v>#N/A</v>
          </cell>
          <cell r="C66" t="e">
            <v>#N/A</v>
          </cell>
          <cell r="D66" t="e">
            <v>#N/A</v>
          </cell>
          <cell r="E66" t="e">
            <v>#N/A</v>
          </cell>
          <cell r="F66" t="e">
            <v>#N/A</v>
          </cell>
          <cell r="G66" t="e">
            <v>#N/A</v>
          </cell>
          <cell r="H66" t="e">
            <v>#N/A</v>
          </cell>
          <cell r="I66" t="e">
            <v>#N/A</v>
          </cell>
          <cell r="J66" t="e">
            <v>#N/A</v>
          </cell>
          <cell r="K66" t="e">
            <v>#N/A</v>
          </cell>
          <cell r="L66" t="e">
            <v>#N/A</v>
          </cell>
          <cell r="M66" t="e">
            <v>#N/A</v>
          </cell>
          <cell r="N66" t="e">
            <v>#N/A</v>
          </cell>
          <cell r="O66" t="e">
            <v>#N/A</v>
          </cell>
          <cell r="P66" t="e">
            <v>#N/A</v>
          </cell>
          <cell r="Q66" t="e">
            <v>#N/A</v>
          </cell>
          <cell r="R66" t="e">
            <v>#N/A</v>
          </cell>
          <cell r="S66" t="e">
            <v>#N/A</v>
          </cell>
          <cell r="T66" t="e">
            <v>#N/A</v>
          </cell>
          <cell r="U66" t="e">
            <v>#N/A</v>
          </cell>
          <cell r="V66">
            <v>0</v>
          </cell>
          <cell r="W66">
            <v>0</v>
          </cell>
          <cell r="AH66" t="e">
            <v>#N/A</v>
          </cell>
          <cell r="AI66">
            <v>0</v>
          </cell>
        </row>
        <row r="67">
          <cell r="B67" t="e">
            <v>#N/A</v>
          </cell>
          <cell r="C67" t="e">
            <v>#N/A</v>
          </cell>
          <cell r="D67" t="e">
            <v>#N/A</v>
          </cell>
          <cell r="E67" t="e">
            <v>#N/A</v>
          </cell>
          <cell r="F67" t="e">
            <v>#N/A</v>
          </cell>
          <cell r="G67" t="e">
            <v>#N/A</v>
          </cell>
          <cell r="H67" t="e">
            <v>#N/A</v>
          </cell>
          <cell r="I67" t="e">
            <v>#N/A</v>
          </cell>
          <cell r="J67" t="e">
            <v>#N/A</v>
          </cell>
          <cell r="K67" t="e">
            <v>#N/A</v>
          </cell>
          <cell r="L67" t="e">
            <v>#N/A</v>
          </cell>
          <cell r="M67" t="e">
            <v>#N/A</v>
          </cell>
          <cell r="N67" t="e">
            <v>#N/A</v>
          </cell>
          <cell r="O67" t="e">
            <v>#N/A</v>
          </cell>
          <cell r="P67" t="e">
            <v>#N/A</v>
          </cell>
          <cell r="Q67" t="e">
            <v>#N/A</v>
          </cell>
          <cell r="R67" t="e">
            <v>#N/A</v>
          </cell>
          <cell r="S67" t="e">
            <v>#N/A</v>
          </cell>
          <cell r="T67" t="e">
            <v>#N/A</v>
          </cell>
          <cell r="U67" t="e">
            <v>#N/A</v>
          </cell>
          <cell r="V67">
            <v>0</v>
          </cell>
          <cell r="W67">
            <v>0</v>
          </cell>
          <cell r="AH67" t="e">
            <v>#N/A</v>
          </cell>
          <cell r="AI67">
            <v>0</v>
          </cell>
        </row>
        <row r="68">
          <cell r="B68" t="e">
            <v>#N/A</v>
          </cell>
          <cell r="C68" t="e">
            <v>#N/A</v>
          </cell>
          <cell r="D68" t="e">
            <v>#N/A</v>
          </cell>
          <cell r="E68" t="e">
            <v>#N/A</v>
          </cell>
          <cell r="F68" t="e">
            <v>#N/A</v>
          </cell>
          <cell r="G68" t="e">
            <v>#N/A</v>
          </cell>
          <cell r="H68" t="e">
            <v>#N/A</v>
          </cell>
          <cell r="I68" t="e">
            <v>#N/A</v>
          </cell>
          <cell r="J68" t="e">
            <v>#N/A</v>
          </cell>
          <cell r="K68" t="e">
            <v>#N/A</v>
          </cell>
          <cell r="L68" t="e">
            <v>#N/A</v>
          </cell>
          <cell r="M68" t="e">
            <v>#N/A</v>
          </cell>
          <cell r="N68" t="e">
            <v>#N/A</v>
          </cell>
          <cell r="O68" t="e">
            <v>#N/A</v>
          </cell>
          <cell r="P68" t="e">
            <v>#N/A</v>
          </cell>
          <cell r="Q68" t="e">
            <v>#N/A</v>
          </cell>
          <cell r="R68" t="e">
            <v>#N/A</v>
          </cell>
          <cell r="S68" t="e">
            <v>#N/A</v>
          </cell>
          <cell r="T68" t="e">
            <v>#N/A</v>
          </cell>
          <cell r="U68" t="e">
            <v>#N/A</v>
          </cell>
          <cell r="V68">
            <v>0</v>
          </cell>
          <cell r="W68">
            <v>0</v>
          </cell>
          <cell r="AH68" t="e">
            <v>#N/A</v>
          </cell>
          <cell r="AI68">
            <v>0</v>
          </cell>
        </row>
        <row r="69">
          <cell r="B69" t="e">
            <v>#N/A</v>
          </cell>
          <cell r="C69" t="e">
            <v>#N/A</v>
          </cell>
          <cell r="D69" t="e">
            <v>#N/A</v>
          </cell>
          <cell r="E69" t="e">
            <v>#N/A</v>
          </cell>
          <cell r="F69" t="e">
            <v>#N/A</v>
          </cell>
          <cell r="G69" t="e">
            <v>#N/A</v>
          </cell>
          <cell r="H69" t="e">
            <v>#N/A</v>
          </cell>
          <cell r="I69" t="e">
            <v>#N/A</v>
          </cell>
          <cell r="J69" t="e">
            <v>#N/A</v>
          </cell>
          <cell r="K69" t="e">
            <v>#N/A</v>
          </cell>
          <cell r="L69" t="e">
            <v>#N/A</v>
          </cell>
          <cell r="M69" t="e">
            <v>#N/A</v>
          </cell>
          <cell r="N69" t="e">
            <v>#N/A</v>
          </cell>
          <cell r="O69" t="e">
            <v>#N/A</v>
          </cell>
          <cell r="P69" t="e">
            <v>#N/A</v>
          </cell>
          <cell r="Q69" t="e">
            <v>#N/A</v>
          </cell>
          <cell r="R69" t="e">
            <v>#N/A</v>
          </cell>
          <cell r="S69" t="e">
            <v>#N/A</v>
          </cell>
          <cell r="T69" t="e">
            <v>#N/A</v>
          </cell>
          <cell r="U69" t="e">
            <v>#N/A</v>
          </cell>
          <cell r="V69">
            <v>0</v>
          </cell>
          <cell r="W69">
            <v>0</v>
          </cell>
          <cell r="AH69" t="e">
            <v>#N/A</v>
          </cell>
          <cell r="AI69">
            <v>0</v>
          </cell>
        </row>
        <row r="70">
          <cell r="B70" t="e">
            <v>#N/A</v>
          </cell>
          <cell r="C70" t="e">
            <v>#N/A</v>
          </cell>
          <cell r="D70" t="e">
            <v>#N/A</v>
          </cell>
          <cell r="E70" t="e">
            <v>#N/A</v>
          </cell>
          <cell r="F70" t="e">
            <v>#N/A</v>
          </cell>
          <cell r="G70" t="e">
            <v>#N/A</v>
          </cell>
          <cell r="H70" t="e">
            <v>#N/A</v>
          </cell>
          <cell r="I70" t="e">
            <v>#N/A</v>
          </cell>
          <cell r="J70" t="e">
            <v>#N/A</v>
          </cell>
          <cell r="K70" t="e">
            <v>#N/A</v>
          </cell>
          <cell r="L70" t="e">
            <v>#N/A</v>
          </cell>
          <cell r="M70" t="e">
            <v>#N/A</v>
          </cell>
          <cell r="N70" t="e">
            <v>#N/A</v>
          </cell>
          <cell r="O70" t="e">
            <v>#N/A</v>
          </cell>
          <cell r="P70" t="e">
            <v>#N/A</v>
          </cell>
          <cell r="Q70" t="e">
            <v>#N/A</v>
          </cell>
          <cell r="R70" t="e">
            <v>#N/A</v>
          </cell>
          <cell r="S70" t="e">
            <v>#N/A</v>
          </cell>
          <cell r="T70" t="e">
            <v>#N/A</v>
          </cell>
          <cell r="U70" t="e">
            <v>#N/A</v>
          </cell>
          <cell r="V70">
            <v>0</v>
          </cell>
          <cell r="W70">
            <v>0</v>
          </cell>
          <cell r="AH70" t="e">
            <v>#N/A</v>
          </cell>
          <cell r="AI70">
            <v>0</v>
          </cell>
        </row>
        <row r="71">
          <cell r="B71" t="e">
            <v>#N/A</v>
          </cell>
          <cell r="C71" t="e">
            <v>#N/A</v>
          </cell>
          <cell r="D71" t="e">
            <v>#N/A</v>
          </cell>
          <cell r="E71" t="e">
            <v>#N/A</v>
          </cell>
          <cell r="F71" t="e">
            <v>#N/A</v>
          </cell>
          <cell r="G71" t="e">
            <v>#N/A</v>
          </cell>
          <cell r="H71" t="e">
            <v>#N/A</v>
          </cell>
          <cell r="I71" t="e">
            <v>#N/A</v>
          </cell>
          <cell r="J71" t="e">
            <v>#N/A</v>
          </cell>
          <cell r="K71" t="e">
            <v>#N/A</v>
          </cell>
          <cell r="L71" t="e">
            <v>#N/A</v>
          </cell>
          <cell r="M71" t="e">
            <v>#N/A</v>
          </cell>
          <cell r="N71" t="e">
            <v>#N/A</v>
          </cell>
          <cell r="O71" t="e">
            <v>#N/A</v>
          </cell>
          <cell r="P71" t="e">
            <v>#N/A</v>
          </cell>
          <cell r="Q71" t="e">
            <v>#N/A</v>
          </cell>
          <cell r="R71" t="e">
            <v>#N/A</v>
          </cell>
          <cell r="S71" t="e">
            <v>#N/A</v>
          </cell>
          <cell r="T71" t="e">
            <v>#N/A</v>
          </cell>
          <cell r="U71" t="e">
            <v>#N/A</v>
          </cell>
          <cell r="V71">
            <v>0</v>
          </cell>
          <cell r="W71">
            <v>0</v>
          </cell>
          <cell r="AH71" t="e">
            <v>#N/A</v>
          </cell>
          <cell r="AI71">
            <v>0</v>
          </cell>
        </row>
        <row r="72">
          <cell r="B72" t="e">
            <v>#N/A</v>
          </cell>
          <cell r="C72" t="e">
            <v>#N/A</v>
          </cell>
          <cell r="D72" t="e">
            <v>#N/A</v>
          </cell>
          <cell r="E72" t="e">
            <v>#N/A</v>
          </cell>
          <cell r="F72" t="e">
            <v>#N/A</v>
          </cell>
          <cell r="G72" t="e">
            <v>#N/A</v>
          </cell>
          <cell r="H72" t="e">
            <v>#N/A</v>
          </cell>
          <cell r="I72" t="e">
            <v>#N/A</v>
          </cell>
          <cell r="J72" t="e">
            <v>#N/A</v>
          </cell>
          <cell r="K72" t="e">
            <v>#N/A</v>
          </cell>
          <cell r="L72" t="e">
            <v>#N/A</v>
          </cell>
          <cell r="M72" t="e">
            <v>#N/A</v>
          </cell>
          <cell r="N72" t="e">
            <v>#N/A</v>
          </cell>
          <cell r="O72" t="e">
            <v>#N/A</v>
          </cell>
          <cell r="P72" t="e">
            <v>#N/A</v>
          </cell>
          <cell r="Q72" t="e">
            <v>#N/A</v>
          </cell>
          <cell r="R72" t="e">
            <v>#N/A</v>
          </cell>
          <cell r="S72" t="e">
            <v>#N/A</v>
          </cell>
          <cell r="T72" t="e">
            <v>#N/A</v>
          </cell>
          <cell r="U72" t="e">
            <v>#N/A</v>
          </cell>
          <cell r="V72">
            <v>0</v>
          </cell>
          <cell r="W72">
            <v>0</v>
          </cell>
          <cell r="AH72" t="e">
            <v>#N/A</v>
          </cell>
          <cell r="AI72">
            <v>0</v>
          </cell>
        </row>
        <row r="73">
          <cell r="B73" t="e">
            <v>#N/A</v>
          </cell>
          <cell r="C73" t="e">
            <v>#N/A</v>
          </cell>
          <cell r="D73" t="e">
            <v>#N/A</v>
          </cell>
          <cell r="E73" t="e">
            <v>#N/A</v>
          </cell>
          <cell r="F73" t="e">
            <v>#N/A</v>
          </cell>
          <cell r="G73" t="e">
            <v>#N/A</v>
          </cell>
          <cell r="H73" t="e">
            <v>#N/A</v>
          </cell>
          <cell r="I73" t="e">
            <v>#N/A</v>
          </cell>
          <cell r="J73" t="e">
            <v>#N/A</v>
          </cell>
          <cell r="K73" t="e">
            <v>#N/A</v>
          </cell>
          <cell r="L73" t="e">
            <v>#N/A</v>
          </cell>
          <cell r="M73" t="e">
            <v>#N/A</v>
          </cell>
          <cell r="N73" t="e">
            <v>#N/A</v>
          </cell>
          <cell r="O73" t="e">
            <v>#N/A</v>
          </cell>
          <cell r="P73" t="e">
            <v>#N/A</v>
          </cell>
          <cell r="Q73" t="e">
            <v>#N/A</v>
          </cell>
          <cell r="R73" t="e">
            <v>#N/A</v>
          </cell>
          <cell r="S73" t="e">
            <v>#N/A</v>
          </cell>
          <cell r="T73" t="e">
            <v>#N/A</v>
          </cell>
          <cell r="U73" t="e">
            <v>#N/A</v>
          </cell>
          <cell r="V73">
            <v>0</v>
          </cell>
          <cell r="W73">
            <v>0</v>
          </cell>
          <cell r="AH73" t="e">
            <v>#N/A</v>
          </cell>
          <cell r="AI73">
            <v>0</v>
          </cell>
        </row>
        <row r="74">
          <cell r="B74" t="e">
            <v>#N/A</v>
          </cell>
          <cell r="C74" t="e">
            <v>#N/A</v>
          </cell>
          <cell r="D74" t="e">
            <v>#N/A</v>
          </cell>
          <cell r="E74" t="e">
            <v>#N/A</v>
          </cell>
          <cell r="F74" t="e">
            <v>#N/A</v>
          </cell>
          <cell r="G74" t="e">
            <v>#N/A</v>
          </cell>
          <cell r="H74" t="e">
            <v>#N/A</v>
          </cell>
          <cell r="I74" t="e">
            <v>#N/A</v>
          </cell>
          <cell r="J74" t="e">
            <v>#N/A</v>
          </cell>
          <cell r="K74" t="e">
            <v>#N/A</v>
          </cell>
          <cell r="L74" t="e">
            <v>#N/A</v>
          </cell>
          <cell r="M74" t="e">
            <v>#N/A</v>
          </cell>
          <cell r="N74" t="e">
            <v>#N/A</v>
          </cell>
          <cell r="O74" t="e">
            <v>#N/A</v>
          </cell>
          <cell r="P74" t="e">
            <v>#N/A</v>
          </cell>
          <cell r="Q74" t="e">
            <v>#N/A</v>
          </cell>
          <cell r="R74" t="e">
            <v>#N/A</v>
          </cell>
          <cell r="S74" t="e">
            <v>#N/A</v>
          </cell>
          <cell r="T74" t="e">
            <v>#N/A</v>
          </cell>
          <cell r="U74" t="e">
            <v>#N/A</v>
          </cell>
          <cell r="V74">
            <v>0</v>
          </cell>
          <cell r="W74">
            <v>0</v>
          </cell>
          <cell r="AH74" t="e">
            <v>#N/A</v>
          </cell>
          <cell r="AI74">
            <v>0</v>
          </cell>
        </row>
        <row r="75">
          <cell r="B75" t="e">
            <v>#N/A</v>
          </cell>
          <cell r="C75" t="e">
            <v>#N/A</v>
          </cell>
          <cell r="D75" t="e">
            <v>#N/A</v>
          </cell>
          <cell r="E75" t="e">
            <v>#N/A</v>
          </cell>
          <cell r="F75" t="e">
            <v>#N/A</v>
          </cell>
          <cell r="G75" t="e">
            <v>#N/A</v>
          </cell>
          <cell r="H75" t="e">
            <v>#N/A</v>
          </cell>
          <cell r="I75" t="e">
            <v>#N/A</v>
          </cell>
          <cell r="J75" t="e">
            <v>#N/A</v>
          </cell>
          <cell r="K75" t="e">
            <v>#N/A</v>
          </cell>
          <cell r="L75" t="e">
            <v>#N/A</v>
          </cell>
          <cell r="M75" t="e">
            <v>#N/A</v>
          </cell>
          <cell r="N75" t="e">
            <v>#N/A</v>
          </cell>
          <cell r="O75" t="e">
            <v>#N/A</v>
          </cell>
          <cell r="P75" t="e">
            <v>#N/A</v>
          </cell>
          <cell r="Q75" t="e">
            <v>#N/A</v>
          </cell>
          <cell r="R75" t="e">
            <v>#N/A</v>
          </cell>
          <cell r="S75" t="e">
            <v>#N/A</v>
          </cell>
          <cell r="T75" t="e">
            <v>#N/A</v>
          </cell>
          <cell r="U75" t="e">
            <v>#N/A</v>
          </cell>
          <cell r="V75">
            <v>0</v>
          </cell>
          <cell r="W75">
            <v>0</v>
          </cell>
          <cell r="AH75" t="e">
            <v>#N/A</v>
          </cell>
          <cell r="AI75">
            <v>0</v>
          </cell>
        </row>
        <row r="76">
          <cell r="B76" t="e">
            <v>#N/A</v>
          </cell>
          <cell r="C76" t="e">
            <v>#N/A</v>
          </cell>
          <cell r="D76" t="e">
            <v>#N/A</v>
          </cell>
          <cell r="E76" t="e">
            <v>#N/A</v>
          </cell>
          <cell r="F76" t="e">
            <v>#N/A</v>
          </cell>
          <cell r="G76" t="e">
            <v>#N/A</v>
          </cell>
          <cell r="H76" t="e">
            <v>#N/A</v>
          </cell>
          <cell r="I76" t="e">
            <v>#N/A</v>
          </cell>
          <cell r="J76" t="e">
            <v>#N/A</v>
          </cell>
          <cell r="K76" t="e">
            <v>#N/A</v>
          </cell>
          <cell r="L76" t="e">
            <v>#N/A</v>
          </cell>
          <cell r="M76" t="e">
            <v>#N/A</v>
          </cell>
          <cell r="N76" t="e">
            <v>#N/A</v>
          </cell>
          <cell r="O76" t="e">
            <v>#N/A</v>
          </cell>
          <cell r="P76" t="e">
            <v>#N/A</v>
          </cell>
          <cell r="Q76" t="e">
            <v>#N/A</v>
          </cell>
          <cell r="R76" t="e">
            <v>#N/A</v>
          </cell>
          <cell r="S76" t="e">
            <v>#N/A</v>
          </cell>
          <cell r="T76" t="e">
            <v>#N/A</v>
          </cell>
          <cell r="U76" t="e">
            <v>#N/A</v>
          </cell>
          <cell r="V76">
            <v>0</v>
          </cell>
          <cell r="W76">
            <v>0</v>
          </cell>
          <cell r="AH76" t="e">
            <v>#N/A</v>
          </cell>
          <cell r="AI76">
            <v>0</v>
          </cell>
        </row>
        <row r="77">
          <cell r="B77" t="e">
            <v>#N/A</v>
          </cell>
          <cell r="C77" t="e">
            <v>#N/A</v>
          </cell>
          <cell r="D77" t="e">
            <v>#N/A</v>
          </cell>
          <cell r="E77" t="e">
            <v>#N/A</v>
          </cell>
          <cell r="F77" t="e">
            <v>#N/A</v>
          </cell>
          <cell r="G77" t="e">
            <v>#N/A</v>
          </cell>
          <cell r="H77" t="e">
            <v>#N/A</v>
          </cell>
          <cell r="I77" t="e">
            <v>#N/A</v>
          </cell>
          <cell r="J77" t="e">
            <v>#N/A</v>
          </cell>
          <cell r="K77" t="e">
            <v>#N/A</v>
          </cell>
          <cell r="L77" t="e">
            <v>#N/A</v>
          </cell>
          <cell r="M77" t="e">
            <v>#N/A</v>
          </cell>
          <cell r="N77" t="e">
            <v>#N/A</v>
          </cell>
          <cell r="O77" t="e">
            <v>#N/A</v>
          </cell>
          <cell r="P77" t="e">
            <v>#N/A</v>
          </cell>
          <cell r="Q77" t="e">
            <v>#N/A</v>
          </cell>
          <cell r="R77" t="e">
            <v>#N/A</v>
          </cell>
          <cell r="S77" t="e">
            <v>#N/A</v>
          </cell>
          <cell r="T77" t="e">
            <v>#N/A</v>
          </cell>
          <cell r="U77" t="e">
            <v>#N/A</v>
          </cell>
          <cell r="V77">
            <v>0</v>
          </cell>
          <cell r="W77">
            <v>0</v>
          </cell>
          <cell r="AH77" t="e">
            <v>#N/A</v>
          </cell>
          <cell r="AI77">
            <v>0</v>
          </cell>
        </row>
        <row r="78">
          <cell r="B78" t="e">
            <v>#N/A</v>
          </cell>
          <cell r="C78" t="e">
            <v>#N/A</v>
          </cell>
          <cell r="D78" t="e">
            <v>#N/A</v>
          </cell>
          <cell r="E78" t="e">
            <v>#N/A</v>
          </cell>
          <cell r="F78" t="e">
            <v>#N/A</v>
          </cell>
          <cell r="G78" t="e">
            <v>#N/A</v>
          </cell>
          <cell r="H78" t="e">
            <v>#N/A</v>
          </cell>
          <cell r="I78" t="e">
            <v>#N/A</v>
          </cell>
          <cell r="J78" t="e">
            <v>#N/A</v>
          </cell>
          <cell r="K78" t="e">
            <v>#N/A</v>
          </cell>
          <cell r="L78" t="e">
            <v>#N/A</v>
          </cell>
          <cell r="M78" t="e">
            <v>#N/A</v>
          </cell>
          <cell r="N78" t="e">
            <v>#N/A</v>
          </cell>
          <cell r="O78" t="e">
            <v>#N/A</v>
          </cell>
          <cell r="P78" t="e">
            <v>#N/A</v>
          </cell>
          <cell r="Q78" t="e">
            <v>#N/A</v>
          </cell>
          <cell r="R78" t="e">
            <v>#N/A</v>
          </cell>
          <cell r="S78" t="e">
            <v>#N/A</v>
          </cell>
          <cell r="T78" t="e">
            <v>#N/A</v>
          </cell>
          <cell r="U78" t="e">
            <v>#N/A</v>
          </cell>
          <cell r="V78">
            <v>0</v>
          </cell>
          <cell r="W78">
            <v>0</v>
          </cell>
          <cell r="AH78" t="e">
            <v>#N/A</v>
          </cell>
          <cell r="AI78">
            <v>0</v>
          </cell>
        </row>
        <row r="79">
          <cell r="B79" t="e">
            <v>#N/A</v>
          </cell>
          <cell r="C79" t="e">
            <v>#N/A</v>
          </cell>
          <cell r="D79" t="e">
            <v>#N/A</v>
          </cell>
          <cell r="E79" t="e">
            <v>#N/A</v>
          </cell>
          <cell r="F79" t="e">
            <v>#N/A</v>
          </cell>
          <cell r="G79" t="e">
            <v>#N/A</v>
          </cell>
          <cell r="H79" t="e">
            <v>#N/A</v>
          </cell>
          <cell r="I79" t="e">
            <v>#N/A</v>
          </cell>
          <cell r="J79" t="e">
            <v>#N/A</v>
          </cell>
          <cell r="K79" t="e">
            <v>#N/A</v>
          </cell>
          <cell r="L79" t="e">
            <v>#N/A</v>
          </cell>
          <cell r="M79" t="e">
            <v>#N/A</v>
          </cell>
          <cell r="N79" t="e">
            <v>#N/A</v>
          </cell>
          <cell r="O79" t="e">
            <v>#N/A</v>
          </cell>
          <cell r="P79" t="e">
            <v>#N/A</v>
          </cell>
          <cell r="Q79" t="e">
            <v>#N/A</v>
          </cell>
          <cell r="R79" t="e">
            <v>#N/A</v>
          </cell>
          <cell r="S79" t="e">
            <v>#N/A</v>
          </cell>
          <cell r="T79" t="e">
            <v>#N/A</v>
          </cell>
          <cell r="U79" t="e">
            <v>#N/A</v>
          </cell>
          <cell r="V79">
            <v>0</v>
          </cell>
          <cell r="W79">
            <v>0</v>
          </cell>
          <cell r="AH79" t="e">
            <v>#N/A</v>
          </cell>
          <cell r="AI79">
            <v>0</v>
          </cell>
        </row>
        <row r="80">
          <cell r="B80" t="e">
            <v>#N/A</v>
          </cell>
          <cell r="C80" t="e">
            <v>#N/A</v>
          </cell>
          <cell r="D80" t="e">
            <v>#N/A</v>
          </cell>
          <cell r="E80" t="e">
            <v>#N/A</v>
          </cell>
          <cell r="F80" t="e">
            <v>#N/A</v>
          </cell>
          <cell r="G80" t="e">
            <v>#N/A</v>
          </cell>
          <cell r="H80" t="e">
            <v>#N/A</v>
          </cell>
          <cell r="I80" t="e">
            <v>#N/A</v>
          </cell>
          <cell r="J80" t="e">
            <v>#N/A</v>
          </cell>
          <cell r="K80" t="e">
            <v>#N/A</v>
          </cell>
          <cell r="L80" t="e">
            <v>#N/A</v>
          </cell>
          <cell r="M80" t="e">
            <v>#N/A</v>
          </cell>
          <cell r="N80" t="e">
            <v>#N/A</v>
          </cell>
          <cell r="O80" t="e">
            <v>#N/A</v>
          </cell>
          <cell r="P80" t="e">
            <v>#N/A</v>
          </cell>
          <cell r="Q80" t="e">
            <v>#N/A</v>
          </cell>
          <cell r="R80" t="e">
            <v>#N/A</v>
          </cell>
          <cell r="S80" t="e">
            <v>#N/A</v>
          </cell>
          <cell r="T80" t="e">
            <v>#N/A</v>
          </cell>
          <cell r="U80" t="e">
            <v>#N/A</v>
          </cell>
          <cell r="V80">
            <v>0</v>
          </cell>
          <cell r="W80">
            <v>0</v>
          </cell>
          <cell r="AH80" t="e">
            <v>#N/A</v>
          </cell>
          <cell r="AI80">
            <v>0</v>
          </cell>
        </row>
        <row r="81">
          <cell r="B81" t="e">
            <v>#N/A</v>
          </cell>
          <cell r="C81" t="e">
            <v>#N/A</v>
          </cell>
          <cell r="D81" t="e">
            <v>#N/A</v>
          </cell>
          <cell r="E81" t="e">
            <v>#N/A</v>
          </cell>
          <cell r="F81" t="e">
            <v>#N/A</v>
          </cell>
          <cell r="G81" t="e">
            <v>#N/A</v>
          </cell>
          <cell r="H81" t="e">
            <v>#N/A</v>
          </cell>
          <cell r="I81" t="e">
            <v>#N/A</v>
          </cell>
          <cell r="J81" t="e">
            <v>#N/A</v>
          </cell>
          <cell r="K81" t="e">
            <v>#N/A</v>
          </cell>
          <cell r="L81" t="e">
            <v>#N/A</v>
          </cell>
          <cell r="M81" t="e">
            <v>#N/A</v>
          </cell>
          <cell r="N81" t="e">
            <v>#N/A</v>
          </cell>
          <cell r="O81" t="e">
            <v>#N/A</v>
          </cell>
          <cell r="P81" t="e">
            <v>#N/A</v>
          </cell>
          <cell r="Q81" t="e">
            <v>#N/A</v>
          </cell>
          <cell r="R81" t="e">
            <v>#N/A</v>
          </cell>
          <cell r="S81" t="e">
            <v>#N/A</v>
          </cell>
          <cell r="T81" t="e">
            <v>#N/A</v>
          </cell>
          <cell r="U81" t="e">
            <v>#N/A</v>
          </cell>
          <cell r="V81">
            <v>0</v>
          </cell>
          <cell r="W81">
            <v>0</v>
          </cell>
          <cell r="AH81" t="e">
            <v>#N/A</v>
          </cell>
          <cell r="AI81">
            <v>0</v>
          </cell>
        </row>
        <row r="82">
          <cell r="B82" t="e">
            <v>#N/A</v>
          </cell>
          <cell r="C82" t="e">
            <v>#N/A</v>
          </cell>
          <cell r="D82" t="e">
            <v>#N/A</v>
          </cell>
          <cell r="E82" t="e">
            <v>#N/A</v>
          </cell>
          <cell r="F82" t="e">
            <v>#N/A</v>
          </cell>
          <cell r="G82" t="e">
            <v>#N/A</v>
          </cell>
          <cell r="H82" t="e">
            <v>#N/A</v>
          </cell>
          <cell r="I82" t="e">
            <v>#N/A</v>
          </cell>
          <cell r="J82" t="e">
            <v>#N/A</v>
          </cell>
          <cell r="K82" t="e">
            <v>#N/A</v>
          </cell>
          <cell r="L82" t="e">
            <v>#N/A</v>
          </cell>
          <cell r="M82" t="e">
            <v>#N/A</v>
          </cell>
          <cell r="N82" t="e">
            <v>#N/A</v>
          </cell>
          <cell r="O82" t="e">
            <v>#N/A</v>
          </cell>
          <cell r="P82" t="e">
            <v>#N/A</v>
          </cell>
          <cell r="Q82" t="e">
            <v>#N/A</v>
          </cell>
          <cell r="R82" t="e">
            <v>#N/A</v>
          </cell>
          <cell r="S82" t="e">
            <v>#N/A</v>
          </cell>
          <cell r="T82" t="e">
            <v>#N/A</v>
          </cell>
          <cell r="U82" t="e">
            <v>#N/A</v>
          </cell>
          <cell r="V82">
            <v>0</v>
          </cell>
          <cell r="W82">
            <v>0</v>
          </cell>
          <cell r="AH82" t="e">
            <v>#N/A</v>
          </cell>
          <cell r="AI82">
            <v>0</v>
          </cell>
        </row>
      </sheetData>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Matriz POA 2024-TRABAJO"/>
      <sheetName val="Hoja1"/>
      <sheetName val="Reforma"/>
      <sheetName val="Constancias POA"/>
      <sheetName val="CP"/>
      <sheetName val="Devengado"/>
      <sheetName val="ITEM"/>
    </sheetNames>
    <sheetDataSet>
      <sheetData sheetId="0"/>
      <sheetData sheetId="1"/>
      <sheetData sheetId="2"/>
      <sheetData sheetId="3"/>
      <sheetData sheetId="4"/>
      <sheetData sheetId="5"/>
      <sheetData sheetId="6">
        <row r="1">
          <cell r="A1" t="str">
            <v>LINEA POA</v>
          </cell>
          <cell r="B1" t="str">
            <v>UDAF/CENTRO GESTOR</v>
          </cell>
          <cell r="C1" t="str">
            <v>SUBSECRETARIA / COORDINACIÓN</v>
          </cell>
          <cell r="D1" t="str">
            <v>DIRECCIÓN</v>
          </cell>
          <cell r="E1" t="str">
            <v>NOMBRE PROYECTO</v>
          </cell>
          <cell r="F1" t="str">
            <v>CUP</v>
          </cell>
          <cell r="G1" t="str">
            <v>COMPONENTE DEL PROYECTO (Solo inversión)</v>
          </cell>
          <cell r="H1" t="str">
            <v>TIPO ACTIVIDAD NUEVA / ARRASTRE / PLURIANUAL</v>
          </cell>
          <cell r="I1" t="str">
            <v>ACTIVIDAD POA</v>
          </cell>
          <cell r="J1" t="str">
            <v>CÓDIGO UNIDAD EJECUTORA</v>
          </cell>
          <cell r="K1" t="str">
            <v>PROGRAMA  INSTITUCIONAL (2 DIGITOS)</v>
          </cell>
          <cell r="L1" t="str">
            <v>CÓDIGO PROYECTO (3 DIGITOS)</v>
          </cell>
          <cell r="M1" t="str">
            <v>ACTIVIDAD  (3 DIGITOS)</v>
          </cell>
          <cell r="N1" t="str">
            <v>GRUPO</v>
          </cell>
          <cell r="O1" t="str">
            <v xml:space="preserve">ÍTEM </v>
          </cell>
          <cell r="P1" t="str">
            <v>DESCRIPCIÓN ÍTEM PRESUPUESTARIO</v>
          </cell>
          <cell r="Q1" t="str">
            <v>GEOGRÁFICO (4 DÍGITOS)</v>
          </cell>
          <cell r="R1" t="str">
            <v>FTE. FINANCIAMIENTO (3 DÍGITOS)</v>
          </cell>
          <cell r="S1" t="str">
            <v>ORGANISMO (4 DÍGITOS)</v>
          </cell>
          <cell r="T1" t="str">
            <v>CORRELATIVO (4 DÍGITOS)</v>
          </cell>
          <cell r="U1" t="str">
            <v>MONTO ACTUAL</v>
          </cell>
          <cell r="V1" t="str">
            <v>ENERO DEVENGADO</v>
          </cell>
          <cell r="W1" t="str">
            <v>FEBRERO DEVENGADO</v>
          </cell>
          <cell r="X1" t="str">
            <v>MARZO DEVENGADO</v>
          </cell>
          <cell r="Y1" t="str">
            <v>ABRIL DEVENGADO</v>
          </cell>
          <cell r="Z1" t="str">
            <v>MAYO DEVENGADO</v>
          </cell>
          <cell r="AA1" t="str">
            <v>JUNIO DEVENGADO</v>
          </cell>
          <cell r="AB1" t="str">
            <v>JULIO DEVENGADO</v>
          </cell>
          <cell r="AC1" t="str">
            <v>AGOSTO DEVENGADO</v>
          </cell>
          <cell r="AD1" t="str">
            <v>SEPTIEMBRE DEVENGADO</v>
          </cell>
          <cell r="AE1" t="str">
            <v>OCTUBRE DEVENGADO</v>
          </cell>
          <cell r="AF1" t="str">
            <v>NOVIEMBRE DEVENGADO</v>
          </cell>
          <cell r="AG1" t="str">
            <v>DICIEMBRE DEVENGADO</v>
          </cell>
          <cell r="AH1" t="str">
            <v>PROGRAMADO ACUMULADO</v>
          </cell>
          <cell r="AI1" t="str">
            <v>TOTAL DEVENGADO</v>
          </cell>
        </row>
        <row r="2">
          <cell r="A2">
            <v>452</v>
          </cell>
          <cell r="B2" t="e">
            <v>#REF!</v>
          </cell>
          <cell r="C2" t="e">
            <v>#REF!</v>
          </cell>
          <cell r="D2" t="e">
            <v>#REF!</v>
          </cell>
          <cell r="E2" t="e">
            <v>#REF!</v>
          </cell>
          <cell r="F2" t="e">
            <v>#REF!</v>
          </cell>
          <cell r="G2" t="e">
            <v>#REF!</v>
          </cell>
          <cell r="H2" t="e">
            <v>#REF!</v>
          </cell>
          <cell r="I2" t="str">
            <v>ARRASTRE</v>
          </cell>
          <cell r="J2" t="str">
            <v>Pago Mensual del servicio de Energía Eléctrica de los meses de Noviembre y Diciembre del 2023 del Museo Bahía de Caráquez</v>
          </cell>
          <cell r="K2" t="str">
            <v>0035</v>
          </cell>
          <cell r="L2" t="str">
            <v>000</v>
          </cell>
          <cell r="M2" t="str">
            <v>002</v>
          </cell>
          <cell r="N2" t="str">
            <v>53</v>
          </cell>
          <cell r="O2">
            <v>530104</v>
          </cell>
          <cell r="P2" t="str">
            <v>Energía Eléctrica</v>
          </cell>
          <cell r="Q2" t="str">
            <v>Energía Eléctrica</v>
          </cell>
          <cell r="R2" t="str">
            <v>Energía Eléctrica</v>
          </cell>
          <cell r="S2" t="str">
            <v>Energía Eléctrica</v>
          </cell>
          <cell r="T2" t="str">
            <v>Energía Eléctrica</v>
          </cell>
          <cell r="U2">
            <v>1600</v>
          </cell>
          <cell r="V2">
            <v>277.45</v>
          </cell>
          <cell r="W2">
            <v>569.96</v>
          </cell>
          <cell r="X2">
            <v>0</v>
          </cell>
          <cell r="Y2">
            <v>0</v>
          </cell>
          <cell r="Z2">
            <v>0</v>
          </cell>
          <cell r="AA2">
            <v>0</v>
          </cell>
          <cell r="AB2">
            <v>0</v>
          </cell>
          <cell r="AC2">
            <v>0</v>
          </cell>
          <cell r="AD2">
            <v>0</v>
          </cell>
          <cell r="AE2">
            <v>0</v>
          </cell>
          <cell r="AF2">
            <v>0</v>
          </cell>
          <cell r="AG2">
            <v>0</v>
          </cell>
          <cell r="AH2" t="e">
            <v>#REF!</v>
          </cell>
          <cell r="AI2">
            <v>847.41000000000008</v>
          </cell>
        </row>
        <row r="3">
          <cell r="A3">
            <v>450</v>
          </cell>
          <cell r="B3" t="e">
            <v>#REF!</v>
          </cell>
          <cell r="C3" t="e">
            <v>#REF!</v>
          </cell>
          <cell r="D3" t="e">
            <v>#REF!</v>
          </cell>
          <cell r="E3" t="e">
            <v>#REF!</v>
          </cell>
          <cell r="F3" t="e">
            <v>#REF!</v>
          </cell>
          <cell r="G3" t="e">
            <v>#REF!</v>
          </cell>
          <cell r="H3" t="e">
            <v>#REF!</v>
          </cell>
          <cell r="I3" t="str">
            <v>ARRASTRE</v>
          </cell>
          <cell r="J3" t="str">
            <v>Pago Mensual del Servicio de Agua Potable de los meses de Noviembre y Diciembre del 2023 del Museo Bahía de Caráquez</v>
          </cell>
          <cell r="K3" t="str">
            <v>0035</v>
          </cell>
          <cell r="L3" t="str">
            <v>000</v>
          </cell>
          <cell r="M3" t="str">
            <v>002</v>
          </cell>
          <cell r="N3" t="str">
            <v>53</v>
          </cell>
          <cell r="O3">
            <v>530101</v>
          </cell>
          <cell r="P3" t="str">
            <v>Agua Potable</v>
          </cell>
          <cell r="Q3" t="e">
            <v>#REF!</v>
          </cell>
          <cell r="R3" t="e">
            <v>#REF!</v>
          </cell>
          <cell r="S3" t="e">
            <v>#REF!</v>
          </cell>
          <cell r="T3" t="e">
            <v>#REF!</v>
          </cell>
          <cell r="U3">
            <v>80</v>
          </cell>
          <cell r="V3">
            <v>2.75</v>
          </cell>
          <cell r="W3">
            <v>0</v>
          </cell>
          <cell r="X3">
            <v>0</v>
          </cell>
          <cell r="Y3">
            <v>0</v>
          </cell>
          <cell r="Z3">
            <v>0</v>
          </cell>
          <cell r="AA3">
            <v>0</v>
          </cell>
          <cell r="AB3">
            <v>0</v>
          </cell>
          <cell r="AC3">
            <v>0</v>
          </cell>
          <cell r="AD3">
            <v>0</v>
          </cell>
          <cell r="AE3">
            <v>0</v>
          </cell>
          <cell r="AF3">
            <v>0</v>
          </cell>
          <cell r="AG3">
            <v>0</v>
          </cell>
          <cell r="AH3" t="e">
            <v>#REF!</v>
          </cell>
          <cell r="AI3">
            <v>2.75</v>
          </cell>
        </row>
      </sheetData>
      <sheetData sheetId="7"/>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artha María Guandinango Lita" refreshedDate="45511.402376620368" createdVersion="8" refreshedVersion="8" minRefreshableVersion="3" recordCount="127">
  <cacheSource type="worksheet">
    <worksheetSource ref="A4:CZ131" sheet="Matriz POA 2024-TRABAJO"/>
  </cacheSource>
  <cacheFields count="104">
    <cacheField name="Línea POA" numFmtId="0">
      <sharedItems containsSemiMixedTypes="0" containsString="0" containsNumber="1" containsInteger="1" minValue="415" maxValue="958"/>
    </cacheField>
    <cacheField name="EJE" numFmtId="0">
      <sharedItems containsNonDate="0" containsString="0" containsBlank="1"/>
    </cacheField>
    <cacheField name="OBJETIVO" numFmtId="0">
      <sharedItems containsNonDate="0" containsString="0" containsBlank="1"/>
    </cacheField>
    <cacheField name="POLÍTICA" numFmtId="0">
      <sharedItems containsNonDate="0" containsString="0" containsBlank="1"/>
    </cacheField>
    <cacheField name="META" numFmtId="0">
      <sharedItems containsNonDate="0" containsString="0" containsBlank="1"/>
    </cacheField>
    <cacheField name="PROGRAMA NACIONAL" numFmtId="0">
      <sharedItems containsNonDate="0" containsString="0" containsBlank="1"/>
    </cacheField>
    <cacheField name="OBJETIVO ESTRATÉGICO INSTITUCIONAL" numFmtId="0">
      <sharedItems containsNonDate="0" containsString="0" containsBlank="1"/>
    </cacheField>
    <cacheField name="INDICADOR ESRATÉGICO" numFmtId="0">
      <sharedItems containsNonDate="0" containsString="0" containsBlank="1"/>
    </cacheField>
    <cacheField name="PRODUCTO INSTITUCIONAL " numFmtId="0">
      <sharedItems containsNonDate="0" containsString="0" containsBlank="1"/>
    </cacheField>
    <cacheField name="OBJETIVO OPERATIVO" numFmtId="0">
      <sharedItems containsNonDate="0" containsString="0" containsBlank="1"/>
    </cacheField>
    <cacheField name="CÓDIGO UNIDAD EJECUTORA" numFmtId="0">
      <sharedItems/>
    </cacheField>
    <cacheField name="UNIDAD EJECUTORA (PC-EOD)" numFmtId="0">
      <sharedItems count="8">
        <s v="CCA"/>
        <s v="PC" u="1"/>
        <s v="AHN" u="1"/>
        <s v="BNEE" u="1"/>
        <s v="MAAC" u="1"/>
        <s v="MUNA" u="1"/>
        <s v="TBCML" u="1"/>
        <s v="MPAP" u="1"/>
      </sharedItems>
    </cacheField>
    <cacheField name="SEDE/UNIDAD" numFmtId="0">
      <sharedItems containsBlank="1"/>
    </cacheField>
    <cacheField name="SUBSECRETARIA / COORDINACIÓN" numFmtId="0">
      <sharedItems/>
    </cacheField>
    <cacheField name="DIRECCIÓN" numFmtId="0">
      <sharedItems/>
    </cacheField>
    <cacheField name="TIPO DE GASTO" numFmtId="0">
      <sharedItems/>
    </cacheField>
    <cacheField name="CUP" numFmtId="0">
      <sharedItems/>
    </cacheField>
    <cacheField name="NOMBRE PROYECTO" numFmtId="0">
      <sharedItems/>
    </cacheField>
    <cacheField name="OBJETIVO DEL PROYECTO / OBJETIVO OPERATIVO (GPR)" numFmtId="0">
      <sharedItems/>
    </cacheField>
    <cacheField name="COMPONENTE MARCO LÓGICO  (Solo inversión)" numFmtId="0">
      <sharedItems/>
    </cacheField>
    <cacheField name="ACTIVIDAD MARCO LÓGICO  (SOLO PROYECTO)" numFmtId="0">
      <sharedItems/>
    </cacheField>
    <cacheField name="SUB ACTIVIDAD MARCO LÓGICO  (SOLO PROYECTO)" numFmtId="0">
      <sharedItems/>
    </cacheField>
    <cacheField name="TIPO ACTIVIDAD NUEVA / ARRASTRE / PLURIANUAL" numFmtId="0">
      <sharedItems/>
    </cacheField>
    <cacheField name="ACTIVIDAD POA " numFmtId="0">
      <sharedItems longText="1"/>
    </cacheField>
    <cacheField name="COD. UNIDAD EJECUTORA (PC-EOD)" numFmtId="0">
      <sharedItems/>
    </cacheField>
    <cacheField name="PROGRAMA  INSTITUCIONAL (2 DIGITOS)" numFmtId="0">
      <sharedItems containsMixedTypes="1" containsNumber="1" containsInteger="1" minValue="80" maxValue="80"/>
    </cacheField>
    <cacheField name="CÓDIGO PROYECTO (3 DIGITOS)" numFmtId="0">
      <sharedItems/>
    </cacheField>
    <cacheField name="ACTIVIDAD  (3 DIGITOS)" numFmtId="49">
      <sharedItems/>
    </cacheField>
    <cacheField name="GRUPO GASTO" numFmtId="0">
      <sharedItems containsMixedTypes="1" containsNumber="1" containsInteger="1" minValue="53" maxValue="53"/>
    </cacheField>
    <cacheField name="ÍTEM PRESUPUESTARIO" numFmtId="0">
      <sharedItems containsSemiMixedTypes="0" containsString="0" containsNumber="1" containsInteger="1" minValue="510105" maxValue="990102"/>
    </cacheField>
    <cacheField name="Nombre  Ítem" numFmtId="0">
      <sharedItems/>
    </cacheField>
    <cacheField name="GEOGRÁFICO (4 DÍGITOS)" numFmtId="0">
      <sharedItems containsSemiMixedTypes="0" containsString="0" containsNumber="1" containsInteger="1" minValue="1300" maxValue="1314"/>
    </cacheField>
    <cacheField name="FTE. FINANCIAMIENTO (3 DÍGITOS)" numFmtId="0">
      <sharedItems/>
    </cacheField>
    <cacheField name="ORGANISMO (4 DÍGITOS)" numFmtId="0">
      <sharedItems/>
    </cacheField>
    <cacheField name="CORRELATIVO (4 DÍGITOS)" numFmtId="0">
      <sharedItems/>
    </cacheField>
    <cacheField name="FUNCIONAL" numFmtId="0">
      <sharedItems/>
    </cacheField>
    <cacheField name="IGUALDAD" numFmtId="0">
      <sharedItems/>
    </cacheField>
    <cacheField name="MONTO BASE IMPONIBLE" numFmtId="0">
      <sharedItems containsString="0" containsBlank="1" containsNumber="1" minValue="0" maxValue="275247.09999999998"/>
    </cacheField>
    <cacheField name="MONTO IVA" numFmtId="0">
      <sharedItems containsString="0" containsBlank="1" containsNumber="1" containsInteger="1" minValue="0" maxValue="0"/>
    </cacheField>
    <cacheField name="MONTO ASIGNADO ACTIVIDAD" numFmtId="0">
      <sharedItems containsString="0" containsBlank="1" containsNumber="1" minValue="0" maxValue="275247.09999999998"/>
    </cacheField>
    <cacheField name=" + _x000a_INCREMENTO_x000a_BASE IMPONIBLE" numFmtId="0">
      <sharedItems containsSemiMixedTypes="0" containsString="0" containsNumber="1" minValue="0" maxValue="15000"/>
    </cacheField>
    <cacheField name=" -_x000a_REDUCCION_x000a_BASE IMPONIBLE" numFmtId="0">
      <sharedItems containsSemiMixedTypes="0" containsString="0" containsNumber="1" minValue="-40000" maxValue="0"/>
    </cacheField>
    <cacheField name=" + _x000a_INCREMENTO _x000a_IVA" numFmtId="0">
      <sharedItems containsSemiMixedTypes="0" containsString="0" containsNumber="1" containsInteger="1" minValue="0" maxValue="0"/>
    </cacheField>
    <cacheField name=" - _x000a_REDUCCION_x000a_IVA" numFmtId="0">
      <sharedItems containsSemiMixedTypes="0" containsString="0" containsNumber="1" containsInteger="1" minValue="0" maxValue="0"/>
    </cacheField>
    <cacheField name="MONTO ACTUAL _x000a_BASE IMPONIBLE" numFmtId="168">
      <sharedItems containsSemiMixedTypes="0" containsString="0" containsNumber="1" minValue="0" maxValue="272452"/>
    </cacheField>
    <cacheField name="MONTO ACTUAL _x000a_IVA" numFmtId="168">
      <sharedItems containsSemiMixedTypes="0" containsString="0" containsNumber="1" containsInteger="1" minValue="0" maxValue="0"/>
    </cacheField>
    <cacheField name="MONTO ACTUAL ACTIVIDAD" numFmtId="0">
      <sharedItems containsSemiMixedTypes="0" containsString="0" containsNumber="1" minValue="0" maxValue="272452"/>
    </cacheField>
    <cacheField name="ENE-- REPROGRAMADO" numFmtId="0">
      <sharedItems containsString="0" containsBlank="1" containsNumber="1" minValue="0" maxValue="22767"/>
    </cacheField>
    <cacheField name="FEB-- REPROGRAMADO" numFmtId="0">
      <sharedItems containsString="0" containsBlank="1" containsNumber="1" minValue="0" maxValue="30128.48"/>
    </cacheField>
    <cacheField name="MAR-- REPROGRAMADO" numFmtId="0">
      <sharedItems containsString="0" containsBlank="1" containsNumber="1" minValue="0" maxValue="22767"/>
    </cacheField>
    <cacheField name="ABR-- REPROGRAMADO" numFmtId="0">
      <sharedItems containsBlank="1" containsMixedTypes="1" containsNumber="1" minValue="0" maxValue="22767"/>
    </cacheField>
    <cacheField name="MAY-- REPROGRAMADO" numFmtId="0">
      <sharedItems containsBlank="1" containsMixedTypes="1" containsNumber="1" minValue="0" maxValue="22767"/>
    </cacheField>
    <cacheField name="JUN-- REPROGRAMADO" numFmtId="0">
      <sharedItems containsString="0" containsBlank="1" containsNumber="1" minValue="0" maxValue="22767"/>
    </cacheField>
    <cacheField name="JUL-- REPROGRAMADO" numFmtId="0">
      <sharedItems containsString="0" containsBlank="1" containsNumber="1" minValue="0" maxValue="30128.48"/>
    </cacheField>
    <cacheField name="AGO-- REPROGRAMADO" numFmtId="0">
      <sharedItems containsString="0" containsBlank="1" containsNumber="1" minValue="0" maxValue="22616.6"/>
    </cacheField>
    <cacheField name="SEP-- REPROGRAMADO" numFmtId="0">
      <sharedItems containsString="0" containsBlank="1" containsNumber="1" minValue="0" maxValue="22616.6"/>
    </cacheField>
    <cacheField name="OCT-- REPROGRAMADO" numFmtId="0">
      <sharedItems containsString="0" containsBlank="1" containsNumber="1" minValue="0" maxValue="22616.6"/>
    </cacheField>
    <cacheField name="NOV-- REPROGRAMADO" numFmtId="0">
      <sharedItems containsString="0" containsBlank="1" containsNumber="1" minValue="0" maxValue="22616.6"/>
    </cacheField>
    <cacheField name="DIC-- REPROGRAMADO" numFmtId="0">
      <sharedItems containsString="0" containsBlank="1" containsNumber="1" minValue="0" maxValue="22616.6"/>
    </cacheField>
    <cacheField name="TOTAL PROGRAMADO INICIAL" numFmtId="168">
      <sharedItems containsString="0" containsBlank="1" containsNumber="1" minValue="0" maxValue="278511.99999999994"/>
    </cacheField>
    <cacheField name="TOTAL REPROGRAMADO" numFmtId="168">
      <sharedItems containsSemiMixedTypes="0" containsString="0" containsNumber="1" minValue="0" maxValue="272452"/>
    </cacheField>
    <cacheField name="REVISIÓN" numFmtId="168">
      <sharedItems containsSemiMixedTypes="0" containsString="0" containsNumber="1" minValue="-4.5297099404706387E-14" maxValue="0"/>
    </cacheField>
    <cacheField name="BENEFICIARIO GRUPO 58_x000a_RUC_x000a_(13 DIGITOS)" numFmtId="0">
      <sharedItems containsNonDate="0" containsString="0" containsBlank="1"/>
    </cacheField>
    <cacheField name="BENEFICIARIO GRUPO 58_x000a_NOMBRE" numFmtId="0">
      <sharedItems containsNonDate="0" containsString="0" containsBlank="1"/>
    </cacheField>
    <cacheField name="DOCUMENTO HABILITANTE GRUPO 58" numFmtId="0">
      <sharedItems containsNonDate="0" containsString="0" containsBlank="1"/>
    </cacheField>
    <cacheField name="Constancia POA" numFmtId="168">
      <sharedItems containsMixedTypes="1" containsNumber="1" minValue="0" maxValue="280176.77"/>
    </cacheField>
    <cacheField name="DISPONIBLE ACTIVIDAD POA" numFmtId="168">
      <sharedItems containsMixedTypes="1" containsNumber="1" minValue="-8000" maxValue="9188"/>
    </cacheField>
    <cacheField name="TOTAL CERTIFICADO" numFmtId="168">
      <sharedItems containsMixedTypes="1" containsNumber="1" minValue="0" maxValue="27000"/>
    </cacheField>
    <cacheField name="TOTAL COMPROMETIDO" numFmtId="168">
      <sharedItems containsMixedTypes="1" containsNumber="1" minValue="0" maxValue="171800"/>
    </cacheField>
    <cacheField name="TOTAL DISPONIBLE DE LA CERTIFICACIÓN-mg" numFmtId="168">
      <sharedItems containsMixedTypes="1" containsNumber="1" minValue="0" maxValue="8600"/>
    </cacheField>
    <cacheField name="TOTAL DISPONIBLE ACTIVIDAD (ESIGEF)" numFmtId="168">
      <sharedItems/>
    </cacheField>
    <cacheField name="TOTAL DEVENGADO" numFmtId="168">
      <sharedItems containsMixedTypes="1" containsNumber="1" minValue="2" maxValue="159369"/>
    </cacheField>
    <cacheField name="SALDO POR DEVENGADO" numFmtId="168">
      <sharedItems containsMixedTypes="1" containsNumber="1" minValue="-4.5474735088646412E-13" maxValue="113083"/>
    </cacheField>
    <cacheField name="% EJECUCIÓN" numFmtId="168">
      <sharedItems containsMixedTypes="1" containsNumber="1" minValue="2.3223333333333335E-2" maxValue="1.0000000000000002"/>
    </cacheField>
    <cacheField name="PRESUPUESTO TOTAL" numFmtId="168">
      <sharedItems containsSemiMixedTypes="0" containsString="0" containsNumber="1" minValue="0" maxValue="272452"/>
    </cacheField>
    <cacheField name="ENE-PROGRAMADO" numFmtId="0">
      <sharedItems containsString="0" containsBlank="1" containsNumber="1" minValue="0" maxValue="22767"/>
    </cacheField>
    <cacheField name="FEB-PROGRAMADO" numFmtId="0">
      <sharedItems containsString="0" containsBlank="1" containsNumber="1" minValue="0" maxValue="22767"/>
    </cacheField>
    <cacheField name="MAR-PROGRAMADO" numFmtId="0">
      <sharedItems containsString="0" containsBlank="1" containsNumber="1" minValue="0" maxValue="22767"/>
    </cacheField>
    <cacheField name="ABR-PROGRAMADO" numFmtId="0">
      <sharedItems containsString="0" containsBlank="1" containsNumber="1" minValue="0" maxValue="22767"/>
    </cacheField>
    <cacheField name="MAY-PROGRAMADO" numFmtId="0">
      <sharedItems containsString="0" containsBlank="1" containsNumber="1" minValue="0" maxValue="22767"/>
    </cacheField>
    <cacheField name="JUN-PROGRAMADO" numFmtId="0">
      <sharedItems containsString="0" containsBlank="1" containsNumber="1" minValue="0" maxValue="22767"/>
    </cacheField>
    <cacheField name="JUL-PROGRAMADO" numFmtId="0">
      <sharedItems containsString="0" containsBlank="1" containsNumber="1" minValue="0" maxValue="23651.67"/>
    </cacheField>
    <cacheField name="AGO-PROGRAMADO" numFmtId="0">
      <sharedItems containsString="0" containsBlank="1" containsNumber="1" minValue="0" maxValue="23651.67"/>
    </cacheField>
    <cacheField name="SEP-PROGRAMADO" numFmtId="0">
      <sharedItems containsString="0" containsBlank="1" containsNumber="1" minValue="0" maxValue="23651.67"/>
    </cacheField>
    <cacheField name="OCT-PROGRAMADO" numFmtId="0">
      <sharedItems containsString="0" containsBlank="1" containsNumber="1" minValue="0" maxValue="23651.67"/>
    </cacheField>
    <cacheField name="NOV-PROGRAMADO" numFmtId="0">
      <sharedItems containsString="0" containsBlank="1" containsNumber="1" minValue="0" maxValue="23651.67"/>
    </cacheField>
    <cacheField name="DIC-PROGRAMADO" numFmtId="0">
      <sharedItems containsString="0" containsBlank="1" containsNumber="1" minValue="0" maxValue="28000"/>
    </cacheField>
    <cacheField name="ENE-DEVENGADO" numFmtId="168">
      <sharedItems containsMixedTypes="1" containsNumber="1" minValue="0" maxValue="22767"/>
    </cacheField>
    <cacheField name="FEB-DEVENGADO" numFmtId="168">
      <sharedItems containsMixedTypes="1" containsNumber="1" minValue="0" maxValue="30128.48"/>
    </cacheField>
    <cacheField name="MAR-DEVENGADO" numFmtId="168">
      <sharedItems containsMixedTypes="1" containsNumber="1" minValue="0" maxValue="22767"/>
    </cacheField>
    <cacheField name="ABR--DEVENGADO" numFmtId="168">
      <sharedItems containsMixedTypes="1" containsNumber="1" minValue="0" maxValue="22767"/>
    </cacheField>
    <cacheField name="MAY-DEVENGADO" numFmtId="168">
      <sharedItems containsMixedTypes="1" containsNumber="1" minValue="0" maxValue="22767"/>
    </cacheField>
    <cacheField name="JUN-DEVENGADO" numFmtId="168">
      <sharedItems containsMixedTypes="1" containsNumber="1" minValue="0" maxValue="30128.48"/>
    </cacheField>
    <cacheField name="JUL-DEVENGADO" numFmtId="168">
      <sharedItems containsMixedTypes="1" containsNumber="1" minValue="0" maxValue="22767"/>
    </cacheField>
    <cacheField name="AGO-DEVENGADO" numFmtId="168">
      <sharedItems containsMixedTypes="1" containsNumber="1" containsInteger="1" minValue="0" maxValue="0"/>
    </cacheField>
    <cacheField name="SEP-DEVENGADO" numFmtId="168">
      <sharedItems containsMixedTypes="1" containsNumber="1" containsInteger="1" minValue="0" maxValue="0"/>
    </cacheField>
    <cacheField name="OCT-DEVENGADO" numFmtId="168">
      <sharedItems containsMixedTypes="1" containsNumber="1" containsInteger="1" minValue="0" maxValue="0"/>
    </cacheField>
    <cacheField name="NOV-DEVENGADO" numFmtId="168">
      <sharedItems containsMixedTypes="1" containsNumber="1" containsInteger="1" minValue="0" maxValue="0"/>
    </cacheField>
    <cacheField name="DIC-DEVENGADO" numFmtId="168">
      <sharedItems containsMixedTypes="1" containsNumber="1" containsInteger="1" minValue="0" maxValue="0"/>
    </cacheField>
    <cacheField name="TOTAL DEV." numFmtId="168">
      <sharedItems containsSemiMixedTypes="0" containsString="0" containsNumber="1" minValue="0" maxValue="159369"/>
    </cacheField>
    <cacheField name="REVISIÓN2" numFmtId="168">
      <sharedItems containsMixedTypes="1" containsNumber="1" containsInteger="1" minValue="0" maxValue="0"/>
    </cacheField>
    <cacheField name="TRANSFERENCIA" numFmtId="0">
      <sharedItems containsNonDate="0" containsString="0" containsBlank="1"/>
    </cacheField>
    <cacheField name="Columna1" numFmtId="0">
      <sharedItems/>
    </cacheField>
    <cacheField name="detalle"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7">
  <r>
    <n v="415"/>
    <m/>
    <m/>
    <m/>
    <m/>
    <m/>
    <m/>
    <m/>
    <m/>
    <m/>
    <s v="Corporación Ciudad Alfaro"/>
    <x v="0"/>
    <s v="CCA"/>
    <s v="N/A"/>
    <s v="N/A"/>
    <s v="Corriente"/>
    <s v="N/A"/>
    <s v="N/A"/>
    <s v="N/A"/>
    <s v="N/A"/>
    <s v="N/A"/>
    <s v="N/A"/>
    <s v="NUEVA"/>
    <s v="Remuneraciones Unificadas"/>
    <s v="0035"/>
    <s v="80"/>
    <s v="000"/>
    <s v="002"/>
    <s v="51"/>
    <n v="510105"/>
    <s v="Remuneraciones Unificadas"/>
    <n v="1300"/>
    <s v="001"/>
    <s v="0000"/>
    <s v="0000"/>
    <s v="H21"/>
    <s v="N/A"/>
    <n v="275247.09999999998"/>
    <m/>
    <n v="275247.09999999998"/>
    <n v="14839.63"/>
    <n v="-17634.73"/>
    <n v="0"/>
    <n v="0"/>
    <n v="272452"/>
    <n v="0"/>
    <n v="272452"/>
    <n v="22767"/>
    <n v="22767"/>
    <n v="22767"/>
    <n v="22767"/>
    <n v="22767"/>
    <n v="22767"/>
    <n v="22767"/>
    <n v="22616.6"/>
    <n v="22616.6"/>
    <n v="22616.6"/>
    <n v="22616.6"/>
    <n v="22616.6"/>
    <n v="278511.99999999994"/>
    <n v="272452"/>
    <n v="0"/>
    <m/>
    <m/>
    <m/>
    <n v="280176.77"/>
    <n v="-7724.7700000000186"/>
    <n v="0"/>
    <n v="159369"/>
    <n v="0"/>
    <s v=""/>
    <n v="159369"/>
    <n v="113083"/>
    <n v="0.58494340287463475"/>
    <n v="272452"/>
    <n v="22767"/>
    <n v="22767"/>
    <n v="22767"/>
    <n v="22767"/>
    <n v="22767"/>
    <n v="22767"/>
    <n v="23651.67"/>
    <n v="23651.67"/>
    <n v="23651.67"/>
    <n v="23651.67"/>
    <n v="23651.67"/>
    <n v="23651.65"/>
    <n v="22767"/>
    <n v="22767"/>
    <n v="22767"/>
    <n v="22767"/>
    <n v="22767"/>
    <n v="22767"/>
    <n v="22767"/>
    <n v="0"/>
    <n v="0"/>
    <n v="0"/>
    <n v="0"/>
    <n v="0"/>
    <n v="159369"/>
    <n v="0"/>
    <m/>
    <s v="51"/>
    <s v="Sin constancia PAPP-POA - SIN CP"/>
  </r>
  <r>
    <n v="416"/>
    <m/>
    <m/>
    <m/>
    <m/>
    <m/>
    <m/>
    <m/>
    <m/>
    <m/>
    <s v="Corporación Ciudad Alfaro"/>
    <x v="0"/>
    <s v="CCA"/>
    <s v="N/A"/>
    <s v="N/A"/>
    <s v="Corriente"/>
    <s v="N/A"/>
    <s v="N/A"/>
    <s v="N/A"/>
    <s v="N/A"/>
    <s v="N/A"/>
    <s v="N/A"/>
    <s v="NUEVA"/>
    <s v="Salarios Unificados"/>
    <s v="0035"/>
    <s v="80"/>
    <s v="000"/>
    <s v="002"/>
    <s v="51"/>
    <n v="510106"/>
    <s v="Salarios Unificados"/>
    <n v="1300"/>
    <s v="001"/>
    <s v="0000"/>
    <s v="0000"/>
    <s v="H21"/>
    <s v="N/A"/>
    <n v="68580"/>
    <m/>
    <n v="68580"/>
    <n v="1047.2"/>
    <n v="-1047.2"/>
    <n v="0"/>
    <n v="0"/>
    <n v="68580"/>
    <n v="0"/>
    <n v="68580"/>
    <n v="5715"/>
    <n v="5715"/>
    <n v="5715"/>
    <n v="5715"/>
    <n v="5715"/>
    <n v="5715"/>
    <n v="5715"/>
    <n v="5715"/>
    <n v="5715"/>
    <n v="5715"/>
    <n v="5715"/>
    <n v="5715"/>
    <n v="68580"/>
    <n v="68580"/>
    <n v="0"/>
    <m/>
    <m/>
    <m/>
    <n v="68580"/>
    <n v="0"/>
    <n v="0"/>
    <n v="40005"/>
    <n v="0"/>
    <s v=""/>
    <n v="40005"/>
    <n v="28575"/>
    <n v="0.58333333333333337"/>
    <n v="68580"/>
    <n v="5715"/>
    <n v="5715"/>
    <n v="5715"/>
    <n v="5715"/>
    <n v="5715"/>
    <n v="5715"/>
    <n v="5715"/>
    <n v="5715"/>
    <n v="5715"/>
    <n v="5715"/>
    <n v="5715"/>
    <n v="5715"/>
    <n v="5715"/>
    <n v="5715"/>
    <n v="5715"/>
    <n v="5715"/>
    <n v="5715"/>
    <n v="5715"/>
    <n v="5715"/>
    <n v="0"/>
    <n v="0"/>
    <n v="0"/>
    <n v="0"/>
    <n v="0"/>
    <n v="40005"/>
    <n v="0"/>
    <m/>
    <s v="51"/>
    <s v="Sin constancia PAPP-POA - SIN CP"/>
  </r>
  <r>
    <n v="417"/>
    <m/>
    <m/>
    <m/>
    <m/>
    <m/>
    <m/>
    <m/>
    <m/>
    <m/>
    <s v="Corporación Ciudad Alfaro"/>
    <x v="0"/>
    <s v="CCA"/>
    <s v="N/A"/>
    <s v="N/A"/>
    <s v="Corriente"/>
    <s v="N/A"/>
    <s v="N/A"/>
    <s v="N/A"/>
    <s v="N/A"/>
    <s v="N/A"/>
    <s v="N/A"/>
    <s v="NUEVA"/>
    <s v="Décimo Tercer Sueldo"/>
    <s v="0035"/>
    <s v="80"/>
    <s v="000"/>
    <s v="002"/>
    <s v="51"/>
    <n v="510203"/>
    <s v="Decimo Tercer Sueldo"/>
    <n v="1300"/>
    <s v="001"/>
    <s v="0000"/>
    <s v="0000"/>
    <s v="H21"/>
    <s v="N/A"/>
    <n v="32146"/>
    <m/>
    <n v="32146"/>
    <n v="0"/>
    <n v="-1456.93"/>
    <n v="0"/>
    <n v="0"/>
    <n v="30689.07"/>
    <n v="0"/>
    <n v="30689.07"/>
    <n v="779.43"/>
    <n v="779.43"/>
    <n v="779.43"/>
    <n v="779.43"/>
    <n v="779.43"/>
    <n v="779.43"/>
    <n v="779.43"/>
    <n v="779.43"/>
    <n v="779.43"/>
    <n v="779.43"/>
    <n v="779.43"/>
    <n v="22115.34"/>
    <n v="31901.070000000003"/>
    <n v="30689.07"/>
    <n v="0"/>
    <m/>
    <m/>
    <m/>
    <n v="31901.07"/>
    <n v="-1212"/>
    <n v="0"/>
    <n v="5456.01"/>
    <n v="0"/>
    <s v=""/>
    <n v="5456.01"/>
    <n v="25233.059999999998"/>
    <n v="0.17778349099532831"/>
    <n v="30689.07"/>
    <n v="779.43"/>
    <n v="779.43"/>
    <n v="779.43"/>
    <n v="779.43"/>
    <n v="779.43"/>
    <n v="4000.56"/>
    <n v="4000.56"/>
    <n v="4000.56"/>
    <n v="4000.56"/>
    <n v="4000.56"/>
    <n v="4000.56"/>
    <n v="4000.56"/>
    <n v="0"/>
    <n v="1558.86"/>
    <n v="779.43"/>
    <n v="779.43"/>
    <n v="779.43"/>
    <n v="779.43"/>
    <n v="779.43"/>
    <n v="0"/>
    <n v="0"/>
    <n v="0"/>
    <n v="0"/>
    <n v="0"/>
    <n v="5456.01"/>
    <n v="0"/>
    <m/>
    <s v="51"/>
    <s v="Sin constancia PAPP-POA - SIN CP"/>
  </r>
  <r>
    <n v="418"/>
    <m/>
    <m/>
    <m/>
    <m/>
    <m/>
    <m/>
    <m/>
    <m/>
    <m/>
    <s v="Corporación Ciudad Alfaro"/>
    <x v="0"/>
    <s v="CCA"/>
    <s v="N/A"/>
    <s v="N/A"/>
    <s v="Corriente"/>
    <s v="N/A"/>
    <s v="N/A"/>
    <s v="N/A"/>
    <s v="N/A"/>
    <s v="N/A"/>
    <s v="N/A"/>
    <s v="NUEVA"/>
    <s v="Décimo Cuarto Sueldo"/>
    <s v="0035"/>
    <s v="80"/>
    <s v="000"/>
    <s v="002"/>
    <s v="51"/>
    <n v="510204"/>
    <s v="Decimo Cuarto Sueldo"/>
    <n v="1300"/>
    <s v="001"/>
    <s v="0000"/>
    <s v="0000"/>
    <s v="H21"/>
    <s v="N/A"/>
    <n v="17100"/>
    <m/>
    <n v="17100"/>
    <n v="467.65"/>
    <n v="-750"/>
    <n v="0"/>
    <n v="0"/>
    <n v="16817.650000000001"/>
    <n v="0"/>
    <n v="16817.650000000001"/>
    <n v="344.97"/>
    <n v="344.97"/>
    <n v="12686.69"/>
    <n v="344.97"/>
    <n v="344.97"/>
    <n v="393.02"/>
    <n v="393.01"/>
    <n v="393.01"/>
    <n v="393.01"/>
    <n v="393.01"/>
    <n v="393.01"/>
    <n v="393.01"/>
    <n v="17100"/>
    <n v="16817.649999999998"/>
    <n v="0"/>
    <m/>
    <m/>
    <m/>
    <n v="16817.650000000001"/>
    <n v="0"/>
    <n v="0"/>
    <n v="14756.509999999998"/>
    <n v="0"/>
    <s v=""/>
    <n v="14756.509999999998"/>
    <n v="2061.1400000000031"/>
    <n v="0.87744185424241772"/>
    <n v="16817.650000000001"/>
    <n v="1425"/>
    <n v="1425"/>
    <n v="1425"/>
    <n v="1425"/>
    <n v="1425"/>
    <n v="1425"/>
    <n v="1425"/>
    <n v="1425"/>
    <n v="1425"/>
    <n v="1425"/>
    <n v="1425"/>
    <n v="1425"/>
    <n v="0"/>
    <n v="689.94"/>
    <n v="12686.69"/>
    <n v="344.97"/>
    <n v="344.97"/>
    <n v="344.97"/>
    <n v="344.97"/>
    <n v="0"/>
    <n v="0"/>
    <n v="0"/>
    <n v="0"/>
    <n v="0"/>
    <n v="14756.509999999998"/>
    <n v="0"/>
    <m/>
    <s v="51"/>
    <s v="Sin constancia PAPP-POA - SIN CP"/>
  </r>
  <r>
    <n v="419"/>
    <m/>
    <m/>
    <m/>
    <m/>
    <m/>
    <m/>
    <m/>
    <m/>
    <m/>
    <s v="Corporación Ciudad Alfaro"/>
    <x v="0"/>
    <s v="CCA"/>
    <s v="N/A"/>
    <s v="N/A"/>
    <s v="Corriente"/>
    <s v="N/A"/>
    <s v="N/A"/>
    <s v="N/A"/>
    <s v="N/A"/>
    <s v="N/A"/>
    <s v="N/A"/>
    <s v="NUEVA"/>
    <s v="Compensación por Transporte"/>
    <s v="0035"/>
    <s v="80"/>
    <s v="000"/>
    <s v="002"/>
    <s v="51"/>
    <n v="510304"/>
    <s v="Compensación por Transporte"/>
    <n v="1300"/>
    <s v="001"/>
    <s v="0000"/>
    <s v="0000"/>
    <s v="H21"/>
    <s v="N/A"/>
    <n v="1320"/>
    <m/>
    <n v="1320"/>
    <n v="309"/>
    <n v="-315.5"/>
    <n v="0"/>
    <n v="0"/>
    <n v="1313.5"/>
    <n v="0"/>
    <n v="1313.5"/>
    <m/>
    <n v="185"/>
    <n v="92"/>
    <n v="90"/>
    <n v="80"/>
    <n v="96.5"/>
    <n v="110"/>
    <n v="110"/>
    <n v="110"/>
    <n v="110"/>
    <n v="110"/>
    <n v="220"/>
    <n v="1220"/>
    <n v="1313.5"/>
    <n v="0"/>
    <m/>
    <m/>
    <m/>
    <s v=""/>
    <s v=""/>
    <n v="0"/>
    <n v="629"/>
    <n v="0"/>
    <s v=""/>
    <n v="629"/>
    <n v="684.5"/>
    <n v="0.47887323943661969"/>
    <n v="1313.5"/>
    <n v="96.5"/>
    <n v="180.5"/>
    <n v="90"/>
    <n v="80"/>
    <n v="96.66"/>
    <n v="96.62"/>
    <n v="96.62"/>
    <n v="96.62"/>
    <n v="96.62"/>
    <n v="96.62"/>
    <n v="96.62"/>
    <n v="96.62"/>
    <n v="0"/>
    <n v="185"/>
    <n v="92"/>
    <n v="90"/>
    <n v="80"/>
    <n v="96.5"/>
    <n v="85.5"/>
    <n v="0"/>
    <n v="0"/>
    <n v="0"/>
    <n v="0"/>
    <n v="0"/>
    <n v="629"/>
    <n v="0"/>
    <m/>
    <s v="51"/>
    <s v="Sin constancia PAPP-POA - SIN CP"/>
  </r>
  <r>
    <n v="420"/>
    <m/>
    <m/>
    <m/>
    <m/>
    <m/>
    <m/>
    <m/>
    <m/>
    <m/>
    <s v="Corporación Ciudad Alfaro"/>
    <x v="0"/>
    <s v="CCA"/>
    <s v="N/A"/>
    <s v="N/A"/>
    <s v="Corriente"/>
    <s v="N/A"/>
    <s v="N/A"/>
    <s v="N/A"/>
    <s v="N/A"/>
    <s v="N/A"/>
    <s v="N/A"/>
    <s v="NUEVA"/>
    <s v="Alimentación"/>
    <s v="0035"/>
    <s v="80"/>
    <s v="000"/>
    <s v="002"/>
    <s v="51"/>
    <n v="510306"/>
    <s v="Alimentación"/>
    <n v="1300"/>
    <s v="001"/>
    <s v="0000"/>
    <s v="0000"/>
    <s v="H21"/>
    <s v="N/A"/>
    <n v="9240"/>
    <m/>
    <n v="9240"/>
    <n v="2239"/>
    <n v="-2284.5"/>
    <n v="0"/>
    <n v="0"/>
    <n v="9194.5"/>
    <n v="0"/>
    <n v="9194.5"/>
    <m/>
    <n v="1295"/>
    <n v="644"/>
    <n v="630"/>
    <n v="560"/>
    <n v="675.5"/>
    <n v="800"/>
    <n v="800"/>
    <n v="800"/>
    <n v="800"/>
    <n v="790"/>
    <n v="1400"/>
    <n v="8640"/>
    <n v="9194.5"/>
    <n v="0"/>
    <m/>
    <m/>
    <m/>
    <s v=""/>
    <s v=""/>
    <n v="0"/>
    <n v="4403"/>
    <n v="0"/>
    <s v=""/>
    <n v="4403"/>
    <n v="4791.5"/>
    <n v="0.47887323943661969"/>
    <n v="9194.5"/>
    <n v="675.5"/>
    <n v="1263.5"/>
    <n v="630"/>
    <n v="560"/>
    <n v="688.89"/>
    <n v="688.89"/>
    <n v="688.87"/>
    <n v="688.87"/>
    <n v="688.87"/>
    <n v="688.87"/>
    <n v="688.87"/>
    <n v="688.87"/>
    <n v="0"/>
    <n v="1295"/>
    <n v="644"/>
    <n v="630"/>
    <n v="560"/>
    <n v="675.5"/>
    <n v="598.5"/>
    <n v="0"/>
    <n v="0"/>
    <n v="0"/>
    <n v="0"/>
    <n v="0"/>
    <n v="4403"/>
    <n v="0"/>
    <m/>
    <s v="51"/>
    <s v="Sin constancia PAPP-POA - SIN CP"/>
  </r>
  <r>
    <n v="421"/>
    <m/>
    <m/>
    <m/>
    <m/>
    <m/>
    <m/>
    <m/>
    <m/>
    <m/>
    <s v="Corporación Ciudad Alfaro"/>
    <x v="0"/>
    <s v="CCA"/>
    <s v="N/A"/>
    <s v="N/A"/>
    <s v="Corriente"/>
    <s v="N/A"/>
    <s v="N/A"/>
    <s v="N/A"/>
    <s v="N/A"/>
    <s v="N/A"/>
    <s v="N/A"/>
    <s v="NUEVA"/>
    <s v="Por Cargas Familiares"/>
    <s v="0035"/>
    <s v="80"/>
    <s v="000"/>
    <s v="002"/>
    <s v="51"/>
    <n v="510401"/>
    <s v="Por Cargas Familiares"/>
    <n v="1300"/>
    <s v="001"/>
    <s v="0000"/>
    <s v="0000"/>
    <s v="H21"/>
    <s v="N/A"/>
    <n v="480"/>
    <m/>
    <n v="480"/>
    <n v="24.6"/>
    <n v="-86.88"/>
    <n v="0"/>
    <n v="0"/>
    <n v="417.72"/>
    <n v="0"/>
    <n v="417.72"/>
    <m/>
    <n v="67.259999999999991"/>
    <n v="31.86"/>
    <n v="31.86"/>
    <n v="31.86"/>
    <n v="31.86"/>
    <n v="31.86"/>
    <n v="31.86"/>
    <n v="31"/>
    <n v="31"/>
    <n v="31"/>
    <n v="66.3"/>
    <n v="393.12000000000012"/>
    <n v="417.72"/>
    <n v="0"/>
    <m/>
    <m/>
    <m/>
    <s v=""/>
    <s v=""/>
    <n v="0"/>
    <n v="226.56"/>
    <n v="0"/>
    <s v=""/>
    <n v="226.56"/>
    <n v="191.16000000000003"/>
    <n v="0.5423728813559322"/>
    <n v="417.72"/>
    <n v="31.86"/>
    <n v="67.260000000000005"/>
    <n v="31.86"/>
    <n v="31.86"/>
    <n v="28.8"/>
    <n v="28.74"/>
    <n v="28.79"/>
    <n v="28.79"/>
    <n v="28.79"/>
    <n v="28.79"/>
    <n v="28.79"/>
    <n v="28.79"/>
    <n v="0"/>
    <n v="67.259999999999991"/>
    <n v="31.86"/>
    <n v="31.86"/>
    <n v="31.86"/>
    <n v="31.86"/>
    <n v="31.86"/>
    <n v="0"/>
    <n v="0"/>
    <n v="0"/>
    <n v="0"/>
    <n v="0"/>
    <n v="226.56"/>
    <n v="0"/>
    <m/>
    <s v="51"/>
    <s v="Sin constancia PAPP-POA - SIN CP"/>
  </r>
  <r>
    <n v="422"/>
    <m/>
    <m/>
    <m/>
    <m/>
    <m/>
    <m/>
    <m/>
    <m/>
    <m/>
    <s v="Corporación Ciudad Alfaro"/>
    <x v="0"/>
    <s v="CCA"/>
    <s v="N/A"/>
    <s v="N/A"/>
    <s v="Corriente"/>
    <s v="N/A"/>
    <s v="N/A"/>
    <s v="N/A"/>
    <s v="N/A"/>
    <s v="N/A"/>
    <s v="N/A"/>
    <s v="NUEVA"/>
    <s v="Subsidio de Antigüedad"/>
    <s v="0035"/>
    <s v="80"/>
    <s v="000"/>
    <s v="002"/>
    <s v="51"/>
    <n v="510408"/>
    <s v="Subsidio de Antigüedad"/>
    <n v="1300"/>
    <s v="001"/>
    <s v="0000"/>
    <s v="0000"/>
    <s v="H21"/>
    <s v="N/A"/>
    <n v="1080"/>
    <m/>
    <n v="1080"/>
    <n v="62.03"/>
    <n v="-632.03"/>
    <n v="0"/>
    <n v="0"/>
    <n v="510"/>
    <n v="0"/>
    <n v="510"/>
    <n v="34.380000000000003"/>
    <n v="63.09"/>
    <n v="34.380000000000003"/>
    <n v="34.380000000000003"/>
    <n v="42.97"/>
    <n v="42.97"/>
    <n v="42.97"/>
    <n v="42.97"/>
    <n v="42.97"/>
    <n v="42.97"/>
    <n v="42.97"/>
    <n v="42.98"/>
    <n v="1080"/>
    <n v="510.00000000000011"/>
    <n v="0"/>
    <m/>
    <m/>
    <m/>
    <s v=""/>
    <s v=""/>
    <n v="0"/>
    <n v="234.98999999999998"/>
    <n v="0"/>
    <s v=""/>
    <n v="234.98999999999998"/>
    <n v="275.01"/>
    <n v="0.46076470588235291"/>
    <n v="510"/>
    <n v="90"/>
    <n v="90"/>
    <n v="90"/>
    <n v="90"/>
    <n v="90"/>
    <n v="90"/>
    <n v="90"/>
    <n v="90"/>
    <n v="90"/>
    <n v="90"/>
    <n v="90"/>
    <n v="90"/>
    <n v="0"/>
    <n v="63.09"/>
    <n v="34.380000000000003"/>
    <n v="34.380000000000003"/>
    <n v="34.380000000000003"/>
    <n v="34.380000000000003"/>
    <n v="34.380000000000003"/>
    <n v="0"/>
    <n v="0"/>
    <n v="0"/>
    <n v="0"/>
    <n v="0"/>
    <n v="234.98999999999998"/>
    <n v="0"/>
    <m/>
    <s v="51"/>
    <s v="Sin constancia PAPP-POA - SIN CP"/>
  </r>
  <r>
    <n v="423"/>
    <m/>
    <m/>
    <m/>
    <m/>
    <m/>
    <m/>
    <m/>
    <m/>
    <m/>
    <s v="Corporación Ciudad Alfaro"/>
    <x v="0"/>
    <s v="CCA"/>
    <s v="N/A"/>
    <s v="N/A"/>
    <s v="Corriente"/>
    <s v="N/A"/>
    <s v="N/A"/>
    <s v="N/A"/>
    <s v="N/A"/>
    <s v="N/A"/>
    <s v="N/A"/>
    <s v="NUEVA"/>
    <s v="Servicios Personales por Contrato"/>
    <s v="0035"/>
    <s v="80"/>
    <s v="000"/>
    <s v="002"/>
    <s v="51"/>
    <n v="510510"/>
    <s v="Servicios Personales por Contrato"/>
    <n v="1300"/>
    <s v="001"/>
    <s v="0000"/>
    <s v="0000"/>
    <s v="H21"/>
    <s v="N/A"/>
    <n v="32136"/>
    <m/>
    <n v="32136"/>
    <n v="0"/>
    <n v="0"/>
    <n v="0"/>
    <n v="0"/>
    <n v="32136"/>
    <n v="0"/>
    <n v="32136"/>
    <n v="2678"/>
    <n v="2678"/>
    <n v="2678"/>
    <n v="2678"/>
    <n v="2678"/>
    <n v="2678"/>
    <n v="2678"/>
    <n v="2678"/>
    <n v="2678"/>
    <n v="2678"/>
    <n v="2678"/>
    <n v="2678"/>
    <n v="32136"/>
    <n v="32136"/>
    <n v="0"/>
    <m/>
    <m/>
    <m/>
    <n v="32136"/>
    <n v="0"/>
    <n v="0"/>
    <n v="18746"/>
    <n v="0"/>
    <s v=""/>
    <n v="18746"/>
    <n v="13390"/>
    <n v="0.58333333333333337"/>
    <n v="32136"/>
    <n v="2678"/>
    <n v="2678"/>
    <n v="2678"/>
    <n v="2678"/>
    <n v="2678"/>
    <n v="2678"/>
    <n v="2678"/>
    <n v="2678"/>
    <n v="2678"/>
    <n v="2678"/>
    <n v="2678"/>
    <n v="2678"/>
    <n v="2678"/>
    <n v="2678"/>
    <n v="2678"/>
    <n v="2678"/>
    <n v="2678"/>
    <n v="2678"/>
    <n v="2678"/>
    <n v="0"/>
    <n v="0"/>
    <n v="0"/>
    <n v="0"/>
    <n v="0"/>
    <n v="18746"/>
    <n v="0"/>
    <m/>
    <s v="51"/>
    <s v="Sin constancia PAPP-POA - SIN CP"/>
  </r>
  <r>
    <n v="424"/>
    <m/>
    <m/>
    <m/>
    <m/>
    <m/>
    <m/>
    <m/>
    <m/>
    <m/>
    <s v="Corporación Ciudad Alfaro"/>
    <x v="0"/>
    <s v="CCA"/>
    <s v="N/A"/>
    <s v="N/A"/>
    <s v="Corriente"/>
    <s v="N/A"/>
    <s v="N/A"/>
    <s v="N/A"/>
    <s v="N/A"/>
    <s v="N/A"/>
    <s v="N/A"/>
    <s v="NUEVA"/>
    <s v="Aporte Patronal "/>
    <s v="0035"/>
    <s v="80"/>
    <s v="000"/>
    <s v="002"/>
    <s v="51"/>
    <n v="510601"/>
    <s v="Aporte Patronal"/>
    <n v="1300"/>
    <s v="001"/>
    <s v="0000"/>
    <s v="0000"/>
    <s v="H21"/>
    <s v="N/A"/>
    <n v="38939.57"/>
    <m/>
    <n v="38939.57"/>
    <n v="0"/>
    <n v="-941.8"/>
    <n v="0"/>
    <n v="0"/>
    <n v="37997.769999999997"/>
    <n v="0"/>
    <n v="37997.769999999997"/>
    <n v="3149.96"/>
    <n v="3149.96"/>
    <n v="3149.96"/>
    <n v="3149.96"/>
    <n v="3149.96"/>
    <n v="3149.96"/>
    <n v="3149.96"/>
    <n v="3189.61"/>
    <n v="3189.61"/>
    <n v="3189.61"/>
    <n v="3189.61"/>
    <n v="3189.61"/>
    <n v="38582.559999999998"/>
    <n v="37997.769999999997"/>
    <n v="0"/>
    <m/>
    <m/>
    <m/>
    <n v="38582.559999999998"/>
    <n v="-584.79000000000087"/>
    <n v="0"/>
    <n v="22049.719999999998"/>
    <n v="0"/>
    <s v=""/>
    <n v="22049.719999999998"/>
    <n v="15948.05"/>
    <n v="0.58028984332501621"/>
    <n v="37997.769999999997"/>
    <n v="3149.96"/>
    <n v="3149.96"/>
    <n v="3149.96"/>
    <n v="3149.96"/>
    <n v="3149.96"/>
    <n v="3261.84"/>
    <n v="3261.82"/>
    <n v="3261.82"/>
    <n v="3261.82"/>
    <n v="3261.82"/>
    <n v="3261.82"/>
    <n v="3261.82"/>
    <n v="3149.96"/>
    <n v="3149.96"/>
    <n v="3149.96"/>
    <n v="3149.96"/>
    <n v="3149.96"/>
    <n v="3149.96"/>
    <n v="3149.96"/>
    <n v="0"/>
    <n v="0"/>
    <n v="0"/>
    <n v="0"/>
    <n v="0"/>
    <n v="22049.719999999998"/>
    <n v="0"/>
    <m/>
    <s v="51"/>
    <s v="Sin constancia PAPP-POA - SIN CP"/>
  </r>
  <r>
    <n v="425"/>
    <m/>
    <m/>
    <m/>
    <m/>
    <m/>
    <m/>
    <m/>
    <m/>
    <m/>
    <s v="Corporación Ciudad Alfaro"/>
    <x v="0"/>
    <s v="CCA"/>
    <s v="N/A"/>
    <s v="N/A"/>
    <s v="Corriente"/>
    <s v="N/A"/>
    <s v="N/A"/>
    <s v="N/A"/>
    <s v="N/A"/>
    <s v="N/A"/>
    <s v="N/A"/>
    <s v="NUEVA"/>
    <s v="Fondo de Reserva"/>
    <s v="0035"/>
    <s v="80"/>
    <s v="000"/>
    <s v="002"/>
    <s v="51"/>
    <n v="510602"/>
    <s v="Fondo de Reserva"/>
    <n v="1300"/>
    <s v="001"/>
    <s v="0000"/>
    <s v="0000"/>
    <s v="H21"/>
    <s v="N/A"/>
    <n v="32133.14"/>
    <m/>
    <n v="32133.14"/>
    <n v="0"/>
    <n v="-4562.55"/>
    <n v="0"/>
    <n v="0"/>
    <n v="27570.59"/>
    <n v="0"/>
    <n v="27570.59"/>
    <m/>
    <n v="2332.5700000000002"/>
    <n v="2332.5700000000002"/>
    <n v="2332.5700000000002"/>
    <n v="2332.5700000000002"/>
    <n v="2332.5700000000002"/>
    <n v="2332.5700000000002"/>
    <n v="2231.61"/>
    <n v="2231.61"/>
    <n v="2231.61"/>
    <n v="2231.61"/>
    <n v="4648.7299999999996"/>
    <n v="28176.35"/>
    <n v="27570.59"/>
    <n v="0"/>
    <m/>
    <m/>
    <m/>
    <n v="28176.35"/>
    <n v="-605.7599999999984"/>
    <n v="0"/>
    <n v="13995.42"/>
    <n v="0"/>
    <s v=""/>
    <n v="13995.42"/>
    <n v="13575.17"/>
    <n v="0.50762134578911799"/>
    <n v="27570.59"/>
    <n v="2332.5700000000002"/>
    <n v="2332.5700000000002"/>
    <n v="2332.5700000000002"/>
    <n v="2332.5700000000002"/>
    <n v="2355.75"/>
    <n v="2355.79"/>
    <n v="2355.7800000000002"/>
    <n v="2355.75"/>
    <n v="2355.75"/>
    <n v="2355.75"/>
    <n v="2355.75"/>
    <n v="2355.75"/>
    <n v="0"/>
    <n v="2332.5700000000002"/>
    <n v="2332.5700000000002"/>
    <n v="2332.5700000000002"/>
    <n v="2332.5700000000002"/>
    <n v="2332.5700000000002"/>
    <n v="2332.5700000000002"/>
    <n v="0"/>
    <n v="0"/>
    <n v="0"/>
    <n v="0"/>
    <n v="0"/>
    <n v="13995.42"/>
    <n v="0"/>
    <m/>
    <s v="51"/>
    <s v="Sin constancia PAPP-POA - SIN CP"/>
  </r>
  <r>
    <n v="426"/>
    <m/>
    <m/>
    <m/>
    <m/>
    <m/>
    <m/>
    <m/>
    <m/>
    <m/>
    <s v="Corporación Ciudad Alfaro"/>
    <x v="0"/>
    <s v="CCA"/>
    <s v="N/A"/>
    <s v="N/A"/>
    <s v="Corriente"/>
    <s v="N/A"/>
    <s v="N/A"/>
    <s v="N/A"/>
    <s v="N/A"/>
    <s v="N/A"/>
    <s v="N/A"/>
    <s v="NUEVA"/>
    <s v="Compensación por Vacaciones no Gozadas por Cesación de Funciones"/>
    <s v="0035"/>
    <s v="80"/>
    <s v="000"/>
    <s v="002"/>
    <s v="51"/>
    <n v="510707"/>
    <s v="Compensación por Vacaciones no Gozadas por Cesación de Funciones"/>
    <n v="1300"/>
    <s v="001"/>
    <s v="0000"/>
    <s v="0000"/>
    <s v="H21"/>
    <s v="N/A"/>
    <n v="4800"/>
    <m/>
    <n v="4800"/>
    <n v="0"/>
    <n v="-4800"/>
    <n v="0"/>
    <n v="0"/>
    <n v="0"/>
    <n v="0"/>
    <n v="0"/>
    <m/>
    <m/>
    <m/>
    <m/>
    <m/>
    <m/>
    <m/>
    <m/>
    <m/>
    <m/>
    <m/>
    <m/>
    <n v="4800"/>
    <n v="0"/>
    <n v="0"/>
    <m/>
    <m/>
    <m/>
    <s v=""/>
    <s v=""/>
    <s v=""/>
    <s v=""/>
    <s v=""/>
    <s v=""/>
    <s v=""/>
    <s v=""/>
    <s v=""/>
    <n v="0"/>
    <n v="400"/>
    <n v="400"/>
    <n v="400"/>
    <n v="400"/>
    <n v="400"/>
    <n v="400"/>
    <n v="400"/>
    <n v="400"/>
    <n v="400"/>
    <n v="400"/>
    <n v="400"/>
    <n v="400"/>
    <s v=""/>
    <s v=""/>
    <s v=""/>
    <s v=""/>
    <s v=""/>
    <s v=""/>
    <s v=""/>
    <s v=""/>
    <s v=""/>
    <s v=""/>
    <s v=""/>
    <s v=""/>
    <n v="0"/>
    <s v=""/>
    <m/>
    <s v="51"/>
    <s v="Sin constancia PAPP-POA - SIN CP"/>
  </r>
  <r>
    <n v="427"/>
    <m/>
    <m/>
    <m/>
    <m/>
    <m/>
    <m/>
    <m/>
    <m/>
    <m/>
    <s v="Corporación Ciudad Alfaro"/>
    <x v="0"/>
    <s v="Museo Centro Cultural Manta"/>
    <s v="N/A"/>
    <s v="N/A"/>
    <s v="Corriente"/>
    <s v="N/A"/>
    <s v="N/A"/>
    <s v="N/A"/>
    <s v="N/A"/>
    <s v="N/A"/>
    <s v="N/A"/>
    <s v="NUEVA"/>
    <s v="Pago de servicio de telefonía fija de la Sede Museo y Centro Cultural de Manta"/>
    <s v="0035"/>
    <s v="80"/>
    <s v="000"/>
    <s v="002"/>
    <s v="53"/>
    <n v="530105"/>
    <s v="Telecomunicaciones"/>
    <n v="1308"/>
    <s v="001"/>
    <s v="0000"/>
    <s v="0000"/>
    <s v="H21"/>
    <s v="N/A"/>
    <n v="500"/>
    <m/>
    <n v="500"/>
    <n v="0"/>
    <n v="-500"/>
    <n v="0"/>
    <n v="0"/>
    <n v="0"/>
    <n v="0"/>
    <n v="0"/>
    <n v="0"/>
    <n v="0"/>
    <n v="0"/>
    <n v="0"/>
    <n v="0"/>
    <n v="0"/>
    <n v="0"/>
    <n v="0"/>
    <n v="0"/>
    <n v="0"/>
    <n v="0"/>
    <n v="0"/>
    <n v="500"/>
    <n v="0"/>
    <n v="0"/>
    <m/>
    <m/>
    <m/>
    <n v="500"/>
    <n v="-500"/>
    <n v="0"/>
    <n v="0"/>
    <n v="0"/>
    <s v=""/>
    <s v=""/>
    <s v=""/>
    <s v=""/>
    <n v="0"/>
    <n v="0"/>
    <n v="50"/>
    <n v="50"/>
    <n v="50"/>
    <n v="50"/>
    <n v="50"/>
    <n v="50"/>
    <n v="50"/>
    <n v="50"/>
    <n v="50"/>
    <n v="50"/>
    <n v="0"/>
    <s v=""/>
    <s v=""/>
    <s v=""/>
    <s v=""/>
    <s v=""/>
    <s v=""/>
    <s v=""/>
    <s v=""/>
    <s v=""/>
    <s v=""/>
    <s v=""/>
    <s v=""/>
    <n v="0"/>
    <s v=""/>
    <m/>
    <s v="53"/>
    <s v="Sin constancia PAPP-POA - SIN CP"/>
  </r>
  <r>
    <n v="428"/>
    <m/>
    <m/>
    <m/>
    <m/>
    <m/>
    <m/>
    <m/>
    <m/>
    <m/>
    <s v="Corporación Ciudad Alfaro"/>
    <x v="0"/>
    <s v="Museo Bahía de Caráquez"/>
    <s v="N/A"/>
    <s v="N/A"/>
    <s v="Corriente"/>
    <s v="N/A"/>
    <s v="N/A"/>
    <s v="N/A"/>
    <s v="N/A"/>
    <s v="N/A"/>
    <s v="N/A"/>
    <s v="NUEVA"/>
    <s v="Pago del servicio de telefonía fija de la Sede Museo Bahía de Caráquez"/>
    <s v="0035"/>
    <s v="80"/>
    <s v="000"/>
    <s v="002"/>
    <s v="53"/>
    <n v="530105"/>
    <s v="Telecomunicaciones"/>
    <n v="1314"/>
    <s v="001"/>
    <s v="0000"/>
    <s v="0000"/>
    <s v="H21"/>
    <s v="N/A"/>
    <n v="500"/>
    <m/>
    <n v="500"/>
    <n v="0"/>
    <n v="-500"/>
    <n v="0"/>
    <n v="0"/>
    <n v="0"/>
    <n v="0"/>
    <n v="0"/>
    <n v="0"/>
    <n v="0"/>
    <n v="0"/>
    <n v="0"/>
    <n v="0"/>
    <n v="0"/>
    <n v="0"/>
    <n v="0"/>
    <n v="0"/>
    <n v="0"/>
    <n v="0"/>
    <n v="0"/>
    <n v="500"/>
    <n v="0"/>
    <n v="0"/>
    <m/>
    <m/>
    <m/>
    <n v="500"/>
    <n v="-500"/>
    <n v="0"/>
    <n v="0"/>
    <n v="0"/>
    <s v=""/>
    <s v=""/>
    <s v=""/>
    <s v=""/>
    <n v="0"/>
    <n v="0"/>
    <n v="50"/>
    <n v="50"/>
    <n v="50"/>
    <n v="50"/>
    <n v="50"/>
    <n v="50"/>
    <n v="50"/>
    <n v="50"/>
    <n v="50"/>
    <n v="50"/>
    <n v="0"/>
    <s v=""/>
    <s v=""/>
    <s v=""/>
    <s v=""/>
    <s v=""/>
    <s v=""/>
    <s v=""/>
    <s v=""/>
    <s v=""/>
    <s v=""/>
    <s v=""/>
    <s v=""/>
    <n v="0"/>
    <s v=""/>
    <m/>
    <s v="53"/>
    <s v="Sin constancia PAPP-POA - SIN CP"/>
  </r>
  <r>
    <n v="429"/>
    <m/>
    <m/>
    <m/>
    <m/>
    <m/>
    <m/>
    <m/>
    <m/>
    <m/>
    <s v="Corporación Ciudad Alfaro"/>
    <x v="0"/>
    <s v="Museo Portoviejo y Archivo Histórico"/>
    <s v="N/A"/>
    <s v="N/A"/>
    <s v="Corriente"/>
    <s v="N/A"/>
    <s v="N/A"/>
    <s v="N/A"/>
    <s v="N/A"/>
    <s v="N/A"/>
    <s v="N/A"/>
    <s v="NUEVA"/>
    <s v="Pago del servicio de telefonía fija de la Sede Museo Portoviejo y Archivo Histórico"/>
    <s v="0035"/>
    <s v="80"/>
    <s v="000"/>
    <s v="002"/>
    <s v="53"/>
    <n v="530105"/>
    <s v="Telecomunicaciones"/>
    <n v="1301"/>
    <s v="001"/>
    <s v="0000"/>
    <s v="0000"/>
    <s v="H21"/>
    <s v="N/A"/>
    <n v="500"/>
    <m/>
    <n v="500"/>
    <n v="0"/>
    <n v="-500"/>
    <n v="0"/>
    <n v="0"/>
    <n v="0"/>
    <n v="0"/>
    <n v="0"/>
    <n v="0"/>
    <n v="0"/>
    <n v="0"/>
    <n v="0"/>
    <n v="0"/>
    <n v="0"/>
    <n v="0"/>
    <n v="0"/>
    <n v="0"/>
    <n v="0"/>
    <n v="0"/>
    <n v="0"/>
    <n v="500"/>
    <n v="0"/>
    <n v="0"/>
    <m/>
    <m/>
    <m/>
    <n v="0"/>
    <n v="0"/>
    <n v="0"/>
    <n v="0"/>
    <n v="0"/>
    <s v=""/>
    <s v=""/>
    <s v=""/>
    <s v=""/>
    <n v="0"/>
    <n v="0"/>
    <n v="50"/>
    <n v="50"/>
    <n v="50"/>
    <n v="50"/>
    <n v="50"/>
    <n v="50"/>
    <n v="50"/>
    <n v="50"/>
    <n v="50"/>
    <n v="50"/>
    <n v="0"/>
    <s v=""/>
    <s v=""/>
    <s v=""/>
    <s v=""/>
    <s v=""/>
    <s v=""/>
    <s v=""/>
    <s v=""/>
    <s v=""/>
    <s v=""/>
    <s v=""/>
    <s v=""/>
    <n v="0"/>
    <s v=""/>
    <m/>
    <s v="53"/>
    <s v="Sin  Constancia PAPP/POA y con CP- EOD"/>
  </r>
  <r>
    <n v="430"/>
    <m/>
    <m/>
    <m/>
    <m/>
    <m/>
    <m/>
    <m/>
    <m/>
    <m/>
    <s v="Corporación Ciudad Alfaro"/>
    <x v="0"/>
    <s v="CCA"/>
    <s v="N/A"/>
    <s v="N/A"/>
    <s v="Corriente"/>
    <s v="N/A"/>
    <s v="N/A"/>
    <s v="N/A"/>
    <s v="N/A"/>
    <s v="N/A"/>
    <s v="N/A"/>
    <s v="NUEVA"/>
    <s v="Pago del servicio de telefonía fija  de las Sedes Museo y Centro Cultural de Manta, Museo Portoviejo y Archivo Histórico, y Museo Bahía de Caráquez de los años 2022 y 2023 cuya razón social se encuentra a nombre del Ministerio de Cultura y Patrimonio"/>
    <s v="0035"/>
    <s v="80"/>
    <s v="000"/>
    <s v="002"/>
    <s v="53"/>
    <n v="530105"/>
    <s v="Telecomunicaciones"/>
    <n v="1309"/>
    <s v="001"/>
    <s v="0000"/>
    <s v="0000"/>
    <s v="H21"/>
    <s v="N/A"/>
    <n v="3000"/>
    <m/>
    <n v="3000"/>
    <n v="0"/>
    <n v="-3000"/>
    <n v="0"/>
    <n v="0"/>
    <n v="0"/>
    <n v="0"/>
    <n v="0"/>
    <m/>
    <m/>
    <m/>
    <m/>
    <m/>
    <m/>
    <m/>
    <m/>
    <m/>
    <m/>
    <m/>
    <m/>
    <n v="3000"/>
    <n v="0"/>
    <n v="0"/>
    <m/>
    <m/>
    <m/>
    <n v="0"/>
    <n v="0"/>
    <n v="0"/>
    <n v="0"/>
    <n v="0"/>
    <s v=""/>
    <s v=""/>
    <s v=""/>
    <s v=""/>
    <n v="0"/>
    <n v="0"/>
    <n v="0"/>
    <n v="3000"/>
    <n v="0"/>
    <n v="0"/>
    <n v="0"/>
    <n v="0"/>
    <n v="0"/>
    <n v="0"/>
    <n v="0"/>
    <n v="0"/>
    <n v="0"/>
    <s v=""/>
    <s v=""/>
    <s v=""/>
    <s v=""/>
    <s v=""/>
    <s v=""/>
    <s v=""/>
    <s v=""/>
    <s v=""/>
    <s v=""/>
    <s v=""/>
    <s v=""/>
    <n v="0"/>
    <s v=""/>
    <m/>
    <s v="53"/>
    <s v="Sin  Constancia PAPP/POA y con CP- EOD"/>
  </r>
  <r>
    <n v="431"/>
    <m/>
    <m/>
    <m/>
    <m/>
    <m/>
    <m/>
    <m/>
    <m/>
    <m/>
    <s v="Corporación Ciudad Alfaro"/>
    <x v="0"/>
    <s v="CCA"/>
    <s v="N/A"/>
    <s v="N/A"/>
    <s v="Corriente"/>
    <s v="N/A"/>
    <s v="N/A"/>
    <s v="N/A"/>
    <s v="N/A"/>
    <s v="N/A"/>
    <s v="N/A"/>
    <s v="ARRASTRE"/>
    <s v="Pago del servicio de telefonía fija e internet de los meses de Noviembre y Diciembre del 2024 de la Corporación Ciudad Alfaro"/>
    <s v="0035"/>
    <s v="80"/>
    <s v="000"/>
    <s v="002"/>
    <s v="53"/>
    <n v="530105"/>
    <s v="Telecomunicaciones"/>
    <n v="1309"/>
    <s v="001"/>
    <s v="0000"/>
    <s v="0000"/>
    <s v="H21"/>
    <s v="N/A"/>
    <n v="1600"/>
    <m/>
    <n v="1600"/>
    <n v="0"/>
    <n v="-1600"/>
    <n v="0"/>
    <n v="0"/>
    <n v="0"/>
    <n v="0"/>
    <n v="0"/>
    <m/>
    <m/>
    <m/>
    <m/>
    <m/>
    <m/>
    <m/>
    <m/>
    <m/>
    <m/>
    <m/>
    <m/>
    <n v="1600"/>
    <n v="0"/>
    <n v="0"/>
    <m/>
    <m/>
    <m/>
    <s v=""/>
    <s v=""/>
    <s v=""/>
    <s v=""/>
    <s v=""/>
    <s v=""/>
    <s v=""/>
    <s v=""/>
    <s v=""/>
    <n v="0"/>
    <n v="0"/>
    <n v="1600"/>
    <n v="0"/>
    <n v="0"/>
    <n v="0"/>
    <n v="0"/>
    <n v="0"/>
    <n v="0"/>
    <n v="0"/>
    <n v="0"/>
    <n v="0"/>
    <n v="0"/>
    <s v=""/>
    <s v=""/>
    <s v=""/>
    <s v=""/>
    <s v=""/>
    <s v=""/>
    <s v=""/>
    <s v=""/>
    <s v=""/>
    <s v=""/>
    <s v=""/>
    <s v=""/>
    <n v="0"/>
    <s v=""/>
    <m/>
    <s v="53"/>
    <s v="Sin constancia PAPP-POA - SIN CP"/>
  </r>
  <r>
    <n v="432"/>
    <m/>
    <m/>
    <m/>
    <m/>
    <m/>
    <m/>
    <m/>
    <m/>
    <m/>
    <s v="Corporación Ciudad Alfaro"/>
    <x v="0"/>
    <s v="CCA"/>
    <s v="N/A"/>
    <s v="N/A"/>
    <s v="Corriente"/>
    <s v="N/A"/>
    <s v="N/A"/>
    <s v="N/A"/>
    <s v="N/A"/>
    <s v="N/A"/>
    <s v="N/A"/>
    <s v="NUEVA"/>
    <s v="Pago del servicio de telefonía fija e internet de la Corporación Ciudad Alfaro"/>
    <s v="0035"/>
    <s v="80"/>
    <s v="000"/>
    <s v="002"/>
    <s v="53"/>
    <n v="530105"/>
    <s v="Telecomunicaciones"/>
    <n v="1309"/>
    <s v="001"/>
    <s v="0000"/>
    <s v="0000"/>
    <s v="H21"/>
    <s v="N/A"/>
    <n v="8000"/>
    <m/>
    <n v="8000"/>
    <n v="836"/>
    <n v="0"/>
    <n v="0"/>
    <n v="0"/>
    <n v="8836"/>
    <n v="0"/>
    <n v="8836"/>
    <m/>
    <n v="700"/>
    <n v="810"/>
    <n v="810"/>
    <n v="810"/>
    <n v="810"/>
    <n v="810"/>
    <n v="810"/>
    <n v="810"/>
    <n v="810"/>
    <n v="810"/>
    <n v="846"/>
    <n v="8000"/>
    <n v="8836"/>
    <n v="0"/>
    <m/>
    <m/>
    <m/>
    <n v="8836"/>
    <n v="0"/>
    <n v="8000"/>
    <n v="8000"/>
    <n v="0"/>
    <s v=""/>
    <n v="3816.1200000000003"/>
    <n v="5019.8799999999992"/>
    <n v="0.43188320507016753"/>
    <n v="8836"/>
    <n v="0"/>
    <n v="700"/>
    <n v="700"/>
    <n v="700"/>
    <n v="700"/>
    <n v="700"/>
    <n v="700"/>
    <n v="700"/>
    <n v="700"/>
    <n v="700"/>
    <n v="700"/>
    <n v="1000"/>
    <n v="0"/>
    <n v="0"/>
    <n v="1323.68"/>
    <n v="0"/>
    <n v="1323.68"/>
    <n v="661.84"/>
    <n v="506.92"/>
    <n v="0"/>
    <n v="0"/>
    <n v="0"/>
    <n v="0"/>
    <n v="0"/>
    <n v="3816.1200000000003"/>
    <n v="0"/>
    <m/>
    <s v="53"/>
    <s v="Sin  Constancia PAPP/POA y con CP- EOD"/>
  </r>
  <r>
    <n v="433"/>
    <m/>
    <m/>
    <m/>
    <m/>
    <m/>
    <m/>
    <m/>
    <m/>
    <m/>
    <s v="Corporación Ciudad Alfaro"/>
    <x v="0"/>
    <s v="Museo Portoviejo y Archivo Histórico"/>
    <s v="N/A"/>
    <s v="N/A"/>
    <s v="Corriente"/>
    <s v="N/A"/>
    <s v="N/A"/>
    <s v="N/A"/>
    <s v="N/A"/>
    <s v="N/A"/>
    <s v="N/A"/>
    <s v="NUEVA"/>
    <s v="Pago de expensas comunales de las instalaciones del Museo Portoviejo y Archivo Histórico"/>
    <s v="0035"/>
    <s v="80"/>
    <s v="000"/>
    <s v="002"/>
    <s v="53"/>
    <n v="530402"/>
    <s v="Edificios, Locales, Residencias y Cableado Estructurado (Instalación, Mantenimiento y Reparación)"/>
    <n v="1301"/>
    <s v="001"/>
    <s v="0000"/>
    <s v="0000"/>
    <s v="H21"/>
    <s v="N/A"/>
    <n v="0"/>
    <m/>
    <n v="0"/>
    <n v="0"/>
    <n v="0"/>
    <n v="0"/>
    <n v="0"/>
    <n v="0"/>
    <n v="0"/>
    <n v="0"/>
    <n v="0"/>
    <n v="0"/>
    <n v="0"/>
    <n v="0"/>
    <n v="0"/>
    <n v="0"/>
    <n v="0"/>
    <n v="0"/>
    <n v="0"/>
    <n v="0"/>
    <n v="0"/>
    <n v="0"/>
    <n v="0"/>
    <n v="0"/>
    <n v="0"/>
    <m/>
    <m/>
    <m/>
    <s v=""/>
    <s v=""/>
    <s v=""/>
    <s v=""/>
    <s v=""/>
    <s v=""/>
    <s v=""/>
    <s v=""/>
    <s v=""/>
    <n v="0"/>
    <n v="0"/>
    <n v="0"/>
    <n v="0"/>
    <n v="0"/>
    <n v="0"/>
    <n v="0"/>
    <n v="0"/>
    <n v="0"/>
    <n v="0"/>
    <n v="0"/>
    <n v="0"/>
    <n v="0"/>
    <s v=""/>
    <s v=""/>
    <s v=""/>
    <s v=""/>
    <s v=""/>
    <s v=""/>
    <s v=""/>
    <s v=""/>
    <s v=""/>
    <s v=""/>
    <s v=""/>
    <s v=""/>
    <n v="0"/>
    <s v=""/>
    <m/>
    <s v="53"/>
    <s v="Sin constancia PAPP-POA - SIN CP"/>
  </r>
  <r>
    <n v="434"/>
    <m/>
    <m/>
    <m/>
    <m/>
    <m/>
    <m/>
    <m/>
    <m/>
    <m/>
    <s v="Corporación Ciudad Alfaro"/>
    <x v="0"/>
    <s v="Museo Portoviejo y Archivo Histórico"/>
    <s v="N/A"/>
    <s v="N/A"/>
    <s v="Corriente"/>
    <s v="N/A"/>
    <s v="N/A"/>
    <s v="N/A"/>
    <s v="N/A"/>
    <s v="N/A"/>
    <s v="N/A"/>
    <s v="ARRASTRE"/>
    <s v="Pago de expensas comunales del mes de Diciembre del 2023 de las instalaciones del Museo Portoviejo y Archivo Histórico"/>
    <s v="0035"/>
    <s v="80"/>
    <s v="000"/>
    <s v="002"/>
    <s v="53"/>
    <n v="530402"/>
    <s v="Edificios, Locales, Residencias y Cableado Estructurado (Instalación, Mantenimiento y Reparación)"/>
    <n v="1301"/>
    <s v="001"/>
    <s v="0000"/>
    <s v="0000"/>
    <s v="H21"/>
    <s v="N/A"/>
    <n v="6624"/>
    <m/>
    <n v="6624"/>
    <n v="0"/>
    <n v="0"/>
    <n v="0"/>
    <n v="0"/>
    <n v="6624"/>
    <n v="0"/>
    <n v="6624"/>
    <n v="0"/>
    <n v="6624"/>
    <n v="0"/>
    <n v="0"/>
    <n v="0"/>
    <n v="0"/>
    <n v="0"/>
    <n v="0"/>
    <n v="0"/>
    <n v="0"/>
    <n v="0"/>
    <n v="0"/>
    <n v="6624"/>
    <n v="6624"/>
    <n v="0"/>
    <m/>
    <m/>
    <m/>
    <n v="6624"/>
    <n v="0"/>
    <n v="6624"/>
    <n v="6624"/>
    <n v="0"/>
    <s v=""/>
    <n v="6624"/>
    <n v="0"/>
    <n v="1"/>
    <n v="6624"/>
    <n v="0"/>
    <n v="6624"/>
    <n v="0"/>
    <n v="0"/>
    <n v="0"/>
    <n v="0"/>
    <n v="0"/>
    <n v="0"/>
    <n v="0"/>
    <n v="0"/>
    <n v="0"/>
    <n v="0"/>
    <n v="0"/>
    <n v="6624"/>
    <n v="0"/>
    <n v="0"/>
    <n v="0"/>
    <n v="0"/>
    <n v="0"/>
    <n v="0"/>
    <n v="0"/>
    <n v="0"/>
    <n v="0"/>
    <n v="0"/>
    <n v="6624"/>
    <n v="0"/>
    <m/>
    <s v="53"/>
    <s v="Sin  Constancia PAPP/POA y con CP- EOD"/>
  </r>
  <r>
    <n v="435"/>
    <m/>
    <m/>
    <m/>
    <m/>
    <m/>
    <m/>
    <m/>
    <m/>
    <m/>
    <s v="Corporación Ciudad Alfaro"/>
    <x v="0"/>
    <s v="Museo Centro Cultural Manta"/>
    <s v="N/A"/>
    <s v="N/A"/>
    <s v="Corriente"/>
    <s v="N/A"/>
    <s v="N/A"/>
    <s v="N/A"/>
    <s v="N/A"/>
    <s v="N/A"/>
    <s v="N/A"/>
    <s v="PLURIANUAL 2023-2024"/>
    <s v="Pago del servicio de aseo y limpieza del Museo Centro Cultural Manta por el período 2023-2024"/>
    <s v="0035"/>
    <s v="80"/>
    <s v="000"/>
    <s v="002"/>
    <s v="53"/>
    <n v="530209"/>
    <s v="Servicios de Aseo, Lavado de Vestimenta de Trabajo, Fumigación, Desinfección,  Limpieza de Instalaciones, manejo_x000a_de desechos contaminados, recuperación y clasificación de materiales reciclables."/>
    <n v="1308"/>
    <s v="001"/>
    <s v="0000"/>
    <s v="0000"/>
    <s v="H21"/>
    <s v="N/A"/>
    <n v="19737"/>
    <m/>
    <n v="19737"/>
    <n v="10449"/>
    <n v="-7740"/>
    <n v="0"/>
    <n v="0"/>
    <n v="22446"/>
    <n v="0"/>
    <n v="22446"/>
    <m/>
    <n v="4644"/>
    <n v="2322"/>
    <n v="2322"/>
    <n v="0"/>
    <n v="4644"/>
    <n v="2322"/>
    <n v="2322"/>
    <n v="2322"/>
    <n v="1548"/>
    <m/>
    <m/>
    <n v="19737"/>
    <n v="22446"/>
    <n v="0"/>
    <m/>
    <m/>
    <m/>
    <n v="22446"/>
    <n v="0"/>
    <n v="22446"/>
    <n v="22446"/>
    <n v="0"/>
    <s v=""/>
    <n v="16254"/>
    <n v="6192"/>
    <n v="0.72413793103448276"/>
    <n v="22446"/>
    <n v="2193"/>
    <n v="2193"/>
    <n v="2193"/>
    <n v="2193"/>
    <n v="2193"/>
    <n v="2193"/>
    <n v="2193"/>
    <n v="2193"/>
    <n v="2193"/>
    <n v="0"/>
    <n v="0"/>
    <n v="0"/>
    <n v="0"/>
    <n v="4644"/>
    <n v="2322"/>
    <n v="2322"/>
    <n v="0"/>
    <n v="4644"/>
    <n v="2322"/>
    <n v="0"/>
    <n v="0"/>
    <n v="0"/>
    <n v="0"/>
    <n v="0"/>
    <n v="16254"/>
    <n v="0"/>
    <m/>
    <s v="53"/>
    <s v="Sin  Constancia PAPP/POA y con CP- EOD"/>
  </r>
  <r>
    <n v="436"/>
    <m/>
    <m/>
    <m/>
    <m/>
    <m/>
    <m/>
    <m/>
    <m/>
    <m/>
    <s v="Corporación Ciudad Alfaro"/>
    <x v="0"/>
    <s v="Museo Bahía de Caráquez"/>
    <s v="N/A"/>
    <s v="N/A"/>
    <s v="Corriente"/>
    <s v="N/A"/>
    <s v="N/A"/>
    <s v="N/A"/>
    <s v="N/A"/>
    <s v="N/A"/>
    <s v="N/A"/>
    <s v="PLURIANUAL 2023-2024"/>
    <s v="Pago del Servicio de aseo y Limpieza del Museo Bahía de Caráquez por el período 2023-2024"/>
    <s v="0035"/>
    <s v="80"/>
    <s v="000"/>
    <s v="002"/>
    <s v="53"/>
    <n v="530209"/>
    <s v="Servicios de Aseo, Lavado de Vestimenta de Trabajo, Fumigación, Desinfección,  Limpieza de Instalaciones, manejo_x000a_de desechos contaminados, recuperación y clasificación de materiales reciclables."/>
    <n v="1314"/>
    <s v="001"/>
    <s v="0000"/>
    <s v="0000"/>
    <s v="H21"/>
    <s v="N/A"/>
    <n v="19737"/>
    <m/>
    <n v="19737"/>
    <n v="10449"/>
    <n v="-7740"/>
    <n v="0"/>
    <n v="0"/>
    <n v="22446"/>
    <n v="0"/>
    <n v="22446"/>
    <m/>
    <n v="4644"/>
    <n v="2322"/>
    <n v="2322"/>
    <n v="2322"/>
    <n v="2322"/>
    <n v="2322"/>
    <n v="2322"/>
    <n v="2322"/>
    <n v="1548"/>
    <m/>
    <m/>
    <n v="19737"/>
    <n v="22446"/>
    <n v="0"/>
    <m/>
    <m/>
    <m/>
    <n v="22446"/>
    <n v="0"/>
    <n v="22446"/>
    <n v="22446"/>
    <n v="0"/>
    <s v=""/>
    <n v="16254"/>
    <n v="6192"/>
    <n v="0.72413793103448276"/>
    <n v="22446"/>
    <n v="2193"/>
    <n v="2193"/>
    <n v="2193"/>
    <n v="2193"/>
    <n v="2193"/>
    <n v="2193"/>
    <n v="2193"/>
    <n v="2193"/>
    <n v="2193"/>
    <n v="0"/>
    <n v="0"/>
    <n v="0"/>
    <n v="0"/>
    <n v="4644"/>
    <n v="2322"/>
    <n v="2322"/>
    <n v="2322"/>
    <n v="2322"/>
    <n v="2322"/>
    <n v="0"/>
    <n v="0"/>
    <n v="0"/>
    <n v="0"/>
    <n v="0"/>
    <n v="16254"/>
    <n v="0"/>
    <m/>
    <s v="53"/>
    <s v="Sin  Constancia PAPP/POA y con CP- EOD"/>
  </r>
  <r>
    <n v="437"/>
    <m/>
    <m/>
    <m/>
    <m/>
    <m/>
    <m/>
    <m/>
    <m/>
    <m/>
    <s v="Corporación Ciudad Alfaro"/>
    <x v="0"/>
    <m/>
    <s v="N/A"/>
    <s v="N/A"/>
    <s v="Corriente"/>
    <s v="N/A"/>
    <s v="N/A"/>
    <s v="N/A"/>
    <s v="N/A"/>
    <s v="N/A"/>
    <s v="N/A"/>
    <s v="NUEVA"/>
    <s v="Pago del Servicio de aseo y Limpieza de la Corporación Ciudad Alfaro"/>
    <s v="0035"/>
    <s v="80"/>
    <s v="000"/>
    <s v="002"/>
    <s v="53"/>
    <n v="530209"/>
    <s v="Servicios de Aseo, Lavado de Vestimenta de Trabajo, Fumigación, Desinfección,  Limpieza de Instalaciones, manejo_x000a_de desechos contaminados, recuperación y clasificación de materiales reciclables."/>
    <n v="1309"/>
    <s v="001"/>
    <s v="0000"/>
    <s v="0000"/>
    <s v="H21"/>
    <s v="N/A"/>
    <n v="19583"/>
    <m/>
    <n v="19583"/>
    <n v="0"/>
    <n v="-19583"/>
    <n v="0"/>
    <n v="0"/>
    <n v="0"/>
    <n v="0"/>
    <n v="0"/>
    <m/>
    <m/>
    <m/>
    <m/>
    <m/>
    <m/>
    <m/>
    <m/>
    <m/>
    <m/>
    <m/>
    <m/>
    <n v="19583"/>
    <n v="0"/>
    <n v="0"/>
    <m/>
    <m/>
    <m/>
    <s v=""/>
    <s v=""/>
    <s v=""/>
    <s v=""/>
    <s v=""/>
    <s v=""/>
    <s v=""/>
    <s v=""/>
    <s v=""/>
    <n v="0"/>
    <n v="0"/>
    <n v="0"/>
    <n v="0"/>
    <n v="0"/>
    <n v="0"/>
    <n v="0"/>
    <n v="0"/>
    <n v="0"/>
    <n v="0"/>
    <n v="6527"/>
    <n v="6527"/>
    <n v="6529"/>
    <s v=""/>
    <s v=""/>
    <s v=""/>
    <s v=""/>
    <s v=""/>
    <s v=""/>
    <s v=""/>
    <s v=""/>
    <s v=""/>
    <s v=""/>
    <s v=""/>
    <s v=""/>
    <n v="0"/>
    <s v=""/>
    <m/>
    <s v="53"/>
    <s v="Sin constancia PAPP-POA - SIN CP"/>
  </r>
  <r>
    <n v="438"/>
    <m/>
    <m/>
    <m/>
    <m/>
    <m/>
    <m/>
    <m/>
    <m/>
    <m/>
    <s v="Corporación Ciudad Alfaro"/>
    <x v="0"/>
    <s v="CCA"/>
    <s v="N/A"/>
    <s v="N/A"/>
    <s v="Corriente"/>
    <s v="N/A"/>
    <s v="N/A"/>
    <s v="N/A"/>
    <s v="N/A"/>
    <s v="N/A"/>
    <s v="N/A"/>
    <s v="PLURIANUAL 2023-2024"/>
    <s v="Pago del Servicio de aseo y Limpieza de la Corporación Ciudad Alfaro"/>
    <s v="0035"/>
    <s v="80"/>
    <s v="000"/>
    <s v="002"/>
    <s v="53"/>
    <n v="530209"/>
    <s v="Servicios de Aseo, Lavado de Vestimenta de Trabajo, Fumigación, Desinfección,  Limpieza de Instalaciones, manejo_x000a_de desechos contaminados, recuperación y clasificación de materiales reciclables."/>
    <n v="1309"/>
    <s v="001"/>
    <s v="0000"/>
    <s v="0000"/>
    <s v="H21"/>
    <s v="N/A"/>
    <n v="19737"/>
    <m/>
    <n v="19737"/>
    <n v="10526.4"/>
    <n v="-7740"/>
    <n v="0"/>
    <n v="0"/>
    <n v="22523.4"/>
    <n v="0"/>
    <n v="22523.4"/>
    <m/>
    <n v="4644"/>
    <n v="2322"/>
    <n v="0"/>
    <n v="4644"/>
    <n v="2322"/>
    <n v="2322"/>
    <n v="2322"/>
    <n v="2322"/>
    <n v="1625.4"/>
    <m/>
    <m/>
    <n v="19737"/>
    <n v="22523.4"/>
    <n v="0"/>
    <m/>
    <m/>
    <m/>
    <n v="22523.4"/>
    <n v="0"/>
    <n v="22523.4"/>
    <n v="22523.4"/>
    <n v="0"/>
    <s v=""/>
    <n v="16254"/>
    <n v="6269.4000000000015"/>
    <n v="0.72164948453608246"/>
    <n v="22523.4"/>
    <n v="2193"/>
    <n v="2193"/>
    <n v="2193"/>
    <n v="2193"/>
    <n v="2193"/>
    <n v="2193"/>
    <n v="2193"/>
    <n v="2193"/>
    <n v="2193"/>
    <n v="0"/>
    <n v="0"/>
    <n v="0"/>
    <n v="0"/>
    <n v="4644"/>
    <n v="2322"/>
    <n v="0"/>
    <n v="4644"/>
    <n v="0"/>
    <n v="4644"/>
    <n v="0"/>
    <n v="0"/>
    <n v="0"/>
    <n v="0"/>
    <n v="0"/>
    <n v="16254"/>
    <n v="0"/>
    <m/>
    <s v="53"/>
    <s v="Sin  Constancia PAPP/POA y con CP- EOD"/>
  </r>
  <r>
    <n v="439"/>
    <m/>
    <m/>
    <m/>
    <m/>
    <m/>
    <m/>
    <m/>
    <m/>
    <m/>
    <s v="Corporación Ciudad Alfaro"/>
    <x v="0"/>
    <s v="CCA"/>
    <s v="N/A"/>
    <s v="N/A"/>
    <s v="Corriente"/>
    <s v="N/A"/>
    <s v="N/A"/>
    <s v="N/A"/>
    <s v="N/A"/>
    <s v="N/A"/>
    <s v="N/A"/>
    <s v="NUEVA"/>
    <s v="Pago del servicio de seguridad y vigilancia de la Corporación Alfaro y sus Sedes"/>
    <s v="0035"/>
    <s v="80"/>
    <s v="000"/>
    <s v="002"/>
    <s v="53"/>
    <n v="530208"/>
    <s v="Servicio de Seguridad y Vigilancia"/>
    <n v="1309"/>
    <s v="001"/>
    <s v="0000"/>
    <s v="0000"/>
    <s v="H21"/>
    <s v="N/A"/>
    <n v="0"/>
    <m/>
    <n v="0"/>
    <n v="0"/>
    <n v="0"/>
    <n v="0"/>
    <n v="0"/>
    <n v="0"/>
    <n v="0"/>
    <n v="0"/>
    <n v="0"/>
    <n v="0"/>
    <n v="0"/>
    <n v="0"/>
    <n v="0"/>
    <n v="0"/>
    <n v="0"/>
    <n v="0"/>
    <n v="0"/>
    <n v="0"/>
    <n v="0"/>
    <n v="0"/>
    <n v="0"/>
    <n v="0"/>
    <n v="0"/>
    <m/>
    <m/>
    <m/>
    <s v=""/>
    <s v=""/>
    <s v=""/>
    <s v=""/>
    <s v=""/>
    <s v=""/>
    <s v=""/>
    <s v=""/>
    <s v=""/>
    <n v="0"/>
    <n v="0"/>
    <n v="0"/>
    <n v="0"/>
    <n v="0"/>
    <n v="0"/>
    <n v="0"/>
    <n v="0"/>
    <n v="0"/>
    <n v="0"/>
    <n v="0"/>
    <n v="0"/>
    <n v="0"/>
    <s v=""/>
    <s v=""/>
    <s v=""/>
    <s v=""/>
    <s v=""/>
    <s v=""/>
    <s v=""/>
    <s v=""/>
    <s v=""/>
    <s v=""/>
    <s v=""/>
    <s v=""/>
    <n v="0"/>
    <s v=""/>
    <m/>
    <s v="53"/>
    <s v="Sin constancia PAPP-POA - SIN CP"/>
  </r>
  <r>
    <n v="440"/>
    <m/>
    <m/>
    <m/>
    <m/>
    <m/>
    <m/>
    <m/>
    <m/>
    <m/>
    <s v="Corporación Ciudad Alfaro"/>
    <x v="0"/>
    <s v="CCA"/>
    <s v="N/A"/>
    <s v="N/A"/>
    <s v="Corriente"/>
    <s v="N/A"/>
    <s v="N/A"/>
    <s v="N/A"/>
    <s v="N/A"/>
    <s v="N/A"/>
    <s v="N/A"/>
    <s v="PLURIANUAL 2023-2024"/>
    <s v="Pago del servicio de seguridad y vigilancia de la Corporación Alfaro y sus Sedes"/>
    <s v="0035"/>
    <s v="80"/>
    <s v="000"/>
    <s v="002"/>
    <s v="53"/>
    <n v="530208"/>
    <s v="Servicio de Seguridad y Vigilancia"/>
    <n v="1309"/>
    <s v="001"/>
    <s v="0000"/>
    <s v="0000"/>
    <s v="H21"/>
    <s v="N/A"/>
    <n v="178957"/>
    <m/>
    <n v="178957"/>
    <n v="0"/>
    <n v="-7157"/>
    <n v="0"/>
    <n v="0"/>
    <n v="171800"/>
    <n v="0"/>
    <n v="171800"/>
    <m/>
    <n v="30128.48"/>
    <n v="15064.24"/>
    <n v="15064.24"/>
    <s v=""/>
    <n v="15064.24"/>
    <n v="30128.48"/>
    <n v="15064.24"/>
    <n v="15064.24"/>
    <n v="15064.24"/>
    <n v="15064.24"/>
    <n v="6093.36"/>
    <n v="178957.00000000003"/>
    <n v="171799.99999999997"/>
    <n v="0"/>
    <m/>
    <m/>
    <m/>
    <n v="178957"/>
    <n v="-7157"/>
    <n v="0"/>
    <n v="171800"/>
    <n v="0"/>
    <s v=""/>
    <n v="105449.68000000001"/>
    <n v="66350.319999999992"/>
    <n v="0.61379324796274748"/>
    <n v="171800"/>
    <n v="16268.82"/>
    <n v="16268.82"/>
    <n v="16268.82"/>
    <n v="16268.82"/>
    <n v="16268.82"/>
    <n v="16268.82"/>
    <n v="16268.82"/>
    <n v="16268.82"/>
    <n v="16268.82"/>
    <n v="16268.82"/>
    <n v="16268.8"/>
    <n v="0"/>
    <n v="0"/>
    <n v="30128.48"/>
    <n v="15064.24"/>
    <n v="15064.24"/>
    <n v="0"/>
    <n v="30128.48"/>
    <n v="15064.24"/>
    <n v="0"/>
    <n v="0"/>
    <n v="0"/>
    <n v="0"/>
    <n v="0"/>
    <n v="105449.68000000001"/>
    <n v="0"/>
    <m/>
    <s v="53"/>
    <s v="Sin  Constancia PAPP/POA y con CP- EOD"/>
  </r>
  <r>
    <n v="441"/>
    <m/>
    <m/>
    <m/>
    <m/>
    <m/>
    <m/>
    <m/>
    <m/>
    <m/>
    <s v="Corporación Ciudad Alfaro"/>
    <x v="0"/>
    <s v="CCA"/>
    <s v="N/A"/>
    <s v="N/A"/>
    <s v="Corriente"/>
    <s v="N/A"/>
    <s v="N/A"/>
    <s v="N/A"/>
    <s v="N/A"/>
    <s v="N/A"/>
    <s v="N/A"/>
    <s v="NUEVA"/>
    <s v="Contratación del servicio de agua potable por tanquero para la Corporación Ciudad Alfaro y sus Sedes"/>
    <s v="0035"/>
    <s v="80"/>
    <s v="000"/>
    <s v="002"/>
    <s v="53"/>
    <n v="530101"/>
    <s v="Agua Potable"/>
    <n v="1309"/>
    <s v="001"/>
    <s v="0000"/>
    <s v="0000"/>
    <s v="H21"/>
    <s v="N/A"/>
    <n v="500"/>
    <m/>
    <n v="500"/>
    <n v="0"/>
    <n v="-500"/>
    <n v="0"/>
    <n v="0"/>
    <n v="0"/>
    <n v="0"/>
    <n v="0"/>
    <m/>
    <m/>
    <m/>
    <m/>
    <m/>
    <m/>
    <m/>
    <m/>
    <m/>
    <m/>
    <m/>
    <m/>
    <n v="500"/>
    <n v="0"/>
    <n v="0"/>
    <m/>
    <m/>
    <m/>
    <s v=""/>
    <s v=""/>
    <s v=""/>
    <s v=""/>
    <s v=""/>
    <s v=""/>
    <s v=""/>
    <s v=""/>
    <s v=""/>
    <n v="0"/>
    <n v="0"/>
    <n v="500"/>
    <n v="0"/>
    <n v="0"/>
    <n v="0"/>
    <n v="0"/>
    <n v="0"/>
    <n v="0"/>
    <n v="0"/>
    <n v="0"/>
    <n v="0"/>
    <n v="0"/>
    <s v=""/>
    <s v=""/>
    <s v=""/>
    <s v=""/>
    <s v=""/>
    <s v=""/>
    <s v=""/>
    <s v=""/>
    <s v=""/>
    <s v=""/>
    <s v=""/>
    <s v=""/>
    <n v="0"/>
    <s v=""/>
    <m/>
    <s v="53"/>
    <s v="Sin constancia PAPP-POA - SIN CP"/>
  </r>
  <r>
    <n v="442"/>
    <m/>
    <m/>
    <m/>
    <m/>
    <m/>
    <m/>
    <m/>
    <m/>
    <m/>
    <s v="Corporación Ciudad Alfaro"/>
    <x v="0"/>
    <s v="CCA"/>
    <s v="N/A"/>
    <s v="N/A"/>
    <s v="Corriente"/>
    <s v="N/A"/>
    <s v="N/A"/>
    <s v="N/A"/>
    <s v="N/A"/>
    <s v="N/A"/>
    <s v="N/A"/>
    <s v="ARRASTRE"/>
    <s v="Pago del servicio de agua potable de los meses de Octubre, Noviembre y Diciembre del 2023 de la Corporación Ciudad Alfaro"/>
    <s v="0035"/>
    <s v="80"/>
    <s v="000"/>
    <s v="002"/>
    <s v="53"/>
    <n v="530101"/>
    <s v="Agua Potable"/>
    <n v="1309"/>
    <s v="001"/>
    <s v="0000"/>
    <s v="0000"/>
    <s v="H21"/>
    <s v="N/A"/>
    <n v="600"/>
    <m/>
    <n v="600"/>
    <n v="0"/>
    <n v="-596.29999999999995"/>
    <n v="0"/>
    <n v="0"/>
    <n v="3.7000000000000455"/>
    <n v="0"/>
    <n v="3.7000000000000455"/>
    <m/>
    <m/>
    <n v="3.7"/>
    <m/>
    <m/>
    <m/>
    <m/>
    <m/>
    <m/>
    <m/>
    <m/>
    <m/>
    <n v="600"/>
    <n v="3.7"/>
    <n v="-4.5297099404706387E-14"/>
    <m/>
    <m/>
    <m/>
    <n v="3.7"/>
    <n v="4.5297099404706387E-14"/>
    <n v="0"/>
    <n v="3.7000000000000455"/>
    <n v="0"/>
    <s v=""/>
    <n v="3.7"/>
    <n v="4.5297099404706387E-14"/>
    <n v="0.99999999999998779"/>
    <n v="3.7000000000000455"/>
    <n v="0"/>
    <n v="600"/>
    <n v="0"/>
    <n v="0"/>
    <n v="0"/>
    <n v="0"/>
    <n v="0"/>
    <n v="0"/>
    <n v="0"/>
    <n v="0"/>
    <n v="0"/>
    <n v="0"/>
    <n v="0"/>
    <n v="0"/>
    <n v="3.7"/>
    <n v="0"/>
    <n v="0"/>
    <n v="0"/>
    <n v="0"/>
    <n v="0"/>
    <n v="0"/>
    <n v="0"/>
    <n v="0"/>
    <n v="0"/>
    <n v="3.7"/>
    <n v="0"/>
    <m/>
    <s v="53"/>
    <s v="Sin  Constancia PAPP/POA y con CP- EOD"/>
  </r>
  <r>
    <n v="443"/>
    <m/>
    <m/>
    <m/>
    <m/>
    <m/>
    <m/>
    <m/>
    <m/>
    <m/>
    <s v="Corporación Ciudad Alfaro"/>
    <x v="0"/>
    <s v="CCA"/>
    <s v="N/A"/>
    <s v="N/A"/>
    <s v="Corriente"/>
    <s v="N/A"/>
    <s v="N/A"/>
    <s v="N/A"/>
    <s v="N/A"/>
    <s v="N/A"/>
    <s v="N/A"/>
    <s v="NUEVA"/>
    <s v="Pago del servicio de agua potable de la Corporación Ciudad Alfaro"/>
    <s v="0035"/>
    <s v="80"/>
    <s v="000"/>
    <s v="002"/>
    <s v="53"/>
    <n v="530101"/>
    <s v="Agua Potable"/>
    <n v="1309"/>
    <s v="001"/>
    <s v="0000"/>
    <s v="0000"/>
    <s v="H21"/>
    <s v="N/A"/>
    <n v="1800"/>
    <m/>
    <n v="1800"/>
    <n v="0"/>
    <n v="0"/>
    <n v="0"/>
    <n v="0"/>
    <n v="1800"/>
    <n v="0"/>
    <n v="1800"/>
    <n v="0"/>
    <n v="180"/>
    <n v="180"/>
    <n v="180"/>
    <n v="180"/>
    <n v="180"/>
    <n v="180"/>
    <n v="180"/>
    <n v="180"/>
    <n v="180"/>
    <n v="180"/>
    <n v="0"/>
    <n v="1800"/>
    <n v="1800"/>
    <n v="0"/>
    <m/>
    <m/>
    <m/>
    <n v="1800"/>
    <n v="0"/>
    <n v="1800"/>
    <n v="1800"/>
    <n v="0"/>
    <s v=""/>
    <n v="101.9"/>
    <n v="1698.1"/>
    <n v="5.6611111111111112E-2"/>
    <n v="1800"/>
    <n v="0"/>
    <n v="180"/>
    <n v="180"/>
    <n v="180"/>
    <n v="180"/>
    <n v="180"/>
    <n v="180"/>
    <n v="180"/>
    <n v="180"/>
    <n v="180"/>
    <n v="180"/>
    <n v="0"/>
    <n v="0"/>
    <n v="0"/>
    <n v="3.7"/>
    <n v="0"/>
    <n v="0"/>
    <n v="11.55"/>
    <n v="86.65"/>
    <n v="0"/>
    <n v="0"/>
    <n v="0"/>
    <n v="0"/>
    <n v="0"/>
    <n v="101.9"/>
    <n v="0"/>
    <m/>
    <s v="53"/>
    <s v="Sin  Constancia PAPP/POA y con CP- EOD"/>
  </r>
  <r>
    <n v="444"/>
    <m/>
    <m/>
    <m/>
    <m/>
    <m/>
    <m/>
    <m/>
    <m/>
    <m/>
    <s v="Corporación Ciudad Alfaro"/>
    <x v="0"/>
    <s v="CCA"/>
    <s v="N/A"/>
    <s v="N/A"/>
    <s v="Corriente"/>
    <s v="N/A"/>
    <s v="N/A"/>
    <s v="N/A"/>
    <s v="N/A"/>
    <s v="N/A"/>
    <s v="N/A"/>
    <s v="ARRASTRE"/>
    <s v="Pago del servicio de energía eléctrica de los meses de Noviembre y Diciembre del 2023 de la Corporación Ciudad Alfaro"/>
    <s v="0035"/>
    <s v="80"/>
    <s v="000"/>
    <s v="002"/>
    <s v="53"/>
    <n v="530104"/>
    <s v="Energía Eléctrica"/>
    <n v="1309"/>
    <s v="001"/>
    <s v="0000"/>
    <s v="0000"/>
    <s v="H21"/>
    <s v="N/A"/>
    <n v="6000"/>
    <m/>
    <n v="6000"/>
    <n v="0"/>
    <n v="-3552.82"/>
    <n v="0"/>
    <n v="0"/>
    <n v="2447.1799999999998"/>
    <n v="0"/>
    <n v="2447.1799999999998"/>
    <m/>
    <n v="2447.1799999999998"/>
    <m/>
    <m/>
    <m/>
    <m/>
    <m/>
    <m/>
    <m/>
    <m/>
    <m/>
    <m/>
    <n v="6000"/>
    <n v="2447.1799999999998"/>
    <n v="0"/>
    <m/>
    <m/>
    <m/>
    <n v="2447.1799999999998"/>
    <n v="0"/>
    <n v="0"/>
    <n v="2447.1799999999998"/>
    <n v="0"/>
    <s v=""/>
    <n v="2447.1800000000003"/>
    <n v="-4.5474735088646412E-13"/>
    <n v="1.0000000000000002"/>
    <n v="2447.1799999999998"/>
    <n v="0"/>
    <n v="6000"/>
    <n v="0"/>
    <n v="0"/>
    <n v="0"/>
    <n v="0"/>
    <n v="0"/>
    <n v="0"/>
    <n v="0"/>
    <n v="0"/>
    <n v="0"/>
    <n v="0"/>
    <n v="0"/>
    <n v="2447.1800000000003"/>
    <n v="0"/>
    <n v="0"/>
    <n v="0"/>
    <n v="0"/>
    <n v="0"/>
    <n v="0"/>
    <n v="0"/>
    <n v="0"/>
    <n v="0"/>
    <n v="0"/>
    <n v="2447.1800000000003"/>
    <n v="0"/>
    <m/>
    <s v="53"/>
    <s v="Sin  Constancia PAPP/POA y con CP- EOD"/>
  </r>
  <r>
    <n v="445"/>
    <m/>
    <m/>
    <m/>
    <m/>
    <m/>
    <m/>
    <m/>
    <m/>
    <m/>
    <s v="Corporación Ciudad Alfaro"/>
    <x v="0"/>
    <s v="CCA"/>
    <s v="N/A"/>
    <s v="N/A"/>
    <s v="Corriente"/>
    <s v="N/A"/>
    <s v="N/A"/>
    <s v="N/A"/>
    <s v="N/A"/>
    <s v="N/A"/>
    <s v="N/A"/>
    <s v="NUEVA"/>
    <s v="Pago del servicio de energía eléctrica de la Corporación Ciudad Alfaro"/>
    <s v="0035"/>
    <s v="80"/>
    <s v="000"/>
    <s v="002"/>
    <s v="53"/>
    <n v="530104"/>
    <s v="Energía Eléctrica"/>
    <n v="1309"/>
    <s v="001"/>
    <s v="0000"/>
    <s v="0000"/>
    <s v="H21"/>
    <s v="N/A"/>
    <n v="27000"/>
    <m/>
    <n v="27000"/>
    <n v="0"/>
    <n v="0"/>
    <n v="0"/>
    <n v="0"/>
    <n v="27000"/>
    <n v="0"/>
    <n v="27000"/>
    <n v="0"/>
    <n v="3000"/>
    <n v="3000"/>
    <n v="3000"/>
    <n v="3000"/>
    <n v="3000"/>
    <n v="3000"/>
    <n v="2000"/>
    <n v="3000"/>
    <n v="2000"/>
    <n v="2000"/>
    <n v="0"/>
    <n v="27000"/>
    <n v="27000"/>
    <n v="0"/>
    <m/>
    <m/>
    <m/>
    <n v="27000"/>
    <n v="0"/>
    <n v="27000"/>
    <n v="27000"/>
    <n v="0"/>
    <s v=""/>
    <n v="3995.99"/>
    <n v="23004.010000000002"/>
    <n v="0.14799962962962962"/>
    <n v="27000"/>
    <n v="0"/>
    <n v="3000"/>
    <n v="3000"/>
    <n v="3000"/>
    <n v="3000"/>
    <n v="3000"/>
    <n v="3000"/>
    <n v="2000"/>
    <n v="3000"/>
    <n v="2000"/>
    <n v="2000"/>
    <n v="0"/>
    <n v="0"/>
    <n v="0"/>
    <n v="2029.47"/>
    <n v="0"/>
    <n v="1780.34"/>
    <n v="98.35"/>
    <n v="87.83"/>
    <n v="0"/>
    <n v="0"/>
    <n v="0"/>
    <n v="0"/>
    <n v="0"/>
    <n v="3995.99"/>
    <n v="0"/>
    <m/>
    <s v="53"/>
    <s v="Sin  Constancia PAPP/POA y con CP- EOD"/>
  </r>
  <r>
    <n v="446"/>
    <m/>
    <m/>
    <m/>
    <m/>
    <m/>
    <m/>
    <m/>
    <m/>
    <m/>
    <s v="Corporación Ciudad Alfaro"/>
    <x v="0"/>
    <s v="Museo Portoviejo y Archivo Histórico"/>
    <s v="N/A"/>
    <s v="N/A"/>
    <s v="Corriente"/>
    <s v="N/A"/>
    <s v="N/A"/>
    <s v="N/A"/>
    <s v="N/A"/>
    <s v="N/A"/>
    <s v="N/A"/>
    <s v="NUEVA"/>
    <s v="Pago del servicio de energía eléctrica del Museo Portoviejo y Archivo Histórico"/>
    <s v="0035"/>
    <s v="80"/>
    <s v="000"/>
    <s v="002"/>
    <s v="53"/>
    <n v="530104"/>
    <s v="Energía Eléctrica"/>
    <n v="1301"/>
    <s v="001"/>
    <s v="0000"/>
    <s v="0000"/>
    <s v="H21"/>
    <s v="N/A"/>
    <n v="8100"/>
    <m/>
    <n v="8100"/>
    <n v="700"/>
    <n v="0"/>
    <n v="0"/>
    <n v="0"/>
    <n v="8800"/>
    <n v="0"/>
    <n v="8800"/>
    <m/>
    <n v="900"/>
    <n v="790"/>
    <n v="790"/>
    <n v="790"/>
    <n v="790"/>
    <n v="790"/>
    <n v="790"/>
    <n v="790"/>
    <n v="790"/>
    <n v="790"/>
    <n v="790"/>
    <n v="8100"/>
    <n v="8800"/>
    <n v="0"/>
    <m/>
    <m/>
    <m/>
    <n v="8800"/>
    <n v="0"/>
    <n v="8100"/>
    <n v="8100"/>
    <n v="0"/>
    <s v=""/>
    <n v="4527.67"/>
    <n v="4272.33"/>
    <n v="0.5145079545454545"/>
    <n v="8800"/>
    <n v="0"/>
    <n v="900"/>
    <n v="900"/>
    <n v="800"/>
    <n v="800"/>
    <n v="800"/>
    <n v="800"/>
    <n v="800"/>
    <n v="800"/>
    <n v="800"/>
    <n v="700"/>
    <n v="0"/>
    <n v="0"/>
    <n v="0"/>
    <n v="872.64"/>
    <n v="886.55"/>
    <n v="947.99"/>
    <n v="933.36"/>
    <n v="887.13"/>
    <n v="0"/>
    <n v="0"/>
    <n v="0"/>
    <n v="0"/>
    <n v="0"/>
    <n v="4527.67"/>
    <n v="0"/>
    <m/>
    <s v="53"/>
    <s v="Sin  Constancia PAPP/POA y con CP- EOD"/>
  </r>
  <r>
    <n v="447"/>
    <m/>
    <m/>
    <m/>
    <m/>
    <m/>
    <m/>
    <m/>
    <m/>
    <m/>
    <s v="Corporación Ciudad Alfaro"/>
    <x v="0"/>
    <s v="Museo Portoviejo y Archivo Histórico"/>
    <s v="N/A"/>
    <s v="N/A"/>
    <s v="Corriente"/>
    <s v="N/A"/>
    <s v="N/A"/>
    <s v="N/A"/>
    <s v="N/A"/>
    <s v="N/A"/>
    <s v="N/A"/>
    <s v="ARRASTRE"/>
    <s v="Pago del servicio de energía eléctrica de los meses de Noviembre y Diciembre del 2023 del Museo Portoviejo y Archivo Histórico"/>
    <s v="0035"/>
    <s v="80"/>
    <s v="000"/>
    <s v="002"/>
    <s v="53"/>
    <n v="530104"/>
    <s v="Energía Eléctrica"/>
    <n v="1301"/>
    <s v="001"/>
    <s v="0000"/>
    <s v="0000"/>
    <s v="H21"/>
    <s v="N/A"/>
    <n v="1800"/>
    <m/>
    <n v="1800"/>
    <n v="0"/>
    <n v="-220.51"/>
    <n v="0"/>
    <n v="0"/>
    <n v="1579.49"/>
    <n v="0"/>
    <n v="1579.49"/>
    <m/>
    <n v="1579.49"/>
    <m/>
    <m/>
    <m/>
    <m/>
    <m/>
    <m/>
    <m/>
    <m/>
    <m/>
    <m/>
    <n v="1800"/>
    <n v="1579.49"/>
    <n v="0"/>
    <m/>
    <m/>
    <m/>
    <n v="1579.49"/>
    <n v="0"/>
    <n v="0"/>
    <n v="1579.49"/>
    <n v="0"/>
    <s v=""/>
    <n v="1579.49"/>
    <n v="0"/>
    <n v="1"/>
    <n v="1579.49"/>
    <n v="0"/>
    <n v="1800"/>
    <n v="0"/>
    <n v="0"/>
    <n v="0"/>
    <n v="0"/>
    <n v="0"/>
    <n v="0"/>
    <n v="0"/>
    <n v="0"/>
    <n v="0"/>
    <n v="0"/>
    <n v="0"/>
    <n v="1579.49"/>
    <n v="0"/>
    <n v="0"/>
    <n v="0"/>
    <n v="0"/>
    <n v="0"/>
    <n v="0"/>
    <n v="0"/>
    <n v="0"/>
    <n v="0"/>
    <n v="0"/>
    <n v="1579.49"/>
    <n v="0"/>
    <m/>
    <s v="53"/>
    <s v="Sin  Constancia PAPP/POA y con CP- EOD"/>
  </r>
  <r>
    <n v="448"/>
    <m/>
    <m/>
    <m/>
    <m/>
    <m/>
    <m/>
    <m/>
    <m/>
    <m/>
    <s v="Corporación Ciudad Alfaro"/>
    <x v="0"/>
    <s v="Museo Bahía de Caráquez"/>
    <s v="N/A"/>
    <s v="N/A"/>
    <s v="Corriente"/>
    <s v="N/A"/>
    <s v="N/A"/>
    <s v="N/A"/>
    <s v="N/A"/>
    <s v="N/A"/>
    <s v="N/A"/>
    <s v="ARRASTRE"/>
    <s v="Pago Mensual del servicio de Alcantarillado de los meses de Noviembre y Diciembre del 2023 del Museo Bahía de Caráquez"/>
    <s v="0035"/>
    <s v="80"/>
    <s v="000"/>
    <s v="002"/>
    <s v="53"/>
    <n v="530101"/>
    <s v="Agua Potable"/>
    <n v="1314"/>
    <s v="001"/>
    <s v="0000"/>
    <s v="0000"/>
    <s v="H21"/>
    <s v="N/A"/>
    <n v="40"/>
    <m/>
    <n v="40"/>
    <n v="0"/>
    <n v="0"/>
    <n v="0"/>
    <n v="0"/>
    <n v="40"/>
    <n v="0"/>
    <n v="40"/>
    <n v="0"/>
    <n v="40"/>
    <n v="0"/>
    <n v="0"/>
    <n v="0"/>
    <n v="0"/>
    <n v="0"/>
    <n v="0"/>
    <n v="0"/>
    <n v="0"/>
    <n v="0"/>
    <n v="0"/>
    <n v="40"/>
    <n v="40"/>
    <n v="0"/>
    <m/>
    <m/>
    <m/>
    <n v="40"/>
    <n v="0"/>
    <n v="40"/>
    <n v="40"/>
    <n v="0"/>
    <s v=""/>
    <n v="2"/>
    <n v="38"/>
    <n v="0.05"/>
    <n v="40"/>
    <n v="0"/>
    <n v="40"/>
    <n v="0"/>
    <n v="0"/>
    <n v="0"/>
    <n v="0"/>
    <n v="0"/>
    <n v="0"/>
    <n v="0"/>
    <n v="0"/>
    <n v="0"/>
    <n v="0"/>
    <n v="2"/>
    <n v="0"/>
    <n v="0"/>
    <n v="0"/>
    <n v="0"/>
    <n v="0"/>
    <n v="0"/>
    <n v="0"/>
    <n v="0"/>
    <n v="0"/>
    <n v="0"/>
    <n v="0"/>
    <n v="2"/>
    <n v="0"/>
    <m/>
    <s v="53"/>
    <s v="Sin  Constancia PAPP/POA y con CP- EOD"/>
  </r>
  <r>
    <n v="449"/>
    <m/>
    <m/>
    <m/>
    <m/>
    <m/>
    <m/>
    <m/>
    <m/>
    <m/>
    <s v="Corporación Ciudad Alfaro"/>
    <x v="0"/>
    <s v="Museo Bahía de Caráquez"/>
    <s v="N/A"/>
    <s v="N/A"/>
    <s v="Corriente"/>
    <s v="N/A"/>
    <s v="N/A"/>
    <s v="N/A"/>
    <s v="N/A"/>
    <s v="N/A"/>
    <s v="N/A"/>
    <s v="NUEVA"/>
    <s v="Pago Mensual del servicio de Alcantarillado Bahía de Caráquez"/>
    <s v="0035"/>
    <s v="80"/>
    <s v="000"/>
    <s v="002"/>
    <s v="53"/>
    <n v="530101"/>
    <s v="Agua Potable"/>
    <n v="1314"/>
    <s v="001"/>
    <s v="0000"/>
    <s v="0000"/>
    <s v="H21"/>
    <s v="N/A"/>
    <n v="180"/>
    <m/>
    <n v="180"/>
    <n v="0"/>
    <n v="0"/>
    <n v="0"/>
    <n v="0"/>
    <n v="180"/>
    <n v="0"/>
    <n v="180"/>
    <n v="0"/>
    <n v="20"/>
    <n v="20"/>
    <n v="20"/>
    <n v="20"/>
    <n v="20"/>
    <n v="20"/>
    <n v="20"/>
    <n v="20"/>
    <n v="10"/>
    <n v="10"/>
    <n v="0"/>
    <n v="180"/>
    <n v="180"/>
    <n v="0"/>
    <m/>
    <m/>
    <m/>
    <n v="180"/>
    <n v="0"/>
    <n v="180"/>
    <n v="180"/>
    <n v="0"/>
    <s v=""/>
    <n v="12"/>
    <n v="168"/>
    <n v="6.6666666666666666E-2"/>
    <n v="180"/>
    <n v="0"/>
    <n v="20"/>
    <n v="20"/>
    <n v="20"/>
    <n v="20"/>
    <n v="20"/>
    <n v="20"/>
    <n v="20"/>
    <n v="20"/>
    <n v="10"/>
    <n v="10"/>
    <n v="0"/>
    <n v="0"/>
    <n v="2"/>
    <n v="2"/>
    <n v="2"/>
    <n v="2"/>
    <n v="2"/>
    <n v="2"/>
    <n v="0"/>
    <n v="0"/>
    <n v="0"/>
    <n v="0"/>
    <n v="0"/>
    <n v="12"/>
    <n v="0"/>
    <m/>
    <s v="53"/>
    <s v="Sin  Constancia PAPP/POA y con CP- EOD"/>
  </r>
  <r>
    <n v="450"/>
    <m/>
    <m/>
    <m/>
    <m/>
    <m/>
    <m/>
    <m/>
    <m/>
    <m/>
    <s v="Corporación Ciudad Alfaro"/>
    <x v="0"/>
    <s v="Museo Bahía de Caráquez"/>
    <s v="N/A"/>
    <s v="N/A"/>
    <s v="Corriente"/>
    <s v="N/A"/>
    <s v="N/A"/>
    <s v="N/A"/>
    <s v="N/A"/>
    <s v="N/A"/>
    <s v="N/A"/>
    <s v="ARRASTRE"/>
    <s v="Pago Mensual del Servicio de Agua Potable de los meses de Noviembre y Diciembre del 2023 del Museo Bahía de Caráquez"/>
    <s v="0035"/>
    <s v="80"/>
    <s v="000"/>
    <s v="002"/>
    <s v="53"/>
    <n v="530101"/>
    <s v="Agua Potable"/>
    <n v="1314"/>
    <s v="001"/>
    <s v="0000"/>
    <s v="0000"/>
    <s v="H21"/>
    <s v="N/A"/>
    <n v="80"/>
    <m/>
    <n v="80"/>
    <n v="0"/>
    <n v="0"/>
    <n v="0"/>
    <n v="0"/>
    <n v="80"/>
    <n v="0"/>
    <n v="80"/>
    <n v="0"/>
    <n v="80"/>
    <n v="0"/>
    <n v="0"/>
    <n v="0"/>
    <n v="0"/>
    <n v="0"/>
    <n v="0"/>
    <n v="0"/>
    <n v="0"/>
    <n v="0"/>
    <n v="0"/>
    <n v="80"/>
    <n v="80"/>
    <n v="0"/>
    <m/>
    <m/>
    <m/>
    <n v="80"/>
    <n v="0"/>
    <n v="80"/>
    <n v="80"/>
    <n v="0"/>
    <s v=""/>
    <n v="2.75"/>
    <n v="77.25"/>
    <n v="3.4375000000000003E-2"/>
    <n v="80"/>
    <n v="0"/>
    <n v="80"/>
    <n v="0"/>
    <n v="0"/>
    <n v="0"/>
    <n v="0"/>
    <n v="0"/>
    <n v="0"/>
    <n v="0"/>
    <n v="0"/>
    <n v="0"/>
    <n v="0"/>
    <n v="2.75"/>
    <n v="0"/>
    <n v="0"/>
    <n v="0"/>
    <n v="0"/>
    <n v="0"/>
    <n v="0"/>
    <n v="0"/>
    <n v="0"/>
    <n v="0"/>
    <n v="0"/>
    <n v="0"/>
    <n v="2.75"/>
    <n v="0"/>
    <m/>
    <s v="53"/>
    <s v="Sin  Constancia PAPP/POA y con CP- EOD"/>
  </r>
  <r>
    <n v="451"/>
    <m/>
    <m/>
    <m/>
    <m/>
    <m/>
    <m/>
    <m/>
    <m/>
    <m/>
    <s v="Corporación Ciudad Alfaro"/>
    <x v="0"/>
    <s v="Museo Bahía de Caráquez"/>
    <s v="N/A"/>
    <s v="N/A"/>
    <s v="Corriente"/>
    <s v="N/A"/>
    <s v="N/A"/>
    <s v="N/A"/>
    <s v="N/A"/>
    <s v="N/A"/>
    <s v="N/A"/>
    <s v="NUEVA"/>
    <s v="Pago Mensual del servicio de Agua Potable del Museo Bahía de Caráquez"/>
    <s v="0035"/>
    <s v="80"/>
    <s v="000"/>
    <s v="002"/>
    <s v="53"/>
    <n v="530101"/>
    <s v="Agua Potable"/>
    <n v="1314"/>
    <s v="001"/>
    <s v="0000"/>
    <s v="0000"/>
    <s v="H21"/>
    <s v="N/A"/>
    <n v="360"/>
    <m/>
    <n v="360"/>
    <n v="0"/>
    <n v="0"/>
    <n v="0"/>
    <n v="0"/>
    <n v="360"/>
    <n v="0"/>
    <n v="360"/>
    <n v="0"/>
    <n v="40"/>
    <n v="40"/>
    <n v="40"/>
    <n v="40"/>
    <n v="40"/>
    <n v="40"/>
    <n v="40"/>
    <n v="40"/>
    <n v="20"/>
    <n v="20"/>
    <n v="0"/>
    <n v="360"/>
    <n v="360"/>
    <n v="0"/>
    <m/>
    <m/>
    <m/>
    <n v="360"/>
    <n v="0"/>
    <n v="360"/>
    <n v="360"/>
    <n v="0"/>
    <s v=""/>
    <n v="23.130000000000003"/>
    <n v="336.87"/>
    <n v="6.4250000000000002E-2"/>
    <n v="360"/>
    <n v="0"/>
    <n v="40"/>
    <n v="40"/>
    <n v="40"/>
    <n v="40"/>
    <n v="40"/>
    <n v="40"/>
    <n v="40"/>
    <n v="40"/>
    <n v="20"/>
    <n v="20"/>
    <n v="0"/>
    <n v="0"/>
    <n v="2.35"/>
    <n v="4.1500000000000004"/>
    <n v="3.75"/>
    <n v="4.18"/>
    <n v="3.55"/>
    <n v="5.15"/>
    <n v="0"/>
    <n v="0"/>
    <n v="0"/>
    <n v="0"/>
    <n v="0"/>
    <n v="23.130000000000003"/>
    <n v="0"/>
    <m/>
    <s v="53"/>
    <s v="Sin  Constancia PAPP/POA y con CP- EOD"/>
  </r>
  <r>
    <n v="452"/>
    <m/>
    <m/>
    <m/>
    <m/>
    <m/>
    <m/>
    <m/>
    <m/>
    <m/>
    <s v="Corporación Ciudad Alfaro"/>
    <x v="0"/>
    <s v="Museo Bahía de Caráquez"/>
    <s v="N/A"/>
    <s v="N/A"/>
    <s v="Corriente"/>
    <s v="N/A"/>
    <s v="N/A"/>
    <s v="N/A"/>
    <s v="N/A"/>
    <s v="N/A"/>
    <s v="N/A"/>
    <s v="ARRASTRE"/>
    <s v="Pago Mensual del servicio de Energía Eléctrica de los meses de Noviembre y Diciembre del 2023 del Museo Bahía de Caráquez"/>
    <s v="0035"/>
    <s v="80"/>
    <s v="000"/>
    <s v="002"/>
    <s v="53"/>
    <n v="530104"/>
    <s v="Energía Eléctrica"/>
    <n v="1314"/>
    <s v="001"/>
    <s v="0000"/>
    <s v="0000"/>
    <s v="H21"/>
    <s v="N/A"/>
    <n v="1600"/>
    <m/>
    <n v="1600"/>
    <n v="0"/>
    <n v="0"/>
    <n v="0"/>
    <n v="0"/>
    <n v="1600"/>
    <n v="0"/>
    <n v="1600"/>
    <n v="0"/>
    <n v="1600"/>
    <n v="0"/>
    <n v="0"/>
    <n v="0"/>
    <n v="0"/>
    <n v="0"/>
    <n v="0"/>
    <n v="0"/>
    <n v="0"/>
    <n v="0"/>
    <n v="0"/>
    <n v="1600"/>
    <n v="1600"/>
    <n v="0"/>
    <m/>
    <m/>
    <m/>
    <n v="1600"/>
    <n v="0"/>
    <n v="1600"/>
    <n v="1600"/>
    <n v="0"/>
    <s v=""/>
    <n v="847.41000000000008"/>
    <n v="752.58999999999992"/>
    <n v="0.52963125"/>
    <n v="1600"/>
    <n v="0"/>
    <n v="1600"/>
    <n v="0"/>
    <n v="0"/>
    <n v="0"/>
    <n v="0"/>
    <n v="0"/>
    <n v="0"/>
    <n v="0"/>
    <n v="0"/>
    <n v="0"/>
    <n v="0"/>
    <n v="277.45"/>
    <n v="569.96"/>
    <n v="0"/>
    <n v="0"/>
    <n v="0"/>
    <n v="0"/>
    <n v="0"/>
    <n v="0"/>
    <n v="0"/>
    <n v="0"/>
    <n v="0"/>
    <n v="0"/>
    <n v="847.41000000000008"/>
    <n v="0"/>
    <m/>
    <s v="53"/>
    <s v="Sin  Constancia PAPP/POA y con CP- EOD"/>
  </r>
  <r>
    <n v="453"/>
    <m/>
    <m/>
    <m/>
    <m/>
    <m/>
    <m/>
    <m/>
    <m/>
    <m/>
    <s v="Corporación Ciudad Alfaro"/>
    <x v="0"/>
    <s v="Museo Bahía de Caráquez"/>
    <s v="N/A"/>
    <s v="N/A"/>
    <s v="Corriente"/>
    <s v="N/A"/>
    <s v="N/A"/>
    <s v="N/A"/>
    <s v="N/A"/>
    <s v="N/A"/>
    <s v="N/A"/>
    <s v="NUEVA"/>
    <s v="Pago Mensual del servicio de Energía Eléctrica del Museo Bahía de Caráquez"/>
    <s v="0035"/>
    <s v="80"/>
    <s v="000"/>
    <s v="002"/>
    <s v="53"/>
    <n v="530104"/>
    <s v="Energía Eléctrica"/>
    <n v="1314"/>
    <s v="001"/>
    <s v="0000"/>
    <s v="0000"/>
    <s v="H21"/>
    <s v="N/A"/>
    <n v="9000"/>
    <m/>
    <n v="9000"/>
    <n v="0"/>
    <n v="0"/>
    <n v="0"/>
    <n v="0"/>
    <n v="9000"/>
    <n v="0"/>
    <n v="9000"/>
    <n v="0"/>
    <n v="1000"/>
    <n v="1000"/>
    <n v="1000"/>
    <n v="1000"/>
    <n v="1000"/>
    <n v="1000"/>
    <n v="1000"/>
    <n v="1000"/>
    <n v="1000"/>
    <n v="0"/>
    <n v="0"/>
    <n v="9000"/>
    <n v="9000"/>
    <n v="0"/>
    <m/>
    <m/>
    <m/>
    <n v="9000"/>
    <n v="0"/>
    <n v="9000"/>
    <n v="9000"/>
    <n v="0"/>
    <s v=""/>
    <n v="3460.28"/>
    <n v="5539.7199999999993"/>
    <n v="0.38447555555555557"/>
    <n v="9000"/>
    <n v="0"/>
    <n v="1000"/>
    <n v="1000"/>
    <n v="1000"/>
    <n v="1000"/>
    <n v="1000"/>
    <n v="1000"/>
    <n v="1000"/>
    <n v="1000"/>
    <n v="1000"/>
    <n v="0"/>
    <n v="0"/>
    <n v="0"/>
    <n v="0"/>
    <n v="781.86"/>
    <n v="714.28"/>
    <n v="707.7"/>
    <n v="571.37"/>
    <n v="685.07"/>
    <n v="0"/>
    <n v="0"/>
    <n v="0"/>
    <n v="0"/>
    <n v="0"/>
    <n v="3460.28"/>
    <n v="0"/>
    <m/>
    <s v="53"/>
    <s v="Sin  Constancia PAPP/POA y con CP- EOD"/>
  </r>
  <r>
    <n v="454"/>
    <m/>
    <m/>
    <m/>
    <m/>
    <m/>
    <m/>
    <m/>
    <m/>
    <m/>
    <s v="Corporación Ciudad Alfaro"/>
    <x v="0"/>
    <s v="Museo Centro Cultural Manta"/>
    <s v="N/A"/>
    <s v="N/A"/>
    <s v="Corriente"/>
    <s v="N/A"/>
    <s v="N/A"/>
    <s v="N/A"/>
    <s v="N/A"/>
    <s v="N/A"/>
    <s v="N/A"/>
    <s v="ARRASTRE"/>
    <s v="Pago Mensual del servicio de Agua Potable del mes de Diciembre del 2023 del Museo Centro Cultural de Manta"/>
    <s v="0035"/>
    <s v="80"/>
    <s v="000"/>
    <s v="002"/>
    <s v="53"/>
    <n v="530101"/>
    <s v="Agua Potable"/>
    <n v="1308"/>
    <s v="001"/>
    <s v="0000"/>
    <s v="0000"/>
    <s v="H21"/>
    <s v="N/A"/>
    <n v="15"/>
    <m/>
    <n v="15"/>
    <n v="0"/>
    <n v="0"/>
    <n v="0"/>
    <n v="0"/>
    <n v="15"/>
    <n v="0"/>
    <n v="15"/>
    <n v="0"/>
    <n v="15"/>
    <n v="0"/>
    <n v="0"/>
    <n v="0"/>
    <n v="0"/>
    <n v="0"/>
    <n v="0"/>
    <n v="0"/>
    <n v="0"/>
    <n v="0"/>
    <n v="0"/>
    <n v="15"/>
    <n v="15"/>
    <n v="0"/>
    <m/>
    <m/>
    <m/>
    <n v="15"/>
    <n v="0"/>
    <n v="15"/>
    <n v="15"/>
    <n v="0"/>
    <s v=""/>
    <n v="14.77"/>
    <n v="0.23000000000000043"/>
    <n v="0.98466666666666669"/>
    <n v="15"/>
    <n v="0"/>
    <n v="15"/>
    <n v="0"/>
    <n v="0"/>
    <n v="0"/>
    <n v="0"/>
    <n v="0"/>
    <n v="0"/>
    <n v="0"/>
    <n v="0"/>
    <n v="0"/>
    <n v="0"/>
    <n v="0"/>
    <n v="14.77"/>
    <n v="0"/>
    <n v="0"/>
    <n v="0"/>
    <n v="0"/>
    <n v="0"/>
    <n v="0"/>
    <n v="0"/>
    <n v="0"/>
    <n v="0"/>
    <n v="0"/>
    <n v="14.77"/>
    <n v="0"/>
    <m/>
    <s v="53"/>
    <s v="Sin  Constancia PAPP/POA y con CP- EOD"/>
  </r>
  <r>
    <n v="455"/>
    <m/>
    <m/>
    <m/>
    <m/>
    <m/>
    <m/>
    <m/>
    <m/>
    <m/>
    <s v="Corporación Ciudad Alfaro"/>
    <x v="0"/>
    <s v="Museo Centro Cultural Manta"/>
    <s v="N/A"/>
    <s v="N/A"/>
    <s v="Corriente"/>
    <s v="N/A"/>
    <s v="N/A"/>
    <s v="N/A"/>
    <s v="N/A"/>
    <s v="N/A"/>
    <s v="N/A"/>
    <s v="NUEVA"/>
    <s v="Pago Mensual del servicio de Agua Potable del Museo Centro Cultural de Manta"/>
    <s v="0035"/>
    <s v="80"/>
    <s v="000"/>
    <s v="002"/>
    <s v="53"/>
    <n v="530101"/>
    <s v="Agua Potable"/>
    <n v="1308"/>
    <s v="001"/>
    <s v="0000"/>
    <s v="0000"/>
    <s v="H21"/>
    <s v="N/A"/>
    <n v="135"/>
    <m/>
    <n v="135"/>
    <n v="0"/>
    <n v="0"/>
    <n v="0"/>
    <n v="0"/>
    <n v="135"/>
    <n v="0"/>
    <n v="135"/>
    <n v="0"/>
    <n v="15"/>
    <n v="15"/>
    <n v="15"/>
    <n v="15"/>
    <n v="15"/>
    <n v="15"/>
    <n v="15"/>
    <n v="15"/>
    <n v="7.5"/>
    <n v="7.5"/>
    <n v="0"/>
    <n v="135"/>
    <n v="135"/>
    <n v="0"/>
    <m/>
    <m/>
    <m/>
    <n v="135"/>
    <n v="0"/>
    <n v="135"/>
    <n v="135"/>
    <n v="0"/>
    <s v=""/>
    <n v="74.039999999999992"/>
    <n v="60.960000000000008"/>
    <n v="0.5484444444444444"/>
    <n v="135"/>
    <n v="0"/>
    <n v="15"/>
    <n v="15"/>
    <n v="15"/>
    <n v="15"/>
    <n v="15"/>
    <n v="15"/>
    <n v="15"/>
    <n v="15"/>
    <n v="7.5"/>
    <n v="7.5"/>
    <n v="0"/>
    <n v="0"/>
    <n v="29.619999999999997"/>
    <n v="14.7"/>
    <n v="0"/>
    <n v="0"/>
    <n v="14.85"/>
    <n v="14.87"/>
    <n v="0"/>
    <n v="0"/>
    <n v="0"/>
    <n v="0"/>
    <n v="0"/>
    <n v="74.039999999999992"/>
    <n v="0"/>
    <m/>
    <s v="53"/>
    <s v="Sin  Constancia PAPP/POA y con CP- EOD"/>
  </r>
  <r>
    <n v="456"/>
    <m/>
    <m/>
    <m/>
    <m/>
    <m/>
    <m/>
    <m/>
    <m/>
    <m/>
    <s v="Corporación Ciudad Alfaro"/>
    <x v="0"/>
    <s v="Museo Centro Cultural Manta"/>
    <s v="N/A"/>
    <s v="N/A"/>
    <s v="Corriente"/>
    <s v="N/A"/>
    <s v="N/A"/>
    <s v="N/A"/>
    <s v="N/A"/>
    <s v="N/A"/>
    <s v="N/A"/>
    <s v="ARRASTRE"/>
    <s v="Pago mensual del servicio de energía eléctrica de los meses de Noviembre y Diciembre del 2023 del Museo y Centro Cultural de Manta"/>
    <s v="0035"/>
    <s v="80"/>
    <s v="000"/>
    <s v="002"/>
    <s v="53"/>
    <n v="530104"/>
    <s v="Energía Eléctrica"/>
    <n v="1308"/>
    <s v="001"/>
    <s v="0000"/>
    <s v="0000"/>
    <s v="H21"/>
    <s v="N/A"/>
    <n v="2000"/>
    <m/>
    <n v="2000"/>
    <n v="941.33"/>
    <n v="0"/>
    <n v="0"/>
    <n v="0"/>
    <n v="2941.33"/>
    <n v="0"/>
    <n v="2941.33"/>
    <m/>
    <n v="1186.46"/>
    <m/>
    <m/>
    <n v="1754.87"/>
    <m/>
    <m/>
    <m/>
    <m/>
    <m/>
    <m/>
    <m/>
    <n v="2000"/>
    <n v="2941.33"/>
    <n v="0"/>
    <m/>
    <m/>
    <m/>
    <n v="2941.33"/>
    <n v="0"/>
    <n v="2000"/>
    <n v="2000"/>
    <n v="0"/>
    <s v=""/>
    <n v="1186.46"/>
    <n v="1754.87"/>
    <n v="0.40337534380705331"/>
    <n v="2941.33"/>
    <n v="0"/>
    <n v="2000"/>
    <n v="0"/>
    <n v="0"/>
    <n v="0"/>
    <n v="0"/>
    <n v="0"/>
    <n v="0"/>
    <n v="0"/>
    <n v="0"/>
    <n v="0"/>
    <n v="0"/>
    <n v="0"/>
    <n v="1186.46"/>
    <n v="0"/>
    <n v="0"/>
    <n v="0"/>
    <n v="0"/>
    <n v="0"/>
    <n v="0"/>
    <n v="0"/>
    <n v="0"/>
    <n v="0"/>
    <n v="0"/>
    <n v="1186.46"/>
    <n v="0"/>
    <m/>
    <s v="53"/>
    <s v="Sin  Constancia PAPP/POA y con CP- EOD"/>
  </r>
  <r>
    <n v="457"/>
    <m/>
    <m/>
    <m/>
    <m/>
    <m/>
    <m/>
    <m/>
    <m/>
    <m/>
    <s v="Corporación Ciudad Alfaro"/>
    <x v="0"/>
    <s v="Museo Centro Cultural Manta"/>
    <s v="N/A"/>
    <s v="N/A"/>
    <s v="Corriente"/>
    <s v="N/A"/>
    <s v="N/A"/>
    <s v="N/A"/>
    <s v="N/A"/>
    <s v="N/A"/>
    <s v="N/A"/>
    <s v="NUEVA"/>
    <s v="Pago mensual del servicio de energía eléctrica del Museo y Centro Cultural de Manta"/>
    <s v="0035"/>
    <s v="80"/>
    <s v="000"/>
    <s v="002"/>
    <s v="53"/>
    <n v="530104"/>
    <s v="Energía Eléctrica"/>
    <n v="1308"/>
    <s v="001"/>
    <s v="0000"/>
    <s v="0000"/>
    <s v="H21"/>
    <s v="N/A"/>
    <n v="40000"/>
    <m/>
    <n v="40000"/>
    <n v="0"/>
    <n v="-40000"/>
    <n v="0"/>
    <n v="0"/>
    <n v="0"/>
    <n v="0"/>
    <n v="0"/>
    <m/>
    <m/>
    <m/>
    <m/>
    <m/>
    <m/>
    <m/>
    <m/>
    <m/>
    <m/>
    <m/>
    <m/>
    <n v="40000"/>
    <n v="0"/>
    <n v="0"/>
    <m/>
    <m/>
    <m/>
    <s v=""/>
    <s v=""/>
    <s v=""/>
    <s v=""/>
    <s v=""/>
    <s v=""/>
    <s v=""/>
    <s v=""/>
    <s v=""/>
    <n v="0"/>
    <n v="0"/>
    <n v="1000"/>
    <n v="1000"/>
    <n v="1000"/>
    <n v="1000"/>
    <n v="1000"/>
    <n v="1000"/>
    <n v="1000"/>
    <n v="1000"/>
    <n v="2000"/>
    <n v="2000"/>
    <n v="28000"/>
    <s v=""/>
    <s v=""/>
    <s v=""/>
    <s v=""/>
    <s v=""/>
    <s v=""/>
    <s v=""/>
    <s v=""/>
    <s v=""/>
    <s v=""/>
    <s v=""/>
    <s v=""/>
    <n v="0"/>
    <s v=""/>
    <m/>
    <s v="53"/>
    <s v="Sin constancia PAPP-POA - SIN CP"/>
  </r>
  <r>
    <n v="458"/>
    <m/>
    <m/>
    <m/>
    <m/>
    <m/>
    <m/>
    <m/>
    <m/>
    <m/>
    <s v="Corporación Ciudad Alfaro"/>
    <x v="0"/>
    <s v="CCA"/>
    <s v="N/A"/>
    <s v="N/A"/>
    <s v="Corriente"/>
    <s v="N/A"/>
    <s v="N/A"/>
    <s v="N/A"/>
    <s v="N/A"/>
    <s v="N/A"/>
    <s v="N/A"/>
    <s v="NUEVA"/>
    <s v="Reintegro de gastos por peajes para los Servidores y Trabajadores de la Corporación Ciudad Alfaro y sus Sedes en comisión de servicios institucionales"/>
    <s v="0035"/>
    <s v="80"/>
    <s v="000"/>
    <s v="002"/>
    <s v="57"/>
    <n v="570102"/>
    <s v="Tasas Generales, Impuestos, Contribuciones, Permisos, Licencias y Patentes."/>
    <n v="1309"/>
    <s v="001"/>
    <s v="0000"/>
    <s v="0000"/>
    <s v="H21"/>
    <s v="N/A"/>
    <n v="150"/>
    <m/>
    <n v="150"/>
    <n v="0"/>
    <n v="0"/>
    <n v="0"/>
    <n v="0"/>
    <n v="150"/>
    <n v="0"/>
    <n v="150"/>
    <n v="0"/>
    <n v="0"/>
    <n v="0"/>
    <m/>
    <n v="0"/>
    <n v="0"/>
    <n v="25"/>
    <n v="25"/>
    <n v="25"/>
    <n v="25"/>
    <n v="25"/>
    <n v="25"/>
    <n v="150"/>
    <n v="150"/>
    <n v="0"/>
    <m/>
    <m/>
    <m/>
    <n v="150"/>
    <n v="0"/>
    <n v="150"/>
    <n v="0"/>
    <n v="150"/>
    <s v=""/>
    <s v=""/>
    <s v=""/>
    <s v=""/>
    <n v="150"/>
    <n v="0"/>
    <n v="0"/>
    <n v="0"/>
    <n v="50"/>
    <n v="0"/>
    <n v="0"/>
    <n v="50"/>
    <n v="0"/>
    <n v="50"/>
    <n v="0"/>
    <n v="0"/>
    <n v="0"/>
    <s v=""/>
    <s v=""/>
    <s v=""/>
    <s v=""/>
    <s v=""/>
    <s v=""/>
    <s v=""/>
    <s v=""/>
    <s v=""/>
    <s v=""/>
    <s v=""/>
    <s v=""/>
    <n v="0"/>
    <s v=""/>
    <m/>
    <s v="57"/>
    <s v="Sin  Constancia PAPP/POA y con CP- EOD"/>
  </r>
  <r>
    <n v="459"/>
    <m/>
    <m/>
    <m/>
    <m/>
    <m/>
    <m/>
    <m/>
    <m/>
    <m/>
    <s v="Corporación Ciudad Alfaro"/>
    <x v="0"/>
    <s v="CCA"/>
    <s v="N/A"/>
    <s v="N/A"/>
    <s v="Corriente"/>
    <s v="N/A"/>
    <s v="N/A"/>
    <s v="N/A"/>
    <s v="N/A"/>
    <s v="N/A"/>
    <s v="N/A"/>
    <s v="NUEVA"/>
    <s v="Contratación del servicio de rastreo satelital para los vehículos de la Corporación Ciudad Alfaro"/>
    <s v="0035"/>
    <s v="80"/>
    <s v="000"/>
    <s v="002"/>
    <s v="53"/>
    <n v="530105"/>
    <s v="Telecomunicaciones"/>
    <n v="1309"/>
    <s v="001"/>
    <s v="0000"/>
    <s v="0000"/>
    <s v="H21"/>
    <s v="N/A"/>
    <n v="1200"/>
    <m/>
    <n v="1200"/>
    <n v="0"/>
    <n v="-480"/>
    <n v="0"/>
    <n v="0"/>
    <n v="720"/>
    <n v="0"/>
    <n v="720"/>
    <m/>
    <m/>
    <m/>
    <m/>
    <m/>
    <m/>
    <n v="720"/>
    <m/>
    <m/>
    <m/>
    <m/>
    <m/>
    <n v="1200"/>
    <n v="720"/>
    <n v="0"/>
    <m/>
    <m/>
    <m/>
    <n v="1200"/>
    <n v="-480"/>
    <n v="0"/>
    <n v="720"/>
    <n v="0"/>
    <s v=""/>
    <n v="720"/>
    <n v="0"/>
    <n v="1"/>
    <n v="720"/>
    <n v="0"/>
    <m/>
    <n v="0"/>
    <n v="0"/>
    <m/>
    <n v="0"/>
    <n v="1200"/>
    <n v="0"/>
    <n v="0"/>
    <n v="0"/>
    <n v="0"/>
    <n v="0"/>
    <n v="0"/>
    <n v="0"/>
    <n v="0"/>
    <n v="0"/>
    <n v="0"/>
    <n v="0"/>
    <n v="720"/>
    <n v="0"/>
    <n v="0"/>
    <n v="0"/>
    <n v="0"/>
    <n v="0"/>
    <n v="720"/>
    <n v="0"/>
    <m/>
    <s v="53"/>
    <s v="Sin  Constancia PAPP/POA y con CP- EOD"/>
  </r>
  <r>
    <n v="460"/>
    <m/>
    <m/>
    <m/>
    <m/>
    <m/>
    <m/>
    <m/>
    <m/>
    <m/>
    <s v="Corporación Ciudad Alfaro"/>
    <x v="0"/>
    <s v="CCA"/>
    <s v="N/A"/>
    <s v="N/A"/>
    <s v="Corriente"/>
    <s v="N/A"/>
    <s v="N/A"/>
    <s v="N/A"/>
    <s v="N/A"/>
    <s v="N/A"/>
    <s v="N/A"/>
    <s v="NUEVA"/>
    <s v="Reintegro de gastos por trámite de tasas de contribución especial en la matriculación vehicular por rodaje cantonal "/>
    <s v="0035"/>
    <s v="80"/>
    <s v="000"/>
    <s v="002"/>
    <s v="57"/>
    <n v="570102"/>
    <s v="Tasas Generales, Impuestos, Contribuciones, Permisos, Licencias y Patentes."/>
    <n v="1309"/>
    <s v="001"/>
    <s v="0000"/>
    <s v="0000"/>
    <s v="H21"/>
    <s v="N/A"/>
    <n v="200"/>
    <m/>
    <n v="200"/>
    <n v="0"/>
    <n v="0"/>
    <n v="0"/>
    <n v="0"/>
    <n v="200"/>
    <n v="0"/>
    <n v="200"/>
    <m/>
    <m/>
    <m/>
    <m/>
    <m/>
    <m/>
    <n v="200"/>
    <m/>
    <m/>
    <m/>
    <m/>
    <m/>
    <n v="200"/>
    <n v="200"/>
    <n v="0"/>
    <m/>
    <m/>
    <m/>
    <n v="200"/>
    <n v="0"/>
    <n v="200"/>
    <n v="0"/>
    <n v="200"/>
    <s v=""/>
    <s v=""/>
    <s v=""/>
    <s v=""/>
    <n v="200"/>
    <n v="0"/>
    <n v="200"/>
    <n v="0"/>
    <n v="0"/>
    <n v="0"/>
    <n v="0"/>
    <n v="0"/>
    <n v="0"/>
    <n v="0"/>
    <n v="0"/>
    <n v="0"/>
    <n v="0"/>
    <s v=""/>
    <s v=""/>
    <s v=""/>
    <s v=""/>
    <s v=""/>
    <s v=""/>
    <s v=""/>
    <s v=""/>
    <s v=""/>
    <s v=""/>
    <s v=""/>
    <s v=""/>
    <n v="0"/>
    <s v=""/>
    <m/>
    <s v="57"/>
    <s v="Sin  Constancia PAPP/POA y con CP- EOD"/>
  </r>
  <r>
    <n v="461"/>
    <m/>
    <m/>
    <m/>
    <m/>
    <m/>
    <m/>
    <m/>
    <m/>
    <m/>
    <s v="Corporación Ciudad Alfaro"/>
    <x v="0"/>
    <s v="CCA"/>
    <s v="N/A"/>
    <s v="N/A"/>
    <s v="Corriente"/>
    <s v="N/A"/>
    <s v="N/A"/>
    <s v="N/A"/>
    <s v="N/A"/>
    <s v="N/A"/>
    <s v="N/A"/>
    <s v="NUEVA"/>
    <s v="Pago de contribución especial por mejoramiento vial rural de los vehículos de la Corporación Ciudad Alfaro"/>
    <s v="0035"/>
    <s v="80"/>
    <s v="000"/>
    <s v="002"/>
    <s v="57"/>
    <n v="570102"/>
    <s v="Tasas Generales, Impuestos, Contribuciones, Permisos, Licencias y Patentes."/>
    <n v="1309"/>
    <s v="001"/>
    <s v="0000"/>
    <s v="0000"/>
    <s v="H21"/>
    <s v="N/A"/>
    <n v="250"/>
    <m/>
    <n v="250"/>
    <n v="0"/>
    <n v="-184.84"/>
    <n v="0"/>
    <n v="0"/>
    <n v="65.16"/>
    <n v="0"/>
    <n v="65.16"/>
    <m/>
    <n v="65.16"/>
    <m/>
    <m/>
    <m/>
    <m/>
    <m/>
    <m/>
    <m/>
    <m/>
    <m/>
    <m/>
    <n v="250"/>
    <n v="65.16"/>
    <n v="0"/>
    <m/>
    <m/>
    <m/>
    <n v="65.16"/>
    <n v="0"/>
    <n v="0"/>
    <n v="65.16"/>
    <n v="0"/>
    <s v=""/>
    <n v="65.16"/>
    <n v="0"/>
    <n v="1"/>
    <n v="65.16"/>
    <n v="0"/>
    <n v="250"/>
    <n v="0"/>
    <n v="0"/>
    <n v="0"/>
    <n v="0"/>
    <n v="0"/>
    <n v="0"/>
    <n v="0"/>
    <n v="0"/>
    <n v="0"/>
    <n v="0"/>
    <n v="0"/>
    <n v="65.16"/>
    <n v="0"/>
    <n v="0"/>
    <n v="0"/>
    <n v="0"/>
    <n v="0"/>
    <n v="0"/>
    <n v="0"/>
    <n v="0"/>
    <n v="0"/>
    <n v="0"/>
    <n v="65.16"/>
    <n v="0"/>
    <m/>
    <s v="57"/>
    <s v="Sin  Constancia PAPP/POA y con CP- EOD"/>
  </r>
  <r>
    <n v="462"/>
    <m/>
    <m/>
    <m/>
    <m/>
    <m/>
    <m/>
    <m/>
    <m/>
    <m/>
    <s v="Corporación Ciudad Alfaro"/>
    <x v="0"/>
    <s v="CCA"/>
    <s v="N/A"/>
    <s v="N/A"/>
    <s v="Corriente"/>
    <s v="N/A"/>
    <s v="N/A"/>
    <s v="N/A"/>
    <s v="N/A"/>
    <s v="N/A"/>
    <s v="N/A"/>
    <s v="NUEVA"/>
    <s v="Pago de matriculación 2024 de los vehículos de la Corporación Ciudad Alfaro y sus sedes"/>
    <s v="0035"/>
    <s v="80"/>
    <s v="000"/>
    <s v="002"/>
    <s v="57"/>
    <n v="570102"/>
    <s v="Tasas Generales, Impuestos, Contribuciones, Permisos, Licencias y Patentes."/>
    <n v="1309"/>
    <s v="001"/>
    <s v="0000"/>
    <s v="0000"/>
    <s v="H21"/>
    <s v="N/A"/>
    <n v="800"/>
    <m/>
    <n v="800"/>
    <n v="0"/>
    <n v="-177.92"/>
    <n v="0"/>
    <n v="0"/>
    <n v="622.08000000000004"/>
    <n v="0"/>
    <n v="622.08000000000004"/>
    <m/>
    <n v="622.08000000000004"/>
    <m/>
    <m/>
    <m/>
    <m/>
    <m/>
    <m/>
    <m/>
    <m/>
    <m/>
    <m/>
    <n v="800"/>
    <n v="622.08000000000004"/>
    <n v="0"/>
    <m/>
    <m/>
    <m/>
    <n v="622.08000000000004"/>
    <n v="0"/>
    <n v="0"/>
    <n v="622.08000000000004"/>
    <n v="0"/>
    <s v=""/>
    <n v="622.08000000000004"/>
    <n v="0"/>
    <n v="1"/>
    <n v="622.08000000000004"/>
    <n v="0"/>
    <n v="800"/>
    <n v="0"/>
    <n v="0"/>
    <n v="0"/>
    <n v="0"/>
    <n v="0"/>
    <n v="0"/>
    <n v="0"/>
    <n v="0"/>
    <n v="0"/>
    <n v="0"/>
    <n v="0"/>
    <n v="622.08000000000004"/>
    <n v="0"/>
    <n v="0"/>
    <n v="0"/>
    <n v="0"/>
    <n v="0"/>
    <n v="0"/>
    <n v="0"/>
    <n v="0"/>
    <n v="0"/>
    <n v="0"/>
    <n v="622.08000000000004"/>
    <n v="0"/>
    <m/>
    <s v="57"/>
    <s v="Sin  Constancia PAPP/POA y con CP- EOD"/>
  </r>
  <r>
    <n v="463"/>
    <m/>
    <m/>
    <m/>
    <m/>
    <m/>
    <m/>
    <m/>
    <m/>
    <m/>
    <s v="Corporación Ciudad Alfaro"/>
    <x v="0"/>
    <s v="Museo Bahía de Caráquez"/>
    <s v="N/A"/>
    <s v="N/A"/>
    <s v="Corriente"/>
    <s v="N/A"/>
    <s v="N/A"/>
    <s v="N/A"/>
    <s v="N/A"/>
    <s v="N/A"/>
    <s v="N/A"/>
    <s v="NUEVA"/>
    <s v="Pago de tasas y contribuciones a los predios urbanos y cuerpo de bomberos del Museo Bahía de Caráquez"/>
    <s v="0035"/>
    <s v="80"/>
    <s v="000"/>
    <s v="002"/>
    <s v="57"/>
    <n v="570102"/>
    <s v="Tasas Generales, Impuestos, Contribuciones, Permisos, Licencias y Patentes."/>
    <n v="1314"/>
    <s v="001"/>
    <s v="0000"/>
    <s v="0000"/>
    <s v="H21"/>
    <s v="N/A"/>
    <n v="2500"/>
    <m/>
    <n v="2500"/>
    <n v="0"/>
    <n v="0"/>
    <n v="0"/>
    <n v="0"/>
    <n v="2500"/>
    <n v="0"/>
    <n v="2500"/>
    <n v="0"/>
    <n v="2500"/>
    <n v="0"/>
    <n v="0"/>
    <n v="0"/>
    <n v="0"/>
    <n v="0"/>
    <n v="0"/>
    <n v="0"/>
    <n v="0"/>
    <n v="0"/>
    <n v="0"/>
    <n v="2500"/>
    <n v="2500"/>
    <n v="0"/>
    <m/>
    <m/>
    <m/>
    <n v="2500"/>
    <n v="0"/>
    <n v="2500"/>
    <n v="2500"/>
    <n v="0"/>
    <s v=""/>
    <n v="1190.3699999999999"/>
    <n v="1309.6300000000001"/>
    <n v="0.47614799999999996"/>
    <n v="2500"/>
    <n v="0"/>
    <n v="2500"/>
    <n v="0"/>
    <n v="0"/>
    <n v="0"/>
    <n v="0"/>
    <n v="0"/>
    <n v="0"/>
    <n v="0"/>
    <n v="0"/>
    <n v="0"/>
    <n v="0"/>
    <n v="0"/>
    <n v="0"/>
    <n v="1190.3699999999999"/>
    <n v="0"/>
    <n v="0"/>
    <n v="0"/>
    <n v="0"/>
    <n v="0"/>
    <n v="0"/>
    <n v="0"/>
    <n v="0"/>
    <n v="0"/>
    <n v="1190.3699999999999"/>
    <n v="0"/>
    <m/>
    <s v="57"/>
    <s v="Sin  Constancia PAPP/POA y con CP- EOD"/>
  </r>
  <r>
    <n v="464"/>
    <m/>
    <m/>
    <m/>
    <m/>
    <m/>
    <m/>
    <m/>
    <m/>
    <m/>
    <s v="Corporación Ciudad Alfaro"/>
    <x v="0"/>
    <s v="CCA"/>
    <s v="N/A"/>
    <s v="N/A"/>
    <s v="Corriente"/>
    <s v="N/A"/>
    <s v="N/A"/>
    <s v="N/A"/>
    <s v="N/A"/>
    <s v="N/A"/>
    <s v="N/A"/>
    <s v="NUEVA"/>
    <s v="Pago de tasas y contribuciones a los predios urbanos y cuerpo de bomberos de la Corporación Ciudad Alfaro"/>
    <s v="0035"/>
    <s v="80"/>
    <s v="000"/>
    <s v="002"/>
    <s v="57"/>
    <n v="570102"/>
    <s v="Tasas Generales, Impuestos, Contribuciones, Permisos, Licencias y Patentes."/>
    <n v="1309"/>
    <s v="001"/>
    <s v="0000"/>
    <s v="0000"/>
    <s v="H21"/>
    <s v="N/A"/>
    <n v="3000"/>
    <m/>
    <n v="3000"/>
    <n v="0"/>
    <n v="0"/>
    <n v="0"/>
    <n v="0"/>
    <n v="3000"/>
    <n v="0"/>
    <n v="3000"/>
    <m/>
    <m/>
    <m/>
    <m/>
    <m/>
    <n v="69.67"/>
    <n v="2930.33"/>
    <m/>
    <m/>
    <m/>
    <m/>
    <m/>
    <n v="3000"/>
    <n v="3000"/>
    <n v="0"/>
    <m/>
    <m/>
    <m/>
    <n v="3000"/>
    <n v="0"/>
    <n v="3000"/>
    <n v="69.67"/>
    <n v="2930.33"/>
    <s v=""/>
    <n v="69.67"/>
    <n v="2930.33"/>
    <n v="2.3223333333333335E-2"/>
    <n v="3000"/>
    <n v="0"/>
    <n v="3000"/>
    <n v="0"/>
    <n v="0"/>
    <n v="0"/>
    <n v="0"/>
    <n v="0"/>
    <n v="0"/>
    <n v="0"/>
    <n v="0"/>
    <n v="0"/>
    <n v="0"/>
    <n v="0"/>
    <n v="0"/>
    <n v="0"/>
    <n v="0"/>
    <n v="0"/>
    <n v="69.67"/>
    <n v="0"/>
    <n v="0"/>
    <n v="0"/>
    <n v="0"/>
    <n v="0"/>
    <n v="0"/>
    <n v="69.67"/>
    <n v="0"/>
    <m/>
    <s v="57"/>
    <s v="Sin  Constancia PAPP/POA y con CP- EOD"/>
  </r>
  <r>
    <n v="465"/>
    <m/>
    <m/>
    <m/>
    <m/>
    <m/>
    <m/>
    <m/>
    <m/>
    <m/>
    <s v="Corporación Ciudad Alfaro"/>
    <x v="0"/>
    <s v="Museo Portoviejo y Archivo Histórico"/>
    <s v="N/A"/>
    <s v="N/A"/>
    <s v="Corriente"/>
    <s v="N/A"/>
    <s v="N/A"/>
    <s v="N/A"/>
    <s v="N/A"/>
    <s v="N/A"/>
    <s v="N/A"/>
    <s v="NUEVA"/>
    <s v="Pago de tasas y contribuciones a los predios urbanos y cuerpo de bomberos del Museo Portoviejo y Archivo Histórico"/>
    <s v="0035"/>
    <s v="80"/>
    <s v="000"/>
    <s v="002"/>
    <s v="57"/>
    <n v="570102"/>
    <s v="Tasas Generales, Impuestos, Contribuciones, Permisos, Licencias y Patentes."/>
    <n v="1301"/>
    <s v="001"/>
    <s v="0000"/>
    <s v="0000"/>
    <s v="H21"/>
    <s v="N/A"/>
    <n v="1700"/>
    <m/>
    <n v="1700"/>
    <n v="0"/>
    <n v="-292.08"/>
    <n v="0"/>
    <n v="0"/>
    <n v="1407.92"/>
    <n v="0"/>
    <n v="1407.92"/>
    <m/>
    <n v="1407.92"/>
    <m/>
    <m/>
    <m/>
    <m/>
    <m/>
    <m/>
    <m/>
    <m/>
    <m/>
    <m/>
    <n v="1700"/>
    <n v="1407.92"/>
    <n v="0"/>
    <m/>
    <m/>
    <m/>
    <n v="1407.92"/>
    <n v="0"/>
    <n v="0"/>
    <n v="1407.92"/>
    <n v="0"/>
    <s v=""/>
    <n v="1407.92"/>
    <n v="0"/>
    <n v="1"/>
    <n v="1407.92"/>
    <n v="0"/>
    <n v="1700"/>
    <n v="0"/>
    <n v="0"/>
    <n v="0"/>
    <n v="0"/>
    <n v="0"/>
    <n v="0"/>
    <n v="0"/>
    <n v="0"/>
    <n v="0"/>
    <n v="0"/>
    <n v="0"/>
    <n v="1407.92"/>
    <n v="0"/>
    <n v="0"/>
    <n v="0"/>
    <n v="0"/>
    <n v="0"/>
    <n v="0"/>
    <n v="0"/>
    <n v="0"/>
    <n v="0"/>
    <n v="0"/>
    <n v="1407.92"/>
    <n v="0"/>
    <m/>
    <s v="57"/>
    <s v="Sin  Constancia PAPP/POA y con CP- EOD"/>
  </r>
  <r>
    <n v="466"/>
    <m/>
    <m/>
    <m/>
    <m/>
    <m/>
    <m/>
    <m/>
    <m/>
    <m/>
    <s v="Corporación Ciudad Alfaro"/>
    <x v="0"/>
    <s v="Museo Centro Cultural Manta"/>
    <s v="N/A"/>
    <s v="N/A"/>
    <s v="Corriente"/>
    <s v="N/A"/>
    <s v="N/A"/>
    <s v="N/A"/>
    <s v="N/A"/>
    <s v="N/A"/>
    <s v="N/A"/>
    <s v="NUEVA"/>
    <s v="Pago de impuesto predial 2023 del Museo Centro Cultural Manta "/>
    <s v="0035"/>
    <s v="80"/>
    <s v="000"/>
    <s v="002"/>
    <s v="57"/>
    <n v="570102"/>
    <s v="Tasas Generales, Impuestos, Contribuciones, Permisos, Licencias y Patentes."/>
    <n v="1308"/>
    <s v="001"/>
    <s v="0000"/>
    <s v="0000"/>
    <s v="H21"/>
    <s v="N/A"/>
    <n v="6000"/>
    <m/>
    <n v="6000"/>
    <n v="1224.44"/>
    <n v="-7224.44"/>
    <n v="0"/>
    <n v="0"/>
    <n v="0"/>
    <n v="0"/>
    <n v="0"/>
    <m/>
    <m/>
    <m/>
    <m/>
    <m/>
    <m/>
    <m/>
    <m/>
    <m/>
    <m/>
    <m/>
    <m/>
    <n v="6000"/>
    <n v="0"/>
    <n v="0"/>
    <m/>
    <m/>
    <m/>
    <s v=""/>
    <s v=""/>
    <s v=""/>
    <s v=""/>
    <s v=""/>
    <s v=""/>
    <s v=""/>
    <s v=""/>
    <s v=""/>
    <n v="0"/>
    <n v="0"/>
    <n v="6000"/>
    <n v="0"/>
    <n v="0"/>
    <n v="0"/>
    <n v="0"/>
    <n v="0"/>
    <n v="0"/>
    <n v="0"/>
    <n v="0"/>
    <n v="0"/>
    <n v="0"/>
    <s v=""/>
    <s v=""/>
    <s v=""/>
    <s v=""/>
    <s v=""/>
    <s v=""/>
    <s v=""/>
    <s v=""/>
    <s v=""/>
    <s v=""/>
    <s v=""/>
    <s v=""/>
    <n v="0"/>
    <s v=""/>
    <m/>
    <s v="57"/>
    <s v="Sin constancia PAPP-POA - SIN CP"/>
  </r>
  <r>
    <n v="467"/>
    <m/>
    <m/>
    <m/>
    <m/>
    <m/>
    <m/>
    <m/>
    <m/>
    <m/>
    <s v="Corporación Ciudad Alfaro"/>
    <x v="0"/>
    <s v="CCA"/>
    <s v="N/A"/>
    <s v="N/A"/>
    <s v="Corriente"/>
    <s v="N/A"/>
    <s v="N/A"/>
    <s v="N/A"/>
    <s v="N/A"/>
    <s v="N/A"/>
    <s v="N/A"/>
    <s v="NUEVA"/>
    <s v="Contratación del servicio de combustible para  los vehículos de la Corporación Ciudad Alfaro"/>
    <s v="0035"/>
    <s v="80"/>
    <s v="000"/>
    <s v="002"/>
    <s v="53"/>
    <n v="530803"/>
    <s v="Lubricantes"/>
    <n v="1309"/>
    <s v="001"/>
    <s v="0000"/>
    <s v="0000"/>
    <s v="H21"/>
    <s v="N/A"/>
    <n v="3533.2"/>
    <m/>
    <n v="3533.2"/>
    <n v="0"/>
    <n v="-3533.2"/>
    <n v="0"/>
    <n v="0"/>
    <n v="0"/>
    <n v="0"/>
    <n v="0"/>
    <m/>
    <m/>
    <m/>
    <m/>
    <m/>
    <m/>
    <m/>
    <m/>
    <m/>
    <m/>
    <m/>
    <m/>
    <n v="3533.2000000000007"/>
    <n v="0"/>
    <n v="0"/>
    <m/>
    <m/>
    <m/>
    <s v=""/>
    <s v=""/>
    <s v=""/>
    <s v=""/>
    <s v=""/>
    <s v=""/>
    <s v=""/>
    <s v=""/>
    <s v=""/>
    <n v="0"/>
    <n v="0"/>
    <n v="353.32"/>
    <n v="353.32"/>
    <n v="353.32"/>
    <n v="353.32"/>
    <n v="353.32"/>
    <n v="353.32"/>
    <n v="353.32"/>
    <n v="353.32"/>
    <n v="353.32"/>
    <n v="353.32"/>
    <n v="0"/>
    <s v=""/>
    <s v=""/>
    <s v=""/>
    <s v=""/>
    <s v=""/>
    <s v=""/>
    <s v=""/>
    <s v=""/>
    <s v=""/>
    <s v=""/>
    <s v=""/>
    <s v=""/>
    <n v="0"/>
    <s v=""/>
    <m/>
    <s v="53"/>
    <s v="Sin constancia PAPP-POA - SIN CP"/>
  </r>
  <r>
    <n v="468"/>
    <m/>
    <m/>
    <m/>
    <m/>
    <m/>
    <m/>
    <m/>
    <m/>
    <m/>
    <s v="Corporación Ciudad Alfaro"/>
    <x v="0"/>
    <s v="CCA"/>
    <s v="N/A"/>
    <s v="N/A"/>
    <s v="Corriente"/>
    <s v="N/A"/>
    <s v="N/A"/>
    <s v="N/A"/>
    <s v="N/A"/>
    <s v="N/A"/>
    <s v="N/A"/>
    <s v="NUEVA"/>
    <s v="Actualización y mantenimiento de sistemas informáticos"/>
    <s v="0035"/>
    <s v="80"/>
    <s v="000"/>
    <s v="002"/>
    <s v="53"/>
    <n v="530701"/>
    <s v="Desarrollo, Actualización, Asistencia Técnica y Soporte de Sistemas Informáticos"/>
    <n v="1309"/>
    <s v="001"/>
    <s v="0000"/>
    <s v="0000"/>
    <s v="H21"/>
    <s v="N/A"/>
    <n v="400"/>
    <m/>
    <n v="400"/>
    <n v="0"/>
    <n v="-400"/>
    <n v="0"/>
    <n v="0"/>
    <n v="0"/>
    <n v="0"/>
    <n v="0"/>
    <m/>
    <m/>
    <m/>
    <m/>
    <m/>
    <m/>
    <m/>
    <m/>
    <m/>
    <m/>
    <m/>
    <m/>
    <n v="400"/>
    <n v="0"/>
    <n v="0"/>
    <m/>
    <m/>
    <m/>
    <s v=""/>
    <s v=""/>
    <s v=""/>
    <s v=""/>
    <s v=""/>
    <s v=""/>
    <s v=""/>
    <s v=""/>
    <s v=""/>
    <n v="0"/>
    <n v="0"/>
    <n v="0"/>
    <n v="0"/>
    <n v="0"/>
    <n v="400"/>
    <n v="0"/>
    <n v="0"/>
    <n v="0"/>
    <n v="0"/>
    <n v="0"/>
    <n v="0"/>
    <n v="0"/>
    <s v=""/>
    <s v=""/>
    <s v=""/>
    <s v=""/>
    <s v=""/>
    <s v=""/>
    <s v=""/>
    <s v=""/>
    <s v=""/>
    <s v=""/>
    <s v=""/>
    <s v=""/>
    <n v="0"/>
    <s v=""/>
    <m/>
    <s v="53"/>
    <s v="Sin constancia PAPP-POA - SIN CP"/>
  </r>
  <r>
    <n v="469"/>
    <m/>
    <m/>
    <m/>
    <m/>
    <m/>
    <m/>
    <m/>
    <m/>
    <m/>
    <s v="Corporación Ciudad Alfaro"/>
    <x v="0"/>
    <s v="CCA"/>
    <s v="N/A"/>
    <s v="N/A"/>
    <s v="Corriente"/>
    <s v="N/A"/>
    <s v="N/A"/>
    <s v="N/A"/>
    <s v="N/A"/>
    <s v="N/A"/>
    <s v="N/A"/>
    <s v="NUEVA"/>
    <s v="Contratación del servicio de consultas legales en base de datos jurídicas en línea a través de la plataforma Sistema Web de_x000a_información jurídica"/>
    <s v="0035"/>
    <s v="80"/>
    <s v="000"/>
    <s v="002"/>
    <s v="53"/>
    <n v="530701"/>
    <s v="Desarrollo, Actualización, Asistencia Técnica y Soporte de Sistemas Informáticos"/>
    <n v="1309"/>
    <s v="001"/>
    <s v="0000"/>
    <s v="0000"/>
    <s v="H21"/>
    <s v="N/A"/>
    <n v="400"/>
    <m/>
    <n v="400"/>
    <n v="0"/>
    <n v="0"/>
    <n v="0"/>
    <n v="0"/>
    <n v="400"/>
    <n v="0"/>
    <n v="400"/>
    <n v="0"/>
    <n v="0"/>
    <n v="0"/>
    <n v="0"/>
    <n v="0"/>
    <n v="0"/>
    <m/>
    <n v="400"/>
    <n v="0"/>
    <n v="0"/>
    <n v="0"/>
    <n v="0"/>
    <n v="400"/>
    <n v="400"/>
    <n v="0"/>
    <m/>
    <m/>
    <m/>
    <n v="400"/>
    <n v="0"/>
    <n v="400"/>
    <n v="0"/>
    <n v="400"/>
    <s v=""/>
    <s v=""/>
    <s v=""/>
    <s v=""/>
    <n v="400"/>
    <n v="0"/>
    <n v="0"/>
    <n v="0"/>
    <n v="0"/>
    <n v="0"/>
    <n v="0"/>
    <n v="400"/>
    <m/>
    <n v="0"/>
    <n v="0"/>
    <n v="0"/>
    <n v="0"/>
    <s v=""/>
    <s v=""/>
    <s v=""/>
    <s v=""/>
    <s v=""/>
    <s v=""/>
    <s v=""/>
    <s v=""/>
    <s v=""/>
    <s v=""/>
    <s v=""/>
    <s v=""/>
    <n v="0"/>
    <s v=""/>
    <m/>
    <s v="53"/>
    <s v="Sin constancia PAPP-POA - SIN CP"/>
  </r>
  <r>
    <n v="470"/>
    <m/>
    <m/>
    <m/>
    <m/>
    <m/>
    <m/>
    <m/>
    <m/>
    <m/>
    <s v="Corporación Ciudad Alfaro"/>
    <x v="0"/>
    <s v="CCA"/>
    <s v="N/A"/>
    <s v="N/A"/>
    <s v="Corriente"/>
    <s v="N/A"/>
    <s v="N/A"/>
    <s v="N/A"/>
    <s v="N/A"/>
    <s v="N/A"/>
    <s v="N/A"/>
    <s v="NUEVA"/>
    <s v="Renovación de dominio web y web hosting para www.ciudadalfaro.gob.ec"/>
    <s v="0035"/>
    <s v="80"/>
    <s v="000"/>
    <s v="002"/>
    <s v="53"/>
    <n v="530701"/>
    <s v="Desarrollo, Actualización, Asistencia Técnica y Soporte de Sistemas Informáticos"/>
    <n v="1309"/>
    <s v="001"/>
    <s v="0000"/>
    <s v="0000"/>
    <s v="H21"/>
    <s v="N/A"/>
    <n v="400"/>
    <m/>
    <n v="400"/>
    <n v="0"/>
    <n v="0"/>
    <n v="0"/>
    <n v="0"/>
    <n v="400"/>
    <n v="0"/>
    <n v="400"/>
    <n v="0"/>
    <n v="0"/>
    <n v="0"/>
    <n v="0"/>
    <n v="0"/>
    <n v="0"/>
    <n v="0"/>
    <n v="0"/>
    <m/>
    <n v="400"/>
    <n v="0"/>
    <n v="0"/>
    <n v="400"/>
    <n v="400"/>
    <n v="0"/>
    <m/>
    <m/>
    <m/>
    <n v="400"/>
    <n v="0"/>
    <n v="400"/>
    <n v="0"/>
    <n v="400"/>
    <s v=""/>
    <s v=""/>
    <s v=""/>
    <s v=""/>
    <n v="400"/>
    <n v="0"/>
    <n v="0"/>
    <n v="0"/>
    <n v="0"/>
    <n v="0"/>
    <n v="0"/>
    <n v="0"/>
    <n v="0"/>
    <n v="400"/>
    <n v="0"/>
    <n v="0"/>
    <n v="0"/>
    <s v=""/>
    <s v=""/>
    <s v=""/>
    <s v=""/>
    <s v=""/>
    <s v=""/>
    <s v=""/>
    <s v=""/>
    <s v=""/>
    <s v=""/>
    <s v=""/>
    <s v=""/>
    <n v="0"/>
    <s v=""/>
    <m/>
    <s v="53"/>
    <s v="Sin constancia PAPP-POA - SIN CP"/>
  </r>
  <r>
    <n v="471"/>
    <m/>
    <m/>
    <m/>
    <m/>
    <m/>
    <m/>
    <m/>
    <m/>
    <m/>
    <s v="Corporación Ciudad Alfaro"/>
    <x v="0"/>
    <s v="Museo Bahía de Caráquez"/>
    <s v="N/A"/>
    <s v="N/A"/>
    <s v="Corriente"/>
    <s v="N/A"/>
    <s v="N/A"/>
    <s v="N/A"/>
    <s v="N/A"/>
    <s v="N/A"/>
    <s v="N/A"/>
    <s v="NUEVA"/>
    <s v="Instalación del sistema contra incendios para el Museo Bahía de Caráquez"/>
    <s v="0035"/>
    <s v="80"/>
    <s v="000"/>
    <s v="002"/>
    <s v="53"/>
    <n v="530402"/>
    <s v="Edificios, Locales, Residencias y Cableado Estructurado (Instalación, Mantenimiento y Reparación)"/>
    <n v="1314"/>
    <s v="001"/>
    <s v="0000"/>
    <s v="0000"/>
    <s v="H21"/>
    <s v="N/A"/>
    <n v="3600"/>
    <m/>
    <n v="3600"/>
    <n v="0"/>
    <n v="-3600"/>
    <n v="0"/>
    <n v="0"/>
    <n v="0"/>
    <n v="0"/>
    <n v="0"/>
    <m/>
    <m/>
    <m/>
    <m/>
    <m/>
    <m/>
    <m/>
    <m/>
    <m/>
    <m/>
    <m/>
    <m/>
    <n v="3600"/>
    <n v="0"/>
    <n v="0"/>
    <m/>
    <m/>
    <m/>
    <n v="0"/>
    <n v="0"/>
    <n v="0"/>
    <n v="0"/>
    <n v="0"/>
    <s v=""/>
    <s v=""/>
    <s v=""/>
    <s v=""/>
    <n v="0"/>
    <n v="0"/>
    <n v="0"/>
    <n v="3600"/>
    <n v="0"/>
    <n v="0"/>
    <n v="0"/>
    <n v="0"/>
    <n v="0"/>
    <n v="0"/>
    <n v="0"/>
    <n v="0"/>
    <n v="0"/>
    <s v=""/>
    <s v=""/>
    <s v=""/>
    <s v=""/>
    <s v=""/>
    <s v=""/>
    <s v=""/>
    <s v=""/>
    <s v=""/>
    <s v=""/>
    <s v=""/>
    <s v=""/>
    <n v="0"/>
    <s v=""/>
    <m/>
    <s v="53"/>
    <s v="Sin  Constancia PAPP/POA y con CP- EOD"/>
  </r>
  <r>
    <n v="472"/>
    <m/>
    <m/>
    <m/>
    <m/>
    <m/>
    <m/>
    <m/>
    <m/>
    <m/>
    <s v="Corporación Ciudad Alfaro"/>
    <x v="0"/>
    <s v="CCA"/>
    <s v="N/A"/>
    <s v="N/A"/>
    <s v="Corriente"/>
    <s v="N/A"/>
    <s v="N/A"/>
    <s v="N/A"/>
    <s v="N/A"/>
    <s v="N/A"/>
    <s v="N/A"/>
    <s v="NUEVA"/>
    <s v="Pago de peaje para los vehículos de la Corporación Ciudad Alfaro"/>
    <s v="0035"/>
    <s v="80"/>
    <s v="000"/>
    <s v="002"/>
    <s v="57"/>
    <n v="570102"/>
    <s v="Tasas Generales, Impuestos, Contribuciones, Permisos, Licencias y Patentes."/>
    <n v="1309"/>
    <s v="001"/>
    <s v="0000"/>
    <s v="0000"/>
    <s v="H21"/>
    <s v="N/A"/>
    <n v="300"/>
    <m/>
    <n v="300"/>
    <n v="0"/>
    <n v="0"/>
    <n v="0"/>
    <n v="0"/>
    <n v="300"/>
    <n v="0"/>
    <n v="300"/>
    <n v="0"/>
    <n v="30"/>
    <n v="30"/>
    <n v="30"/>
    <n v="30"/>
    <n v="30"/>
    <n v="30"/>
    <n v="30"/>
    <n v="30"/>
    <n v="30"/>
    <n v="30"/>
    <n v="0"/>
    <n v="300"/>
    <n v="300"/>
    <n v="0"/>
    <m/>
    <m/>
    <m/>
    <n v="300"/>
    <n v="0"/>
    <n v="300"/>
    <n v="0"/>
    <n v="300"/>
    <s v=""/>
    <s v=""/>
    <s v=""/>
    <s v=""/>
    <n v="300"/>
    <n v="0"/>
    <n v="30"/>
    <n v="30"/>
    <n v="30"/>
    <n v="30"/>
    <n v="30"/>
    <n v="30"/>
    <n v="30"/>
    <n v="30"/>
    <n v="30"/>
    <n v="30"/>
    <n v="0"/>
    <s v=""/>
    <s v=""/>
    <s v=""/>
    <s v=""/>
    <s v=""/>
    <s v=""/>
    <s v=""/>
    <s v=""/>
    <s v=""/>
    <s v=""/>
    <s v=""/>
    <s v=""/>
    <n v="0"/>
    <s v=""/>
    <m/>
    <s v="57"/>
    <s v="Sin  Constancia PAPP/POA y con CP- EOD"/>
  </r>
  <r>
    <n v="473"/>
    <m/>
    <m/>
    <m/>
    <m/>
    <m/>
    <m/>
    <m/>
    <m/>
    <m/>
    <s v="Corporación Ciudad Alfaro"/>
    <x v="0"/>
    <s v="CCA"/>
    <s v="N/A"/>
    <s v="N/A"/>
    <s v="Corriente"/>
    <s v="N/A"/>
    <s v="N/A"/>
    <s v="N/A"/>
    <s v="N/A"/>
    <s v="N/A"/>
    <s v="N/A"/>
    <s v="NUEVA"/>
    <s v="Recarga de extintores contra incendios de la Corporación Ciudad Alfaro y sus Sedes"/>
    <s v="0035"/>
    <s v="80"/>
    <s v="000"/>
    <s v="002"/>
    <s v="53"/>
    <n v="530203"/>
    <s v="Almacenamiento, Embalaje, Desembalaje, Envase, Desenvase y Recarga de Extintores"/>
    <n v="1309"/>
    <s v="001"/>
    <s v="0000"/>
    <s v="0000"/>
    <s v="H21"/>
    <s v="N/A"/>
    <n v="1500"/>
    <m/>
    <n v="1500"/>
    <n v="0"/>
    <n v="-1500"/>
    <n v="0"/>
    <n v="0"/>
    <n v="0"/>
    <n v="0"/>
    <n v="0"/>
    <m/>
    <m/>
    <m/>
    <m/>
    <m/>
    <m/>
    <m/>
    <m/>
    <m/>
    <m/>
    <m/>
    <m/>
    <n v="1500"/>
    <n v="0"/>
    <n v="0"/>
    <m/>
    <m/>
    <m/>
    <n v="0"/>
    <n v="0"/>
    <n v="0"/>
    <n v="0"/>
    <n v="0"/>
    <s v=""/>
    <s v=""/>
    <s v=""/>
    <s v=""/>
    <n v="0"/>
    <n v="0"/>
    <n v="0"/>
    <n v="0"/>
    <n v="0"/>
    <n v="0"/>
    <n v="0"/>
    <n v="0"/>
    <n v="0"/>
    <n v="0"/>
    <n v="1500"/>
    <n v="0"/>
    <n v="0"/>
    <s v=""/>
    <s v=""/>
    <s v=""/>
    <s v=""/>
    <s v=""/>
    <s v=""/>
    <s v=""/>
    <s v=""/>
    <s v=""/>
    <s v=""/>
    <s v=""/>
    <s v=""/>
    <n v="0"/>
    <s v=""/>
    <m/>
    <s v="53"/>
    <s v="Sin  Constancia PAPP/POA y con CP- EOD"/>
  </r>
  <r>
    <n v="474"/>
    <m/>
    <m/>
    <m/>
    <m/>
    <m/>
    <m/>
    <m/>
    <m/>
    <m/>
    <s v="Corporación Ciudad Alfaro"/>
    <x v="0"/>
    <s v="CCA"/>
    <s v="N/A"/>
    <s v="N/A"/>
    <s v="Corriente"/>
    <s v="N/A"/>
    <s v="N/A"/>
    <s v="N/A"/>
    <s v="N/A"/>
    <s v="N/A"/>
    <s v="N/A"/>
    <s v="NUEVA"/>
    <s v="Reintegro Por Renovación de Certificado digital"/>
    <s v="0035"/>
    <s v="80"/>
    <s v="000"/>
    <s v="002"/>
    <s v="53"/>
    <n v="530228"/>
    <s v="Servicios de Provisión de Dispositivos Electrónicos y Certificación para Registro de Firmas Digitales"/>
    <n v="1309"/>
    <s v="001"/>
    <s v="0000"/>
    <s v="0000"/>
    <s v="H21"/>
    <s v="N/A"/>
    <n v="30"/>
    <m/>
    <n v="30"/>
    <n v="0"/>
    <n v="-9.84"/>
    <n v="0"/>
    <n v="0"/>
    <n v="20.16"/>
    <n v="0"/>
    <n v="20.16"/>
    <n v="0"/>
    <n v="0"/>
    <n v="0"/>
    <m/>
    <n v="20.16"/>
    <n v="0"/>
    <n v="0"/>
    <n v="0"/>
    <n v="0"/>
    <n v="0"/>
    <n v="0"/>
    <n v="0"/>
    <n v="30"/>
    <n v="20.16"/>
    <n v="0"/>
    <m/>
    <m/>
    <m/>
    <n v="30"/>
    <n v="-9.84"/>
    <n v="0"/>
    <n v="20.16"/>
    <n v="0"/>
    <s v=""/>
    <n v="20.16"/>
    <n v="0"/>
    <n v="1"/>
    <n v="20.16"/>
    <n v="0"/>
    <n v="0"/>
    <n v="0"/>
    <n v="30"/>
    <n v="0"/>
    <n v="0"/>
    <n v="0"/>
    <n v="0"/>
    <n v="0"/>
    <n v="0"/>
    <n v="0"/>
    <n v="0"/>
    <n v="0"/>
    <n v="0"/>
    <n v="0"/>
    <n v="0"/>
    <n v="20.16"/>
    <n v="0"/>
    <n v="0"/>
    <n v="0"/>
    <n v="0"/>
    <n v="0"/>
    <n v="0"/>
    <n v="0"/>
    <n v="20.16"/>
    <n v="0"/>
    <m/>
    <s v="53"/>
    <s v="Sin  Constancia PAPP/POA y con CP- EOD"/>
  </r>
  <r>
    <n v="475"/>
    <m/>
    <m/>
    <m/>
    <m/>
    <m/>
    <m/>
    <m/>
    <m/>
    <m/>
    <s v="Corporación Ciudad Alfaro"/>
    <x v="0"/>
    <s v="CCA"/>
    <s v="N/A"/>
    <s v="N/A"/>
    <s v="Corriente"/>
    <s v="N/A"/>
    <s v="N/A"/>
    <s v="N/A"/>
    <s v="N/A"/>
    <s v="N/A"/>
    <s v="N/A"/>
    <s v="NUEVA"/>
    <s v="Adquisición de biométricos para La Corporación Centro Cívico Ciudad Alfaro Montecristi y sus sedes en Manta, Portoviejo y Bahía."/>
    <s v="0035"/>
    <s v="80"/>
    <s v="000"/>
    <s v="002"/>
    <s v="53"/>
    <n v="530701"/>
    <s v="Desarrollo, Actualización, Asistencia Técnica y Soporte de Sistemas Informáticos"/>
    <n v="1309"/>
    <s v="001"/>
    <s v="0000"/>
    <s v="0000"/>
    <s v="H21"/>
    <s v="N/A"/>
    <n v="417"/>
    <m/>
    <n v="417"/>
    <n v="0"/>
    <n v="-417"/>
    <n v="0"/>
    <n v="0"/>
    <n v="0"/>
    <n v="0"/>
    <n v="0"/>
    <m/>
    <m/>
    <m/>
    <m/>
    <m/>
    <m/>
    <m/>
    <m/>
    <m/>
    <m/>
    <m/>
    <m/>
    <n v="417"/>
    <n v="0"/>
    <n v="0"/>
    <m/>
    <m/>
    <m/>
    <s v=""/>
    <s v=""/>
    <s v=""/>
    <s v=""/>
    <s v=""/>
    <s v=""/>
    <s v=""/>
    <s v=""/>
    <s v=""/>
    <n v="0"/>
    <n v="0"/>
    <n v="0"/>
    <n v="0"/>
    <n v="0"/>
    <n v="417"/>
    <n v="0"/>
    <n v="0"/>
    <n v="0"/>
    <n v="0"/>
    <n v="0"/>
    <n v="0"/>
    <n v="0"/>
    <s v=""/>
    <s v=""/>
    <s v=""/>
    <s v=""/>
    <s v=""/>
    <s v=""/>
    <s v=""/>
    <s v=""/>
    <s v=""/>
    <s v=""/>
    <s v=""/>
    <s v=""/>
    <n v="0"/>
    <s v=""/>
    <m/>
    <s v="53"/>
    <s v="Sin constancia PAPP-POA - SIN CP"/>
  </r>
  <r>
    <n v="476"/>
    <m/>
    <m/>
    <m/>
    <m/>
    <m/>
    <m/>
    <m/>
    <m/>
    <m/>
    <s v="Corporación Ciudad Alfaro"/>
    <x v="0"/>
    <s v="CCA"/>
    <s v="N/A"/>
    <s v="N/A"/>
    <s v="Corriente"/>
    <s v="N/A"/>
    <s v="N/A"/>
    <s v="N/A"/>
    <s v="N/A"/>
    <s v="N/A"/>
    <s v="N/A"/>
    <s v="NUEVA"/>
    <s v="Adquisición de Equipos Informaticos para la Corporación Ciudad Alfaro y sus sedes"/>
    <s v="0035"/>
    <s v="80"/>
    <s v="000"/>
    <s v="002"/>
    <s v="84"/>
    <n v="840107"/>
    <s v="Equipos, Sistemas y Paquetes Informáticos"/>
    <n v="1309"/>
    <s v="001"/>
    <s v="0000"/>
    <s v="0000"/>
    <s v="H21"/>
    <s v="N/A"/>
    <n v="0"/>
    <m/>
    <n v="0"/>
    <n v="0"/>
    <n v="0"/>
    <n v="0"/>
    <n v="0"/>
    <n v="0"/>
    <n v="0"/>
    <n v="0"/>
    <n v="0"/>
    <n v="0"/>
    <n v="0"/>
    <n v="0"/>
    <n v="0"/>
    <n v="0"/>
    <n v="0"/>
    <n v="0"/>
    <n v="0"/>
    <n v="0"/>
    <n v="0"/>
    <n v="0"/>
    <n v="0"/>
    <n v="0"/>
    <n v="0"/>
    <m/>
    <m/>
    <m/>
    <s v=""/>
    <s v=""/>
    <s v=""/>
    <s v=""/>
    <s v=""/>
    <s v=""/>
    <s v=""/>
    <s v=""/>
    <s v=""/>
    <n v="0"/>
    <n v="0"/>
    <n v="0"/>
    <n v="0"/>
    <n v="0"/>
    <n v="0"/>
    <n v="0"/>
    <n v="0"/>
    <n v="0"/>
    <n v="0"/>
    <n v="0"/>
    <n v="0"/>
    <n v="0"/>
    <s v=""/>
    <s v=""/>
    <s v=""/>
    <s v=""/>
    <s v=""/>
    <s v=""/>
    <s v=""/>
    <s v=""/>
    <s v=""/>
    <s v=""/>
    <s v=""/>
    <s v=""/>
    <n v="0"/>
    <s v=""/>
    <m/>
    <s v="84"/>
    <s v="Sin constancia PAPP-POA - SIN CP"/>
  </r>
  <r>
    <n v="477"/>
    <m/>
    <m/>
    <m/>
    <m/>
    <m/>
    <m/>
    <m/>
    <m/>
    <m/>
    <s v="Corporación Ciudad Alfaro"/>
    <x v="0"/>
    <s v="CCA"/>
    <s v="N/A"/>
    <s v="N/A"/>
    <s v="Corriente"/>
    <s v="N/A"/>
    <s v="N/A"/>
    <s v="N/A"/>
    <s v="N/A"/>
    <s v="N/A"/>
    <s v="N/A"/>
    <s v="NUEVA"/>
    <s v="Adquisición de equipos de audios y videos para la corporación Ciudad Alfaro y sus sedes "/>
    <s v="0035"/>
    <s v="80"/>
    <s v="000"/>
    <s v="002"/>
    <s v="84"/>
    <n v="840104"/>
    <s v="Maquinarias y Equipos"/>
    <n v="1309"/>
    <s v="001"/>
    <s v="0000"/>
    <s v="0000"/>
    <s v="H21"/>
    <s v="N/A"/>
    <n v="0"/>
    <m/>
    <n v="0"/>
    <n v="0"/>
    <n v="0"/>
    <n v="0"/>
    <n v="0"/>
    <n v="0"/>
    <n v="0"/>
    <n v="0"/>
    <n v="0"/>
    <n v="0"/>
    <n v="0"/>
    <n v="0"/>
    <n v="0"/>
    <n v="0"/>
    <n v="0"/>
    <n v="0"/>
    <n v="0"/>
    <n v="0"/>
    <n v="0"/>
    <n v="0"/>
    <n v="0"/>
    <n v="0"/>
    <n v="0"/>
    <m/>
    <m/>
    <m/>
    <s v=""/>
    <s v=""/>
    <s v=""/>
    <s v=""/>
    <s v=""/>
    <s v=""/>
    <s v=""/>
    <s v=""/>
    <s v=""/>
    <n v="0"/>
    <n v="0"/>
    <n v="0"/>
    <n v="0"/>
    <n v="0"/>
    <n v="0"/>
    <n v="0"/>
    <n v="0"/>
    <n v="0"/>
    <n v="0"/>
    <n v="0"/>
    <n v="0"/>
    <n v="0"/>
    <s v=""/>
    <s v=""/>
    <s v=""/>
    <s v=""/>
    <s v=""/>
    <s v=""/>
    <s v=""/>
    <s v=""/>
    <s v=""/>
    <s v=""/>
    <s v=""/>
    <s v=""/>
    <n v="0"/>
    <s v=""/>
    <m/>
    <s v="84"/>
    <s v="Sin constancia PAPP-POA - SIN CP"/>
  </r>
  <r>
    <n v="478"/>
    <m/>
    <m/>
    <m/>
    <m/>
    <m/>
    <m/>
    <m/>
    <m/>
    <m/>
    <s v="Corporación Ciudad Alfaro"/>
    <x v="0"/>
    <s v="CCA"/>
    <s v="N/A"/>
    <s v="N/A"/>
    <s v="Corriente"/>
    <s v="N/A"/>
    <s v="N/A"/>
    <s v="N/A"/>
    <s v="N/A"/>
    <s v="N/A"/>
    <s v="N/A"/>
    <s v="NUEVA"/>
    <s v="Adquisicíon de sistema de camara de seguridad de video vigilancia para la corporación ciudad alfaro y sus sedes"/>
    <s v="0035"/>
    <s v="80"/>
    <s v="000"/>
    <s v="002"/>
    <s v="84"/>
    <n v="840104"/>
    <s v="Maquinarias y Equipos"/>
    <n v="1309"/>
    <s v="001"/>
    <s v="0000"/>
    <s v="0000"/>
    <s v="H21"/>
    <s v="N/A"/>
    <n v="0"/>
    <m/>
    <n v="0"/>
    <n v="0"/>
    <n v="0"/>
    <n v="0"/>
    <n v="0"/>
    <n v="0"/>
    <n v="0"/>
    <n v="0"/>
    <n v="0"/>
    <n v="0"/>
    <n v="0"/>
    <n v="0"/>
    <n v="0"/>
    <n v="0"/>
    <n v="0"/>
    <n v="0"/>
    <n v="0"/>
    <n v="0"/>
    <n v="0"/>
    <n v="0"/>
    <n v="0"/>
    <n v="0"/>
    <n v="0"/>
    <m/>
    <m/>
    <m/>
    <s v=""/>
    <s v=""/>
    <s v=""/>
    <s v=""/>
    <s v=""/>
    <s v=""/>
    <s v=""/>
    <s v=""/>
    <s v=""/>
    <n v="0"/>
    <n v="0"/>
    <n v="0"/>
    <n v="0"/>
    <n v="0"/>
    <n v="0"/>
    <n v="0"/>
    <n v="0"/>
    <n v="0"/>
    <n v="0"/>
    <n v="0"/>
    <n v="0"/>
    <n v="0"/>
    <s v=""/>
    <s v=""/>
    <s v=""/>
    <s v=""/>
    <s v=""/>
    <s v=""/>
    <s v=""/>
    <s v=""/>
    <s v=""/>
    <s v=""/>
    <s v=""/>
    <s v=""/>
    <n v="0"/>
    <s v=""/>
    <m/>
    <s v="84"/>
    <s v="Sin constancia PAPP-POA - SIN CP"/>
  </r>
  <r>
    <n v="479"/>
    <m/>
    <m/>
    <m/>
    <m/>
    <m/>
    <m/>
    <m/>
    <m/>
    <m/>
    <s v="Corporación Ciudad Alfaro"/>
    <x v="0"/>
    <s v="CCA"/>
    <s v="N/A"/>
    <s v="N/A"/>
    <s v="Corriente"/>
    <s v="N/A"/>
    <s v="N/A"/>
    <s v="N/A"/>
    <s v="N/A"/>
    <s v="N/A"/>
    <s v="N/A"/>
    <s v="NUEVA"/>
    <s v="Mantenimiento, Reparación preventivo y correctivo de los vehículos de la corporación ciudad alfaro"/>
    <s v="0035"/>
    <s v="80"/>
    <s v="000"/>
    <s v="002"/>
    <s v="53"/>
    <n v="530405"/>
    <s v="Vehículos (Servicio para Mantenimiento y Reparación)"/>
    <n v="1309"/>
    <s v="001"/>
    <s v="0000"/>
    <s v="0000"/>
    <s v="H21"/>
    <s v="N/A"/>
    <n v="8079.4599999999991"/>
    <m/>
    <n v="8079.4599999999991"/>
    <n v="0"/>
    <n v="-1379.46"/>
    <n v="0"/>
    <n v="0"/>
    <n v="6699.9999999999991"/>
    <n v="0"/>
    <n v="6699.9999999999991"/>
    <m/>
    <m/>
    <m/>
    <m/>
    <m/>
    <m/>
    <n v="2693.15"/>
    <n v="2693.16"/>
    <n v="1313.69"/>
    <m/>
    <m/>
    <m/>
    <n v="7079.4599999999991"/>
    <n v="6700"/>
    <n v="0"/>
    <m/>
    <m/>
    <m/>
    <n v="14158.92"/>
    <n v="-7458.920000000001"/>
    <n v="0"/>
    <n v="6580"/>
    <n v="0"/>
    <s v=""/>
    <s v=""/>
    <s v=""/>
    <s v=""/>
    <n v="6699.9999999999991"/>
    <n v="0"/>
    <n v="0"/>
    <n v="0"/>
    <n v="0"/>
    <m/>
    <n v="0"/>
    <n v="2693.15"/>
    <n v="2693.16"/>
    <n v="1693.15"/>
    <n v="0"/>
    <n v="0"/>
    <n v="0"/>
    <s v=""/>
    <s v=""/>
    <s v=""/>
    <s v=""/>
    <s v=""/>
    <s v=""/>
    <s v=""/>
    <s v=""/>
    <s v=""/>
    <s v=""/>
    <s v=""/>
    <s v=""/>
    <n v="0"/>
    <s v=""/>
    <m/>
    <s v="53"/>
    <s v="Sin  Constancia PAPP/POA y con CP- EOD"/>
  </r>
  <r>
    <n v="480"/>
    <m/>
    <m/>
    <m/>
    <m/>
    <m/>
    <m/>
    <m/>
    <m/>
    <m/>
    <s v="Corporación Ciudad Alfaro"/>
    <x v="0"/>
    <s v="CCA"/>
    <s v="N/A"/>
    <s v="N/A"/>
    <s v="Corriente"/>
    <s v="N/A"/>
    <s v="N/A"/>
    <s v="N/A"/>
    <s v="N/A"/>
    <s v="N/A"/>
    <s v="N/A"/>
    <s v="NUEVA"/>
    <s v="Adquisición  de suministros y materiales de oficina para la corporación ciudad alfaro y sus sedes"/>
    <s v="0035"/>
    <s v="80"/>
    <s v="000"/>
    <s v="002"/>
    <s v="53"/>
    <n v="530804"/>
    <s v="Materiales de Oficina"/>
    <n v="1309"/>
    <s v="001"/>
    <s v="0000"/>
    <s v="0000"/>
    <s v="H21"/>
    <s v="N/A"/>
    <n v="4000"/>
    <m/>
    <n v="4000"/>
    <n v="0"/>
    <n v="0"/>
    <n v="0"/>
    <n v="0"/>
    <n v="4000"/>
    <n v="0"/>
    <n v="4000"/>
    <m/>
    <m/>
    <m/>
    <m/>
    <m/>
    <m/>
    <n v="4000"/>
    <m/>
    <m/>
    <m/>
    <m/>
    <m/>
    <n v="4000"/>
    <n v="4000"/>
    <n v="0"/>
    <m/>
    <m/>
    <m/>
    <n v="8000"/>
    <n v="-4000"/>
    <n v="4000"/>
    <n v="0"/>
    <n v="4000"/>
    <s v=""/>
    <s v=""/>
    <s v=""/>
    <s v=""/>
    <n v="4000"/>
    <n v="0"/>
    <n v="0"/>
    <n v="0"/>
    <n v="4000"/>
    <n v="0"/>
    <n v="0"/>
    <n v="0"/>
    <n v="0"/>
    <n v="0"/>
    <n v="0"/>
    <n v="0"/>
    <n v="0"/>
    <s v=""/>
    <s v=""/>
    <s v=""/>
    <s v=""/>
    <s v=""/>
    <s v=""/>
    <s v=""/>
    <s v=""/>
    <s v=""/>
    <s v=""/>
    <s v=""/>
    <s v=""/>
    <n v="0"/>
    <s v=""/>
    <m/>
    <s v="53"/>
    <s v="Sin  Constancia PAPP/POA y con CP- EOD"/>
  </r>
  <r>
    <n v="481"/>
    <m/>
    <m/>
    <m/>
    <m/>
    <m/>
    <m/>
    <m/>
    <m/>
    <m/>
    <s v="Corporación Ciudad Alfaro"/>
    <x v="0"/>
    <s v="CCA"/>
    <s v="N/A"/>
    <s v="N/A"/>
    <s v="Corriente"/>
    <s v="N/A"/>
    <s v="N/A"/>
    <s v="N/A"/>
    <s v="N/A"/>
    <s v="N/A"/>
    <s v="N/A"/>
    <s v="NUEVA"/>
    <s v="Adquisición de tonners y tintas para las impresoras de la corporación ciudad alfaro y sus sedes"/>
    <s v="0035"/>
    <s v="80"/>
    <s v="000"/>
    <s v="002"/>
    <s v="53"/>
    <n v="530807"/>
    <s v="Materiales de Impresión, Fotografía, Reproducción y Publicaciones"/>
    <n v="1309"/>
    <s v="001"/>
    <s v="0000"/>
    <s v="0000"/>
    <s v="H21"/>
    <s v="N/A"/>
    <n v="2000"/>
    <m/>
    <n v="2000"/>
    <n v="0"/>
    <n v="0"/>
    <n v="0"/>
    <n v="0"/>
    <n v="2000"/>
    <n v="0"/>
    <n v="2000"/>
    <m/>
    <m/>
    <m/>
    <m/>
    <m/>
    <m/>
    <n v="2000"/>
    <m/>
    <m/>
    <m/>
    <m/>
    <m/>
    <n v="2000"/>
    <n v="2000"/>
    <n v="0"/>
    <m/>
    <m/>
    <m/>
    <n v="2000"/>
    <n v="0"/>
    <n v="2000"/>
    <n v="0"/>
    <n v="2000"/>
    <s v=""/>
    <s v=""/>
    <s v=""/>
    <s v=""/>
    <n v="2000"/>
    <n v="0"/>
    <n v="0"/>
    <n v="0"/>
    <n v="2000"/>
    <n v="0"/>
    <n v="0"/>
    <n v="0"/>
    <n v="0"/>
    <n v="0"/>
    <n v="0"/>
    <n v="0"/>
    <n v="0"/>
    <s v=""/>
    <s v=""/>
    <s v=""/>
    <s v=""/>
    <s v=""/>
    <s v=""/>
    <s v=""/>
    <s v=""/>
    <s v=""/>
    <s v=""/>
    <s v=""/>
    <s v=""/>
    <n v="0"/>
    <s v=""/>
    <m/>
    <s v="53"/>
    <s v="Sin constancia PAPP-POA - SIN CP"/>
  </r>
  <r>
    <n v="482"/>
    <m/>
    <m/>
    <m/>
    <m/>
    <m/>
    <m/>
    <m/>
    <m/>
    <m/>
    <s v="Corporación Ciudad Alfaro"/>
    <x v="0"/>
    <s v="CCA"/>
    <s v="N/A"/>
    <s v="N/A"/>
    <s v="Corriente"/>
    <s v="N/A"/>
    <s v="N/A"/>
    <s v="N/A"/>
    <s v="N/A"/>
    <s v="N/A"/>
    <s v="N/A"/>
    <s v="NUEVA"/>
    <s v="Mantenimiento preventivo y correctivo de las cerchas metálicas, ventanas, puertas y mampostería de la corporación ciudad alfaro"/>
    <s v="0035"/>
    <s v="80"/>
    <s v="000"/>
    <s v="002"/>
    <s v="53"/>
    <n v="530425"/>
    <s v="Instalación, Readecuación, Montaje de Exposiciones, Mantenimiento y Reparación de Espacios y Bienes Culturales"/>
    <n v="1309"/>
    <s v="001"/>
    <s v="0000"/>
    <s v="0000"/>
    <s v="H21"/>
    <s v="N/A"/>
    <n v="7000"/>
    <m/>
    <n v="7000"/>
    <n v="0"/>
    <n v="-7000"/>
    <n v="0"/>
    <n v="0"/>
    <n v="0"/>
    <n v="0"/>
    <n v="0"/>
    <m/>
    <m/>
    <m/>
    <m/>
    <m/>
    <m/>
    <m/>
    <m/>
    <m/>
    <m/>
    <m/>
    <m/>
    <n v="7000"/>
    <n v="0"/>
    <n v="0"/>
    <m/>
    <m/>
    <m/>
    <n v="0"/>
    <n v="0"/>
    <n v="0"/>
    <n v="0"/>
    <n v="0"/>
    <s v=""/>
    <s v=""/>
    <s v=""/>
    <s v=""/>
    <n v="0"/>
    <n v="0"/>
    <n v="0"/>
    <n v="0"/>
    <n v="7000"/>
    <n v="0"/>
    <n v="0"/>
    <n v="0"/>
    <n v="0"/>
    <n v="0"/>
    <n v="0"/>
    <n v="0"/>
    <n v="0"/>
    <s v=""/>
    <s v=""/>
    <s v=""/>
    <s v=""/>
    <s v=""/>
    <s v=""/>
    <s v=""/>
    <s v=""/>
    <s v=""/>
    <s v=""/>
    <s v=""/>
    <s v=""/>
    <n v="0"/>
    <s v=""/>
    <m/>
    <s v="53"/>
    <s v="Sin  Constancia PAPP/POA y con CP- EOD"/>
  </r>
  <r>
    <n v="483"/>
    <m/>
    <m/>
    <m/>
    <m/>
    <m/>
    <m/>
    <m/>
    <m/>
    <m/>
    <s v="Corporación Ciudad Alfaro"/>
    <x v="0"/>
    <s v="CCA"/>
    <s v="N/A"/>
    <s v="N/A"/>
    <s v="Corriente"/>
    <s v="N/A"/>
    <s v="N/A"/>
    <s v="N/A"/>
    <s v="N/A"/>
    <s v="N/A"/>
    <s v="N/A"/>
    <s v="NUEVA"/>
    <s v="Mantenimiento y reparación de las puertas enrollables de la corporación ciudad alfaro y sus sedes"/>
    <s v="0035"/>
    <s v="80"/>
    <s v="000"/>
    <s v="002"/>
    <s v="53"/>
    <n v="530403"/>
    <s v="Mobiliarios  (Instalación, Mantenimiento y Reparación)"/>
    <n v="1309"/>
    <s v="001"/>
    <s v="0000"/>
    <s v="0000"/>
    <s v="H21"/>
    <s v="N/A"/>
    <n v="5000"/>
    <m/>
    <n v="5000"/>
    <n v="0"/>
    <n v="-5000"/>
    <n v="0"/>
    <n v="0"/>
    <n v="0"/>
    <n v="0"/>
    <n v="0"/>
    <m/>
    <m/>
    <m/>
    <m/>
    <m/>
    <m/>
    <m/>
    <m/>
    <m/>
    <m/>
    <m/>
    <m/>
    <n v="5000"/>
    <n v="0"/>
    <n v="0"/>
    <m/>
    <m/>
    <m/>
    <n v="8000"/>
    <n v="-8000"/>
    <n v="0"/>
    <n v="0"/>
    <n v="0"/>
    <s v=""/>
    <s v=""/>
    <s v=""/>
    <s v=""/>
    <n v="0"/>
    <n v="0"/>
    <n v="0"/>
    <n v="5000"/>
    <n v="0"/>
    <n v="0"/>
    <n v="0"/>
    <n v="0"/>
    <n v="0"/>
    <n v="0"/>
    <n v="0"/>
    <n v="0"/>
    <n v="0"/>
    <s v=""/>
    <s v=""/>
    <s v=""/>
    <s v=""/>
    <s v=""/>
    <s v=""/>
    <s v=""/>
    <s v=""/>
    <s v=""/>
    <s v=""/>
    <s v=""/>
    <s v=""/>
    <n v="0"/>
    <s v=""/>
    <m/>
    <s v="53"/>
    <s v="Sin  Constancia PAPP/POA y con CP- EOD"/>
  </r>
  <r>
    <n v="484"/>
    <m/>
    <m/>
    <m/>
    <m/>
    <m/>
    <m/>
    <m/>
    <m/>
    <m/>
    <s v="Corporación Ciudad Alfaro"/>
    <x v="0"/>
    <s v="Museo Bahía de Caráquez"/>
    <s v="N/A"/>
    <s v="N/A"/>
    <s v="Corriente"/>
    <s v="N/A"/>
    <s v="N/A"/>
    <s v="N/A"/>
    <s v="N/A"/>
    <s v="N/A"/>
    <s v="N/A"/>
    <s v="NUEVA"/>
    <s v="Construcción de cubierta en la sede del Museo Bahía de Caráquez"/>
    <s v="0035"/>
    <s v="80"/>
    <s v="000"/>
    <s v="002"/>
    <s v="53"/>
    <n v="530425"/>
    <s v="Instalación, Readecuación, Montaje de Exposiciones, Mantenimiento y Reparación de Espacios y Bienes Culturales"/>
    <n v="1314"/>
    <s v="001"/>
    <s v="0000"/>
    <s v="0000"/>
    <s v="H21"/>
    <s v="N/A"/>
    <n v="7000"/>
    <m/>
    <n v="7000"/>
    <n v="1000"/>
    <n v="-8000"/>
    <n v="0"/>
    <n v="0"/>
    <n v="0"/>
    <n v="0"/>
    <n v="0"/>
    <m/>
    <m/>
    <m/>
    <m/>
    <m/>
    <m/>
    <m/>
    <m/>
    <m/>
    <m/>
    <m/>
    <m/>
    <n v="7000"/>
    <n v="0"/>
    <n v="0"/>
    <m/>
    <m/>
    <m/>
    <n v="0"/>
    <n v="0"/>
    <s v=""/>
    <s v=""/>
    <s v=""/>
    <s v=""/>
    <s v=""/>
    <s v=""/>
    <s v=""/>
    <n v="0"/>
    <n v="0"/>
    <n v="0"/>
    <n v="0"/>
    <n v="0"/>
    <n v="7000"/>
    <n v="0"/>
    <n v="0"/>
    <n v="0"/>
    <n v="0"/>
    <n v="0"/>
    <n v="0"/>
    <n v="0"/>
    <s v=""/>
    <s v=""/>
    <s v=""/>
    <s v=""/>
    <s v=""/>
    <s v=""/>
    <s v=""/>
    <s v=""/>
    <s v=""/>
    <s v=""/>
    <s v=""/>
    <s v=""/>
    <n v="0"/>
    <s v=""/>
    <m/>
    <s v="53"/>
    <s v="Sin constancia PAPP-POA - SIN CP"/>
  </r>
  <r>
    <n v="485"/>
    <m/>
    <m/>
    <m/>
    <m/>
    <m/>
    <m/>
    <m/>
    <m/>
    <m/>
    <s v="Corporación Ciudad Alfaro"/>
    <x v="0"/>
    <s v="CCA"/>
    <s v="N/A"/>
    <s v="N/A"/>
    <s v="Corriente"/>
    <s v="N/A"/>
    <s v="N/A"/>
    <s v="N/A"/>
    <s v="N/A"/>
    <s v="N/A"/>
    <s v="N/A"/>
    <s v="NUEVA"/>
    <s v="Pago del servicio de correo de la Corporación Ciudad Alfaro y sus sedes"/>
    <s v="0035"/>
    <s v="80"/>
    <s v="000"/>
    <s v="002"/>
    <s v="53"/>
    <n v="530106"/>
    <s v="Servicio de Correo"/>
    <n v="1309"/>
    <s v="001"/>
    <s v="0000"/>
    <s v="0000"/>
    <s v="H21"/>
    <s v="N/A"/>
    <n v="1000"/>
    <m/>
    <n v="1000"/>
    <n v="0"/>
    <n v="-1000"/>
    <n v="0"/>
    <n v="0"/>
    <n v="0"/>
    <n v="0"/>
    <n v="0"/>
    <m/>
    <m/>
    <m/>
    <m/>
    <m/>
    <m/>
    <m/>
    <m/>
    <m/>
    <m/>
    <m/>
    <m/>
    <n v="1000"/>
    <n v="0"/>
    <n v="0"/>
    <m/>
    <m/>
    <m/>
    <s v=""/>
    <s v=""/>
    <s v=""/>
    <s v=""/>
    <s v=""/>
    <s v=""/>
    <s v=""/>
    <s v=""/>
    <s v=""/>
    <n v="0"/>
    <n v="0"/>
    <n v="100"/>
    <n v="100"/>
    <n v="100"/>
    <n v="100"/>
    <n v="100"/>
    <n v="100"/>
    <n v="100"/>
    <n v="100"/>
    <n v="100"/>
    <n v="100"/>
    <n v="0"/>
    <s v=""/>
    <s v=""/>
    <s v=""/>
    <s v=""/>
    <s v=""/>
    <s v=""/>
    <s v=""/>
    <s v=""/>
    <s v=""/>
    <s v=""/>
    <s v=""/>
    <s v=""/>
    <n v="0"/>
    <s v=""/>
    <m/>
    <s v="53"/>
    <s v="Sin constancia PAPP-POA - SIN CP"/>
  </r>
  <r>
    <n v="486"/>
    <m/>
    <m/>
    <m/>
    <m/>
    <m/>
    <m/>
    <m/>
    <m/>
    <m/>
    <s v="Corporación Ciudad Alfaro"/>
    <x v="0"/>
    <s v="CCA"/>
    <s v="N/A"/>
    <s v="N/A"/>
    <s v="Corriente"/>
    <s v="N/A"/>
    <s v="N/A"/>
    <s v="N/A"/>
    <s v="N/A"/>
    <s v="N/A"/>
    <s v="N/A"/>
    <s v="NUEVA"/>
    <s v="Pago de pasajes en el interior para el personal de la Corporación Ciudad Alfaro y sus sedes"/>
    <s v="0035"/>
    <s v="80"/>
    <s v="000"/>
    <s v="002"/>
    <s v="53"/>
    <n v="530301"/>
    <s v="Pasajes al Interior"/>
    <n v="1309"/>
    <s v="001"/>
    <s v="0000"/>
    <s v="0000"/>
    <s v="H21"/>
    <s v="N/A"/>
    <n v="500"/>
    <m/>
    <n v="500"/>
    <n v="0"/>
    <n v="0"/>
    <n v="0"/>
    <n v="0"/>
    <n v="500"/>
    <n v="0"/>
    <n v="500"/>
    <n v="0"/>
    <m/>
    <m/>
    <m/>
    <m/>
    <m/>
    <n v="100"/>
    <n v="100"/>
    <n v="100"/>
    <n v="100"/>
    <n v="100"/>
    <n v="0"/>
    <n v="500"/>
    <n v="500"/>
    <n v="0"/>
    <m/>
    <m/>
    <m/>
    <n v="500"/>
    <n v="0"/>
    <n v="500"/>
    <n v="0"/>
    <n v="500"/>
    <s v=""/>
    <s v=""/>
    <s v=""/>
    <s v=""/>
    <n v="500"/>
    <n v="0"/>
    <n v="50"/>
    <n v="50"/>
    <n v="50"/>
    <n v="50"/>
    <n v="50"/>
    <n v="50"/>
    <n v="50"/>
    <n v="50"/>
    <n v="50"/>
    <n v="50"/>
    <n v="0"/>
    <s v=""/>
    <s v=""/>
    <s v=""/>
    <s v=""/>
    <s v=""/>
    <s v=""/>
    <s v=""/>
    <s v=""/>
    <s v=""/>
    <s v=""/>
    <s v=""/>
    <s v=""/>
    <n v="0"/>
    <s v=""/>
    <m/>
    <s v="53"/>
    <s v="Sin  Constancia PAPP/POA y con CP- EOD"/>
  </r>
  <r>
    <n v="487"/>
    <m/>
    <m/>
    <m/>
    <m/>
    <m/>
    <m/>
    <m/>
    <m/>
    <m/>
    <s v="Corporación Ciudad Alfaro"/>
    <x v="0"/>
    <s v="CCA"/>
    <s v="N/A"/>
    <s v="N/A"/>
    <s v="Corriente"/>
    <s v="N/A"/>
    <s v="N/A"/>
    <s v="N/A"/>
    <s v="N/A"/>
    <s v="N/A"/>
    <s v="N/A"/>
    <s v="NUEVA"/>
    <s v="Pago de viáticos para el personal de la Corporación Ciudad Alfaro y sus sedes"/>
    <s v="0035"/>
    <s v="80"/>
    <s v="000"/>
    <s v="002"/>
    <s v="53"/>
    <n v="530303"/>
    <s v="Viáticos y Subsistencias en el Interior"/>
    <n v="1309"/>
    <s v="001"/>
    <s v="0000"/>
    <s v="0000"/>
    <s v="H21"/>
    <s v="N/A"/>
    <n v="1085.8800000000001"/>
    <m/>
    <n v="1085.8800000000001"/>
    <n v="3715.7"/>
    <n v="-31.32"/>
    <n v="0"/>
    <n v="0"/>
    <n v="4770.26"/>
    <n v="0"/>
    <n v="4770.26"/>
    <m/>
    <m/>
    <n v="420"/>
    <s v=""/>
    <s v=""/>
    <m/>
    <n v="1000"/>
    <n v="1000"/>
    <n v="1000"/>
    <n v="1000"/>
    <n v="350.26"/>
    <m/>
    <n v="4801.58"/>
    <n v="4770.26"/>
    <n v="0"/>
    <m/>
    <m/>
    <m/>
    <n v="4801.58"/>
    <n v="-31.319999999999709"/>
    <n v="1085.8800000000001"/>
    <n v="420"/>
    <n v="665.88000000000011"/>
    <s v=""/>
    <n v="420"/>
    <n v="4350.26"/>
    <n v="8.8045515338786559E-2"/>
    <n v="4770.26"/>
    <m/>
    <m/>
    <n v="420"/>
    <m/>
    <m/>
    <m/>
    <n v="1500"/>
    <n v="721.58"/>
    <n v="720"/>
    <n v="720"/>
    <n v="720"/>
    <m/>
    <n v="0"/>
    <n v="0"/>
    <n v="420"/>
    <n v="0"/>
    <n v="0"/>
    <n v="0"/>
    <n v="0"/>
    <n v="0"/>
    <n v="0"/>
    <n v="0"/>
    <n v="0"/>
    <n v="0"/>
    <n v="420"/>
    <n v="0"/>
    <m/>
    <s v="53"/>
    <s v="Sin  Constancia PAPP/POA y con CP- EOD"/>
  </r>
  <r>
    <n v="488"/>
    <m/>
    <m/>
    <m/>
    <m/>
    <m/>
    <m/>
    <m/>
    <m/>
    <m/>
    <s v="Corporación Ciudad Alfaro"/>
    <x v="0"/>
    <s v="CCA"/>
    <s v="N/A"/>
    <s v="N/A"/>
    <s v="Corriente"/>
    <s v="N/A"/>
    <s v="N/A"/>
    <s v="N/A"/>
    <s v="N/A"/>
    <s v="N/A"/>
    <s v="N/A"/>
    <s v="NUEVA"/>
    <s v="Reembolso de pasajes aereos  para el personal de la Corporación Ciudad Alfaro y sus sedes"/>
    <s v="0035"/>
    <s v="80"/>
    <s v="000"/>
    <s v="002"/>
    <s v="53"/>
    <n v="530301"/>
    <s v="Pasajes al Interior"/>
    <n v="1309"/>
    <s v="001"/>
    <s v="0000"/>
    <s v="0000"/>
    <s v="H21"/>
    <s v="N/A"/>
    <n v="500"/>
    <m/>
    <n v="500"/>
    <n v="1000"/>
    <n v="0"/>
    <n v="0"/>
    <n v="0"/>
    <n v="1500"/>
    <n v="0"/>
    <n v="1500"/>
    <m/>
    <m/>
    <m/>
    <m/>
    <m/>
    <m/>
    <n v="500"/>
    <m/>
    <n v="500"/>
    <m/>
    <n v="500"/>
    <m/>
    <n v="500"/>
    <n v="1500"/>
    <n v="0"/>
    <m/>
    <m/>
    <m/>
    <n v="1500"/>
    <n v="0"/>
    <n v="500"/>
    <n v="0"/>
    <n v="500"/>
    <s v=""/>
    <s v=""/>
    <s v=""/>
    <s v=""/>
    <n v="1500"/>
    <n v="0"/>
    <n v="0"/>
    <n v="200"/>
    <n v="0"/>
    <n v="0"/>
    <n v="0"/>
    <n v="200"/>
    <n v="0"/>
    <n v="0"/>
    <n v="100"/>
    <n v="0"/>
    <n v="0"/>
    <s v=""/>
    <s v=""/>
    <s v=""/>
    <s v=""/>
    <s v=""/>
    <s v=""/>
    <s v=""/>
    <s v=""/>
    <s v=""/>
    <s v=""/>
    <s v=""/>
    <s v=""/>
    <n v="0"/>
    <s v=""/>
    <m/>
    <s v="53"/>
    <s v="Sin  Constancia PAPP/POA y con CP- EOD"/>
  </r>
  <r>
    <n v="489"/>
    <m/>
    <m/>
    <m/>
    <m/>
    <m/>
    <m/>
    <m/>
    <m/>
    <m/>
    <s v="Corporación Ciudad Alfaro"/>
    <x v="0"/>
    <s v="CCA"/>
    <s v="N/A"/>
    <s v="N/A"/>
    <s v="Corriente"/>
    <s v="N/A"/>
    <s v="N/A"/>
    <s v="N/A"/>
    <s v="N/A"/>
    <s v="N/A"/>
    <s v="N/A"/>
    <s v="NUEVA"/>
    <s v="Adquisición de materiales y suministros de conservación y restauración para la Corporación Ciudad Alfaro y sus sedes "/>
    <s v="0035"/>
    <s v="80"/>
    <s v="000"/>
    <s v="002"/>
    <s v="53"/>
    <n v="530811"/>
    <s v="Insumos,   Materiales   y   Suministros   para   Construcción,   Electricidad,   Plomería,   Carpintería,   Señalización   Vial,_x000a_Navegación, Contra Incendios y Placas"/>
    <n v="1309"/>
    <s v="001"/>
    <s v="0000"/>
    <s v="0000"/>
    <s v="H21"/>
    <s v="N/A"/>
    <n v="3942.38"/>
    <m/>
    <n v="3942.38"/>
    <n v="0"/>
    <n v="-3942.38"/>
    <n v="0"/>
    <n v="0"/>
    <n v="0"/>
    <n v="0"/>
    <n v="0"/>
    <m/>
    <m/>
    <m/>
    <m/>
    <m/>
    <m/>
    <m/>
    <m/>
    <m/>
    <m/>
    <m/>
    <m/>
    <n v="3942.38"/>
    <n v="0"/>
    <n v="0"/>
    <m/>
    <m/>
    <m/>
    <n v="3942.38"/>
    <n v="-3942.38"/>
    <n v="0"/>
    <n v="0"/>
    <n v="0"/>
    <s v=""/>
    <s v=""/>
    <s v=""/>
    <s v=""/>
    <n v="0"/>
    <n v="0"/>
    <n v="3942.38"/>
    <n v="0"/>
    <n v="0"/>
    <n v="0"/>
    <n v="0"/>
    <n v="0"/>
    <n v="0"/>
    <n v="0"/>
    <n v="0"/>
    <n v="0"/>
    <n v="0"/>
    <s v=""/>
    <s v=""/>
    <s v=""/>
    <s v=""/>
    <s v=""/>
    <s v=""/>
    <s v=""/>
    <s v=""/>
    <s v=""/>
    <s v=""/>
    <s v=""/>
    <s v=""/>
    <n v="0"/>
    <s v=""/>
    <m/>
    <s v="53"/>
    <s v="Sin constancia PAPP-POA - SIN CP"/>
  </r>
  <r>
    <n v="490"/>
    <m/>
    <m/>
    <m/>
    <m/>
    <m/>
    <m/>
    <m/>
    <m/>
    <m/>
    <s v="Corporación Ciudad Alfaro"/>
    <x v="0"/>
    <s v="CCA"/>
    <s v="N/A"/>
    <s v="N/A"/>
    <s v="Corriente"/>
    <s v="N/A"/>
    <s v="N/A"/>
    <s v="N/A"/>
    <s v="N/A"/>
    <s v="N/A"/>
    <s v="N/A"/>
    <s v="NUEVA"/>
    <s v="Lavado de Menaje"/>
    <s v="0035"/>
    <s v="80"/>
    <s v="000"/>
    <s v="002"/>
    <s v="53"/>
    <n v="530209"/>
    <s v="Servicios de Aseo, Lavado de Vestimenta de Trabajo, Fumigación, Desinfección,  Limpieza de Instalaciones, manejo_x000a_de desechos contaminados, recuperación y clasificación de materiales reciclables."/>
    <n v="1309"/>
    <s v="001"/>
    <s v="0000"/>
    <s v="0000"/>
    <s v="H21"/>
    <s v="N/A"/>
    <n v="2000"/>
    <m/>
    <n v="2000"/>
    <n v="0"/>
    <n v="-491.5"/>
    <n v="0"/>
    <n v="0"/>
    <n v="1508.5"/>
    <n v="0"/>
    <n v="1508.5"/>
    <m/>
    <m/>
    <n v="1508.5"/>
    <m/>
    <m/>
    <m/>
    <m/>
    <m/>
    <m/>
    <m/>
    <m/>
    <m/>
    <n v="2000"/>
    <n v="1508.5"/>
    <n v="0"/>
    <m/>
    <m/>
    <m/>
    <n v="1508.5"/>
    <n v="0"/>
    <n v="0"/>
    <n v="1508.5"/>
    <n v="0"/>
    <s v=""/>
    <n v="1508.5"/>
    <n v="0"/>
    <n v="1"/>
    <n v="1508.5"/>
    <n v="0"/>
    <n v="2000"/>
    <n v="0"/>
    <n v="0"/>
    <n v="0"/>
    <n v="0"/>
    <n v="0"/>
    <n v="0"/>
    <n v="0"/>
    <n v="0"/>
    <n v="0"/>
    <n v="0"/>
    <n v="0"/>
    <n v="0"/>
    <n v="1508.5"/>
    <n v="0"/>
    <n v="0"/>
    <n v="0"/>
    <n v="0"/>
    <n v="0"/>
    <n v="0"/>
    <n v="0"/>
    <n v="0"/>
    <n v="0"/>
    <n v="1508.5"/>
    <n v="0"/>
    <m/>
    <s v="53"/>
    <s v="Sin  Constancia PAPP/POA y con CP- EOD"/>
  </r>
  <r>
    <n v="491"/>
    <m/>
    <m/>
    <m/>
    <m/>
    <m/>
    <m/>
    <m/>
    <m/>
    <m/>
    <s v="Corporación Ciudad Alfaro"/>
    <x v="0"/>
    <s v="CCA"/>
    <s v="N/A"/>
    <s v="N/A"/>
    <s v="Corriente"/>
    <s v="N/A"/>
    <s v="N/A"/>
    <s v="N/A"/>
    <s v="N/A"/>
    <s v="N/A"/>
    <s v="N/A"/>
    <s v="NUEVA"/>
    <s v="Renovación, adecuación, reparación del museo rodante y los bienes museográficos culturales e implementacion de mobiliarios."/>
    <s v="0035"/>
    <s v="80"/>
    <s v="000"/>
    <s v="002"/>
    <s v="53"/>
    <n v="530408"/>
    <s v="Bienes Artísticos y Culturales"/>
    <n v="1309"/>
    <s v="001"/>
    <s v="0000"/>
    <s v="0000"/>
    <s v="H21"/>
    <s v="N/A"/>
    <n v="5000"/>
    <m/>
    <n v="5000"/>
    <n v="0"/>
    <n v="-5000"/>
    <n v="0"/>
    <n v="0"/>
    <n v="0"/>
    <n v="0"/>
    <n v="0"/>
    <m/>
    <m/>
    <m/>
    <m/>
    <m/>
    <m/>
    <m/>
    <m/>
    <m/>
    <m/>
    <m/>
    <m/>
    <n v="5000"/>
    <n v="0"/>
    <n v="0"/>
    <m/>
    <m/>
    <m/>
    <s v=""/>
    <s v=""/>
    <s v=""/>
    <s v=""/>
    <s v=""/>
    <s v=""/>
    <s v=""/>
    <s v=""/>
    <s v=""/>
    <n v="0"/>
    <n v="0"/>
    <n v="5000"/>
    <n v="0"/>
    <n v="0"/>
    <n v="0"/>
    <n v="0"/>
    <n v="0"/>
    <n v="0"/>
    <n v="0"/>
    <n v="0"/>
    <n v="0"/>
    <n v="0"/>
    <s v=""/>
    <s v=""/>
    <s v=""/>
    <s v=""/>
    <s v=""/>
    <s v=""/>
    <s v=""/>
    <s v=""/>
    <s v=""/>
    <s v=""/>
    <s v=""/>
    <s v=""/>
    <n v="0"/>
    <s v=""/>
    <m/>
    <s v="53"/>
    <s v="Sin constancia PAPP-POA - SIN CP"/>
  </r>
  <r>
    <n v="492"/>
    <m/>
    <m/>
    <m/>
    <m/>
    <m/>
    <m/>
    <m/>
    <m/>
    <m/>
    <s v="Corporación Ciudad Alfaro"/>
    <x v="0"/>
    <s v="CCA"/>
    <s v="N/A"/>
    <s v="N/A"/>
    <s v="Corriente"/>
    <s v="N/A"/>
    <s v="N/A"/>
    <s v="N/A"/>
    <s v="N/A"/>
    <s v="N/A"/>
    <s v="N/A"/>
    <s v="NUEVA"/>
    <s v="Eventos enmarcados en el rescate y la recuperación de los saberes ancestrales, difusión y fortalecimiento de la memoria social y cultural de la Corporación Ciudad Alfaro y sus sedes en Portoviejo, Manta y Bahía de Caráquez"/>
    <s v="0035"/>
    <s v="80"/>
    <s v="000"/>
    <s v="002"/>
    <s v="53"/>
    <n v="530205"/>
    <s v="Espectáculos Culturales y Sociales"/>
    <n v="1309"/>
    <s v="002"/>
    <s v="0000"/>
    <s v="0000"/>
    <s v="H21"/>
    <s v="N/A"/>
    <n v="8057.62"/>
    <m/>
    <n v="8057.62"/>
    <n v="0"/>
    <n v="0"/>
    <n v="0"/>
    <n v="0"/>
    <n v="8057.62"/>
    <n v="0"/>
    <n v="8057.62"/>
    <m/>
    <m/>
    <m/>
    <m/>
    <m/>
    <m/>
    <m/>
    <m/>
    <n v="6000"/>
    <n v="2057.62"/>
    <m/>
    <m/>
    <n v="8057.62"/>
    <n v="8057.62"/>
    <n v="0"/>
    <m/>
    <m/>
    <m/>
    <s v=""/>
    <s v=""/>
    <s v=""/>
    <s v=""/>
    <s v=""/>
    <s v=""/>
    <s v=""/>
    <s v=""/>
    <s v=""/>
    <n v="8057.62"/>
    <n v="0"/>
    <n v="2000"/>
    <n v="2057.62"/>
    <n v="0"/>
    <n v="2000"/>
    <n v="0"/>
    <n v="0"/>
    <n v="2000"/>
    <n v="0"/>
    <n v="0"/>
    <n v="0"/>
    <n v="0"/>
    <s v=""/>
    <s v=""/>
    <s v=""/>
    <s v=""/>
    <s v=""/>
    <s v=""/>
    <s v=""/>
    <s v=""/>
    <s v=""/>
    <s v=""/>
    <s v=""/>
    <s v=""/>
    <n v="0"/>
    <s v=""/>
    <m/>
    <s v="53"/>
    <s v="Sin constancia PAPP-POA - SIN CP"/>
  </r>
  <r>
    <n v="493"/>
    <m/>
    <m/>
    <m/>
    <m/>
    <m/>
    <m/>
    <m/>
    <m/>
    <m/>
    <s v="Corporación Ciudad Alfaro"/>
    <x v="0"/>
    <s v="Museo Centro Cultural Manta"/>
    <s v="N/A"/>
    <s v="N/A"/>
    <s v="Corriente"/>
    <s v="N/A"/>
    <s v="N/A"/>
    <s v="N/A"/>
    <s v="N/A"/>
    <s v="N/A"/>
    <s v="N/A"/>
    <s v="NUEVA"/>
    <s v="Mantenimiento y reparación de bombas sumergibles y bombas de agua potable en el Museo Centro Cultural Manta, sede de la Corporación Ciudad Alfaro "/>
    <s v="0035"/>
    <s v="80"/>
    <s v="000"/>
    <s v="002"/>
    <s v="53"/>
    <n v="530403"/>
    <s v="Mobiliarios  (Instalación, Mantenimiento y Reparación)"/>
    <n v="1308"/>
    <s v="001"/>
    <s v="0000"/>
    <s v="0000"/>
    <s v="H21"/>
    <s v="N/A"/>
    <n v="9788.9"/>
    <m/>
    <n v="9788.9"/>
    <n v="0"/>
    <n v="-9788.9"/>
    <n v="0"/>
    <n v="0"/>
    <n v="0"/>
    <n v="0"/>
    <n v="0"/>
    <m/>
    <m/>
    <m/>
    <m/>
    <m/>
    <m/>
    <m/>
    <m/>
    <m/>
    <m/>
    <m/>
    <m/>
    <n v="9788.9"/>
    <n v="0"/>
    <n v="0"/>
    <m/>
    <m/>
    <m/>
    <n v="0"/>
    <n v="0"/>
    <n v="0"/>
    <n v="0"/>
    <n v="0"/>
    <s v=""/>
    <s v=""/>
    <s v=""/>
    <s v=""/>
    <n v="0"/>
    <n v="9788.9"/>
    <n v="0"/>
    <n v="0"/>
    <n v="0"/>
    <n v="0"/>
    <n v="0"/>
    <n v="0"/>
    <n v="0"/>
    <n v="0"/>
    <n v="0"/>
    <n v="0"/>
    <n v="0"/>
    <s v=""/>
    <s v=""/>
    <s v=""/>
    <s v=""/>
    <s v=""/>
    <s v=""/>
    <s v=""/>
    <s v=""/>
    <s v=""/>
    <s v=""/>
    <s v=""/>
    <s v=""/>
    <n v="0"/>
    <s v=""/>
    <m/>
    <s v="53"/>
    <s v="Sin  Constancia PAPP/POA y con CP- EOD"/>
  </r>
  <r>
    <n v="494"/>
    <m/>
    <m/>
    <m/>
    <m/>
    <m/>
    <m/>
    <m/>
    <m/>
    <m/>
    <s v="Corporación Ciudad Alfaro"/>
    <x v="0"/>
    <s v="Museo Bahía de Caráquez"/>
    <s v="N/A"/>
    <s v="N/A"/>
    <s v="Corriente"/>
    <s v="N/A"/>
    <s v="N/A"/>
    <s v="N/A"/>
    <s v="N/A"/>
    <s v="N/A"/>
    <s v="N/A"/>
    <s v="NUEVA"/>
    <s v="Mantenimiento y reparación de bombas sumergibles y bombas de agua potable en el Museo Bahía de Caráquez, sede de la Corporación Ciudad Alfaro "/>
    <s v="0035"/>
    <s v="80"/>
    <s v="000"/>
    <s v="002"/>
    <s v="53"/>
    <n v="530403"/>
    <s v="Mobiliarios  (Instalación, Mantenimiento y Reparación)"/>
    <n v="1314"/>
    <s v="001"/>
    <s v="0000"/>
    <s v="0000"/>
    <s v="H21"/>
    <s v="N/A"/>
    <n v="0"/>
    <m/>
    <n v="0"/>
    <n v="0"/>
    <n v="0"/>
    <n v="0"/>
    <n v="0"/>
    <n v="0"/>
    <n v="0"/>
    <n v="0"/>
    <n v="0"/>
    <n v="0"/>
    <n v="0"/>
    <n v="0"/>
    <n v="0"/>
    <n v="0"/>
    <n v="0"/>
    <n v="0"/>
    <n v="0"/>
    <n v="0"/>
    <n v="0"/>
    <n v="0"/>
    <n v="0"/>
    <n v="0"/>
    <n v="0"/>
    <m/>
    <m/>
    <m/>
    <s v=""/>
    <s v=""/>
    <s v=""/>
    <s v=""/>
    <s v=""/>
    <s v=""/>
    <s v=""/>
    <s v=""/>
    <s v=""/>
    <n v="0"/>
    <n v="0"/>
    <n v="0"/>
    <n v="0"/>
    <n v="0"/>
    <n v="0"/>
    <n v="0"/>
    <n v="0"/>
    <n v="0"/>
    <n v="0"/>
    <n v="0"/>
    <n v="0"/>
    <n v="0"/>
    <s v=""/>
    <s v=""/>
    <s v=""/>
    <s v=""/>
    <s v=""/>
    <s v=""/>
    <s v=""/>
    <s v=""/>
    <s v=""/>
    <s v=""/>
    <s v=""/>
    <s v=""/>
    <n v="0"/>
    <s v=""/>
    <m/>
    <s v="53"/>
    <s v="Sin constancia PAPP-POA - SIN CP"/>
  </r>
  <r>
    <n v="495"/>
    <m/>
    <m/>
    <m/>
    <m/>
    <m/>
    <m/>
    <m/>
    <m/>
    <m/>
    <s v="Corporación Ciudad Alfaro"/>
    <x v="0"/>
    <s v="Museo Centro Cultural Manta"/>
    <s v="N/A"/>
    <s v="N/A"/>
    <s v="Corriente"/>
    <s v="N/A"/>
    <s v="N/A"/>
    <s v="N/A"/>
    <s v="N/A"/>
    <s v="N/A"/>
    <s v="N/A"/>
    <s v="NUEVA"/>
    <s v="Mantenimiento y Reparación de Ascensores del Museo Centro Cultural Manta"/>
    <s v="0035"/>
    <s v="80"/>
    <s v="000"/>
    <s v="002"/>
    <s v="53"/>
    <n v="530404"/>
    <s v="Maquinarias y Equipos (Instalación, Mantenimiento y Reparación)"/>
    <n v="1308"/>
    <s v="001"/>
    <s v="0000"/>
    <s v="0000"/>
    <s v="H21"/>
    <s v="N/A"/>
    <n v="0"/>
    <m/>
    <n v="0"/>
    <n v="0"/>
    <n v="0"/>
    <n v="0"/>
    <n v="0"/>
    <n v="0"/>
    <n v="0"/>
    <n v="0"/>
    <n v="0"/>
    <n v="0"/>
    <n v="0"/>
    <n v="0"/>
    <n v="0"/>
    <n v="0"/>
    <n v="0"/>
    <n v="0"/>
    <n v="0"/>
    <n v="0"/>
    <n v="0"/>
    <n v="0"/>
    <n v="0"/>
    <n v="0"/>
    <n v="0"/>
    <m/>
    <m/>
    <m/>
    <s v=""/>
    <s v=""/>
    <s v=""/>
    <s v=""/>
    <s v=""/>
    <s v=""/>
    <s v=""/>
    <s v=""/>
    <s v=""/>
    <n v="0"/>
    <n v="0"/>
    <n v="0"/>
    <n v="0"/>
    <n v="0"/>
    <n v="0"/>
    <n v="0"/>
    <n v="0"/>
    <n v="0"/>
    <n v="0"/>
    <n v="0"/>
    <n v="0"/>
    <n v="0"/>
    <s v=""/>
    <s v=""/>
    <s v=""/>
    <s v=""/>
    <s v=""/>
    <s v=""/>
    <s v=""/>
    <s v=""/>
    <s v=""/>
    <s v=""/>
    <s v=""/>
    <s v=""/>
    <n v="0"/>
    <s v=""/>
    <m/>
    <s v="53"/>
    <s v="Sin constancia PAPP-POA - SIN CP"/>
  </r>
  <r>
    <n v="496"/>
    <m/>
    <m/>
    <m/>
    <m/>
    <m/>
    <m/>
    <m/>
    <m/>
    <m/>
    <s v="Corporación Ciudad Alfaro"/>
    <x v="0"/>
    <s v="Museo Bahía de Caráquez"/>
    <s v="N/A"/>
    <s v="N/A"/>
    <s v="Corriente"/>
    <s v="N/A"/>
    <s v="N/A"/>
    <s v="N/A"/>
    <s v="N/A"/>
    <s v="N/A"/>
    <s v="N/A"/>
    <s v="NUEVA"/>
    <s v="Mantenimiento y Reparación de Ascensores del Museo Bahía de Caráquez"/>
    <s v="0035"/>
    <s v="80"/>
    <s v="000"/>
    <s v="002"/>
    <s v="53"/>
    <n v="530404"/>
    <s v="Maquinarias y Equipos (Instalación, Mantenimiento y Reparación)"/>
    <n v="1314"/>
    <s v="001"/>
    <s v="0000"/>
    <s v="0000"/>
    <s v="H21"/>
    <s v="N/A"/>
    <n v="0"/>
    <m/>
    <n v="0"/>
    <n v="0"/>
    <n v="0"/>
    <n v="0"/>
    <n v="0"/>
    <n v="0"/>
    <n v="0"/>
    <n v="0"/>
    <n v="0"/>
    <n v="0"/>
    <n v="0"/>
    <n v="0"/>
    <n v="0"/>
    <n v="0"/>
    <n v="0"/>
    <n v="0"/>
    <n v="0"/>
    <n v="0"/>
    <n v="0"/>
    <n v="0"/>
    <n v="0"/>
    <n v="0"/>
    <n v="0"/>
    <m/>
    <m/>
    <m/>
    <s v=""/>
    <s v=""/>
    <s v=""/>
    <s v=""/>
    <s v=""/>
    <s v=""/>
    <s v=""/>
    <s v=""/>
    <s v=""/>
    <n v="0"/>
    <n v="0"/>
    <n v="0"/>
    <n v="0"/>
    <n v="0"/>
    <n v="0"/>
    <n v="0"/>
    <n v="0"/>
    <n v="0"/>
    <n v="0"/>
    <n v="0"/>
    <n v="0"/>
    <n v="0"/>
    <s v=""/>
    <s v=""/>
    <s v=""/>
    <s v=""/>
    <s v=""/>
    <s v=""/>
    <s v=""/>
    <s v=""/>
    <s v=""/>
    <s v=""/>
    <s v=""/>
    <s v=""/>
    <n v="0"/>
    <s v=""/>
    <m/>
    <s v="53"/>
    <s v="Sin constancia PAPP-POA - SIN CP"/>
  </r>
  <r>
    <n v="497"/>
    <m/>
    <m/>
    <m/>
    <m/>
    <m/>
    <m/>
    <m/>
    <m/>
    <m/>
    <s v="Corporación Ciudad Alfaro"/>
    <x v="0"/>
    <s v="CCA"/>
    <s v="N/A"/>
    <s v="N/A"/>
    <s v="Corriente"/>
    <s v="N/A"/>
    <s v="N/A"/>
    <s v="N/A"/>
    <s v="N/A"/>
    <s v="N/A"/>
    <s v="N/A"/>
    <s v="NUEVA"/>
    <s v="Servicio de impresión de banners, hacking publicitario y Tripticos para tener presencia institucional en las actividades de los repositorios de la memoria de la Corporación Ciudad Alfaro y sus sedes"/>
    <s v="0035"/>
    <s v="80"/>
    <s v="000"/>
    <s v="002"/>
    <s v="53"/>
    <n v="530204"/>
    <s v="Edición, Impresión, Reproducción, Publicaciones, Suscripciones, Fotocopiado, Traducción, Empastado, Enmarcación,_x000a_Serigrafía, Fotografía, Carnetización, Filmación e Imágenes Satelitales."/>
    <n v="1309"/>
    <s v="001"/>
    <s v="0000"/>
    <s v="0000"/>
    <s v="H21"/>
    <s v="N/A"/>
    <n v="0"/>
    <m/>
    <n v="0"/>
    <n v="0"/>
    <n v="0"/>
    <n v="0"/>
    <n v="0"/>
    <n v="0"/>
    <n v="0"/>
    <n v="0"/>
    <n v="0"/>
    <n v="0"/>
    <n v="0"/>
    <n v="0"/>
    <n v="0"/>
    <n v="0"/>
    <n v="0"/>
    <n v="0"/>
    <n v="0"/>
    <n v="0"/>
    <n v="0"/>
    <n v="0"/>
    <n v="0"/>
    <n v="0"/>
    <n v="0"/>
    <m/>
    <m/>
    <m/>
    <s v=""/>
    <s v=""/>
    <s v=""/>
    <s v=""/>
    <s v=""/>
    <s v=""/>
    <s v=""/>
    <s v=""/>
    <s v=""/>
    <n v="0"/>
    <n v="0"/>
    <n v="0"/>
    <n v="0"/>
    <n v="0"/>
    <n v="0"/>
    <n v="0"/>
    <n v="0"/>
    <n v="0"/>
    <n v="0"/>
    <n v="0"/>
    <n v="0"/>
    <n v="0"/>
    <s v=""/>
    <s v=""/>
    <s v=""/>
    <s v=""/>
    <s v=""/>
    <s v=""/>
    <s v=""/>
    <s v=""/>
    <s v=""/>
    <s v=""/>
    <s v=""/>
    <s v=""/>
    <n v="0"/>
    <s v=""/>
    <m/>
    <s v="53"/>
    <s v="Sin constancia PAPP-POA - SIN CP"/>
  </r>
  <r>
    <n v="498"/>
    <m/>
    <m/>
    <m/>
    <m/>
    <m/>
    <m/>
    <m/>
    <m/>
    <m/>
    <s v="Corporación Ciudad Alfaro"/>
    <x v="0"/>
    <s v="CCA"/>
    <s v="N/A"/>
    <s v="N/A"/>
    <s v="Corriente"/>
    <s v="N/A"/>
    <s v="N/A"/>
    <s v="N/A"/>
    <s v="N/A"/>
    <s v="N/A"/>
    <s v="N/A"/>
    <s v="NUEVA"/>
    <s v="Mantenimiento preventivo y correctivo de torres manteñas y astas de banderas pertenecientes a la Corporación Ciudad Alfaro"/>
    <s v="0035"/>
    <s v="80"/>
    <s v="000"/>
    <s v="002"/>
    <s v="53"/>
    <n v="530420"/>
    <e v="#N/A"/>
    <n v="1309"/>
    <s v="001"/>
    <s v="0000"/>
    <s v="0000"/>
    <s v="H21"/>
    <s v="N/A"/>
    <n v="0"/>
    <m/>
    <n v="0"/>
    <n v="0"/>
    <n v="0"/>
    <n v="0"/>
    <n v="0"/>
    <n v="0"/>
    <n v="0"/>
    <n v="0"/>
    <n v="0"/>
    <n v="0"/>
    <n v="0"/>
    <n v="0"/>
    <n v="0"/>
    <n v="0"/>
    <n v="0"/>
    <n v="0"/>
    <n v="0"/>
    <n v="0"/>
    <n v="0"/>
    <n v="0"/>
    <n v="0"/>
    <n v="0"/>
    <n v="0"/>
    <m/>
    <m/>
    <m/>
    <s v=""/>
    <s v=""/>
    <s v=""/>
    <s v=""/>
    <s v=""/>
    <s v=""/>
    <s v=""/>
    <s v=""/>
    <s v=""/>
    <n v="0"/>
    <n v="0"/>
    <n v="0"/>
    <n v="0"/>
    <n v="0"/>
    <n v="0"/>
    <n v="0"/>
    <n v="0"/>
    <n v="0"/>
    <n v="0"/>
    <n v="0"/>
    <n v="0"/>
    <n v="0"/>
    <s v=""/>
    <s v=""/>
    <s v=""/>
    <s v=""/>
    <s v=""/>
    <s v=""/>
    <s v=""/>
    <s v=""/>
    <s v=""/>
    <s v=""/>
    <s v=""/>
    <s v=""/>
    <n v="0"/>
    <s v=""/>
    <m/>
    <s v="53"/>
    <s v="Sin constancia PAPP-POA - SIN CP"/>
  </r>
  <r>
    <n v="499"/>
    <m/>
    <m/>
    <m/>
    <m/>
    <m/>
    <m/>
    <m/>
    <m/>
    <m/>
    <s v="Corporación Ciudad Alfaro"/>
    <x v="0"/>
    <m/>
    <s v="N/A"/>
    <s v="N/A"/>
    <s v="Corriente"/>
    <s v="N/A"/>
    <s v="N/A"/>
    <s v="N/A"/>
    <s v="N/A"/>
    <s v="N/A"/>
    <s v="N/A"/>
    <s v="NUEVA"/>
    <s v="Mantenimiento y Reparación de Ascensores del Museo Bahía de Caráquez"/>
    <s v="0035"/>
    <s v="80"/>
    <s v="000"/>
    <s v="002"/>
    <s v="53"/>
    <n v="530403"/>
    <s v="Mobiliarios  (Instalación, Mantenimiento y Reparación)"/>
    <n v="1309"/>
    <s v="001"/>
    <s v="0000"/>
    <s v="0000"/>
    <s v="H21"/>
    <s v="N/A"/>
    <n v="0"/>
    <m/>
    <n v="0"/>
    <n v="0"/>
    <n v="0"/>
    <n v="0"/>
    <n v="0"/>
    <n v="0"/>
    <n v="0"/>
    <n v="0"/>
    <n v="0"/>
    <n v="0"/>
    <n v="0"/>
    <n v="0"/>
    <n v="0"/>
    <n v="0"/>
    <n v="0"/>
    <n v="0"/>
    <n v="0"/>
    <n v="0"/>
    <n v="0"/>
    <n v="0"/>
    <n v="0"/>
    <n v="0"/>
    <n v="0"/>
    <m/>
    <m/>
    <m/>
    <s v=""/>
    <s v=""/>
    <s v=""/>
    <s v=""/>
    <s v=""/>
    <s v=""/>
    <s v=""/>
    <s v=""/>
    <s v=""/>
    <n v="0"/>
    <n v="0"/>
    <n v="0"/>
    <n v="0"/>
    <n v="0"/>
    <n v="0"/>
    <n v="0"/>
    <n v="0"/>
    <n v="0"/>
    <n v="0"/>
    <n v="0"/>
    <n v="0"/>
    <n v="0"/>
    <s v=""/>
    <s v=""/>
    <s v=""/>
    <s v=""/>
    <s v=""/>
    <s v=""/>
    <s v=""/>
    <s v=""/>
    <s v=""/>
    <s v=""/>
    <s v=""/>
    <s v=""/>
    <n v="0"/>
    <s v=""/>
    <m/>
    <s v="53"/>
    <s v="Sin constancia PAPP-POA - SIN CP"/>
  </r>
  <r>
    <n v="731"/>
    <m/>
    <m/>
    <m/>
    <m/>
    <m/>
    <m/>
    <m/>
    <m/>
    <m/>
    <s v="Corporación Ciudad Alfaro"/>
    <x v="0"/>
    <s v="CCA"/>
    <s v="N/A"/>
    <s v="N/A"/>
    <s v="Corriente"/>
    <s v="N/A"/>
    <s v="N/A"/>
    <s v="N/A"/>
    <s v="N/A"/>
    <s v="N/A"/>
    <s v="N/A"/>
    <s v="NUEVA"/>
    <s v="Subrogación"/>
    <s v="0035"/>
    <s v="80"/>
    <s v="000"/>
    <s v="002"/>
    <s v="51"/>
    <n v="510512"/>
    <s v="Subrogación"/>
    <n v="1300"/>
    <s v="001"/>
    <s v="0000"/>
    <s v="0000"/>
    <s v="H21"/>
    <s v="N/A"/>
    <n v="0"/>
    <n v="0"/>
    <n v="0"/>
    <n v="2007.83"/>
    <n v="-507.83"/>
    <n v="0"/>
    <n v="0"/>
    <n v="1500"/>
    <n v="0"/>
    <n v="1500"/>
    <m/>
    <m/>
    <m/>
    <m/>
    <m/>
    <m/>
    <n v="712"/>
    <m/>
    <m/>
    <m/>
    <n v="788"/>
    <m/>
    <m/>
    <n v="1500"/>
    <n v="0"/>
    <m/>
    <m/>
    <m/>
    <s v=""/>
    <s v=""/>
    <s v=""/>
    <s v=""/>
    <s v=""/>
    <s v=""/>
    <s v=""/>
    <s v=""/>
    <s v=""/>
    <n v="1500"/>
    <m/>
    <m/>
    <m/>
    <m/>
    <m/>
    <m/>
    <n v="507.83"/>
    <m/>
    <m/>
    <m/>
    <m/>
    <m/>
    <s v=""/>
    <s v=""/>
    <s v=""/>
    <s v=""/>
    <s v=""/>
    <s v=""/>
    <s v=""/>
    <s v=""/>
    <s v=""/>
    <s v=""/>
    <s v=""/>
    <s v=""/>
    <n v="0"/>
    <s v=""/>
    <m/>
    <s v="51"/>
    <s v="Sin constancia PAPP-POA - SIN CP"/>
  </r>
  <r>
    <n v="732"/>
    <m/>
    <m/>
    <m/>
    <m/>
    <m/>
    <m/>
    <m/>
    <m/>
    <m/>
    <s v="Corporación Ciudad Alfaro"/>
    <x v="0"/>
    <s v="CCA"/>
    <s v="N/A"/>
    <s v="N/A"/>
    <s v="Corriente"/>
    <s v="N/A"/>
    <s v="N/A"/>
    <s v="N/A"/>
    <s v="N/A"/>
    <s v="N/A"/>
    <s v="N/A"/>
    <s v="ARRASTRE"/>
    <s v="Pago del servicio de telefonía fija e internet del mes de Diciembre del 2023 de la Corporación Ciudad Alfaro"/>
    <s v="0035"/>
    <s v="80"/>
    <s v="000"/>
    <s v="002"/>
    <s v="53"/>
    <n v="530105"/>
    <s v="Telecomunicaciones"/>
    <n v="1309"/>
    <s v="001"/>
    <s v="0000"/>
    <s v="0000"/>
    <s v="H21"/>
    <s v="N/A"/>
    <n v="0"/>
    <n v="0"/>
    <n v="0"/>
    <n v="1600"/>
    <n v="-405.23"/>
    <n v="0"/>
    <n v="0"/>
    <n v="1194.77"/>
    <n v="0"/>
    <n v="1194.77"/>
    <m/>
    <m/>
    <n v="1194.77"/>
    <m/>
    <m/>
    <m/>
    <m/>
    <m/>
    <m/>
    <m/>
    <m/>
    <m/>
    <m/>
    <n v="1194.77"/>
    <n v="0"/>
    <m/>
    <m/>
    <m/>
    <n v="1194.77"/>
    <n v="0"/>
    <n v="0"/>
    <n v="1194.77"/>
    <n v="0"/>
    <s v=""/>
    <n v="1066.76"/>
    <n v="128.01"/>
    <n v="0.89285803962268884"/>
    <n v="1194.77"/>
    <m/>
    <m/>
    <m/>
    <m/>
    <m/>
    <m/>
    <m/>
    <m/>
    <m/>
    <m/>
    <m/>
    <m/>
    <n v="0"/>
    <n v="0"/>
    <n v="1066.76"/>
    <n v="0"/>
    <n v="0"/>
    <n v="0"/>
    <n v="0"/>
    <n v="0"/>
    <n v="0"/>
    <n v="0"/>
    <n v="0"/>
    <n v="0"/>
    <n v="1066.76"/>
    <n v="0"/>
    <m/>
    <s v="53"/>
    <s v="Sin  Constancia PAPP/POA y con CP- EOD"/>
  </r>
  <r>
    <n v="733"/>
    <m/>
    <m/>
    <m/>
    <m/>
    <m/>
    <m/>
    <m/>
    <m/>
    <m/>
    <s v="Corporación Ciudad Alfaro"/>
    <x v="0"/>
    <s v="CCA"/>
    <s v="N/A"/>
    <s v="N/A"/>
    <s v="Corriente"/>
    <s v="N/A"/>
    <s v="N/A"/>
    <s v="N/A"/>
    <s v="N/A"/>
    <s v="N/A"/>
    <s v="N/A"/>
    <s v="NUEVA"/>
    <s v="Pago mensual del servicio de energía eléctrica del Museo y Centro Cultural de Manta por el período 2024"/>
    <s v="0035"/>
    <s v="80"/>
    <s v="000"/>
    <s v="002"/>
    <s v="53"/>
    <n v="530104"/>
    <s v="Energía Eléctrica"/>
    <n v="1308"/>
    <s v="001"/>
    <s v="0000"/>
    <s v="0000"/>
    <s v="H21"/>
    <s v="N/A"/>
    <n v="0"/>
    <n v="0"/>
    <n v="0"/>
    <n v="14500"/>
    <n v="0"/>
    <n v="0"/>
    <n v="0"/>
    <n v="14500"/>
    <n v="0"/>
    <n v="14500"/>
    <m/>
    <n v="1090.9000000000001"/>
    <n v="1340.91"/>
    <n v="1340.91"/>
    <n v="1340.91"/>
    <n v="1340.91"/>
    <n v="1340.91"/>
    <n v="1340.91"/>
    <n v="1340.91"/>
    <n v="1340.91"/>
    <n v="1340.91"/>
    <n v="1340.91"/>
    <m/>
    <n v="14500"/>
    <n v="0"/>
    <m/>
    <m/>
    <m/>
    <n v="14500"/>
    <n v="0"/>
    <n v="12000"/>
    <n v="12000"/>
    <n v="0"/>
    <s v=""/>
    <n v="5190.97"/>
    <n v="9309.0299999999988"/>
    <n v="0.3579979310344828"/>
    <n v="14500"/>
    <m/>
    <m/>
    <m/>
    <m/>
    <m/>
    <m/>
    <m/>
    <m/>
    <m/>
    <m/>
    <m/>
    <m/>
    <n v="0"/>
    <n v="0"/>
    <n v="1062.32"/>
    <n v="0"/>
    <n v="2736.69"/>
    <n v="0"/>
    <n v="1391.96"/>
    <n v="0"/>
    <n v="0"/>
    <n v="0"/>
    <n v="0"/>
    <n v="0"/>
    <n v="5190.97"/>
    <n v="0"/>
    <m/>
    <s v="53"/>
    <s v="Sin  Constancia PAPP/POA y con CP- EOD"/>
  </r>
  <r>
    <n v="734"/>
    <m/>
    <m/>
    <m/>
    <m/>
    <m/>
    <m/>
    <m/>
    <m/>
    <m/>
    <s v="Corporación Ciudad Alfaro"/>
    <x v="0"/>
    <s v="CCA"/>
    <s v="N/A"/>
    <s v="N/A"/>
    <s v="Corriente"/>
    <s v="N/A"/>
    <s v="N/A"/>
    <s v="N/A"/>
    <s v="N/A"/>
    <s v="N/A"/>
    <s v="N/A"/>
    <s v="NUEVA"/>
    <s v="Contratación del servicio de combustible para  los vehículos de la Corporación Ciudad Alfaro para el año 2024"/>
    <s v="0035"/>
    <s v="80"/>
    <s v="000"/>
    <s v="002"/>
    <s v="53"/>
    <n v="530255"/>
    <s v="Combustibles"/>
    <n v="1309"/>
    <s v="001"/>
    <s v="0000"/>
    <s v="0000"/>
    <s v="H21"/>
    <s v="N/A"/>
    <n v="0"/>
    <n v="0"/>
    <n v="0"/>
    <n v="6659.36"/>
    <n v="0"/>
    <n v="0"/>
    <n v="0"/>
    <n v="6659.36"/>
    <n v="0"/>
    <n v="6659.36"/>
    <m/>
    <n v="605.39"/>
    <n v="605.39"/>
    <n v="605.39"/>
    <n v="605.39"/>
    <n v="605.39"/>
    <n v="605.39"/>
    <n v="605.39"/>
    <n v="605.39"/>
    <n v="605.39"/>
    <n v="605.39"/>
    <n v="605.46"/>
    <m/>
    <n v="6659.3600000000006"/>
    <n v="0"/>
    <m/>
    <m/>
    <m/>
    <n v="6659.36"/>
    <n v="0"/>
    <n v="6659.36"/>
    <n v="6659.36"/>
    <n v="0"/>
    <s v=""/>
    <n v="1284.8"/>
    <n v="5374.5599999999995"/>
    <n v="0.19293145287234809"/>
    <n v="6659.36"/>
    <m/>
    <m/>
    <m/>
    <m/>
    <m/>
    <m/>
    <m/>
    <m/>
    <m/>
    <m/>
    <m/>
    <m/>
    <n v="0"/>
    <n v="0"/>
    <n v="550.28"/>
    <n v="0"/>
    <n v="218.45000000000002"/>
    <n v="280.48"/>
    <n v="235.59"/>
    <n v="0"/>
    <n v="0"/>
    <n v="0"/>
    <n v="0"/>
    <n v="0"/>
    <n v="1284.8"/>
    <n v="0"/>
    <m/>
    <s v="53"/>
    <s v="Sin  Constancia PAPP/POA y con CP- EOD"/>
  </r>
  <r>
    <n v="735"/>
    <m/>
    <m/>
    <m/>
    <m/>
    <m/>
    <m/>
    <m/>
    <m/>
    <m/>
    <s v="Corporación Ciudad Alfaro"/>
    <x v="0"/>
    <s v="CCA"/>
    <s v="N/A"/>
    <s v="N/A"/>
    <s v="Corriente"/>
    <s v="N/A"/>
    <s v="N/A"/>
    <s v="N/A"/>
    <s v="N/A"/>
    <s v="N/A"/>
    <s v="N/A"/>
    <s v="NUEVA"/>
    <s v="Obligaciones de Ejercicios Anteriores por Egresos de Personal"/>
    <s v="0035"/>
    <s v="80"/>
    <s v="000"/>
    <s v="002"/>
    <s v="99"/>
    <n v="990101"/>
    <s v="Obligaciones de Ejercicios Anteriores por Egresos de Personal"/>
    <n v="1300"/>
    <s v="001"/>
    <s v="0000"/>
    <s v="0000"/>
    <s v="H21"/>
    <s v="N/A"/>
    <n v="0"/>
    <n v="0"/>
    <n v="0"/>
    <n v="5558.56"/>
    <n v="-5558.56"/>
    <n v="0"/>
    <n v="0"/>
    <n v="0"/>
    <n v="0"/>
    <n v="0"/>
    <m/>
    <m/>
    <m/>
    <m/>
    <m/>
    <m/>
    <m/>
    <m/>
    <m/>
    <m/>
    <m/>
    <m/>
    <m/>
    <n v="0"/>
    <n v="0"/>
    <m/>
    <m/>
    <m/>
    <s v=""/>
    <s v=""/>
    <s v=""/>
    <s v=""/>
    <s v=""/>
    <s v=""/>
    <s v=""/>
    <s v=""/>
    <s v=""/>
    <n v="0"/>
    <m/>
    <m/>
    <m/>
    <m/>
    <m/>
    <m/>
    <m/>
    <m/>
    <m/>
    <m/>
    <m/>
    <m/>
    <s v=""/>
    <s v=""/>
    <s v=""/>
    <s v=""/>
    <s v=""/>
    <s v=""/>
    <s v=""/>
    <s v=""/>
    <s v=""/>
    <s v=""/>
    <s v=""/>
    <s v=""/>
    <n v="0"/>
    <s v=""/>
    <m/>
    <s v="99"/>
    <s v="Sin constancia PAPP-POA - SIN CP"/>
  </r>
  <r>
    <n v="741"/>
    <m/>
    <m/>
    <m/>
    <m/>
    <m/>
    <m/>
    <m/>
    <m/>
    <m/>
    <s v="Corporación Ciudad Alfaro"/>
    <x v="0"/>
    <s v="CCA"/>
    <s v="N/A"/>
    <s v="N/A"/>
    <s v="Corriente"/>
    <s v="N/A"/>
    <s v="N/A"/>
    <s v="N/A"/>
    <s v="N/A"/>
    <s v="N/A"/>
    <s v="N/A"/>
    <s v="NUEVA"/>
    <s v="Obligaciones de Ejercicios Anteriores por Egresos de Personal"/>
    <s v="0035"/>
    <s v="80"/>
    <s v="000"/>
    <s v="002"/>
    <s v="99"/>
    <n v="990101"/>
    <s v="Obligaciones de Ejercicios Anteriores por Egresos de Personal"/>
    <n v="1309"/>
    <s v="001"/>
    <s v="0000"/>
    <s v="0000"/>
    <s v="H21"/>
    <s v="N/A"/>
    <n v="0"/>
    <n v="0"/>
    <n v="0"/>
    <n v="11119.02"/>
    <n v="-5558.56"/>
    <n v="0"/>
    <n v="0"/>
    <n v="5560.46"/>
    <n v="0"/>
    <n v="5560.46"/>
    <m/>
    <m/>
    <m/>
    <m/>
    <m/>
    <n v="5560.46"/>
    <m/>
    <m/>
    <m/>
    <m/>
    <m/>
    <m/>
    <m/>
    <n v="5560.46"/>
    <n v="0"/>
    <m/>
    <m/>
    <m/>
    <n v="11120.92"/>
    <n v="-5560.46"/>
    <n v="0"/>
    <n v="5560.46"/>
    <n v="0"/>
    <s v=""/>
    <n v="5560.46"/>
    <n v="0"/>
    <n v="1"/>
    <n v="5560.46"/>
    <m/>
    <m/>
    <m/>
    <m/>
    <m/>
    <m/>
    <m/>
    <m/>
    <m/>
    <m/>
    <m/>
    <m/>
    <n v="0"/>
    <n v="0"/>
    <n v="0"/>
    <n v="0"/>
    <n v="0"/>
    <n v="5560.46"/>
    <n v="0"/>
    <n v="0"/>
    <n v="0"/>
    <n v="0"/>
    <n v="0"/>
    <n v="0"/>
    <n v="5560.46"/>
    <n v="0"/>
    <m/>
    <s v="99"/>
    <s v="Sin constancia PAPP-POA - SIN CP"/>
  </r>
  <r>
    <n v="780"/>
    <m/>
    <m/>
    <m/>
    <m/>
    <m/>
    <m/>
    <m/>
    <m/>
    <m/>
    <s v="Corporación Ciudad Alfaro"/>
    <x v="0"/>
    <s v="Museo Centro Cultural Manta"/>
    <s v="N/A"/>
    <s v="N/A"/>
    <s v="Corriente"/>
    <s v="N/A"/>
    <s v="N/A"/>
    <s v="N/A"/>
    <s v="N/A"/>
    <s v="N/A"/>
    <s v="N/A"/>
    <s v="NUEVA"/>
    <s v="Pago de impuesto predial 2024 del Museo Centro Cultural Manta "/>
    <s v="0035"/>
    <s v="80"/>
    <s v="000"/>
    <s v="002"/>
    <s v="57"/>
    <n v="570102"/>
    <s v="Tasas Generales, Impuestos, Contribuciones, Permisos, Licencias y Patentes."/>
    <n v="1308"/>
    <s v="001"/>
    <s v="0000"/>
    <s v="0000"/>
    <s v="H21"/>
    <s v="N/A"/>
    <n v="0"/>
    <n v="0"/>
    <n v="0"/>
    <n v="7224.44"/>
    <n v="-941.33"/>
    <n v="0"/>
    <n v="0"/>
    <n v="6283.11"/>
    <n v="0"/>
    <n v="6283.11"/>
    <m/>
    <n v="6283.11"/>
    <m/>
    <m/>
    <m/>
    <m/>
    <m/>
    <m/>
    <m/>
    <m/>
    <m/>
    <m/>
    <m/>
    <n v="6283.11"/>
    <n v="0"/>
    <m/>
    <m/>
    <m/>
    <n v="6283.11"/>
    <n v="0"/>
    <n v="0"/>
    <n v="6283.11"/>
    <n v="0"/>
    <s v=""/>
    <n v="6283.11"/>
    <n v="0"/>
    <n v="1"/>
    <n v="6283.11"/>
    <m/>
    <m/>
    <m/>
    <m/>
    <m/>
    <m/>
    <m/>
    <m/>
    <m/>
    <m/>
    <m/>
    <m/>
    <n v="0"/>
    <n v="6283.11"/>
    <n v="0"/>
    <n v="0"/>
    <n v="0"/>
    <n v="0"/>
    <n v="0"/>
    <n v="0"/>
    <n v="0"/>
    <n v="0"/>
    <n v="0"/>
    <n v="0"/>
    <n v="6283.11"/>
    <n v="0"/>
    <m/>
    <s v="57"/>
    <s v="Sin  Constancia PAPP/POA y con CP- EOD"/>
  </r>
  <r>
    <n v="786"/>
    <m/>
    <m/>
    <m/>
    <m/>
    <m/>
    <m/>
    <m/>
    <m/>
    <m/>
    <s v="Corporación Ciudad Alfaro"/>
    <x v="0"/>
    <s v="CCA"/>
    <s v="N/A"/>
    <s v="N/A"/>
    <s v="Corriente"/>
    <s v="N/A"/>
    <s v="N/A"/>
    <s v="N/A"/>
    <s v="N/A"/>
    <s v="N/A"/>
    <s v="N/A"/>
    <s v="NUEVA"/>
    <s v="Instalación del sistema de detección de humo automático en planta baja, mezzanine, 1erpiso del museo bahía de caráquez."/>
    <s v="0035"/>
    <n v="80"/>
    <s v="000"/>
    <s v="002"/>
    <s v="53"/>
    <n v="530811"/>
    <s v="Insumos,   Materiales   y   Suministros   para   Construcción,   Electricidad,   Plomería,   Carpintería,   Señalización   Vial,_x000a_Navegación, Contra Incendios y Placas"/>
    <n v="1314"/>
    <s v="001"/>
    <s v="0000"/>
    <s v="0000"/>
    <s v="H21"/>
    <s v="N/A"/>
    <n v="0"/>
    <n v="0"/>
    <n v="0"/>
    <n v="0"/>
    <n v="0"/>
    <n v="0"/>
    <n v="0"/>
    <n v="0"/>
    <n v="0"/>
    <n v="0"/>
    <m/>
    <m/>
    <m/>
    <m/>
    <m/>
    <m/>
    <m/>
    <m/>
    <m/>
    <m/>
    <m/>
    <m/>
    <m/>
    <n v="0"/>
    <n v="0"/>
    <m/>
    <m/>
    <m/>
    <s v=""/>
    <s v=""/>
    <s v=""/>
    <s v=""/>
    <s v=""/>
    <s v=""/>
    <s v=""/>
    <s v=""/>
    <s v=""/>
    <n v="0"/>
    <m/>
    <m/>
    <m/>
    <m/>
    <m/>
    <m/>
    <m/>
    <m/>
    <m/>
    <m/>
    <m/>
    <m/>
    <s v=""/>
    <s v=""/>
    <s v=""/>
    <s v=""/>
    <s v=""/>
    <s v=""/>
    <s v=""/>
    <s v=""/>
    <s v=""/>
    <s v=""/>
    <s v=""/>
    <s v=""/>
    <n v="0"/>
    <s v=""/>
    <m/>
    <s v="53"/>
    <s v="Sin constancia PAPP-POA - SIN CP"/>
  </r>
  <r>
    <n v="787"/>
    <m/>
    <m/>
    <m/>
    <m/>
    <m/>
    <m/>
    <m/>
    <m/>
    <m/>
    <s v="Corporación Ciudad Alfaro"/>
    <x v="0"/>
    <s v="CCA"/>
    <s v="N/A"/>
    <s v="N/A"/>
    <s v="Corriente"/>
    <s v="N/A"/>
    <s v="N/A"/>
    <s v="N/A"/>
    <s v="N/A"/>
    <s v="N/A"/>
    <s v="N/A"/>
    <s v="NUEVA"/>
    <s v="Construcción cubierta en la sede del Museo Bahía de Caráquez"/>
    <s v="0035"/>
    <n v="80"/>
    <s v="000"/>
    <s v="002"/>
    <s v="53"/>
    <n v="530402"/>
    <s v="Edificios, Locales, Residencias y Cableado Estructurado (Instalación, Mantenimiento y Reparación)"/>
    <n v="1314"/>
    <s v="001"/>
    <s v="0000"/>
    <s v="0000"/>
    <s v="H21"/>
    <s v="N/A"/>
    <n v="0"/>
    <n v="0"/>
    <n v="0"/>
    <n v="0"/>
    <n v="0"/>
    <n v="0"/>
    <n v="0"/>
    <n v="0"/>
    <n v="0"/>
    <n v="0"/>
    <m/>
    <m/>
    <m/>
    <m/>
    <m/>
    <m/>
    <m/>
    <m/>
    <m/>
    <m/>
    <m/>
    <m/>
    <m/>
    <n v="0"/>
    <n v="0"/>
    <m/>
    <m/>
    <m/>
    <s v=""/>
    <s v=""/>
    <s v=""/>
    <s v=""/>
    <s v=""/>
    <s v=""/>
    <s v=""/>
    <s v=""/>
    <s v=""/>
    <n v="0"/>
    <m/>
    <m/>
    <m/>
    <m/>
    <m/>
    <m/>
    <m/>
    <m/>
    <m/>
    <m/>
    <m/>
    <m/>
    <s v=""/>
    <s v=""/>
    <s v=""/>
    <s v=""/>
    <s v=""/>
    <s v=""/>
    <s v=""/>
    <s v=""/>
    <s v=""/>
    <s v=""/>
    <s v=""/>
    <s v=""/>
    <n v="0"/>
    <s v=""/>
    <m/>
    <s v="53"/>
    <s v="Sin constancia PAPP-POA - SIN CP"/>
  </r>
  <r>
    <n v="788"/>
    <m/>
    <m/>
    <m/>
    <m/>
    <m/>
    <m/>
    <m/>
    <m/>
    <m/>
    <s v="Corporación Ciudad Alfaro"/>
    <x v="0"/>
    <s v="CCA"/>
    <s v="N/A"/>
    <s v="N/A"/>
    <s v="Corriente"/>
    <s v="N/A"/>
    <s v="N/A"/>
    <s v="N/A"/>
    <s v="N/A"/>
    <s v="N/A"/>
    <s v="N/A"/>
    <s v="NUEVA"/>
    <s v="Servicio de organización, producción y ejecución de los eventos enmarcados en el calendario patrimonial, cultural e histórico, para la difusión y fortalecimiento de la memoria social del Museo Nuclear Corporación Ciudad Alfaro, y sus sedes en Portoviejo, Manta y Bahía de Caráquez."/>
    <s v="0035"/>
    <n v="80"/>
    <s v="000"/>
    <s v="002"/>
    <s v="53"/>
    <n v="530205"/>
    <s v="Espectáculos Culturales y Sociales"/>
    <n v="1309"/>
    <s v="001"/>
    <s v="0000"/>
    <s v="0000"/>
    <s v="H21"/>
    <s v="N/A"/>
    <n v="0"/>
    <n v="0"/>
    <n v="0"/>
    <n v="0"/>
    <n v="0"/>
    <n v="0"/>
    <n v="0"/>
    <n v="0"/>
    <n v="0"/>
    <n v="0"/>
    <m/>
    <m/>
    <m/>
    <m/>
    <m/>
    <m/>
    <m/>
    <m/>
    <m/>
    <m/>
    <m/>
    <m/>
    <m/>
    <n v="0"/>
    <n v="0"/>
    <m/>
    <m/>
    <m/>
    <s v=""/>
    <s v=""/>
    <s v=""/>
    <s v=""/>
    <s v=""/>
    <s v=""/>
    <s v=""/>
    <s v=""/>
    <s v=""/>
    <n v="0"/>
    <m/>
    <m/>
    <m/>
    <m/>
    <m/>
    <m/>
    <m/>
    <m/>
    <m/>
    <m/>
    <m/>
    <m/>
    <s v=""/>
    <s v=""/>
    <s v=""/>
    <s v=""/>
    <s v=""/>
    <s v=""/>
    <s v=""/>
    <s v=""/>
    <s v=""/>
    <s v=""/>
    <s v=""/>
    <s v=""/>
    <n v="0"/>
    <s v=""/>
    <m/>
    <s v="53"/>
    <s v="Sin constancia PAPP-POA - SIN CP"/>
  </r>
  <r>
    <n v="789"/>
    <m/>
    <m/>
    <m/>
    <m/>
    <m/>
    <m/>
    <m/>
    <m/>
    <m/>
    <s v="Corporación Ciudad Alfaro"/>
    <x v="0"/>
    <s v="CCA"/>
    <s v="N/A"/>
    <s v="N/A"/>
    <s v="Corriente"/>
    <s v="N/A"/>
    <s v="N/A"/>
    <s v="N/A"/>
    <s v="N/A"/>
    <s v="N/A"/>
    <s v="N/A"/>
    <s v="NUEVA"/>
    <s v="Mantenimiento preventivo y correctivo de equipos menores del Museo Nuclear Corporación Ciudad Alfaro y su Sedes. "/>
    <s v="0035"/>
    <n v="80"/>
    <s v="000"/>
    <s v="002"/>
    <s v="53"/>
    <n v="530403"/>
    <s v="Mobiliarios  (Instalación, Mantenimiento y Reparación)"/>
    <n v="1309"/>
    <s v="001"/>
    <s v="0000"/>
    <s v="0000"/>
    <s v="H21"/>
    <s v="N/A"/>
    <n v="0"/>
    <n v="0"/>
    <n v="0"/>
    <n v="0"/>
    <n v="0"/>
    <n v="0"/>
    <n v="0"/>
    <n v="0"/>
    <n v="0"/>
    <n v="0"/>
    <m/>
    <m/>
    <m/>
    <m/>
    <m/>
    <m/>
    <m/>
    <m/>
    <m/>
    <m/>
    <m/>
    <m/>
    <m/>
    <n v="0"/>
    <n v="0"/>
    <m/>
    <m/>
    <m/>
    <s v=""/>
    <s v=""/>
    <s v=""/>
    <s v=""/>
    <s v=""/>
    <s v=""/>
    <s v=""/>
    <s v=""/>
    <s v=""/>
    <n v="0"/>
    <m/>
    <m/>
    <m/>
    <m/>
    <m/>
    <m/>
    <m/>
    <m/>
    <m/>
    <m/>
    <m/>
    <m/>
    <s v=""/>
    <s v=""/>
    <s v=""/>
    <s v=""/>
    <s v=""/>
    <s v=""/>
    <s v=""/>
    <s v=""/>
    <s v=""/>
    <s v=""/>
    <s v=""/>
    <s v=""/>
    <n v="0"/>
    <s v=""/>
    <m/>
    <s v="53"/>
    <s v="Sin constancia PAPP-POA - SIN CP"/>
  </r>
  <r>
    <n v="790"/>
    <m/>
    <m/>
    <m/>
    <m/>
    <m/>
    <m/>
    <m/>
    <m/>
    <m/>
    <s v="Corporación Ciudad Alfaro"/>
    <x v="0"/>
    <s v="CCA"/>
    <s v="N/A"/>
    <s v="N/A"/>
    <s v="Corriente"/>
    <s v="N/A"/>
    <s v="N/A"/>
    <s v="N/A"/>
    <s v="N/A"/>
    <s v="N/A"/>
    <s v="N/A"/>
    <s v="NUEVA"/>
    <s v="Mantenimiento preventivo y correctivo de la puerta principal, cerramiento lateral y puerta   posterior del Museo Nuclear corporación Ciudad Alfaro."/>
    <s v="0035"/>
    <n v="80"/>
    <s v="000"/>
    <s v="002"/>
    <s v="53"/>
    <n v="530425"/>
    <s v="Instalación, Readecuación, Montaje de Exposiciones, Mantenimiento y Reparación de Espacios y Bienes Culturales"/>
    <n v="1309"/>
    <s v="001"/>
    <s v="0000"/>
    <s v="0000"/>
    <s v="H21"/>
    <s v="N/A"/>
    <n v="0"/>
    <n v="0"/>
    <n v="0"/>
    <n v="0"/>
    <n v="0"/>
    <n v="0"/>
    <n v="0"/>
    <n v="0"/>
    <n v="0"/>
    <n v="0"/>
    <m/>
    <m/>
    <m/>
    <m/>
    <m/>
    <m/>
    <m/>
    <m/>
    <m/>
    <m/>
    <m/>
    <m/>
    <m/>
    <n v="0"/>
    <n v="0"/>
    <m/>
    <m/>
    <m/>
    <s v=""/>
    <s v=""/>
    <s v=""/>
    <s v=""/>
    <s v=""/>
    <s v=""/>
    <s v=""/>
    <s v=""/>
    <s v=""/>
    <n v="0"/>
    <m/>
    <m/>
    <m/>
    <m/>
    <m/>
    <m/>
    <m/>
    <m/>
    <m/>
    <m/>
    <m/>
    <m/>
    <s v=""/>
    <s v=""/>
    <s v=""/>
    <s v=""/>
    <s v=""/>
    <s v=""/>
    <s v=""/>
    <s v=""/>
    <s v=""/>
    <s v=""/>
    <s v=""/>
    <s v=""/>
    <n v="0"/>
    <s v=""/>
    <m/>
    <s v="53"/>
    <s v="Sin constancia PAPP-POA - SIN CP"/>
  </r>
  <r>
    <n v="791"/>
    <m/>
    <m/>
    <m/>
    <m/>
    <m/>
    <m/>
    <m/>
    <m/>
    <m/>
    <s v="Corporación Ciudad Alfaro"/>
    <x v="0"/>
    <s v="CCA"/>
    <s v="N/A"/>
    <s v="N/A"/>
    <s v="Corriente"/>
    <s v="N/A"/>
    <s v="N/A"/>
    <s v="N/A"/>
    <s v="N/A"/>
    <s v="N/A"/>
    <s v="N/A"/>
    <s v="NUEVA"/>
    <s v="Pago del servicio de combustible para los vehículos de la Corporación Ciudad Alfaro de los meses, octubre, noviembre y diciembre del año 2023"/>
    <s v="0035"/>
    <n v="80"/>
    <s v="000"/>
    <s v="002"/>
    <s v="99"/>
    <n v="990102"/>
    <s v="Obligaciones de Ejercicios Anteriores por Egresos en Servicios"/>
    <n v="1309"/>
    <s v="001"/>
    <s v="0000"/>
    <s v="0000"/>
    <s v="H21"/>
    <s v="N/A"/>
    <n v="0"/>
    <n v="0"/>
    <n v="0"/>
    <n v="0"/>
    <n v="0"/>
    <n v="0"/>
    <n v="0"/>
    <n v="0"/>
    <n v="0"/>
    <n v="0"/>
    <m/>
    <m/>
    <m/>
    <m/>
    <m/>
    <m/>
    <m/>
    <m/>
    <m/>
    <m/>
    <m/>
    <m/>
    <m/>
    <n v="0"/>
    <n v="0"/>
    <m/>
    <m/>
    <m/>
    <s v=""/>
    <s v=""/>
    <s v=""/>
    <s v=""/>
    <s v=""/>
    <s v=""/>
    <s v=""/>
    <s v=""/>
    <s v=""/>
    <n v="0"/>
    <m/>
    <m/>
    <m/>
    <m/>
    <m/>
    <m/>
    <m/>
    <m/>
    <m/>
    <m/>
    <m/>
    <m/>
    <s v=""/>
    <s v=""/>
    <s v=""/>
    <s v=""/>
    <s v=""/>
    <s v=""/>
    <s v=""/>
    <s v=""/>
    <s v=""/>
    <s v=""/>
    <s v=""/>
    <s v=""/>
    <n v="0"/>
    <s v=""/>
    <m/>
    <s v="99"/>
    <s v="Sin constancia PAPP-POA - SIN CP"/>
  </r>
  <r>
    <n v="811"/>
    <m/>
    <m/>
    <m/>
    <m/>
    <m/>
    <m/>
    <m/>
    <m/>
    <m/>
    <s v="Corporación Ciudad Alfaro"/>
    <x v="0"/>
    <s v="CCA"/>
    <s v="N/A"/>
    <s v="N/A"/>
    <s v="Corriente"/>
    <s v="N/A"/>
    <s v="N/A"/>
    <s v="N/A"/>
    <s v="N/A"/>
    <s v="N/A"/>
    <s v="N/A"/>
    <s v="NUEVA"/>
    <s v="Instalación del sistema de detección de humo automático en planta baja, mezzanine, 1erpiso del museo bahía de caráquez."/>
    <s v="0035"/>
    <s v="80"/>
    <s v="000"/>
    <s v="002"/>
    <s v="53"/>
    <n v="530811"/>
    <s v="Insumos,   Materiales   y   Suministros   para   Construcción,   Electricidad,   Plomería,   Carpintería,   Señalización   Vial,_x000a_Navegación, Contra Incendios y Placas"/>
    <n v="1314"/>
    <s v="001"/>
    <s v="0000"/>
    <s v="0000"/>
    <s v="H21"/>
    <s v="N/A"/>
    <n v="0"/>
    <n v="0"/>
    <n v="0"/>
    <n v="3600"/>
    <n v="-3600"/>
    <n v="0"/>
    <n v="0"/>
    <n v="0"/>
    <n v="0"/>
    <n v="0"/>
    <m/>
    <m/>
    <m/>
    <m/>
    <m/>
    <m/>
    <m/>
    <m/>
    <m/>
    <m/>
    <m/>
    <m/>
    <n v="0"/>
    <n v="0"/>
    <n v="0"/>
    <m/>
    <m/>
    <m/>
    <s v=""/>
    <s v=""/>
    <s v=""/>
    <s v=""/>
    <s v=""/>
    <s v=""/>
    <s v=""/>
    <s v=""/>
    <s v=""/>
    <n v="0"/>
    <n v="0"/>
    <n v="0"/>
    <n v="0"/>
    <m/>
    <m/>
    <m/>
    <m/>
    <n v="0"/>
    <n v="0"/>
    <n v="0"/>
    <n v="0"/>
    <n v="0"/>
    <s v=""/>
    <s v=""/>
    <s v=""/>
    <s v=""/>
    <s v=""/>
    <s v=""/>
    <s v=""/>
    <s v=""/>
    <s v=""/>
    <s v=""/>
    <s v=""/>
    <s v=""/>
    <n v="0"/>
    <s v=""/>
    <m/>
    <s v="53"/>
    <s v="Sin constancia PAPP-POA - SIN CP"/>
  </r>
  <r>
    <n v="812"/>
    <m/>
    <m/>
    <m/>
    <m/>
    <m/>
    <m/>
    <m/>
    <m/>
    <m/>
    <s v="Corporación Ciudad Alfaro"/>
    <x v="0"/>
    <s v="CCA"/>
    <s v="N/A"/>
    <s v="N/A"/>
    <s v="Corriente"/>
    <s v="N/A"/>
    <s v="N/A"/>
    <s v="N/A"/>
    <s v="N/A"/>
    <s v="N/A"/>
    <s v="N/A"/>
    <s v="NUEVA"/>
    <s v="Construcción cubierta en la terraza del primer piso de la sede del Museo Bahía de Caráquez"/>
    <s v="0035"/>
    <s v="80"/>
    <s v="000"/>
    <s v="002"/>
    <s v="53"/>
    <n v="530402"/>
    <s v="Edificios, Locales, Residencias y Cableado Estructurado (Instalación, Mantenimiento y Reparación)"/>
    <n v="1314"/>
    <s v="001"/>
    <s v="0000"/>
    <s v="0000"/>
    <s v="H21"/>
    <s v="N/A"/>
    <n v="0"/>
    <n v="0"/>
    <n v="0"/>
    <n v="8000"/>
    <n v="-8000"/>
    <n v="0"/>
    <n v="0"/>
    <n v="0"/>
    <n v="0"/>
    <n v="0"/>
    <m/>
    <m/>
    <m/>
    <m/>
    <m/>
    <m/>
    <m/>
    <m/>
    <m/>
    <m/>
    <m/>
    <m/>
    <n v="0"/>
    <n v="0"/>
    <n v="0"/>
    <m/>
    <m/>
    <m/>
    <s v=""/>
    <s v=""/>
    <s v=""/>
    <s v=""/>
    <s v=""/>
    <s v=""/>
    <s v=""/>
    <s v=""/>
    <s v=""/>
    <n v="0"/>
    <n v="0"/>
    <n v="0"/>
    <n v="0"/>
    <n v="0"/>
    <m/>
    <n v="0"/>
    <m/>
    <n v="0"/>
    <n v="0"/>
    <n v="0"/>
    <n v="0"/>
    <n v="0"/>
    <s v=""/>
    <s v=""/>
    <s v=""/>
    <s v=""/>
    <s v=""/>
    <s v=""/>
    <s v=""/>
    <s v=""/>
    <s v=""/>
    <s v=""/>
    <s v=""/>
    <s v=""/>
    <n v="0"/>
    <s v=""/>
    <m/>
    <s v="53"/>
    <s v="Sin constancia PAPP-POA - SIN CP"/>
  </r>
  <r>
    <n v="813"/>
    <m/>
    <m/>
    <m/>
    <m/>
    <m/>
    <m/>
    <m/>
    <m/>
    <m/>
    <s v="Corporación Ciudad Alfaro"/>
    <x v="0"/>
    <s v="CCA"/>
    <s v="N/A"/>
    <s v="N/A"/>
    <s v="Corriente"/>
    <s v="N/A"/>
    <s v="N/A"/>
    <s v="N/A"/>
    <s v="N/A"/>
    <s v="N/A"/>
    <s v="N/A"/>
    <s v="NUEVA"/>
    <s v="Contratacion del servicio de mantenimiento preventivo y Recarga de extintores contraincendios del Museo Nuclear Corporación Ciudad  Alfaro y sus Sedes."/>
    <s v="0035"/>
    <s v="80"/>
    <s v="000"/>
    <s v="002"/>
    <s v="53"/>
    <n v="530203"/>
    <s v="Almacenamiento, Embalaje, Desembalaje, Envase, Desenvase y Recarga de Extintores"/>
    <n v="1309"/>
    <s v="001"/>
    <s v="0000"/>
    <s v="0000"/>
    <s v="H21"/>
    <s v="N/A"/>
    <n v="0"/>
    <n v="0"/>
    <n v="0"/>
    <n v="1500"/>
    <n v="-1500"/>
    <n v="0"/>
    <n v="0"/>
    <n v="0"/>
    <n v="0"/>
    <n v="0"/>
    <n v="0"/>
    <n v="0"/>
    <n v="0"/>
    <n v="0"/>
    <n v="0"/>
    <n v="0"/>
    <n v="0"/>
    <n v="0"/>
    <n v="0"/>
    <n v="0"/>
    <n v="0"/>
    <n v="0"/>
    <n v="0"/>
    <n v="0"/>
    <n v="0"/>
    <m/>
    <m/>
    <m/>
    <s v=""/>
    <s v=""/>
    <s v=""/>
    <s v=""/>
    <s v=""/>
    <s v=""/>
    <s v=""/>
    <s v=""/>
    <s v=""/>
    <n v="0"/>
    <n v="0"/>
    <n v="0"/>
    <n v="0"/>
    <n v="0"/>
    <m/>
    <n v="0"/>
    <m/>
    <n v="0"/>
    <n v="0"/>
    <n v="0"/>
    <n v="0"/>
    <n v="0"/>
    <s v=""/>
    <s v=""/>
    <s v=""/>
    <s v=""/>
    <s v=""/>
    <s v=""/>
    <s v=""/>
    <s v=""/>
    <s v=""/>
    <s v=""/>
    <s v=""/>
    <s v=""/>
    <n v="0"/>
    <s v=""/>
    <m/>
    <s v="53"/>
    <s v="Sin constancia PAPP-POA - SIN CP"/>
  </r>
  <r>
    <n v="814"/>
    <m/>
    <m/>
    <m/>
    <m/>
    <m/>
    <m/>
    <m/>
    <m/>
    <m/>
    <s v="Corporación Ciudad Alfaro"/>
    <x v="0"/>
    <s v="CCA"/>
    <s v="N/A"/>
    <s v="N/A"/>
    <s v="Corriente"/>
    <s v="N/A"/>
    <s v="N/A"/>
    <s v="N/A"/>
    <s v="N/A"/>
    <s v="N/A"/>
    <s v="N/A"/>
    <s v="NUEVA"/>
    <s v="Contratación del servicio de correspondencia Nacional para el Museo Nuclear Corporación Ciudad Alfaro y sus sedes."/>
    <s v="0035"/>
    <s v="80"/>
    <s v="000"/>
    <s v="002"/>
    <s v="53"/>
    <n v="530106"/>
    <s v="Servicio de Correo"/>
    <n v="1309"/>
    <s v="001"/>
    <s v="0000"/>
    <s v="0000"/>
    <s v="H21"/>
    <s v="N/A"/>
    <n v="0"/>
    <n v="0"/>
    <n v="0"/>
    <n v="1000"/>
    <n v="-1000"/>
    <n v="0"/>
    <n v="0"/>
    <n v="0"/>
    <n v="0"/>
    <n v="0"/>
    <m/>
    <m/>
    <m/>
    <m/>
    <m/>
    <m/>
    <m/>
    <m/>
    <m/>
    <m/>
    <m/>
    <m/>
    <n v="1000.0000000000001"/>
    <n v="0"/>
    <n v="0"/>
    <m/>
    <m/>
    <m/>
    <n v="1000"/>
    <n v="-1000"/>
    <n v="0"/>
    <n v="0"/>
    <n v="0"/>
    <s v=""/>
    <s v=""/>
    <s v=""/>
    <s v=""/>
    <n v="0"/>
    <n v="0"/>
    <n v="0"/>
    <n v="0"/>
    <n v="0"/>
    <m/>
    <n v="142.86000000000001"/>
    <n v="142.86000000000001"/>
    <n v="142.86000000000001"/>
    <n v="142.86000000000001"/>
    <n v="142.86000000000001"/>
    <n v="142.86000000000001"/>
    <n v="142.84"/>
    <s v=""/>
    <s v=""/>
    <s v=""/>
    <s v=""/>
    <s v=""/>
    <s v=""/>
    <s v=""/>
    <s v=""/>
    <s v=""/>
    <s v=""/>
    <s v=""/>
    <s v=""/>
    <n v="0"/>
    <s v=""/>
    <m/>
    <s v="53"/>
    <s v="Sin constancia PAPP-POA - SIN CP"/>
  </r>
  <r>
    <n v="815"/>
    <m/>
    <m/>
    <m/>
    <m/>
    <m/>
    <m/>
    <m/>
    <m/>
    <m/>
    <s v="Corporación Ciudad Alfaro"/>
    <x v="0"/>
    <s v="CCA"/>
    <s v="N/A"/>
    <s v="N/A"/>
    <s v="Corriente"/>
    <s v="N/A"/>
    <s v="N/A"/>
    <s v="N/A"/>
    <s v="N/A"/>
    <s v="N/A"/>
    <s v="N/A"/>
    <s v="NUEVA"/>
    <s v="Contratación del servicio de mantenimiento y readecuación del museo rodante del Museo Nuclear Corporación Ciudad Alfaro"/>
    <s v="0035"/>
    <s v="80"/>
    <s v="000"/>
    <s v="002"/>
    <s v="53"/>
    <n v="530408"/>
    <s v="Bienes Artísticos y Culturales"/>
    <n v="1309"/>
    <s v="001"/>
    <s v="0000"/>
    <s v="0000"/>
    <s v="H21"/>
    <s v="N/A"/>
    <n v="0"/>
    <n v="0"/>
    <n v="0"/>
    <n v="5000"/>
    <n v="0"/>
    <n v="0"/>
    <n v="0"/>
    <n v="5000"/>
    <n v="0"/>
    <n v="5000"/>
    <m/>
    <m/>
    <m/>
    <m/>
    <m/>
    <m/>
    <m/>
    <n v="2500"/>
    <n v="2500"/>
    <m/>
    <m/>
    <m/>
    <n v="5000"/>
    <n v="5000"/>
    <n v="0"/>
    <m/>
    <m/>
    <m/>
    <n v="5000"/>
    <n v="0"/>
    <n v="5000"/>
    <n v="0"/>
    <n v="5000"/>
    <s v=""/>
    <s v=""/>
    <s v=""/>
    <s v=""/>
    <n v="5000"/>
    <n v="0"/>
    <n v="0"/>
    <n v="0"/>
    <n v="0"/>
    <n v="2500"/>
    <n v="2500"/>
    <m/>
    <n v="0"/>
    <n v="0"/>
    <n v="0"/>
    <n v="0"/>
    <n v="0"/>
    <s v=""/>
    <s v=""/>
    <s v=""/>
    <s v=""/>
    <s v=""/>
    <s v=""/>
    <s v=""/>
    <s v=""/>
    <s v=""/>
    <s v=""/>
    <s v=""/>
    <s v=""/>
    <n v="0"/>
    <s v=""/>
    <m/>
    <s v="53"/>
    <s v="Sin constancia PAPP-POA - SIN CP"/>
  </r>
  <r>
    <n v="816"/>
    <m/>
    <m/>
    <m/>
    <m/>
    <m/>
    <m/>
    <m/>
    <m/>
    <m/>
    <s v="Corporación Ciudad Alfaro"/>
    <x v="0"/>
    <s v="CCA"/>
    <s v="N/A"/>
    <s v="N/A"/>
    <s v="Corriente"/>
    <s v="N/A"/>
    <s v="N/A"/>
    <s v="N/A"/>
    <s v="N/A"/>
    <s v="N/A"/>
    <s v="N/A"/>
    <s v="NUEVA"/>
    <s v="Contratación del servicio de mantenimiento preventivo y correctivo de bombas sumergibles y bombas de agua potable en el Museo Centro Cultural Manta,  sede de la Corporación Ciudad Alfaro"/>
    <s v="0035"/>
    <s v="80"/>
    <s v="000"/>
    <s v="002"/>
    <s v="53"/>
    <n v="530403"/>
    <s v="Mobiliarios  (Instalación, Mantenimiento y Reparación)"/>
    <n v="1308"/>
    <s v="001"/>
    <s v="0000"/>
    <s v="0000"/>
    <s v="H21"/>
    <s v="N/A"/>
    <n v="0"/>
    <n v="0"/>
    <n v="0"/>
    <n v="9788.9"/>
    <n v="-9788.9"/>
    <n v="0"/>
    <n v="0"/>
    <n v="0"/>
    <n v="0"/>
    <n v="0"/>
    <m/>
    <m/>
    <m/>
    <m/>
    <m/>
    <m/>
    <m/>
    <m/>
    <m/>
    <m/>
    <m/>
    <m/>
    <n v="4800"/>
    <n v="0"/>
    <n v="0"/>
    <m/>
    <m/>
    <m/>
    <n v="4800"/>
    <n v="-4800"/>
    <n v="0"/>
    <n v="0"/>
    <n v="0"/>
    <s v=""/>
    <s v=""/>
    <s v=""/>
    <s v=""/>
    <n v="0"/>
    <n v="0"/>
    <n v="0"/>
    <n v="0"/>
    <n v="0"/>
    <n v="4800"/>
    <n v="0"/>
    <m/>
    <n v="0"/>
    <n v="0"/>
    <n v="0"/>
    <n v="0"/>
    <n v="0"/>
    <s v=""/>
    <s v=""/>
    <s v=""/>
    <s v=""/>
    <s v=""/>
    <s v=""/>
    <s v=""/>
    <s v=""/>
    <s v=""/>
    <s v=""/>
    <s v=""/>
    <s v=""/>
    <n v="0"/>
    <s v=""/>
    <m/>
    <s v="53"/>
    <s v="Sin constancia PAPP-POA - SIN CP"/>
  </r>
  <r>
    <n v="817"/>
    <m/>
    <m/>
    <m/>
    <m/>
    <m/>
    <m/>
    <m/>
    <m/>
    <m/>
    <s v="Corporación Ciudad Alfaro"/>
    <x v="0"/>
    <s v="CCA"/>
    <s v="N/A"/>
    <s v="N/A"/>
    <s v="Corriente"/>
    <s v="N/A"/>
    <s v="N/A"/>
    <s v="N/A"/>
    <s v="N/A"/>
    <s v="N/A"/>
    <s v="N/A"/>
    <s v="NUEVA"/>
    <s v="Contratación del servicio de actualización  de sistemas informáticos de la Corporación Ciudad Alfaro y sus sedes"/>
    <s v="0035"/>
    <s v="80"/>
    <s v="000"/>
    <s v="002"/>
    <s v="53"/>
    <n v="530701"/>
    <s v="Desarrollo, Actualización, Asistencia Técnica y Soporte de Sistemas Informáticos"/>
    <n v="1309"/>
    <s v="001"/>
    <s v="0000"/>
    <s v="0000"/>
    <s v="H21"/>
    <s v="N/A"/>
    <n v="0"/>
    <n v="0"/>
    <n v="0"/>
    <n v="400"/>
    <n v="-400"/>
    <n v="0"/>
    <n v="0"/>
    <n v="0"/>
    <n v="0"/>
    <n v="0"/>
    <m/>
    <m/>
    <m/>
    <m/>
    <m/>
    <m/>
    <m/>
    <m/>
    <m/>
    <m/>
    <m/>
    <m/>
    <n v="400"/>
    <n v="0"/>
    <n v="0"/>
    <m/>
    <m/>
    <m/>
    <n v="400"/>
    <n v="-400"/>
    <n v="0"/>
    <n v="0"/>
    <n v="0"/>
    <s v=""/>
    <s v=""/>
    <s v=""/>
    <s v=""/>
    <n v="0"/>
    <n v="0"/>
    <n v="0"/>
    <n v="0"/>
    <n v="0"/>
    <n v="400"/>
    <n v="0"/>
    <m/>
    <n v="0"/>
    <n v="0"/>
    <n v="0"/>
    <n v="0"/>
    <n v="0"/>
    <s v=""/>
    <s v=""/>
    <s v=""/>
    <s v=""/>
    <s v=""/>
    <s v=""/>
    <s v=""/>
    <s v=""/>
    <s v=""/>
    <s v=""/>
    <s v=""/>
    <s v=""/>
    <n v="0"/>
    <s v=""/>
    <m/>
    <s v="53"/>
    <s v="Sin constancia PAPP-POA - SIN CP"/>
  </r>
  <r>
    <n v="818"/>
    <m/>
    <m/>
    <m/>
    <m/>
    <m/>
    <m/>
    <m/>
    <m/>
    <m/>
    <s v="Corporación Ciudad Alfaro"/>
    <x v="0"/>
    <s v="CCA"/>
    <s v="N/A"/>
    <s v="N/A"/>
    <s v="Corriente"/>
    <s v="N/A"/>
    <s v="N/A"/>
    <s v="N/A"/>
    <s v="N/A"/>
    <s v="N/A"/>
    <s v="N/A"/>
    <s v="NUEVA"/>
    <s v="Servicio de organización, producción y ejecución de los eventos enmarcados en el calendario patrimonial, cultural e histórico, para la difusión y fortalecimiento de la memoria social del Museo Nuclear Corporación Ciudad Alfaro, y sus sedes en Portoviejo, Manta y Bahía de Caráquez."/>
    <s v="0035"/>
    <s v="80"/>
    <s v="000"/>
    <s v="002"/>
    <s v="53"/>
    <n v="530205"/>
    <s v="Espectáculos Culturales y Sociales"/>
    <n v="1309"/>
    <s v="001"/>
    <s v="0000"/>
    <s v="0000"/>
    <s v="H21"/>
    <s v="N/A"/>
    <n v="0"/>
    <n v="0"/>
    <n v="0"/>
    <n v="5991.5"/>
    <n v="0"/>
    <n v="0"/>
    <n v="0"/>
    <n v="5991.5"/>
    <n v="0"/>
    <n v="5991.5"/>
    <m/>
    <m/>
    <m/>
    <m/>
    <m/>
    <m/>
    <n v="2396.6"/>
    <m/>
    <n v="3594.9"/>
    <m/>
    <m/>
    <m/>
    <n v="5991.5"/>
    <n v="5991.5"/>
    <n v="0"/>
    <m/>
    <m/>
    <m/>
    <n v="5000"/>
    <n v="991.5"/>
    <n v="5991.5"/>
    <n v="5990"/>
    <n v="1.5"/>
    <s v=""/>
    <n v="2396"/>
    <n v="3595.5"/>
    <n v="0.39989985813235418"/>
    <n v="5991.5"/>
    <n v="0"/>
    <n v="0"/>
    <n v="0"/>
    <n v="0"/>
    <n v="2995.75"/>
    <n v="2995.75"/>
    <m/>
    <n v="0"/>
    <n v="0"/>
    <n v="0"/>
    <n v="0"/>
    <n v="0"/>
    <n v="0"/>
    <n v="0"/>
    <n v="0"/>
    <n v="0"/>
    <n v="0"/>
    <n v="0"/>
    <n v="2396"/>
    <n v="0"/>
    <n v="0"/>
    <n v="0"/>
    <n v="0"/>
    <n v="0"/>
    <n v="2396"/>
    <n v="0"/>
    <m/>
    <s v="53"/>
    <s v="Sin constancia PAPP-POA - SIN CP"/>
  </r>
  <r>
    <n v="819"/>
    <m/>
    <m/>
    <m/>
    <m/>
    <m/>
    <m/>
    <m/>
    <m/>
    <m/>
    <s v="Corporación Ciudad Alfaro"/>
    <x v="0"/>
    <s v="CCA"/>
    <s v="N/A"/>
    <s v="N/A"/>
    <s v="Corriente"/>
    <s v="N/A"/>
    <s v="N/A"/>
    <s v="N/A"/>
    <s v="N/A"/>
    <s v="N/A"/>
    <s v="N/A"/>
    <s v="NUEVA"/>
    <s v="Contratación del servicio de mantenimiento correctivo de los tableros de distribución eléctrica TDE de los equipos de climatización en el museo centro cultural manta"/>
    <s v="0035"/>
    <s v="80"/>
    <s v="000"/>
    <s v="002"/>
    <s v="53"/>
    <n v="530402"/>
    <s v="Edificios, Locales, Residencias y Cableado Estructurado (Instalación, Mantenimiento y Reparación)"/>
    <n v="1308"/>
    <s v="001"/>
    <s v="0000"/>
    <s v="0000"/>
    <s v="H21"/>
    <s v="N/A"/>
    <n v="0"/>
    <n v="0"/>
    <n v="0"/>
    <n v="5000"/>
    <n v="0"/>
    <n v="0"/>
    <n v="0"/>
    <n v="5000"/>
    <n v="0"/>
    <n v="5000"/>
    <m/>
    <m/>
    <m/>
    <m/>
    <n v="0"/>
    <m/>
    <m/>
    <n v="5000"/>
    <m/>
    <m/>
    <m/>
    <m/>
    <n v="5000"/>
    <n v="5000"/>
    <n v="0"/>
    <m/>
    <m/>
    <m/>
    <n v="5000"/>
    <n v="0"/>
    <n v="5000"/>
    <n v="4830"/>
    <n v="170"/>
    <s v=""/>
    <n v="4830"/>
    <n v="170"/>
    <n v="0.96599999999999997"/>
    <n v="5000"/>
    <n v="0"/>
    <n v="0"/>
    <n v="0"/>
    <n v="0"/>
    <n v="5000"/>
    <n v="0"/>
    <m/>
    <n v="0"/>
    <n v="0"/>
    <n v="0"/>
    <n v="0"/>
    <n v="0"/>
    <n v="0"/>
    <n v="0"/>
    <n v="0"/>
    <n v="0"/>
    <n v="0"/>
    <n v="0"/>
    <n v="4830"/>
    <n v="0"/>
    <n v="0"/>
    <n v="0"/>
    <n v="0"/>
    <n v="0"/>
    <n v="4830"/>
    <n v="0"/>
    <m/>
    <s v="53"/>
    <s v="Sin constancia PAPP-POA - SIN CP"/>
  </r>
  <r>
    <n v="820"/>
    <m/>
    <m/>
    <m/>
    <m/>
    <m/>
    <m/>
    <m/>
    <m/>
    <m/>
    <s v="Corporación Ciudad Alfaro"/>
    <x v="0"/>
    <s v="CCA"/>
    <s v="N/A"/>
    <s v="N/A"/>
    <s v="Corriente"/>
    <s v="N/A"/>
    <s v="N/A"/>
    <s v="N/A"/>
    <s v="N/A"/>
    <s v="N/A"/>
    <s v="N/A"/>
    <s v="NUEVA"/>
    <s v="Contratación del servicio de instalación, mantenimiento y reparación del auditorio del Museo Portoviejo y Archivo Histórico"/>
    <s v="0035"/>
    <s v="80"/>
    <s v="000"/>
    <s v="002"/>
    <s v="53"/>
    <n v="530403"/>
    <s v="Mobiliarios  (Instalación, Mantenimiento y Reparación)"/>
    <n v="1301"/>
    <s v="001"/>
    <s v="0000"/>
    <s v="0000"/>
    <s v="H21"/>
    <s v="N/A"/>
    <n v="0"/>
    <n v="0"/>
    <n v="0"/>
    <n v="5000"/>
    <n v="0"/>
    <n v="0"/>
    <n v="0"/>
    <n v="5000"/>
    <n v="0"/>
    <n v="5000"/>
    <m/>
    <m/>
    <m/>
    <m/>
    <m/>
    <m/>
    <m/>
    <n v="5000"/>
    <m/>
    <m/>
    <m/>
    <m/>
    <n v="0"/>
    <n v="5000"/>
    <n v="0"/>
    <m/>
    <m/>
    <m/>
    <n v="5000"/>
    <n v="0"/>
    <n v="5000"/>
    <n v="0"/>
    <n v="5000"/>
    <s v=""/>
    <s v=""/>
    <s v=""/>
    <s v=""/>
    <n v="5000"/>
    <n v="0"/>
    <n v="0"/>
    <n v="0"/>
    <n v="0"/>
    <m/>
    <n v="0"/>
    <m/>
    <n v="0"/>
    <n v="0"/>
    <n v="0"/>
    <n v="0"/>
    <n v="0"/>
    <s v=""/>
    <s v=""/>
    <s v=""/>
    <s v=""/>
    <s v=""/>
    <s v=""/>
    <s v=""/>
    <s v=""/>
    <s v=""/>
    <s v=""/>
    <s v=""/>
    <s v=""/>
    <n v="0"/>
    <s v=""/>
    <m/>
    <s v="53"/>
    <s v="Sin constancia PAPP-POA - SIN CP"/>
  </r>
  <r>
    <n v="821"/>
    <m/>
    <m/>
    <m/>
    <m/>
    <m/>
    <m/>
    <m/>
    <m/>
    <m/>
    <s v="Corporación Ciudad Alfaro"/>
    <x v="0"/>
    <s v="CCA"/>
    <s v="N/A"/>
    <s v="N/A"/>
    <s v="Corriente"/>
    <s v="N/A"/>
    <s v="N/A"/>
    <s v="N/A"/>
    <s v="N/A"/>
    <s v="N/A"/>
    <s v="N/A"/>
    <s v="NUEVA"/>
    <s v="Mantenimiento Preventivo y Correctivo para una central de aire de Planta Baja, una central de aire del Mezzanine, del Museo Bahía de Caráquez"/>
    <s v="0035"/>
    <s v="80"/>
    <s v="000"/>
    <s v="002"/>
    <s v="53"/>
    <n v="530404"/>
    <s v="Maquinarias y Equipos (Instalación, Mantenimiento y Reparación)"/>
    <n v="1314"/>
    <s v="001"/>
    <s v="0000"/>
    <s v="0000"/>
    <s v="H21"/>
    <s v="N/A"/>
    <n v="0"/>
    <n v="0"/>
    <n v="0"/>
    <n v="5000"/>
    <n v="-5000"/>
    <n v="0"/>
    <n v="0"/>
    <n v="0"/>
    <n v="0"/>
    <n v="0"/>
    <m/>
    <m/>
    <m/>
    <m/>
    <m/>
    <m/>
    <m/>
    <m/>
    <m/>
    <m/>
    <m/>
    <m/>
    <n v="0"/>
    <n v="0"/>
    <n v="0"/>
    <m/>
    <m/>
    <m/>
    <s v=""/>
    <s v=""/>
    <s v=""/>
    <s v=""/>
    <s v=""/>
    <s v=""/>
    <s v=""/>
    <s v=""/>
    <s v=""/>
    <n v="0"/>
    <n v="0"/>
    <n v="0"/>
    <n v="0"/>
    <n v="0"/>
    <m/>
    <n v="0"/>
    <m/>
    <n v="0"/>
    <n v="0"/>
    <n v="0"/>
    <n v="0"/>
    <n v="0"/>
    <s v=""/>
    <s v=""/>
    <s v=""/>
    <s v=""/>
    <s v=""/>
    <s v=""/>
    <s v=""/>
    <s v=""/>
    <s v=""/>
    <s v=""/>
    <s v=""/>
    <s v=""/>
    <n v="0"/>
    <s v=""/>
    <m/>
    <s v="53"/>
    <s v="Sin constancia PAPP-POA - SIN CP"/>
  </r>
  <r>
    <n v="828"/>
    <m/>
    <m/>
    <m/>
    <m/>
    <m/>
    <m/>
    <m/>
    <m/>
    <m/>
    <s v="Corporación Ciudad Alfaro"/>
    <x v="0"/>
    <s v="CCA"/>
    <s v="N/A"/>
    <s v="N/A"/>
    <s v="Corriente"/>
    <s v="N/A"/>
    <s v="N/A"/>
    <s v="N/A"/>
    <s v="N/A"/>
    <s v="N/A"/>
    <s v="N/A"/>
    <s v="NUEVA"/>
    <s v="Pago del servicio de energía eléctrica de la Corporación Ciudad Alfaro - octubre - noviembre"/>
    <s v="0035"/>
    <s v="80"/>
    <s v="000"/>
    <s v="002"/>
    <s v="53"/>
    <n v="530104"/>
    <s v="Energía Eléctrica"/>
    <n v="1309"/>
    <s v="001"/>
    <s v="0000"/>
    <s v="0000"/>
    <s v="H21"/>
    <s v="N/A"/>
    <n v="0"/>
    <n v="0"/>
    <n v="0"/>
    <n v="5922"/>
    <n v="-2500"/>
    <n v="0"/>
    <n v="0"/>
    <n v="3422"/>
    <n v="0"/>
    <n v="3422"/>
    <m/>
    <m/>
    <m/>
    <m/>
    <m/>
    <m/>
    <n v="3422"/>
    <m/>
    <m/>
    <m/>
    <m/>
    <m/>
    <n v="0"/>
    <n v="3422"/>
    <n v="0"/>
    <m/>
    <m/>
    <m/>
    <n v="3422"/>
    <n v="0"/>
    <s v=""/>
    <s v=""/>
    <s v=""/>
    <s v=""/>
    <s v=""/>
    <s v=""/>
    <s v=""/>
    <n v="3422"/>
    <n v="0"/>
    <n v="0"/>
    <n v="0"/>
    <n v="0"/>
    <m/>
    <n v="0"/>
    <m/>
    <n v="0"/>
    <n v="0"/>
    <n v="0"/>
    <n v="0"/>
    <n v="0"/>
    <s v=""/>
    <s v=""/>
    <s v=""/>
    <s v=""/>
    <s v=""/>
    <s v=""/>
    <s v=""/>
    <s v=""/>
    <s v=""/>
    <s v=""/>
    <s v=""/>
    <s v=""/>
    <n v="0"/>
    <s v=""/>
    <m/>
    <s v="53"/>
    <s v="Sin constancia PAPP-POA - SIN CP"/>
  </r>
  <r>
    <n v="829"/>
    <m/>
    <m/>
    <m/>
    <m/>
    <m/>
    <m/>
    <m/>
    <m/>
    <m/>
    <s v="Corporación Ciudad Alfaro"/>
    <x v="0"/>
    <s v="CCA"/>
    <s v="N/A"/>
    <s v="N/A"/>
    <s v="Corriente"/>
    <s v="N/A"/>
    <s v="N/A"/>
    <s v="N/A"/>
    <s v="N/A"/>
    <s v="N/A"/>
    <s v="N/A"/>
    <s v="NUEVA"/>
    <s v="Pago del servicio de combustible para los vehículos de la Corporación Ciudad Alfaro de los meses, octubre, noviembre y diciembre del año 2023"/>
    <s v="0035"/>
    <s v="80"/>
    <s v="000"/>
    <s v="002"/>
    <s v="99"/>
    <n v="990102"/>
    <s v="Obligaciones de Ejercicios Anteriores por Egresos en Servicios"/>
    <n v="1309"/>
    <s v="001"/>
    <s v="0000"/>
    <s v="0000"/>
    <s v="H21"/>
    <s v="N/A"/>
    <n v="0"/>
    <n v="0"/>
    <n v="0"/>
    <n v="1350"/>
    <n v="0"/>
    <n v="0"/>
    <n v="0"/>
    <n v="1350"/>
    <n v="0"/>
    <n v="1350"/>
    <m/>
    <m/>
    <m/>
    <m/>
    <m/>
    <m/>
    <m/>
    <n v="1350"/>
    <m/>
    <m/>
    <m/>
    <m/>
    <n v="1350"/>
    <n v="1350"/>
    <n v="0"/>
    <m/>
    <m/>
    <m/>
    <n v="1350"/>
    <n v="0"/>
    <n v="1350"/>
    <n v="0"/>
    <n v="1350"/>
    <s v=""/>
    <s v=""/>
    <s v=""/>
    <s v=""/>
    <n v="1350"/>
    <n v="0"/>
    <n v="0"/>
    <n v="0"/>
    <n v="0"/>
    <n v="1350"/>
    <n v="0"/>
    <m/>
    <n v="0"/>
    <n v="0"/>
    <n v="0"/>
    <n v="0"/>
    <n v="0"/>
    <s v=""/>
    <s v=""/>
    <s v=""/>
    <s v=""/>
    <s v=""/>
    <s v=""/>
    <s v=""/>
    <s v=""/>
    <s v=""/>
    <s v=""/>
    <s v=""/>
    <s v=""/>
    <n v="0"/>
    <s v=""/>
    <m/>
    <s v="99"/>
    <s v="Sin constancia PAPP-POA - SIN CP"/>
  </r>
  <r>
    <n v="849"/>
    <m/>
    <m/>
    <m/>
    <m/>
    <m/>
    <m/>
    <m/>
    <m/>
    <m/>
    <s v="Corporación Ciudad Alfaro"/>
    <x v="0"/>
    <s v="CCA"/>
    <s v="N/A"/>
    <s v="N/A"/>
    <s v="Corriente"/>
    <s v="N/A"/>
    <s v="N/A"/>
    <s v="N/A"/>
    <s v="N/A"/>
    <s v="N/A"/>
    <s v="N/A"/>
    <s v="NUEVA"/>
    <s v="Instalación del sistema de detección contra incendio automatizado para planta baja, mezzanine y 1er piso del Museo Bahía de Caráquez."/>
    <s v="0035"/>
    <s v="80"/>
    <s v="000"/>
    <s v="002"/>
    <s v="53"/>
    <n v="530402"/>
    <s v="Edificios, Locales, Residencias y Cableado Estructurado (Instalación, Mantenimiento y Reparación)"/>
    <n v="1314"/>
    <s v="001"/>
    <s v="0000"/>
    <s v="0000"/>
    <s v="H21"/>
    <s v="N/A"/>
    <n v="0"/>
    <n v="0"/>
    <n v="0"/>
    <n v="8600"/>
    <n v="0"/>
    <n v="0"/>
    <n v="0"/>
    <n v="8600"/>
    <n v="0"/>
    <n v="8600"/>
    <m/>
    <m/>
    <m/>
    <m/>
    <m/>
    <m/>
    <m/>
    <m/>
    <n v="8600"/>
    <m/>
    <m/>
    <m/>
    <n v="8600"/>
    <n v="8600"/>
    <n v="0"/>
    <m/>
    <m/>
    <m/>
    <n v="8600"/>
    <n v="0"/>
    <n v="8600"/>
    <n v="0"/>
    <n v="8600"/>
    <s v=""/>
    <s v=""/>
    <s v=""/>
    <s v=""/>
    <n v="8600"/>
    <m/>
    <m/>
    <m/>
    <m/>
    <n v="8600"/>
    <m/>
    <m/>
    <m/>
    <m/>
    <m/>
    <m/>
    <n v="0"/>
    <s v=""/>
    <s v=""/>
    <s v=""/>
    <s v=""/>
    <s v=""/>
    <s v=""/>
    <s v=""/>
    <s v=""/>
    <s v=""/>
    <s v=""/>
    <s v=""/>
    <s v=""/>
    <n v="0"/>
    <s v=""/>
    <m/>
    <s v="53"/>
    <s v="Sin constancia PAPP-POA - SIN CP"/>
  </r>
  <r>
    <n v="869"/>
    <m/>
    <m/>
    <m/>
    <m/>
    <m/>
    <m/>
    <m/>
    <m/>
    <m/>
    <s v="Corporación Ciudad Alfaro"/>
    <x v="0"/>
    <s v="CCA"/>
    <s v="N/A"/>
    <s v="N/A"/>
    <s v="Corriente"/>
    <s v="N/A"/>
    <s v="N/A"/>
    <s v="N/A"/>
    <s v="N/A"/>
    <s v="N/A"/>
    <s v="N/A"/>
    <s v="NUEVA"/>
    <s v="Contratación del servicio de Construcción de la cubierta con estructura metálica ubicado en el primer piso del edificio Bahía de Caráquez y mantenimiento preventivo y correctivo de las cerchas metálicas del bloque cancebí correspondiente al Museo Nuclear Corporación Ciudad Alfaro"/>
    <s v="0035"/>
    <s v="80"/>
    <s v="000"/>
    <s v="002"/>
    <s v="53"/>
    <n v="530402"/>
    <s v="Edificios, Locales, Residencias y Cableado Estructurado (Instalación, Mantenimiento y Reparación)"/>
    <n v="1309"/>
    <s v="001"/>
    <s v="0000"/>
    <s v="0000"/>
    <s v="H21"/>
    <s v="N/A"/>
    <n v="0"/>
    <n v="0"/>
    <n v="0"/>
    <n v="15000"/>
    <n v="-15000"/>
    <n v="0"/>
    <n v="0"/>
    <n v="0"/>
    <n v="0"/>
    <n v="0"/>
    <m/>
    <m/>
    <m/>
    <m/>
    <m/>
    <m/>
    <m/>
    <m/>
    <m/>
    <m/>
    <m/>
    <m/>
    <n v="15000"/>
    <n v="0"/>
    <n v="0"/>
    <m/>
    <m/>
    <m/>
    <s v=""/>
    <s v=""/>
    <n v="0"/>
    <n v="0"/>
    <n v="0"/>
    <s v=""/>
    <s v=""/>
    <s v=""/>
    <s v=""/>
    <n v="0"/>
    <m/>
    <m/>
    <m/>
    <m/>
    <m/>
    <m/>
    <n v="15000"/>
    <m/>
    <m/>
    <m/>
    <m/>
    <n v="0"/>
    <s v=""/>
    <s v=""/>
    <s v=""/>
    <s v=""/>
    <s v=""/>
    <s v=""/>
    <s v=""/>
    <s v=""/>
    <s v=""/>
    <s v=""/>
    <s v=""/>
    <s v=""/>
    <n v="0"/>
    <s v=""/>
    <m/>
    <s v="53"/>
    <m/>
  </r>
  <r>
    <n v="870"/>
    <m/>
    <m/>
    <m/>
    <m/>
    <m/>
    <m/>
    <m/>
    <m/>
    <m/>
    <s v="Corporación Ciudad Alfaro"/>
    <x v="0"/>
    <s v="CCA"/>
    <s v="N/A"/>
    <s v="N/A"/>
    <s v="Corriente"/>
    <s v="N/A"/>
    <s v="N/A"/>
    <s v="N/A"/>
    <s v="N/A"/>
    <s v="N/A"/>
    <s v="N/A"/>
    <s v="NUEVA"/>
    <s v="Contratación del servicio de mantenimiento preventivo y correctivo del sistema de climatización del piso 5 en el museo intermedio Manta, sede de la Corporación Ciudad Alfaro"/>
    <s v="0035"/>
    <s v="80"/>
    <s v="000"/>
    <s v="002"/>
    <s v="53"/>
    <n v="530404"/>
    <s v="Maquinarias y Equipos (Instalación, Mantenimiento y Reparación)"/>
    <n v="1308"/>
    <s v="001"/>
    <s v="0000"/>
    <s v="0000"/>
    <s v="H21"/>
    <s v="N/A"/>
    <n v="0"/>
    <n v="0"/>
    <n v="0"/>
    <n v="4988.8999999999996"/>
    <n v="0"/>
    <n v="0"/>
    <n v="0"/>
    <n v="4988.8999999999996"/>
    <n v="0"/>
    <n v="4988.8999999999996"/>
    <m/>
    <m/>
    <m/>
    <m/>
    <m/>
    <m/>
    <m/>
    <n v="4988.8999999999996"/>
    <m/>
    <m/>
    <m/>
    <m/>
    <n v="0"/>
    <n v="4988.8999999999996"/>
    <n v="0"/>
    <m/>
    <m/>
    <m/>
    <n v="4988.8999999999996"/>
    <n v="0"/>
    <n v="4988.8999999999996"/>
    <n v="0"/>
    <n v="4988.8999999999996"/>
    <s v=""/>
    <s v=""/>
    <s v=""/>
    <s v=""/>
    <n v="4988.8999999999996"/>
    <m/>
    <m/>
    <m/>
    <m/>
    <m/>
    <m/>
    <m/>
    <m/>
    <m/>
    <m/>
    <m/>
    <n v="0"/>
    <s v=""/>
    <s v=""/>
    <s v=""/>
    <s v=""/>
    <s v=""/>
    <s v=""/>
    <s v=""/>
    <s v=""/>
    <s v=""/>
    <s v=""/>
    <s v=""/>
    <s v=""/>
    <n v="0"/>
    <s v=""/>
    <m/>
    <s v="53"/>
    <m/>
  </r>
  <r>
    <n v="871"/>
    <m/>
    <m/>
    <m/>
    <m/>
    <m/>
    <m/>
    <m/>
    <m/>
    <m/>
    <s v="Corporación Ciudad Alfaro"/>
    <x v="0"/>
    <s v="CCA"/>
    <s v="N/A"/>
    <s v="N/A"/>
    <s v="Corriente"/>
    <s v="N/A"/>
    <s v="N/A"/>
    <s v="N/A"/>
    <s v="N/A"/>
    <s v="N/A"/>
    <s v="N/A"/>
    <s v="NUEVA"/>
    <s v="Pago del servicio de telefonía fija de las Sedes Museo y Centro Cultural de Manta, Museo Portoviejo y Archivo Histórico, y Museo Bahía de Caráquez cuya razón social se encuentra a nombre del Ministerio de Cultura y Patrimonio"/>
    <s v="0035"/>
    <s v="80"/>
    <s v="000"/>
    <s v="002"/>
    <s v="53"/>
    <n v="530105"/>
    <s v="Telecomunicaciones"/>
    <n v="1309"/>
    <s v="001"/>
    <s v="0000"/>
    <s v="0000"/>
    <s v="H21"/>
    <s v="N/A"/>
    <n v="0"/>
    <n v="0"/>
    <n v="0"/>
    <n v="3000"/>
    <n v="-3000"/>
    <n v="0"/>
    <n v="0"/>
    <n v="0"/>
    <n v="0"/>
    <n v="0"/>
    <n v="0"/>
    <n v="0"/>
    <n v="0"/>
    <n v="0"/>
    <n v="0"/>
    <n v="0"/>
    <n v="0"/>
    <n v="0"/>
    <n v="0"/>
    <n v="0"/>
    <n v="0"/>
    <n v="0"/>
    <n v="0"/>
    <n v="0"/>
    <n v="0"/>
    <m/>
    <m/>
    <m/>
    <s v=""/>
    <s v=""/>
    <s v=""/>
    <s v=""/>
    <s v=""/>
    <s v=""/>
    <s v=""/>
    <s v=""/>
    <s v=""/>
    <n v="0"/>
    <m/>
    <m/>
    <m/>
    <m/>
    <m/>
    <m/>
    <m/>
    <m/>
    <m/>
    <m/>
    <m/>
    <n v="0"/>
    <s v=""/>
    <s v=""/>
    <s v=""/>
    <s v=""/>
    <s v=""/>
    <s v=""/>
    <s v=""/>
    <s v=""/>
    <s v=""/>
    <s v=""/>
    <s v=""/>
    <s v=""/>
    <n v="0"/>
    <s v=""/>
    <m/>
    <s v="53"/>
    <m/>
  </r>
  <r>
    <n v="872"/>
    <m/>
    <m/>
    <m/>
    <m/>
    <m/>
    <m/>
    <m/>
    <m/>
    <m/>
    <s v="Corporación Ciudad Alfaro"/>
    <x v="0"/>
    <s v="CCA"/>
    <s v="N/A"/>
    <s v="N/A"/>
    <s v="Corriente"/>
    <s v="N/A"/>
    <s v="N/A"/>
    <s v="N/A"/>
    <s v="N/A"/>
    <s v="N/A"/>
    <s v="N/A"/>
    <s v="NUEVA"/>
    <s v="Regularización del IVA - año 2023, para conciliación de saldos contables y administrativos "/>
    <s v="0035"/>
    <s v="80"/>
    <s v="000"/>
    <s v="002"/>
    <s v="53"/>
    <n v="530813"/>
    <s v="Repuestos y Accesorios"/>
    <n v="1309"/>
    <s v="001"/>
    <s v="0000"/>
    <s v="0000"/>
    <s v="H21"/>
    <s v="N/A"/>
    <n v="0"/>
    <n v="0"/>
    <n v="0"/>
    <n v="115"/>
    <n v="0"/>
    <n v="0"/>
    <n v="0"/>
    <n v="115"/>
    <n v="0"/>
    <n v="115"/>
    <m/>
    <m/>
    <m/>
    <m/>
    <n v="115"/>
    <m/>
    <m/>
    <m/>
    <m/>
    <m/>
    <m/>
    <m/>
    <n v="0"/>
    <n v="115"/>
    <n v="0"/>
    <m/>
    <m/>
    <m/>
    <n v="115"/>
    <n v="0"/>
    <n v="0"/>
    <n v="114.04"/>
    <n v="0"/>
    <s v=""/>
    <n v="114.04"/>
    <n v="0.95999999999999375"/>
    <n v="0.9916521739130435"/>
    <n v="115"/>
    <m/>
    <m/>
    <m/>
    <m/>
    <m/>
    <m/>
    <m/>
    <m/>
    <m/>
    <m/>
    <m/>
    <n v="0"/>
    <n v="0"/>
    <n v="0"/>
    <n v="0"/>
    <n v="0"/>
    <n v="114.04"/>
    <n v="0"/>
    <n v="0"/>
    <n v="0"/>
    <n v="0"/>
    <n v="0"/>
    <n v="0"/>
    <n v="0"/>
    <n v="114.04"/>
    <n v="0"/>
    <m/>
    <s v="53"/>
    <m/>
  </r>
  <r>
    <n v="873"/>
    <m/>
    <m/>
    <m/>
    <m/>
    <m/>
    <m/>
    <m/>
    <m/>
    <m/>
    <s v="Corporación Ciudad Alfaro"/>
    <x v="0"/>
    <s v="CCA"/>
    <s v="N/A"/>
    <s v="N/A"/>
    <s v="Corriente"/>
    <s v="N/A"/>
    <s v="N/A"/>
    <s v="N/A"/>
    <s v="N/A"/>
    <s v="N/A"/>
    <s v="N/A"/>
    <s v="NUEVA"/>
    <s v="Contratación del servicio de mantenimiento preventivo y correctivo de 4 aires acondicionados tipo Split ubicados en el Museo Nuclear Corporación Ciudad Alfaro"/>
    <s v="0035"/>
    <s v="80"/>
    <s v="000"/>
    <s v="002"/>
    <s v="53"/>
    <n v="530404"/>
    <s v="Maquinarias y Equipos (Instalación, Mantenimiento y Reparación)"/>
    <n v="1309"/>
    <s v="001"/>
    <s v="0000"/>
    <s v="0000"/>
    <s v="H21"/>
    <s v="N/A"/>
    <n v="0"/>
    <n v="0"/>
    <n v="0"/>
    <n v="500"/>
    <n v="-500"/>
    <n v="0"/>
    <n v="0"/>
    <n v="0"/>
    <n v="0"/>
    <n v="0"/>
    <n v="0"/>
    <n v="0"/>
    <n v="0"/>
    <n v="0"/>
    <n v="0"/>
    <n v="0"/>
    <n v="0"/>
    <n v="0"/>
    <n v="0"/>
    <n v="0"/>
    <n v="0"/>
    <n v="0"/>
    <n v="0"/>
    <n v="0"/>
    <n v="0"/>
    <m/>
    <m/>
    <m/>
    <n v="500"/>
    <n v="-500"/>
    <n v="0"/>
    <n v="0"/>
    <n v="0"/>
    <s v=""/>
    <s v=""/>
    <s v=""/>
    <s v=""/>
    <n v="0"/>
    <m/>
    <m/>
    <m/>
    <m/>
    <m/>
    <m/>
    <m/>
    <m/>
    <m/>
    <m/>
    <m/>
    <n v="0"/>
    <s v=""/>
    <s v=""/>
    <s v=""/>
    <s v=""/>
    <s v=""/>
    <s v=""/>
    <s v=""/>
    <s v=""/>
    <s v=""/>
    <s v=""/>
    <s v=""/>
    <s v=""/>
    <n v="0"/>
    <s v=""/>
    <m/>
    <s v="53"/>
    <m/>
  </r>
  <r>
    <n v="874"/>
    <m/>
    <m/>
    <m/>
    <m/>
    <m/>
    <m/>
    <m/>
    <m/>
    <m/>
    <s v="Corporación Ciudad Alfaro"/>
    <x v="0"/>
    <s v="CCA"/>
    <s v="N/A"/>
    <s v="N/A"/>
    <s v="Corriente"/>
    <s v="N/A"/>
    <s v="N/A"/>
    <s v="N/A"/>
    <s v="N/A"/>
    <s v="N/A"/>
    <s v="N/A"/>
    <s v="PLURIANUAL 2024 - 2025"/>
    <s v="Contratación del servicio de Aseo y limpieza para el Museo Nuclear Corporación Ciudad Alfaro, durante el período 2024-2025"/>
    <s v="0035"/>
    <s v="80"/>
    <s v="000"/>
    <s v="002"/>
    <s v="53"/>
    <n v="530209"/>
    <s v="Servicios de Aseo, Lavado de Vestimenta de Trabajo, Fumigación, Desinfección,  Limpieza de Instalaciones, manejo_x000a_de desechos contaminados, recuperación y clasificación de materiales reciclables."/>
    <n v="1309"/>
    <s v="001"/>
    <s v="0000"/>
    <s v="0000"/>
    <s v="H21"/>
    <s v="N/A"/>
    <n v="0"/>
    <n v="0"/>
    <n v="0"/>
    <n v="5344"/>
    <n v="0"/>
    <n v="0"/>
    <n v="0"/>
    <n v="5344"/>
    <n v="0"/>
    <n v="5344"/>
    <m/>
    <m/>
    <m/>
    <m/>
    <m/>
    <m/>
    <m/>
    <m/>
    <m/>
    <n v="700"/>
    <n v="2322"/>
    <n v="2322"/>
    <n v="0"/>
    <n v="5344"/>
    <n v="0"/>
    <m/>
    <m/>
    <m/>
    <n v="5344"/>
    <n v="0"/>
    <n v="5344"/>
    <n v="0"/>
    <n v="5344"/>
    <s v=""/>
    <s v=""/>
    <s v=""/>
    <s v=""/>
    <n v="5344"/>
    <m/>
    <m/>
    <m/>
    <m/>
    <m/>
    <m/>
    <m/>
    <m/>
    <m/>
    <m/>
    <m/>
    <n v="0"/>
    <s v=""/>
    <s v=""/>
    <s v=""/>
    <s v=""/>
    <s v=""/>
    <s v=""/>
    <s v=""/>
    <s v=""/>
    <s v=""/>
    <s v=""/>
    <s v=""/>
    <s v=""/>
    <n v="0"/>
    <s v=""/>
    <m/>
    <s v="53"/>
    <m/>
  </r>
  <r>
    <n v="875"/>
    <m/>
    <m/>
    <m/>
    <m/>
    <m/>
    <m/>
    <m/>
    <m/>
    <m/>
    <s v="Corporación Ciudad Alfaro"/>
    <x v="0"/>
    <s v="CCA"/>
    <s v="N/A"/>
    <s v="N/A"/>
    <s v="Corriente"/>
    <s v="N/A"/>
    <s v="N/A"/>
    <s v="N/A"/>
    <s v="N/A"/>
    <s v="N/A"/>
    <s v="N/A"/>
    <s v="PLURIANUAL 2024 - 2025"/>
    <s v="Contratación del servicio de Aseo y limpieza para el Museo Centro Cultural Manta, durante el período 2024-2025"/>
    <s v="0035"/>
    <s v="80"/>
    <s v="000"/>
    <s v="002"/>
    <s v="53"/>
    <n v="530209"/>
    <s v="Servicios de Aseo, Lavado de Vestimenta de Trabajo, Fumigación, Desinfección,  Limpieza de Instalaciones, manejo_x000a_de desechos contaminados, recuperación y clasificación de materiales reciclables."/>
    <n v="1308"/>
    <s v="001"/>
    <s v="0000"/>
    <s v="0000"/>
    <s v="H21"/>
    <s v="N/A"/>
    <n v="0"/>
    <n v="0"/>
    <n v="0"/>
    <n v="5344"/>
    <n v="0"/>
    <n v="0"/>
    <n v="0"/>
    <n v="5344"/>
    <n v="0"/>
    <n v="5344"/>
    <m/>
    <m/>
    <m/>
    <m/>
    <m/>
    <m/>
    <m/>
    <m/>
    <m/>
    <n v="700"/>
    <n v="2322"/>
    <n v="2322"/>
    <n v="0"/>
    <n v="5344"/>
    <n v="0"/>
    <m/>
    <m/>
    <m/>
    <n v="5344"/>
    <n v="0"/>
    <n v="5344"/>
    <n v="0"/>
    <n v="5344"/>
    <s v=""/>
    <s v=""/>
    <s v=""/>
    <s v=""/>
    <n v="5344"/>
    <m/>
    <m/>
    <m/>
    <m/>
    <m/>
    <m/>
    <m/>
    <m/>
    <m/>
    <m/>
    <m/>
    <n v="0"/>
    <s v=""/>
    <s v=""/>
    <s v=""/>
    <s v=""/>
    <s v=""/>
    <s v=""/>
    <s v=""/>
    <s v=""/>
    <s v=""/>
    <s v=""/>
    <s v=""/>
    <s v=""/>
    <n v="0"/>
    <s v=""/>
    <m/>
    <s v="53"/>
    <m/>
  </r>
  <r>
    <n v="876"/>
    <m/>
    <m/>
    <m/>
    <m/>
    <m/>
    <m/>
    <m/>
    <m/>
    <m/>
    <s v="Corporación Ciudad Alfaro"/>
    <x v="0"/>
    <s v="CCA"/>
    <s v="N/A"/>
    <s v="N/A"/>
    <s v="Corriente"/>
    <s v="N/A"/>
    <s v="N/A"/>
    <s v="N/A"/>
    <s v="N/A"/>
    <s v="N/A"/>
    <s v="N/A"/>
    <s v="PLURIANUAL 2024 - 2025"/>
    <s v="Contratación del servicio de Aseo y limpieza para el Museo Bahía de Caráquez, durante el período 2024-2025"/>
    <s v="0035"/>
    <s v="80"/>
    <s v="000"/>
    <s v="002"/>
    <s v="53"/>
    <n v="530209"/>
    <s v="Servicios de Aseo, Lavado de Vestimenta de Trabajo, Fumigación, Desinfección,  Limpieza de Instalaciones, manejo_x000a_de desechos contaminados, recuperación y clasificación de materiales reciclables."/>
    <n v="1314"/>
    <s v="001"/>
    <s v="0000"/>
    <s v="0000"/>
    <s v="H21"/>
    <s v="N/A"/>
    <n v="0"/>
    <n v="0"/>
    <n v="0"/>
    <n v="5344"/>
    <n v="0"/>
    <n v="0"/>
    <n v="0"/>
    <n v="5344"/>
    <n v="0"/>
    <n v="5344"/>
    <m/>
    <m/>
    <m/>
    <m/>
    <m/>
    <m/>
    <m/>
    <m/>
    <m/>
    <n v="700"/>
    <n v="2322"/>
    <n v="2322"/>
    <n v="0"/>
    <n v="5344"/>
    <n v="0"/>
    <m/>
    <m/>
    <m/>
    <n v="5344"/>
    <n v="0"/>
    <n v="5344"/>
    <n v="0"/>
    <n v="5344"/>
    <s v=""/>
    <s v=""/>
    <s v=""/>
    <s v=""/>
    <n v="5344"/>
    <m/>
    <m/>
    <m/>
    <m/>
    <m/>
    <m/>
    <m/>
    <m/>
    <m/>
    <m/>
    <m/>
    <n v="0"/>
    <s v=""/>
    <s v=""/>
    <s v=""/>
    <s v=""/>
    <s v=""/>
    <s v=""/>
    <s v=""/>
    <s v=""/>
    <s v=""/>
    <s v=""/>
    <s v=""/>
    <s v=""/>
    <n v="0"/>
    <s v=""/>
    <m/>
    <s v="53"/>
    <m/>
  </r>
  <r>
    <n v="877"/>
    <m/>
    <m/>
    <m/>
    <m/>
    <m/>
    <m/>
    <m/>
    <m/>
    <m/>
    <s v="Corporación Ciudad Alfaro"/>
    <x v="0"/>
    <s v="CCA"/>
    <s v="N/A"/>
    <s v="N/A"/>
    <s v="Corriente"/>
    <s v="N/A"/>
    <s v="N/A"/>
    <s v="N/A"/>
    <s v="N/A"/>
    <s v="N/A"/>
    <s v="N/A"/>
    <s v="PLURIANUAL 2024 - 2025"/>
    <s v="Contratación del servicio de vigilancia y seguridad privada para el Museo Nuclear Corporación Ciudad Alfaro y sus Sedes, durante el período 2024-2025"/>
    <s v="0035"/>
    <s v="80"/>
    <s v="000"/>
    <s v="002"/>
    <s v="53"/>
    <n v="530208"/>
    <s v="Servicio de Seguridad y Vigilancia"/>
    <n v="1309"/>
    <s v="001"/>
    <s v="0000"/>
    <s v="0000"/>
    <s v="H21"/>
    <s v="N/A"/>
    <n v="0"/>
    <n v="0"/>
    <n v="0"/>
    <n v="9204"/>
    <n v="0"/>
    <n v="0"/>
    <n v="0"/>
    <n v="9204"/>
    <n v="0"/>
    <n v="9204"/>
    <m/>
    <m/>
    <m/>
    <m/>
    <m/>
    <m/>
    <m/>
    <m/>
    <m/>
    <m/>
    <m/>
    <n v="9204"/>
    <n v="0"/>
    <n v="9204"/>
    <n v="0"/>
    <m/>
    <m/>
    <m/>
    <n v="16"/>
    <n v="9188"/>
    <n v="16"/>
    <n v="0"/>
    <n v="16"/>
    <s v=""/>
    <s v=""/>
    <s v=""/>
    <s v=""/>
    <n v="9204"/>
    <m/>
    <m/>
    <m/>
    <m/>
    <m/>
    <m/>
    <m/>
    <m/>
    <m/>
    <m/>
    <m/>
    <n v="0"/>
    <s v=""/>
    <s v=""/>
    <s v=""/>
    <s v=""/>
    <s v=""/>
    <s v=""/>
    <s v=""/>
    <s v=""/>
    <s v=""/>
    <s v=""/>
    <s v=""/>
    <s v=""/>
    <n v="0"/>
    <s v=""/>
    <m/>
    <s v="53"/>
    <m/>
  </r>
  <r>
    <n v="931"/>
    <m/>
    <m/>
    <m/>
    <m/>
    <m/>
    <m/>
    <m/>
    <m/>
    <m/>
    <s v="Corporación Ciudad Alfaro"/>
    <x v="0"/>
    <s v="CCA"/>
    <s v="N/A"/>
    <s v="N/A"/>
    <s v="Corriente"/>
    <s v="N/A"/>
    <s v="N/A"/>
    <s v="N/A"/>
    <s v="N/A"/>
    <s v="N/A"/>
    <s v="N/A"/>
    <s v="NUEVA"/>
    <s v="Contratación del servicio de mantenimiento preventivo de hardware de los equipos informáticos para el Museo Nuclear Corporación Ciudad Alfaro y sus sedes"/>
    <s v="0035"/>
    <s v="80"/>
    <s v="000"/>
    <s v="002"/>
    <n v="53"/>
    <n v="530701"/>
    <s v="Desarrollo, Actualización, Asistencia Técnica y Soporte de Sistemas Informáticos"/>
    <n v="1309"/>
    <s v="001"/>
    <s v="0000"/>
    <s v="0000"/>
    <s v="H21"/>
    <s v="N/A"/>
    <n v="0"/>
    <n v="0"/>
    <n v="0"/>
    <n v="400"/>
    <n v="0"/>
    <n v="0"/>
    <n v="0"/>
    <n v="400"/>
    <n v="0"/>
    <n v="400"/>
    <m/>
    <m/>
    <m/>
    <m/>
    <m/>
    <m/>
    <m/>
    <m/>
    <n v="400"/>
    <m/>
    <m/>
    <m/>
    <n v="0"/>
    <n v="400"/>
    <n v="0"/>
    <m/>
    <m/>
    <m/>
    <s v=""/>
    <s v=""/>
    <s v=""/>
    <s v=""/>
    <s v=""/>
    <s v=""/>
    <s v=""/>
    <s v=""/>
    <s v=""/>
    <n v="400"/>
    <m/>
    <m/>
    <m/>
    <m/>
    <m/>
    <m/>
    <m/>
    <m/>
    <m/>
    <m/>
    <m/>
    <n v="0"/>
    <s v=""/>
    <s v=""/>
    <s v=""/>
    <s v=""/>
    <s v=""/>
    <s v=""/>
    <s v=""/>
    <s v=""/>
    <s v=""/>
    <s v=""/>
    <s v=""/>
    <s v=""/>
    <n v="0"/>
    <s v=""/>
    <m/>
    <s v="53"/>
    <m/>
  </r>
  <r>
    <n v="932"/>
    <m/>
    <m/>
    <m/>
    <m/>
    <m/>
    <m/>
    <m/>
    <m/>
    <m/>
    <s v="Corporación Ciudad Alfaro"/>
    <x v="0"/>
    <s v="CCA"/>
    <s v="N/A"/>
    <s v="N/A"/>
    <s v="Corriente"/>
    <s v="N/A"/>
    <s v="N/A"/>
    <s v="N/A"/>
    <s v="N/A"/>
    <s v="N/A"/>
    <s v="N/A"/>
    <s v="NUEVA"/>
    <s v="Reintegro de gastos para los Servidores y Trabajadores de la_x000a_Corporación Ciudad Alfaro y sus Sedes por concepto de combustible_x000a_utilizado en comisión de servicios institucionales"/>
    <s v="0035"/>
    <s v="80"/>
    <s v="000"/>
    <s v="002"/>
    <n v="53"/>
    <n v="530255"/>
    <s v="Combustibles"/>
    <n v="1309"/>
    <s v="001"/>
    <s v="0000"/>
    <s v="0000"/>
    <s v="H21"/>
    <s v="N/A"/>
    <n v="0"/>
    <n v="0"/>
    <n v="0"/>
    <n v="1000"/>
    <n v="0"/>
    <n v="0"/>
    <n v="0"/>
    <n v="1000"/>
    <n v="0"/>
    <n v="1000"/>
    <m/>
    <m/>
    <m/>
    <m/>
    <m/>
    <m/>
    <n v="166.67"/>
    <n v="166.67"/>
    <n v="166.67"/>
    <n v="166.67"/>
    <n v="166.67"/>
    <n v="166.65"/>
    <n v="0"/>
    <n v="999.99999999999989"/>
    <n v="0"/>
    <m/>
    <m/>
    <m/>
    <s v=""/>
    <s v=""/>
    <s v=""/>
    <s v=""/>
    <s v=""/>
    <s v=""/>
    <s v=""/>
    <s v=""/>
    <s v=""/>
    <n v="1000"/>
    <m/>
    <m/>
    <m/>
    <m/>
    <m/>
    <m/>
    <m/>
    <m/>
    <m/>
    <m/>
    <m/>
    <n v="0"/>
    <s v=""/>
    <s v=""/>
    <s v=""/>
    <s v=""/>
    <s v=""/>
    <s v=""/>
    <s v=""/>
    <s v=""/>
    <s v=""/>
    <s v=""/>
    <s v=""/>
    <s v=""/>
    <n v="0"/>
    <s v=""/>
    <m/>
    <s v="53"/>
    <m/>
  </r>
  <r>
    <n v="933"/>
    <m/>
    <m/>
    <m/>
    <m/>
    <m/>
    <m/>
    <m/>
    <m/>
    <m/>
    <s v="Corporación Ciudad Alfaro"/>
    <x v="0"/>
    <s v="CCA"/>
    <s v="N/A"/>
    <s v="N/A"/>
    <s v="Corriente"/>
    <s v="N/A"/>
    <s v="N/A"/>
    <s v="N/A"/>
    <s v="N/A"/>
    <s v="N/A"/>
    <s v="N/A"/>
    <s v="NUEVA"/>
    <s v="Contratación del servicio de mantenimiento preventivo y correctivo_x000a_de bombas sumergibles y bombas de agua potable en el Museo_x000a_Centro Cultural Manta, sede de la Corporación Ciudad Alfaro"/>
    <s v="0035"/>
    <s v="80"/>
    <s v="000"/>
    <s v="002"/>
    <n v="53"/>
    <n v="530404"/>
    <s v="Maquinarias y Equipos (Instalación, Mantenimiento y Reparación)"/>
    <n v="1308"/>
    <s v="001"/>
    <s v="0000"/>
    <s v="0000"/>
    <s v="H21"/>
    <s v="N/A"/>
    <m/>
    <m/>
    <m/>
    <n v="4800"/>
    <n v="0"/>
    <n v="0"/>
    <n v="0"/>
    <n v="4800"/>
    <n v="0"/>
    <n v="4800"/>
    <m/>
    <m/>
    <m/>
    <m/>
    <m/>
    <m/>
    <m/>
    <n v="4800"/>
    <m/>
    <m/>
    <m/>
    <m/>
    <n v="0"/>
    <n v="4800"/>
    <n v="0"/>
    <m/>
    <m/>
    <m/>
    <s v=""/>
    <s v=""/>
    <s v=""/>
    <s v=""/>
    <s v=""/>
    <s v=""/>
    <s v=""/>
    <s v=""/>
    <s v=""/>
    <n v="4800"/>
    <m/>
    <m/>
    <m/>
    <m/>
    <m/>
    <m/>
    <m/>
    <m/>
    <m/>
    <m/>
    <m/>
    <m/>
    <s v=""/>
    <s v=""/>
    <s v=""/>
    <s v=""/>
    <s v=""/>
    <s v=""/>
    <s v=""/>
    <s v=""/>
    <s v=""/>
    <s v=""/>
    <s v=""/>
    <s v=""/>
    <n v="0"/>
    <s v=""/>
    <m/>
    <s v="53"/>
    <m/>
  </r>
  <r>
    <n v="956"/>
    <m/>
    <m/>
    <m/>
    <m/>
    <m/>
    <m/>
    <m/>
    <m/>
    <m/>
    <s v="Corporación Ciudad Alfaro"/>
    <x v="0"/>
    <s v="CCA"/>
    <s v="N/A"/>
    <s v="N/A"/>
    <s v="Corriente"/>
    <s v="N/A"/>
    <s v="N/A"/>
    <s v="N/A"/>
    <s v="N/A"/>
    <s v="N/A"/>
    <s v="N/A"/>
    <s v="NUEVA"/>
    <s v="Contratación del servicio de mantenimiento de las letras corpóreas de la entrada del edificio Museo Centro Cultural Manta"/>
    <s v="0035"/>
    <s v="80"/>
    <s v="000"/>
    <s v="002"/>
    <n v="53"/>
    <n v="530402"/>
    <s v="Edificios, Locales, Residencias y Cableado Estructurado (Instalación, Mantenimiento y Reparación)"/>
    <n v="1308"/>
    <s v="001"/>
    <s v="0000"/>
    <s v="0000"/>
    <s v="H21"/>
    <s v="N/A"/>
    <m/>
    <m/>
    <m/>
    <n v="2500"/>
    <n v="0"/>
    <n v="0"/>
    <n v="0"/>
    <n v="2500"/>
    <n v="0"/>
    <n v="2500"/>
    <m/>
    <m/>
    <m/>
    <m/>
    <m/>
    <m/>
    <m/>
    <m/>
    <n v="2500"/>
    <m/>
    <m/>
    <m/>
    <n v="0"/>
    <n v="2500"/>
    <n v="0"/>
    <m/>
    <m/>
    <m/>
    <s v=""/>
    <s v=""/>
    <s v=""/>
    <s v=""/>
    <s v=""/>
    <s v=""/>
    <s v=""/>
    <s v=""/>
    <s v=""/>
    <n v="2500"/>
    <m/>
    <m/>
    <m/>
    <m/>
    <m/>
    <m/>
    <m/>
    <m/>
    <m/>
    <m/>
    <m/>
    <m/>
    <s v=""/>
    <s v=""/>
    <s v=""/>
    <s v=""/>
    <s v=""/>
    <s v=""/>
    <s v=""/>
    <s v=""/>
    <s v=""/>
    <s v=""/>
    <s v=""/>
    <s v=""/>
    <n v="0"/>
    <s v=""/>
    <m/>
    <s v="53"/>
    <m/>
  </r>
  <r>
    <n v="957"/>
    <m/>
    <m/>
    <m/>
    <m/>
    <m/>
    <m/>
    <m/>
    <m/>
    <m/>
    <s v="Corporación Ciudad Alfaro"/>
    <x v="0"/>
    <s v="CCA"/>
    <s v="N/A"/>
    <s v="N/A"/>
    <s v="Corriente"/>
    <s v="N/A"/>
    <s v="N/A"/>
    <s v="N/A"/>
    <s v="N/A"/>
    <s v="N/A"/>
    <s v="N/A"/>
    <s v="NUEVA"/>
    <s v="Contratación del servicio de mantenimiento de la fachada frontal y laterales del edificio Museo Centro Cultural Manta."/>
    <s v="0035"/>
    <s v="80"/>
    <s v="000"/>
    <s v="002"/>
    <n v="53"/>
    <n v="530402"/>
    <s v="Edificios, Locales, Residencias y Cableado Estructurado (Instalación, Mantenimiento y Reparación)"/>
    <n v="1308"/>
    <s v="001"/>
    <s v="0000"/>
    <s v="0000"/>
    <s v="H21"/>
    <s v="N/A"/>
    <m/>
    <m/>
    <m/>
    <n v="12500"/>
    <n v="0"/>
    <n v="0"/>
    <n v="0"/>
    <n v="12500"/>
    <n v="0"/>
    <n v="12500"/>
    <m/>
    <m/>
    <m/>
    <m/>
    <m/>
    <m/>
    <m/>
    <m/>
    <m/>
    <n v="12500"/>
    <m/>
    <m/>
    <n v="0"/>
    <n v="12500"/>
    <n v="0"/>
    <m/>
    <m/>
    <m/>
    <s v=""/>
    <s v=""/>
    <s v=""/>
    <s v=""/>
    <s v=""/>
    <s v=""/>
    <s v=""/>
    <s v=""/>
    <s v=""/>
    <n v="12500"/>
    <m/>
    <m/>
    <n v="0"/>
    <m/>
    <m/>
    <m/>
    <m/>
    <m/>
    <m/>
    <m/>
    <m/>
    <m/>
    <s v=""/>
    <s v=""/>
    <s v=""/>
    <s v=""/>
    <s v=""/>
    <s v=""/>
    <s v=""/>
    <s v=""/>
    <s v=""/>
    <s v=""/>
    <s v=""/>
    <s v=""/>
    <n v="0"/>
    <s v=""/>
    <m/>
    <s v="53"/>
    <m/>
  </r>
  <r>
    <n v="958"/>
    <m/>
    <m/>
    <m/>
    <m/>
    <m/>
    <m/>
    <m/>
    <m/>
    <m/>
    <s v="Corporación Ciudad Alfaro"/>
    <x v="0"/>
    <s v="CCA"/>
    <s v="N/A"/>
    <s v="N/A"/>
    <s v="Corriente"/>
    <s v="N/A"/>
    <s v="N/A"/>
    <s v="N/A"/>
    <s v="N/A"/>
    <s v="N/A"/>
    <s v="N/A"/>
    <s v="NUEVA"/>
    <s v="Contratación del servicio de mantenimiento preventivo y correctivo de las cerchas metálicas, ventanas, puertas y mampostería del Museo artesanal Cancebí de la Corporación Ciudad Alfaro."/>
    <s v="0035"/>
    <s v="80"/>
    <s v="000"/>
    <s v="002"/>
    <n v="53"/>
    <n v="530402"/>
    <s v="Edificios, Locales, Residencias y Cableado Estructurado (Instalación, Mantenimiento y Reparación)"/>
    <n v="1309"/>
    <s v="001"/>
    <s v="0000"/>
    <s v="0000"/>
    <s v="H21"/>
    <s v="N/A"/>
    <m/>
    <m/>
    <m/>
    <n v="15000"/>
    <n v="0"/>
    <n v="0"/>
    <n v="0"/>
    <n v="15000"/>
    <n v="0"/>
    <n v="15000"/>
    <m/>
    <m/>
    <m/>
    <m/>
    <m/>
    <m/>
    <m/>
    <m/>
    <n v="15000"/>
    <m/>
    <m/>
    <m/>
    <n v="0"/>
    <n v="15000"/>
    <n v="0"/>
    <m/>
    <m/>
    <m/>
    <s v=""/>
    <s v=""/>
    <s v=""/>
    <s v=""/>
    <s v=""/>
    <s v=""/>
    <s v=""/>
    <s v=""/>
    <s v=""/>
    <n v="15000"/>
    <m/>
    <m/>
    <m/>
    <m/>
    <m/>
    <m/>
    <m/>
    <m/>
    <m/>
    <m/>
    <m/>
    <m/>
    <s v=""/>
    <s v=""/>
    <s v=""/>
    <s v=""/>
    <s v=""/>
    <s v=""/>
    <s v=""/>
    <s v=""/>
    <s v=""/>
    <s v=""/>
    <s v=""/>
    <s v=""/>
    <n v="0"/>
    <s v=""/>
    <m/>
    <s v="53"/>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20"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E5" firstHeaderRow="0" firstDataRow="1" firstDataCol="1"/>
  <pivotFields count="104">
    <pivotField showAll="0"/>
    <pivotField showAll="0"/>
    <pivotField showAll="0"/>
    <pivotField showAll="0"/>
    <pivotField showAll="0"/>
    <pivotField showAll="0"/>
    <pivotField showAll="0"/>
    <pivotField showAll="0"/>
    <pivotField showAll="0"/>
    <pivotField showAll="0"/>
    <pivotField showAll="0"/>
    <pivotField axis="axisRow" showAll="0">
      <items count="9">
        <item m="1" x="2"/>
        <item m="1" x="3"/>
        <item x="0"/>
        <item m="1" x="4"/>
        <item m="1" x="7"/>
        <item m="1" x="5"/>
        <item m="1" x="1"/>
        <item m="1"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8" showAll="0"/>
    <pivotField numFmtId="168"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168" showAll="0"/>
    <pivotField numFmtId="168" showAll="0"/>
    <pivotField showAll="0"/>
    <pivotField showAll="0"/>
    <pivotField showAll="0"/>
    <pivotField showAll="0"/>
    <pivotField showAll="0"/>
    <pivotField showAll="0"/>
    <pivotField dataField="1" showAll="0"/>
    <pivotField showAll="0"/>
    <pivotField showAll="0"/>
    <pivotField dataField="1" showAll="0"/>
    <pivotField showAll="0"/>
    <pivotField showAll="0"/>
    <pivotField numFmtId="168"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8" showAll="0"/>
    <pivotField showAll="0"/>
    <pivotField showAll="0"/>
    <pivotField showAll="0"/>
    <pivotField showAll="0"/>
  </pivotFields>
  <rowFields count="1">
    <field x="11"/>
  </rowFields>
  <rowItems count="2">
    <i>
      <x v="2"/>
    </i>
    <i t="grand">
      <x/>
    </i>
  </rowItems>
  <colFields count="1">
    <field x="-2"/>
  </colFields>
  <colItems count="4">
    <i>
      <x/>
    </i>
    <i i="1">
      <x v="1"/>
    </i>
    <i i="2">
      <x v="2"/>
    </i>
    <i i="3">
      <x v="3"/>
    </i>
  </colItems>
  <dataFields count="4">
    <dataField name="Suma de MONTO ACTUAL ACTIVIDAD" fld="46" baseField="0" baseItem="0"/>
    <dataField name="Suma de TOTAL REPROGRAMADO" fld="60" baseField="0" baseItem="0"/>
    <dataField name="Suma de TOTAL COMPROMETIDO" fld="68" baseField="0" baseItem="0"/>
    <dataField name="Suma de TOTAL DEVENGADO" fld="7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Arial"/>
        <a:cs typeface="Arial"/>
      </a:majorFont>
      <a:minorFont>
        <a:latin typeface="Calibri"/>
        <a:ea typeface="Arial"/>
        <a:cs typeface="Arial"/>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BR844"/>
  <sheetViews>
    <sheetView topLeftCell="AS834" zoomScale="80" zoomScaleNormal="80" workbookViewId="0">
      <selection activeCell="AV847" sqref="AV847"/>
    </sheetView>
  </sheetViews>
  <sheetFormatPr baseColWidth="10" defaultColWidth="5.85546875" defaultRowHeight="25.5" customHeight="1"/>
  <cols>
    <col min="1" max="1" width="5.140625" style="213" customWidth="1"/>
    <col min="2" max="2" width="21.7109375" style="213" customWidth="1"/>
    <col min="3" max="3" width="16.42578125" style="213" customWidth="1"/>
    <col min="4" max="4" width="20.28515625" style="213" customWidth="1"/>
    <col min="5" max="5" width="11.5703125" style="213" customWidth="1"/>
    <col min="6" max="6" width="19" style="213" customWidth="1"/>
    <col min="7" max="7" width="24" style="213" customWidth="1"/>
    <col min="8" max="8" width="25.85546875" style="213" customWidth="1"/>
    <col min="9" max="9" width="26.85546875" style="213" customWidth="1"/>
    <col min="10" max="10" width="32.42578125" style="213" customWidth="1"/>
    <col min="11" max="11" width="19.85546875" style="213" customWidth="1"/>
    <col min="12" max="12" width="17.7109375" style="213" customWidth="1"/>
    <col min="13" max="13" width="48.28515625" style="213" customWidth="1"/>
    <col min="14" max="17" width="13.5703125" style="214" customWidth="1"/>
    <col min="18" max="18" width="13.5703125" style="213" customWidth="1"/>
    <col min="19" max="19" width="13.5703125" style="270" customWidth="1"/>
    <col min="20" max="20" width="24" style="213" customWidth="1"/>
    <col min="21" max="24" width="13.5703125" style="213" customWidth="1"/>
    <col min="25" max="25" width="13.5703125" style="275" customWidth="1"/>
    <col min="26" max="26" width="16.7109375" style="275" customWidth="1"/>
    <col min="27" max="27" width="21.28515625" style="275" customWidth="1"/>
    <col min="28" max="28" width="12.42578125" style="275" customWidth="1"/>
    <col min="29" max="29" width="18.140625" style="275" customWidth="1"/>
    <col min="30" max="30" width="13.85546875" style="275" customWidth="1"/>
    <col min="31" max="31" width="14.28515625" style="275" customWidth="1"/>
    <col min="32" max="32" width="19.85546875" style="275" customWidth="1"/>
    <col min="33" max="33" width="16.42578125" style="275" customWidth="1"/>
    <col min="34" max="35" width="11.42578125" style="275" customWidth="1"/>
    <col min="36" max="36" width="13.140625" style="275" customWidth="1"/>
    <col min="37" max="37" width="15" style="275" customWidth="1"/>
    <col min="38" max="38" width="14.140625" style="275" customWidth="1"/>
    <col min="39" max="39" width="13.5703125" style="275" customWidth="1"/>
    <col min="40" max="40" width="13" style="275" customWidth="1"/>
    <col min="41" max="41" width="18.42578125" style="275" customWidth="1"/>
    <col min="42" max="42" width="18" style="275" customWidth="1"/>
    <col min="43" max="43" width="24" style="275" customWidth="1"/>
    <col min="44" max="44" width="25.7109375" style="275" customWidth="1"/>
    <col min="45" max="45" width="10.28515625" style="275" customWidth="1"/>
    <col min="46" max="46" width="16.5703125" style="275" customWidth="1"/>
    <col min="47" max="47" width="22.28515625" style="275" customWidth="1"/>
    <col min="48" max="49" width="14" style="275" customWidth="1"/>
    <col min="50" max="50" width="24.7109375" style="275" customWidth="1"/>
    <col min="51" max="51" width="14.140625" style="275" customWidth="1"/>
    <col min="52" max="52" width="11.42578125" style="275" customWidth="1"/>
    <col min="53" max="53" width="17" style="275" customWidth="1"/>
    <col min="54" max="54" width="13.85546875" style="275" customWidth="1"/>
    <col min="55" max="66" width="13.7109375" style="275" customWidth="1"/>
    <col min="67" max="67" width="13" style="275" customWidth="1"/>
    <col min="68" max="68" width="11" style="275" customWidth="1"/>
    <col min="69" max="69" width="12.42578125" style="275" customWidth="1"/>
    <col min="70" max="70" width="5.85546875" style="213" customWidth="1"/>
    <col min="71" max="16384" width="5.85546875" style="213"/>
  </cols>
  <sheetData>
    <row r="1" spans="1:70" s="225" customFormat="1" ht="44.45" hidden="1" customHeight="1">
      <c r="A1" s="513" t="s">
        <v>0</v>
      </c>
      <c r="B1" s="514"/>
      <c r="C1" s="514"/>
      <c r="D1" s="514"/>
      <c r="E1" s="514"/>
      <c r="F1" s="514"/>
      <c r="G1" s="514"/>
      <c r="H1" s="514"/>
      <c r="I1" s="514"/>
      <c r="J1" s="514"/>
      <c r="K1" s="514"/>
      <c r="L1" s="514"/>
      <c r="M1" s="514"/>
      <c r="N1" s="514"/>
      <c r="O1" s="514"/>
      <c r="P1" s="514"/>
      <c r="Q1" s="514"/>
      <c r="R1" s="514"/>
      <c r="S1" s="514"/>
      <c r="T1" s="514"/>
      <c r="U1" s="514"/>
      <c r="V1" s="514"/>
      <c r="W1" s="514"/>
      <c r="X1" s="514"/>
      <c r="Y1" s="514"/>
      <c r="Z1" s="514"/>
      <c r="AA1" s="514"/>
      <c r="AB1" s="514"/>
      <c r="AC1" s="514"/>
      <c r="AD1" s="514"/>
      <c r="AE1" s="514"/>
      <c r="AF1" s="514"/>
      <c r="AG1" s="514"/>
      <c r="AH1" s="514"/>
      <c r="AI1" s="514"/>
      <c r="AJ1" s="514"/>
      <c r="AK1" s="514"/>
      <c r="AL1" s="514"/>
      <c r="AM1" s="514"/>
      <c r="AN1" s="514"/>
      <c r="AO1" s="514"/>
      <c r="AP1" s="514"/>
      <c r="AQ1" s="276"/>
      <c r="AR1" s="276"/>
      <c r="AS1" s="276"/>
      <c r="AT1" s="276"/>
      <c r="AU1" s="276"/>
      <c r="AV1" s="276"/>
      <c r="AW1" s="276"/>
      <c r="AX1" s="276"/>
      <c r="AY1" s="276"/>
      <c r="AZ1" s="276"/>
      <c r="BA1" s="277"/>
      <c r="BB1" s="276"/>
      <c r="BC1" s="276"/>
      <c r="BD1" s="276"/>
      <c r="BE1" s="276"/>
      <c r="BF1" s="276"/>
      <c r="BG1" s="276"/>
      <c r="BH1" s="276"/>
      <c r="BI1" s="276"/>
      <c r="BJ1" s="276"/>
      <c r="BK1" s="276"/>
      <c r="BL1" s="276"/>
      <c r="BM1" s="276"/>
      <c r="BN1" s="276"/>
      <c r="BO1" s="276"/>
      <c r="BP1" s="276"/>
      <c r="BQ1" s="276"/>
      <c r="BR1" s="276"/>
    </row>
    <row r="2" spans="1:70" s="225" customFormat="1" ht="39.200000000000003" hidden="1" customHeight="1">
      <c r="A2" s="515" t="s">
        <v>1</v>
      </c>
      <c r="B2" s="516"/>
      <c r="C2" s="516"/>
      <c r="D2" s="516"/>
      <c r="E2" s="516"/>
      <c r="F2" s="516"/>
      <c r="G2" s="516"/>
      <c r="H2" s="516"/>
      <c r="I2" s="516"/>
      <c r="J2" s="516"/>
      <c r="K2" s="516"/>
      <c r="L2" s="516"/>
      <c r="M2" s="516"/>
      <c r="N2" s="516"/>
      <c r="O2" s="516"/>
      <c r="P2" s="516"/>
      <c r="Q2" s="516"/>
      <c r="R2" s="516"/>
      <c r="S2" s="516"/>
      <c r="T2" s="516"/>
      <c r="U2" s="516"/>
      <c r="V2" s="516"/>
      <c r="W2" s="516"/>
      <c r="X2" s="516"/>
      <c r="Y2" s="516"/>
      <c r="Z2" s="516"/>
      <c r="AA2" s="516"/>
      <c r="AB2" s="516"/>
      <c r="AC2" s="516"/>
      <c r="AD2" s="516"/>
      <c r="AE2" s="516"/>
      <c r="AF2" s="516"/>
      <c r="AG2" s="516"/>
      <c r="AH2" s="516"/>
      <c r="AI2" s="516"/>
      <c r="AJ2" s="516"/>
      <c r="AK2" s="516"/>
      <c r="AL2" s="516"/>
      <c r="AM2" s="516"/>
      <c r="AN2" s="516"/>
      <c r="AO2" s="516"/>
      <c r="AP2" s="516"/>
      <c r="AQ2" s="278"/>
      <c r="AR2" s="278"/>
      <c r="AS2" s="278"/>
      <c r="AT2" s="278"/>
      <c r="AU2" s="278"/>
      <c r="AV2" s="278"/>
      <c r="AW2" s="278"/>
      <c r="AX2" s="278"/>
      <c r="AY2" s="278"/>
      <c r="AZ2" s="278"/>
      <c r="BA2" s="277"/>
      <c r="BB2" s="278"/>
      <c r="BC2" s="278"/>
      <c r="BD2" s="278"/>
      <c r="BE2" s="278"/>
      <c r="BF2" s="278"/>
      <c r="BG2" s="278"/>
      <c r="BH2" s="278"/>
      <c r="BI2" s="278"/>
      <c r="BJ2" s="278"/>
      <c r="BK2" s="278"/>
      <c r="BL2" s="278"/>
      <c r="BM2" s="278"/>
      <c r="BN2" s="278"/>
      <c r="BO2" s="278"/>
      <c r="BP2" s="278"/>
      <c r="BQ2" s="278"/>
      <c r="BR2" s="278"/>
    </row>
    <row r="3" spans="1:70" s="225" customFormat="1" ht="30.75" hidden="1" customHeight="1">
      <c r="A3" s="517" t="s">
        <v>2</v>
      </c>
      <c r="B3" s="518"/>
      <c r="C3" s="518"/>
      <c r="D3" s="518"/>
      <c r="E3" s="518"/>
      <c r="F3" s="518"/>
      <c r="G3" s="518"/>
      <c r="H3" s="518"/>
      <c r="I3" s="518"/>
      <c r="J3" s="518"/>
      <c r="K3" s="518"/>
      <c r="L3" s="518"/>
      <c r="M3" s="518"/>
      <c r="N3" s="518"/>
      <c r="O3" s="518"/>
      <c r="P3" s="518"/>
      <c r="Q3" s="518"/>
      <c r="R3" s="518"/>
      <c r="S3" s="518"/>
      <c r="T3" s="518"/>
      <c r="U3" s="518"/>
      <c r="V3" s="518"/>
      <c r="W3" s="518"/>
      <c r="X3" s="518"/>
      <c r="Y3" s="518"/>
      <c r="Z3" s="518"/>
      <c r="AA3" s="518"/>
      <c r="AB3" s="518"/>
      <c r="AC3" s="518"/>
      <c r="AD3" s="518"/>
      <c r="AE3" s="518"/>
      <c r="AF3" s="518"/>
      <c r="AG3" s="518"/>
      <c r="AH3" s="518"/>
      <c r="AI3" s="518"/>
      <c r="AJ3" s="518"/>
      <c r="AK3" s="518"/>
      <c r="AL3" s="518"/>
      <c r="AM3" s="518"/>
      <c r="AN3" s="518"/>
      <c r="AO3" s="518"/>
      <c r="AP3" s="518"/>
      <c r="AQ3" s="276"/>
      <c r="AR3" s="276"/>
      <c r="AS3" s="276"/>
      <c r="AT3" s="276"/>
      <c r="AU3" s="276"/>
      <c r="AV3" s="276"/>
      <c r="AW3" s="276"/>
      <c r="AX3" s="276"/>
      <c r="AY3" s="276"/>
      <c r="AZ3" s="276"/>
      <c r="BA3" s="277"/>
      <c r="BB3" s="276"/>
      <c r="BC3" s="276"/>
      <c r="BD3" s="276"/>
      <c r="BE3" s="276"/>
      <c r="BF3" s="276"/>
      <c r="BG3" s="276"/>
      <c r="BH3" s="276"/>
      <c r="BI3" s="276"/>
      <c r="BJ3" s="276"/>
      <c r="BK3" s="276"/>
      <c r="BL3" s="276"/>
      <c r="BM3" s="276"/>
      <c r="BN3" s="276"/>
      <c r="BO3" s="276"/>
      <c r="BP3" s="276"/>
      <c r="BQ3" s="276"/>
      <c r="BR3" s="276"/>
    </row>
    <row r="4" spans="1:70" ht="90" customHeight="1">
      <c r="A4" s="65" t="s">
        <v>3</v>
      </c>
      <c r="B4" s="175" t="s">
        <v>4</v>
      </c>
      <c r="C4" s="175" t="s">
        <v>5</v>
      </c>
      <c r="D4" s="175" t="s">
        <v>6</v>
      </c>
      <c r="E4" s="175" t="s">
        <v>7</v>
      </c>
      <c r="F4" s="176" t="s">
        <v>8</v>
      </c>
      <c r="G4" s="175" t="s">
        <v>9</v>
      </c>
      <c r="H4" s="175" t="s">
        <v>10</v>
      </c>
      <c r="I4" s="175" t="s">
        <v>11</v>
      </c>
      <c r="J4" s="175" t="s">
        <v>12</v>
      </c>
      <c r="K4" s="175" t="s">
        <v>13</v>
      </c>
      <c r="L4" s="175" t="s">
        <v>14</v>
      </c>
      <c r="M4" s="177" t="s">
        <v>15</v>
      </c>
      <c r="N4" s="178" t="s">
        <v>16</v>
      </c>
      <c r="O4" s="178" t="s">
        <v>17</v>
      </c>
      <c r="P4" s="178" t="s">
        <v>18</v>
      </c>
      <c r="Q4" s="178" t="s">
        <v>19</v>
      </c>
      <c r="R4" s="176" t="s">
        <v>20</v>
      </c>
      <c r="S4" s="263" t="s">
        <v>21</v>
      </c>
      <c r="T4" s="175" t="s">
        <v>22</v>
      </c>
      <c r="U4" s="176" t="s">
        <v>23</v>
      </c>
      <c r="V4" s="175" t="s">
        <v>24</v>
      </c>
      <c r="W4" s="176" t="s">
        <v>25</v>
      </c>
      <c r="X4" s="176" t="s">
        <v>26</v>
      </c>
      <c r="Y4" s="327" t="s">
        <v>27</v>
      </c>
      <c r="Z4" s="327" t="s">
        <v>28</v>
      </c>
      <c r="AA4" s="327" t="s">
        <v>29</v>
      </c>
      <c r="AB4" s="328" t="s">
        <v>30</v>
      </c>
      <c r="AC4" s="328" t="s">
        <v>31</v>
      </c>
      <c r="AD4" s="328" t="s">
        <v>32</v>
      </c>
      <c r="AE4" s="328" t="s">
        <v>33</v>
      </c>
      <c r="AF4" s="328" t="s">
        <v>34</v>
      </c>
      <c r="AG4" s="328" t="s">
        <v>35</v>
      </c>
      <c r="AH4" s="328" t="s">
        <v>36</v>
      </c>
      <c r="AI4" s="328" t="s">
        <v>37</v>
      </c>
      <c r="AJ4" s="328" t="s">
        <v>38</v>
      </c>
      <c r="AK4" s="328" t="s">
        <v>39</v>
      </c>
      <c r="AL4" s="328" t="s">
        <v>40</v>
      </c>
      <c r="AM4" s="328" t="s">
        <v>41</v>
      </c>
      <c r="AN4" s="329" t="s">
        <v>42</v>
      </c>
      <c r="AO4" s="329" t="s">
        <v>43</v>
      </c>
      <c r="AP4" s="329" t="s">
        <v>44</v>
      </c>
      <c r="AQ4" s="329" t="s">
        <v>45</v>
      </c>
      <c r="AR4" s="329" t="s">
        <v>46</v>
      </c>
      <c r="AS4" s="329" t="s">
        <v>47</v>
      </c>
      <c r="AT4" s="330" t="s">
        <v>48</v>
      </c>
      <c r="AU4" s="331" t="s">
        <v>49</v>
      </c>
      <c r="AV4" s="332" t="s">
        <v>50</v>
      </c>
      <c r="AW4" s="332" t="s">
        <v>51</v>
      </c>
      <c r="AX4" s="332" t="s">
        <v>52</v>
      </c>
      <c r="AY4" s="333" t="s">
        <v>53</v>
      </c>
      <c r="AZ4" s="334" t="s">
        <v>54</v>
      </c>
      <c r="BA4" s="334" t="s">
        <v>55</v>
      </c>
      <c r="BB4" s="334" t="s">
        <v>56</v>
      </c>
      <c r="BC4" s="336" t="s">
        <v>57</v>
      </c>
      <c r="BD4" s="336" t="s">
        <v>58</v>
      </c>
      <c r="BE4" s="336" t="s">
        <v>59</v>
      </c>
      <c r="BF4" s="336" t="s">
        <v>60</v>
      </c>
      <c r="BG4" s="336" t="s">
        <v>61</v>
      </c>
      <c r="BH4" s="336" t="s">
        <v>62</v>
      </c>
      <c r="BI4" s="336" t="s">
        <v>63</v>
      </c>
      <c r="BJ4" s="336" t="s">
        <v>64</v>
      </c>
      <c r="BK4" s="336" t="s">
        <v>65</v>
      </c>
      <c r="BL4" s="336" t="s">
        <v>66</v>
      </c>
      <c r="BM4" s="336" t="s">
        <v>67</v>
      </c>
      <c r="BN4" s="336" t="s">
        <v>68</v>
      </c>
      <c r="BO4" s="335" t="s">
        <v>69</v>
      </c>
      <c r="BP4" s="335" t="s">
        <v>70</v>
      </c>
      <c r="BQ4" s="337" t="s">
        <v>71</v>
      </c>
      <c r="BR4" s="179" t="s">
        <v>72</v>
      </c>
    </row>
    <row r="5" spans="1:70" s="225" customFormat="1" ht="25.5" customHeight="1">
      <c r="A5" s="207">
        <v>1</v>
      </c>
      <c r="B5" s="112" t="s">
        <v>73</v>
      </c>
      <c r="C5" s="112" t="s">
        <v>74</v>
      </c>
      <c r="D5" s="112" t="s">
        <v>75</v>
      </c>
      <c r="E5" s="112" t="s">
        <v>76</v>
      </c>
      <c r="F5" s="112" t="s">
        <v>77</v>
      </c>
      <c r="G5" s="112" t="s">
        <v>77</v>
      </c>
      <c r="H5" s="112" t="s">
        <v>77</v>
      </c>
      <c r="I5" s="112" t="s">
        <v>77</v>
      </c>
      <c r="J5" s="112" t="s">
        <v>77</v>
      </c>
      <c r="K5" s="112" t="s">
        <v>77</v>
      </c>
      <c r="L5" s="112" t="s">
        <v>78</v>
      </c>
      <c r="M5" s="112" t="s">
        <v>79</v>
      </c>
      <c r="N5" s="112">
        <v>9999</v>
      </c>
      <c r="O5" s="114" t="s">
        <v>80</v>
      </c>
      <c r="P5" s="114" t="s">
        <v>81</v>
      </c>
      <c r="Q5" s="114" t="s">
        <v>82</v>
      </c>
      <c r="R5" s="115" t="str">
        <f t="shared" ref="R5:R68" si="0">LEFT(S5,2)</f>
        <v>53</v>
      </c>
      <c r="S5" s="112">
        <v>530701</v>
      </c>
      <c r="T5" s="122" t="e">
        <f>VLOOKUP(S5,ITEM!$C$1:$D$156,2,FALSE)</f>
        <v>#N/A</v>
      </c>
      <c r="U5" s="112" t="s">
        <v>83</v>
      </c>
      <c r="V5" s="112" t="s">
        <v>82</v>
      </c>
      <c r="W5" s="112" t="s">
        <v>84</v>
      </c>
      <c r="X5" s="112" t="s">
        <v>84</v>
      </c>
      <c r="Y5" s="224" t="e">
        <f>'Matriz POA 2024-TRABAJO'!#REF!</f>
        <v>#REF!</v>
      </c>
      <c r="Z5" s="224" t="e">
        <f>'Matriz POA 2024-TRABAJO'!#REF!</f>
        <v>#REF!</v>
      </c>
      <c r="AA5" s="224" t="e">
        <f>'Matriz POA 2024-TRABAJO'!#REF!</f>
        <v>#REF!</v>
      </c>
      <c r="AB5" s="279">
        <v>1014.82</v>
      </c>
      <c r="AC5" s="279">
        <v>1014.82</v>
      </c>
      <c r="AD5" s="279">
        <v>1014.82</v>
      </c>
      <c r="AE5" s="279">
        <v>1014.82</v>
      </c>
      <c r="AF5" s="279">
        <v>1014.82</v>
      </c>
      <c r="AG5" s="279">
        <v>1014.82</v>
      </c>
      <c r="AH5" s="279">
        <v>1014.82</v>
      </c>
      <c r="AI5" s="279">
        <v>1014.82</v>
      </c>
      <c r="AJ5" s="279">
        <v>1014.82</v>
      </c>
      <c r="AK5" s="279">
        <v>1014.82</v>
      </c>
      <c r="AL5" s="279">
        <v>1014.8</v>
      </c>
      <c r="AM5" s="279">
        <v>0</v>
      </c>
      <c r="AN5" s="224" t="e">
        <f>SUM(#REF!)</f>
        <v>#REF!</v>
      </c>
      <c r="AO5" s="224">
        <f t="shared" ref="AO5:AO68" si="1">SUM(AB5:AM5)</f>
        <v>11162.999999999998</v>
      </c>
      <c r="AP5" s="224" t="e">
        <f>+AO5-AA5</f>
        <v>#REF!</v>
      </c>
      <c r="AQ5" s="224"/>
      <c r="AR5" s="224"/>
      <c r="AS5" s="224"/>
      <c r="AT5" s="224" t="str">
        <f>IFERROR(VLOOKUP($A5,'Constancias POA'!$A$2:$DH$9993,17,FALSE),"")</f>
        <v/>
      </c>
      <c r="AU5" s="224" t="str">
        <f t="shared" ref="AU5:AU68" si="2">IFERROR(AA5-AT5,"")</f>
        <v/>
      </c>
      <c r="AV5" s="224" t="str">
        <f>IFERROR(VLOOKUP($A5,CP!$A$1:$U$7992,18,FALSE),"")</f>
        <v/>
      </c>
      <c r="AW5" s="224" t="str">
        <f>IFERROR(VLOOKUP($A5,CP!$A$1:$U$7992,19,FALSE),"")</f>
        <v/>
      </c>
      <c r="AX5" s="224" t="str">
        <f>IFERROR(VLOOKUP($A5,CP!$A$1:$U$7992,20,FALSE),"")</f>
        <v/>
      </c>
      <c r="AY5" s="224" t="str">
        <f>IFERROR(VLOOKUP($A5,CP!$A$1:$U$1,21,FALSE),"")</f>
        <v/>
      </c>
      <c r="AZ5" s="224" t="str">
        <f>IFERROR(VLOOKUP(A5,Devengado!$A$1:AJ1,35,FALSE),"")</f>
        <v/>
      </c>
      <c r="BA5" s="224" t="str">
        <f t="shared" ref="BA5:BA68" si="3">IFERROR((AA5-AZ5),"")</f>
        <v/>
      </c>
      <c r="BB5" s="224" t="str">
        <f>IFERROR(AZ5/#REF!,"")</f>
        <v/>
      </c>
      <c r="BC5" s="224" t="str">
        <f>IFERROR(VLOOKUP($A5,Devengado!$A$1:$AI$1,22,FALSE),"")</f>
        <v/>
      </c>
      <c r="BD5" s="224" t="str">
        <f>IFERROR(VLOOKUP($A5,Devengado!$A$1:$AI$1,23,FALSE),"")</f>
        <v/>
      </c>
      <c r="BE5" s="224" t="str">
        <f>IFERROR(VLOOKUP($A5,Devengado!$A$1:$AI$1,24,FALSE),"")</f>
        <v/>
      </c>
      <c r="BF5" s="224" t="str">
        <f>IFERROR(VLOOKUP($A5,Devengado!$A$1:$AI$1,25,FALSE),"")</f>
        <v/>
      </c>
      <c r="BG5" s="224" t="str">
        <f>IFERROR(VLOOKUP($A5,Devengado!$A$1:$AI$1,26,FALSE),"")</f>
        <v/>
      </c>
      <c r="BH5" s="224" t="str">
        <f>IFERROR(VLOOKUP($A5,Devengado!$A$1:$AI$1,27,FALSE),"")</f>
        <v/>
      </c>
      <c r="BI5" s="224" t="str">
        <f>IFERROR(VLOOKUP($A5,Devengado!$A$1:$AI$1,28,FALSE),"")</f>
        <v/>
      </c>
      <c r="BJ5" s="224" t="str">
        <f>IFERROR(VLOOKUP($A5,Devengado!$A$1:$AI$1,29,FALSE),"")</f>
        <v/>
      </c>
      <c r="BK5" s="224" t="str">
        <f>IFERROR(VLOOKUP($A5,Devengado!$A$1:$AI$1,30,FALSE),"")</f>
        <v/>
      </c>
      <c r="BL5" s="224" t="str">
        <f>IFERROR(VLOOKUP($A5,Devengado!$A$1:$AI$1,31,FALSE),"")</f>
        <v/>
      </c>
      <c r="BM5" s="224" t="str">
        <f>IFERROR(VLOOKUP($A5,Devengado!$A$1:$AI$1,32,FALSE),"")</f>
        <v/>
      </c>
      <c r="BN5" s="224" t="str">
        <f>IFERROR(VLOOKUP($A5,Devengado!$A$1:$AI$1,33,FALSE),"")</f>
        <v/>
      </c>
      <c r="BO5" s="224">
        <f t="shared" ref="BO5:BO68" si="4">SUM(BC5:BN5)</f>
        <v>0</v>
      </c>
      <c r="BP5" s="224" t="str">
        <f t="shared" ref="BP5:BP68" si="5">IFERROR(((AB5+AC5)-AZ5),"")</f>
        <v/>
      </c>
      <c r="BQ5" s="207"/>
      <c r="BR5" s="207" t="str">
        <f t="shared" ref="BR5:BR68" si="6">LEFT(R5,4)</f>
        <v>53</v>
      </c>
    </row>
    <row r="6" spans="1:70" s="225" customFormat="1" ht="25.5" customHeight="1">
      <c r="A6" s="207">
        <v>2</v>
      </c>
      <c r="B6" s="112" t="s">
        <v>73</v>
      </c>
      <c r="C6" s="112" t="s">
        <v>74</v>
      </c>
      <c r="D6" s="112" t="s">
        <v>75</v>
      </c>
      <c r="E6" s="112" t="s">
        <v>76</v>
      </c>
      <c r="F6" s="112" t="s">
        <v>77</v>
      </c>
      <c r="G6" s="112" t="s">
        <v>77</v>
      </c>
      <c r="H6" s="112" t="s">
        <v>77</v>
      </c>
      <c r="I6" s="112" t="s">
        <v>77</v>
      </c>
      <c r="J6" s="112" t="s">
        <v>77</v>
      </c>
      <c r="K6" s="112" t="s">
        <v>77</v>
      </c>
      <c r="L6" s="112" t="s">
        <v>78</v>
      </c>
      <c r="M6" s="112" t="s">
        <v>79</v>
      </c>
      <c r="N6" s="112">
        <v>9999</v>
      </c>
      <c r="O6" s="114" t="s">
        <v>80</v>
      </c>
      <c r="P6" s="114" t="s">
        <v>81</v>
      </c>
      <c r="Q6" s="114" t="s">
        <v>82</v>
      </c>
      <c r="R6" s="115" t="str">
        <f t="shared" si="0"/>
        <v>53</v>
      </c>
      <c r="S6" s="112">
        <v>530105</v>
      </c>
      <c r="T6" s="122" t="str">
        <f>VLOOKUP(S6,ITEM!$C$1:$D$156,2,FALSE)</f>
        <v>Telecomunicaciones</v>
      </c>
      <c r="U6" s="112" t="s">
        <v>83</v>
      </c>
      <c r="V6" s="112" t="s">
        <v>82</v>
      </c>
      <c r="W6" s="112" t="s">
        <v>84</v>
      </c>
      <c r="X6" s="112" t="s">
        <v>84</v>
      </c>
      <c r="Y6" s="224" t="e">
        <f>'Matriz POA 2024-TRABAJO'!#REF!</f>
        <v>#REF!</v>
      </c>
      <c r="Z6" s="224" t="e">
        <f>'Matriz POA 2024-TRABAJO'!#REF!</f>
        <v>#REF!</v>
      </c>
      <c r="AA6" s="224" t="e">
        <f>'Matriz POA 2024-TRABAJO'!#REF!</f>
        <v>#REF!</v>
      </c>
      <c r="AB6" s="279">
        <v>21220.73</v>
      </c>
      <c r="AC6" s="279">
        <v>21220.73</v>
      </c>
      <c r="AD6" s="279">
        <v>21220.73</v>
      </c>
      <c r="AE6" s="279">
        <v>21220.73</v>
      </c>
      <c r="AF6" s="279">
        <v>21220.73</v>
      </c>
      <c r="AG6" s="279">
        <v>21220.73</v>
      </c>
      <c r="AH6" s="279">
        <v>21220.73</v>
      </c>
      <c r="AI6" s="279">
        <v>21220.73</v>
      </c>
      <c r="AJ6" s="279">
        <v>21220.73</v>
      </c>
      <c r="AK6" s="279">
        <v>21220.73</v>
      </c>
      <c r="AL6" s="279">
        <v>21220.7</v>
      </c>
      <c r="AM6" s="279">
        <v>0</v>
      </c>
      <c r="AN6" s="224" t="e">
        <f>SUM(#REF!)</f>
        <v>#REF!</v>
      </c>
      <c r="AO6" s="224">
        <f t="shared" si="1"/>
        <v>233428.00000000003</v>
      </c>
      <c r="AP6" s="224" t="e">
        <f t="shared" ref="AP6:AP69" si="7">+AO6-AA6</f>
        <v>#REF!</v>
      </c>
      <c r="AQ6" s="224"/>
      <c r="AR6" s="224"/>
      <c r="AS6" s="224"/>
      <c r="AT6" s="224" t="str">
        <f>IFERROR(VLOOKUP($A6,'Constancias POA'!$A$2:$DH$9993,17,FALSE),"")</f>
        <v/>
      </c>
      <c r="AU6" s="224" t="str">
        <f t="shared" si="2"/>
        <v/>
      </c>
      <c r="AV6" s="224" t="str">
        <f>IFERROR(VLOOKUP($A6,CP!$A$1:$U$7992,18,FALSE),"")</f>
        <v/>
      </c>
      <c r="AW6" s="224" t="str">
        <f>IFERROR(VLOOKUP($A6,CP!$A$1:$U$7992,19,FALSE),"")</f>
        <v/>
      </c>
      <c r="AX6" s="224" t="str">
        <f>IFERROR(VLOOKUP($A6,CP!$A$1:$U$7992,20,FALSE),"")</f>
        <v/>
      </c>
      <c r="AY6" s="224" t="str">
        <f>IFERROR(VLOOKUP($A6,CP!$A$1:$U$1,21,FALSE),"")</f>
        <v/>
      </c>
      <c r="AZ6" s="224" t="str">
        <f>IFERROR(VLOOKUP(A6,Devengado!$A$1:AJ1,35,FALSE),"")</f>
        <v/>
      </c>
      <c r="BA6" s="224" t="str">
        <f t="shared" si="3"/>
        <v/>
      </c>
      <c r="BB6" s="224" t="str">
        <f>IFERROR(AZ6/#REF!,"")</f>
        <v/>
      </c>
      <c r="BC6" s="224" t="str">
        <f>IFERROR(VLOOKUP($A6,Devengado!$A$1:$AI$1,22,FALSE),"")</f>
        <v/>
      </c>
      <c r="BD6" s="224" t="str">
        <f>IFERROR(VLOOKUP($A6,Devengado!$A$1:$AI$1,23,FALSE),"")</f>
        <v/>
      </c>
      <c r="BE6" s="224" t="str">
        <f>IFERROR(VLOOKUP($A6,Devengado!$A$1:$AI$1,24,FALSE),"")</f>
        <v/>
      </c>
      <c r="BF6" s="224" t="str">
        <f>IFERROR(VLOOKUP($A6,Devengado!$A$1:$AI$1,25,FALSE),"")</f>
        <v/>
      </c>
      <c r="BG6" s="224" t="str">
        <f>IFERROR(VLOOKUP($A6,Devengado!$A$1:$AI$1,26,FALSE),"")</f>
        <v/>
      </c>
      <c r="BH6" s="224" t="str">
        <f>IFERROR(VLOOKUP($A6,Devengado!$A$1:$AI$1,27,FALSE),"")</f>
        <v/>
      </c>
      <c r="BI6" s="224" t="str">
        <f>IFERROR(VLOOKUP($A6,Devengado!$A$1:$AI$1,28,FALSE),"")</f>
        <v/>
      </c>
      <c r="BJ6" s="224" t="str">
        <f>IFERROR(VLOOKUP($A6,Devengado!$A$1:$AI$1,29,FALSE),"")</f>
        <v/>
      </c>
      <c r="BK6" s="224" t="str">
        <f>IFERROR(VLOOKUP($A6,Devengado!$A$1:$AI$1,30,FALSE),"")</f>
        <v/>
      </c>
      <c r="BL6" s="224" t="str">
        <f>IFERROR(VLOOKUP($A6,Devengado!$A$1:$AI$1,31,FALSE),"")</f>
        <v/>
      </c>
      <c r="BM6" s="224" t="str">
        <f>IFERROR(VLOOKUP($A6,Devengado!$A$1:$AI$1,32,FALSE),"")</f>
        <v/>
      </c>
      <c r="BN6" s="224" t="str">
        <f>IFERROR(VLOOKUP($A6,Devengado!$A$1:$AI$1,33,FALSE),"")</f>
        <v/>
      </c>
      <c r="BO6" s="224">
        <f t="shared" si="4"/>
        <v>0</v>
      </c>
      <c r="BP6" s="224" t="str">
        <f t="shared" si="5"/>
        <v/>
      </c>
      <c r="BQ6" s="207"/>
      <c r="BR6" s="207" t="str">
        <f t="shared" si="6"/>
        <v>53</v>
      </c>
    </row>
    <row r="7" spans="1:70" s="225" customFormat="1" ht="25.5" customHeight="1">
      <c r="A7" s="207">
        <v>3</v>
      </c>
      <c r="B7" s="112" t="s">
        <v>73</v>
      </c>
      <c r="C7" s="112" t="s">
        <v>74</v>
      </c>
      <c r="D7" s="112" t="s">
        <v>75</v>
      </c>
      <c r="E7" s="112" t="s">
        <v>76</v>
      </c>
      <c r="F7" s="112" t="s">
        <v>77</v>
      </c>
      <c r="G7" s="112" t="s">
        <v>77</v>
      </c>
      <c r="H7" s="112" t="s">
        <v>77</v>
      </c>
      <c r="I7" s="112" t="s">
        <v>77</v>
      </c>
      <c r="J7" s="112" t="s">
        <v>77</v>
      </c>
      <c r="K7" s="112" t="s">
        <v>77</v>
      </c>
      <c r="L7" s="112" t="s">
        <v>78</v>
      </c>
      <c r="M7" s="112" t="s">
        <v>79</v>
      </c>
      <c r="N7" s="112">
        <v>9999</v>
      </c>
      <c r="O7" s="114" t="s">
        <v>80</v>
      </c>
      <c r="P7" s="114" t="s">
        <v>81</v>
      </c>
      <c r="Q7" s="114" t="s">
        <v>82</v>
      </c>
      <c r="R7" s="115" t="str">
        <f t="shared" si="0"/>
        <v>53</v>
      </c>
      <c r="S7" s="112">
        <v>530702</v>
      </c>
      <c r="T7" s="122" t="e">
        <f>VLOOKUP(S7,ITEM!$C$1:$D$156,2,FALSE)</f>
        <v>#N/A</v>
      </c>
      <c r="U7" s="112" t="s">
        <v>83</v>
      </c>
      <c r="V7" s="112" t="s">
        <v>82</v>
      </c>
      <c r="W7" s="112" t="s">
        <v>84</v>
      </c>
      <c r="X7" s="112" t="s">
        <v>84</v>
      </c>
      <c r="Y7" s="224" t="e">
        <f>'Matriz POA 2024-TRABAJO'!#REF!</f>
        <v>#REF!</v>
      </c>
      <c r="Z7" s="224" t="e">
        <f>'Matriz POA 2024-TRABAJO'!#REF!</f>
        <v>#REF!</v>
      </c>
      <c r="AA7" s="224" t="e">
        <f>'Matriz POA 2024-TRABAJO'!#REF!</f>
        <v>#REF!</v>
      </c>
      <c r="AB7" s="279">
        <v>298</v>
      </c>
      <c r="AC7" s="279">
        <v>298</v>
      </c>
      <c r="AD7" s="279">
        <v>298</v>
      </c>
      <c r="AE7" s="279">
        <v>298</v>
      </c>
      <c r="AF7" s="279">
        <v>298</v>
      </c>
      <c r="AG7" s="279">
        <v>298</v>
      </c>
      <c r="AH7" s="279">
        <v>298</v>
      </c>
      <c r="AI7" s="279">
        <v>298</v>
      </c>
      <c r="AJ7" s="279">
        <v>298</v>
      </c>
      <c r="AK7" s="279">
        <v>298</v>
      </c>
      <c r="AL7" s="279">
        <v>298</v>
      </c>
      <c r="AM7" s="279">
        <v>0</v>
      </c>
      <c r="AN7" s="224" t="e">
        <f>SUM(#REF!)</f>
        <v>#REF!</v>
      </c>
      <c r="AO7" s="224">
        <f t="shared" si="1"/>
        <v>3278</v>
      </c>
      <c r="AP7" s="224" t="e">
        <f t="shared" si="7"/>
        <v>#REF!</v>
      </c>
      <c r="AQ7" s="224"/>
      <c r="AR7" s="224"/>
      <c r="AS7" s="224"/>
      <c r="AT7" s="224" t="str">
        <f>IFERROR(VLOOKUP($A7,'Constancias POA'!$A$2:$DH$9993,17,FALSE),"")</f>
        <v/>
      </c>
      <c r="AU7" s="224" t="str">
        <f t="shared" si="2"/>
        <v/>
      </c>
      <c r="AV7" s="224" t="str">
        <f>IFERROR(VLOOKUP($A7,CP!$A$1:$U$7992,18,FALSE),"")</f>
        <v/>
      </c>
      <c r="AW7" s="224" t="str">
        <f>IFERROR(VLOOKUP($A7,CP!$A$1:$U$7992,19,FALSE),"")</f>
        <v/>
      </c>
      <c r="AX7" s="224" t="str">
        <f>IFERROR(VLOOKUP($A7,CP!$A$1:$U$7992,20,FALSE),"")</f>
        <v/>
      </c>
      <c r="AY7" s="224" t="str">
        <f>IFERROR(VLOOKUP($A7,CP!$A$1:$U$1,21,FALSE),"")</f>
        <v/>
      </c>
      <c r="AZ7" s="224" t="str">
        <f>IFERROR(VLOOKUP(A7,Devengado!$A$1:AJ1,35,FALSE),"")</f>
        <v/>
      </c>
      <c r="BA7" s="224" t="str">
        <f t="shared" si="3"/>
        <v/>
      </c>
      <c r="BB7" s="224" t="str">
        <f>IFERROR(AZ7/#REF!,"")</f>
        <v/>
      </c>
      <c r="BC7" s="224" t="str">
        <f>IFERROR(VLOOKUP($A7,Devengado!$A$1:$AI$1,22,FALSE),"")</f>
        <v/>
      </c>
      <c r="BD7" s="224" t="str">
        <f>IFERROR(VLOOKUP($A7,Devengado!$A$1:$AI$1,23,FALSE),"")</f>
        <v/>
      </c>
      <c r="BE7" s="224" t="str">
        <f>IFERROR(VLOOKUP($A7,Devengado!$A$1:$AI$1,24,FALSE),"")</f>
        <v/>
      </c>
      <c r="BF7" s="224" t="str">
        <f>IFERROR(VLOOKUP($A7,Devengado!$A$1:$AI$1,25,FALSE),"")</f>
        <v/>
      </c>
      <c r="BG7" s="224" t="str">
        <f>IFERROR(VLOOKUP($A7,Devengado!$A$1:$AI$1,26,FALSE),"")</f>
        <v/>
      </c>
      <c r="BH7" s="224" t="str">
        <f>IFERROR(VLOOKUP($A7,Devengado!$A$1:$AI$1,27,FALSE),"")</f>
        <v/>
      </c>
      <c r="BI7" s="224" t="str">
        <f>IFERROR(VLOOKUP($A7,Devengado!$A$1:$AI$1,28,FALSE),"")</f>
        <v/>
      </c>
      <c r="BJ7" s="224" t="str">
        <f>IFERROR(VLOOKUP($A7,Devengado!$A$1:$AI$1,29,FALSE),"")</f>
        <v/>
      </c>
      <c r="BK7" s="224" t="str">
        <f>IFERROR(VLOOKUP($A7,Devengado!$A$1:$AI$1,30,FALSE),"")</f>
        <v/>
      </c>
      <c r="BL7" s="224" t="str">
        <f>IFERROR(VLOOKUP($A7,Devengado!$A$1:$AI$1,31,FALSE),"")</f>
        <v/>
      </c>
      <c r="BM7" s="224" t="str">
        <f>IFERROR(VLOOKUP($A7,Devengado!$A$1:$AI$1,32,FALSE),"")</f>
        <v/>
      </c>
      <c r="BN7" s="224" t="str">
        <f>IFERROR(VLOOKUP($A7,Devengado!$A$1:$AI$1,33,FALSE),"")</f>
        <v/>
      </c>
      <c r="BO7" s="224">
        <f t="shared" si="4"/>
        <v>0</v>
      </c>
      <c r="BP7" s="224" t="str">
        <f t="shared" si="5"/>
        <v/>
      </c>
      <c r="BQ7" s="207"/>
      <c r="BR7" s="207" t="str">
        <f t="shared" si="6"/>
        <v>53</v>
      </c>
    </row>
    <row r="8" spans="1:70" s="225" customFormat="1" ht="25.5" customHeight="1">
      <c r="A8" s="207">
        <v>4</v>
      </c>
      <c r="B8" s="112" t="s">
        <v>73</v>
      </c>
      <c r="C8" s="112" t="s">
        <v>74</v>
      </c>
      <c r="D8" s="112" t="s">
        <v>75</v>
      </c>
      <c r="E8" s="112" t="s">
        <v>76</v>
      </c>
      <c r="F8" s="112" t="s">
        <v>77</v>
      </c>
      <c r="G8" s="112" t="s">
        <v>77</v>
      </c>
      <c r="H8" s="112" t="s">
        <v>77</v>
      </c>
      <c r="I8" s="112" t="s">
        <v>77</v>
      </c>
      <c r="J8" s="112" t="s">
        <v>77</v>
      </c>
      <c r="K8" s="112" t="s">
        <v>77</v>
      </c>
      <c r="L8" s="112" t="s">
        <v>85</v>
      </c>
      <c r="M8" s="112" t="s">
        <v>86</v>
      </c>
      <c r="N8" s="112">
        <v>9999</v>
      </c>
      <c r="O8" s="114" t="s">
        <v>80</v>
      </c>
      <c r="P8" s="114" t="s">
        <v>81</v>
      </c>
      <c r="Q8" s="114" t="s">
        <v>82</v>
      </c>
      <c r="R8" s="115" t="str">
        <f t="shared" si="0"/>
        <v>53</v>
      </c>
      <c r="S8" s="112">
        <v>530701</v>
      </c>
      <c r="T8" s="122" t="e">
        <f>VLOOKUP(S8,ITEM!$C$1:$D$156,2,FALSE)</f>
        <v>#N/A</v>
      </c>
      <c r="U8" s="112" t="s">
        <v>83</v>
      </c>
      <c r="V8" s="112" t="s">
        <v>82</v>
      </c>
      <c r="W8" s="112" t="s">
        <v>84</v>
      </c>
      <c r="X8" s="112" t="s">
        <v>84</v>
      </c>
      <c r="Y8" s="224" t="e">
        <f>'Matriz POA 2024-TRABAJO'!#REF!</f>
        <v>#REF!</v>
      </c>
      <c r="Z8" s="224" t="e">
        <f>'Matriz POA 2024-TRABAJO'!#REF!</f>
        <v>#REF!</v>
      </c>
      <c r="AA8" s="224" t="e">
        <f>'Matriz POA 2024-TRABAJO'!#REF!</f>
        <v>#REF!</v>
      </c>
      <c r="AB8" s="279">
        <v>0</v>
      </c>
      <c r="AC8" s="279">
        <v>0</v>
      </c>
      <c r="AD8" s="279">
        <v>0</v>
      </c>
      <c r="AE8" s="279">
        <v>0</v>
      </c>
      <c r="AF8" s="279">
        <v>0</v>
      </c>
      <c r="AG8" s="279">
        <v>0</v>
      </c>
      <c r="AH8" s="279">
        <v>0</v>
      </c>
      <c r="AI8" s="279">
        <v>0</v>
      </c>
      <c r="AJ8" s="279">
        <v>0</v>
      </c>
      <c r="AK8" s="279">
        <v>0</v>
      </c>
      <c r="AL8" s="279">
        <v>0</v>
      </c>
      <c r="AM8" s="279">
        <v>0</v>
      </c>
      <c r="AN8" s="224" t="e">
        <f>SUM(#REF!)</f>
        <v>#REF!</v>
      </c>
      <c r="AO8" s="224">
        <f t="shared" si="1"/>
        <v>0</v>
      </c>
      <c r="AP8" s="224" t="e">
        <f t="shared" si="7"/>
        <v>#REF!</v>
      </c>
      <c r="AQ8" s="224"/>
      <c r="AR8" s="224"/>
      <c r="AS8" s="224"/>
      <c r="AT8" s="224" t="str">
        <f>IFERROR(VLOOKUP($A8,'Constancias POA'!$A$2:$DH$9993,17,FALSE),"")</f>
        <v/>
      </c>
      <c r="AU8" s="224" t="str">
        <f t="shared" si="2"/>
        <v/>
      </c>
      <c r="AV8" s="224" t="str">
        <f>IFERROR(VLOOKUP($A8,CP!$A$1:$U$7992,18,FALSE),"")</f>
        <v/>
      </c>
      <c r="AW8" s="224" t="str">
        <f>IFERROR(VLOOKUP($A8,CP!$A$1:$U$7992,19,FALSE),"")</f>
        <v/>
      </c>
      <c r="AX8" s="224" t="str">
        <f>IFERROR(VLOOKUP($A8,CP!$A$1:$U$7992,20,FALSE),"")</f>
        <v/>
      </c>
      <c r="AY8" s="224" t="str">
        <f>IFERROR(VLOOKUP($A8,CP!$A$1:$U$1,21,FALSE),"")</f>
        <v/>
      </c>
      <c r="AZ8" s="224" t="str">
        <f>IFERROR(VLOOKUP(A8,Devengado!$A$1:AJ1,35,FALSE),"")</f>
        <v/>
      </c>
      <c r="BA8" s="224" t="str">
        <f t="shared" si="3"/>
        <v/>
      </c>
      <c r="BB8" s="224" t="str">
        <f>IFERROR(AZ8/#REF!,"")</f>
        <v/>
      </c>
      <c r="BC8" s="224" t="str">
        <f>IFERROR(VLOOKUP($A8,Devengado!$A$1:$AI$1,22,FALSE),"")</f>
        <v/>
      </c>
      <c r="BD8" s="224" t="str">
        <f>IFERROR(VLOOKUP($A8,Devengado!$A$1:$AI$1,23,FALSE),"")</f>
        <v/>
      </c>
      <c r="BE8" s="224" t="str">
        <f>IFERROR(VLOOKUP($A8,Devengado!$A$1:$AI$1,24,FALSE),"")</f>
        <v/>
      </c>
      <c r="BF8" s="224" t="str">
        <f>IFERROR(VLOOKUP($A8,Devengado!$A$1:$AI$1,25,FALSE),"")</f>
        <v/>
      </c>
      <c r="BG8" s="224" t="str">
        <f>IFERROR(VLOOKUP($A8,Devengado!$A$1:$AI$1,26,FALSE),"")</f>
        <v/>
      </c>
      <c r="BH8" s="224" t="str">
        <f>IFERROR(VLOOKUP($A8,Devengado!$A$1:$AI$1,27,FALSE),"")</f>
        <v/>
      </c>
      <c r="BI8" s="224" t="str">
        <f>IFERROR(VLOOKUP($A8,Devengado!$A$1:$AI$1,28,FALSE),"")</f>
        <v/>
      </c>
      <c r="BJ8" s="224" t="str">
        <f>IFERROR(VLOOKUP($A8,Devengado!$A$1:$AI$1,29,FALSE),"")</f>
        <v/>
      </c>
      <c r="BK8" s="224" t="str">
        <f>IFERROR(VLOOKUP($A8,Devengado!$A$1:$AI$1,30,FALSE),"")</f>
        <v/>
      </c>
      <c r="BL8" s="224" t="str">
        <f>IFERROR(VLOOKUP($A8,Devengado!$A$1:$AI$1,31,FALSE),"")</f>
        <v/>
      </c>
      <c r="BM8" s="224" t="str">
        <f>IFERROR(VLOOKUP($A8,Devengado!$A$1:$AI$1,32,FALSE),"")</f>
        <v/>
      </c>
      <c r="BN8" s="224" t="str">
        <f>IFERROR(VLOOKUP($A8,Devengado!$A$1:$AI$1,33,FALSE),"")</f>
        <v/>
      </c>
      <c r="BO8" s="224">
        <f t="shared" si="4"/>
        <v>0</v>
      </c>
      <c r="BP8" s="224" t="str">
        <f t="shared" si="5"/>
        <v/>
      </c>
      <c r="BQ8" s="207"/>
      <c r="BR8" s="207" t="str">
        <f t="shared" si="6"/>
        <v>53</v>
      </c>
    </row>
    <row r="9" spans="1:70" s="225" customFormat="1" ht="25.5" customHeight="1">
      <c r="A9" s="207">
        <v>5</v>
      </c>
      <c r="B9" s="112" t="s">
        <v>73</v>
      </c>
      <c r="C9" s="112" t="s">
        <v>74</v>
      </c>
      <c r="D9" s="112" t="s">
        <v>75</v>
      </c>
      <c r="E9" s="112" t="s">
        <v>76</v>
      </c>
      <c r="F9" s="112" t="s">
        <v>77</v>
      </c>
      <c r="G9" s="112" t="s">
        <v>77</v>
      </c>
      <c r="H9" s="112" t="s">
        <v>77</v>
      </c>
      <c r="I9" s="112" t="s">
        <v>77</v>
      </c>
      <c r="J9" s="112" t="s">
        <v>77</v>
      </c>
      <c r="K9" s="112" t="s">
        <v>77</v>
      </c>
      <c r="L9" s="112" t="s">
        <v>85</v>
      </c>
      <c r="M9" s="112" t="s">
        <v>86</v>
      </c>
      <c r="N9" s="112">
        <v>9999</v>
      </c>
      <c r="O9" s="114" t="s">
        <v>80</v>
      </c>
      <c r="P9" s="114" t="s">
        <v>81</v>
      </c>
      <c r="Q9" s="114" t="s">
        <v>82</v>
      </c>
      <c r="R9" s="115" t="str">
        <f t="shared" si="0"/>
        <v>53</v>
      </c>
      <c r="S9" s="112">
        <v>530105</v>
      </c>
      <c r="T9" s="122" t="str">
        <f>VLOOKUP(S9,ITEM!$C$1:$D$156,2,FALSE)</f>
        <v>Telecomunicaciones</v>
      </c>
      <c r="U9" s="112" t="s">
        <v>83</v>
      </c>
      <c r="V9" s="112" t="s">
        <v>82</v>
      </c>
      <c r="W9" s="112" t="s">
        <v>84</v>
      </c>
      <c r="X9" s="112" t="s">
        <v>84</v>
      </c>
      <c r="Y9" s="224" t="e">
        <f>'Matriz POA 2024-TRABAJO'!#REF!</f>
        <v>#REF!</v>
      </c>
      <c r="Z9" s="224" t="e">
        <f>'Matriz POA 2024-TRABAJO'!#REF!</f>
        <v>#REF!</v>
      </c>
      <c r="AA9" s="224" t="e">
        <f>'Matriz POA 2024-TRABAJO'!#REF!</f>
        <v>#REF!</v>
      </c>
      <c r="AB9" s="279">
        <v>0</v>
      </c>
      <c r="AC9" s="279">
        <v>0</v>
      </c>
      <c r="AD9" s="279">
        <v>0</v>
      </c>
      <c r="AE9" s="279">
        <v>0</v>
      </c>
      <c r="AF9" s="279">
        <v>0</v>
      </c>
      <c r="AG9" s="279">
        <v>0</v>
      </c>
      <c r="AH9" s="279">
        <v>0</v>
      </c>
      <c r="AI9" s="279">
        <v>0</v>
      </c>
      <c r="AJ9" s="279">
        <v>0</v>
      </c>
      <c r="AK9" s="279">
        <v>0</v>
      </c>
      <c r="AL9" s="279">
        <v>0</v>
      </c>
      <c r="AM9" s="279">
        <v>0</v>
      </c>
      <c r="AN9" s="224" t="e">
        <f>SUM(#REF!)</f>
        <v>#REF!</v>
      </c>
      <c r="AO9" s="224">
        <f t="shared" si="1"/>
        <v>0</v>
      </c>
      <c r="AP9" s="224" t="e">
        <f t="shared" si="7"/>
        <v>#REF!</v>
      </c>
      <c r="AQ9" s="224"/>
      <c r="AR9" s="224"/>
      <c r="AS9" s="224"/>
      <c r="AT9" s="224" t="str">
        <f>IFERROR(VLOOKUP($A9,'Constancias POA'!$A$2:$DH$9993,17,FALSE),"")</f>
        <v/>
      </c>
      <c r="AU9" s="224" t="str">
        <f t="shared" si="2"/>
        <v/>
      </c>
      <c r="AV9" s="224" t="str">
        <f>IFERROR(VLOOKUP($A9,CP!$A$1:$U$7992,18,FALSE),"")</f>
        <v/>
      </c>
      <c r="AW9" s="224" t="str">
        <f>IFERROR(VLOOKUP($A9,CP!$A$1:$U$7992,19,FALSE),"")</f>
        <v/>
      </c>
      <c r="AX9" s="224" t="str">
        <f>IFERROR(VLOOKUP($A9,CP!$A$1:$U$7992,20,FALSE),"")</f>
        <v/>
      </c>
      <c r="AY9" s="224" t="str">
        <f>IFERROR(VLOOKUP($A9,CP!$A$1:$U$1,21,FALSE),"")</f>
        <v/>
      </c>
      <c r="AZ9" s="224" t="str">
        <f>IFERROR(VLOOKUP(A9,Devengado!$A$1:AJ1,35,FALSE),"")</f>
        <v/>
      </c>
      <c r="BA9" s="224" t="str">
        <f t="shared" si="3"/>
        <v/>
      </c>
      <c r="BB9" s="224" t="str">
        <f>IFERROR(AZ9/#REF!,"")</f>
        <v/>
      </c>
      <c r="BC9" s="224" t="str">
        <f>IFERROR(VLOOKUP($A9,Devengado!$A$1:$AI$1,22,FALSE),"")</f>
        <v/>
      </c>
      <c r="BD9" s="224" t="str">
        <f>IFERROR(VLOOKUP($A9,Devengado!$A$1:$AI$1,23,FALSE),"")</f>
        <v/>
      </c>
      <c r="BE9" s="224" t="str">
        <f>IFERROR(VLOOKUP($A9,Devengado!$A$1:$AI$1,24,FALSE),"")</f>
        <v/>
      </c>
      <c r="BF9" s="224" t="str">
        <f>IFERROR(VLOOKUP($A9,Devengado!$A$1:$AI$1,25,FALSE),"")</f>
        <v/>
      </c>
      <c r="BG9" s="224" t="str">
        <f>IFERROR(VLOOKUP($A9,Devengado!$A$1:$AI$1,26,FALSE),"")</f>
        <v/>
      </c>
      <c r="BH9" s="224" t="str">
        <f>IFERROR(VLOOKUP($A9,Devengado!$A$1:$AI$1,27,FALSE),"")</f>
        <v/>
      </c>
      <c r="BI9" s="224" t="str">
        <f>IFERROR(VLOOKUP($A9,Devengado!$A$1:$AI$1,28,FALSE),"")</f>
        <v/>
      </c>
      <c r="BJ9" s="224" t="str">
        <f>IFERROR(VLOOKUP($A9,Devengado!$A$1:$AI$1,29,FALSE),"")</f>
        <v/>
      </c>
      <c r="BK9" s="224" t="str">
        <f>IFERROR(VLOOKUP($A9,Devengado!$A$1:$AI$1,30,FALSE),"")</f>
        <v/>
      </c>
      <c r="BL9" s="224" t="str">
        <f>IFERROR(VLOOKUP($A9,Devengado!$A$1:$AI$1,31,FALSE),"")</f>
        <v/>
      </c>
      <c r="BM9" s="224" t="str">
        <f>IFERROR(VLOOKUP($A9,Devengado!$A$1:$AI$1,32,FALSE),"")</f>
        <v/>
      </c>
      <c r="BN9" s="224" t="str">
        <f>IFERROR(VLOOKUP($A9,Devengado!$A$1:$AI$1,33,FALSE),"")</f>
        <v/>
      </c>
      <c r="BO9" s="224">
        <f t="shared" si="4"/>
        <v>0</v>
      </c>
      <c r="BP9" s="224" t="str">
        <f t="shared" si="5"/>
        <v/>
      </c>
      <c r="BQ9" s="207"/>
      <c r="BR9" s="207" t="str">
        <f t="shared" si="6"/>
        <v>53</v>
      </c>
    </row>
    <row r="10" spans="1:70" s="225" customFormat="1" ht="25.5" customHeight="1">
      <c r="A10" s="207">
        <v>6</v>
      </c>
      <c r="B10" s="112" t="s">
        <v>73</v>
      </c>
      <c r="C10" s="112" t="s">
        <v>74</v>
      </c>
      <c r="D10" s="112" t="s">
        <v>75</v>
      </c>
      <c r="E10" s="112" t="s">
        <v>76</v>
      </c>
      <c r="F10" s="112" t="s">
        <v>77</v>
      </c>
      <c r="G10" s="112" t="s">
        <v>77</v>
      </c>
      <c r="H10" s="112" t="s">
        <v>77</v>
      </c>
      <c r="I10" s="112" t="s">
        <v>77</v>
      </c>
      <c r="J10" s="112" t="s">
        <v>77</v>
      </c>
      <c r="K10" s="112" t="s">
        <v>77</v>
      </c>
      <c r="L10" s="112" t="s">
        <v>85</v>
      </c>
      <c r="M10" s="112" t="s">
        <v>86</v>
      </c>
      <c r="N10" s="112">
        <v>9999</v>
      </c>
      <c r="O10" s="114" t="s">
        <v>80</v>
      </c>
      <c r="P10" s="114" t="s">
        <v>81</v>
      </c>
      <c r="Q10" s="114" t="s">
        <v>82</v>
      </c>
      <c r="R10" s="115" t="str">
        <f t="shared" si="0"/>
        <v>53</v>
      </c>
      <c r="S10" s="112">
        <v>530702</v>
      </c>
      <c r="T10" s="122" t="e">
        <f>VLOOKUP(S10,ITEM!$C$1:$D$156,2,FALSE)</f>
        <v>#N/A</v>
      </c>
      <c r="U10" s="112" t="s">
        <v>83</v>
      </c>
      <c r="V10" s="112" t="s">
        <v>82</v>
      </c>
      <c r="W10" s="112" t="s">
        <v>84</v>
      </c>
      <c r="X10" s="112" t="s">
        <v>84</v>
      </c>
      <c r="Y10" s="224" t="e">
        <f>'Matriz POA 2024-TRABAJO'!#REF!</f>
        <v>#REF!</v>
      </c>
      <c r="Z10" s="224" t="e">
        <f>'Matriz POA 2024-TRABAJO'!#REF!</f>
        <v>#REF!</v>
      </c>
      <c r="AA10" s="224" t="e">
        <f>'Matriz POA 2024-TRABAJO'!#REF!</f>
        <v>#REF!</v>
      </c>
      <c r="AB10" s="279">
        <v>0</v>
      </c>
      <c r="AC10" s="279">
        <v>0</v>
      </c>
      <c r="AD10" s="279">
        <v>0</v>
      </c>
      <c r="AE10" s="279">
        <v>0</v>
      </c>
      <c r="AF10" s="279">
        <v>0</v>
      </c>
      <c r="AG10" s="279">
        <v>0</v>
      </c>
      <c r="AH10" s="279">
        <v>0</v>
      </c>
      <c r="AI10" s="279">
        <v>0</v>
      </c>
      <c r="AJ10" s="279">
        <v>0</v>
      </c>
      <c r="AK10" s="279">
        <v>0</v>
      </c>
      <c r="AL10" s="279">
        <v>0</v>
      </c>
      <c r="AM10" s="279">
        <v>0</v>
      </c>
      <c r="AN10" s="224" t="e">
        <f>SUM(#REF!)</f>
        <v>#REF!</v>
      </c>
      <c r="AO10" s="224">
        <f t="shared" si="1"/>
        <v>0</v>
      </c>
      <c r="AP10" s="224" t="e">
        <f t="shared" si="7"/>
        <v>#REF!</v>
      </c>
      <c r="AQ10" s="224"/>
      <c r="AR10" s="224"/>
      <c r="AS10" s="224"/>
      <c r="AT10" s="224" t="str">
        <f>IFERROR(VLOOKUP($A10,'Constancias POA'!$A$2:$DH$9993,17,FALSE),"")</f>
        <v/>
      </c>
      <c r="AU10" s="224" t="str">
        <f t="shared" si="2"/>
        <v/>
      </c>
      <c r="AV10" s="224" t="str">
        <f>IFERROR(VLOOKUP($A10,CP!$A$1:$U$7992,18,FALSE),"")</f>
        <v/>
      </c>
      <c r="AW10" s="224" t="str">
        <f>IFERROR(VLOOKUP($A10,CP!$A$1:$U$7992,19,FALSE),"")</f>
        <v/>
      </c>
      <c r="AX10" s="224" t="str">
        <f>IFERROR(VLOOKUP($A10,CP!$A$1:$U$7992,20,FALSE),"")</f>
        <v/>
      </c>
      <c r="AY10" s="224" t="str">
        <f>IFERROR(VLOOKUP($A10,CP!$A$1:$U$1,21,FALSE),"")</f>
        <v/>
      </c>
      <c r="AZ10" s="224" t="str">
        <f>IFERROR(VLOOKUP(A10,Devengado!$A$1:AJ1,35,FALSE),"")</f>
        <v/>
      </c>
      <c r="BA10" s="224" t="str">
        <f t="shared" si="3"/>
        <v/>
      </c>
      <c r="BB10" s="224" t="str">
        <f>IFERROR(AZ10/#REF!,"")</f>
        <v/>
      </c>
      <c r="BC10" s="224" t="str">
        <f>IFERROR(VLOOKUP($A10,Devengado!$A$1:$AI$1,22,FALSE),"")</f>
        <v/>
      </c>
      <c r="BD10" s="224" t="str">
        <f>IFERROR(VLOOKUP($A10,Devengado!$A$1:$AI$1,23,FALSE),"")</f>
        <v/>
      </c>
      <c r="BE10" s="224" t="str">
        <f>IFERROR(VLOOKUP($A10,Devengado!$A$1:$AI$1,24,FALSE),"")</f>
        <v/>
      </c>
      <c r="BF10" s="224" t="str">
        <f>IFERROR(VLOOKUP($A10,Devengado!$A$1:$AI$1,25,FALSE),"")</f>
        <v/>
      </c>
      <c r="BG10" s="224" t="str">
        <f>IFERROR(VLOOKUP($A10,Devengado!$A$1:$AI$1,26,FALSE),"")</f>
        <v/>
      </c>
      <c r="BH10" s="224" t="str">
        <f>IFERROR(VLOOKUP($A10,Devengado!$A$1:$AI$1,27,FALSE),"")</f>
        <v/>
      </c>
      <c r="BI10" s="224" t="str">
        <f>IFERROR(VLOOKUP($A10,Devengado!$A$1:$AI$1,28,FALSE),"")</f>
        <v/>
      </c>
      <c r="BJ10" s="224" t="str">
        <f>IFERROR(VLOOKUP($A10,Devengado!$A$1:$AI$1,29,FALSE),"")</f>
        <v/>
      </c>
      <c r="BK10" s="224" t="str">
        <f>IFERROR(VLOOKUP($A10,Devengado!$A$1:$AI$1,30,FALSE),"")</f>
        <v/>
      </c>
      <c r="BL10" s="224" t="str">
        <f>IFERROR(VLOOKUP($A10,Devengado!$A$1:$AI$1,31,FALSE),"")</f>
        <v/>
      </c>
      <c r="BM10" s="224" t="str">
        <f>IFERROR(VLOOKUP($A10,Devengado!$A$1:$AI$1,32,FALSE),"")</f>
        <v/>
      </c>
      <c r="BN10" s="224" t="str">
        <f>IFERROR(VLOOKUP($A10,Devengado!$A$1:$AI$1,33,FALSE),"")</f>
        <v/>
      </c>
      <c r="BO10" s="224">
        <f t="shared" si="4"/>
        <v>0</v>
      </c>
      <c r="BP10" s="224" t="str">
        <f t="shared" si="5"/>
        <v/>
      </c>
      <c r="BQ10" s="207"/>
      <c r="BR10" s="207" t="str">
        <f t="shared" si="6"/>
        <v>53</v>
      </c>
    </row>
    <row r="11" spans="1:70" s="225" customFormat="1" ht="76.7" customHeight="1">
      <c r="A11" s="207">
        <v>7</v>
      </c>
      <c r="B11" s="112" t="s">
        <v>73</v>
      </c>
      <c r="C11" s="112" t="s">
        <v>74</v>
      </c>
      <c r="D11" s="112" t="s">
        <v>75</v>
      </c>
      <c r="E11" s="112" t="s">
        <v>76</v>
      </c>
      <c r="F11" s="112" t="s">
        <v>77</v>
      </c>
      <c r="G11" s="112" t="s">
        <v>77</v>
      </c>
      <c r="H11" s="112" t="s">
        <v>77</v>
      </c>
      <c r="I11" s="112" t="s">
        <v>77</v>
      </c>
      <c r="J11" s="112" t="s">
        <v>77</v>
      </c>
      <c r="K11" s="112" t="s">
        <v>77</v>
      </c>
      <c r="L11" s="112" t="s">
        <v>87</v>
      </c>
      <c r="M11" s="112" t="s">
        <v>88</v>
      </c>
      <c r="N11" s="112">
        <v>9999</v>
      </c>
      <c r="O11" s="114" t="s">
        <v>80</v>
      </c>
      <c r="P11" s="114" t="s">
        <v>81</v>
      </c>
      <c r="Q11" s="114" t="s">
        <v>82</v>
      </c>
      <c r="R11" s="115" t="str">
        <f t="shared" si="0"/>
        <v>53</v>
      </c>
      <c r="S11" s="112">
        <v>530204</v>
      </c>
      <c r="T11" s="122" t="str">
        <f>VLOOKUP(S11,ITEM!$C$1:$D$156,2,FALSE)</f>
        <v>Edición, Impresión, Reproducción, Publicaciones, Suscripciones, Fotocopiado, Traducción, Empastado, Enmarcación,
Serigrafía, Fotografía, Carnetización, Filmación e Imágenes Satelitales.</v>
      </c>
      <c r="U11" s="112" t="s">
        <v>83</v>
      </c>
      <c r="V11" s="112" t="s">
        <v>82</v>
      </c>
      <c r="W11" s="112" t="s">
        <v>84</v>
      </c>
      <c r="X11" s="112" t="s">
        <v>84</v>
      </c>
      <c r="Y11" s="224" t="e">
        <f>'Matriz POA 2024-TRABAJO'!#REF!</f>
        <v>#REF!</v>
      </c>
      <c r="Z11" s="224" t="e">
        <f>'Matriz POA 2024-TRABAJO'!#REF!</f>
        <v>#REF!</v>
      </c>
      <c r="AA11" s="224" t="e">
        <f>'Matriz POA 2024-TRABAJO'!#REF!</f>
        <v>#REF!</v>
      </c>
      <c r="AB11" s="279">
        <v>0</v>
      </c>
      <c r="AC11" s="279">
        <v>9194.56</v>
      </c>
      <c r="AD11" s="279">
        <v>0</v>
      </c>
      <c r="AE11" s="279">
        <v>0</v>
      </c>
      <c r="AF11" s="279">
        <v>0</v>
      </c>
      <c r="AG11" s="279">
        <v>0</v>
      </c>
      <c r="AH11" s="279">
        <v>0</v>
      </c>
      <c r="AI11" s="279">
        <v>0</v>
      </c>
      <c r="AJ11" s="279">
        <v>0</v>
      </c>
      <c r="AK11" s="279">
        <v>0</v>
      </c>
      <c r="AL11" s="279">
        <v>0</v>
      </c>
      <c r="AM11" s="279">
        <v>0</v>
      </c>
      <c r="AN11" s="224" t="e">
        <f>SUM(#REF!)</f>
        <v>#REF!</v>
      </c>
      <c r="AO11" s="224">
        <f t="shared" si="1"/>
        <v>9194.56</v>
      </c>
      <c r="AP11" s="224" t="e">
        <f t="shared" si="7"/>
        <v>#REF!</v>
      </c>
      <c r="AQ11" s="224"/>
      <c r="AR11" s="224"/>
      <c r="AS11" s="224"/>
      <c r="AT11" s="224" t="str">
        <f>IFERROR(VLOOKUP($A11,'Constancias POA'!$A$2:$DH$9993,17,FALSE),"")</f>
        <v/>
      </c>
      <c r="AU11" s="224" t="str">
        <f t="shared" si="2"/>
        <v/>
      </c>
      <c r="AV11" s="224" t="str">
        <f>IFERROR(VLOOKUP($A11,CP!$A$1:$U$7992,18,FALSE),"")</f>
        <v/>
      </c>
      <c r="AW11" s="224" t="str">
        <f>IFERROR(VLOOKUP($A11,CP!$A$1:$U$7992,19,FALSE),"")</f>
        <v/>
      </c>
      <c r="AX11" s="224" t="str">
        <f>IFERROR(VLOOKUP($A11,CP!$A$1:$U$7992,20,FALSE),"")</f>
        <v/>
      </c>
      <c r="AY11" s="224" t="str">
        <f>IFERROR(VLOOKUP($A11,CP!$A$1:$U$1,21,FALSE),"")</f>
        <v/>
      </c>
      <c r="AZ11" s="224" t="str">
        <f>IFERROR(VLOOKUP(A11,Devengado!$A$1:AJ1,35,FALSE),"")</f>
        <v/>
      </c>
      <c r="BA11" s="224" t="str">
        <f t="shared" si="3"/>
        <v/>
      </c>
      <c r="BB11" s="224" t="str">
        <f>IFERROR(AZ11/#REF!,"")</f>
        <v/>
      </c>
      <c r="BC11" s="224" t="str">
        <f>IFERROR(VLOOKUP($A11,Devengado!$A$1:$AI$1,22,FALSE),"")</f>
        <v/>
      </c>
      <c r="BD11" s="224" t="str">
        <f>IFERROR(VLOOKUP($A11,Devengado!$A$1:$AI$1,23,FALSE),"")</f>
        <v/>
      </c>
      <c r="BE11" s="224" t="str">
        <f>IFERROR(VLOOKUP($A11,Devengado!$A$1:$AI$1,24,FALSE),"")</f>
        <v/>
      </c>
      <c r="BF11" s="224" t="str">
        <f>IFERROR(VLOOKUP($A11,Devengado!$A$1:$AI$1,25,FALSE),"")</f>
        <v/>
      </c>
      <c r="BG11" s="224" t="str">
        <f>IFERROR(VLOOKUP($A11,Devengado!$A$1:$AI$1,26,FALSE),"")</f>
        <v/>
      </c>
      <c r="BH11" s="224" t="str">
        <f>IFERROR(VLOOKUP($A11,Devengado!$A$1:$AI$1,27,FALSE),"")</f>
        <v/>
      </c>
      <c r="BI11" s="224" t="str">
        <f>IFERROR(VLOOKUP($A11,Devengado!$A$1:$AI$1,28,FALSE),"")</f>
        <v/>
      </c>
      <c r="BJ11" s="224" t="str">
        <f>IFERROR(VLOOKUP($A11,Devengado!$A$1:$AI$1,29,FALSE),"")</f>
        <v/>
      </c>
      <c r="BK11" s="224" t="str">
        <f>IFERROR(VLOOKUP($A11,Devengado!$A$1:$AI$1,30,FALSE),"")</f>
        <v/>
      </c>
      <c r="BL11" s="224" t="str">
        <f>IFERROR(VLOOKUP($A11,Devengado!$A$1:$AI$1,31,FALSE),"")</f>
        <v/>
      </c>
      <c r="BM11" s="224" t="str">
        <f>IFERROR(VLOOKUP($A11,Devengado!$A$1:$AI$1,32,FALSE),"")</f>
        <v/>
      </c>
      <c r="BN11" s="224" t="str">
        <f>IFERROR(VLOOKUP($A11,Devengado!$A$1:$AI$1,33,FALSE),"")</f>
        <v/>
      </c>
      <c r="BO11" s="224">
        <f t="shared" si="4"/>
        <v>0</v>
      </c>
      <c r="BP11" s="224" t="str">
        <f t="shared" si="5"/>
        <v/>
      </c>
      <c r="BQ11" s="207"/>
      <c r="BR11" s="207" t="str">
        <f t="shared" si="6"/>
        <v>53</v>
      </c>
    </row>
    <row r="12" spans="1:70" s="225" customFormat="1" ht="33.75" customHeight="1">
      <c r="A12" s="207">
        <v>8</v>
      </c>
      <c r="B12" s="112" t="s">
        <v>73</v>
      </c>
      <c r="C12" s="112" t="s">
        <v>74</v>
      </c>
      <c r="D12" s="112" t="s">
        <v>75</v>
      </c>
      <c r="E12" s="112" t="s">
        <v>76</v>
      </c>
      <c r="F12" s="112" t="s">
        <v>77</v>
      </c>
      <c r="G12" s="112" t="s">
        <v>77</v>
      </c>
      <c r="H12" s="112" t="s">
        <v>77</v>
      </c>
      <c r="I12" s="112" t="s">
        <v>77</v>
      </c>
      <c r="J12" s="112" t="s">
        <v>77</v>
      </c>
      <c r="K12" s="112" t="s">
        <v>77</v>
      </c>
      <c r="L12" s="112" t="s">
        <v>87</v>
      </c>
      <c r="M12" s="112" t="s">
        <v>89</v>
      </c>
      <c r="N12" s="112">
        <v>9999</v>
      </c>
      <c r="O12" s="114" t="s">
        <v>80</v>
      </c>
      <c r="P12" s="114" t="s">
        <v>81</v>
      </c>
      <c r="Q12" s="114" t="s">
        <v>82</v>
      </c>
      <c r="R12" s="115" t="str">
        <f t="shared" si="0"/>
        <v>53</v>
      </c>
      <c r="S12" s="112">
        <v>530704</v>
      </c>
      <c r="T12" s="122" t="e">
        <f>VLOOKUP(S12,ITEM!$C$1:$D$156,2,FALSE)</f>
        <v>#N/A</v>
      </c>
      <c r="U12" s="112" t="s">
        <v>83</v>
      </c>
      <c r="V12" s="112" t="s">
        <v>82</v>
      </c>
      <c r="W12" s="112" t="s">
        <v>84</v>
      </c>
      <c r="X12" s="112" t="s">
        <v>84</v>
      </c>
      <c r="Y12" s="224" t="e">
        <f>'Matriz POA 2024-TRABAJO'!#REF!</f>
        <v>#REF!</v>
      </c>
      <c r="Z12" s="224" t="e">
        <f>'Matriz POA 2024-TRABAJO'!#REF!</f>
        <v>#REF!</v>
      </c>
      <c r="AA12" s="224" t="e">
        <f>'Matriz POA 2024-TRABAJO'!#REF!</f>
        <v>#REF!</v>
      </c>
      <c r="AB12" s="279">
        <v>0</v>
      </c>
      <c r="AC12" s="279">
        <v>0</v>
      </c>
      <c r="AD12" s="279">
        <v>0</v>
      </c>
      <c r="AE12" s="279">
        <v>0</v>
      </c>
      <c r="AF12" s="279">
        <v>0</v>
      </c>
      <c r="AG12" s="279">
        <v>0</v>
      </c>
      <c r="AH12" s="279">
        <v>0</v>
      </c>
      <c r="AI12" s="279">
        <v>0</v>
      </c>
      <c r="AJ12" s="279">
        <v>0</v>
      </c>
      <c r="AK12" s="279">
        <v>0</v>
      </c>
      <c r="AL12" s="279">
        <v>0</v>
      </c>
      <c r="AM12" s="279">
        <v>0</v>
      </c>
      <c r="AN12" s="224" t="e">
        <f>SUM(#REF!)</f>
        <v>#REF!</v>
      </c>
      <c r="AO12" s="224">
        <f t="shared" si="1"/>
        <v>0</v>
      </c>
      <c r="AP12" s="224" t="e">
        <f t="shared" si="7"/>
        <v>#REF!</v>
      </c>
      <c r="AQ12" s="224"/>
      <c r="AR12" s="224"/>
      <c r="AS12" s="224"/>
      <c r="AT12" s="224" t="str">
        <f>IFERROR(VLOOKUP($A12,'Constancias POA'!$A$2:$DH$9993,17,FALSE),"")</f>
        <v/>
      </c>
      <c r="AU12" s="224" t="str">
        <f t="shared" si="2"/>
        <v/>
      </c>
      <c r="AV12" s="224" t="str">
        <f>IFERROR(VLOOKUP($A12,CP!$A$1:$U$7992,18,FALSE),"")</f>
        <v/>
      </c>
      <c r="AW12" s="224" t="str">
        <f>IFERROR(VLOOKUP($A12,CP!$A$1:$U$7992,19,FALSE),"")</f>
        <v/>
      </c>
      <c r="AX12" s="224" t="str">
        <f>IFERROR(VLOOKUP($A12,CP!$A$1:$U$7992,20,FALSE),"")</f>
        <v/>
      </c>
      <c r="AY12" s="224" t="str">
        <f>IFERROR(VLOOKUP($A12,CP!$A$1:$U$1,21,FALSE),"")</f>
        <v/>
      </c>
      <c r="AZ12" s="224" t="str">
        <f>IFERROR(VLOOKUP(A12,Devengado!$A$1:AJ1,35,FALSE),"")</f>
        <v/>
      </c>
      <c r="BA12" s="224" t="str">
        <f t="shared" si="3"/>
        <v/>
      </c>
      <c r="BB12" s="224" t="str">
        <f>IFERROR(AZ12/#REF!,"")</f>
        <v/>
      </c>
      <c r="BC12" s="224" t="str">
        <f>IFERROR(VLOOKUP($A12,Devengado!$A$1:$AI$1,22,FALSE),"")</f>
        <v/>
      </c>
      <c r="BD12" s="224" t="str">
        <f>IFERROR(VLOOKUP($A12,Devengado!$A$1:$AI$1,23,FALSE),"")</f>
        <v/>
      </c>
      <c r="BE12" s="224" t="str">
        <f>IFERROR(VLOOKUP($A12,Devengado!$A$1:$AI$1,24,FALSE),"")</f>
        <v/>
      </c>
      <c r="BF12" s="224" t="str">
        <f>IFERROR(VLOOKUP($A12,Devengado!$A$1:$AI$1,25,FALSE),"")</f>
        <v/>
      </c>
      <c r="BG12" s="224" t="str">
        <f>IFERROR(VLOOKUP($A12,Devengado!$A$1:$AI$1,26,FALSE),"")</f>
        <v/>
      </c>
      <c r="BH12" s="224" t="str">
        <f>IFERROR(VLOOKUP($A12,Devengado!$A$1:$AI$1,27,FALSE),"")</f>
        <v/>
      </c>
      <c r="BI12" s="224" t="str">
        <f>IFERROR(VLOOKUP($A12,Devengado!$A$1:$AI$1,28,FALSE),"")</f>
        <v/>
      </c>
      <c r="BJ12" s="224" t="str">
        <f>IFERROR(VLOOKUP($A12,Devengado!$A$1:$AI$1,29,FALSE),"")</f>
        <v/>
      </c>
      <c r="BK12" s="224" t="str">
        <f>IFERROR(VLOOKUP($A12,Devengado!$A$1:$AI$1,30,FALSE),"")</f>
        <v/>
      </c>
      <c r="BL12" s="224" t="str">
        <f>IFERROR(VLOOKUP($A12,Devengado!$A$1:$AI$1,31,FALSE),"")</f>
        <v/>
      </c>
      <c r="BM12" s="224" t="str">
        <f>IFERROR(VLOOKUP($A12,Devengado!$A$1:$AI$1,32,FALSE),"")</f>
        <v/>
      </c>
      <c r="BN12" s="224" t="str">
        <f>IFERROR(VLOOKUP($A12,Devengado!$A$1:$AI$1,33,FALSE),"")</f>
        <v/>
      </c>
      <c r="BO12" s="224">
        <f t="shared" si="4"/>
        <v>0</v>
      </c>
      <c r="BP12" s="224" t="str">
        <f t="shared" si="5"/>
        <v/>
      </c>
      <c r="BQ12" s="207"/>
      <c r="BR12" s="207" t="str">
        <f t="shared" si="6"/>
        <v>53</v>
      </c>
    </row>
    <row r="13" spans="1:70" s="225" customFormat="1" ht="33.75" customHeight="1">
      <c r="A13" s="207">
        <v>9</v>
      </c>
      <c r="B13" s="112" t="s">
        <v>73</v>
      </c>
      <c r="C13" s="112" t="s">
        <v>74</v>
      </c>
      <c r="D13" s="112" t="s">
        <v>75</v>
      </c>
      <c r="E13" s="112" t="s">
        <v>76</v>
      </c>
      <c r="F13" s="112" t="s">
        <v>77</v>
      </c>
      <c r="G13" s="112" t="s">
        <v>77</v>
      </c>
      <c r="H13" s="112" t="s">
        <v>77</v>
      </c>
      <c r="I13" s="112" t="s">
        <v>77</v>
      </c>
      <c r="J13" s="112" t="s">
        <v>77</v>
      </c>
      <c r="K13" s="112" t="s">
        <v>77</v>
      </c>
      <c r="L13" s="112" t="s">
        <v>87</v>
      </c>
      <c r="M13" s="112" t="s">
        <v>89</v>
      </c>
      <c r="N13" s="112">
        <v>9999</v>
      </c>
      <c r="O13" s="114" t="s">
        <v>80</v>
      </c>
      <c r="P13" s="114" t="s">
        <v>81</v>
      </c>
      <c r="Q13" s="114" t="s">
        <v>82</v>
      </c>
      <c r="R13" s="115" t="str">
        <f t="shared" si="0"/>
        <v>53</v>
      </c>
      <c r="S13" s="112">
        <v>530813</v>
      </c>
      <c r="T13" s="122" t="e">
        <f>VLOOKUP(S13,ITEM!$C$1:$D$156,2,FALSE)</f>
        <v>#N/A</v>
      </c>
      <c r="U13" s="112" t="s">
        <v>83</v>
      </c>
      <c r="V13" s="112" t="s">
        <v>82</v>
      </c>
      <c r="W13" s="112" t="s">
        <v>84</v>
      </c>
      <c r="X13" s="112" t="s">
        <v>84</v>
      </c>
      <c r="Y13" s="224" t="e">
        <f>'Matriz POA 2024-TRABAJO'!#REF!</f>
        <v>#REF!</v>
      </c>
      <c r="Z13" s="224" t="e">
        <f>'Matriz POA 2024-TRABAJO'!#REF!</f>
        <v>#REF!</v>
      </c>
      <c r="AA13" s="224" t="e">
        <f>'Matriz POA 2024-TRABAJO'!#REF!</f>
        <v>#REF!</v>
      </c>
      <c r="AB13" s="279">
        <v>0</v>
      </c>
      <c r="AC13" s="279">
        <v>3931.2</v>
      </c>
      <c r="AD13" s="279">
        <v>0</v>
      </c>
      <c r="AE13" s="279">
        <v>0</v>
      </c>
      <c r="AF13" s="279">
        <v>0</v>
      </c>
      <c r="AG13" s="279">
        <v>0</v>
      </c>
      <c r="AH13" s="279">
        <v>0</v>
      </c>
      <c r="AI13" s="279">
        <v>0</v>
      </c>
      <c r="AJ13" s="279">
        <v>0</v>
      </c>
      <c r="AK13" s="279">
        <v>0</v>
      </c>
      <c r="AL13" s="279">
        <v>0</v>
      </c>
      <c r="AM13" s="279">
        <v>0</v>
      </c>
      <c r="AN13" s="224" t="e">
        <f>SUM(#REF!)</f>
        <v>#REF!</v>
      </c>
      <c r="AO13" s="224">
        <f t="shared" si="1"/>
        <v>3931.2</v>
      </c>
      <c r="AP13" s="224" t="e">
        <f t="shared" si="7"/>
        <v>#REF!</v>
      </c>
      <c r="AQ13" s="224"/>
      <c r="AR13" s="224"/>
      <c r="AS13" s="224"/>
      <c r="AT13" s="224" t="str">
        <f>IFERROR(VLOOKUP($A13,'Constancias POA'!$A$2:$DH$9993,17,FALSE),"")</f>
        <v/>
      </c>
      <c r="AU13" s="224" t="str">
        <f t="shared" si="2"/>
        <v/>
      </c>
      <c r="AV13" s="224" t="str">
        <f>IFERROR(VLOOKUP($A13,CP!$A$1:$U$7992,18,FALSE),"")</f>
        <v/>
      </c>
      <c r="AW13" s="224" t="str">
        <f>IFERROR(VLOOKUP($A13,CP!$A$1:$U$7992,19,FALSE),"")</f>
        <v/>
      </c>
      <c r="AX13" s="224" t="str">
        <f>IFERROR(VLOOKUP($A13,CP!$A$1:$U$7992,20,FALSE),"")</f>
        <v/>
      </c>
      <c r="AY13" s="224" t="str">
        <f>IFERROR(VLOOKUP($A13,CP!$A$1:$U$1,21,FALSE),"")</f>
        <v/>
      </c>
      <c r="AZ13" s="224" t="str">
        <f>IFERROR(VLOOKUP(A13,Devengado!$A$1:AJ1,35,FALSE),"")</f>
        <v/>
      </c>
      <c r="BA13" s="224" t="str">
        <f t="shared" si="3"/>
        <v/>
      </c>
      <c r="BB13" s="224" t="str">
        <f>IFERROR(AZ13/#REF!,"")</f>
        <v/>
      </c>
      <c r="BC13" s="224" t="str">
        <f>IFERROR(VLOOKUP($A13,Devengado!$A$1:$AI$1,22,FALSE),"")</f>
        <v/>
      </c>
      <c r="BD13" s="224" t="str">
        <f>IFERROR(VLOOKUP($A13,Devengado!$A$1:$AI$1,23,FALSE),"")</f>
        <v/>
      </c>
      <c r="BE13" s="224" t="str">
        <f>IFERROR(VLOOKUP($A13,Devengado!$A$1:$AI$1,24,FALSE),"")</f>
        <v/>
      </c>
      <c r="BF13" s="224" t="str">
        <f>IFERROR(VLOOKUP($A13,Devengado!$A$1:$AI$1,25,FALSE),"")</f>
        <v/>
      </c>
      <c r="BG13" s="224" t="str">
        <f>IFERROR(VLOOKUP($A13,Devengado!$A$1:$AI$1,26,FALSE),"")</f>
        <v/>
      </c>
      <c r="BH13" s="224" t="str">
        <f>IFERROR(VLOOKUP($A13,Devengado!$A$1:$AI$1,27,FALSE),"")</f>
        <v/>
      </c>
      <c r="BI13" s="224" t="str">
        <f>IFERROR(VLOOKUP($A13,Devengado!$A$1:$AI$1,28,FALSE),"")</f>
        <v/>
      </c>
      <c r="BJ13" s="224" t="str">
        <f>IFERROR(VLOOKUP($A13,Devengado!$A$1:$AI$1,29,FALSE),"")</f>
        <v/>
      </c>
      <c r="BK13" s="224" t="str">
        <f>IFERROR(VLOOKUP($A13,Devengado!$A$1:$AI$1,30,FALSE),"")</f>
        <v/>
      </c>
      <c r="BL13" s="224" t="str">
        <f>IFERROR(VLOOKUP($A13,Devengado!$A$1:$AI$1,31,FALSE),"")</f>
        <v/>
      </c>
      <c r="BM13" s="224" t="str">
        <f>IFERROR(VLOOKUP($A13,Devengado!$A$1:$AI$1,32,FALSE),"")</f>
        <v/>
      </c>
      <c r="BN13" s="224" t="str">
        <f>IFERROR(VLOOKUP($A13,Devengado!$A$1:$AI$1,33,FALSE),"")</f>
        <v/>
      </c>
      <c r="BO13" s="224">
        <f t="shared" si="4"/>
        <v>0</v>
      </c>
      <c r="BP13" s="224" t="str">
        <f t="shared" si="5"/>
        <v/>
      </c>
      <c r="BQ13" s="207"/>
      <c r="BR13" s="207" t="str">
        <f t="shared" si="6"/>
        <v>53</v>
      </c>
    </row>
    <row r="14" spans="1:70" s="225" customFormat="1" ht="33.75" customHeight="1">
      <c r="A14" s="207">
        <v>10</v>
      </c>
      <c r="B14" s="112" t="s">
        <v>73</v>
      </c>
      <c r="C14" s="112" t="s">
        <v>74</v>
      </c>
      <c r="D14" s="112" t="s">
        <v>75</v>
      </c>
      <c r="E14" s="112" t="s">
        <v>76</v>
      </c>
      <c r="F14" s="112" t="s">
        <v>77</v>
      </c>
      <c r="G14" s="112" t="s">
        <v>77</v>
      </c>
      <c r="H14" s="112" t="s">
        <v>77</v>
      </c>
      <c r="I14" s="112" t="s">
        <v>77</v>
      </c>
      <c r="J14" s="112" t="s">
        <v>77</v>
      </c>
      <c r="K14" s="112" t="s">
        <v>77</v>
      </c>
      <c r="L14" s="112" t="s">
        <v>85</v>
      </c>
      <c r="M14" s="112" t="s">
        <v>90</v>
      </c>
      <c r="N14" s="112">
        <v>9999</v>
      </c>
      <c r="O14" s="114" t="s">
        <v>80</v>
      </c>
      <c r="P14" s="114" t="s">
        <v>81</v>
      </c>
      <c r="Q14" s="114" t="s">
        <v>82</v>
      </c>
      <c r="R14" s="115" t="str">
        <f t="shared" si="0"/>
        <v>53</v>
      </c>
      <c r="S14" s="112">
        <v>530204</v>
      </c>
      <c r="T14" s="122" t="str">
        <f>VLOOKUP(S14,ITEM!$C$1:$D$156,2,FALSE)</f>
        <v>Edición, Impresión, Reproducción, Publicaciones, Suscripciones, Fotocopiado, Traducción, Empastado, Enmarcación,
Serigrafía, Fotografía, Carnetización, Filmación e Imágenes Satelitales.</v>
      </c>
      <c r="U14" s="115" t="s">
        <v>83</v>
      </c>
      <c r="V14" s="112" t="s">
        <v>82</v>
      </c>
      <c r="W14" s="112" t="s">
        <v>84</v>
      </c>
      <c r="X14" s="112" t="s">
        <v>84</v>
      </c>
      <c r="Y14" s="224" t="e">
        <f>'Matriz POA 2024-TRABAJO'!#REF!</f>
        <v>#REF!</v>
      </c>
      <c r="Z14" s="224" t="e">
        <f>'Matriz POA 2024-TRABAJO'!#REF!</f>
        <v>#REF!</v>
      </c>
      <c r="AA14" s="224" t="e">
        <f>'Matriz POA 2024-TRABAJO'!#REF!</f>
        <v>#REF!</v>
      </c>
      <c r="AB14" s="279">
        <v>0</v>
      </c>
      <c r="AC14" s="279">
        <v>0</v>
      </c>
      <c r="AD14" s="279">
        <v>0</v>
      </c>
      <c r="AE14" s="279">
        <v>0</v>
      </c>
      <c r="AF14" s="279">
        <v>0</v>
      </c>
      <c r="AG14" s="279">
        <v>0</v>
      </c>
      <c r="AH14" s="279">
        <v>0</v>
      </c>
      <c r="AI14" s="279">
        <v>0</v>
      </c>
      <c r="AJ14" s="279">
        <v>0</v>
      </c>
      <c r="AK14" s="279">
        <v>0</v>
      </c>
      <c r="AL14" s="279">
        <v>0</v>
      </c>
      <c r="AM14" s="279">
        <v>0</v>
      </c>
      <c r="AN14" s="224" t="e">
        <f>SUM(#REF!)</f>
        <v>#REF!</v>
      </c>
      <c r="AO14" s="224">
        <f t="shared" si="1"/>
        <v>0</v>
      </c>
      <c r="AP14" s="224" t="e">
        <f t="shared" si="7"/>
        <v>#REF!</v>
      </c>
      <c r="AQ14" s="224"/>
      <c r="AR14" s="224"/>
      <c r="AS14" s="224"/>
      <c r="AT14" s="224" t="str">
        <f>IFERROR(VLOOKUP($A14,'Constancias POA'!$A$2:$DH$9993,17,FALSE),"")</f>
        <v/>
      </c>
      <c r="AU14" s="224" t="str">
        <f t="shared" si="2"/>
        <v/>
      </c>
      <c r="AV14" s="224" t="str">
        <f>IFERROR(VLOOKUP($A14,CP!$A$1:$U$7992,18,FALSE),"")</f>
        <v/>
      </c>
      <c r="AW14" s="224" t="str">
        <f>IFERROR(VLOOKUP($A14,CP!$A$1:$U$7992,19,FALSE),"")</f>
        <v/>
      </c>
      <c r="AX14" s="224" t="str">
        <f>IFERROR(VLOOKUP($A14,CP!$A$1:$U$7992,20,FALSE),"")</f>
        <v/>
      </c>
      <c r="AY14" s="224" t="str">
        <f>IFERROR(VLOOKUP($A14,CP!$A$1:$U$1,21,FALSE),"")</f>
        <v/>
      </c>
      <c r="AZ14" s="224" t="str">
        <f>IFERROR(VLOOKUP(A14,Devengado!$A$1:AJ1,35,FALSE),"")</f>
        <v/>
      </c>
      <c r="BA14" s="224" t="str">
        <f t="shared" si="3"/>
        <v/>
      </c>
      <c r="BB14" s="224" t="str">
        <f>IFERROR(AZ14/#REF!,"")</f>
        <v/>
      </c>
      <c r="BC14" s="224" t="str">
        <f>IFERROR(VLOOKUP($A14,Devengado!$A$1:$AI$1,22,FALSE),"")</f>
        <v/>
      </c>
      <c r="BD14" s="224" t="str">
        <f>IFERROR(VLOOKUP($A14,Devengado!$A$1:$AI$1,23,FALSE),"")</f>
        <v/>
      </c>
      <c r="BE14" s="224" t="str">
        <f>IFERROR(VLOOKUP($A14,Devengado!$A$1:$AI$1,24,FALSE),"")</f>
        <v/>
      </c>
      <c r="BF14" s="224" t="str">
        <f>IFERROR(VLOOKUP($A14,Devengado!$A$1:$AI$1,25,FALSE),"")</f>
        <v/>
      </c>
      <c r="BG14" s="224" t="str">
        <f>IFERROR(VLOOKUP($A14,Devengado!$A$1:$AI$1,26,FALSE),"")</f>
        <v/>
      </c>
      <c r="BH14" s="224" t="str">
        <f>IFERROR(VLOOKUP($A14,Devengado!$A$1:$AI$1,27,FALSE),"")</f>
        <v/>
      </c>
      <c r="BI14" s="224" t="str">
        <f>IFERROR(VLOOKUP($A14,Devengado!$A$1:$AI$1,28,FALSE),"")</f>
        <v/>
      </c>
      <c r="BJ14" s="224" t="str">
        <f>IFERROR(VLOOKUP($A14,Devengado!$A$1:$AI$1,29,FALSE),"")</f>
        <v/>
      </c>
      <c r="BK14" s="224" t="str">
        <f>IFERROR(VLOOKUP($A14,Devengado!$A$1:$AI$1,30,FALSE),"")</f>
        <v/>
      </c>
      <c r="BL14" s="224" t="str">
        <f>IFERROR(VLOOKUP($A14,Devengado!$A$1:$AI$1,31,FALSE),"")</f>
        <v/>
      </c>
      <c r="BM14" s="224" t="str">
        <f>IFERROR(VLOOKUP($A14,Devengado!$A$1:$AI$1,32,FALSE),"")</f>
        <v/>
      </c>
      <c r="BN14" s="224" t="str">
        <f>IFERROR(VLOOKUP($A14,Devengado!$A$1:$AI$1,33,FALSE),"")</f>
        <v/>
      </c>
      <c r="BO14" s="224">
        <f t="shared" si="4"/>
        <v>0</v>
      </c>
      <c r="BP14" s="224" t="str">
        <f t="shared" si="5"/>
        <v/>
      </c>
      <c r="BQ14" s="207"/>
      <c r="BR14" s="207" t="str">
        <f t="shared" si="6"/>
        <v>53</v>
      </c>
    </row>
    <row r="15" spans="1:70" s="225" customFormat="1" ht="33.75" customHeight="1">
      <c r="A15" s="207">
        <v>11</v>
      </c>
      <c r="B15" s="112" t="s">
        <v>73</v>
      </c>
      <c r="C15" s="112" t="s">
        <v>74</v>
      </c>
      <c r="D15" s="112" t="s">
        <v>75</v>
      </c>
      <c r="E15" s="112" t="s">
        <v>76</v>
      </c>
      <c r="F15" s="112" t="s">
        <v>77</v>
      </c>
      <c r="G15" s="112" t="s">
        <v>77</v>
      </c>
      <c r="H15" s="112" t="s">
        <v>77</v>
      </c>
      <c r="I15" s="112" t="s">
        <v>77</v>
      </c>
      <c r="J15" s="112" t="s">
        <v>77</v>
      </c>
      <c r="K15" s="112" t="s">
        <v>77</v>
      </c>
      <c r="L15" s="112" t="s">
        <v>85</v>
      </c>
      <c r="M15" s="112" t="s">
        <v>91</v>
      </c>
      <c r="N15" s="112">
        <v>9999</v>
      </c>
      <c r="O15" s="114" t="s">
        <v>80</v>
      </c>
      <c r="P15" s="114" t="s">
        <v>81</v>
      </c>
      <c r="Q15" s="114" t="s">
        <v>82</v>
      </c>
      <c r="R15" s="115" t="str">
        <f t="shared" si="0"/>
        <v>53</v>
      </c>
      <c r="S15" s="112">
        <v>530704</v>
      </c>
      <c r="T15" s="122" t="e">
        <f>VLOOKUP(S15,ITEM!$C$1:$D$156,2,FALSE)</f>
        <v>#N/A</v>
      </c>
      <c r="U15" s="112" t="s">
        <v>83</v>
      </c>
      <c r="V15" s="112" t="s">
        <v>82</v>
      </c>
      <c r="W15" s="112" t="s">
        <v>84</v>
      </c>
      <c r="X15" s="112" t="s">
        <v>84</v>
      </c>
      <c r="Y15" s="224" t="e">
        <f>'Matriz POA 2024-TRABAJO'!#REF!</f>
        <v>#REF!</v>
      </c>
      <c r="Z15" s="224" t="e">
        <f>'Matriz POA 2024-TRABAJO'!#REF!</f>
        <v>#REF!</v>
      </c>
      <c r="AA15" s="224" t="e">
        <f>'Matriz POA 2024-TRABAJO'!#REF!</f>
        <v>#REF!</v>
      </c>
      <c r="AB15" s="279">
        <v>0</v>
      </c>
      <c r="AC15" s="279">
        <v>360</v>
      </c>
      <c r="AD15" s="279">
        <v>0</v>
      </c>
      <c r="AE15" s="279">
        <v>0</v>
      </c>
      <c r="AF15" s="279">
        <v>0</v>
      </c>
      <c r="AG15" s="279">
        <v>0</v>
      </c>
      <c r="AH15" s="279">
        <v>0</v>
      </c>
      <c r="AI15" s="279">
        <v>0</v>
      </c>
      <c r="AJ15" s="279">
        <v>0</v>
      </c>
      <c r="AK15" s="279">
        <v>0</v>
      </c>
      <c r="AL15" s="279">
        <v>0</v>
      </c>
      <c r="AM15" s="279">
        <v>0</v>
      </c>
      <c r="AN15" s="224" t="e">
        <f>SUM(#REF!)</f>
        <v>#REF!</v>
      </c>
      <c r="AO15" s="224">
        <f t="shared" si="1"/>
        <v>360</v>
      </c>
      <c r="AP15" s="224" t="e">
        <f t="shared" si="7"/>
        <v>#REF!</v>
      </c>
      <c r="AQ15" s="224"/>
      <c r="AR15" s="224"/>
      <c r="AS15" s="224"/>
      <c r="AT15" s="224" t="str">
        <f>IFERROR(VLOOKUP($A15,'Constancias POA'!$A$2:$DH$9993,17,FALSE),"")</f>
        <v/>
      </c>
      <c r="AU15" s="224" t="str">
        <f t="shared" si="2"/>
        <v/>
      </c>
      <c r="AV15" s="224" t="str">
        <f>IFERROR(VLOOKUP($A15,CP!$A$1:$U$7992,18,FALSE),"")</f>
        <v/>
      </c>
      <c r="AW15" s="224" t="str">
        <f>IFERROR(VLOOKUP($A15,CP!$A$1:$U$7992,19,FALSE),"")</f>
        <v/>
      </c>
      <c r="AX15" s="224" t="str">
        <f>IFERROR(VLOOKUP($A15,CP!$A$1:$U$7992,20,FALSE),"")</f>
        <v/>
      </c>
      <c r="AY15" s="224" t="str">
        <f>IFERROR(VLOOKUP($A15,CP!$A$1:$U$1,21,FALSE),"")</f>
        <v/>
      </c>
      <c r="AZ15" s="224" t="str">
        <f>IFERROR(VLOOKUP(A15,Devengado!$A$1:AJ1,35,FALSE),"")</f>
        <v/>
      </c>
      <c r="BA15" s="224" t="str">
        <f t="shared" si="3"/>
        <v/>
      </c>
      <c r="BB15" s="224" t="str">
        <f>IFERROR(AZ15/#REF!,"")</f>
        <v/>
      </c>
      <c r="BC15" s="224" t="str">
        <f>IFERROR(VLOOKUP($A15,Devengado!$A$1:$AI$1,22,FALSE),"")</f>
        <v/>
      </c>
      <c r="BD15" s="224" t="str">
        <f>IFERROR(VLOOKUP($A15,Devengado!$A$1:$AI$1,23,FALSE),"")</f>
        <v/>
      </c>
      <c r="BE15" s="224" t="str">
        <f>IFERROR(VLOOKUP($A15,Devengado!$A$1:$AI$1,24,FALSE),"")</f>
        <v/>
      </c>
      <c r="BF15" s="224" t="str">
        <f>IFERROR(VLOOKUP($A15,Devengado!$A$1:$AI$1,25,FALSE),"")</f>
        <v/>
      </c>
      <c r="BG15" s="224" t="str">
        <f>IFERROR(VLOOKUP($A15,Devengado!$A$1:$AI$1,26,FALSE),"")</f>
        <v/>
      </c>
      <c r="BH15" s="224" t="str">
        <f>IFERROR(VLOOKUP($A15,Devengado!$A$1:$AI$1,27,FALSE),"")</f>
        <v/>
      </c>
      <c r="BI15" s="224" t="str">
        <f>IFERROR(VLOOKUP($A15,Devengado!$A$1:$AI$1,28,FALSE),"")</f>
        <v/>
      </c>
      <c r="BJ15" s="224" t="str">
        <f>IFERROR(VLOOKUP($A15,Devengado!$A$1:$AI$1,29,FALSE),"")</f>
        <v/>
      </c>
      <c r="BK15" s="224" t="str">
        <f>IFERROR(VLOOKUP($A15,Devengado!$A$1:$AI$1,30,FALSE),"")</f>
        <v/>
      </c>
      <c r="BL15" s="224" t="str">
        <f>IFERROR(VLOOKUP($A15,Devengado!$A$1:$AI$1,31,FALSE),"")</f>
        <v/>
      </c>
      <c r="BM15" s="224" t="str">
        <f>IFERROR(VLOOKUP($A15,Devengado!$A$1:$AI$1,32,FALSE),"")</f>
        <v/>
      </c>
      <c r="BN15" s="224" t="str">
        <f>IFERROR(VLOOKUP($A15,Devengado!$A$1:$AI$1,33,FALSE),"")</f>
        <v/>
      </c>
      <c r="BO15" s="224">
        <f t="shared" si="4"/>
        <v>0</v>
      </c>
      <c r="BP15" s="224" t="str">
        <f t="shared" si="5"/>
        <v/>
      </c>
      <c r="BQ15" s="207"/>
      <c r="BR15" s="207" t="str">
        <f t="shared" si="6"/>
        <v>53</v>
      </c>
    </row>
    <row r="16" spans="1:70" s="225" customFormat="1" ht="33.75" customHeight="1">
      <c r="A16" s="207">
        <v>12</v>
      </c>
      <c r="B16" s="112" t="s">
        <v>73</v>
      </c>
      <c r="C16" s="112" t="s">
        <v>74</v>
      </c>
      <c r="D16" s="112" t="s">
        <v>75</v>
      </c>
      <c r="E16" s="112" t="s">
        <v>76</v>
      </c>
      <c r="F16" s="112" t="s">
        <v>77</v>
      </c>
      <c r="G16" s="112" t="s">
        <v>77</v>
      </c>
      <c r="H16" s="112" t="s">
        <v>77</v>
      </c>
      <c r="I16" s="112" t="s">
        <v>77</v>
      </c>
      <c r="J16" s="112" t="s">
        <v>77</v>
      </c>
      <c r="K16" s="112" t="s">
        <v>77</v>
      </c>
      <c r="L16" s="112" t="s">
        <v>85</v>
      </c>
      <c r="M16" s="112" t="s">
        <v>92</v>
      </c>
      <c r="N16" s="112">
        <v>9999</v>
      </c>
      <c r="O16" s="114" t="s">
        <v>80</v>
      </c>
      <c r="P16" s="114" t="s">
        <v>81</v>
      </c>
      <c r="Q16" s="114" t="s">
        <v>82</v>
      </c>
      <c r="R16" s="115" t="str">
        <f t="shared" si="0"/>
        <v>53</v>
      </c>
      <c r="S16" s="112">
        <v>530704</v>
      </c>
      <c r="T16" s="122" t="e">
        <f>VLOOKUP(S16,ITEM!$C$1:$D$156,2,FALSE)</f>
        <v>#N/A</v>
      </c>
      <c r="U16" s="112" t="s">
        <v>83</v>
      </c>
      <c r="V16" s="112" t="s">
        <v>82</v>
      </c>
      <c r="W16" s="112" t="s">
        <v>84</v>
      </c>
      <c r="X16" s="112" t="s">
        <v>84</v>
      </c>
      <c r="Y16" s="224" t="e">
        <f>'Matriz POA 2024-TRABAJO'!#REF!</f>
        <v>#REF!</v>
      </c>
      <c r="Z16" s="224" t="e">
        <f>'Matriz POA 2024-TRABAJO'!#REF!</f>
        <v>#REF!</v>
      </c>
      <c r="AA16" s="224" t="e">
        <f>'Matriz POA 2024-TRABAJO'!#REF!</f>
        <v>#REF!</v>
      </c>
      <c r="AB16" s="279">
        <v>0</v>
      </c>
      <c r="AC16" s="279">
        <v>1000</v>
      </c>
      <c r="AD16" s="279">
        <v>0</v>
      </c>
      <c r="AE16" s="279">
        <v>0</v>
      </c>
      <c r="AF16" s="279">
        <v>0</v>
      </c>
      <c r="AG16" s="279">
        <v>0</v>
      </c>
      <c r="AH16" s="279">
        <v>0</v>
      </c>
      <c r="AI16" s="279">
        <v>0</v>
      </c>
      <c r="AJ16" s="279">
        <v>0</v>
      </c>
      <c r="AK16" s="279">
        <v>0</v>
      </c>
      <c r="AL16" s="279">
        <v>0</v>
      </c>
      <c r="AM16" s="279">
        <v>0</v>
      </c>
      <c r="AN16" s="224" t="e">
        <f>SUM(#REF!)</f>
        <v>#REF!</v>
      </c>
      <c r="AO16" s="224">
        <f t="shared" si="1"/>
        <v>1000</v>
      </c>
      <c r="AP16" s="224" t="e">
        <f t="shared" si="7"/>
        <v>#REF!</v>
      </c>
      <c r="AQ16" s="224"/>
      <c r="AR16" s="224"/>
      <c r="AS16" s="224"/>
      <c r="AT16" s="224" t="str">
        <f>IFERROR(VLOOKUP($A16,'Constancias POA'!$A$2:$DH$9993,17,FALSE),"")</f>
        <v/>
      </c>
      <c r="AU16" s="224" t="str">
        <f t="shared" si="2"/>
        <v/>
      </c>
      <c r="AV16" s="224" t="str">
        <f>IFERROR(VLOOKUP($A16,CP!$A$1:$U$7992,18,FALSE),"")</f>
        <v/>
      </c>
      <c r="AW16" s="224" t="str">
        <f>IFERROR(VLOOKUP($A16,CP!$A$1:$U$7992,19,FALSE),"")</f>
        <v/>
      </c>
      <c r="AX16" s="224" t="str">
        <f>IFERROR(VLOOKUP($A16,CP!$A$1:$U$7992,20,FALSE),"")</f>
        <v/>
      </c>
      <c r="AY16" s="224" t="str">
        <f>IFERROR(VLOOKUP($A16,CP!$A$1:$U$1,21,FALSE),"")</f>
        <v/>
      </c>
      <c r="AZ16" s="224" t="str">
        <f>IFERROR(VLOOKUP(A16,Devengado!$A$1:AJ1,35,FALSE),"")</f>
        <v/>
      </c>
      <c r="BA16" s="224" t="str">
        <f t="shared" si="3"/>
        <v/>
      </c>
      <c r="BB16" s="224" t="str">
        <f>IFERROR(AZ16/#REF!,"")</f>
        <v/>
      </c>
      <c r="BC16" s="224" t="str">
        <f>IFERROR(VLOOKUP($A16,Devengado!$A$1:$AI$1,22,FALSE),"")</f>
        <v/>
      </c>
      <c r="BD16" s="224" t="str">
        <f>IFERROR(VLOOKUP($A16,Devengado!$A$1:$AI$1,23,FALSE),"")</f>
        <v/>
      </c>
      <c r="BE16" s="224" t="str">
        <f>IFERROR(VLOOKUP($A16,Devengado!$A$1:$AI$1,24,FALSE),"")</f>
        <v/>
      </c>
      <c r="BF16" s="224" t="str">
        <f>IFERROR(VLOOKUP($A16,Devengado!$A$1:$AI$1,25,FALSE),"")</f>
        <v/>
      </c>
      <c r="BG16" s="224" t="str">
        <f>IFERROR(VLOOKUP($A16,Devengado!$A$1:$AI$1,26,FALSE),"")</f>
        <v/>
      </c>
      <c r="BH16" s="224" t="str">
        <f>IFERROR(VLOOKUP($A16,Devengado!$A$1:$AI$1,27,FALSE),"")</f>
        <v/>
      </c>
      <c r="BI16" s="224" t="str">
        <f>IFERROR(VLOOKUP($A16,Devengado!$A$1:$AI$1,28,FALSE),"")</f>
        <v/>
      </c>
      <c r="BJ16" s="224" t="str">
        <f>IFERROR(VLOOKUP($A16,Devengado!$A$1:$AI$1,29,FALSE),"")</f>
        <v/>
      </c>
      <c r="BK16" s="224" t="str">
        <f>IFERROR(VLOOKUP($A16,Devengado!$A$1:$AI$1,30,FALSE),"")</f>
        <v/>
      </c>
      <c r="BL16" s="224" t="str">
        <f>IFERROR(VLOOKUP($A16,Devengado!$A$1:$AI$1,31,FALSE),"")</f>
        <v/>
      </c>
      <c r="BM16" s="224" t="str">
        <f>IFERROR(VLOOKUP($A16,Devengado!$A$1:$AI$1,32,FALSE),"")</f>
        <v/>
      </c>
      <c r="BN16" s="224" t="str">
        <f>IFERROR(VLOOKUP($A16,Devengado!$A$1:$AI$1,33,FALSE),"")</f>
        <v/>
      </c>
      <c r="BO16" s="224">
        <f t="shared" si="4"/>
        <v>0</v>
      </c>
      <c r="BP16" s="224" t="str">
        <f t="shared" si="5"/>
        <v/>
      </c>
      <c r="BQ16" s="207"/>
      <c r="BR16" s="207" t="str">
        <f t="shared" si="6"/>
        <v>53</v>
      </c>
    </row>
    <row r="17" spans="1:70" s="225" customFormat="1" ht="25.5" customHeight="1">
      <c r="A17" s="207">
        <v>13</v>
      </c>
      <c r="B17" s="112" t="s">
        <v>73</v>
      </c>
      <c r="C17" s="112" t="s">
        <v>74</v>
      </c>
      <c r="D17" s="112" t="s">
        <v>75</v>
      </c>
      <c r="E17" s="112" t="s">
        <v>76</v>
      </c>
      <c r="F17" s="112" t="s">
        <v>77</v>
      </c>
      <c r="G17" s="112" t="s">
        <v>77</v>
      </c>
      <c r="H17" s="112" t="s">
        <v>77</v>
      </c>
      <c r="I17" s="112" t="s">
        <v>77</v>
      </c>
      <c r="J17" s="112" t="s">
        <v>77</v>
      </c>
      <c r="K17" s="112" t="s">
        <v>77</v>
      </c>
      <c r="L17" s="112" t="s">
        <v>85</v>
      </c>
      <c r="M17" s="112" t="s">
        <v>93</v>
      </c>
      <c r="N17" s="112">
        <v>9999</v>
      </c>
      <c r="O17" s="114" t="s">
        <v>80</v>
      </c>
      <c r="P17" s="114" t="s">
        <v>81</v>
      </c>
      <c r="Q17" s="114" t="s">
        <v>82</v>
      </c>
      <c r="R17" s="115" t="str">
        <f t="shared" si="0"/>
        <v>53</v>
      </c>
      <c r="S17" s="112">
        <v>530813</v>
      </c>
      <c r="T17" s="122" t="e">
        <f>VLOOKUP(S17,ITEM!$C$1:$D$156,2,FALSE)</f>
        <v>#N/A</v>
      </c>
      <c r="U17" s="112" t="s">
        <v>83</v>
      </c>
      <c r="V17" s="112" t="s">
        <v>82</v>
      </c>
      <c r="W17" s="112" t="s">
        <v>84</v>
      </c>
      <c r="X17" s="112" t="s">
        <v>84</v>
      </c>
      <c r="Y17" s="224" t="e">
        <f>'Matriz POA 2024-TRABAJO'!#REF!</f>
        <v>#REF!</v>
      </c>
      <c r="Z17" s="224" t="e">
        <f>'Matriz POA 2024-TRABAJO'!#REF!</f>
        <v>#REF!</v>
      </c>
      <c r="AA17" s="224" t="e">
        <f>'Matriz POA 2024-TRABAJO'!#REF!</f>
        <v>#REF!</v>
      </c>
      <c r="AB17" s="279">
        <v>0</v>
      </c>
      <c r="AC17" s="279">
        <v>0</v>
      </c>
      <c r="AD17" s="279">
        <v>100</v>
      </c>
      <c r="AE17" s="279">
        <v>0</v>
      </c>
      <c r="AF17" s="279">
        <v>100</v>
      </c>
      <c r="AG17" s="279">
        <v>0</v>
      </c>
      <c r="AH17" s="279">
        <v>100</v>
      </c>
      <c r="AI17" s="279">
        <v>0</v>
      </c>
      <c r="AJ17" s="279">
        <v>100</v>
      </c>
      <c r="AK17" s="279">
        <v>0</v>
      </c>
      <c r="AL17" s="279">
        <v>100</v>
      </c>
      <c r="AM17" s="279">
        <v>100</v>
      </c>
      <c r="AN17" s="224" t="e">
        <f>SUM(#REF!)</f>
        <v>#REF!</v>
      </c>
      <c r="AO17" s="224">
        <f t="shared" si="1"/>
        <v>600</v>
      </c>
      <c r="AP17" s="224" t="e">
        <f t="shared" si="7"/>
        <v>#REF!</v>
      </c>
      <c r="AQ17" s="224"/>
      <c r="AR17" s="224"/>
      <c r="AS17" s="224"/>
      <c r="AT17" s="224" t="str">
        <f>IFERROR(VLOOKUP($A17,'Constancias POA'!$A$2:$DH$9993,17,FALSE),"")</f>
        <v/>
      </c>
      <c r="AU17" s="224" t="str">
        <f t="shared" si="2"/>
        <v/>
      </c>
      <c r="AV17" s="224" t="str">
        <f>IFERROR(VLOOKUP($A17,CP!$A$1:$U$7992,18,FALSE),"")</f>
        <v/>
      </c>
      <c r="AW17" s="224" t="str">
        <f>IFERROR(VLOOKUP($A17,CP!$A$1:$U$7992,19,FALSE),"")</f>
        <v/>
      </c>
      <c r="AX17" s="224" t="str">
        <f>IFERROR(VLOOKUP($A17,CP!$A$1:$U$7992,20,FALSE),"")</f>
        <v/>
      </c>
      <c r="AY17" s="224" t="str">
        <f>IFERROR(VLOOKUP($A17,CP!$A$1:$U$1,21,FALSE),"")</f>
        <v/>
      </c>
      <c r="AZ17" s="224" t="str">
        <f>IFERROR(VLOOKUP(A17,Devengado!$A$1:AJ1,35,FALSE),"")</f>
        <v/>
      </c>
      <c r="BA17" s="224" t="str">
        <f t="shared" si="3"/>
        <v/>
      </c>
      <c r="BB17" s="224" t="str">
        <f>IFERROR(AZ17/#REF!,"")</f>
        <v/>
      </c>
      <c r="BC17" s="224" t="str">
        <f>IFERROR(VLOOKUP($A17,Devengado!$A$1:$AI$1,22,FALSE),"")</f>
        <v/>
      </c>
      <c r="BD17" s="224" t="str">
        <f>IFERROR(VLOOKUP($A17,Devengado!$A$1:$AI$1,23,FALSE),"")</f>
        <v/>
      </c>
      <c r="BE17" s="224" t="str">
        <f>IFERROR(VLOOKUP($A17,Devengado!$A$1:$AI$1,24,FALSE),"")</f>
        <v/>
      </c>
      <c r="BF17" s="224" t="str">
        <f>IFERROR(VLOOKUP($A17,Devengado!$A$1:$AI$1,25,FALSE),"")</f>
        <v/>
      </c>
      <c r="BG17" s="224" t="str">
        <f>IFERROR(VLOOKUP($A17,Devengado!$A$1:$AI$1,26,FALSE),"")</f>
        <v/>
      </c>
      <c r="BH17" s="224" t="str">
        <f>IFERROR(VLOOKUP($A17,Devengado!$A$1:$AI$1,27,FALSE),"")</f>
        <v/>
      </c>
      <c r="BI17" s="224" t="str">
        <f>IFERROR(VLOOKUP($A17,Devengado!$A$1:$AI$1,28,FALSE),"")</f>
        <v/>
      </c>
      <c r="BJ17" s="224" t="str">
        <f>IFERROR(VLOOKUP($A17,Devengado!$A$1:$AI$1,29,FALSE),"")</f>
        <v/>
      </c>
      <c r="BK17" s="224" t="str">
        <f>IFERROR(VLOOKUP($A17,Devengado!$A$1:$AI$1,30,FALSE),"")</f>
        <v/>
      </c>
      <c r="BL17" s="224" t="str">
        <f>IFERROR(VLOOKUP($A17,Devengado!$A$1:$AI$1,31,FALSE),"")</f>
        <v/>
      </c>
      <c r="BM17" s="224" t="str">
        <f>IFERROR(VLOOKUP($A17,Devengado!$A$1:$AI$1,32,FALSE),"")</f>
        <v/>
      </c>
      <c r="BN17" s="224" t="str">
        <f>IFERROR(VLOOKUP($A17,Devengado!$A$1:$AI$1,33,FALSE),"")</f>
        <v/>
      </c>
      <c r="BO17" s="224">
        <f t="shared" si="4"/>
        <v>0</v>
      </c>
      <c r="BP17" s="224" t="str">
        <f t="shared" si="5"/>
        <v/>
      </c>
      <c r="BQ17" s="207"/>
      <c r="BR17" s="207" t="str">
        <f t="shared" si="6"/>
        <v>53</v>
      </c>
    </row>
    <row r="18" spans="1:70" s="225" customFormat="1" ht="25.5" customHeight="1">
      <c r="A18" s="207">
        <v>14</v>
      </c>
      <c r="B18" s="112" t="s">
        <v>73</v>
      </c>
      <c r="C18" s="112" t="s">
        <v>74</v>
      </c>
      <c r="D18" s="112" t="s">
        <v>75</v>
      </c>
      <c r="E18" s="112" t="s">
        <v>76</v>
      </c>
      <c r="F18" s="112" t="s">
        <v>77</v>
      </c>
      <c r="G18" s="112" t="s">
        <v>77</v>
      </c>
      <c r="H18" s="112" t="s">
        <v>77</v>
      </c>
      <c r="I18" s="112" t="s">
        <v>77</v>
      </c>
      <c r="J18" s="112" t="s">
        <v>77</v>
      </c>
      <c r="K18" s="112" t="s">
        <v>77</v>
      </c>
      <c r="L18" s="112" t="s">
        <v>85</v>
      </c>
      <c r="M18" s="112" t="s">
        <v>94</v>
      </c>
      <c r="N18" s="112">
        <v>9999</v>
      </c>
      <c r="O18" s="114" t="s">
        <v>80</v>
      </c>
      <c r="P18" s="114" t="s">
        <v>81</v>
      </c>
      <c r="Q18" s="114" t="s">
        <v>82</v>
      </c>
      <c r="R18" s="115" t="str">
        <f t="shared" si="0"/>
        <v>53</v>
      </c>
      <c r="S18" s="112">
        <v>530813</v>
      </c>
      <c r="T18" s="122" t="e">
        <f>VLOOKUP(S18,ITEM!$C$1:$D$156,2,FALSE)</f>
        <v>#N/A</v>
      </c>
      <c r="U18" s="112" t="s">
        <v>83</v>
      </c>
      <c r="V18" s="112" t="s">
        <v>82</v>
      </c>
      <c r="W18" s="112" t="s">
        <v>84</v>
      </c>
      <c r="X18" s="112" t="s">
        <v>84</v>
      </c>
      <c r="Y18" s="224" t="e">
        <f>'Matriz POA 2024-TRABAJO'!#REF!</f>
        <v>#REF!</v>
      </c>
      <c r="Z18" s="224" t="e">
        <f>'Matriz POA 2024-TRABAJO'!#REF!</f>
        <v>#REF!</v>
      </c>
      <c r="AA18" s="224" t="e">
        <f>'Matriz POA 2024-TRABAJO'!#REF!</f>
        <v>#REF!</v>
      </c>
      <c r="AB18" s="279">
        <v>0</v>
      </c>
      <c r="AC18" s="279">
        <v>0</v>
      </c>
      <c r="AD18" s="279">
        <v>6300</v>
      </c>
      <c r="AE18" s="279">
        <v>0</v>
      </c>
      <c r="AF18" s="279">
        <v>0</v>
      </c>
      <c r="AG18" s="279">
        <v>0</v>
      </c>
      <c r="AH18" s="279">
        <v>0</v>
      </c>
      <c r="AI18" s="279">
        <v>0</v>
      </c>
      <c r="AJ18" s="279">
        <v>0</v>
      </c>
      <c r="AK18" s="279">
        <v>0</v>
      </c>
      <c r="AL18" s="279">
        <v>0</v>
      </c>
      <c r="AM18" s="279">
        <v>0</v>
      </c>
      <c r="AN18" s="224" t="e">
        <f>SUM(#REF!)</f>
        <v>#REF!</v>
      </c>
      <c r="AO18" s="224">
        <f t="shared" si="1"/>
        <v>6300</v>
      </c>
      <c r="AP18" s="224" t="e">
        <f t="shared" si="7"/>
        <v>#REF!</v>
      </c>
      <c r="AQ18" s="224"/>
      <c r="AR18" s="224"/>
      <c r="AS18" s="224"/>
      <c r="AT18" s="224" t="str">
        <f>IFERROR(VLOOKUP($A18,'Constancias POA'!$A$2:$DH$9993,17,FALSE),"")</f>
        <v/>
      </c>
      <c r="AU18" s="224" t="str">
        <f t="shared" si="2"/>
        <v/>
      </c>
      <c r="AV18" s="224" t="str">
        <f>IFERROR(VLOOKUP($A18,CP!$A$1:$U$7992,18,FALSE),"")</f>
        <v/>
      </c>
      <c r="AW18" s="224" t="str">
        <f>IFERROR(VLOOKUP($A18,CP!$A$1:$U$7992,19,FALSE),"")</f>
        <v/>
      </c>
      <c r="AX18" s="224" t="str">
        <f>IFERROR(VLOOKUP($A18,CP!$A$1:$U$7992,20,FALSE),"")</f>
        <v/>
      </c>
      <c r="AY18" s="224" t="str">
        <f>IFERROR(VLOOKUP($A18,CP!$A$1:$U$1,21,FALSE),"")</f>
        <v/>
      </c>
      <c r="AZ18" s="224" t="str">
        <f>IFERROR(VLOOKUP(A18,Devengado!$A$1:AJ1,35,FALSE),"")</f>
        <v/>
      </c>
      <c r="BA18" s="224" t="str">
        <f t="shared" si="3"/>
        <v/>
      </c>
      <c r="BB18" s="224" t="str">
        <f>IFERROR(AZ18/#REF!,"")</f>
        <v/>
      </c>
      <c r="BC18" s="224" t="str">
        <f>IFERROR(VLOOKUP($A18,Devengado!$A$1:$AI$1,22,FALSE),"")</f>
        <v/>
      </c>
      <c r="BD18" s="224" t="str">
        <f>IFERROR(VLOOKUP($A18,Devengado!$A$1:$AI$1,23,FALSE),"")</f>
        <v/>
      </c>
      <c r="BE18" s="224" t="str">
        <f>IFERROR(VLOOKUP($A18,Devengado!$A$1:$AI$1,24,FALSE),"")</f>
        <v/>
      </c>
      <c r="BF18" s="224" t="str">
        <f>IFERROR(VLOOKUP($A18,Devengado!$A$1:$AI$1,25,FALSE),"")</f>
        <v/>
      </c>
      <c r="BG18" s="224" t="str">
        <f>IFERROR(VLOOKUP($A18,Devengado!$A$1:$AI$1,26,FALSE),"")</f>
        <v/>
      </c>
      <c r="BH18" s="224" t="str">
        <f>IFERROR(VLOOKUP($A18,Devengado!$A$1:$AI$1,27,FALSE),"")</f>
        <v/>
      </c>
      <c r="BI18" s="224" t="str">
        <f>IFERROR(VLOOKUP($A18,Devengado!$A$1:$AI$1,28,FALSE),"")</f>
        <v/>
      </c>
      <c r="BJ18" s="224" t="str">
        <f>IFERROR(VLOOKUP($A18,Devengado!$A$1:$AI$1,29,FALSE),"")</f>
        <v/>
      </c>
      <c r="BK18" s="224" t="str">
        <f>IFERROR(VLOOKUP($A18,Devengado!$A$1:$AI$1,30,FALSE),"")</f>
        <v/>
      </c>
      <c r="BL18" s="224" t="str">
        <f>IFERROR(VLOOKUP($A18,Devengado!$A$1:$AI$1,31,FALSE),"")</f>
        <v/>
      </c>
      <c r="BM18" s="224" t="str">
        <f>IFERROR(VLOOKUP($A18,Devengado!$A$1:$AI$1,32,FALSE),"")</f>
        <v/>
      </c>
      <c r="BN18" s="224" t="str">
        <f>IFERROR(VLOOKUP($A18,Devengado!$A$1:$AI$1,33,FALSE),"")</f>
        <v/>
      </c>
      <c r="BO18" s="224">
        <f t="shared" si="4"/>
        <v>0</v>
      </c>
      <c r="BP18" s="224" t="str">
        <f t="shared" si="5"/>
        <v/>
      </c>
      <c r="BQ18" s="207"/>
      <c r="BR18" s="207" t="str">
        <f t="shared" si="6"/>
        <v>53</v>
      </c>
    </row>
    <row r="19" spans="1:70" s="225" customFormat="1" ht="25.5" customHeight="1">
      <c r="A19" s="207">
        <v>15</v>
      </c>
      <c r="B19" s="112" t="s">
        <v>73</v>
      </c>
      <c r="C19" s="112" t="s">
        <v>74</v>
      </c>
      <c r="D19" s="112" t="s">
        <v>75</v>
      </c>
      <c r="E19" s="112" t="s">
        <v>76</v>
      </c>
      <c r="F19" s="112" t="s">
        <v>77</v>
      </c>
      <c r="G19" s="112" t="s">
        <v>77</v>
      </c>
      <c r="H19" s="112" t="s">
        <v>77</v>
      </c>
      <c r="I19" s="112" t="s">
        <v>77</v>
      </c>
      <c r="J19" s="112" t="s">
        <v>77</v>
      </c>
      <c r="K19" s="112" t="s">
        <v>77</v>
      </c>
      <c r="L19" s="112" t="s">
        <v>85</v>
      </c>
      <c r="M19" s="112" t="s">
        <v>95</v>
      </c>
      <c r="N19" s="112">
        <v>9999</v>
      </c>
      <c r="O19" s="114" t="s">
        <v>80</v>
      </c>
      <c r="P19" s="114" t="s">
        <v>81</v>
      </c>
      <c r="Q19" s="114" t="s">
        <v>82</v>
      </c>
      <c r="R19" s="115" t="str">
        <f t="shared" si="0"/>
        <v>84</v>
      </c>
      <c r="S19" s="112">
        <v>840107</v>
      </c>
      <c r="T19" s="122" t="e">
        <f>VLOOKUP(S19,ITEM!$C$1:$D$156,2,FALSE)</f>
        <v>#N/A</v>
      </c>
      <c r="U19" s="112" t="s">
        <v>83</v>
      </c>
      <c r="V19" s="112" t="s">
        <v>82</v>
      </c>
      <c r="W19" s="112" t="s">
        <v>84</v>
      </c>
      <c r="X19" s="112" t="s">
        <v>84</v>
      </c>
      <c r="Y19" s="224" t="e">
        <f>'Matriz POA 2024-TRABAJO'!#REF!</f>
        <v>#REF!</v>
      </c>
      <c r="Z19" s="224" t="e">
        <f>'Matriz POA 2024-TRABAJO'!#REF!</f>
        <v>#REF!</v>
      </c>
      <c r="AA19" s="224" t="e">
        <f>'Matriz POA 2024-TRABAJO'!#REF!</f>
        <v>#REF!</v>
      </c>
      <c r="AB19" s="279">
        <v>0</v>
      </c>
      <c r="AC19" s="279">
        <v>0</v>
      </c>
      <c r="AD19" s="279">
        <v>0</v>
      </c>
      <c r="AE19" s="279">
        <v>0</v>
      </c>
      <c r="AF19" s="279">
        <v>0</v>
      </c>
      <c r="AG19" s="279">
        <v>0</v>
      </c>
      <c r="AH19" s="279">
        <v>0</v>
      </c>
      <c r="AI19" s="279">
        <v>0</v>
      </c>
      <c r="AJ19" s="279">
        <v>0</v>
      </c>
      <c r="AK19" s="279">
        <v>0</v>
      </c>
      <c r="AL19" s="279">
        <v>0</v>
      </c>
      <c r="AM19" s="279">
        <v>0</v>
      </c>
      <c r="AN19" s="224" t="e">
        <f>SUM(#REF!)</f>
        <v>#REF!</v>
      </c>
      <c r="AO19" s="224">
        <f t="shared" si="1"/>
        <v>0</v>
      </c>
      <c r="AP19" s="224" t="e">
        <f t="shared" si="7"/>
        <v>#REF!</v>
      </c>
      <c r="AQ19" s="224"/>
      <c r="AR19" s="224"/>
      <c r="AS19" s="224"/>
      <c r="AT19" s="224" t="str">
        <f>IFERROR(VLOOKUP($A19,'Constancias POA'!$A$2:$DH$9993,17,FALSE),"")</f>
        <v/>
      </c>
      <c r="AU19" s="224" t="str">
        <f t="shared" si="2"/>
        <v/>
      </c>
      <c r="AV19" s="224" t="str">
        <f>IFERROR(VLOOKUP($A19,CP!$A$1:$U$7992,18,FALSE),"")</f>
        <v/>
      </c>
      <c r="AW19" s="224" t="str">
        <f>IFERROR(VLOOKUP($A19,CP!$A$1:$U$7992,19,FALSE),"")</f>
        <v/>
      </c>
      <c r="AX19" s="224" t="str">
        <f>IFERROR(VLOOKUP($A19,CP!$A$1:$U$7992,20,FALSE),"")</f>
        <v/>
      </c>
      <c r="AY19" s="224" t="str">
        <f>IFERROR(VLOOKUP($A19,CP!$A$1:$U$1,21,FALSE),"")</f>
        <v/>
      </c>
      <c r="AZ19" s="224" t="str">
        <f>IFERROR(VLOOKUP(A19,Devengado!$A$1:AJ1,35,FALSE),"")</f>
        <v/>
      </c>
      <c r="BA19" s="224" t="str">
        <f t="shared" si="3"/>
        <v/>
      </c>
      <c r="BB19" s="224" t="str">
        <f>IFERROR(AZ19/#REF!,"")</f>
        <v/>
      </c>
      <c r="BC19" s="224" t="str">
        <f>IFERROR(VLOOKUP($A19,Devengado!$A$1:$AI$1,22,FALSE),"")</f>
        <v/>
      </c>
      <c r="BD19" s="224" t="str">
        <f>IFERROR(VLOOKUP($A19,Devengado!$A$1:$AI$1,23,FALSE),"")</f>
        <v/>
      </c>
      <c r="BE19" s="224" t="str">
        <f>IFERROR(VLOOKUP($A19,Devengado!$A$1:$AI$1,24,FALSE),"")</f>
        <v/>
      </c>
      <c r="BF19" s="224" t="str">
        <f>IFERROR(VLOOKUP($A19,Devengado!$A$1:$AI$1,25,FALSE),"")</f>
        <v/>
      </c>
      <c r="BG19" s="224" t="str">
        <f>IFERROR(VLOOKUP($A19,Devengado!$A$1:$AI$1,26,FALSE),"")</f>
        <v/>
      </c>
      <c r="BH19" s="224" t="str">
        <f>IFERROR(VLOOKUP($A19,Devengado!$A$1:$AI$1,27,FALSE),"")</f>
        <v/>
      </c>
      <c r="BI19" s="224" t="str">
        <f>IFERROR(VLOOKUP($A19,Devengado!$A$1:$AI$1,28,FALSE),"")</f>
        <v/>
      </c>
      <c r="BJ19" s="224" t="str">
        <f>IFERROR(VLOOKUP($A19,Devengado!$A$1:$AI$1,29,FALSE),"")</f>
        <v/>
      </c>
      <c r="BK19" s="224" t="str">
        <f>IFERROR(VLOOKUP($A19,Devengado!$A$1:$AI$1,30,FALSE),"")</f>
        <v/>
      </c>
      <c r="BL19" s="224" t="str">
        <f>IFERROR(VLOOKUP($A19,Devengado!$A$1:$AI$1,31,FALSE),"")</f>
        <v/>
      </c>
      <c r="BM19" s="224" t="str">
        <f>IFERROR(VLOOKUP($A19,Devengado!$A$1:$AI$1,32,FALSE),"")</f>
        <v/>
      </c>
      <c r="BN19" s="224" t="str">
        <f>IFERROR(VLOOKUP($A19,Devengado!$A$1:$AI$1,33,FALSE),"")</f>
        <v/>
      </c>
      <c r="BO19" s="224">
        <f t="shared" si="4"/>
        <v>0</v>
      </c>
      <c r="BP19" s="224" t="str">
        <f t="shared" si="5"/>
        <v/>
      </c>
      <c r="BQ19" s="207"/>
      <c r="BR19" s="207" t="str">
        <f t="shared" si="6"/>
        <v>84</v>
      </c>
    </row>
    <row r="20" spans="1:70" s="225" customFormat="1" ht="25.5" customHeight="1">
      <c r="A20" s="207">
        <v>16</v>
      </c>
      <c r="B20" s="112" t="s">
        <v>73</v>
      </c>
      <c r="C20" s="112" t="s">
        <v>74</v>
      </c>
      <c r="D20" s="112" t="s">
        <v>75</v>
      </c>
      <c r="E20" s="112" t="s">
        <v>76</v>
      </c>
      <c r="F20" s="112" t="s">
        <v>77</v>
      </c>
      <c r="G20" s="112" t="s">
        <v>77</v>
      </c>
      <c r="H20" s="112" t="s">
        <v>77</v>
      </c>
      <c r="I20" s="112" t="s">
        <v>77</v>
      </c>
      <c r="J20" s="112" t="s">
        <v>77</v>
      </c>
      <c r="K20" s="112" t="s">
        <v>77</v>
      </c>
      <c r="L20" s="112" t="s">
        <v>85</v>
      </c>
      <c r="M20" s="112" t="s">
        <v>96</v>
      </c>
      <c r="N20" s="112">
        <v>9999</v>
      </c>
      <c r="O20" s="114" t="s">
        <v>80</v>
      </c>
      <c r="P20" s="114" t="s">
        <v>81</v>
      </c>
      <c r="Q20" s="114" t="s">
        <v>82</v>
      </c>
      <c r="R20" s="115" t="str">
        <f t="shared" si="0"/>
        <v>84</v>
      </c>
      <c r="S20" s="112">
        <v>840107</v>
      </c>
      <c r="T20" s="122" t="e">
        <f>VLOOKUP(S20,ITEM!$C$1:$D$156,2,FALSE)</f>
        <v>#N/A</v>
      </c>
      <c r="U20" s="112" t="s">
        <v>83</v>
      </c>
      <c r="V20" s="112" t="s">
        <v>82</v>
      </c>
      <c r="W20" s="112" t="s">
        <v>84</v>
      </c>
      <c r="X20" s="112" t="s">
        <v>84</v>
      </c>
      <c r="Y20" s="224" t="e">
        <f>'Matriz POA 2024-TRABAJO'!#REF!</f>
        <v>#REF!</v>
      </c>
      <c r="Z20" s="224" t="e">
        <f>'Matriz POA 2024-TRABAJO'!#REF!</f>
        <v>#REF!</v>
      </c>
      <c r="AA20" s="224" t="e">
        <f>'Matriz POA 2024-TRABAJO'!#REF!</f>
        <v>#REF!</v>
      </c>
      <c r="AB20" s="279">
        <v>0</v>
      </c>
      <c r="AC20" s="279">
        <v>0</v>
      </c>
      <c r="AD20" s="279">
        <v>0</v>
      </c>
      <c r="AE20" s="279">
        <v>0</v>
      </c>
      <c r="AF20" s="279">
        <v>0</v>
      </c>
      <c r="AG20" s="279">
        <v>0</v>
      </c>
      <c r="AH20" s="279">
        <v>0</v>
      </c>
      <c r="AI20" s="279">
        <v>0</v>
      </c>
      <c r="AJ20" s="279">
        <v>0</v>
      </c>
      <c r="AK20" s="279">
        <v>0</v>
      </c>
      <c r="AL20" s="279">
        <v>0</v>
      </c>
      <c r="AM20" s="279">
        <v>0</v>
      </c>
      <c r="AN20" s="224" t="e">
        <f>SUM(#REF!)</f>
        <v>#REF!</v>
      </c>
      <c r="AO20" s="224">
        <f t="shared" si="1"/>
        <v>0</v>
      </c>
      <c r="AP20" s="224" t="e">
        <f t="shared" si="7"/>
        <v>#REF!</v>
      </c>
      <c r="AQ20" s="224"/>
      <c r="AR20" s="224"/>
      <c r="AS20" s="224"/>
      <c r="AT20" s="224" t="str">
        <f>IFERROR(VLOOKUP($A20,'Constancias POA'!$A$2:$DH$9993,17,FALSE),"")</f>
        <v/>
      </c>
      <c r="AU20" s="224" t="str">
        <f t="shared" si="2"/>
        <v/>
      </c>
      <c r="AV20" s="224" t="str">
        <f>IFERROR(VLOOKUP($A20,CP!$A$1:$U$7992,18,FALSE),"")</f>
        <v/>
      </c>
      <c r="AW20" s="224" t="str">
        <f>IFERROR(VLOOKUP($A20,CP!$A$1:$U$7992,19,FALSE),"")</f>
        <v/>
      </c>
      <c r="AX20" s="224" t="str">
        <f>IFERROR(VLOOKUP($A20,CP!$A$1:$U$7992,20,FALSE),"")</f>
        <v/>
      </c>
      <c r="AY20" s="224" t="str">
        <f>IFERROR(VLOOKUP($A20,CP!$A$1:$U$1,21,FALSE),"")</f>
        <v/>
      </c>
      <c r="AZ20" s="224" t="str">
        <f>IFERROR(VLOOKUP(A20,Devengado!$A$1:AJ1,35,FALSE),"")</f>
        <v/>
      </c>
      <c r="BA20" s="224" t="str">
        <f t="shared" si="3"/>
        <v/>
      </c>
      <c r="BB20" s="224" t="str">
        <f>IFERROR(AZ20/#REF!,"")</f>
        <v/>
      </c>
      <c r="BC20" s="224" t="str">
        <f>IFERROR(VLOOKUP($A20,Devengado!$A$1:$AI$1,22,FALSE),"")</f>
        <v/>
      </c>
      <c r="BD20" s="224" t="str">
        <f>IFERROR(VLOOKUP($A20,Devengado!$A$1:$AI$1,23,FALSE),"")</f>
        <v/>
      </c>
      <c r="BE20" s="224" t="str">
        <f>IFERROR(VLOOKUP($A20,Devengado!$A$1:$AI$1,24,FALSE),"")</f>
        <v/>
      </c>
      <c r="BF20" s="224" t="str">
        <f>IFERROR(VLOOKUP($A20,Devengado!$A$1:$AI$1,25,FALSE),"")</f>
        <v/>
      </c>
      <c r="BG20" s="224" t="str">
        <f>IFERROR(VLOOKUP($A20,Devengado!$A$1:$AI$1,26,FALSE),"")</f>
        <v/>
      </c>
      <c r="BH20" s="224" t="str">
        <f>IFERROR(VLOOKUP($A20,Devengado!$A$1:$AI$1,27,FALSE),"")</f>
        <v/>
      </c>
      <c r="BI20" s="224" t="str">
        <f>IFERROR(VLOOKUP($A20,Devengado!$A$1:$AI$1,28,FALSE),"")</f>
        <v/>
      </c>
      <c r="BJ20" s="224" t="str">
        <f>IFERROR(VLOOKUP($A20,Devengado!$A$1:$AI$1,29,FALSE),"")</f>
        <v/>
      </c>
      <c r="BK20" s="224" t="str">
        <f>IFERROR(VLOOKUP($A20,Devengado!$A$1:$AI$1,30,FALSE),"")</f>
        <v/>
      </c>
      <c r="BL20" s="224" t="str">
        <f>IFERROR(VLOOKUP($A20,Devengado!$A$1:$AI$1,31,FALSE),"")</f>
        <v/>
      </c>
      <c r="BM20" s="224" t="str">
        <f>IFERROR(VLOOKUP($A20,Devengado!$A$1:$AI$1,32,FALSE),"")</f>
        <v/>
      </c>
      <c r="BN20" s="224" t="str">
        <f>IFERROR(VLOOKUP($A20,Devengado!$A$1:$AI$1,33,FALSE),"")</f>
        <v/>
      </c>
      <c r="BO20" s="224">
        <f t="shared" si="4"/>
        <v>0</v>
      </c>
      <c r="BP20" s="224" t="str">
        <f t="shared" si="5"/>
        <v/>
      </c>
      <c r="BQ20" s="207"/>
      <c r="BR20" s="207" t="str">
        <f t="shared" si="6"/>
        <v>84</v>
      </c>
    </row>
    <row r="21" spans="1:70" s="225" customFormat="1" ht="25.5" customHeight="1">
      <c r="A21" s="207">
        <v>17</v>
      </c>
      <c r="B21" s="112" t="s">
        <v>73</v>
      </c>
      <c r="C21" s="112" t="s">
        <v>74</v>
      </c>
      <c r="D21" s="112" t="s">
        <v>75</v>
      </c>
      <c r="E21" s="112" t="s">
        <v>76</v>
      </c>
      <c r="F21" s="112" t="s">
        <v>77</v>
      </c>
      <c r="G21" s="112" t="s">
        <v>77</v>
      </c>
      <c r="H21" s="112" t="s">
        <v>77</v>
      </c>
      <c r="I21" s="112" t="s">
        <v>77</v>
      </c>
      <c r="J21" s="112" t="s">
        <v>77</v>
      </c>
      <c r="K21" s="112" t="s">
        <v>77</v>
      </c>
      <c r="L21" s="112" t="s">
        <v>85</v>
      </c>
      <c r="M21" s="112" t="s">
        <v>97</v>
      </c>
      <c r="N21" s="112">
        <v>9999</v>
      </c>
      <c r="O21" s="114" t="s">
        <v>80</v>
      </c>
      <c r="P21" s="114" t="s">
        <v>81</v>
      </c>
      <c r="Q21" s="114" t="s">
        <v>82</v>
      </c>
      <c r="R21" s="115" t="str">
        <f t="shared" si="0"/>
        <v>53</v>
      </c>
      <c r="S21" s="112">
        <v>530402</v>
      </c>
      <c r="T21" s="122" t="str">
        <f>VLOOKUP(S21,ITEM!$C$1:$D$156,2,FALSE)</f>
        <v>Edificios, Locales, Residencias y Cableado Estructurado (Instalación, Mantenimiento y Reparación)</v>
      </c>
      <c r="U21" s="112" t="s">
        <v>83</v>
      </c>
      <c r="V21" s="112" t="s">
        <v>82</v>
      </c>
      <c r="W21" s="112" t="s">
        <v>84</v>
      </c>
      <c r="X21" s="112" t="s">
        <v>84</v>
      </c>
      <c r="Y21" s="224" t="e">
        <f>'Matriz POA 2024-TRABAJO'!#REF!</f>
        <v>#REF!</v>
      </c>
      <c r="Z21" s="224" t="e">
        <f>'Matriz POA 2024-TRABAJO'!#REF!</f>
        <v>#REF!</v>
      </c>
      <c r="AA21" s="224" t="e">
        <f>'Matriz POA 2024-TRABAJO'!#REF!</f>
        <v>#REF!</v>
      </c>
      <c r="AB21" s="279">
        <v>0</v>
      </c>
      <c r="AC21" s="279">
        <v>0</v>
      </c>
      <c r="AD21" s="279">
        <v>0</v>
      </c>
      <c r="AE21" s="279">
        <v>0</v>
      </c>
      <c r="AF21" s="279">
        <v>0</v>
      </c>
      <c r="AG21" s="279">
        <v>0</v>
      </c>
      <c r="AH21" s="279">
        <v>0</v>
      </c>
      <c r="AI21" s="279">
        <v>0</v>
      </c>
      <c r="AJ21" s="279">
        <v>0</v>
      </c>
      <c r="AK21" s="279">
        <v>0</v>
      </c>
      <c r="AL21" s="279">
        <v>0</v>
      </c>
      <c r="AM21" s="279">
        <v>0</v>
      </c>
      <c r="AN21" s="224" t="e">
        <f>SUM(#REF!)</f>
        <v>#REF!</v>
      </c>
      <c r="AO21" s="224">
        <f t="shared" si="1"/>
        <v>0</v>
      </c>
      <c r="AP21" s="224" t="e">
        <f t="shared" si="7"/>
        <v>#REF!</v>
      </c>
      <c r="AQ21" s="224"/>
      <c r="AR21" s="224"/>
      <c r="AS21" s="224"/>
      <c r="AT21" s="224" t="str">
        <f>IFERROR(VLOOKUP($A21,'Constancias POA'!$A$2:$DH$9993,17,FALSE),"")</f>
        <v/>
      </c>
      <c r="AU21" s="224" t="str">
        <f t="shared" si="2"/>
        <v/>
      </c>
      <c r="AV21" s="224" t="str">
        <f>IFERROR(VLOOKUP($A21,CP!$A$1:$U$7992,18,FALSE),"")</f>
        <v/>
      </c>
      <c r="AW21" s="224" t="str">
        <f>IFERROR(VLOOKUP($A21,CP!$A$1:$U$7992,19,FALSE),"")</f>
        <v/>
      </c>
      <c r="AX21" s="224" t="str">
        <f>IFERROR(VLOOKUP($A21,CP!$A$1:$U$7992,20,FALSE),"")</f>
        <v/>
      </c>
      <c r="AY21" s="224" t="str">
        <f>IFERROR(VLOOKUP($A21,CP!$A$1:$U$1,21,FALSE),"")</f>
        <v/>
      </c>
      <c r="AZ21" s="224" t="str">
        <f>IFERROR(VLOOKUP(A21,Devengado!$A$1:AJ1,35,FALSE),"")</f>
        <v/>
      </c>
      <c r="BA21" s="224" t="str">
        <f t="shared" si="3"/>
        <v/>
      </c>
      <c r="BB21" s="224" t="str">
        <f>IFERROR(AZ21/#REF!,"")</f>
        <v/>
      </c>
      <c r="BC21" s="224" t="str">
        <f>IFERROR(VLOOKUP($A21,Devengado!$A$1:$AI$1,22,FALSE),"")</f>
        <v/>
      </c>
      <c r="BD21" s="224" t="str">
        <f>IFERROR(VLOOKUP($A21,Devengado!$A$1:$AI$1,23,FALSE),"")</f>
        <v/>
      </c>
      <c r="BE21" s="224" t="str">
        <f>IFERROR(VLOOKUP($A21,Devengado!$A$1:$AI$1,24,FALSE),"")</f>
        <v/>
      </c>
      <c r="BF21" s="224" t="str">
        <f>IFERROR(VLOOKUP($A21,Devengado!$A$1:$AI$1,25,FALSE),"")</f>
        <v/>
      </c>
      <c r="BG21" s="224" t="str">
        <f>IFERROR(VLOOKUP($A21,Devengado!$A$1:$AI$1,26,FALSE),"")</f>
        <v/>
      </c>
      <c r="BH21" s="224" t="str">
        <f>IFERROR(VLOOKUP($A21,Devengado!$A$1:$AI$1,27,FALSE),"")</f>
        <v/>
      </c>
      <c r="BI21" s="224" t="str">
        <f>IFERROR(VLOOKUP($A21,Devengado!$A$1:$AI$1,28,FALSE),"")</f>
        <v/>
      </c>
      <c r="BJ21" s="224" t="str">
        <f>IFERROR(VLOOKUP($A21,Devengado!$A$1:$AI$1,29,FALSE),"")</f>
        <v/>
      </c>
      <c r="BK21" s="224" t="str">
        <f>IFERROR(VLOOKUP($A21,Devengado!$A$1:$AI$1,30,FALSE),"")</f>
        <v/>
      </c>
      <c r="BL21" s="224" t="str">
        <f>IFERROR(VLOOKUP($A21,Devengado!$A$1:$AI$1,31,FALSE),"")</f>
        <v/>
      </c>
      <c r="BM21" s="224" t="str">
        <f>IFERROR(VLOOKUP($A21,Devengado!$A$1:$AI$1,32,FALSE),"")</f>
        <v/>
      </c>
      <c r="BN21" s="224" t="str">
        <f>IFERROR(VLOOKUP($A21,Devengado!$A$1:$AI$1,33,FALSE),"")</f>
        <v/>
      </c>
      <c r="BO21" s="224">
        <f t="shared" si="4"/>
        <v>0</v>
      </c>
      <c r="BP21" s="224" t="str">
        <f t="shared" si="5"/>
        <v/>
      </c>
      <c r="BQ21" s="207"/>
      <c r="BR21" s="207" t="str">
        <f t="shared" si="6"/>
        <v>53</v>
      </c>
    </row>
    <row r="22" spans="1:70" s="225" customFormat="1" ht="25.5" customHeight="1">
      <c r="A22" s="207">
        <v>18</v>
      </c>
      <c r="B22" s="112" t="s">
        <v>73</v>
      </c>
      <c r="C22" s="112" t="s">
        <v>74</v>
      </c>
      <c r="D22" s="112" t="s">
        <v>75</v>
      </c>
      <c r="E22" s="112" t="s">
        <v>76</v>
      </c>
      <c r="F22" s="112" t="s">
        <v>77</v>
      </c>
      <c r="G22" s="112" t="s">
        <v>77</v>
      </c>
      <c r="H22" s="112" t="s">
        <v>77</v>
      </c>
      <c r="I22" s="112" t="s">
        <v>77</v>
      </c>
      <c r="J22" s="112" t="s">
        <v>77</v>
      </c>
      <c r="K22" s="112" t="s">
        <v>77</v>
      </c>
      <c r="L22" s="112" t="s">
        <v>85</v>
      </c>
      <c r="M22" s="112" t="s">
        <v>98</v>
      </c>
      <c r="N22" s="112">
        <v>9999</v>
      </c>
      <c r="O22" s="114" t="s">
        <v>80</v>
      </c>
      <c r="P22" s="114" t="s">
        <v>81</v>
      </c>
      <c r="Q22" s="114" t="s">
        <v>82</v>
      </c>
      <c r="R22" s="115" t="str">
        <f t="shared" si="0"/>
        <v>53</v>
      </c>
      <c r="S22" s="112">
        <v>530402</v>
      </c>
      <c r="T22" s="122" t="str">
        <f>VLOOKUP(S22,ITEM!$C$1:$D$156,2,FALSE)</f>
        <v>Edificios, Locales, Residencias y Cableado Estructurado (Instalación, Mantenimiento y Reparación)</v>
      </c>
      <c r="U22" s="116">
        <v>1701</v>
      </c>
      <c r="V22" s="116" t="s">
        <v>82</v>
      </c>
      <c r="W22" s="116" t="s">
        <v>84</v>
      </c>
      <c r="X22" s="116" t="s">
        <v>84</v>
      </c>
      <c r="Y22" s="224" t="e">
        <f>'Matriz POA 2024-TRABAJO'!#REF!</f>
        <v>#REF!</v>
      </c>
      <c r="Z22" s="224" t="e">
        <f>'Matriz POA 2024-TRABAJO'!#REF!</f>
        <v>#REF!</v>
      </c>
      <c r="AA22" s="224" t="e">
        <f>'Matriz POA 2024-TRABAJO'!#REF!</f>
        <v>#REF!</v>
      </c>
      <c r="AB22" s="279">
        <v>0</v>
      </c>
      <c r="AC22" s="279">
        <v>0</v>
      </c>
      <c r="AD22" s="279">
        <v>3000</v>
      </c>
      <c r="AE22" s="279">
        <v>0</v>
      </c>
      <c r="AF22" s="279">
        <v>0</v>
      </c>
      <c r="AG22" s="279">
        <v>0</v>
      </c>
      <c r="AH22" s="279">
        <v>0</v>
      </c>
      <c r="AI22" s="279">
        <v>0</v>
      </c>
      <c r="AJ22" s="279">
        <v>0</v>
      </c>
      <c r="AK22" s="279">
        <v>0</v>
      </c>
      <c r="AL22" s="279">
        <v>0</v>
      </c>
      <c r="AM22" s="279">
        <v>0</v>
      </c>
      <c r="AN22" s="224" t="e">
        <f>SUM(#REF!)</f>
        <v>#REF!</v>
      </c>
      <c r="AO22" s="224">
        <f t="shared" si="1"/>
        <v>3000</v>
      </c>
      <c r="AP22" s="224" t="e">
        <f t="shared" si="7"/>
        <v>#REF!</v>
      </c>
      <c r="AQ22" s="224"/>
      <c r="AR22" s="224"/>
      <c r="AS22" s="224"/>
      <c r="AT22" s="224" t="str">
        <f>IFERROR(VLOOKUP($A22,'Constancias POA'!$A$2:$DH$9993,17,FALSE),"")</f>
        <v/>
      </c>
      <c r="AU22" s="224" t="str">
        <f t="shared" si="2"/>
        <v/>
      </c>
      <c r="AV22" s="224" t="str">
        <f>IFERROR(VLOOKUP($A22,CP!$A$1:$U$7992,18,FALSE),"")</f>
        <v/>
      </c>
      <c r="AW22" s="224" t="str">
        <f>IFERROR(VLOOKUP($A22,CP!$A$1:$U$7992,19,FALSE),"")</f>
        <v/>
      </c>
      <c r="AX22" s="224" t="str">
        <f>IFERROR(VLOOKUP($A22,CP!$A$1:$U$7992,20,FALSE),"")</f>
        <v/>
      </c>
      <c r="AY22" s="224" t="str">
        <f>IFERROR(VLOOKUP($A22,CP!$A$1:$U$1,21,FALSE),"")</f>
        <v/>
      </c>
      <c r="AZ22" s="224" t="str">
        <f>IFERROR(VLOOKUP(A22,Devengado!$A$1:AJ1,35,FALSE),"")</f>
        <v/>
      </c>
      <c r="BA22" s="224" t="str">
        <f t="shared" si="3"/>
        <v/>
      </c>
      <c r="BB22" s="224" t="str">
        <f>IFERROR(AZ22/#REF!,"")</f>
        <v/>
      </c>
      <c r="BC22" s="224" t="str">
        <f>IFERROR(VLOOKUP($A22,Devengado!$A$1:$AI$1,22,FALSE),"")</f>
        <v/>
      </c>
      <c r="BD22" s="224" t="str">
        <f>IFERROR(VLOOKUP($A22,Devengado!$A$1:$AI$1,23,FALSE),"")</f>
        <v/>
      </c>
      <c r="BE22" s="224" t="str">
        <f>IFERROR(VLOOKUP($A22,Devengado!$A$1:$AI$1,24,FALSE),"")</f>
        <v/>
      </c>
      <c r="BF22" s="224" t="str">
        <f>IFERROR(VLOOKUP($A22,Devengado!$A$1:$AI$1,25,FALSE),"")</f>
        <v/>
      </c>
      <c r="BG22" s="224" t="str">
        <f>IFERROR(VLOOKUP($A22,Devengado!$A$1:$AI$1,26,FALSE),"")</f>
        <v/>
      </c>
      <c r="BH22" s="224" t="str">
        <f>IFERROR(VLOOKUP($A22,Devengado!$A$1:$AI$1,27,FALSE),"")</f>
        <v/>
      </c>
      <c r="BI22" s="224" t="str">
        <f>IFERROR(VLOOKUP($A22,Devengado!$A$1:$AI$1,28,FALSE),"")</f>
        <v/>
      </c>
      <c r="BJ22" s="224" t="str">
        <f>IFERROR(VLOOKUP($A22,Devengado!$A$1:$AI$1,29,FALSE),"")</f>
        <v/>
      </c>
      <c r="BK22" s="224" t="str">
        <f>IFERROR(VLOOKUP($A22,Devengado!$A$1:$AI$1,30,FALSE),"")</f>
        <v/>
      </c>
      <c r="BL22" s="224" t="str">
        <f>IFERROR(VLOOKUP($A22,Devengado!$A$1:$AI$1,31,FALSE),"")</f>
        <v/>
      </c>
      <c r="BM22" s="224" t="str">
        <f>IFERROR(VLOOKUP($A22,Devengado!$A$1:$AI$1,32,FALSE),"")</f>
        <v/>
      </c>
      <c r="BN22" s="224" t="str">
        <f>IFERROR(VLOOKUP($A22,Devengado!$A$1:$AI$1,33,FALSE),"")</f>
        <v/>
      </c>
      <c r="BO22" s="224">
        <f t="shared" si="4"/>
        <v>0</v>
      </c>
      <c r="BP22" s="224" t="str">
        <f t="shared" si="5"/>
        <v/>
      </c>
      <c r="BQ22" s="207"/>
      <c r="BR22" s="207" t="str">
        <f t="shared" si="6"/>
        <v>53</v>
      </c>
    </row>
    <row r="23" spans="1:70" s="225" customFormat="1" ht="25.5" customHeight="1">
      <c r="A23" s="207">
        <v>19</v>
      </c>
      <c r="B23" s="112" t="s">
        <v>73</v>
      </c>
      <c r="C23" s="112" t="s">
        <v>74</v>
      </c>
      <c r="D23" s="117" t="s">
        <v>75</v>
      </c>
      <c r="E23" s="117" t="s">
        <v>76</v>
      </c>
      <c r="F23" s="112" t="s">
        <v>77</v>
      </c>
      <c r="G23" s="112" t="s">
        <v>77</v>
      </c>
      <c r="H23" s="112" t="s">
        <v>77</v>
      </c>
      <c r="I23" s="112" t="s">
        <v>77</v>
      </c>
      <c r="J23" s="112" t="s">
        <v>77</v>
      </c>
      <c r="K23" s="112" t="s">
        <v>77</v>
      </c>
      <c r="L23" s="112" t="s">
        <v>85</v>
      </c>
      <c r="M23" s="113" t="s">
        <v>99</v>
      </c>
      <c r="N23" s="113">
        <v>9999</v>
      </c>
      <c r="O23" s="118" t="s">
        <v>80</v>
      </c>
      <c r="P23" s="118" t="s">
        <v>81</v>
      </c>
      <c r="Q23" s="118" t="s">
        <v>82</v>
      </c>
      <c r="R23" s="115" t="str">
        <f t="shared" si="0"/>
        <v>53</v>
      </c>
      <c r="S23" s="112">
        <v>530702</v>
      </c>
      <c r="T23" s="122" t="e">
        <f>VLOOKUP(S23,ITEM!$C$1:$D$156,2,FALSE)</f>
        <v>#N/A</v>
      </c>
      <c r="U23" s="112" t="s">
        <v>83</v>
      </c>
      <c r="V23" s="114" t="s">
        <v>82</v>
      </c>
      <c r="W23" s="114" t="s">
        <v>84</v>
      </c>
      <c r="X23" s="114" t="s">
        <v>84</v>
      </c>
      <c r="Y23" s="224" t="e">
        <f>'Matriz POA 2024-TRABAJO'!#REF!</f>
        <v>#REF!</v>
      </c>
      <c r="Z23" s="224" t="e">
        <f>'Matriz POA 2024-TRABAJO'!#REF!</f>
        <v>#REF!</v>
      </c>
      <c r="AA23" s="224" t="e">
        <f>'Matriz POA 2024-TRABAJO'!#REF!</f>
        <v>#REF!</v>
      </c>
      <c r="AB23" s="279">
        <v>0</v>
      </c>
      <c r="AC23" s="279">
        <v>0</v>
      </c>
      <c r="AD23" s="279">
        <v>0</v>
      </c>
      <c r="AE23" s="279">
        <v>0</v>
      </c>
      <c r="AF23" s="279">
        <v>0</v>
      </c>
      <c r="AG23" s="279">
        <v>0</v>
      </c>
      <c r="AH23" s="279">
        <v>0</v>
      </c>
      <c r="AI23" s="279">
        <v>0</v>
      </c>
      <c r="AJ23" s="279">
        <v>0</v>
      </c>
      <c r="AK23" s="279">
        <v>0</v>
      </c>
      <c r="AL23" s="279">
        <v>0</v>
      </c>
      <c r="AM23" s="279">
        <v>0</v>
      </c>
      <c r="AN23" s="224" t="e">
        <f>SUM(#REF!)</f>
        <v>#REF!</v>
      </c>
      <c r="AO23" s="224">
        <f t="shared" si="1"/>
        <v>0</v>
      </c>
      <c r="AP23" s="224" t="e">
        <f t="shared" si="7"/>
        <v>#REF!</v>
      </c>
      <c r="AQ23" s="224"/>
      <c r="AR23" s="224"/>
      <c r="AS23" s="224"/>
      <c r="AT23" s="224" t="str">
        <f>IFERROR(VLOOKUP($A23,'Constancias POA'!$A$2:$DH$9993,17,FALSE),"")</f>
        <v/>
      </c>
      <c r="AU23" s="224" t="str">
        <f t="shared" si="2"/>
        <v/>
      </c>
      <c r="AV23" s="224" t="str">
        <f>IFERROR(VLOOKUP($A23,CP!$A$1:$U$7992,18,FALSE),"")</f>
        <v/>
      </c>
      <c r="AW23" s="224" t="str">
        <f>IFERROR(VLOOKUP($A23,CP!$A$1:$U$7992,19,FALSE),"")</f>
        <v/>
      </c>
      <c r="AX23" s="224" t="str">
        <f>IFERROR(VLOOKUP($A23,CP!$A$1:$U$7992,20,FALSE),"")</f>
        <v/>
      </c>
      <c r="AY23" s="224" t="str">
        <f>IFERROR(VLOOKUP($A23,CP!$A$1:$U$1,21,FALSE),"")</f>
        <v/>
      </c>
      <c r="AZ23" s="224" t="str">
        <f>IFERROR(VLOOKUP(A23,Devengado!$A$1:AJ1,35,FALSE),"")</f>
        <v/>
      </c>
      <c r="BA23" s="224" t="str">
        <f t="shared" si="3"/>
        <v/>
      </c>
      <c r="BB23" s="224" t="str">
        <f>IFERROR(AZ23/#REF!,"")</f>
        <v/>
      </c>
      <c r="BC23" s="224" t="str">
        <f>IFERROR(VLOOKUP($A23,Devengado!$A$1:$AI$1,22,FALSE),"")</f>
        <v/>
      </c>
      <c r="BD23" s="224" t="str">
        <f>IFERROR(VLOOKUP($A23,Devengado!$A$1:$AI$1,23,FALSE),"")</f>
        <v/>
      </c>
      <c r="BE23" s="224" t="str">
        <f>IFERROR(VLOOKUP($A23,Devengado!$A$1:$AI$1,24,FALSE),"")</f>
        <v/>
      </c>
      <c r="BF23" s="224" t="str">
        <f>IFERROR(VLOOKUP($A23,Devengado!$A$1:$AI$1,25,FALSE),"")</f>
        <v/>
      </c>
      <c r="BG23" s="224" t="str">
        <f>IFERROR(VLOOKUP($A23,Devengado!$A$1:$AI$1,26,FALSE),"")</f>
        <v/>
      </c>
      <c r="BH23" s="224" t="str">
        <f>IFERROR(VLOOKUP($A23,Devengado!$A$1:$AI$1,27,FALSE),"")</f>
        <v/>
      </c>
      <c r="BI23" s="224" t="str">
        <f>IFERROR(VLOOKUP($A23,Devengado!$A$1:$AI$1,28,FALSE),"")</f>
        <v/>
      </c>
      <c r="BJ23" s="224" t="str">
        <f>IFERROR(VLOOKUP($A23,Devengado!$A$1:$AI$1,29,FALSE),"")</f>
        <v/>
      </c>
      <c r="BK23" s="224" t="str">
        <f>IFERROR(VLOOKUP($A23,Devengado!$A$1:$AI$1,30,FALSE),"")</f>
        <v/>
      </c>
      <c r="BL23" s="224" t="str">
        <f>IFERROR(VLOOKUP($A23,Devengado!$A$1:$AI$1,31,FALSE),"")</f>
        <v/>
      </c>
      <c r="BM23" s="224" t="str">
        <f>IFERROR(VLOOKUP($A23,Devengado!$A$1:$AI$1,32,FALSE),"")</f>
        <v/>
      </c>
      <c r="BN23" s="224" t="str">
        <f>IFERROR(VLOOKUP($A23,Devengado!$A$1:$AI$1,33,FALSE),"")</f>
        <v/>
      </c>
      <c r="BO23" s="224">
        <f t="shared" si="4"/>
        <v>0</v>
      </c>
      <c r="BP23" s="224" t="str">
        <f t="shared" si="5"/>
        <v/>
      </c>
      <c r="BQ23" s="207"/>
      <c r="BR23" s="207" t="str">
        <f t="shared" si="6"/>
        <v>53</v>
      </c>
    </row>
    <row r="24" spans="1:70" s="225" customFormat="1" ht="25.5" customHeight="1">
      <c r="A24" s="207">
        <v>20</v>
      </c>
      <c r="B24" s="112" t="s">
        <v>73</v>
      </c>
      <c r="C24" s="112" t="s">
        <v>74</v>
      </c>
      <c r="D24" s="117" t="s">
        <v>75</v>
      </c>
      <c r="E24" s="117" t="s">
        <v>76</v>
      </c>
      <c r="F24" s="112" t="s">
        <v>77</v>
      </c>
      <c r="G24" s="112" t="s">
        <v>77</v>
      </c>
      <c r="H24" s="112" t="s">
        <v>77</v>
      </c>
      <c r="I24" s="112" t="s">
        <v>77</v>
      </c>
      <c r="J24" s="112" t="s">
        <v>77</v>
      </c>
      <c r="K24" s="112" t="s">
        <v>77</v>
      </c>
      <c r="L24" s="112" t="s">
        <v>85</v>
      </c>
      <c r="M24" s="113" t="s">
        <v>100</v>
      </c>
      <c r="N24" s="113">
        <v>9999</v>
      </c>
      <c r="O24" s="118" t="s">
        <v>80</v>
      </c>
      <c r="P24" s="118" t="s">
        <v>81</v>
      </c>
      <c r="Q24" s="118" t="s">
        <v>82</v>
      </c>
      <c r="R24" s="115" t="str">
        <f t="shared" si="0"/>
        <v>53</v>
      </c>
      <c r="S24" s="112">
        <v>530606</v>
      </c>
      <c r="T24" s="122" t="str">
        <f>VLOOKUP(S24,ITEM!$C$1:$D$156,2,FALSE)</f>
        <v>Honorarios por Contratos Civiles de Servicios</v>
      </c>
      <c r="U24" s="112" t="s">
        <v>83</v>
      </c>
      <c r="V24" s="114" t="s">
        <v>82</v>
      </c>
      <c r="W24" s="114" t="s">
        <v>84</v>
      </c>
      <c r="X24" s="114" t="s">
        <v>84</v>
      </c>
      <c r="Y24" s="224" t="e">
        <f>'Matriz POA 2024-TRABAJO'!#REF!</f>
        <v>#REF!</v>
      </c>
      <c r="Z24" s="224" t="e">
        <f>'Matriz POA 2024-TRABAJO'!#REF!</f>
        <v>#REF!</v>
      </c>
      <c r="AA24" s="224" t="e">
        <f>'Matriz POA 2024-TRABAJO'!#REF!</f>
        <v>#REF!</v>
      </c>
      <c r="AB24" s="279">
        <v>0</v>
      </c>
      <c r="AC24" s="279">
        <v>0</v>
      </c>
      <c r="AD24" s="279">
        <v>0</v>
      </c>
      <c r="AE24" s="279">
        <v>0</v>
      </c>
      <c r="AF24" s="279">
        <v>0</v>
      </c>
      <c r="AG24" s="279">
        <v>0</v>
      </c>
      <c r="AH24" s="279">
        <v>0</v>
      </c>
      <c r="AI24" s="279">
        <v>0</v>
      </c>
      <c r="AJ24" s="279">
        <v>0</v>
      </c>
      <c r="AK24" s="279">
        <v>0</v>
      </c>
      <c r="AL24" s="279">
        <v>0</v>
      </c>
      <c r="AM24" s="279">
        <v>0</v>
      </c>
      <c r="AN24" s="224" t="e">
        <f>SUM(#REF!)</f>
        <v>#REF!</v>
      </c>
      <c r="AO24" s="224">
        <f t="shared" si="1"/>
        <v>0</v>
      </c>
      <c r="AP24" s="224" t="e">
        <f t="shared" si="7"/>
        <v>#REF!</v>
      </c>
      <c r="AQ24" s="224"/>
      <c r="AR24" s="224"/>
      <c r="AS24" s="224"/>
      <c r="AT24" s="224" t="str">
        <f>IFERROR(VLOOKUP($A24,'Constancias POA'!$A$2:$DH$9993,17,FALSE),"")</f>
        <v/>
      </c>
      <c r="AU24" s="224" t="str">
        <f t="shared" si="2"/>
        <v/>
      </c>
      <c r="AV24" s="224" t="str">
        <f>IFERROR(VLOOKUP($A24,CP!$A$1:$U$7992,18,FALSE),"")</f>
        <v/>
      </c>
      <c r="AW24" s="224" t="str">
        <f>IFERROR(VLOOKUP($A24,CP!$A$1:$U$7992,19,FALSE),"")</f>
        <v/>
      </c>
      <c r="AX24" s="224" t="str">
        <f>IFERROR(VLOOKUP($A24,CP!$A$1:$U$7992,20,FALSE),"")</f>
        <v/>
      </c>
      <c r="AY24" s="224" t="str">
        <f>IFERROR(VLOOKUP($A24,CP!$A$1:$U$1,21,FALSE),"")</f>
        <v/>
      </c>
      <c r="AZ24" s="224" t="str">
        <f>IFERROR(VLOOKUP(A24,Devengado!$A$1:AJ1,35,FALSE),"")</f>
        <v/>
      </c>
      <c r="BA24" s="224" t="str">
        <f t="shared" si="3"/>
        <v/>
      </c>
      <c r="BB24" s="224" t="str">
        <f>IFERROR(AZ24/#REF!,"")</f>
        <v/>
      </c>
      <c r="BC24" s="224" t="str">
        <f>IFERROR(VLOOKUP($A24,Devengado!$A$1:$AI$1,22,FALSE),"")</f>
        <v/>
      </c>
      <c r="BD24" s="224" t="str">
        <f>IFERROR(VLOOKUP($A24,Devengado!$A$1:$AI$1,23,FALSE),"")</f>
        <v/>
      </c>
      <c r="BE24" s="224" t="str">
        <f>IFERROR(VLOOKUP($A24,Devengado!$A$1:$AI$1,24,FALSE),"")</f>
        <v/>
      </c>
      <c r="BF24" s="224" t="str">
        <f>IFERROR(VLOOKUP($A24,Devengado!$A$1:$AI$1,25,FALSE),"")</f>
        <v/>
      </c>
      <c r="BG24" s="224" t="str">
        <f>IFERROR(VLOOKUP($A24,Devengado!$A$1:$AI$1,26,FALSE),"")</f>
        <v/>
      </c>
      <c r="BH24" s="224" t="str">
        <f>IFERROR(VLOOKUP($A24,Devengado!$A$1:$AI$1,27,FALSE),"")</f>
        <v/>
      </c>
      <c r="BI24" s="224" t="str">
        <f>IFERROR(VLOOKUP($A24,Devengado!$A$1:$AI$1,28,FALSE),"")</f>
        <v/>
      </c>
      <c r="BJ24" s="224" t="str">
        <f>IFERROR(VLOOKUP($A24,Devengado!$A$1:$AI$1,29,FALSE),"")</f>
        <v/>
      </c>
      <c r="BK24" s="224" t="str">
        <f>IFERROR(VLOOKUP($A24,Devengado!$A$1:$AI$1,30,FALSE),"")</f>
        <v/>
      </c>
      <c r="BL24" s="224" t="str">
        <f>IFERROR(VLOOKUP($A24,Devengado!$A$1:$AI$1,31,FALSE),"")</f>
        <v/>
      </c>
      <c r="BM24" s="224" t="str">
        <f>IFERROR(VLOOKUP($A24,Devengado!$A$1:$AI$1,32,FALSE),"")</f>
        <v/>
      </c>
      <c r="BN24" s="224" t="str">
        <f>IFERROR(VLOOKUP($A24,Devengado!$A$1:$AI$1,33,FALSE),"")</f>
        <v/>
      </c>
      <c r="BO24" s="224">
        <f t="shared" si="4"/>
        <v>0</v>
      </c>
      <c r="BP24" s="224" t="str">
        <f t="shared" si="5"/>
        <v/>
      </c>
      <c r="BQ24" s="207"/>
      <c r="BR24" s="207" t="str">
        <f t="shared" si="6"/>
        <v>53</v>
      </c>
    </row>
    <row r="25" spans="1:70" s="225" customFormat="1" ht="25.5" customHeight="1">
      <c r="A25" s="207">
        <v>21</v>
      </c>
      <c r="B25" s="112" t="s">
        <v>73</v>
      </c>
      <c r="C25" s="112" t="s">
        <v>74</v>
      </c>
      <c r="D25" s="117" t="s">
        <v>75</v>
      </c>
      <c r="E25" s="117" t="s">
        <v>76</v>
      </c>
      <c r="F25" s="112" t="s">
        <v>77</v>
      </c>
      <c r="G25" s="112" t="s">
        <v>77</v>
      </c>
      <c r="H25" s="112" t="s">
        <v>77</v>
      </c>
      <c r="I25" s="112" t="s">
        <v>77</v>
      </c>
      <c r="J25" s="112" t="s">
        <v>77</v>
      </c>
      <c r="K25" s="112" t="s">
        <v>77</v>
      </c>
      <c r="L25" s="112" t="s">
        <v>87</v>
      </c>
      <c r="M25" s="112" t="s">
        <v>79</v>
      </c>
      <c r="N25" s="113">
        <v>9999</v>
      </c>
      <c r="O25" s="118" t="s">
        <v>80</v>
      </c>
      <c r="P25" s="118" t="s">
        <v>81</v>
      </c>
      <c r="Q25" s="118" t="s">
        <v>82</v>
      </c>
      <c r="R25" s="115" t="str">
        <f t="shared" si="0"/>
        <v>53</v>
      </c>
      <c r="S25" s="112">
        <v>530701</v>
      </c>
      <c r="T25" s="122" t="e">
        <f>VLOOKUP(S25,ITEM!$C$1:$D$156,2,FALSE)</f>
        <v>#N/A</v>
      </c>
      <c r="U25" s="112" t="s">
        <v>83</v>
      </c>
      <c r="V25" s="114" t="s">
        <v>82</v>
      </c>
      <c r="W25" s="114" t="s">
        <v>84</v>
      </c>
      <c r="X25" s="114" t="s">
        <v>84</v>
      </c>
      <c r="Y25" s="224" t="e">
        <f>'Matriz POA 2024-TRABAJO'!#REF!</f>
        <v>#REF!</v>
      </c>
      <c r="Z25" s="224" t="e">
        <f>'Matriz POA 2024-TRABAJO'!#REF!</f>
        <v>#REF!</v>
      </c>
      <c r="AA25" s="224" t="e">
        <f>'Matriz POA 2024-TRABAJO'!#REF!</f>
        <v>#REF!</v>
      </c>
      <c r="AB25" s="279">
        <v>1698</v>
      </c>
      <c r="AC25" s="279">
        <v>0</v>
      </c>
      <c r="AD25" s="279">
        <v>0</v>
      </c>
      <c r="AE25" s="279">
        <v>0</v>
      </c>
      <c r="AF25" s="279">
        <v>0</v>
      </c>
      <c r="AG25" s="279">
        <v>0</v>
      </c>
      <c r="AH25" s="279">
        <v>0</v>
      </c>
      <c r="AI25" s="279">
        <v>0</v>
      </c>
      <c r="AJ25" s="279">
        <v>0</v>
      </c>
      <c r="AK25" s="279">
        <v>0</v>
      </c>
      <c r="AL25" s="279">
        <v>0</v>
      </c>
      <c r="AM25" s="279">
        <v>0</v>
      </c>
      <c r="AN25" s="224" t="e">
        <f>SUM(#REF!)</f>
        <v>#REF!</v>
      </c>
      <c r="AO25" s="224">
        <f t="shared" si="1"/>
        <v>1698</v>
      </c>
      <c r="AP25" s="224" t="e">
        <f t="shared" si="7"/>
        <v>#REF!</v>
      </c>
      <c r="AQ25" s="224"/>
      <c r="AR25" s="224"/>
      <c r="AS25" s="224"/>
      <c r="AT25" s="224" t="str">
        <f>IFERROR(VLOOKUP($A25,'Constancias POA'!$A$2:$DH$9993,17,FALSE),"")</f>
        <v/>
      </c>
      <c r="AU25" s="224" t="str">
        <f t="shared" si="2"/>
        <v/>
      </c>
      <c r="AV25" s="224" t="str">
        <f>IFERROR(VLOOKUP($A25,CP!$A$1:$U$7992,18,FALSE),"")</f>
        <v/>
      </c>
      <c r="AW25" s="224" t="str">
        <f>IFERROR(VLOOKUP($A25,CP!$A$1:$U$7992,19,FALSE),"")</f>
        <v/>
      </c>
      <c r="AX25" s="224" t="str">
        <f>IFERROR(VLOOKUP($A25,CP!$A$1:$U$7992,20,FALSE),"")</f>
        <v/>
      </c>
      <c r="AY25" s="224" t="str">
        <f>IFERROR(VLOOKUP($A25,CP!$A$1:$U$1,21,FALSE),"")</f>
        <v/>
      </c>
      <c r="AZ25" s="224" t="str">
        <f>IFERROR(VLOOKUP(A25,Devengado!$A$1:AJ1,35,FALSE),"")</f>
        <v/>
      </c>
      <c r="BA25" s="224" t="str">
        <f t="shared" si="3"/>
        <v/>
      </c>
      <c r="BB25" s="224" t="str">
        <f>IFERROR(AZ25/#REF!,"")</f>
        <v/>
      </c>
      <c r="BC25" s="224" t="str">
        <f>IFERROR(VLOOKUP($A25,Devengado!$A$1:$AI$1,22,FALSE),"")</f>
        <v/>
      </c>
      <c r="BD25" s="224" t="str">
        <f>IFERROR(VLOOKUP($A25,Devengado!$A$1:$AI$1,23,FALSE),"")</f>
        <v/>
      </c>
      <c r="BE25" s="224" t="str">
        <f>IFERROR(VLOOKUP($A25,Devengado!$A$1:$AI$1,24,FALSE),"")</f>
        <v/>
      </c>
      <c r="BF25" s="224" t="str">
        <f>IFERROR(VLOOKUP($A25,Devengado!$A$1:$AI$1,25,FALSE),"")</f>
        <v/>
      </c>
      <c r="BG25" s="224" t="str">
        <f>IFERROR(VLOOKUP($A25,Devengado!$A$1:$AI$1,26,FALSE),"")</f>
        <v/>
      </c>
      <c r="BH25" s="224" t="str">
        <f>IFERROR(VLOOKUP($A25,Devengado!$A$1:$AI$1,27,FALSE),"")</f>
        <v/>
      </c>
      <c r="BI25" s="224" t="str">
        <f>IFERROR(VLOOKUP($A25,Devengado!$A$1:$AI$1,28,FALSE),"")</f>
        <v/>
      </c>
      <c r="BJ25" s="224" t="str">
        <f>IFERROR(VLOOKUP($A25,Devengado!$A$1:$AI$1,29,FALSE),"")</f>
        <v/>
      </c>
      <c r="BK25" s="224" t="str">
        <f>IFERROR(VLOOKUP($A25,Devengado!$A$1:$AI$1,30,FALSE),"")</f>
        <v/>
      </c>
      <c r="BL25" s="224" t="str">
        <f>IFERROR(VLOOKUP($A25,Devengado!$A$1:$AI$1,31,FALSE),"")</f>
        <v/>
      </c>
      <c r="BM25" s="224" t="str">
        <f>IFERROR(VLOOKUP($A25,Devengado!$A$1:$AI$1,32,FALSE),"")</f>
        <v/>
      </c>
      <c r="BN25" s="224" t="str">
        <f>IFERROR(VLOOKUP($A25,Devengado!$A$1:$AI$1,33,FALSE),"")</f>
        <v/>
      </c>
      <c r="BO25" s="224">
        <f t="shared" si="4"/>
        <v>0</v>
      </c>
      <c r="BP25" s="224" t="str">
        <f t="shared" si="5"/>
        <v/>
      </c>
      <c r="BQ25" s="207"/>
      <c r="BR25" s="207" t="str">
        <f t="shared" si="6"/>
        <v>53</v>
      </c>
    </row>
    <row r="26" spans="1:70" s="225" customFormat="1" ht="33.75" customHeight="1">
      <c r="A26" s="207">
        <v>22</v>
      </c>
      <c r="B26" s="112" t="s">
        <v>73</v>
      </c>
      <c r="C26" s="112" t="s">
        <v>74</v>
      </c>
      <c r="D26" s="117" t="s">
        <v>75</v>
      </c>
      <c r="E26" s="117" t="s">
        <v>76</v>
      </c>
      <c r="F26" s="112" t="s">
        <v>77</v>
      </c>
      <c r="G26" s="112" t="s">
        <v>77</v>
      </c>
      <c r="H26" s="112" t="s">
        <v>77</v>
      </c>
      <c r="I26" s="112" t="s">
        <v>77</v>
      </c>
      <c r="J26" s="112" t="s">
        <v>77</v>
      </c>
      <c r="K26" s="112" t="s">
        <v>77</v>
      </c>
      <c r="L26" s="112" t="s">
        <v>87</v>
      </c>
      <c r="M26" s="112" t="s">
        <v>79</v>
      </c>
      <c r="N26" s="113">
        <v>9999</v>
      </c>
      <c r="O26" s="118" t="s">
        <v>80</v>
      </c>
      <c r="P26" s="118" t="s">
        <v>81</v>
      </c>
      <c r="Q26" s="118" t="s">
        <v>82</v>
      </c>
      <c r="R26" s="115" t="str">
        <f t="shared" si="0"/>
        <v>53</v>
      </c>
      <c r="S26" s="112">
        <v>530105</v>
      </c>
      <c r="T26" s="122" t="str">
        <f>VLOOKUP(S26,ITEM!$C$1:$D$156,2,FALSE)</f>
        <v>Telecomunicaciones</v>
      </c>
      <c r="U26" s="112" t="s">
        <v>83</v>
      </c>
      <c r="V26" s="114" t="s">
        <v>82</v>
      </c>
      <c r="W26" s="114" t="s">
        <v>84</v>
      </c>
      <c r="X26" s="114" t="s">
        <v>84</v>
      </c>
      <c r="Y26" s="224" t="e">
        <f>'Matriz POA 2024-TRABAJO'!#REF!</f>
        <v>#REF!</v>
      </c>
      <c r="Z26" s="224" t="e">
        <f>'Matriz POA 2024-TRABAJO'!#REF!</f>
        <v>#REF!</v>
      </c>
      <c r="AA26" s="224" t="e">
        <f>'Matriz POA 2024-TRABAJO'!#REF!</f>
        <v>#REF!</v>
      </c>
      <c r="AB26" s="279">
        <v>19328</v>
      </c>
      <c r="AC26" s="279">
        <v>0</v>
      </c>
      <c r="AD26" s="279">
        <v>0</v>
      </c>
      <c r="AE26" s="279">
        <v>0</v>
      </c>
      <c r="AF26" s="279">
        <v>0</v>
      </c>
      <c r="AG26" s="279">
        <v>0</v>
      </c>
      <c r="AH26" s="279">
        <v>0</v>
      </c>
      <c r="AI26" s="279">
        <v>0</v>
      </c>
      <c r="AJ26" s="279">
        <v>0</v>
      </c>
      <c r="AK26" s="279">
        <v>0</v>
      </c>
      <c r="AL26" s="279">
        <v>0</v>
      </c>
      <c r="AM26" s="279">
        <v>0</v>
      </c>
      <c r="AN26" s="224" t="e">
        <f>SUM(#REF!)</f>
        <v>#REF!</v>
      </c>
      <c r="AO26" s="224">
        <f t="shared" si="1"/>
        <v>19328</v>
      </c>
      <c r="AP26" s="224" t="e">
        <f t="shared" si="7"/>
        <v>#REF!</v>
      </c>
      <c r="AQ26" s="224"/>
      <c r="AR26" s="224"/>
      <c r="AS26" s="224"/>
      <c r="AT26" s="224" t="str">
        <f>IFERROR(VLOOKUP($A26,'Constancias POA'!$A$2:$DH$9993,17,FALSE),"")</f>
        <v/>
      </c>
      <c r="AU26" s="224" t="str">
        <f t="shared" si="2"/>
        <v/>
      </c>
      <c r="AV26" s="224" t="str">
        <f>IFERROR(VLOOKUP($A26,CP!$A$1:$U$7992,18,FALSE),"")</f>
        <v/>
      </c>
      <c r="AW26" s="224" t="str">
        <f>IFERROR(VLOOKUP($A26,CP!$A$1:$U$7992,19,FALSE),"")</f>
        <v/>
      </c>
      <c r="AX26" s="224" t="str">
        <f>IFERROR(VLOOKUP($A26,CP!$A$1:$U$7992,20,FALSE),"")</f>
        <v/>
      </c>
      <c r="AY26" s="224" t="str">
        <f>IFERROR(VLOOKUP($A26,CP!$A$1:$U$1,21,FALSE),"")</f>
        <v/>
      </c>
      <c r="AZ26" s="224" t="str">
        <f>IFERROR(VLOOKUP(A26,Devengado!$A$1:AJ1,35,FALSE),"")</f>
        <v/>
      </c>
      <c r="BA26" s="224" t="str">
        <f t="shared" si="3"/>
        <v/>
      </c>
      <c r="BB26" s="224" t="str">
        <f>IFERROR(AZ26/#REF!,"")</f>
        <v/>
      </c>
      <c r="BC26" s="224" t="str">
        <f>IFERROR(VLOOKUP($A26,Devengado!$A$1:$AI$1,22,FALSE),"")</f>
        <v/>
      </c>
      <c r="BD26" s="224" t="str">
        <f>IFERROR(VLOOKUP($A26,Devengado!$A$1:$AI$1,23,FALSE),"")</f>
        <v/>
      </c>
      <c r="BE26" s="224" t="str">
        <f>IFERROR(VLOOKUP($A26,Devengado!$A$1:$AI$1,24,FALSE),"")</f>
        <v/>
      </c>
      <c r="BF26" s="224" t="str">
        <f>IFERROR(VLOOKUP($A26,Devengado!$A$1:$AI$1,25,FALSE),"")</f>
        <v/>
      </c>
      <c r="BG26" s="224" t="str">
        <f>IFERROR(VLOOKUP($A26,Devengado!$A$1:$AI$1,26,FALSE),"")</f>
        <v/>
      </c>
      <c r="BH26" s="224" t="str">
        <f>IFERROR(VLOOKUP($A26,Devengado!$A$1:$AI$1,27,FALSE),"")</f>
        <v/>
      </c>
      <c r="BI26" s="224" t="str">
        <f>IFERROR(VLOOKUP($A26,Devengado!$A$1:$AI$1,28,FALSE),"")</f>
        <v/>
      </c>
      <c r="BJ26" s="224" t="str">
        <f>IFERROR(VLOOKUP($A26,Devengado!$A$1:$AI$1,29,FALSE),"")</f>
        <v/>
      </c>
      <c r="BK26" s="224" t="str">
        <f>IFERROR(VLOOKUP($A26,Devengado!$A$1:$AI$1,30,FALSE),"")</f>
        <v/>
      </c>
      <c r="BL26" s="224" t="str">
        <f>IFERROR(VLOOKUP($A26,Devengado!$A$1:$AI$1,31,FALSE),"")</f>
        <v/>
      </c>
      <c r="BM26" s="224" t="str">
        <f>IFERROR(VLOOKUP($A26,Devengado!$A$1:$AI$1,32,FALSE),"")</f>
        <v/>
      </c>
      <c r="BN26" s="224" t="str">
        <f>IFERROR(VLOOKUP($A26,Devengado!$A$1:$AI$1,33,FALSE),"")</f>
        <v/>
      </c>
      <c r="BO26" s="224">
        <f t="shared" si="4"/>
        <v>0</v>
      </c>
      <c r="BP26" s="224" t="str">
        <f t="shared" si="5"/>
        <v/>
      </c>
      <c r="BQ26" s="207"/>
      <c r="BR26" s="207" t="str">
        <f t="shared" si="6"/>
        <v>53</v>
      </c>
    </row>
    <row r="27" spans="1:70" s="225" customFormat="1" ht="25.5" customHeight="1">
      <c r="A27" s="207">
        <v>23</v>
      </c>
      <c r="B27" s="112" t="s">
        <v>73</v>
      </c>
      <c r="C27" s="112" t="s">
        <v>74</v>
      </c>
      <c r="D27" s="117" t="s">
        <v>75</v>
      </c>
      <c r="E27" s="117" t="s">
        <v>76</v>
      </c>
      <c r="F27" s="112" t="s">
        <v>77</v>
      </c>
      <c r="G27" s="112" t="s">
        <v>77</v>
      </c>
      <c r="H27" s="112" t="s">
        <v>77</v>
      </c>
      <c r="I27" s="112" t="s">
        <v>77</v>
      </c>
      <c r="J27" s="112" t="s">
        <v>77</v>
      </c>
      <c r="K27" s="112" t="s">
        <v>77</v>
      </c>
      <c r="L27" s="112" t="s">
        <v>87</v>
      </c>
      <c r="M27" s="112" t="s">
        <v>79</v>
      </c>
      <c r="N27" s="113">
        <v>9999</v>
      </c>
      <c r="O27" s="118" t="s">
        <v>80</v>
      </c>
      <c r="P27" s="118" t="s">
        <v>81</v>
      </c>
      <c r="Q27" s="118" t="s">
        <v>82</v>
      </c>
      <c r="R27" s="115" t="str">
        <f t="shared" si="0"/>
        <v>53</v>
      </c>
      <c r="S27" s="112">
        <v>530702</v>
      </c>
      <c r="T27" s="122" t="e">
        <f>VLOOKUP(S27,ITEM!$C$1:$D$156,2,FALSE)</f>
        <v>#N/A</v>
      </c>
      <c r="U27" s="112" t="s">
        <v>83</v>
      </c>
      <c r="V27" s="114" t="s">
        <v>82</v>
      </c>
      <c r="W27" s="114" t="s">
        <v>84</v>
      </c>
      <c r="X27" s="114" t="s">
        <v>84</v>
      </c>
      <c r="Y27" s="224" t="e">
        <f>'Matriz POA 2024-TRABAJO'!#REF!</f>
        <v>#REF!</v>
      </c>
      <c r="Z27" s="224" t="e">
        <f>'Matriz POA 2024-TRABAJO'!#REF!</f>
        <v>#REF!</v>
      </c>
      <c r="AA27" s="224" t="e">
        <f>'Matriz POA 2024-TRABAJO'!#REF!</f>
        <v>#REF!</v>
      </c>
      <c r="AB27" s="279">
        <v>34535</v>
      </c>
      <c r="AC27" s="279">
        <v>0</v>
      </c>
      <c r="AD27" s="279">
        <v>0</v>
      </c>
      <c r="AE27" s="279">
        <v>0</v>
      </c>
      <c r="AF27" s="279">
        <v>0</v>
      </c>
      <c r="AG27" s="279">
        <v>0</v>
      </c>
      <c r="AH27" s="279">
        <v>0</v>
      </c>
      <c r="AI27" s="279">
        <v>0</v>
      </c>
      <c r="AJ27" s="279">
        <v>0</v>
      </c>
      <c r="AK27" s="279">
        <v>0</v>
      </c>
      <c r="AL27" s="279">
        <v>0</v>
      </c>
      <c r="AM27" s="279">
        <v>0</v>
      </c>
      <c r="AN27" s="224" t="e">
        <f>SUM(#REF!)</f>
        <v>#REF!</v>
      </c>
      <c r="AO27" s="224">
        <f t="shared" si="1"/>
        <v>34535</v>
      </c>
      <c r="AP27" s="224" t="e">
        <f t="shared" si="7"/>
        <v>#REF!</v>
      </c>
      <c r="AQ27" s="224"/>
      <c r="AR27" s="224"/>
      <c r="AS27" s="224"/>
      <c r="AT27" s="224" t="str">
        <f>IFERROR(VLOOKUP($A27,'Constancias POA'!$A$2:$DH$9993,17,FALSE),"")</f>
        <v/>
      </c>
      <c r="AU27" s="224" t="str">
        <f t="shared" si="2"/>
        <v/>
      </c>
      <c r="AV27" s="224" t="str">
        <f>IFERROR(VLOOKUP($A27,CP!$A$1:$U$7992,18,FALSE),"")</f>
        <v/>
      </c>
      <c r="AW27" s="224" t="str">
        <f>IFERROR(VLOOKUP($A27,CP!$A$1:$U$7992,19,FALSE),"")</f>
        <v/>
      </c>
      <c r="AX27" s="224" t="str">
        <f>IFERROR(VLOOKUP($A27,CP!$A$1:$U$7992,20,FALSE),"")</f>
        <v/>
      </c>
      <c r="AY27" s="224" t="str">
        <f>IFERROR(VLOOKUP($A27,CP!$A$1:$U$1,21,FALSE),"")</f>
        <v/>
      </c>
      <c r="AZ27" s="224" t="str">
        <f>IFERROR(VLOOKUP(A27,Devengado!$A$1:AJ1,35,FALSE),"")</f>
        <v/>
      </c>
      <c r="BA27" s="224" t="str">
        <f t="shared" si="3"/>
        <v/>
      </c>
      <c r="BB27" s="224" t="str">
        <f>IFERROR(AZ27/#REF!,"")</f>
        <v/>
      </c>
      <c r="BC27" s="224" t="str">
        <f>IFERROR(VLOOKUP($A27,Devengado!$A$1:$AI$1,22,FALSE),"")</f>
        <v/>
      </c>
      <c r="BD27" s="224" t="str">
        <f>IFERROR(VLOOKUP($A27,Devengado!$A$1:$AI$1,23,FALSE),"")</f>
        <v/>
      </c>
      <c r="BE27" s="224" t="str">
        <f>IFERROR(VLOOKUP($A27,Devengado!$A$1:$AI$1,24,FALSE),"")</f>
        <v/>
      </c>
      <c r="BF27" s="224" t="str">
        <f>IFERROR(VLOOKUP($A27,Devengado!$A$1:$AI$1,25,FALSE),"")</f>
        <v/>
      </c>
      <c r="BG27" s="224" t="str">
        <f>IFERROR(VLOOKUP($A27,Devengado!$A$1:$AI$1,26,FALSE),"")</f>
        <v/>
      </c>
      <c r="BH27" s="224" t="str">
        <f>IFERROR(VLOOKUP($A27,Devengado!$A$1:$AI$1,27,FALSE),"")</f>
        <v/>
      </c>
      <c r="BI27" s="224" t="str">
        <f>IFERROR(VLOOKUP($A27,Devengado!$A$1:$AI$1,28,FALSE),"")</f>
        <v/>
      </c>
      <c r="BJ27" s="224" t="str">
        <f>IFERROR(VLOOKUP($A27,Devengado!$A$1:$AI$1,29,FALSE),"")</f>
        <v/>
      </c>
      <c r="BK27" s="224" t="str">
        <f>IFERROR(VLOOKUP($A27,Devengado!$A$1:$AI$1,30,FALSE),"")</f>
        <v/>
      </c>
      <c r="BL27" s="224" t="str">
        <f>IFERROR(VLOOKUP($A27,Devengado!$A$1:$AI$1,31,FALSE),"")</f>
        <v/>
      </c>
      <c r="BM27" s="224" t="str">
        <f>IFERROR(VLOOKUP($A27,Devengado!$A$1:$AI$1,32,FALSE),"")</f>
        <v/>
      </c>
      <c r="BN27" s="224" t="str">
        <f>IFERROR(VLOOKUP($A27,Devengado!$A$1:$AI$1,33,FALSE),"")</f>
        <v/>
      </c>
      <c r="BO27" s="224">
        <f t="shared" si="4"/>
        <v>0</v>
      </c>
      <c r="BP27" s="224" t="str">
        <f t="shared" si="5"/>
        <v/>
      </c>
      <c r="BQ27" s="207"/>
      <c r="BR27" s="207" t="str">
        <f t="shared" si="6"/>
        <v>53</v>
      </c>
    </row>
    <row r="28" spans="1:70" s="225" customFormat="1" ht="25.5" customHeight="1">
      <c r="A28" s="207">
        <v>24</v>
      </c>
      <c r="B28" s="112" t="s">
        <v>73</v>
      </c>
      <c r="C28" s="112" t="s">
        <v>74</v>
      </c>
      <c r="D28" s="117" t="s">
        <v>101</v>
      </c>
      <c r="E28" s="117" t="s">
        <v>76</v>
      </c>
      <c r="F28" s="112" t="s">
        <v>77</v>
      </c>
      <c r="G28" s="112" t="s">
        <v>77</v>
      </c>
      <c r="H28" s="112" t="s">
        <v>77</v>
      </c>
      <c r="I28" s="112" t="s">
        <v>77</v>
      </c>
      <c r="J28" s="112" t="s">
        <v>77</v>
      </c>
      <c r="K28" s="112" t="s">
        <v>77</v>
      </c>
      <c r="L28" s="112" t="s">
        <v>85</v>
      </c>
      <c r="M28" s="112" t="s">
        <v>102</v>
      </c>
      <c r="N28" s="113">
        <v>9999</v>
      </c>
      <c r="O28" s="118" t="s">
        <v>80</v>
      </c>
      <c r="P28" s="118" t="s">
        <v>81</v>
      </c>
      <c r="Q28" s="118" t="s">
        <v>82</v>
      </c>
      <c r="R28" s="115" t="str">
        <f t="shared" si="0"/>
        <v>53</v>
      </c>
      <c r="S28" s="112">
        <v>530205</v>
      </c>
      <c r="T28" s="122" t="str">
        <f>VLOOKUP(S28,ITEM!$C$1:$D$156,2,FALSE)</f>
        <v>Espectáculos Culturales y Sociales</v>
      </c>
      <c r="U28" s="115" t="s">
        <v>83</v>
      </c>
      <c r="V28" s="115" t="s">
        <v>82</v>
      </c>
      <c r="W28" s="115" t="s">
        <v>84</v>
      </c>
      <c r="X28" s="115" t="s">
        <v>84</v>
      </c>
      <c r="Y28" s="224" t="e">
        <f>'Matriz POA 2024-TRABAJO'!#REF!</f>
        <v>#REF!</v>
      </c>
      <c r="Z28" s="224" t="e">
        <f>'Matriz POA 2024-TRABAJO'!#REF!</f>
        <v>#REF!</v>
      </c>
      <c r="AA28" s="224" t="e">
        <f>'Matriz POA 2024-TRABAJO'!#REF!</f>
        <v>#REF!</v>
      </c>
      <c r="AB28" s="279"/>
      <c r="AC28" s="279"/>
      <c r="AD28" s="279"/>
      <c r="AE28" s="279"/>
      <c r="AF28" s="279">
        <v>61165.79</v>
      </c>
      <c r="AG28" s="279"/>
      <c r="AH28" s="279"/>
      <c r="AI28" s="279"/>
      <c r="AJ28" s="279"/>
      <c r="AK28" s="279"/>
      <c r="AL28" s="279"/>
      <c r="AM28" s="279"/>
      <c r="AN28" s="224" t="e">
        <f>SUM(#REF!)</f>
        <v>#REF!</v>
      </c>
      <c r="AO28" s="224">
        <f t="shared" si="1"/>
        <v>61165.79</v>
      </c>
      <c r="AP28" s="224" t="e">
        <f>+AO28-AA28</f>
        <v>#REF!</v>
      </c>
      <c r="AQ28" s="224"/>
      <c r="AR28" s="224"/>
      <c r="AS28" s="224"/>
      <c r="AT28" s="224" t="str">
        <f>IFERROR(VLOOKUP($A28,'Constancias POA'!$A$2:$DH$9993,17,FALSE),"")</f>
        <v/>
      </c>
      <c r="AU28" s="224" t="str">
        <f t="shared" si="2"/>
        <v/>
      </c>
      <c r="AV28" s="224" t="str">
        <f>IFERROR(VLOOKUP($A28,CP!$A$1:$U$7992,18,FALSE),"")</f>
        <v/>
      </c>
      <c r="AW28" s="224" t="str">
        <f>IFERROR(VLOOKUP($A28,CP!$A$1:$U$7992,19,FALSE),"")</f>
        <v/>
      </c>
      <c r="AX28" s="224" t="str">
        <f>IFERROR(VLOOKUP($A28,CP!$A$1:$U$7992,20,FALSE),"")</f>
        <v/>
      </c>
      <c r="AY28" s="224" t="str">
        <f>IFERROR(VLOOKUP($A28,CP!$A$1:$U$1,21,FALSE),"")</f>
        <v/>
      </c>
      <c r="AZ28" s="224" t="str">
        <f>IFERROR(VLOOKUP(A28,Devengado!$A$1:AJ1,35,FALSE),"")</f>
        <v/>
      </c>
      <c r="BA28" s="224" t="str">
        <f t="shared" si="3"/>
        <v/>
      </c>
      <c r="BB28" s="224" t="str">
        <f>IFERROR(AZ28/#REF!,"")</f>
        <v/>
      </c>
      <c r="BC28" s="224" t="str">
        <f>IFERROR(VLOOKUP($A28,Devengado!$A$1:$AI$1,22,FALSE),"")</f>
        <v/>
      </c>
      <c r="BD28" s="224" t="str">
        <f>IFERROR(VLOOKUP($A28,Devengado!$A$1:$AI$1,23,FALSE),"")</f>
        <v/>
      </c>
      <c r="BE28" s="224" t="str">
        <f>IFERROR(VLOOKUP($A28,Devengado!$A$1:$AI$1,24,FALSE),"")</f>
        <v/>
      </c>
      <c r="BF28" s="224" t="str">
        <f>IFERROR(VLOOKUP($A28,Devengado!$A$1:$AI$1,25,FALSE),"")</f>
        <v/>
      </c>
      <c r="BG28" s="224" t="str">
        <f>IFERROR(VLOOKUP($A28,Devengado!$A$1:$AI$1,26,FALSE),"")</f>
        <v/>
      </c>
      <c r="BH28" s="224" t="str">
        <f>IFERROR(VLOOKUP($A28,Devengado!$A$1:$AI$1,27,FALSE),"")</f>
        <v/>
      </c>
      <c r="BI28" s="224" t="str">
        <f>IFERROR(VLOOKUP($A28,Devengado!$A$1:$AI$1,28,FALSE),"")</f>
        <v/>
      </c>
      <c r="BJ28" s="224" t="str">
        <f>IFERROR(VLOOKUP($A28,Devengado!$A$1:$AI$1,29,FALSE),"")</f>
        <v/>
      </c>
      <c r="BK28" s="224" t="str">
        <f>IFERROR(VLOOKUP($A28,Devengado!$A$1:$AI$1,30,FALSE),"")</f>
        <v/>
      </c>
      <c r="BL28" s="224" t="str">
        <f>IFERROR(VLOOKUP($A28,Devengado!$A$1:$AI$1,31,FALSE),"")</f>
        <v/>
      </c>
      <c r="BM28" s="224" t="str">
        <f>IFERROR(VLOOKUP($A28,Devengado!$A$1:$AI$1,32,FALSE),"")</f>
        <v/>
      </c>
      <c r="BN28" s="224" t="str">
        <f>IFERROR(VLOOKUP($A28,Devengado!$A$1:$AI$1,33,FALSE),"")</f>
        <v/>
      </c>
      <c r="BO28" s="224">
        <f t="shared" si="4"/>
        <v>0</v>
      </c>
      <c r="BP28" s="224" t="str">
        <f t="shared" si="5"/>
        <v/>
      </c>
      <c r="BQ28" s="207"/>
      <c r="BR28" s="207" t="str">
        <f t="shared" si="6"/>
        <v>53</v>
      </c>
    </row>
    <row r="29" spans="1:70" s="225" customFormat="1" ht="25.5" customHeight="1">
      <c r="A29" s="207">
        <v>25</v>
      </c>
      <c r="B29" s="112" t="s">
        <v>73</v>
      </c>
      <c r="C29" s="112" t="s">
        <v>103</v>
      </c>
      <c r="D29" s="112" t="s">
        <v>77</v>
      </c>
      <c r="E29" s="117" t="s">
        <v>76</v>
      </c>
      <c r="F29" s="112" t="s">
        <v>77</v>
      </c>
      <c r="G29" s="112" t="s">
        <v>77</v>
      </c>
      <c r="H29" s="112" t="s">
        <v>77</v>
      </c>
      <c r="I29" s="112" t="s">
        <v>77</v>
      </c>
      <c r="J29" s="112" t="s">
        <v>77</v>
      </c>
      <c r="K29" s="112" t="s">
        <v>77</v>
      </c>
      <c r="L29" s="112" t="s">
        <v>85</v>
      </c>
      <c r="M29" s="112" t="s">
        <v>104</v>
      </c>
      <c r="N29" s="112">
        <v>9999</v>
      </c>
      <c r="O29" s="118" t="s">
        <v>80</v>
      </c>
      <c r="P29" s="118" t="s">
        <v>81</v>
      </c>
      <c r="Q29" s="118" t="s">
        <v>82</v>
      </c>
      <c r="R29" s="115" t="str">
        <f t="shared" si="0"/>
        <v>57</v>
      </c>
      <c r="S29" s="122">
        <v>570206</v>
      </c>
      <c r="T29" s="122" t="e">
        <f>VLOOKUP(S29,ITEM!$C$1:$D$156,2,FALSE)</f>
        <v>#N/A</v>
      </c>
      <c r="U29" s="112" t="s">
        <v>83</v>
      </c>
      <c r="V29" s="114" t="s">
        <v>82</v>
      </c>
      <c r="W29" s="114" t="s">
        <v>84</v>
      </c>
      <c r="X29" s="114" t="s">
        <v>84</v>
      </c>
      <c r="Y29" s="224" t="e">
        <f>'Matriz POA 2024-TRABAJO'!#REF!</f>
        <v>#REF!</v>
      </c>
      <c r="Z29" s="224" t="e">
        <f>'Matriz POA 2024-TRABAJO'!#REF!</f>
        <v>#REF!</v>
      </c>
      <c r="AA29" s="224" t="e">
        <f>'Matriz POA 2024-TRABAJO'!#REF!</f>
        <v>#REF!</v>
      </c>
      <c r="AB29" s="279">
        <v>0</v>
      </c>
      <c r="AC29" s="279">
        <v>100</v>
      </c>
      <c r="AD29" s="279">
        <v>100</v>
      </c>
      <c r="AE29" s="279">
        <v>0</v>
      </c>
      <c r="AF29" s="279">
        <v>100</v>
      </c>
      <c r="AG29" s="279">
        <v>100</v>
      </c>
      <c r="AH29" s="279">
        <v>100</v>
      </c>
      <c r="AI29" s="279">
        <v>0</v>
      </c>
      <c r="AJ29" s="279">
        <v>100</v>
      </c>
      <c r="AK29" s="279">
        <v>0</v>
      </c>
      <c r="AL29" s="279">
        <v>0</v>
      </c>
      <c r="AM29" s="279">
        <v>0</v>
      </c>
      <c r="AN29" s="224" t="e">
        <f>SUM(#REF!)</f>
        <v>#REF!</v>
      </c>
      <c r="AO29" s="224">
        <f t="shared" si="1"/>
        <v>600</v>
      </c>
      <c r="AP29" s="224" t="e">
        <f t="shared" si="7"/>
        <v>#REF!</v>
      </c>
      <c r="AQ29" s="224"/>
      <c r="AR29" s="224"/>
      <c r="AS29" s="224"/>
      <c r="AT29" s="224" t="str">
        <f>IFERROR(VLOOKUP($A29,'Constancias POA'!$A$2:$DH$9993,17,FALSE),"")</f>
        <v/>
      </c>
      <c r="AU29" s="224" t="str">
        <f t="shared" si="2"/>
        <v/>
      </c>
      <c r="AV29" s="224" t="str">
        <f>IFERROR(VLOOKUP($A29,CP!$A$1:$U$7992,18,FALSE),"")</f>
        <v/>
      </c>
      <c r="AW29" s="224" t="str">
        <f>IFERROR(VLOOKUP($A29,CP!$A$1:$U$7992,19,FALSE),"")</f>
        <v/>
      </c>
      <c r="AX29" s="224" t="str">
        <f>IFERROR(VLOOKUP($A29,CP!$A$1:$U$7992,20,FALSE),"")</f>
        <v/>
      </c>
      <c r="AY29" s="224" t="str">
        <f>IFERROR(VLOOKUP($A29,CP!$A$1:$U$1,21,FALSE),"")</f>
        <v/>
      </c>
      <c r="AZ29" s="224" t="str">
        <f>IFERROR(VLOOKUP(A29,Devengado!$A$1:AJ1,35,FALSE),"")</f>
        <v/>
      </c>
      <c r="BA29" s="224" t="str">
        <f t="shared" si="3"/>
        <v/>
      </c>
      <c r="BB29" s="224" t="str">
        <f>IFERROR(AZ29/#REF!,"")</f>
        <v/>
      </c>
      <c r="BC29" s="224" t="str">
        <f>IFERROR(VLOOKUP($A29,Devengado!$A$1:$AI$1,22,FALSE),"")</f>
        <v/>
      </c>
      <c r="BD29" s="224" t="str">
        <f>IFERROR(VLOOKUP($A29,Devengado!$A$1:$AI$1,23,FALSE),"")</f>
        <v/>
      </c>
      <c r="BE29" s="224" t="str">
        <f>IFERROR(VLOOKUP($A29,Devengado!$A$1:$AI$1,24,FALSE),"")</f>
        <v/>
      </c>
      <c r="BF29" s="224" t="str">
        <f>IFERROR(VLOOKUP($A29,Devengado!$A$1:$AI$1,25,FALSE),"")</f>
        <v/>
      </c>
      <c r="BG29" s="224" t="str">
        <f>IFERROR(VLOOKUP($A29,Devengado!$A$1:$AI$1,26,FALSE),"")</f>
        <v/>
      </c>
      <c r="BH29" s="224" t="str">
        <f>IFERROR(VLOOKUP($A29,Devengado!$A$1:$AI$1,27,FALSE),"")</f>
        <v/>
      </c>
      <c r="BI29" s="224" t="str">
        <f>IFERROR(VLOOKUP($A29,Devengado!$A$1:$AI$1,28,FALSE),"")</f>
        <v/>
      </c>
      <c r="BJ29" s="224" t="str">
        <f>IFERROR(VLOOKUP($A29,Devengado!$A$1:$AI$1,29,FALSE),"")</f>
        <v/>
      </c>
      <c r="BK29" s="224" t="str">
        <f>IFERROR(VLOOKUP($A29,Devengado!$A$1:$AI$1,30,FALSE),"")</f>
        <v/>
      </c>
      <c r="BL29" s="224" t="str">
        <f>IFERROR(VLOOKUP($A29,Devengado!$A$1:$AI$1,31,FALSE),"")</f>
        <v/>
      </c>
      <c r="BM29" s="224" t="str">
        <f>IFERROR(VLOOKUP($A29,Devengado!$A$1:$AI$1,32,FALSE),"")</f>
        <v/>
      </c>
      <c r="BN29" s="224" t="str">
        <f>IFERROR(VLOOKUP($A29,Devengado!$A$1:$AI$1,33,FALSE),"")</f>
        <v/>
      </c>
      <c r="BO29" s="224">
        <f t="shared" si="4"/>
        <v>0</v>
      </c>
      <c r="BP29" s="224" t="str">
        <f t="shared" si="5"/>
        <v/>
      </c>
      <c r="BQ29" s="207"/>
      <c r="BR29" s="207" t="str">
        <f t="shared" si="6"/>
        <v>57</v>
      </c>
    </row>
    <row r="30" spans="1:70" s="225" customFormat="1" ht="25.5" customHeight="1">
      <c r="A30" s="207">
        <v>26</v>
      </c>
      <c r="B30" s="112" t="s">
        <v>73</v>
      </c>
      <c r="C30" s="112" t="s">
        <v>103</v>
      </c>
      <c r="D30" s="112" t="s">
        <v>77</v>
      </c>
      <c r="E30" s="117" t="s">
        <v>76</v>
      </c>
      <c r="F30" s="112" t="s">
        <v>77</v>
      </c>
      <c r="G30" s="112" t="s">
        <v>77</v>
      </c>
      <c r="H30" s="112" t="s">
        <v>77</v>
      </c>
      <c r="I30" s="112" t="s">
        <v>77</v>
      </c>
      <c r="J30" s="112" t="s">
        <v>77</v>
      </c>
      <c r="K30" s="112" t="s">
        <v>77</v>
      </c>
      <c r="L30" s="112" t="s">
        <v>85</v>
      </c>
      <c r="M30" s="112" t="s">
        <v>105</v>
      </c>
      <c r="N30" s="112">
        <v>9999</v>
      </c>
      <c r="O30" s="118" t="s">
        <v>80</v>
      </c>
      <c r="P30" s="114" t="s">
        <v>81</v>
      </c>
      <c r="Q30" s="114" t="s">
        <v>82</v>
      </c>
      <c r="R30" s="115" t="str">
        <f t="shared" si="0"/>
        <v>53</v>
      </c>
      <c r="S30" s="112">
        <v>530204</v>
      </c>
      <c r="T30" s="122" t="str">
        <f>VLOOKUP(S30,ITEM!$C$1:$D$156,2,FALSE)</f>
        <v>Edición, Impresión, Reproducción, Publicaciones, Suscripciones, Fotocopiado, Traducción, Empastado, Enmarcación,
Serigrafía, Fotografía, Carnetización, Filmación e Imágenes Satelitales.</v>
      </c>
      <c r="U30" s="112" t="s">
        <v>83</v>
      </c>
      <c r="V30" s="114" t="s">
        <v>82</v>
      </c>
      <c r="W30" s="114" t="s">
        <v>84</v>
      </c>
      <c r="X30" s="114" t="s">
        <v>84</v>
      </c>
      <c r="Y30" s="224" t="e">
        <f>'Matriz POA 2024-TRABAJO'!#REF!</f>
        <v>#REF!</v>
      </c>
      <c r="Z30" s="224" t="e">
        <f>'Matriz POA 2024-TRABAJO'!#REF!</f>
        <v>#REF!</v>
      </c>
      <c r="AA30" s="224" t="e">
        <f>'Matriz POA 2024-TRABAJO'!#REF!</f>
        <v>#REF!</v>
      </c>
      <c r="AB30" s="279">
        <v>0</v>
      </c>
      <c r="AC30" s="279">
        <v>0</v>
      </c>
      <c r="AD30" s="279">
        <v>0</v>
      </c>
      <c r="AE30" s="279">
        <v>0</v>
      </c>
      <c r="AF30" s="279">
        <v>0</v>
      </c>
      <c r="AG30" s="279">
        <v>0</v>
      </c>
      <c r="AH30" s="279">
        <v>0</v>
      </c>
      <c r="AI30" s="279">
        <v>1000</v>
      </c>
      <c r="AJ30" s="279">
        <v>0</v>
      </c>
      <c r="AK30" s="279">
        <v>0</v>
      </c>
      <c r="AL30" s="279">
        <v>0</v>
      </c>
      <c r="AM30" s="279">
        <v>0</v>
      </c>
      <c r="AN30" s="224" t="e">
        <f>SUM(#REF!)</f>
        <v>#REF!</v>
      </c>
      <c r="AO30" s="224">
        <f t="shared" si="1"/>
        <v>1000</v>
      </c>
      <c r="AP30" s="224" t="e">
        <f t="shared" si="7"/>
        <v>#REF!</v>
      </c>
      <c r="AQ30" s="224"/>
      <c r="AR30" s="224"/>
      <c r="AS30" s="224"/>
      <c r="AT30" s="224" t="str">
        <f>IFERROR(VLOOKUP($A30,'Constancias POA'!$A$2:$DH$9993,17,FALSE),"")</f>
        <v/>
      </c>
      <c r="AU30" s="224" t="str">
        <f t="shared" si="2"/>
        <v/>
      </c>
      <c r="AV30" s="224" t="str">
        <f>IFERROR(VLOOKUP($A30,CP!$A$1:$U$7992,18,FALSE),"")</f>
        <v/>
      </c>
      <c r="AW30" s="224" t="str">
        <f>IFERROR(VLOOKUP($A30,CP!$A$1:$U$7992,19,FALSE),"")</f>
        <v/>
      </c>
      <c r="AX30" s="224" t="str">
        <f>IFERROR(VLOOKUP($A30,CP!$A$1:$U$7992,20,FALSE),"")</f>
        <v/>
      </c>
      <c r="AY30" s="224" t="str">
        <f>IFERROR(VLOOKUP($A30,CP!$A$1:$U$1,21,FALSE),"")</f>
        <v/>
      </c>
      <c r="AZ30" s="224" t="str">
        <f>IFERROR(VLOOKUP(A30,Devengado!$A$1:AJ1,35,FALSE),"")</f>
        <v/>
      </c>
      <c r="BA30" s="224" t="str">
        <f t="shared" si="3"/>
        <v/>
      </c>
      <c r="BB30" s="224" t="str">
        <f>IFERROR(AZ30/#REF!,"")</f>
        <v/>
      </c>
      <c r="BC30" s="224" t="str">
        <f>IFERROR(VLOOKUP($A30,Devengado!$A$1:$AI$1,22,FALSE),"")</f>
        <v/>
      </c>
      <c r="BD30" s="224" t="str">
        <f>IFERROR(VLOOKUP($A30,Devengado!$A$1:$AI$1,23,FALSE),"")</f>
        <v/>
      </c>
      <c r="BE30" s="224" t="str">
        <f>IFERROR(VLOOKUP($A30,Devengado!$A$1:$AI$1,24,FALSE),"")</f>
        <v/>
      </c>
      <c r="BF30" s="224" t="str">
        <f>IFERROR(VLOOKUP($A30,Devengado!$A$1:$AI$1,25,FALSE),"")</f>
        <v/>
      </c>
      <c r="BG30" s="224" t="str">
        <f>IFERROR(VLOOKUP($A30,Devengado!$A$1:$AI$1,26,FALSE),"")</f>
        <v/>
      </c>
      <c r="BH30" s="224" t="str">
        <f>IFERROR(VLOOKUP($A30,Devengado!$A$1:$AI$1,27,FALSE),"")</f>
        <v/>
      </c>
      <c r="BI30" s="224" t="str">
        <f>IFERROR(VLOOKUP($A30,Devengado!$A$1:$AI$1,28,FALSE),"")</f>
        <v/>
      </c>
      <c r="BJ30" s="224" t="str">
        <f>IFERROR(VLOOKUP($A30,Devengado!$A$1:$AI$1,29,FALSE),"")</f>
        <v/>
      </c>
      <c r="BK30" s="224" t="str">
        <f>IFERROR(VLOOKUP($A30,Devengado!$A$1:$AI$1,30,FALSE),"")</f>
        <v/>
      </c>
      <c r="BL30" s="224" t="str">
        <f>IFERROR(VLOOKUP($A30,Devengado!$A$1:$AI$1,31,FALSE),"")</f>
        <v/>
      </c>
      <c r="BM30" s="224" t="str">
        <f>IFERROR(VLOOKUP($A30,Devengado!$A$1:$AI$1,32,FALSE),"")</f>
        <v/>
      </c>
      <c r="BN30" s="224" t="str">
        <f>IFERROR(VLOOKUP($A30,Devengado!$A$1:$AI$1,33,FALSE),"")</f>
        <v/>
      </c>
      <c r="BO30" s="224">
        <f t="shared" si="4"/>
        <v>0</v>
      </c>
      <c r="BP30" s="224" t="str">
        <f t="shared" si="5"/>
        <v/>
      </c>
      <c r="BQ30" s="207"/>
      <c r="BR30" s="207" t="str">
        <f t="shared" si="6"/>
        <v>53</v>
      </c>
    </row>
    <row r="31" spans="1:70" s="225" customFormat="1" ht="25.5" customHeight="1">
      <c r="A31" s="207">
        <v>27</v>
      </c>
      <c r="B31" s="112" t="s">
        <v>73</v>
      </c>
      <c r="C31" s="112" t="s">
        <v>103</v>
      </c>
      <c r="D31" s="112" t="s">
        <v>77</v>
      </c>
      <c r="E31" s="117" t="s">
        <v>76</v>
      </c>
      <c r="F31" s="112" t="s">
        <v>77</v>
      </c>
      <c r="G31" s="112" t="s">
        <v>77</v>
      </c>
      <c r="H31" s="112" t="s">
        <v>77</v>
      </c>
      <c r="I31" s="112" t="s">
        <v>77</v>
      </c>
      <c r="J31" s="112" t="s">
        <v>77</v>
      </c>
      <c r="K31" s="112" t="s">
        <v>77</v>
      </c>
      <c r="L31" s="112" t="s">
        <v>85</v>
      </c>
      <c r="M31" s="112" t="s">
        <v>106</v>
      </c>
      <c r="N31" s="113">
        <v>9999</v>
      </c>
      <c r="O31" s="118" t="s">
        <v>80</v>
      </c>
      <c r="P31" s="114" t="s">
        <v>81</v>
      </c>
      <c r="Q31" s="114" t="s">
        <v>82</v>
      </c>
      <c r="R31" s="115" t="str">
        <f t="shared" si="0"/>
        <v>53</v>
      </c>
      <c r="S31" s="112">
        <v>530204</v>
      </c>
      <c r="T31" s="122" t="str">
        <f>VLOOKUP(S31,ITEM!$C$1:$D$156,2,FALSE)</f>
        <v>Edición, Impresión, Reproducción, Publicaciones, Suscripciones, Fotocopiado, Traducción, Empastado, Enmarcación,
Serigrafía, Fotografía, Carnetización, Filmación e Imágenes Satelitales.</v>
      </c>
      <c r="U31" s="112" t="s">
        <v>83</v>
      </c>
      <c r="V31" s="114" t="s">
        <v>82</v>
      </c>
      <c r="W31" s="114" t="s">
        <v>84</v>
      </c>
      <c r="X31" s="114" t="s">
        <v>84</v>
      </c>
      <c r="Y31" s="224" t="e">
        <f>'Matriz POA 2024-TRABAJO'!#REF!</f>
        <v>#REF!</v>
      </c>
      <c r="Z31" s="224" t="e">
        <f>'Matriz POA 2024-TRABAJO'!#REF!</f>
        <v>#REF!</v>
      </c>
      <c r="AA31" s="224" t="e">
        <f>'Matriz POA 2024-TRABAJO'!#REF!</f>
        <v>#REF!</v>
      </c>
      <c r="AB31" s="279"/>
      <c r="AC31" s="279">
        <v>0</v>
      </c>
      <c r="AD31" s="279">
        <v>0</v>
      </c>
      <c r="AE31" s="279"/>
      <c r="AF31" s="279">
        <v>0</v>
      </c>
      <c r="AG31" s="279">
        <v>0</v>
      </c>
      <c r="AH31" s="279"/>
      <c r="AI31" s="279">
        <v>0</v>
      </c>
      <c r="AJ31" s="279">
        <v>0</v>
      </c>
      <c r="AK31" s="279">
        <v>0</v>
      </c>
      <c r="AL31" s="279">
        <v>0</v>
      </c>
      <c r="AM31" s="279">
        <v>0</v>
      </c>
      <c r="AN31" s="224" t="e">
        <f>SUM(#REF!)</f>
        <v>#REF!</v>
      </c>
      <c r="AO31" s="224">
        <f t="shared" si="1"/>
        <v>0</v>
      </c>
      <c r="AP31" s="224" t="e">
        <f t="shared" si="7"/>
        <v>#REF!</v>
      </c>
      <c r="AQ31" s="224"/>
      <c r="AR31" s="224"/>
      <c r="AS31" s="224"/>
      <c r="AT31" s="224" t="str">
        <f>IFERROR(VLOOKUP($A31,'Constancias POA'!$A$2:$DH$9993,17,FALSE),"")</f>
        <v/>
      </c>
      <c r="AU31" s="224" t="str">
        <f t="shared" si="2"/>
        <v/>
      </c>
      <c r="AV31" s="224" t="str">
        <f>IFERROR(VLOOKUP($A31,CP!$A$1:$U$7992,18,FALSE),"")</f>
        <v/>
      </c>
      <c r="AW31" s="224" t="str">
        <f>IFERROR(VLOOKUP($A31,CP!$A$1:$U$7992,19,FALSE),"")</f>
        <v/>
      </c>
      <c r="AX31" s="224" t="str">
        <f>IFERROR(VLOOKUP($A31,CP!$A$1:$U$7992,20,FALSE),"")</f>
        <v/>
      </c>
      <c r="AY31" s="224" t="str">
        <f>IFERROR(VLOOKUP($A31,CP!$A$1:$U$1,21,FALSE),"")</f>
        <v/>
      </c>
      <c r="AZ31" s="224" t="str">
        <f>IFERROR(VLOOKUP(A31,Devengado!$A$1:AJ1,35,FALSE),"")</f>
        <v/>
      </c>
      <c r="BA31" s="224" t="str">
        <f t="shared" si="3"/>
        <v/>
      </c>
      <c r="BB31" s="224" t="str">
        <f>IFERROR(AZ31/#REF!,"")</f>
        <v/>
      </c>
      <c r="BC31" s="224" t="str">
        <f>IFERROR(VLOOKUP($A31,Devengado!$A$1:$AI$1,22,FALSE),"")</f>
        <v/>
      </c>
      <c r="BD31" s="224" t="str">
        <f>IFERROR(VLOOKUP($A31,Devengado!$A$1:$AI$1,23,FALSE),"")</f>
        <v/>
      </c>
      <c r="BE31" s="224" t="str">
        <f>IFERROR(VLOOKUP($A31,Devengado!$A$1:$AI$1,24,FALSE),"")</f>
        <v/>
      </c>
      <c r="BF31" s="224" t="str">
        <f>IFERROR(VLOOKUP($A31,Devengado!$A$1:$AI$1,25,FALSE),"")</f>
        <v/>
      </c>
      <c r="BG31" s="224" t="str">
        <f>IFERROR(VLOOKUP($A31,Devengado!$A$1:$AI$1,26,FALSE),"")</f>
        <v/>
      </c>
      <c r="BH31" s="224" t="str">
        <f>IFERROR(VLOOKUP($A31,Devengado!$A$1:$AI$1,27,FALSE),"")</f>
        <v/>
      </c>
      <c r="BI31" s="224" t="str">
        <f>IFERROR(VLOOKUP($A31,Devengado!$A$1:$AI$1,28,FALSE),"")</f>
        <v/>
      </c>
      <c r="BJ31" s="224" t="str">
        <f>IFERROR(VLOOKUP($A31,Devengado!$A$1:$AI$1,29,FALSE),"")</f>
        <v/>
      </c>
      <c r="BK31" s="224" t="str">
        <f>IFERROR(VLOOKUP($A31,Devengado!$A$1:$AI$1,30,FALSE),"")</f>
        <v/>
      </c>
      <c r="BL31" s="224" t="str">
        <f>IFERROR(VLOOKUP($A31,Devengado!$A$1:$AI$1,31,FALSE),"")</f>
        <v/>
      </c>
      <c r="BM31" s="224" t="str">
        <f>IFERROR(VLOOKUP($A31,Devengado!$A$1:$AI$1,32,FALSE),"")</f>
        <v/>
      </c>
      <c r="BN31" s="224" t="str">
        <f>IFERROR(VLOOKUP($A31,Devengado!$A$1:$AI$1,33,FALSE),"")</f>
        <v/>
      </c>
      <c r="BO31" s="224">
        <f t="shared" si="4"/>
        <v>0</v>
      </c>
      <c r="BP31" s="224" t="str">
        <f t="shared" si="5"/>
        <v/>
      </c>
      <c r="BQ31" s="207"/>
      <c r="BR31" s="207" t="str">
        <f t="shared" si="6"/>
        <v>53</v>
      </c>
    </row>
    <row r="32" spans="1:70" s="225" customFormat="1" ht="25.5" customHeight="1">
      <c r="A32" s="207">
        <v>28</v>
      </c>
      <c r="B32" s="112" t="s">
        <v>73</v>
      </c>
      <c r="C32" s="112" t="s">
        <v>103</v>
      </c>
      <c r="D32" s="112" t="s">
        <v>77</v>
      </c>
      <c r="E32" s="117" t="s">
        <v>76</v>
      </c>
      <c r="F32" s="112" t="s">
        <v>77</v>
      </c>
      <c r="G32" s="112" t="s">
        <v>77</v>
      </c>
      <c r="H32" s="112" t="s">
        <v>77</v>
      </c>
      <c r="I32" s="112" t="s">
        <v>77</v>
      </c>
      <c r="J32" s="112" t="s">
        <v>77</v>
      </c>
      <c r="K32" s="112" t="s">
        <v>77</v>
      </c>
      <c r="L32" s="112" t="s">
        <v>85</v>
      </c>
      <c r="M32" s="112" t="s">
        <v>106</v>
      </c>
      <c r="N32" s="113">
        <v>9999</v>
      </c>
      <c r="O32" s="118" t="s">
        <v>80</v>
      </c>
      <c r="P32" s="114" t="s">
        <v>81</v>
      </c>
      <c r="Q32" s="114" t="s">
        <v>82</v>
      </c>
      <c r="R32" s="115" t="str">
        <f t="shared" si="0"/>
        <v>53</v>
      </c>
      <c r="S32" s="112">
        <v>530204</v>
      </c>
      <c r="T32" s="122" t="str">
        <f>VLOOKUP(S32,ITEM!$C$1:$D$156,2,FALSE)</f>
        <v>Edición, Impresión, Reproducción, Publicaciones, Suscripciones, Fotocopiado, Traducción, Empastado, Enmarcación,
Serigrafía, Fotografía, Carnetización, Filmación e Imágenes Satelitales.</v>
      </c>
      <c r="U32" s="112" t="s">
        <v>83</v>
      </c>
      <c r="V32" s="114" t="s">
        <v>82</v>
      </c>
      <c r="W32" s="114" t="s">
        <v>84</v>
      </c>
      <c r="X32" s="114" t="s">
        <v>84</v>
      </c>
      <c r="Y32" s="224" t="e">
        <f>'Matriz POA 2024-TRABAJO'!#REF!</f>
        <v>#REF!</v>
      </c>
      <c r="Z32" s="224" t="e">
        <f>'Matriz POA 2024-TRABAJO'!#REF!</f>
        <v>#REF!</v>
      </c>
      <c r="AA32" s="224" t="e">
        <f>'Matriz POA 2024-TRABAJO'!#REF!</f>
        <v>#REF!</v>
      </c>
      <c r="AB32" s="279">
        <v>0</v>
      </c>
      <c r="AC32" s="279"/>
      <c r="AD32" s="279">
        <v>50</v>
      </c>
      <c r="AE32" s="279">
        <v>50</v>
      </c>
      <c r="AF32" s="279">
        <v>50</v>
      </c>
      <c r="AG32" s="279">
        <v>50</v>
      </c>
      <c r="AH32" s="279">
        <v>50</v>
      </c>
      <c r="AI32" s="279">
        <v>50</v>
      </c>
      <c r="AJ32" s="279">
        <v>0</v>
      </c>
      <c r="AK32" s="279">
        <v>0</v>
      </c>
      <c r="AL32" s="279">
        <v>0</v>
      </c>
      <c r="AM32" s="279">
        <v>0</v>
      </c>
      <c r="AN32" s="224" t="e">
        <f>SUM(#REF!)</f>
        <v>#REF!</v>
      </c>
      <c r="AO32" s="224">
        <f t="shared" si="1"/>
        <v>300</v>
      </c>
      <c r="AP32" s="224" t="e">
        <f t="shared" si="7"/>
        <v>#REF!</v>
      </c>
      <c r="AQ32" s="224"/>
      <c r="AR32" s="224"/>
      <c r="AS32" s="224"/>
      <c r="AT32" s="224" t="str">
        <f>IFERROR(VLOOKUP($A32,'Constancias POA'!$A$2:$DH$9993,17,FALSE),"")</f>
        <v/>
      </c>
      <c r="AU32" s="224" t="str">
        <f t="shared" si="2"/>
        <v/>
      </c>
      <c r="AV32" s="224" t="str">
        <f>IFERROR(VLOOKUP($A32,CP!$A$1:$U$7992,18,FALSE),"")</f>
        <v/>
      </c>
      <c r="AW32" s="224" t="str">
        <f>IFERROR(VLOOKUP($A32,CP!$A$1:$U$7992,19,FALSE),"")</f>
        <v/>
      </c>
      <c r="AX32" s="224" t="str">
        <f>IFERROR(VLOOKUP($A32,CP!$A$1:$U$7992,20,FALSE),"")</f>
        <v/>
      </c>
      <c r="AY32" s="224" t="str">
        <f>IFERROR(VLOOKUP($A32,CP!$A$1:$U$1,21,FALSE),"")</f>
        <v/>
      </c>
      <c r="AZ32" s="224" t="str">
        <f>IFERROR(VLOOKUP(A32,Devengado!$A$1:AJ1,35,FALSE),"")</f>
        <v/>
      </c>
      <c r="BA32" s="224" t="str">
        <f t="shared" si="3"/>
        <v/>
      </c>
      <c r="BB32" s="224" t="str">
        <f>IFERROR(AZ32/#REF!,"")</f>
        <v/>
      </c>
      <c r="BC32" s="224" t="str">
        <f>IFERROR(VLOOKUP($A32,Devengado!$A$1:$AI$1,22,FALSE),"")</f>
        <v/>
      </c>
      <c r="BD32" s="224" t="str">
        <f>IFERROR(VLOOKUP($A32,Devengado!$A$1:$AI$1,23,FALSE),"")</f>
        <v/>
      </c>
      <c r="BE32" s="224" t="str">
        <f>IFERROR(VLOOKUP($A32,Devengado!$A$1:$AI$1,24,FALSE),"")</f>
        <v/>
      </c>
      <c r="BF32" s="224" t="str">
        <f>IFERROR(VLOOKUP($A32,Devengado!$A$1:$AI$1,25,FALSE),"")</f>
        <v/>
      </c>
      <c r="BG32" s="224" t="str">
        <f>IFERROR(VLOOKUP($A32,Devengado!$A$1:$AI$1,26,FALSE),"")</f>
        <v/>
      </c>
      <c r="BH32" s="224" t="str">
        <f>IFERROR(VLOOKUP($A32,Devengado!$A$1:$AI$1,27,FALSE),"")</f>
        <v/>
      </c>
      <c r="BI32" s="224" t="str">
        <f>IFERROR(VLOOKUP($A32,Devengado!$A$1:$AI$1,28,FALSE),"")</f>
        <v/>
      </c>
      <c r="BJ32" s="224" t="str">
        <f>IFERROR(VLOOKUP($A32,Devengado!$A$1:$AI$1,29,FALSE),"")</f>
        <v/>
      </c>
      <c r="BK32" s="224" t="str">
        <f>IFERROR(VLOOKUP($A32,Devengado!$A$1:$AI$1,30,FALSE),"")</f>
        <v/>
      </c>
      <c r="BL32" s="224" t="str">
        <f>IFERROR(VLOOKUP($A32,Devengado!$A$1:$AI$1,31,FALSE),"")</f>
        <v/>
      </c>
      <c r="BM32" s="224" t="str">
        <f>IFERROR(VLOOKUP($A32,Devengado!$A$1:$AI$1,32,FALSE),"")</f>
        <v/>
      </c>
      <c r="BN32" s="224" t="str">
        <f>IFERROR(VLOOKUP($A32,Devengado!$A$1:$AI$1,33,FALSE),"")</f>
        <v/>
      </c>
      <c r="BO32" s="224">
        <f t="shared" si="4"/>
        <v>0</v>
      </c>
      <c r="BP32" s="224" t="str">
        <f t="shared" si="5"/>
        <v/>
      </c>
      <c r="BQ32" s="207"/>
      <c r="BR32" s="207" t="str">
        <f t="shared" si="6"/>
        <v>53</v>
      </c>
    </row>
    <row r="33" spans="1:70" s="225" customFormat="1" ht="25.5" customHeight="1">
      <c r="A33" s="207">
        <v>29</v>
      </c>
      <c r="B33" s="112" t="s">
        <v>73</v>
      </c>
      <c r="C33" s="112" t="s">
        <v>103</v>
      </c>
      <c r="D33" s="112" t="s">
        <v>77</v>
      </c>
      <c r="E33" s="117" t="s">
        <v>76</v>
      </c>
      <c r="F33" s="112" t="s">
        <v>77</v>
      </c>
      <c r="G33" s="112" t="s">
        <v>77</v>
      </c>
      <c r="H33" s="112" t="s">
        <v>77</v>
      </c>
      <c r="I33" s="112" t="s">
        <v>77</v>
      </c>
      <c r="J33" s="112" t="s">
        <v>77</v>
      </c>
      <c r="K33" s="112" t="s">
        <v>77</v>
      </c>
      <c r="L33" s="112" t="s">
        <v>85</v>
      </c>
      <c r="M33" s="112" t="s">
        <v>106</v>
      </c>
      <c r="N33" s="113">
        <v>9999</v>
      </c>
      <c r="O33" s="118" t="s">
        <v>80</v>
      </c>
      <c r="P33" s="114" t="s">
        <v>81</v>
      </c>
      <c r="Q33" s="114" t="s">
        <v>82</v>
      </c>
      <c r="R33" s="115" t="str">
        <f t="shared" si="0"/>
        <v>57</v>
      </c>
      <c r="S33" s="112">
        <v>570206</v>
      </c>
      <c r="T33" s="122" t="e">
        <f>VLOOKUP(S33,ITEM!$C$1:$D$156,2,FALSE)</f>
        <v>#N/A</v>
      </c>
      <c r="U33" s="112" t="s">
        <v>83</v>
      </c>
      <c r="V33" s="114" t="s">
        <v>82</v>
      </c>
      <c r="W33" s="114" t="s">
        <v>84</v>
      </c>
      <c r="X33" s="114" t="s">
        <v>84</v>
      </c>
      <c r="Y33" s="224" t="e">
        <f>'Matriz POA 2024-TRABAJO'!#REF!</f>
        <v>#REF!</v>
      </c>
      <c r="Z33" s="224" t="e">
        <f>'Matriz POA 2024-TRABAJO'!#REF!</f>
        <v>#REF!</v>
      </c>
      <c r="AA33" s="224" t="e">
        <f>'Matriz POA 2024-TRABAJO'!#REF!</f>
        <v>#REF!</v>
      </c>
      <c r="AB33" s="279">
        <v>0</v>
      </c>
      <c r="AC33" s="279">
        <v>0</v>
      </c>
      <c r="AD33" s="279">
        <v>50</v>
      </c>
      <c r="AE33" s="279">
        <v>0</v>
      </c>
      <c r="AF33" s="279">
        <v>50</v>
      </c>
      <c r="AG33" s="279">
        <v>0</v>
      </c>
      <c r="AH33" s="279">
        <v>0</v>
      </c>
      <c r="AI33" s="279">
        <v>50</v>
      </c>
      <c r="AJ33" s="279">
        <v>0</v>
      </c>
      <c r="AK33" s="279">
        <v>0</v>
      </c>
      <c r="AL33" s="279">
        <v>0</v>
      </c>
      <c r="AM33" s="279">
        <v>0</v>
      </c>
      <c r="AN33" s="224" t="e">
        <f>SUM(#REF!)</f>
        <v>#REF!</v>
      </c>
      <c r="AO33" s="224">
        <f t="shared" si="1"/>
        <v>150</v>
      </c>
      <c r="AP33" s="224" t="e">
        <f t="shared" si="7"/>
        <v>#REF!</v>
      </c>
      <c r="AQ33" s="224"/>
      <c r="AR33" s="224"/>
      <c r="AS33" s="224"/>
      <c r="AT33" s="224" t="str">
        <f>IFERROR(VLOOKUP($A33,'Constancias POA'!$A$2:$DH$9993,17,FALSE),"")</f>
        <v/>
      </c>
      <c r="AU33" s="224" t="str">
        <f t="shared" si="2"/>
        <v/>
      </c>
      <c r="AV33" s="224" t="str">
        <f>IFERROR(VLOOKUP($A33,CP!$A$1:$U$7992,18,FALSE),"")</f>
        <v/>
      </c>
      <c r="AW33" s="224" t="str">
        <f>IFERROR(VLOOKUP($A33,CP!$A$1:$U$7992,19,FALSE),"")</f>
        <v/>
      </c>
      <c r="AX33" s="224" t="str">
        <f>IFERROR(VLOOKUP($A33,CP!$A$1:$U$7992,20,FALSE),"")</f>
        <v/>
      </c>
      <c r="AY33" s="224" t="str">
        <f>IFERROR(VLOOKUP($A33,CP!$A$1:$U$1,21,FALSE),"")</f>
        <v/>
      </c>
      <c r="AZ33" s="224" t="str">
        <f>IFERROR(VLOOKUP(A33,Devengado!$A$1:AJ1,35,FALSE),"")</f>
        <v/>
      </c>
      <c r="BA33" s="224" t="str">
        <f t="shared" si="3"/>
        <v/>
      </c>
      <c r="BB33" s="224" t="str">
        <f>IFERROR(AZ33/#REF!,"")</f>
        <v/>
      </c>
      <c r="BC33" s="224" t="str">
        <f>IFERROR(VLOOKUP($A33,Devengado!$A$1:$AI$1,22,FALSE),"")</f>
        <v/>
      </c>
      <c r="BD33" s="224" t="str">
        <f>IFERROR(VLOOKUP($A33,Devengado!$A$1:$AI$1,23,FALSE),"")</f>
        <v/>
      </c>
      <c r="BE33" s="224" t="str">
        <f>IFERROR(VLOOKUP($A33,Devengado!$A$1:$AI$1,24,FALSE),"")</f>
        <v/>
      </c>
      <c r="BF33" s="224" t="str">
        <f>IFERROR(VLOOKUP($A33,Devengado!$A$1:$AI$1,25,FALSE),"")</f>
        <v/>
      </c>
      <c r="BG33" s="224" t="str">
        <f>IFERROR(VLOOKUP($A33,Devengado!$A$1:$AI$1,26,FALSE),"")</f>
        <v/>
      </c>
      <c r="BH33" s="224" t="str">
        <f>IFERROR(VLOOKUP($A33,Devengado!$A$1:$AI$1,27,FALSE),"")</f>
        <v/>
      </c>
      <c r="BI33" s="224" t="str">
        <f>IFERROR(VLOOKUP($A33,Devengado!$A$1:$AI$1,28,FALSE),"")</f>
        <v/>
      </c>
      <c r="BJ33" s="224" t="str">
        <f>IFERROR(VLOOKUP($A33,Devengado!$A$1:$AI$1,29,FALSE),"")</f>
        <v/>
      </c>
      <c r="BK33" s="224" t="str">
        <f>IFERROR(VLOOKUP($A33,Devengado!$A$1:$AI$1,30,FALSE),"")</f>
        <v/>
      </c>
      <c r="BL33" s="224" t="str">
        <f>IFERROR(VLOOKUP($A33,Devengado!$A$1:$AI$1,31,FALSE),"")</f>
        <v/>
      </c>
      <c r="BM33" s="224" t="str">
        <f>IFERROR(VLOOKUP($A33,Devengado!$A$1:$AI$1,32,FALSE),"")</f>
        <v/>
      </c>
      <c r="BN33" s="224" t="str">
        <f>IFERROR(VLOOKUP($A33,Devengado!$A$1:$AI$1,33,FALSE),"")</f>
        <v/>
      </c>
      <c r="BO33" s="224">
        <f t="shared" si="4"/>
        <v>0</v>
      </c>
      <c r="BP33" s="224" t="str">
        <f t="shared" si="5"/>
        <v/>
      </c>
      <c r="BQ33" s="207"/>
      <c r="BR33" s="207" t="str">
        <f t="shared" si="6"/>
        <v>57</v>
      </c>
    </row>
    <row r="34" spans="1:70" s="225" customFormat="1" ht="25.5" customHeight="1">
      <c r="A34" s="207">
        <v>30</v>
      </c>
      <c r="B34" s="112" t="s">
        <v>73</v>
      </c>
      <c r="C34" s="112" t="s">
        <v>103</v>
      </c>
      <c r="D34" s="112" t="s">
        <v>77</v>
      </c>
      <c r="E34" s="117" t="s">
        <v>76</v>
      </c>
      <c r="F34" s="112" t="s">
        <v>77</v>
      </c>
      <c r="G34" s="112" t="s">
        <v>77</v>
      </c>
      <c r="H34" s="112" t="s">
        <v>77</v>
      </c>
      <c r="I34" s="112" t="s">
        <v>77</v>
      </c>
      <c r="J34" s="112" t="s">
        <v>77</v>
      </c>
      <c r="K34" s="112" t="s">
        <v>77</v>
      </c>
      <c r="L34" s="112" t="s">
        <v>85</v>
      </c>
      <c r="M34" s="112" t="s">
        <v>106</v>
      </c>
      <c r="N34" s="113">
        <v>9999</v>
      </c>
      <c r="O34" s="118" t="s">
        <v>80</v>
      </c>
      <c r="P34" s="114" t="s">
        <v>81</v>
      </c>
      <c r="Q34" s="114" t="s">
        <v>82</v>
      </c>
      <c r="R34" s="115" t="str">
        <f t="shared" si="0"/>
        <v>53</v>
      </c>
      <c r="S34" s="112">
        <v>530106</v>
      </c>
      <c r="T34" s="122" t="str">
        <f>VLOOKUP(S34,ITEM!$C$1:$D$156,2,FALSE)</f>
        <v>Servicio de Correo</v>
      </c>
      <c r="U34" s="112" t="s">
        <v>83</v>
      </c>
      <c r="V34" s="114" t="s">
        <v>82</v>
      </c>
      <c r="W34" s="114" t="s">
        <v>84</v>
      </c>
      <c r="X34" s="114" t="s">
        <v>84</v>
      </c>
      <c r="Y34" s="224" t="e">
        <f>'Matriz POA 2024-TRABAJO'!#REF!</f>
        <v>#REF!</v>
      </c>
      <c r="Z34" s="224" t="e">
        <f>'Matriz POA 2024-TRABAJO'!#REF!</f>
        <v>#REF!</v>
      </c>
      <c r="AA34" s="224" t="e">
        <f>'Matriz POA 2024-TRABAJO'!#REF!</f>
        <v>#REF!</v>
      </c>
      <c r="AB34" s="279">
        <v>0</v>
      </c>
      <c r="AC34" s="279">
        <v>25</v>
      </c>
      <c r="AD34" s="279">
        <v>0</v>
      </c>
      <c r="AE34" s="279">
        <v>25</v>
      </c>
      <c r="AF34" s="279">
        <v>0</v>
      </c>
      <c r="AG34" s="279">
        <v>0</v>
      </c>
      <c r="AH34" s="279">
        <v>25</v>
      </c>
      <c r="AI34" s="279">
        <v>0</v>
      </c>
      <c r="AJ34" s="279">
        <v>0</v>
      </c>
      <c r="AK34" s="279">
        <v>0</v>
      </c>
      <c r="AL34" s="279">
        <v>0</v>
      </c>
      <c r="AM34" s="279">
        <v>0</v>
      </c>
      <c r="AN34" s="224" t="e">
        <f>SUM(#REF!)</f>
        <v>#REF!</v>
      </c>
      <c r="AO34" s="224">
        <f t="shared" si="1"/>
        <v>75</v>
      </c>
      <c r="AP34" s="224" t="e">
        <f t="shared" si="7"/>
        <v>#REF!</v>
      </c>
      <c r="AQ34" s="224"/>
      <c r="AR34" s="224"/>
      <c r="AS34" s="224"/>
      <c r="AT34" s="224" t="str">
        <f>IFERROR(VLOOKUP($A34,'Constancias POA'!$A$2:$DH$9993,17,FALSE),"")</f>
        <v/>
      </c>
      <c r="AU34" s="224" t="str">
        <f t="shared" si="2"/>
        <v/>
      </c>
      <c r="AV34" s="224" t="str">
        <f>IFERROR(VLOOKUP($A34,CP!$A$1:$U$7992,18,FALSE),"")</f>
        <v/>
      </c>
      <c r="AW34" s="224" t="str">
        <f>IFERROR(VLOOKUP($A34,CP!$A$1:$U$7992,19,FALSE),"")</f>
        <v/>
      </c>
      <c r="AX34" s="224" t="str">
        <f>IFERROR(VLOOKUP($A34,CP!$A$1:$U$7992,20,FALSE),"")</f>
        <v/>
      </c>
      <c r="AY34" s="224" t="str">
        <f>IFERROR(VLOOKUP($A34,CP!$A$1:$U$1,21,FALSE),"")</f>
        <v/>
      </c>
      <c r="AZ34" s="224" t="str">
        <f>IFERROR(VLOOKUP(A34,Devengado!$A$1:AJ1,35,FALSE),"")</f>
        <v/>
      </c>
      <c r="BA34" s="224" t="str">
        <f t="shared" si="3"/>
        <v/>
      </c>
      <c r="BB34" s="224" t="str">
        <f>IFERROR(AZ34/#REF!,"")</f>
        <v/>
      </c>
      <c r="BC34" s="224" t="str">
        <f>IFERROR(VLOOKUP($A34,Devengado!$A$1:$AI$1,22,FALSE),"")</f>
        <v/>
      </c>
      <c r="BD34" s="224" t="str">
        <f>IFERROR(VLOOKUP($A34,Devengado!$A$1:$AI$1,23,FALSE),"")</f>
        <v/>
      </c>
      <c r="BE34" s="224" t="str">
        <f>IFERROR(VLOOKUP($A34,Devengado!$A$1:$AI$1,24,FALSE),"")</f>
        <v/>
      </c>
      <c r="BF34" s="224" t="str">
        <f>IFERROR(VLOOKUP($A34,Devengado!$A$1:$AI$1,25,FALSE),"")</f>
        <v/>
      </c>
      <c r="BG34" s="224" t="str">
        <f>IFERROR(VLOOKUP($A34,Devengado!$A$1:$AI$1,26,FALSE),"")</f>
        <v/>
      </c>
      <c r="BH34" s="224" t="str">
        <f>IFERROR(VLOOKUP($A34,Devengado!$A$1:$AI$1,27,FALSE),"")</f>
        <v/>
      </c>
      <c r="BI34" s="224" t="str">
        <f>IFERROR(VLOOKUP($A34,Devengado!$A$1:$AI$1,28,FALSE),"")</f>
        <v/>
      </c>
      <c r="BJ34" s="224" t="str">
        <f>IFERROR(VLOOKUP($A34,Devengado!$A$1:$AI$1,29,FALSE),"")</f>
        <v/>
      </c>
      <c r="BK34" s="224" t="str">
        <f>IFERROR(VLOOKUP($A34,Devengado!$A$1:$AI$1,30,FALSE),"")</f>
        <v/>
      </c>
      <c r="BL34" s="224" t="str">
        <f>IFERROR(VLOOKUP($A34,Devengado!$A$1:$AI$1,31,FALSE),"")</f>
        <v/>
      </c>
      <c r="BM34" s="224" t="str">
        <f>IFERROR(VLOOKUP($A34,Devengado!$A$1:$AI$1,32,FALSE),"")</f>
        <v/>
      </c>
      <c r="BN34" s="224" t="str">
        <f>IFERROR(VLOOKUP($A34,Devengado!$A$1:$AI$1,33,FALSE),"")</f>
        <v/>
      </c>
      <c r="BO34" s="224">
        <f t="shared" si="4"/>
        <v>0</v>
      </c>
      <c r="BP34" s="224" t="str">
        <f t="shared" si="5"/>
        <v/>
      </c>
      <c r="BQ34" s="207"/>
      <c r="BR34" s="207" t="str">
        <f t="shared" si="6"/>
        <v>53</v>
      </c>
    </row>
    <row r="35" spans="1:70" s="225" customFormat="1" ht="25.5" customHeight="1">
      <c r="A35" s="207">
        <v>31</v>
      </c>
      <c r="B35" s="112" t="s">
        <v>73</v>
      </c>
      <c r="C35" s="112" t="s">
        <v>103</v>
      </c>
      <c r="D35" s="112" t="s">
        <v>77</v>
      </c>
      <c r="E35" s="117" t="s">
        <v>76</v>
      </c>
      <c r="F35" s="112" t="s">
        <v>77</v>
      </c>
      <c r="G35" s="112" t="s">
        <v>77</v>
      </c>
      <c r="H35" s="112" t="s">
        <v>77</v>
      </c>
      <c r="I35" s="112" t="s">
        <v>77</v>
      </c>
      <c r="J35" s="112" t="s">
        <v>77</v>
      </c>
      <c r="K35" s="112" t="s">
        <v>77</v>
      </c>
      <c r="L35" s="112" t="s">
        <v>85</v>
      </c>
      <c r="M35" s="112" t="s">
        <v>107</v>
      </c>
      <c r="N35" s="113">
        <v>9999</v>
      </c>
      <c r="O35" s="114" t="s">
        <v>80</v>
      </c>
      <c r="P35" s="114" t="s">
        <v>81</v>
      </c>
      <c r="Q35" s="114" t="s">
        <v>82</v>
      </c>
      <c r="R35" s="115" t="str">
        <f t="shared" si="0"/>
        <v>53</v>
      </c>
      <c r="S35" s="112">
        <v>530301</v>
      </c>
      <c r="T35" s="122" t="str">
        <f>VLOOKUP(S35,ITEM!$C$1:$D$156,2,FALSE)</f>
        <v>Pasajes al Interior</v>
      </c>
      <c r="U35" s="112" t="s">
        <v>83</v>
      </c>
      <c r="V35" s="114" t="s">
        <v>82</v>
      </c>
      <c r="W35" s="114" t="s">
        <v>84</v>
      </c>
      <c r="X35" s="114" t="s">
        <v>84</v>
      </c>
      <c r="Y35" s="224" t="e">
        <f>'Matriz POA 2024-TRABAJO'!#REF!</f>
        <v>#REF!</v>
      </c>
      <c r="Z35" s="224" t="e">
        <f>'Matriz POA 2024-TRABAJO'!#REF!</f>
        <v>#REF!</v>
      </c>
      <c r="AA35" s="224" t="e">
        <f>'Matriz POA 2024-TRABAJO'!#REF!</f>
        <v>#REF!</v>
      </c>
      <c r="AB35" s="279">
        <v>0</v>
      </c>
      <c r="AC35" s="279">
        <v>0</v>
      </c>
      <c r="AD35" s="279">
        <v>0</v>
      </c>
      <c r="AE35" s="279">
        <v>0</v>
      </c>
      <c r="AF35" s="279">
        <v>0</v>
      </c>
      <c r="AG35" s="279">
        <v>0</v>
      </c>
      <c r="AH35" s="279">
        <v>0</v>
      </c>
      <c r="AI35" s="279">
        <v>0</v>
      </c>
      <c r="AJ35" s="279">
        <v>0</v>
      </c>
      <c r="AK35" s="279">
        <v>0</v>
      </c>
      <c r="AL35" s="279">
        <v>0</v>
      </c>
      <c r="AM35" s="279">
        <v>0</v>
      </c>
      <c r="AN35" s="224" t="e">
        <f>SUM(#REF!)</f>
        <v>#REF!</v>
      </c>
      <c r="AO35" s="224">
        <f t="shared" si="1"/>
        <v>0</v>
      </c>
      <c r="AP35" s="224" t="e">
        <f t="shared" si="7"/>
        <v>#REF!</v>
      </c>
      <c r="AQ35" s="224"/>
      <c r="AR35" s="224"/>
      <c r="AS35" s="224"/>
      <c r="AT35" s="224" t="str">
        <f>IFERROR(VLOOKUP($A35,'Constancias POA'!$A$2:$DH$9993,17,FALSE),"")</f>
        <v/>
      </c>
      <c r="AU35" s="224" t="str">
        <f t="shared" si="2"/>
        <v/>
      </c>
      <c r="AV35" s="224" t="str">
        <f>IFERROR(VLOOKUP($A35,CP!$A$1:$U$7992,18,FALSE),"")</f>
        <v/>
      </c>
      <c r="AW35" s="224" t="str">
        <f>IFERROR(VLOOKUP($A35,CP!$A$1:$U$7992,19,FALSE),"")</f>
        <v/>
      </c>
      <c r="AX35" s="224" t="str">
        <f>IFERROR(VLOOKUP($A35,CP!$A$1:$U$7992,20,FALSE),"")</f>
        <v/>
      </c>
      <c r="AY35" s="224" t="str">
        <f>IFERROR(VLOOKUP($A35,CP!$A$1:$U$1,21,FALSE),"")</f>
        <v/>
      </c>
      <c r="AZ35" s="224" t="str">
        <f>IFERROR(VLOOKUP(A35,Devengado!$A$1:AJ1,35,FALSE),"")</f>
        <v/>
      </c>
      <c r="BA35" s="224" t="str">
        <f t="shared" si="3"/>
        <v/>
      </c>
      <c r="BB35" s="224" t="str">
        <f>IFERROR(AZ35/#REF!,"")</f>
        <v/>
      </c>
      <c r="BC35" s="224" t="str">
        <f>IFERROR(VLOOKUP($A35,Devengado!$A$1:$AI$1,22,FALSE),"")</f>
        <v/>
      </c>
      <c r="BD35" s="224" t="str">
        <f>IFERROR(VLOOKUP($A35,Devengado!$A$1:$AI$1,23,FALSE),"")</f>
        <v/>
      </c>
      <c r="BE35" s="224" t="str">
        <f>IFERROR(VLOOKUP($A35,Devengado!$A$1:$AI$1,24,FALSE),"")</f>
        <v/>
      </c>
      <c r="BF35" s="224" t="str">
        <f>IFERROR(VLOOKUP($A35,Devengado!$A$1:$AI$1,25,FALSE),"")</f>
        <v/>
      </c>
      <c r="BG35" s="224" t="str">
        <f>IFERROR(VLOOKUP($A35,Devengado!$A$1:$AI$1,26,FALSE),"")</f>
        <v/>
      </c>
      <c r="BH35" s="224" t="str">
        <f>IFERROR(VLOOKUP($A35,Devengado!$A$1:$AI$1,27,FALSE),"")</f>
        <v/>
      </c>
      <c r="BI35" s="224" t="str">
        <f>IFERROR(VLOOKUP($A35,Devengado!$A$1:$AI$1,28,FALSE),"")</f>
        <v/>
      </c>
      <c r="BJ35" s="224" t="str">
        <f>IFERROR(VLOOKUP($A35,Devengado!$A$1:$AI$1,29,FALSE),"")</f>
        <v/>
      </c>
      <c r="BK35" s="224" t="str">
        <f>IFERROR(VLOOKUP($A35,Devengado!$A$1:$AI$1,30,FALSE),"")</f>
        <v/>
      </c>
      <c r="BL35" s="224" t="str">
        <f>IFERROR(VLOOKUP($A35,Devengado!$A$1:$AI$1,31,FALSE),"")</f>
        <v/>
      </c>
      <c r="BM35" s="224" t="str">
        <f>IFERROR(VLOOKUP($A35,Devengado!$A$1:$AI$1,32,FALSE),"")</f>
        <v/>
      </c>
      <c r="BN35" s="224" t="str">
        <f>IFERROR(VLOOKUP($A35,Devengado!$A$1:$AI$1,33,FALSE),"")</f>
        <v/>
      </c>
      <c r="BO35" s="224">
        <f t="shared" si="4"/>
        <v>0</v>
      </c>
      <c r="BP35" s="224" t="str">
        <f t="shared" si="5"/>
        <v/>
      </c>
      <c r="BQ35" s="207"/>
      <c r="BR35" s="207" t="str">
        <f t="shared" si="6"/>
        <v>53</v>
      </c>
    </row>
    <row r="36" spans="1:70" s="225" customFormat="1" ht="25.5" customHeight="1">
      <c r="A36" s="207">
        <v>32</v>
      </c>
      <c r="B36" s="112" t="s">
        <v>73</v>
      </c>
      <c r="C36" s="112" t="s">
        <v>108</v>
      </c>
      <c r="D36" s="112" t="s">
        <v>109</v>
      </c>
      <c r="E36" s="112" t="s">
        <v>76</v>
      </c>
      <c r="F36" s="112" t="s">
        <v>77</v>
      </c>
      <c r="G36" s="112" t="s">
        <v>77</v>
      </c>
      <c r="H36" s="112" t="s">
        <v>77</v>
      </c>
      <c r="I36" s="112" t="s">
        <v>77</v>
      </c>
      <c r="J36" s="112" t="s">
        <v>77</v>
      </c>
      <c r="K36" s="112" t="s">
        <v>77</v>
      </c>
      <c r="L36" s="112" t="s">
        <v>85</v>
      </c>
      <c r="M36" s="112" t="s">
        <v>110</v>
      </c>
      <c r="N36" s="113">
        <v>9999</v>
      </c>
      <c r="O36" s="118" t="s">
        <v>111</v>
      </c>
      <c r="P36" s="114" t="s">
        <v>81</v>
      </c>
      <c r="Q36" s="114" t="s">
        <v>112</v>
      </c>
      <c r="R36" s="115" t="str">
        <f t="shared" si="0"/>
        <v>58</v>
      </c>
      <c r="S36" s="112">
        <v>580204</v>
      </c>
      <c r="T36" s="122" t="e">
        <f>VLOOKUP(S36,ITEM!$C$1:$D$156,2,FALSE)</f>
        <v>#N/A</v>
      </c>
      <c r="U36" s="112" t="s">
        <v>83</v>
      </c>
      <c r="V36" s="114" t="s">
        <v>82</v>
      </c>
      <c r="W36" s="114" t="s">
        <v>84</v>
      </c>
      <c r="X36" s="114" t="s">
        <v>84</v>
      </c>
      <c r="Y36" s="224" t="e">
        <f>'Matriz POA 2024-TRABAJO'!#REF!</f>
        <v>#REF!</v>
      </c>
      <c r="Z36" s="224" t="e">
        <f>'Matriz POA 2024-TRABAJO'!#REF!</f>
        <v>#REF!</v>
      </c>
      <c r="AA36" s="224" t="e">
        <f>'Matriz POA 2024-TRABAJO'!#REF!</f>
        <v>#REF!</v>
      </c>
      <c r="AB36" s="279">
        <v>0</v>
      </c>
      <c r="AC36" s="279">
        <v>0</v>
      </c>
      <c r="AD36" s="279">
        <v>0</v>
      </c>
      <c r="AE36" s="279">
        <v>150000</v>
      </c>
      <c r="AF36" s="279">
        <v>0</v>
      </c>
      <c r="AG36" s="279">
        <v>0</v>
      </c>
      <c r="AH36" s="279">
        <v>0</v>
      </c>
      <c r="AI36" s="279">
        <v>0</v>
      </c>
      <c r="AJ36" s="279">
        <v>0</v>
      </c>
      <c r="AK36" s="279">
        <v>0</v>
      </c>
      <c r="AL36" s="279">
        <v>0</v>
      </c>
      <c r="AM36" s="279">
        <v>0</v>
      </c>
      <c r="AN36" s="224" t="e">
        <f>SUM(#REF!)</f>
        <v>#REF!</v>
      </c>
      <c r="AO36" s="224">
        <f t="shared" si="1"/>
        <v>150000</v>
      </c>
      <c r="AP36" s="224" t="e">
        <f t="shared" si="7"/>
        <v>#REF!</v>
      </c>
      <c r="AQ36" s="224"/>
      <c r="AR36" s="224"/>
      <c r="AS36" s="224"/>
      <c r="AT36" s="224" t="str">
        <f>IFERROR(VLOOKUP($A36,'Constancias POA'!$A$2:$DH$9993,17,FALSE),"")</f>
        <v/>
      </c>
      <c r="AU36" s="224" t="str">
        <f t="shared" si="2"/>
        <v/>
      </c>
      <c r="AV36" s="224" t="str">
        <f>IFERROR(VLOOKUP($A36,CP!$A$1:$U$7992,18,FALSE),"")</f>
        <v/>
      </c>
      <c r="AW36" s="224" t="str">
        <f>IFERROR(VLOOKUP($A36,CP!$A$1:$U$7992,19,FALSE),"")</f>
        <v/>
      </c>
      <c r="AX36" s="224" t="str">
        <f>IFERROR(VLOOKUP($A36,CP!$A$1:$U$7992,20,FALSE),"")</f>
        <v/>
      </c>
      <c r="AY36" s="224" t="str">
        <f>IFERROR(VLOOKUP($A36,CP!$A$1:$U$1,21,FALSE),"")</f>
        <v/>
      </c>
      <c r="AZ36" s="224" t="str">
        <f>IFERROR(VLOOKUP(A36,Devengado!$A$1:AJ1,35,FALSE),"")</f>
        <v/>
      </c>
      <c r="BA36" s="224" t="str">
        <f t="shared" si="3"/>
        <v/>
      </c>
      <c r="BB36" s="224" t="str">
        <f>IFERROR(AZ36/#REF!,"")</f>
        <v/>
      </c>
      <c r="BC36" s="224" t="str">
        <f>IFERROR(VLOOKUP($A36,Devengado!$A$1:$AI$1,22,FALSE),"")</f>
        <v/>
      </c>
      <c r="BD36" s="224" t="str">
        <f>IFERROR(VLOOKUP($A36,Devengado!$A$1:$AI$1,23,FALSE),"")</f>
        <v/>
      </c>
      <c r="BE36" s="224" t="str">
        <f>IFERROR(VLOOKUP($A36,Devengado!$A$1:$AI$1,24,FALSE),"")</f>
        <v/>
      </c>
      <c r="BF36" s="224" t="str">
        <f>IFERROR(VLOOKUP($A36,Devengado!$A$1:$AI$1,25,FALSE),"")</f>
        <v/>
      </c>
      <c r="BG36" s="224" t="str">
        <f>IFERROR(VLOOKUP($A36,Devengado!$A$1:$AI$1,26,FALSE),"")</f>
        <v/>
      </c>
      <c r="BH36" s="224" t="str">
        <f>IFERROR(VLOOKUP($A36,Devengado!$A$1:$AI$1,27,FALSE),"")</f>
        <v/>
      </c>
      <c r="BI36" s="224" t="str">
        <f>IFERROR(VLOOKUP($A36,Devengado!$A$1:$AI$1,28,FALSE),"")</f>
        <v/>
      </c>
      <c r="BJ36" s="224" t="str">
        <f>IFERROR(VLOOKUP($A36,Devengado!$A$1:$AI$1,29,FALSE),"")</f>
        <v/>
      </c>
      <c r="BK36" s="224" t="str">
        <f>IFERROR(VLOOKUP($A36,Devengado!$A$1:$AI$1,30,FALSE),"")</f>
        <v/>
      </c>
      <c r="BL36" s="224" t="str">
        <f>IFERROR(VLOOKUP($A36,Devengado!$A$1:$AI$1,31,FALSE),"")</f>
        <v/>
      </c>
      <c r="BM36" s="224" t="str">
        <f>IFERROR(VLOOKUP($A36,Devengado!$A$1:$AI$1,32,FALSE),"")</f>
        <v/>
      </c>
      <c r="BN36" s="224" t="str">
        <f>IFERROR(VLOOKUP($A36,Devengado!$A$1:$AI$1,33,FALSE),"")</f>
        <v/>
      </c>
      <c r="BO36" s="224">
        <f t="shared" si="4"/>
        <v>0</v>
      </c>
      <c r="BP36" s="224" t="str">
        <f t="shared" si="5"/>
        <v/>
      </c>
      <c r="BQ36" s="207"/>
      <c r="BR36" s="207" t="str">
        <f t="shared" si="6"/>
        <v>58</v>
      </c>
    </row>
    <row r="37" spans="1:70" s="225" customFormat="1" ht="25.5" customHeight="1">
      <c r="A37" s="207">
        <v>33</v>
      </c>
      <c r="B37" s="112" t="s">
        <v>73</v>
      </c>
      <c r="C37" s="112" t="s">
        <v>108</v>
      </c>
      <c r="D37" s="112" t="s">
        <v>109</v>
      </c>
      <c r="E37" s="112" t="s">
        <v>76</v>
      </c>
      <c r="F37" s="112" t="s">
        <v>77</v>
      </c>
      <c r="G37" s="112" t="s">
        <v>77</v>
      </c>
      <c r="H37" s="112" t="s">
        <v>77</v>
      </c>
      <c r="I37" s="112" t="s">
        <v>77</v>
      </c>
      <c r="J37" s="112" t="s">
        <v>77</v>
      </c>
      <c r="K37" s="112" t="s">
        <v>77</v>
      </c>
      <c r="L37" s="112" t="s">
        <v>85</v>
      </c>
      <c r="M37" s="112" t="s">
        <v>113</v>
      </c>
      <c r="N37" s="113">
        <v>9999</v>
      </c>
      <c r="O37" s="118" t="s">
        <v>111</v>
      </c>
      <c r="P37" s="114" t="s">
        <v>81</v>
      </c>
      <c r="Q37" s="114" t="s">
        <v>112</v>
      </c>
      <c r="R37" s="115" t="str">
        <f t="shared" si="0"/>
        <v>58</v>
      </c>
      <c r="S37" s="112">
        <v>580301</v>
      </c>
      <c r="T37" s="122" t="e">
        <f>VLOOKUP(S37,ITEM!$C$1:$D$156,2,FALSE)</f>
        <v>#N/A</v>
      </c>
      <c r="U37" s="112" t="s">
        <v>83</v>
      </c>
      <c r="V37" s="114" t="s">
        <v>82</v>
      </c>
      <c r="W37" s="114" t="s">
        <v>84</v>
      </c>
      <c r="X37" s="114" t="s">
        <v>84</v>
      </c>
      <c r="Y37" s="224" t="e">
        <f>'Matriz POA 2024-TRABAJO'!#REF!</f>
        <v>#REF!</v>
      </c>
      <c r="Z37" s="224" t="e">
        <f>'Matriz POA 2024-TRABAJO'!#REF!</f>
        <v>#REF!</v>
      </c>
      <c r="AA37" s="224" t="e">
        <f>'Matriz POA 2024-TRABAJO'!#REF!</f>
        <v>#REF!</v>
      </c>
      <c r="AB37" s="279">
        <v>0</v>
      </c>
      <c r="AC37" s="279">
        <v>0</v>
      </c>
      <c r="AD37" s="279">
        <v>0</v>
      </c>
      <c r="AE37" s="279">
        <v>45000</v>
      </c>
      <c r="AF37" s="279">
        <v>0</v>
      </c>
      <c r="AG37" s="279">
        <v>0</v>
      </c>
      <c r="AH37" s="279">
        <v>0</v>
      </c>
      <c r="AI37" s="279">
        <v>0</v>
      </c>
      <c r="AJ37" s="279">
        <v>0</v>
      </c>
      <c r="AK37" s="279">
        <v>0</v>
      </c>
      <c r="AL37" s="279">
        <v>0</v>
      </c>
      <c r="AM37" s="279">
        <v>0</v>
      </c>
      <c r="AN37" s="224" t="e">
        <f>SUM(#REF!)</f>
        <v>#REF!</v>
      </c>
      <c r="AO37" s="224">
        <f t="shared" si="1"/>
        <v>45000</v>
      </c>
      <c r="AP37" s="224" t="e">
        <f t="shared" si="7"/>
        <v>#REF!</v>
      </c>
      <c r="AQ37" s="224">
        <v>9999999991</v>
      </c>
      <c r="AR37" s="224" t="s">
        <v>114</v>
      </c>
      <c r="AS37" s="224">
        <v>7720</v>
      </c>
      <c r="AT37" s="224" t="str">
        <f>IFERROR(VLOOKUP($A37,'Constancias POA'!$A$2:$DH$9993,17,FALSE),"")</f>
        <v/>
      </c>
      <c r="AU37" s="224" t="str">
        <f t="shared" si="2"/>
        <v/>
      </c>
      <c r="AV37" s="224" t="str">
        <f>IFERROR(VLOOKUP($A37,CP!$A$1:$U$7992,18,FALSE),"")</f>
        <v/>
      </c>
      <c r="AW37" s="224" t="str">
        <f>IFERROR(VLOOKUP($A37,CP!$A$1:$U$7992,19,FALSE),"")</f>
        <v/>
      </c>
      <c r="AX37" s="224" t="str">
        <f>IFERROR(VLOOKUP($A37,CP!$A$1:$U$7992,20,FALSE),"")</f>
        <v/>
      </c>
      <c r="AY37" s="224" t="str">
        <f>IFERROR(VLOOKUP($A37,CP!$A$1:$U$1,21,FALSE),"")</f>
        <v/>
      </c>
      <c r="AZ37" s="224" t="str">
        <f>IFERROR(VLOOKUP(A37,Devengado!$A$1:AJ1,35,FALSE),"")</f>
        <v/>
      </c>
      <c r="BA37" s="224" t="str">
        <f t="shared" si="3"/>
        <v/>
      </c>
      <c r="BB37" s="224" t="str">
        <f>IFERROR(AZ37/#REF!,"")</f>
        <v/>
      </c>
      <c r="BC37" s="224" t="str">
        <f>IFERROR(VLOOKUP($A37,Devengado!$A$1:$AI$1,22,FALSE),"")</f>
        <v/>
      </c>
      <c r="BD37" s="224" t="str">
        <f>IFERROR(VLOOKUP($A37,Devengado!$A$1:$AI$1,23,FALSE),"")</f>
        <v/>
      </c>
      <c r="BE37" s="224" t="str">
        <f>IFERROR(VLOOKUP($A37,Devengado!$A$1:$AI$1,24,FALSE),"")</f>
        <v/>
      </c>
      <c r="BF37" s="224" t="str">
        <f>IFERROR(VLOOKUP($A37,Devengado!$A$1:$AI$1,25,FALSE),"")</f>
        <v/>
      </c>
      <c r="BG37" s="224" t="str">
        <f>IFERROR(VLOOKUP($A37,Devengado!$A$1:$AI$1,26,FALSE),"")</f>
        <v/>
      </c>
      <c r="BH37" s="224" t="str">
        <f>IFERROR(VLOOKUP($A37,Devengado!$A$1:$AI$1,27,FALSE),"")</f>
        <v/>
      </c>
      <c r="BI37" s="224" t="str">
        <f>IFERROR(VLOOKUP($A37,Devengado!$A$1:$AI$1,28,FALSE),"")</f>
        <v/>
      </c>
      <c r="BJ37" s="224" t="str">
        <f>IFERROR(VLOOKUP($A37,Devengado!$A$1:$AI$1,29,FALSE),"")</f>
        <v/>
      </c>
      <c r="BK37" s="224" t="str">
        <f>IFERROR(VLOOKUP($A37,Devengado!$A$1:$AI$1,30,FALSE),"")</f>
        <v/>
      </c>
      <c r="BL37" s="224" t="str">
        <f>IFERROR(VLOOKUP($A37,Devengado!$A$1:$AI$1,31,FALSE),"")</f>
        <v/>
      </c>
      <c r="BM37" s="224" t="str">
        <f>IFERROR(VLOOKUP($A37,Devengado!$A$1:$AI$1,32,FALSE),"")</f>
        <v/>
      </c>
      <c r="BN37" s="224" t="str">
        <f>IFERROR(VLOOKUP($A37,Devengado!$A$1:$AI$1,33,FALSE),"")</f>
        <v/>
      </c>
      <c r="BO37" s="224">
        <f t="shared" si="4"/>
        <v>0</v>
      </c>
      <c r="BP37" s="224" t="str">
        <f t="shared" si="5"/>
        <v/>
      </c>
      <c r="BQ37" s="207"/>
      <c r="BR37" s="207" t="str">
        <f t="shared" si="6"/>
        <v>58</v>
      </c>
    </row>
    <row r="38" spans="1:70" s="225" customFormat="1" ht="25.5" customHeight="1">
      <c r="A38" s="207">
        <v>34</v>
      </c>
      <c r="B38" s="112" t="s">
        <v>73</v>
      </c>
      <c r="C38" s="112" t="s">
        <v>108</v>
      </c>
      <c r="D38" s="112" t="s">
        <v>109</v>
      </c>
      <c r="E38" s="112" t="s">
        <v>76</v>
      </c>
      <c r="F38" s="112" t="s">
        <v>77</v>
      </c>
      <c r="G38" s="112" t="s">
        <v>77</v>
      </c>
      <c r="H38" s="112" t="s">
        <v>77</v>
      </c>
      <c r="I38" s="112" t="s">
        <v>77</v>
      </c>
      <c r="J38" s="112" t="s">
        <v>77</v>
      </c>
      <c r="K38" s="112" t="s">
        <v>77</v>
      </c>
      <c r="L38" s="112" t="s">
        <v>85</v>
      </c>
      <c r="M38" s="112" t="s">
        <v>115</v>
      </c>
      <c r="N38" s="113">
        <v>9999</v>
      </c>
      <c r="O38" s="118" t="s">
        <v>111</v>
      </c>
      <c r="P38" s="114" t="s">
        <v>81</v>
      </c>
      <c r="Q38" s="114" t="s">
        <v>112</v>
      </c>
      <c r="R38" s="115" t="str">
        <f t="shared" si="0"/>
        <v>58</v>
      </c>
      <c r="S38" s="112">
        <v>580301</v>
      </c>
      <c r="T38" s="122" t="e">
        <f>VLOOKUP(S38,ITEM!$C$1:$D$156,2,FALSE)</f>
        <v>#N/A</v>
      </c>
      <c r="U38" s="112" t="s">
        <v>83</v>
      </c>
      <c r="V38" s="114" t="s">
        <v>82</v>
      </c>
      <c r="W38" s="114" t="s">
        <v>84</v>
      </c>
      <c r="X38" s="114" t="s">
        <v>84</v>
      </c>
      <c r="Y38" s="224" t="e">
        <f>'Matriz POA 2024-TRABAJO'!#REF!</f>
        <v>#REF!</v>
      </c>
      <c r="Z38" s="224" t="e">
        <f>'Matriz POA 2024-TRABAJO'!#REF!</f>
        <v>#REF!</v>
      </c>
      <c r="AA38" s="224" t="e">
        <f>'Matriz POA 2024-TRABAJO'!#REF!</f>
        <v>#REF!</v>
      </c>
      <c r="AB38" s="279">
        <v>0</v>
      </c>
      <c r="AC38" s="279">
        <v>0</v>
      </c>
      <c r="AD38" s="279">
        <v>0</v>
      </c>
      <c r="AE38" s="279">
        <v>30000</v>
      </c>
      <c r="AF38" s="279">
        <v>0</v>
      </c>
      <c r="AG38" s="279">
        <v>0</v>
      </c>
      <c r="AH38" s="279">
        <v>0</v>
      </c>
      <c r="AI38" s="279">
        <v>0</v>
      </c>
      <c r="AJ38" s="279">
        <v>0</v>
      </c>
      <c r="AK38" s="279">
        <v>0</v>
      </c>
      <c r="AL38" s="279">
        <v>0</v>
      </c>
      <c r="AM38" s="279">
        <v>0</v>
      </c>
      <c r="AN38" s="224" t="e">
        <f>SUM(#REF!)</f>
        <v>#REF!</v>
      </c>
      <c r="AO38" s="224">
        <f t="shared" si="1"/>
        <v>30000</v>
      </c>
      <c r="AP38" s="224" t="e">
        <f t="shared" si="7"/>
        <v>#REF!</v>
      </c>
      <c r="AQ38" s="224"/>
      <c r="AR38" s="224"/>
      <c r="AS38" s="224"/>
      <c r="AT38" s="224" t="str">
        <f>IFERROR(VLOOKUP($A38,'Constancias POA'!$A$2:$DH$9993,17,FALSE),"")</f>
        <v/>
      </c>
      <c r="AU38" s="224" t="str">
        <f t="shared" si="2"/>
        <v/>
      </c>
      <c r="AV38" s="224" t="str">
        <f>IFERROR(VLOOKUP($A38,CP!$A$1:$U$7992,18,FALSE),"")</f>
        <v/>
      </c>
      <c r="AW38" s="224" t="str">
        <f>IFERROR(VLOOKUP($A38,CP!$A$1:$U$7992,19,FALSE),"")</f>
        <v/>
      </c>
      <c r="AX38" s="224" t="str">
        <f>IFERROR(VLOOKUP($A38,CP!$A$1:$U$7992,20,FALSE),"")</f>
        <v/>
      </c>
      <c r="AY38" s="224" t="str">
        <f>IFERROR(VLOOKUP($A38,CP!$A$1:$U$1,21,FALSE),"")</f>
        <v/>
      </c>
      <c r="AZ38" s="224" t="str">
        <f>IFERROR(VLOOKUP(A38,Devengado!$A$1:AJ1,35,FALSE),"")</f>
        <v/>
      </c>
      <c r="BA38" s="224" t="str">
        <f t="shared" si="3"/>
        <v/>
      </c>
      <c r="BB38" s="224" t="str">
        <f>IFERROR(AZ38/#REF!,"")</f>
        <v/>
      </c>
      <c r="BC38" s="224" t="str">
        <f>IFERROR(VLOOKUP($A38,Devengado!$A$1:$AI$1,22,FALSE),"")</f>
        <v/>
      </c>
      <c r="BD38" s="224" t="str">
        <f>IFERROR(VLOOKUP($A38,Devengado!$A$1:$AI$1,23,FALSE),"")</f>
        <v/>
      </c>
      <c r="BE38" s="224" t="str">
        <f>IFERROR(VLOOKUP($A38,Devengado!$A$1:$AI$1,24,FALSE),"")</f>
        <v/>
      </c>
      <c r="BF38" s="224" t="str">
        <f>IFERROR(VLOOKUP($A38,Devengado!$A$1:$AI$1,25,FALSE),"")</f>
        <v/>
      </c>
      <c r="BG38" s="224" t="str">
        <f>IFERROR(VLOOKUP($A38,Devengado!$A$1:$AI$1,26,FALSE),"")</f>
        <v/>
      </c>
      <c r="BH38" s="224" t="str">
        <f>IFERROR(VLOOKUP($A38,Devengado!$A$1:$AI$1,27,FALSE),"")</f>
        <v/>
      </c>
      <c r="BI38" s="224" t="str">
        <f>IFERROR(VLOOKUP($A38,Devengado!$A$1:$AI$1,28,FALSE),"")</f>
        <v/>
      </c>
      <c r="BJ38" s="224" t="str">
        <f>IFERROR(VLOOKUP($A38,Devengado!$A$1:$AI$1,29,FALSE),"")</f>
        <v/>
      </c>
      <c r="BK38" s="224" t="str">
        <f>IFERROR(VLOOKUP($A38,Devengado!$A$1:$AI$1,30,FALSE),"")</f>
        <v/>
      </c>
      <c r="BL38" s="224" t="str">
        <f>IFERROR(VLOOKUP($A38,Devengado!$A$1:$AI$1,31,FALSE),"")</f>
        <v/>
      </c>
      <c r="BM38" s="224" t="str">
        <f>IFERROR(VLOOKUP($A38,Devengado!$A$1:$AI$1,32,FALSE),"")</f>
        <v/>
      </c>
      <c r="BN38" s="224" t="str">
        <f>IFERROR(VLOOKUP($A38,Devengado!$A$1:$AI$1,33,FALSE),"")</f>
        <v/>
      </c>
      <c r="BO38" s="224">
        <f t="shared" si="4"/>
        <v>0</v>
      </c>
      <c r="BP38" s="224" t="str">
        <f t="shared" si="5"/>
        <v/>
      </c>
      <c r="BQ38" s="207"/>
      <c r="BR38" s="207" t="str">
        <f t="shared" si="6"/>
        <v>58</v>
      </c>
    </row>
    <row r="39" spans="1:70" s="225" customFormat="1" ht="25.5" customHeight="1">
      <c r="A39" s="207">
        <v>35</v>
      </c>
      <c r="B39" s="112" t="s">
        <v>73</v>
      </c>
      <c r="C39" s="112" t="s">
        <v>108</v>
      </c>
      <c r="D39" s="112" t="s">
        <v>109</v>
      </c>
      <c r="E39" s="112" t="s">
        <v>76</v>
      </c>
      <c r="F39" s="112" t="s">
        <v>77</v>
      </c>
      <c r="G39" s="112" t="s">
        <v>77</v>
      </c>
      <c r="H39" s="112" t="s">
        <v>77</v>
      </c>
      <c r="I39" s="112" t="s">
        <v>77</v>
      </c>
      <c r="J39" s="112" t="s">
        <v>77</v>
      </c>
      <c r="K39" s="112" t="s">
        <v>77</v>
      </c>
      <c r="L39" s="112" t="s">
        <v>85</v>
      </c>
      <c r="M39" s="112" t="s">
        <v>116</v>
      </c>
      <c r="N39" s="113">
        <v>9999</v>
      </c>
      <c r="O39" s="118" t="s">
        <v>111</v>
      </c>
      <c r="P39" s="114" t="s">
        <v>81</v>
      </c>
      <c r="Q39" s="114" t="s">
        <v>112</v>
      </c>
      <c r="R39" s="115" t="str">
        <f t="shared" si="0"/>
        <v>58</v>
      </c>
      <c r="S39" s="112">
        <v>580301</v>
      </c>
      <c r="T39" s="122" t="e">
        <f>VLOOKUP(S39,ITEM!$C$1:$D$156,2,FALSE)</f>
        <v>#N/A</v>
      </c>
      <c r="U39" s="112" t="s">
        <v>83</v>
      </c>
      <c r="V39" s="114" t="s">
        <v>82</v>
      </c>
      <c r="W39" s="114" t="s">
        <v>84</v>
      </c>
      <c r="X39" s="114" t="s">
        <v>84</v>
      </c>
      <c r="Y39" s="224" t="e">
        <f>'Matriz POA 2024-TRABAJO'!#REF!</f>
        <v>#REF!</v>
      </c>
      <c r="Z39" s="224" t="e">
        <f>'Matriz POA 2024-TRABAJO'!#REF!</f>
        <v>#REF!</v>
      </c>
      <c r="AA39" s="224" t="e">
        <f>'Matriz POA 2024-TRABAJO'!#REF!</f>
        <v>#REF!</v>
      </c>
      <c r="AB39" s="279"/>
      <c r="AC39" s="279"/>
      <c r="AD39" s="279"/>
      <c r="AE39" s="279">
        <v>7280</v>
      </c>
      <c r="AF39" s="279"/>
      <c r="AG39" s="279"/>
      <c r="AH39" s="279"/>
      <c r="AI39" s="279"/>
      <c r="AJ39" s="279"/>
      <c r="AK39" s="279"/>
      <c r="AL39" s="279"/>
      <c r="AM39" s="279"/>
      <c r="AN39" s="224" t="e">
        <f>SUM(#REF!)</f>
        <v>#REF!</v>
      </c>
      <c r="AO39" s="224">
        <f t="shared" si="1"/>
        <v>7280</v>
      </c>
      <c r="AP39" s="224" t="e">
        <f t="shared" si="7"/>
        <v>#REF!</v>
      </c>
      <c r="AQ39" s="224" t="s">
        <v>117</v>
      </c>
      <c r="AR39" s="224" t="s">
        <v>118</v>
      </c>
      <c r="AS39" s="224">
        <v>7720</v>
      </c>
      <c r="AT39" s="224" t="str">
        <f>IFERROR(VLOOKUP($A39,'Constancias POA'!$A$2:$DH$9993,17,FALSE),"")</f>
        <v/>
      </c>
      <c r="AU39" s="224" t="str">
        <f t="shared" si="2"/>
        <v/>
      </c>
      <c r="AV39" s="224" t="str">
        <f>IFERROR(VLOOKUP($A39,CP!$A$1:$U$7992,18,FALSE),"")</f>
        <v/>
      </c>
      <c r="AW39" s="224" t="str">
        <f>IFERROR(VLOOKUP($A39,CP!$A$1:$U$7992,19,FALSE),"")</f>
        <v/>
      </c>
      <c r="AX39" s="224" t="str">
        <f>IFERROR(VLOOKUP($A39,CP!$A$1:$U$7992,20,FALSE),"")</f>
        <v/>
      </c>
      <c r="AY39" s="224" t="str">
        <f>IFERROR(VLOOKUP($A39,CP!$A$1:$U$1,21,FALSE),"")</f>
        <v/>
      </c>
      <c r="AZ39" s="224" t="str">
        <f>IFERROR(VLOOKUP(A39,Devengado!$A$1:AJ1,35,FALSE),"")</f>
        <v/>
      </c>
      <c r="BA39" s="224" t="str">
        <f t="shared" si="3"/>
        <v/>
      </c>
      <c r="BB39" s="224" t="str">
        <f>IFERROR(AZ39/#REF!,"")</f>
        <v/>
      </c>
      <c r="BC39" s="224" t="str">
        <f>IFERROR(VLOOKUP($A39,Devengado!$A$1:$AI$1,22,FALSE),"")</f>
        <v/>
      </c>
      <c r="BD39" s="224" t="str">
        <f>IFERROR(VLOOKUP($A39,Devengado!$A$1:$AI$1,23,FALSE),"")</f>
        <v/>
      </c>
      <c r="BE39" s="224" t="str">
        <f>IFERROR(VLOOKUP($A39,Devengado!$A$1:$AI$1,24,FALSE),"")</f>
        <v/>
      </c>
      <c r="BF39" s="224" t="str">
        <f>IFERROR(VLOOKUP($A39,Devengado!$A$1:$AI$1,25,FALSE),"")</f>
        <v/>
      </c>
      <c r="BG39" s="224" t="str">
        <f>IFERROR(VLOOKUP($A39,Devengado!$A$1:$AI$1,26,FALSE),"")</f>
        <v/>
      </c>
      <c r="BH39" s="224" t="str">
        <f>IFERROR(VLOOKUP($A39,Devengado!$A$1:$AI$1,27,FALSE),"")</f>
        <v/>
      </c>
      <c r="BI39" s="224" t="str">
        <f>IFERROR(VLOOKUP($A39,Devengado!$A$1:$AI$1,28,FALSE),"")</f>
        <v/>
      </c>
      <c r="BJ39" s="224" t="str">
        <f>IFERROR(VLOOKUP($A39,Devengado!$A$1:$AI$1,29,FALSE),"")</f>
        <v/>
      </c>
      <c r="BK39" s="224" t="str">
        <f>IFERROR(VLOOKUP($A39,Devengado!$A$1:$AI$1,30,FALSE),"")</f>
        <v/>
      </c>
      <c r="BL39" s="224" t="str">
        <f>IFERROR(VLOOKUP($A39,Devengado!$A$1:$AI$1,31,FALSE),"")</f>
        <v/>
      </c>
      <c r="BM39" s="224" t="str">
        <f>IFERROR(VLOOKUP($A39,Devengado!$A$1:$AI$1,32,FALSE),"")</f>
        <v/>
      </c>
      <c r="BN39" s="224" t="str">
        <f>IFERROR(VLOOKUP($A39,Devengado!$A$1:$AI$1,33,FALSE),"")</f>
        <v/>
      </c>
      <c r="BO39" s="224">
        <f t="shared" si="4"/>
        <v>0</v>
      </c>
      <c r="BP39" s="224" t="str">
        <f t="shared" si="5"/>
        <v/>
      </c>
      <c r="BQ39" s="207"/>
      <c r="BR39" s="207" t="str">
        <f t="shared" si="6"/>
        <v>58</v>
      </c>
    </row>
    <row r="40" spans="1:70" s="225" customFormat="1" ht="25.5" customHeight="1">
      <c r="A40" s="207">
        <v>36</v>
      </c>
      <c r="B40" s="112" t="s">
        <v>73</v>
      </c>
      <c r="C40" s="112" t="s">
        <v>108</v>
      </c>
      <c r="D40" s="112" t="s">
        <v>109</v>
      </c>
      <c r="E40" s="112" t="s">
        <v>76</v>
      </c>
      <c r="F40" s="112" t="s">
        <v>77</v>
      </c>
      <c r="G40" s="112" t="s">
        <v>77</v>
      </c>
      <c r="H40" s="112" t="s">
        <v>77</v>
      </c>
      <c r="I40" s="112" t="s">
        <v>77</v>
      </c>
      <c r="J40" s="112" t="s">
        <v>77</v>
      </c>
      <c r="K40" s="112" t="s">
        <v>77</v>
      </c>
      <c r="L40" s="112" t="s">
        <v>85</v>
      </c>
      <c r="M40" s="112" t="s">
        <v>119</v>
      </c>
      <c r="N40" s="113">
        <v>9999</v>
      </c>
      <c r="O40" s="118" t="s">
        <v>111</v>
      </c>
      <c r="P40" s="114" t="s">
        <v>81</v>
      </c>
      <c r="Q40" s="114" t="s">
        <v>112</v>
      </c>
      <c r="R40" s="115" t="str">
        <f t="shared" si="0"/>
        <v>53</v>
      </c>
      <c r="S40" s="112">
        <v>530601</v>
      </c>
      <c r="T40" s="122" t="str">
        <f>VLOOKUP(S40,ITEM!$C$1:$D$156,2,FALSE)</f>
        <v>Consultoría, Asesoría e Investigación Especializada</v>
      </c>
      <c r="U40" s="112" t="s">
        <v>83</v>
      </c>
      <c r="V40" s="114" t="s">
        <v>82</v>
      </c>
      <c r="W40" s="114" t="s">
        <v>84</v>
      </c>
      <c r="X40" s="114" t="s">
        <v>84</v>
      </c>
      <c r="Y40" s="224" t="e">
        <f>'Matriz POA 2024-TRABAJO'!#REF!</f>
        <v>#REF!</v>
      </c>
      <c r="Z40" s="224" t="e">
        <f>'Matriz POA 2024-TRABAJO'!#REF!</f>
        <v>#REF!</v>
      </c>
      <c r="AA40" s="224" t="e">
        <f>'Matriz POA 2024-TRABAJO'!#REF!</f>
        <v>#REF!</v>
      </c>
      <c r="AB40" s="279">
        <v>0</v>
      </c>
      <c r="AC40" s="279">
        <v>0</v>
      </c>
      <c r="AD40" s="279">
        <v>0</v>
      </c>
      <c r="AE40" s="279">
        <v>0</v>
      </c>
      <c r="AF40" s="279">
        <v>0</v>
      </c>
      <c r="AG40" s="279">
        <v>0</v>
      </c>
      <c r="AH40" s="279">
        <v>0</v>
      </c>
      <c r="AI40" s="279">
        <v>0</v>
      </c>
      <c r="AJ40" s="279">
        <v>0</v>
      </c>
      <c r="AK40" s="279">
        <v>0</v>
      </c>
      <c r="AL40" s="279">
        <v>0</v>
      </c>
      <c r="AM40" s="279">
        <v>0</v>
      </c>
      <c r="AN40" s="224" t="e">
        <f>SUM(#REF!)</f>
        <v>#REF!</v>
      </c>
      <c r="AO40" s="224">
        <f t="shared" si="1"/>
        <v>0</v>
      </c>
      <c r="AP40" s="224" t="e">
        <f t="shared" si="7"/>
        <v>#REF!</v>
      </c>
      <c r="AQ40" s="224"/>
      <c r="AR40" s="224"/>
      <c r="AS40" s="224"/>
      <c r="AT40" s="224" t="str">
        <f>IFERROR(VLOOKUP($A40,'Constancias POA'!$A$2:$DH$9993,17,FALSE),"")</f>
        <v/>
      </c>
      <c r="AU40" s="224" t="str">
        <f t="shared" si="2"/>
        <v/>
      </c>
      <c r="AV40" s="224" t="str">
        <f>IFERROR(VLOOKUP($A40,CP!$A$1:$U$7992,18,FALSE),"")</f>
        <v/>
      </c>
      <c r="AW40" s="224" t="str">
        <f>IFERROR(VLOOKUP($A40,CP!$A$1:$U$7992,19,FALSE),"")</f>
        <v/>
      </c>
      <c r="AX40" s="224" t="str">
        <f>IFERROR(VLOOKUP($A40,CP!$A$1:$U$7992,20,FALSE),"")</f>
        <v/>
      </c>
      <c r="AY40" s="224" t="str">
        <f>IFERROR(VLOOKUP($A40,CP!$A$1:$U$1,21,FALSE),"")</f>
        <v/>
      </c>
      <c r="AZ40" s="224" t="str">
        <f>IFERROR(VLOOKUP(A40,Devengado!$A$1:AJ1,35,FALSE),"")</f>
        <v/>
      </c>
      <c r="BA40" s="224" t="str">
        <f t="shared" si="3"/>
        <v/>
      </c>
      <c r="BB40" s="224" t="str">
        <f>IFERROR(AZ40/#REF!,"")</f>
        <v/>
      </c>
      <c r="BC40" s="224" t="str">
        <f>IFERROR(VLOOKUP($A40,Devengado!$A$1:$AI$1,22,FALSE),"")</f>
        <v/>
      </c>
      <c r="BD40" s="224" t="str">
        <f>IFERROR(VLOOKUP($A40,Devengado!$A$1:$AI$1,23,FALSE),"")</f>
        <v/>
      </c>
      <c r="BE40" s="224" t="str">
        <f>IFERROR(VLOOKUP($A40,Devengado!$A$1:$AI$1,24,FALSE),"")</f>
        <v/>
      </c>
      <c r="BF40" s="224" t="str">
        <f>IFERROR(VLOOKUP($A40,Devengado!$A$1:$AI$1,25,FALSE),"")</f>
        <v/>
      </c>
      <c r="BG40" s="224" t="str">
        <f>IFERROR(VLOOKUP($A40,Devengado!$A$1:$AI$1,26,FALSE),"")</f>
        <v/>
      </c>
      <c r="BH40" s="224" t="str">
        <f>IFERROR(VLOOKUP($A40,Devengado!$A$1:$AI$1,27,FALSE),"")</f>
        <v/>
      </c>
      <c r="BI40" s="224" t="str">
        <f>IFERROR(VLOOKUP($A40,Devengado!$A$1:$AI$1,28,FALSE),"")</f>
        <v/>
      </c>
      <c r="BJ40" s="224" t="str">
        <f>IFERROR(VLOOKUP($A40,Devengado!$A$1:$AI$1,29,FALSE),"")</f>
        <v/>
      </c>
      <c r="BK40" s="224" t="str">
        <f>IFERROR(VLOOKUP($A40,Devengado!$A$1:$AI$1,30,FALSE),"")</f>
        <v/>
      </c>
      <c r="BL40" s="224" t="str">
        <f>IFERROR(VLOOKUP($A40,Devengado!$A$1:$AI$1,31,FALSE),"")</f>
        <v/>
      </c>
      <c r="BM40" s="224" t="str">
        <f>IFERROR(VLOOKUP($A40,Devengado!$A$1:$AI$1,32,FALSE),"")</f>
        <v/>
      </c>
      <c r="BN40" s="224" t="str">
        <f>IFERROR(VLOOKUP($A40,Devengado!$A$1:$AI$1,33,FALSE),"")</f>
        <v/>
      </c>
      <c r="BO40" s="224">
        <f t="shared" si="4"/>
        <v>0</v>
      </c>
      <c r="BP40" s="224" t="str">
        <f t="shared" si="5"/>
        <v/>
      </c>
      <c r="BQ40" s="207"/>
      <c r="BR40" s="207" t="str">
        <f t="shared" si="6"/>
        <v>53</v>
      </c>
    </row>
    <row r="41" spans="1:70" s="225" customFormat="1" ht="25.5" customHeight="1">
      <c r="A41" s="207">
        <v>37</v>
      </c>
      <c r="B41" s="112" t="s">
        <v>73</v>
      </c>
      <c r="C41" s="112" t="s">
        <v>108</v>
      </c>
      <c r="D41" s="112" t="s">
        <v>109</v>
      </c>
      <c r="E41" s="112" t="s">
        <v>76</v>
      </c>
      <c r="F41" s="112" t="s">
        <v>77</v>
      </c>
      <c r="G41" s="112" t="s">
        <v>77</v>
      </c>
      <c r="H41" s="112" t="s">
        <v>77</v>
      </c>
      <c r="I41" s="112" t="s">
        <v>77</v>
      </c>
      <c r="J41" s="112" t="s">
        <v>77</v>
      </c>
      <c r="K41" s="112" t="s">
        <v>77</v>
      </c>
      <c r="L41" s="112" t="s">
        <v>85</v>
      </c>
      <c r="M41" s="112" t="s">
        <v>120</v>
      </c>
      <c r="N41" s="113">
        <v>9999</v>
      </c>
      <c r="O41" s="114" t="s">
        <v>111</v>
      </c>
      <c r="P41" s="114" t="s">
        <v>81</v>
      </c>
      <c r="Q41" s="114" t="s">
        <v>112</v>
      </c>
      <c r="R41" s="115" t="str">
        <f t="shared" si="0"/>
        <v>53</v>
      </c>
      <c r="S41" s="112">
        <v>530606</v>
      </c>
      <c r="T41" s="122" t="str">
        <f>VLOOKUP(S41,ITEM!$C$1:$D$156,2,FALSE)</f>
        <v>Honorarios por Contratos Civiles de Servicios</v>
      </c>
      <c r="U41" s="112" t="s">
        <v>83</v>
      </c>
      <c r="V41" s="112" t="s">
        <v>82</v>
      </c>
      <c r="W41" s="112" t="s">
        <v>84</v>
      </c>
      <c r="X41" s="112" t="s">
        <v>84</v>
      </c>
      <c r="Y41" s="224" t="e">
        <f>'Matriz POA 2024-TRABAJO'!#REF!</f>
        <v>#REF!</v>
      </c>
      <c r="Z41" s="224" t="e">
        <f>'Matriz POA 2024-TRABAJO'!#REF!</f>
        <v>#REF!</v>
      </c>
      <c r="AA41" s="224" t="e">
        <f>'Matriz POA 2024-TRABAJO'!#REF!</f>
        <v>#REF!</v>
      </c>
      <c r="AB41" s="279">
        <v>0</v>
      </c>
      <c r="AC41" s="279">
        <v>0</v>
      </c>
      <c r="AD41" s="279">
        <v>0</v>
      </c>
      <c r="AE41" s="279">
        <v>0</v>
      </c>
      <c r="AF41" s="279">
        <v>0</v>
      </c>
      <c r="AG41" s="279">
        <v>0</v>
      </c>
      <c r="AH41" s="279">
        <v>0</v>
      </c>
      <c r="AI41" s="279">
        <v>0</v>
      </c>
      <c r="AJ41" s="279">
        <v>0</v>
      </c>
      <c r="AK41" s="279">
        <v>0</v>
      </c>
      <c r="AL41" s="279">
        <v>0</v>
      </c>
      <c r="AM41" s="279">
        <v>0</v>
      </c>
      <c r="AN41" s="224" t="e">
        <f>SUM(#REF!)</f>
        <v>#REF!</v>
      </c>
      <c r="AO41" s="224">
        <f t="shared" si="1"/>
        <v>0</v>
      </c>
      <c r="AP41" s="224" t="e">
        <f t="shared" si="7"/>
        <v>#REF!</v>
      </c>
      <c r="AQ41" s="224"/>
      <c r="AR41" s="224"/>
      <c r="AS41" s="224"/>
      <c r="AT41" s="224" t="str">
        <f>IFERROR(VLOOKUP($A41,'Constancias POA'!$A$2:$DH$9993,17,FALSE),"")</f>
        <v/>
      </c>
      <c r="AU41" s="224" t="str">
        <f t="shared" si="2"/>
        <v/>
      </c>
      <c r="AV41" s="224" t="str">
        <f>IFERROR(VLOOKUP($A41,CP!$A$1:$U$7992,18,FALSE),"")</f>
        <v/>
      </c>
      <c r="AW41" s="224" t="str">
        <f>IFERROR(VLOOKUP($A41,CP!$A$1:$U$7992,19,FALSE),"")</f>
        <v/>
      </c>
      <c r="AX41" s="224" t="str">
        <f>IFERROR(VLOOKUP($A41,CP!$A$1:$U$7992,20,FALSE),"")</f>
        <v/>
      </c>
      <c r="AY41" s="224" t="str">
        <f>IFERROR(VLOOKUP($A41,CP!$A$1:$U$1,21,FALSE),"")</f>
        <v/>
      </c>
      <c r="AZ41" s="224" t="str">
        <f>IFERROR(VLOOKUP(A41,Devengado!$A$1:AJ1,35,FALSE),"")</f>
        <v/>
      </c>
      <c r="BA41" s="224" t="str">
        <f t="shared" si="3"/>
        <v/>
      </c>
      <c r="BB41" s="224" t="str">
        <f>IFERROR(AZ41/#REF!,"")</f>
        <v/>
      </c>
      <c r="BC41" s="224" t="str">
        <f>IFERROR(VLOOKUP($A41,Devengado!$A$1:$AI$1,22,FALSE),"")</f>
        <v/>
      </c>
      <c r="BD41" s="224" t="str">
        <f>IFERROR(VLOOKUP($A41,Devengado!$A$1:$AI$1,23,FALSE),"")</f>
        <v/>
      </c>
      <c r="BE41" s="224" t="str">
        <f>IFERROR(VLOOKUP($A41,Devengado!$A$1:$AI$1,24,FALSE),"")</f>
        <v/>
      </c>
      <c r="BF41" s="224" t="str">
        <f>IFERROR(VLOOKUP($A41,Devengado!$A$1:$AI$1,25,FALSE),"")</f>
        <v/>
      </c>
      <c r="BG41" s="224" t="str">
        <f>IFERROR(VLOOKUP($A41,Devengado!$A$1:$AI$1,26,FALSE),"")</f>
        <v/>
      </c>
      <c r="BH41" s="224" t="str">
        <f>IFERROR(VLOOKUP($A41,Devengado!$A$1:$AI$1,27,FALSE),"")</f>
        <v/>
      </c>
      <c r="BI41" s="224" t="str">
        <f>IFERROR(VLOOKUP($A41,Devengado!$A$1:$AI$1,28,FALSE),"")</f>
        <v/>
      </c>
      <c r="BJ41" s="224" t="str">
        <f>IFERROR(VLOOKUP($A41,Devengado!$A$1:$AI$1,29,FALSE),"")</f>
        <v/>
      </c>
      <c r="BK41" s="224" t="str">
        <f>IFERROR(VLOOKUP($A41,Devengado!$A$1:$AI$1,30,FALSE),"")</f>
        <v/>
      </c>
      <c r="BL41" s="224" t="str">
        <f>IFERROR(VLOOKUP($A41,Devengado!$A$1:$AI$1,31,FALSE),"")</f>
        <v/>
      </c>
      <c r="BM41" s="224" t="str">
        <f>IFERROR(VLOOKUP($A41,Devengado!$A$1:$AI$1,32,FALSE),"")</f>
        <v/>
      </c>
      <c r="BN41" s="224" t="str">
        <f>IFERROR(VLOOKUP($A41,Devengado!$A$1:$AI$1,33,FALSE),"")</f>
        <v/>
      </c>
      <c r="BO41" s="224">
        <f t="shared" si="4"/>
        <v>0</v>
      </c>
      <c r="BP41" s="224" t="str">
        <f t="shared" si="5"/>
        <v/>
      </c>
      <c r="BQ41" s="207"/>
      <c r="BR41" s="207" t="str">
        <f t="shared" si="6"/>
        <v>53</v>
      </c>
    </row>
    <row r="42" spans="1:70" s="225" customFormat="1" ht="25.5" customHeight="1">
      <c r="A42" s="207">
        <v>38</v>
      </c>
      <c r="B42" s="112" t="s">
        <v>73</v>
      </c>
      <c r="C42" s="112" t="s">
        <v>108</v>
      </c>
      <c r="D42" s="112" t="s">
        <v>109</v>
      </c>
      <c r="E42" s="112" t="s">
        <v>76</v>
      </c>
      <c r="F42" s="112" t="s">
        <v>77</v>
      </c>
      <c r="G42" s="112" t="s">
        <v>77</v>
      </c>
      <c r="H42" s="112" t="s">
        <v>77</v>
      </c>
      <c r="I42" s="112" t="s">
        <v>77</v>
      </c>
      <c r="J42" s="112" t="s">
        <v>77</v>
      </c>
      <c r="K42" s="112" t="s">
        <v>77</v>
      </c>
      <c r="L42" s="112" t="s">
        <v>85</v>
      </c>
      <c r="M42" s="112" t="s">
        <v>121</v>
      </c>
      <c r="N42" s="113">
        <v>9999</v>
      </c>
      <c r="O42" s="114" t="s">
        <v>111</v>
      </c>
      <c r="P42" s="118" t="s">
        <v>81</v>
      </c>
      <c r="Q42" s="114" t="s">
        <v>112</v>
      </c>
      <c r="R42" s="115" t="str">
        <f t="shared" si="0"/>
        <v>53</v>
      </c>
      <c r="S42" s="112">
        <v>530601</v>
      </c>
      <c r="T42" s="122" t="str">
        <f>VLOOKUP(S42,ITEM!$C$1:$D$156,2,FALSE)</f>
        <v>Consultoría, Asesoría e Investigación Especializada</v>
      </c>
      <c r="U42" s="113" t="s">
        <v>83</v>
      </c>
      <c r="V42" s="114" t="s">
        <v>82</v>
      </c>
      <c r="W42" s="118" t="s">
        <v>84</v>
      </c>
      <c r="X42" s="118" t="s">
        <v>84</v>
      </c>
      <c r="Y42" s="224" t="e">
        <f>'Matriz POA 2024-TRABAJO'!#REF!</f>
        <v>#REF!</v>
      </c>
      <c r="Z42" s="224" t="e">
        <f>'Matriz POA 2024-TRABAJO'!#REF!</f>
        <v>#REF!</v>
      </c>
      <c r="AA42" s="224" t="e">
        <f>'Matriz POA 2024-TRABAJO'!#REF!</f>
        <v>#REF!</v>
      </c>
      <c r="AB42" s="279"/>
      <c r="AC42" s="279"/>
      <c r="AD42" s="279"/>
      <c r="AE42" s="279"/>
      <c r="AF42" s="279"/>
      <c r="AG42" s="279"/>
      <c r="AH42" s="279"/>
      <c r="AI42" s="279"/>
      <c r="AJ42" s="279"/>
      <c r="AK42" s="279"/>
      <c r="AL42" s="279"/>
      <c r="AM42" s="279">
        <v>0.4</v>
      </c>
      <c r="AN42" s="224" t="e">
        <f>SUM(#REF!)</f>
        <v>#REF!</v>
      </c>
      <c r="AO42" s="224">
        <f t="shared" si="1"/>
        <v>0.4</v>
      </c>
      <c r="AP42" s="224" t="e">
        <f t="shared" si="7"/>
        <v>#REF!</v>
      </c>
      <c r="AQ42" s="224"/>
      <c r="AR42" s="224"/>
      <c r="AS42" s="224"/>
      <c r="AT42" s="224" t="str">
        <f>IFERROR(VLOOKUP($A42,'Constancias POA'!$A$2:$DH$9993,17,FALSE),"")</f>
        <v/>
      </c>
      <c r="AU42" s="224" t="str">
        <f t="shared" si="2"/>
        <v/>
      </c>
      <c r="AV42" s="224" t="str">
        <f>IFERROR(VLOOKUP($A42,CP!$A$1:$U$7992,18,FALSE),"")</f>
        <v/>
      </c>
      <c r="AW42" s="224" t="str">
        <f>IFERROR(VLOOKUP($A42,CP!$A$1:$U$7992,19,FALSE),"")</f>
        <v/>
      </c>
      <c r="AX42" s="224" t="str">
        <f>IFERROR(VLOOKUP($A42,CP!$A$1:$U$7992,20,FALSE),"")</f>
        <v/>
      </c>
      <c r="AY42" s="224" t="str">
        <f>IFERROR(VLOOKUP($A42,CP!$A$1:$U$1,21,FALSE),"")</f>
        <v/>
      </c>
      <c r="AZ42" s="224" t="str">
        <f>IFERROR(VLOOKUP(A42,Devengado!$A$1:AJ1,35,FALSE),"")</f>
        <v/>
      </c>
      <c r="BA42" s="224" t="str">
        <f t="shared" si="3"/>
        <v/>
      </c>
      <c r="BB42" s="224" t="str">
        <f>IFERROR(AZ42/#REF!,"")</f>
        <v/>
      </c>
      <c r="BC42" s="224" t="str">
        <f>IFERROR(VLOOKUP($A42,Devengado!$A$1:$AI$1,22,FALSE),"")</f>
        <v/>
      </c>
      <c r="BD42" s="224" t="str">
        <f>IFERROR(VLOOKUP($A42,Devengado!$A$1:$AI$1,23,FALSE),"")</f>
        <v/>
      </c>
      <c r="BE42" s="224" t="str">
        <f>IFERROR(VLOOKUP($A42,Devengado!$A$1:$AI$1,24,FALSE),"")</f>
        <v/>
      </c>
      <c r="BF42" s="224" t="str">
        <f>IFERROR(VLOOKUP($A42,Devengado!$A$1:$AI$1,25,FALSE),"")</f>
        <v/>
      </c>
      <c r="BG42" s="224" t="str">
        <f>IFERROR(VLOOKUP($A42,Devengado!$A$1:$AI$1,26,FALSE),"")</f>
        <v/>
      </c>
      <c r="BH42" s="224" t="str">
        <f>IFERROR(VLOOKUP($A42,Devengado!$A$1:$AI$1,27,FALSE),"")</f>
        <v/>
      </c>
      <c r="BI42" s="224" t="str">
        <f>IFERROR(VLOOKUP($A42,Devengado!$A$1:$AI$1,28,FALSE),"")</f>
        <v/>
      </c>
      <c r="BJ42" s="224" t="str">
        <f>IFERROR(VLOOKUP($A42,Devengado!$A$1:$AI$1,29,FALSE),"")</f>
        <v/>
      </c>
      <c r="BK42" s="224" t="str">
        <f>IFERROR(VLOOKUP($A42,Devengado!$A$1:$AI$1,30,FALSE),"")</f>
        <v/>
      </c>
      <c r="BL42" s="224" t="str">
        <f>IFERROR(VLOOKUP($A42,Devengado!$A$1:$AI$1,31,FALSE),"")</f>
        <v/>
      </c>
      <c r="BM42" s="224" t="str">
        <f>IFERROR(VLOOKUP($A42,Devengado!$A$1:$AI$1,32,FALSE),"")</f>
        <v/>
      </c>
      <c r="BN42" s="224" t="str">
        <f>IFERROR(VLOOKUP($A42,Devengado!$A$1:$AI$1,33,FALSE),"")</f>
        <v/>
      </c>
      <c r="BO42" s="224">
        <f t="shared" si="4"/>
        <v>0</v>
      </c>
      <c r="BP42" s="224" t="str">
        <f t="shared" si="5"/>
        <v/>
      </c>
      <c r="BQ42" s="207"/>
      <c r="BR42" s="207" t="str">
        <f t="shared" si="6"/>
        <v>53</v>
      </c>
    </row>
    <row r="43" spans="1:70" s="225" customFormat="1" ht="25.5" customHeight="1">
      <c r="A43" s="207">
        <v>39</v>
      </c>
      <c r="B43" s="112" t="s">
        <v>73</v>
      </c>
      <c r="C43" s="112" t="s">
        <v>108</v>
      </c>
      <c r="D43" s="112" t="s">
        <v>109</v>
      </c>
      <c r="E43" s="112" t="s">
        <v>76</v>
      </c>
      <c r="F43" s="112" t="s">
        <v>77</v>
      </c>
      <c r="G43" s="112" t="s">
        <v>77</v>
      </c>
      <c r="H43" s="112" t="s">
        <v>77</v>
      </c>
      <c r="I43" s="112" t="s">
        <v>77</v>
      </c>
      <c r="J43" s="112" t="s">
        <v>77</v>
      </c>
      <c r="K43" s="112" t="s">
        <v>77</v>
      </c>
      <c r="L43" s="112" t="s">
        <v>85</v>
      </c>
      <c r="M43" s="112" t="s">
        <v>122</v>
      </c>
      <c r="N43" s="112">
        <v>9999</v>
      </c>
      <c r="O43" s="114" t="s">
        <v>111</v>
      </c>
      <c r="P43" s="118" t="s">
        <v>81</v>
      </c>
      <c r="Q43" s="114" t="s">
        <v>112</v>
      </c>
      <c r="R43" s="115" t="str">
        <f t="shared" si="0"/>
        <v>53</v>
      </c>
      <c r="S43" s="112">
        <v>530303</v>
      </c>
      <c r="T43" s="122" t="str">
        <f>VLOOKUP(S43,ITEM!$C$1:$D$156,2,FALSE)</f>
        <v>Viáticos y Subsistencias en el Interior</v>
      </c>
      <c r="U43" s="113" t="s">
        <v>83</v>
      </c>
      <c r="V43" s="114" t="s">
        <v>82</v>
      </c>
      <c r="W43" s="118" t="s">
        <v>84</v>
      </c>
      <c r="X43" s="118" t="s">
        <v>84</v>
      </c>
      <c r="Y43" s="224" t="e">
        <f>'Matriz POA 2024-TRABAJO'!#REF!</f>
        <v>#REF!</v>
      </c>
      <c r="Z43" s="224" t="e">
        <f>'Matriz POA 2024-TRABAJO'!#REF!</f>
        <v>#REF!</v>
      </c>
      <c r="AA43" s="224" t="e">
        <f>'Matriz POA 2024-TRABAJO'!#REF!</f>
        <v>#REF!</v>
      </c>
      <c r="AB43" s="279">
        <v>0</v>
      </c>
      <c r="AC43" s="279">
        <v>0</v>
      </c>
      <c r="AD43" s="279">
        <v>0</v>
      </c>
      <c r="AE43" s="279">
        <v>0</v>
      </c>
      <c r="AF43" s="279">
        <v>0</v>
      </c>
      <c r="AG43" s="279">
        <v>0</v>
      </c>
      <c r="AH43" s="279">
        <v>0</v>
      </c>
      <c r="AI43" s="279">
        <v>0</v>
      </c>
      <c r="AJ43" s="279">
        <v>0</v>
      </c>
      <c r="AK43" s="279">
        <v>0</v>
      </c>
      <c r="AL43" s="279">
        <v>0</v>
      </c>
      <c r="AM43" s="279">
        <v>0</v>
      </c>
      <c r="AN43" s="224" t="e">
        <f>SUM(#REF!)</f>
        <v>#REF!</v>
      </c>
      <c r="AO43" s="224">
        <f t="shared" si="1"/>
        <v>0</v>
      </c>
      <c r="AP43" s="224" t="e">
        <f t="shared" si="7"/>
        <v>#REF!</v>
      </c>
      <c r="AQ43" s="224"/>
      <c r="AR43" s="224"/>
      <c r="AS43" s="224"/>
      <c r="AT43" s="224" t="str">
        <f>IFERROR(VLOOKUP($A43,'Constancias POA'!$A$2:$DH$9993,17,FALSE),"")</f>
        <v/>
      </c>
      <c r="AU43" s="224" t="str">
        <f t="shared" si="2"/>
        <v/>
      </c>
      <c r="AV43" s="224" t="str">
        <f>IFERROR(VLOOKUP($A43,CP!$A$1:$U$7992,18,FALSE),"")</f>
        <v/>
      </c>
      <c r="AW43" s="224" t="str">
        <f>IFERROR(VLOOKUP($A43,CP!$A$1:$U$7992,19,FALSE),"")</f>
        <v/>
      </c>
      <c r="AX43" s="224" t="str">
        <f>IFERROR(VLOOKUP($A43,CP!$A$1:$U$7992,20,FALSE),"")</f>
        <v/>
      </c>
      <c r="AY43" s="224" t="str">
        <f>IFERROR(VLOOKUP($A43,CP!$A$1:$U$1,21,FALSE),"")</f>
        <v/>
      </c>
      <c r="AZ43" s="224" t="str">
        <f>IFERROR(VLOOKUP(A43,Devengado!$A$1:AJ1,35,FALSE),"")</f>
        <v/>
      </c>
      <c r="BA43" s="224" t="str">
        <f t="shared" si="3"/>
        <v/>
      </c>
      <c r="BB43" s="224" t="str">
        <f>IFERROR(AZ43/#REF!,"")</f>
        <v/>
      </c>
      <c r="BC43" s="224" t="str">
        <f>IFERROR(VLOOKUP($A43,Devengado!$A$1:$AI$1,22,FALSE),"")</f>
        <v/>
      </c>
      <c r="BD43" s="224" t="str">
        <f>IFERROR(VLOOKUP($A43,Devengado!$A$1:$AI$1,23,FALSE),"")</f>
        <v/>
      </c>
      <c r="BE43" s="224" t="str">
        <f>IFERROR(VLOOKUP($A43,Devengado!$A$1:$AI$1,24,FALSE),"")</f>
        <v/>
      </c>
      <c r="BF43" s="224" t="str">
        <f>IFERROR(VLOOKUP($A43,Devengado!$A$1:$AI$1,25,FALSE),"")</f>
        <v/>
      </c>
      <c r="BG43" s="224" t="str">
        <f>IFERROR(VLOOKUP($A43,Devengado!$A$1:$AI$1,26,FALSE),"")</f>
        <v/>
      </c>
      <c r="BH43" s="224" t="str">
        <f>IFERROR(VLOOKUP($A43,Devengado!$A$1:$AI$1,27,FALSE),"")</f>
        <v/>
      </c>
      <c r="BI43" s="224" t="str">
        <f>IFERROR(VLOOKUP($A43,Devengado!$A$1:$AI$1,28,FALSE),"")</f>
        <v/>
      </c>
      <c r="BJ43" s="224" t="str">
        <f>IFERROR(VLOOKUP($A43,Devengado!$A$1:$AI$1,29,FALSE),"")</f>
        <v/>
      </c>
      <c r="BK43" s="224" t="str">
        <f>IFERROR(VLOOKUP($A43,Devengado!$A$1:$AI$1,30,FALSE),"")</f>
        <v/>
      </c>
      <c r="BL43" s="224" t="str">
        <f>IFERROR(VLOOKUP($A43,Devengado!$A$1:$AI$1,31,FALSE),"")</f>
        <v/>
      </c>
      <c r="BM43" s="224" t="str">
        <f>IFERROR(VLOOKUP($A43,Devengado!$A$1:$AI$1,32,FALSE),"")</f>
        <v/>
      </c>
      <c r="BN43" s="224" t="str">
        <f>IFERROR(VLOOKUP($A43,Devengado!$A$1:$AI$1,33,FALSE),"")</f>
        <v/>
      </c>
      <c r="BO43" s="224">
        <f t="shared" si="4"/>
        <v>0</v>
      </c>
      <c r="BP43" s="224" t="str">
        <f t="shared" si="5"/>
        <v/>
      </c>
      <c r="BQ43" s="207"/>
      <c r="BR43" s="207" t="str">
        <f t="shared" si="6"/>
        <v>53</v>
      </c>
    </row>
    <row r="44" spans="1:70" s="225" customFormat="1" ht="25.5" customHeight="1">
      <c r="A44" s="207">
        <v>40</v>
      </c>
      <c r="B44" s="112" t="s">
        <v>73</v>
      </c>
      <c r="C44" s="112" t="s">
        <v>108</v>
      </c>
      <c r="D44" s="112" t="s">
        <v>109</v>
      </c>
      <c r="E44" s="112" t="s">
        <v>76</v>
      </c>
      <c r="F44" s="112" t="s">
        <v>77</v>
      </c>
      <c r="G44" s="112" t="s">
        <v>77</v>
      </c>
      <c r="H44" s="112" t="s">
        <v>77</v>
      </c>
      <c r="I44" s="112" t="s">
        <v>77</v>
      </c>
      <c r="J44" s="112" t="s">
        <v>77</v>
      </c>
      <c r="K44" s="112" t="s">
        <v>77</v>
      </c>
      <c r="L44" s="112" t="s">
        <v>85</v>
      </c>
      <c r="M44" s="112" t="s">
        <v>123</v>
      </c>
      <c r="N44" s="112">
        <v>9999</v>
      </c>
      <c r="O44" s="114" t="s">
        <v>111</v>
      </c>
      <c r="P44" s="118" t="s">
        <v>81</v>
      </c>
      <c r="Q44" s="114" t="s">
        <v>112</v>
      </c>
      <c r="R44" s="115" t="str">
        <f t="shared" si="0"/>
        <v>53</v>
      </c>
      <c r="S44" s="112">
        <v>530204</v>
      </c>
      <c r="T44" s="122" t="str">
        <f>VLOOKUP(S44,ITEM!$C$1:$D$156,2,FALSE)</f>
        <v>Edición, Impresión, Reproducción, Publicaciones, Suscripciones, Fotocopiado, Traducción, Empastado, Enmarcación,
Serigrafía, Fotografía, Carnetización, Filmación e Imágenes Satelitales.</v>
      </c>
      <c r="U44" s="113" t="s">
        <v>83</v>
      </c>
      <c r="V44" s="114" t="s">
        <v>82</v>
      </c>
      <c r="W44" s="118" t="s">
        <v>84</v>
      </c>
      <c r="X44" s="118" t="s">
        <v>84</v>
      </c>
      <c r="Y44" s="224" t="e">
        <f>'Matriz POA 2024-TRABAJO'!#REF!</f>
        <v>#REF!</v>
      </c>
      <c r="Z44" s="224" t="e">
        <f>'Matriz POA 2024-TRABAJO'!#REF!</f>
        <v>#REF!</v>
      </c>
      <c r="AA44" s="224" t="e">
        <f>'Matriz POA 2024-TRABAJO'!#REF!</f>
        <v>#REF!</v>
      </c>
      <c r="AB44" s="279">
        <v>0</v>
      </c>
      <c r="AC44" s="279">
        <v>0</v>
      </c>
      <c r="AD44" s="279">
        <v>0</v>
      </c>
      <c r="AE44" s="279">
        <v>0</v>
      </c>
      <c r="AF44" s="279">
        <v>0</v>
      </c>
      <c r="AG44" s="279">
        <v>0</v>
      </c>
      <c r="AH44" s="279">
        <v>0</v>
      </c>
      <c r="AI44" s="279">
        <v>0</v>
      </c>
      <c r="AJ44" s="279">
        <v>0</v>
      </c>
      <c r="AK44" s="279">
        <v>0</v>
      </c>
      <c r="AL44" s="279">
        <v>0</v>
      </c>
      <c r="AM44" s="279">
        <v>0</v>
      </c>
      <c r="AN44" s="224" t="e">
        <f>SUM(#REF!)</f>
        <v>#REF!</v>
      </c>
      <c r="AO44" s="224">
        <f t="shared" si="1"/>
        <v>0</v>
      </c>
      <c r="AP44" s="224" t="e">
        <f t="shared" si="7"/>
        <v>#REF!</v>
      </c>
      <c r="AQ44" s="224"/>
      <c r="AR44" s="224"/>
      <c r="AS44" s="224"/>
      <c r="AT44" s="224" t="str">
        <f>IFERROR(VLOOKUP($A44,'Constancias POA'!$A$2:$DH$9993,17,FALSE),"")</f>
        <v/>
      </c>
      <c r="AU44" s="224" t="str">
        <f t="shared" si="2"/>
        <v/>
      </c>
      <c r="AV44" s="224" t="str">
        <f>IFERROR(VLOOKUP($A44,CP!$A$1:$U$7992,18,FALSE),"")</f>
        <v/>
      </c>
      <c r="AW44" s="224" t="str">
        <f>IFERROR(VLOOKUP($A44,CP!$A$1:$U$7992,19,FALSE),"")</f>
        <v/>
      </c>
      <c r="AX44" s="224" t="str">
        <f>IFERROR(VLOOKUP($A44,CP!$A$1:$U$7992,20,FALSE),"")</f>
        <v/>
      </c>
      <c r="AY44" s="224" t="str">
        <f>IFERROR(VLOOKUP($A44,CP!$A$1:$U$1,21,FALSE),"")</f>
        <v/>
      </c>
      <c r="AZ44" s="224" t="str">
        <f>IFERROR(VLOOKUP(A44,Devengado!$A$1:AJ1,35,FALSE),"")</f>
        <v/>
      </c>
      <c r="BA44" s="224" t="str">
        <f t="shared" si="3"/>
        <v/>
      </c>
      <c r="BB44" s="224" t="str">
        <f>IFERROR(AZ44/#REF!,"")</f>
        <v/>
      </c>
      <c r="BC44" s="224" t="str">
        <f>IFERROR(VLOOKUP($A44,Devengado!$A$1:$AI$1,22,FALSE),"")</f>
        <v/>
      </c>
      <c r="BD44" s="224" t="str">
        <f>IFERROR(VLOOKUP($A44,Devengado!$A$1:$AI$1,23,FALSE),"")</f>
        <v/>
      </c>
      <c r="BE44" s="224" t="str">
        <f>IFERROR(VLOOKUP($A44,Devengado!$A$1:$AI$1,24,FALSE),"")</f>
        <v/>
      </c>
      <c r="BF44" s="224" t="str">
        <f>IFERROR(VLOOKUP($A44,Devengado!$A$1:$AI$1,25,FALSE),"")</f>
        <v/>
      </c>
      <c r="BG44" s="224" t="str">
        <f>IFERROR(VLOOKUP($A44,Devengado!$A$1:$AI$1,26,FALSE),"")</f>
        <v/>
      </c>
      <c r="BH44" s="224" t="str">
        <f>IFERROR(VLOOKUP($A44,Devengado!$A$1:$AI$1,27,FALSE),"")</f>
        <v/>
      </c>
      <c r="BI44" s="224" t="str">
        <f>IFERROR(VLOOKUP($A44,Devengado!$A$1:$AI$1,28,FALSE),"")</f>
        <v/>
      </c>
      <c r="BJ44" s="224" t="str">
        <f>IFERROR(VLOOKUP($A44,Devengado!$A$1:$AI$1,29,FALSE),"")</f>
        <v/>
      </c>
      <c r="BK44" s="224" t="str">
        <f>IFERROR(VLOOKUP($A44,Devengado!$A$1:$AI$1,30,FALSE),"")</f>
        <v/>
      </c>
      <c r="BL44" s="224" t="str">
        <f>IFERROR(VLOOKUP($A44,Devengado!$A$1:$AI$1,31,FALSE),"")</f>
        <v/>
      </c>
      <c r="BM44" s="224" t="str">
        <f>IFERROR(VLOOKUP($A44,Devengado!$A$1:$AI$1,32,FALSE),"")</f>
        <v/>
      </c>
      <c r="BN44" s="224" t="str">
        <f>IFERROR(VLOOKUP($A44,Devengado!$A$1:$AI$1,33,FALSE),"")</f>
        <v/>
      </c>
      <c r="BO44" s="224">
        <f t="shared" si="4"/>
        <v>0</v>
      </c>
      <c r="BP44" s="224" t="str">
        <f t="shared" si="5"/>
        <v/>
      </c>
      <c r="BQ44" s="207"/>
      <c r="BR44" s="207" t="str">
        <f t="shared" si="6"/>
        <v>53</v>
      </c>
    </row>
    <row r="45" spans="1:70" s="225" customFormat="1" ht="25.5" customHeight="1">
      <c r="A45" s="207">
        <v>41</v>
      </c>
      <c r="B45" s="112" t="s">
        <v>73</v>
      </c>
      <c r="C45" s="112" t="s">
        <v>108</v>
      </c>
      <c r="D45" s="112" t="s">
        <v>124</v>
      </c>
      <c r="E45" s="112" t="s">
        <v>76</v>
      </c>
      <c r="F45" s="112" t="s">
        <v>77</v>
      </c>
      <c r="G45" s="112" t="s">
        <v>77</v>
      </c>
      <c r="H45" s="112" t="s">
        <v>77</v>
      </c>
      <c r="I45" s="112" t="s">
        <v>77</v>
      </c>
      <c r="J45" s="112" t="s">
        <v>77</v>
      </c>
      <c r="K45" s="112" t="s">
        <v>77</v>
      </c>
      <c r="L45" s="112" t="s">
        <v>85</v>
      </c>
      <c r="M45" s="112" t="s">
        <v>125</v>
      </c>
      <c r="N45" s="112">
        <v>9999</v>
      </c>
      <c r="O45" s="114" t="s">
        <v>111</v>
      </c>
      <c r="P45" s="118" t="s">
        <v>81</v>
      </c>
      <c r="Q45" s="114" t="s">
        <v>112</v>
      </c>
      <c r="R45" s="115" t="str">
        <f t="shared" si="0"/>
        <v>53</v>
      </c>
      <c r="S45" s="112">
        <v>530606</v>
      </c>
      <c r="T45" s="122" t="str">
        <f>VLOOKUP(S45,ITEM!$C$1:$D$156,2,FALSE)</f>
        <v>Honorarios por Contratos Civiles de Servicios</v>
      </c>
      <c r="U45" s="113" t="s">
        <v>83</v>
      </c>
      <c r="V45" s="114" t="s">
        <v>82</v>
      </c>
      <c r="W45" s="118" t="s">
        <v>84</v>
      </c>
      <c r="X45" s="118" t="s">
        <v>84</v>
      </c>
      <c r="Y45" s="224" t="e">
        <f>'Matriz POA 2024-TRABAJO'!#REF!</f>
        <v>#REF!</v>
      </c>
      <c r="Z45" s="224" t="e">
        <f>'Matriz POA 2024-TRABAJO'!#REF!</f>
        <v>#REF!</v>
      </c>
      <c r="AA45" s="224" t="e">
        <f>'Matriz POA 2024-TRABAJO'!#REF!</f>
        <v>#REF!</v>
      </c>
      <c r="AB45" s="279">
        <v>0</v>
      </c>
      <c r="AC45" s="279">
        <v>0</v>
      </c>
      <c r="AD45" s="279">
        <v>4848</v>
      </c>
      <c r="AE45" s="279">
        <v>0</v>
      </c>
      <c r="AF45" s="279">
        <v>0</v>
      </c>
      <c r="AG45" s="279">
        <v>0</v>
      </c>
      <c r="AH45" s="279">
        <v>0</v>
      </c>
      <c r="AI45" s="279">
        <v>0</v>
      </c>
      <c r="AJ45" s="279">
        <v>0</v>
      </c>
      <c r="AK45" s="279">
        <v>0</v>
      </c>
      <c r="AL45" s="279">
        <v>0</v>
      </c>
      <c r="AM45" s="279">
        <v>0</v>
      </c>
      <c r="AN45" s="224" t="e">
        <f>SUM(#REF!)</f>
        <v>#REF!</v>
      </c>
      <c r="AO45" s="224">
        <f t="shared" si="1"/>
        <v>4848</v>
      </c>
      <c r="AP45" s="224" t="e">
        <f t="shared" si="7"/>
        <v>#REF!</v>
      </c>
      <c r="AQ45" s="224"/>
      <c r="AR45" s="224"/>
      <c r="AS45" s="224"/>
      <c r="AT45" s="224" t="str">
        <f>IFERROR(VLOOKUP($A45,'Constancias POA'!$A$2:$DH$9993,17,FALSE),"")</f>
        <v/>
      </c>
      <c r="AU45" s="224" t="str">
        <f t="shared" si="2"/>
        <v/>
      </c>
      <c r="AV45" s="224" t="str">
        <f>IFERROR(VLOOKUP($A45,CP!$A$1:$U$7992,18,FALSE),"")</f>
        <v/>
      </c>
      <c r="AW45" s="224" t="str">
        <f>IFERROR(VLOOKUP($A45,CP!$A$1:$U$7992,19,FALSE),"")</f>
        <v/>
      </c>
      <c r="AX45" s="224" t="str">
        <f>IFERROR(VLOOKUP($A45,CP!$A$1:$U$7992,20,FALSE),"")</f>
        <v/>
      </c>
      <c r="AY45" s="224" t="str">
        <f>IFERROR(VLOOKUP($A45,CP!$A$1:$U$1,21,FALSE),"")</f>
        <v/>
      </c>
      <c r="AZ45" s="224" t="str">
        <f>IFERROR(VLOOKUP(A45,Devengado!$A$1:AJ1,35,FALSE),"")</f>
        <v/>
      </c>
      <c r="BA45" s="224" t="str">
        <f t="shared" si="3"/>
        <v/>
      </c>
      <c r="BB45" s="224" t="str">
        <f>IFERROR(AZ45/#REF!,"")</f>
        <v/>
      </c>
      <c r="BC45" s="224" t="str">
        <f>IFERROR(VLOOKUP($A45,Devengado!$A$1:$AI$1,22,FALSE),"")</f>
        <v/>
      </c>
      <c r="BD45" s="224" t="str">
        <f>IFERROR(VLOOKUP($A45,Devengado!$A$1:$AI$1,23,FALSE),"")</f>
        <v/>
      </c>
      <c r="BE45" s="224" t="str">
        <f>IFERROR(VLOOKUP($A45,Devengado!$A$1:$AI$1,24,FALSE),"")</f>
        <v/>
      </c>
      <c r="BF45" s="224" t="str">
        <f>IFERROR(VLOOKUP($A45,Devengado!$A$1:$AI$1,25,FALSE),"")</f>
        <v/>
      </c>
      <c r="BG45" s="224" t="str">
        <f>IFERROR(VLOOKUP($A45,Devengado!$A$1:$AI$1,26,FALSE),"")</f>
        <v/>
      </c>
      <c r="BH45" s="224" t="str">
        <f>IFERROR(VLOOKUP($A45,Devengado!$A$1:$AI$1,27,FALSE),"")</f>
        <v/>
      </c>
      <c r="BI45" s="224" t="str">
        <f>IFERROR(VLOOKUP($A45,Devengado!$A$1:$AI$1,28,FALSE),"")</f>
        <v/>
      </c>
      <c r="BJ45" s="224" t="str">
        <f>IFERROR(VLOOKUP($A45,Devengado!$A$1:$AI$1,29,FALSE),"")</f>
        <v/>
      </c>
      <c r="BK45" s="224" t="str">
        <f>IFERROR(VLOOKUP($A45,Devengado!$A$1:$AI$1,30,FALSE),"")</f>
        <v/>
      </c>
      <c r="BL45" s="224" t="str">
        <f>IFERROR(VLOOKUP($A45,Devengado!$A$1:$AI$1,31,FALSE),"")</f>
        <v/>
      </c>
      <c r="BM45" s="224" t="str">
        <f>IFERROR(VLOOKUP($A45,Devengado!$A$1:$AI$1,32,FALSE),"")</f>
        <v/>
      </c>
      <c r="BN45" s="224" t="str">
        <f>IFERROR(VLOOKUP($A45,Devengado!$A$1:$AI$1,33,FALSE),"")</f>
        <v/>
      </c>
      <c r="BO45" s="224">
        <f t="shared" si="4"/>
        <v>0</v>
      </c>
      <c r="BP45" s="224" t="str">
        <f t="shared" si="5"/>
        <v/>
      </c>
      <c r="BQ45" s="207"/>
      <c r="BR45" s="207" t="str">
        <f t="shared" si="6"/>
        <v>53</v>
      </c>
    </row>
    <row r="46" spans="1:70" s="225" customFormat="1" ht="25.5" customHeight="1">
      <c r="A46" s="207">
        <v>42</v>
      </c>
      <c r="B46" s="112" t="s">
        <v>73</v>
      </c>
      <c r="C46" s="112" t="s">
        <v>108</v>
      </c>
      <c r="D46" s="112" t="s">
        <v>124</v>
      </c>
      <c r="E46" s="112" t="s">
        <v>76</v>
      </c>
      <c r="F46" s="112" t="s">
        <v>77</v>
      </c>
      <c r="G46" s="112" t="s">
        <v>77</v>
      </c>
      <c r="H46" s="112" t="s">
        <v>77</v>
      </c>
      <c r="I46" s="112" t="s">
        <v>77</v>
      </c>
      <c r="J46" s="112" t="s">
        <v>77</v>
      </c>
      <c r="K46" s="112" t="s">
        <v>77</v>
      </c>
      <c r="L46" s="112" t="s">
        <v>85</v>
      </c>
      <c r="M46" s="112" t="s">
        <v>126</v>
      </c>
      <c r="N46" s="112">
        <v>9999</v>
      </c>
      <c r="O46" s="114" t="s">
        <v>111</v>
      </c>
      <c r="P46" s="114" t="s">
        <v>81</v>
      </c>
      <c r="Q46" s="114" t="s">
        <v>112</v>
      </c>
      <c r="R46" s="115" t="str">
        <f t="shared" si="0"/>
        <v>84</v>
      </c>
      <c r="S46" s="112">
        <v>840107</v>
      </c>
      <c r="T46" s="122" t="e">
        <f>VLOOKUP(S46,ITEM!$C$1:$D$156,2,FALSE)</f>
        <v>#N/A</v>
      </c>
      <c r="U46" s="112" t="s">
        <v>83</v>
      </c>
      <c r="V46" s="112" t="s">
        <v>82</v>
      </c>
      <c r="W46" s="112" t="s">
        <v>84</v>
      </c>
      <c r="X46" s="112" t="s">
        <v>84</v>
      </c>
      <c r="Y46" s="224" t="e">
        <f>'Matriz POA 2024-TRABAJO'!#REF!</f>
        <v>#REF!</v>
      </c>
      <c r="Z46" s="224" t="e">
        <f>'Matriz POA 2024-TRABAJO'!#REF!</f>
        <v>#REF!</v>
      </c>
      <c r="AA46" s="224" t="e">
        <f>'Matriz POA 2024-TRABAJO'!#REF!</f>
        <v>#REF!</v>
      </c>
      <c r="AB46" s="279">
        <v>0</v>
      </c>
      <c r="AC46" s="279">
        <v>0</v>
      </c>
      <c r="AD46" s="279">
        <v>0</v>
      </c>
      <c r="AE46" s="279">
        <v>0</v>
      </c>
      <c r="AF46" s="279">
        <v>0</v>
      </c>
      <c r="AG46" s="279">
        <v>0</v>
      </c>
      <c r="AH46" s="279">
        <v>0</v>
      </c>
      <c r="AI46" s="279">
        <v>0</v>
      </c>
      <c r="AJ46" s="279">
        <v>0</v>
      </c>
      <c r="AK46" s="279">
        <v>0</v>
      </c>
      <c r="AL46" s="279">
        <v>0</v>
      </c>
      <c r="AM46" s="279">
        <v>0</v>
      </c>
      <c r="AN46" s="224" t="e">
        <f>SUM(#REF!)</f>
        <v>#REF!</v>
      </c>
      <c r="AO46" s="224">
        <f t="shared" si="1"/>
        <v>0</v>
      </c>
      <c r="AP46" s="224" t="e">
        <f t="shared" si="7"/>
        <v>#REF!</v>
      </c>
      <c r="AQ46" s="224"/>
      <c r="AR46" s="224"/>
      <c r="AS46" s="224"/>
      <c r="AT46" s="224" t="str">
        <f>IFERROR(VLOOKUP($A46,'Constancias POA'!$A$2:$DH$9993,17,FALSE),"")</f>
        <v/>
      </c>
      <c r="AU46" s="224" t="str">
        <f t="shared" si="2"/>
        <v/>
      </c>
      <c r="AV46" s="224" t="str">
        <f>IFERROR(VLOOKUP($A46,CP!$A$1:$U$7992,18,FALSE),"")</f>
        <v/>
      </c>
      <c r="AW46" s="224" t="str">
        <f>IFERROR(VLOOKUP($A46,CP!$A$1:$U$7992,19,FALSE),"")</f>
        <v/>
      </c>
      <c r="AX46" s="224" t="str">
        <f>IFERROR(VLOOKUP($A46,CP!$A$1:$U$7992,20,FALSE),"")</f>
        <v/>
      </c>
      <c r="AY46" s="224" t="str">
        <f>IFERROR(VLOOKUP($A46,CP!$A$1:$U$1,21,FALSE),"")</f>
        <v/>
      </c>
      <c r="AZ46" s="224" t="str">
        <f>IFERROR(VLOOKUP(A46,Devengado!$A$1:AJ1,35,FALSE),"")</f>
        <v/>
      </c>
      <c r="BA46" s="224" t="str">
        <f t="shared" si="3"/>
        <v/>
      </c>
      <c r="BB46" s="224" t="str">
        <f>IFERROR(AZ46/#REF!,"")</f>
        <v/>
      </c>
      <c r="BC46" s="224" t="str">
        <f>IFERROR(VLOOKUP($A46,Devengado!$A$1:$AI$1,22,FALSE),"")</f>
        <v/>
      </c>
      <c r="BD46" s="224" t="str">
        <f>IFERROR(VLOOKUP($A46,Devengado!$A$1:$AI$1,23,FALSE),"")</f>
        <v/>
      </c>
      <c r="BE46" s="224" t="str">
        <f>IFERROR(VLOOKUP($A46,Devengado!$A$1:$AI$1,24,FALSE),"")</f>
        <v/>
      </c>
      <c r="BF46" s="224" t="str">
        <f>IFERROR(VLOOKUP($A46,Devengado!$A$1:$AI$1,25,FALSE),"")</f>
        <v/>
      </c>
      <c r="BG46" s="224" t="str">
        <f>IFERROR(VLOOKUP($A46,Devengado!$A$1:$AI$1,26,FALSE),"")</f>
        <v/>
      </c>
      <c r="BH46" s="224" t="str">
        <f>IFERROR(VLOOKUP($A46,Devengado!$A$1:$AI$1,27,FALSE),"")</f>
        <v/>
      </c>
      <c r="BI46" s="224" t="str">
        <f>IFERROR(VLOOKUP($A46,Devengado!$A$1:$AI$1,28,FALSE),"")</f>
        <v/>
      </c>
      <c r="BJ46" s="224" t="str">
        <f>IFERROR(VLOOKUP($A46,Devengado!$A$1:$AI$1,29,FALSE),"")</f>
        <v/>
      </c>
      <c r="BK46" s="224" t="str">
        <f>IFERROR(VLOOKUP($A46,Devengado!$A$1:$AI$1,30,FALSE),"")</f>
        <v/>
      </c>
      <c r="BL46" s="224" t="str">
        <f>IFERROR(VLOOKUP($A46,Devengado!$A$1:$AI$1,31,FALSE),"")</f>
        <v/>
      </c>
      <c r="BM46" s="224" t="str">
        <f>IFERROR(VLOOKUP($A46,Devengado!$A$1:$AI$1,32,FALSE),"")</f>
        <v/>
      </c>
      <c r="BN46" s="224" t="str">
        <f>IFERROR(VLOOKUP($A46,Devengado!$A$1:$AI$1,33,FALSE),"")</f>
        <v/>
      </c>
      <c r="BO46" s="224">
        <f t="shared" si="4"/>
        <v>0</v>
      </c>
      <c r="BP46" s="224" t="str">
        <f t="shared" si="5"/>
        <v/>
      </c>
      <c r="BQ46" s="207"/>
      <c r="BR46" s="207" t="str">
        <f t="shared" si="6"/>
        <v>84</v>
      </c>
    </row>
    <row r="47" spans="1:70" s="225" customFormat="1" ht="25.5" customHeight="1">
      <c r="A47" s="207">
        <v>43</v>
      </c>
      <c r="B47" s="112" t="s">
        <v>73</v>
      </c>
      <c r="C47" s="112" t="s">
        <v>108</v>
      </c>
      <c r="D47" s="112" t="s">
        <v>124</v>
      </c>
      <c r="E47" s="112" t="s">
        <v>76</v>
      </c>
      <c r="F47" s="112" t="s">
        <v>77</v>
      </c>
      <c r="G47" s="112" t="s">
        <v>77</v>
      </c>
      <c r="H47" s="112" t="s">
        <v>77</v>
      </c>
      <c r="I47" s="112" t="s">
        <v>77</v>
      </c>
      <c r="J47" s="112" t="s">
        <v>77</v>
      </c>
      <c r="K47" s="112" t="s">
        <v>77</v>
      </c>
      <c r="L47" s="112" t="s">
        <v>85</v>
      </c>
      <c r="M47" s="112" t="s">
        <v>127</v>
      </c>
      <c r="N47" s="112">
        <v>9999</v>
      </c>
      <c r="O47" s="114" t="s">
        <v>111</v>
      </c>
      <c r="P47" s="114" t="s">
        <v>81</v>
      </c>
      <c r="Q47" s="114" t="s">
        <v>112</v>
      </c>
      <c r="R47" s="115" t="str">
        <f t="shared" si="0"/>
        <v>84</v>
      </c>
      <c r="S47" s="112">
        <v>840104</v>
      </c>
      <c r="T47" s="122" t="e">
        <f>VLOOKUP(S47,ITEM!$C$1:$D$156,2,FALSE)</f>
        <v>#N/A</v>
      </c>
      <c r="U47" s="112" t="s">
        <v>83</v>
      </c>
      <c r="V47" s="112" t="s">
        <v>82</v>
      </c>
      <c r="W47" s="112" t="s">
        <v>84</v>
      </c>
      <c r="X47" s="112" t="s">
        <v>84</v>
      </c>
      <c r="Y47" s="224" t="e">
        <f>'Matriz POA 2024-TRABAJO'!#REF!</f>
        <v>#REF!</v>
      </c>
      <c r="Z47" s="224" t="e">
        <f>'Matriz POA 2024-TRABAJO'!#REF!</f>
        <v>#REF!</v>
      </c>
      <c r="AA47" s="224" t="e">
        <f>'Matriz POA 2024-TRABAJO'!#REF!</f>
        <v>#REF!</v>
      </c>
      <c r="AB47" s="279">
        <v>0</v>
      </c>
      <c r="AC47" s="279">
        <v>0</v>
      </c>
      <c r="AD47" s="279">
        <v>0</v>
      </c>
      <c r="AE47" s="279">
        <v>0</v>
      </c>
      <c r="AF47" s="279">
        <v>0</v>
      </c>
      <c r="AG47" s="279">
        <v>0</v>
      </c>
      <c r="AH47" s="279">
        <v>0</v>
      </c>
      <c r="AI47" s="279">
        <v>0</v>
      </c>
      <c r="AJ47" s="279">
        <v>0</v>
      </c>
      <c r="AK47" s="279">
        <v>0</v>
      </c>
      <c r="AL47" s="279">
        <v>0</v>
      </c>
      <c r="AM47" s="279">
        <v>0</v>
      </c>
      <c r="AN47" s="224" t="e">
        <f>SUM(#REF!)</f>
        <v>#REF!</v>
      </c>
      <c r="AO47" s="224">
        <f t="shared" si="1"/>
        <v>0</v>
      </c>
      <c r="AP47" s="224" t="e">
        <f t="shared" si="7"/>
        <v>#REF!</v>
      </c>
      <c r="AQ47" s="224"/>
      <c r="AR47" s="224"/>
      <c r="AS47" s="224"/>
      <c r="AT47" s="224" t="str">
        <f>IFERROR(VLOOKUP($A47,'Constancias POA'!$A$2:$DH$9993,17,FALSE),"")</f>
        <v/>
      </c>
      <c r="AU47" s="224" t="str">
        <f t="shared" si="2"/>
        <v/>
      </c>
      <c r="AV47" s="224" t="str">
        <f>IFERROR(VLOOKUP($A47,CP!$A$1:$U$7992,18,FALSE),"")</f>
        <v/>
      </c>
      <c r="AW47" s="224" t="str">
        <f>IFERROR(VLOOKUP($A47,CP!$A$1:$U$7992,19,FALSE),"")</f>
        <v/>
      </c>
      <c r="AX47" s="224" t="str">
        <f>IFERROR(VLOOKUP($A47,CP!$A$1:$U$7992,20,FALSE),"")</f>
        <v/>
      </c>
      <c r="AY47" s="224" t="str">
        <f>IFERROR(VLOOKUP($A47,CP!$A$1:$U$1,21,FALSE),"")</f>
        <v/>
      </c>
      <c r="AZ47" s="224" t="str">
        <f>IFERROR(VLOOKUP(A47,Devengado!$A$1:AJ1,35,FALSE),"")</f>
        <v/>
      </c>
      <c r="BA47" s="224" t="str">
        <f t="shared" si="3"/>
        <v/>
      </c>
      <c r="BB47" s="224" t="str">
        <f>IFERROR(AZ47/#REF!,"")</f>
        <v/>
      </c>
      <c r="BC47" s="224" t="str">
        <f>IFERROR(VLOOKUP($A47,Devengado!$A$1:$AI$1,22,FALSE),"")</f>
        <v/>
      </c>
      <c r="BD47" s="224" t="str">
        <f>IFERROR(VLOOKUP($A47,Devengado!$A$1:$AI$1,23,FALSE),"")</f>
        <v/>
      </c>
      <c r="BE47" s="224" t="str">
        <f>IFERROR(VLOOKUP($A47,Devengado!$A$1:$AI$1,24,FALSE),"")</f>
        <v/>
      </c>
      <c r="BF47" s="224" t="str">
        <f>IFERROR(VLOOKUP($A47,Devengado!$A$1:$AI$1,25,FALSE),"")</f>
        <v/>
      </c>
      <c r="BG47" s="224" t="str">
        <f>IFERROR(VLOOKUP($A47,Devengado!$A$1:$AI$1,26,FALSE),"")</f>
        <v/>
      </c>
      <c r="BH47" s="224" t="str">
        <f>IFERROR(VLOOKUP($A47,Devengado!$A$1:$AI$1,27,FALSE),"")</f>
        <v/>
      </c>
      <c r="BI47" s="224" t="str">
        <f>IFERROR(VLOOKUP($A47,Devengado!$A$1:$AI$1,28,FALSE),"")</f>
        <v/>
      </c>
      <c r="BJ47" s="224" t="str">
        <f>IFERROR(VLOOKUP($A47,Devengado!$A$1:$AI$1,29,FALSE),"")</f>
        <v/>
      </c>
      <c r="BK47" s="224" t="str">
        <f>IFERROR(VLOOKUP($A47,Devengado!$A$1:$AI$1,30,FALSE),"")</f>
        <v/>
      </c>
      <c r="BL47" s="224" t="str">
        <f>IFERROR(VLOOKUP($A47,Devengado!$A$1:$AI$1,31,FALSE),"")</f>
        <v/>
      </c>
      <c r="BM47" s="224" t="str">
        <f>IFERROR(VLOOKUP($A47,Devengado!$A$1:$AI$1,32,FALSE),"")</f>
        <v/>
      </c>
      <c r="BN47" s="224" t="str">
        <f>IFERROR(VLOOKUP($A47,Devengado!$A$1:$AI$1,33,FALSE),"")</f>
        <v/>
      </c>
      <c r="BO47" s="224">
        <f t="shared" si="4"/>
        <v>0</v>
      </c>
      <c r="BP47" s="224" t="str">
        <f t="shared" si="5"/>
        <v/>
      </c>
      <c r="BQ47" s="207"/>
      <c r="BR47" s="207" t="str">
        <f t="shared" si="6"/>
        <v>84</v>
      </c>
    </row>
    <row r="48" spans="1:70" s="225" customFormat="1" ht="25.5" customHeight="1">
      <c r="A48" s="207">
        <v>44</v>
      </c>
      <c r="B48" s="112" t="s">
        <v>73</v>
      </c>
      <c r="C48" s="112" t="s">
        <v>108</v>
      </c>
      <c r="D48" s="112" t="s">
        <v>124</v>
      </c>
      <c r="E48" s="112" t="s">
        <v>76</v>
      </c>
      <c r="F48" s="112" t="s">
        <v>77</v>
      </c>
      <c r="G48" s="112" t="s">
        <v>77</v>
      </c>
      <c r="H48" s="112" t="s">
        <v>77</v>
      </c>
      <c r="I48" s="112" t="s">
        <v>77</v>
      </c>
      <c r="J48" s="112" t="s">
        <v>77</v>
      </c>
      <c r="K48" s="112" t="s">
        <v>77</v>
      </c>
      <c r="L48" s="112" t="s">
        <v>85</v>
      </c>
      <c r="M48" s="112" t="s">
        <v>128</v>
      </c>
      <c r="N48" s="112">
        <v>9999</v>
      </c>
      <c r="O48" s="114" t="s">
        <v>111</v>
      </c>
      <c r="P48" s="114" t="s">
        <v>81</v>
      </c>
      <c r="Q48" s="114" t="s">
        <v>112</v>
      </c>
      <c r="R48" s="115" t="str">
        <f t="shared" si="0"/>
        <v>84</v>
      </c>
      <c r="S48" s="112">
        <v>840103</v>
      </c>
      <c r="T48" s="122" t="e">
        <f>VLOOKUP(S48,ITEM!$C$1:$D$156,2,FALSE)</f>
        <v>#N/A</v>
      </c>
      <c r="U48" s="112" t="s">
        <v>83</v>
      </c>
      <c r="V48" s="112" t="s">
        <v>82</v>
      </c>
      <c r="W48" s="112" t="s">
        <v>84</v>
      </c>
      <c r="X48" s="112" t="s">
        <v>84</v>
      </c>
      <c r="Y48" s="224" t="e">
        <f>'Matriz POA 2024-TRABAJO'!#REF!</f>
        <v>#REF!</v>
      </c>
      <c r="Z48" s="224" t="e">
        <f>'Matriz POA 2024-TRABAJO'!#REF!</f>
        <v>#REF!</v>
      </c>
      <c r="AA48" s="224" t="e">
        <f>'Matriz POA 2024-TRABAJO'!#REF!</f>
        <v>#REF!</v>
      </c>
      <c r="AB48" s="279">
        <v>0</v>
      </c>
      <c r="AC48" s="279">
        <v>0</v>
      </c>
      <c r="AD48" s="279">
        <v>0</v>
      </c>
      <c r="AE48" s="279">
        <v>0</v>
      </c>
      <c r="AF48" s="279">
        <v>0</v>
      </c>
      <c r="AG48" s="279">
        <v>0</v>
      </c>
      <c r="AH48" s="279">
        <v>0</v>
      </c>
      <c r="AI48" s="279">
        <v>0</v>
      </c>
      <c r="AJ48" s="279">
        <v>0</v>
      </c>
      <c r="AK48" s="279">
        <v>0</v>
      </c>
      <c r="AL48" s="279">
        <v>0</v>
      </c>
      <c r="AM48" s="279">
        <v>0</v>
      </c>
      <c r="AN48" s="224" t="e">
        <f>SUM(#REF!)</f>
        <v>#REF!</v>
      </c>
      <c r="AO48" s="224">
        <f t="shared" si="1"/>
        <v>0</v>
      </c>
      <c r="AP48" s="224" t="e">
        <f t="shared" si="7"/>
        <v>#REF!</v>
      </c>
      <c r="AQ48" s="224"/>
      <c r="AR48" s="224"/>
      <c r="AS48" s="224"/>
      <c r="AT48" s="224" t="str">
        <f>IFERROR(VLOOKUP($A48,'Constancias POA'!$A$2:$DH$9993,17,FALSE),"")</f>
        <v/>
      </c>
      <c r="AU48" s="224" t="str">
        <f t="shared" si="2"/>
        <v/>
      </c>
      <c r="AV48" s="224" t="str">
        <f>IFERROR(VLOOKUP($A48,CP!$A$1:$U$7992,18,FALSE),"")</f>
        <v/>
      </c>
      <c r="AW48" s="224" t="str">
        <f>IFERROR(VLOOKUP($A48,CP!$A$1:$U$7992,19,FALSE),"")</f>
        <v/>
      </c>
      <c r="AX48" s="224" t="str">
        <f>IFERROR(VLOOKUP($A48,CP!$A$1:$U$7992,20,FALSE),"")</f>
        <v/>
      </c>
      <c r="AY48" s="224" t="str">
        <f>IFERROR(VLOOKUP($A48,CP!$A$1:$U$1,21,FALSE),"")</f>
        <v/>
      </c>
      <c r="AZ48" s="224" t="str">
        <f>IFERROR(VLOOKUP(A48,Devengado!$A$1:AJ1,35,FALSE),"")</f>
        <v/>
      </c>
      <c r="BA48" s="224" t="str">
        <f t="shared" si="3"/>
        <v/>
      </c>
      <c r="BB48" s="224" t="str">
        <f>IFERROR(AZ48/#REF!,"")</f>
        <v/>
      </c>
      <c r="BC48" s="224" t="str">
        <f>IFERROR(VLOOKUP($A48,Devengado!$A$1:$AI$1,22,FALSE),"")</f>
        <v/>
      </c>
      <c r="BD48" s="224" t="str">
        <f>IFERROR(VLOOKUP($A48,Devengado!$A$1:$AI$1,23,FALSE),"")</f>
        <v/>
      </c>
      <c r="BE48" s="224" t="str">
        <f>IFERROR(VLOOKUP($A48,Devengado!$A$1:$AI$1,24,FALSE),"")</f>
        <v/>
      </c>
      <c r="BF48" s="224" t="str">
        <f>IFERROR(VLOOKUP($A48,Devengado!$A$1:$AI$1,25,FALSE),"")</f>
        <v/>
      </c>
      <c r="BG48" s="224" t="str">
        <f>IFERROR(VLOOKUP($A48,Devengado!$A$1:$AI$1,26,FALSE),"")</f>
        <v/>
      </c>
      <c r="BH48" s="224" t="str">
        <f>IFERROR(VLOOKUP($A48,Devengado!$A$1:$AI$1,27,FALSE),"")</f>
        <v/>
      </c>
      <c r="BI48" s="224" t="str">
        <f>IFERROR(VLOOKUP($A48,Devengado!$A$1:$AI$1,28,FALSE),"")</f>
        <v/>
      </c>
      <c r="BJ48" s="224" t="str">
        <f>IFERROR(VLOOKUP($A48,Devengado!$A$1:$AI$1,29,FALSE),"")</f>
        <v/>
      </c>
      <c r="BK48" s="224" t="str">
        <f>IFERROR(VLOOKUP($A48,Devengado!$A$1:$AI$1,30,FALSE),"")</f>
        <v/>
      </c>
      <c r="BL48" s="224" t="str">
        <f>IFERROR(VLOOKUP($A48,Devengado!$A$1:$AI$1,31,FALSE),"")</f>
        <v/>
      </c>
      <c r="BM48" s="224" t="str">
        <f>IFERROR(VLOOKUP($A48,Devengado!$A$1:$AI$1,32,FALSE),"")</f>
        <v/>
      </c>
      <c r="BN48" s="224" t="str">
        <f>IFERROR(VLOOKUP($A48,Devengado!$A$1:$AI$1,33,FALSE),"")</f>
        <v/>
      </c>
      <c r="BO48" s="224">
        <f t="shared" si="4"/>
        <v>0</v>
      </c>
      <c r="BP48" s="224" t="str">
        <f t="shared" si="5"/>
        <v/>
      </c>
      <c r="BQ48" s="207"/>
      <c r="BR48" s="207" t="str">
        <f t="shared" si="6"/>
        <v>84</v>
      </c>
    </row>
    <row r="49" spans="1:70" s="225" customFormat="1" ht="25.5" customHeight="1">
      <c r="A49" s="207">
        <v>45</v>
      </c>
      <c r="B49" s="112" t="s">
        <v>73</v>
      </c>
      <c r="C49" s="112" t="s">
        <v>129</v>
      </c>
      <c r="D49" s="117" t="s">
        <v>130</v>
      </c>
      <c r="E49" s="117" t="s">
        <v>76</v>
      </c>
      <c r="F49" s="112" t="s">
        <v>77</v>
      </c>
      <c r="G49" s="112" t="s">
        <v>77</v>
      </c>
      <c r="H49" s="112" t="s">
        <v>77</v>
      </c>
      <c r="I49" s="112" t="s">
        <v>77</v>
      </c>
      <c r="J49" s="112" t="s">
        <v>77</v>
      </c>
      <c r="K49" s="112" t="s">
        <v>77</v>
      </c>
      <c r="L49" s="112" t="s">
        <v>85</v>
      </c>
      <c r="M49" s="113" t="s">
        <v>131</v>
      </c>
      <c r="N49" s="113">
        <v>9999</v>
      </c>
      <c r="O49" s="118" t="s">
        <v>132</v>
      </c>
      <c r="P49" s="118" t="s">
        <v>81</v>
      </c>
      <c r="Q49" s="118" t="s">
        <v>112</v>
      </c>
      <c r="R49" s="115" t="str">
        <f t="shared" si="0"/>
        <v>53</v>
      </c>
      <c r="S49" s="112">
        <v>530205</v>
      </c>
      <c r="T49" s="122" t="str">
        <f>VLOOKUP(S49,ITEM!$C$1:$D$156,2,FALSE)</f>
        <v>Espectáculos Culturales y Sociales</v>
      </c>
      <c r="U49" s="115" t="s">
        <v>83</v>
      </c>
      <c r="V49" s="115" t="s">
        <v>82</v>
      </c>
      <c r="W49" s="115" t="s">
        <v>84</v>
      </c>
      <c r="X49" s="115" t="s">
        <v>84</v>
      </c>
      <c r="Y49" s="224" t="e">
        <f>'Matriz POA 2024-TRABAJO'!#REF!</f>
        <v>#REF!</v>
      </c>
      <c r="Z49" s="224" t="e">
        <f>'Matriz POA 2024-TRABAJO'!#REF!</f>
        <v>#REF!</v>
      </c>
      <c r="AA49" s="224" t="e">
        <f>'Matriz POA 2024-TRABAJO'!#REF!</f>
        <v>#REF!</v>
      </c>
      <c r="AB49" s="279"/>
      <c r="AC49" s="279"/>
      <c r="AD49" s="279"/>
      <c r="AE49" s="279"/>
      <c r="AF49" s="279"/>
      <c r="AG49" s="279"/>
      <c r="AH49" s="279"/>
      <c r="AI49" s="279"/>
      <c r="AJ49" s="279"/>
      <c r="AK49" s="279"/>
      <c r="AL49" s="279"/>
      <c r="AM49" s="279"/>
      <c r="AN49" s="224" t="e">
        <f>SUM(#REF!)</f>
        <v>#REF!</v>
      </c>
      <c r="AO49" s="224">
        <f t="shared" si="1"/>
        <v>0</v>
      </c>
      <c r="AP49" s="224" t="e">
        <f t="shared" si="7"/>
        <v>#REF!</v>
      </c>
      <c r="AQ49" s="224"/>
      <c r="AR49" s="224"/>
      <c r="AS49" s="224"/>
      <c r="AT49" s="224" t="str">
        <f>IFERROR(VLOOKUP($A49,'Constancias POA'!$A$2:$DH$9993,17,FALSE),"")</f>
        <v/>
      </c>
      <c r="AU49" s="224" t="str">
        <f t="shared" si="2"/>
        <v/>
      </c>
      <c r="AV49" s="224" t="str">
        <f>IFERROR(VLOOKUP($A49,CP!$A$1:$U$7992,18,FALSE),"")</f>
        <v/>
      </c>
      <c r="AW49" s="224" t="str">
        <f>IFERROR(VLOOKUP($A49,CP!$A$1:$U$7992,19,FALSE),"")</f>
        <v/>
      </c>
      <c r="AX49" s="224" t="str">
        <f>IFERROR(VLOOKUP($A49,CP!$A$1:$U$7992,20,FALSE),"")</f>
        <v/>
      </c>
      <c r="AY49" s="224" t="str">
        <f>IFERROR(VLOOKUP($A49,CP!$A$1:$U$1,21,FALSE),"")</f>
        <v/>
      </c>
      <c r="AZ49" s="224" t="str">
        <f>IFERROR(VLOOKUP(A49,Devengado!$A$1:AJ1,35,FALSE),"")</f>
        <v/>
      </c>
      <c r="BA49" s="224" t="str">
        <f t="shared" si="3"/>
        <v/>
      </c>
      <c r="BB49" s="224" t="str">
        <f>IFERROR(AZ49/#REF!,"")</f>
        <v/>
      </c>
      <c r="BC49" s="224" t="str">
        <f>IFERROR(VLOOKUP($A49,Devengado!$A$1:$AI$1,22,FALSE),"")</f>
        <v/>
      </c>
      <c r="BD49" s="224" t="str">
        <f>IFERROR(VLOOKUP($A49,Devengado!$A$1:$AI$1,23,FALSE),"")</f>
        <v/>
      </c>
      <c r="BE49" s="224" t="str">
        <f>IFERROR(VLOOKUP($A49,Devengado!$A$1:$AI$1,24,FALSE),"")</f>
        <v/>
      </c>
      <c r="BF49" s="224" t="str">
        <f>IFERROR(VLOOKUP($A49,Devengado!$A$1:$AI$1,25,FALSE),"")</f>
        <v/>
      </c>
      <c r="BG49" s="224" t="str">
        <f>IFERROR(VLOOKUP($A49,Devengado!$A$1:$AI$1,26,FALSE),"")</f>
        <v/>
      </c>
      <c r="BH49" s="224" t="str">
        <f>IFERROR(VLOOKUP($A49,Devengado!$A$1:$AI$1,27,FALSE),"")</f>
        <v/>
      </c>
      <c r="BI49" s="224" t="str">
        <f>IFERROR(VLOOKUP($A49,Devengado!$A$1:$AI$1,28,FALSE),"")</f>
        <v/>
      </c>
      <c r="BJ49" s="224" t="str">
        <f>IFERROR(VLOOKUP($A49,Devengado!$A$1:$AI$1,29,FALSE),"")</f>
        <v/>
      </c>
      <c r="BK49" s="224" t="str">
        <f>IFERROR(VLOOKUP($A49,Devengado!$A$1:$AI$1,30,FALSE),"")</f>
        <v/>
      </c>
      <c r="BL49" s="224" t="str">
        <f>IFERROR(VLOOKUP($A49,Devengado!$A$1:$AI$1,31,FALSE),"")</f>
        <v/>
      </c>
      <c r="BM49" s="224" t="str">
        <f>IFERROR(VLOOKUP($A49,Devengado!$A$1:$AI$1,32,FALSE),"")</f>
        <v/>
      </c>
      <c r="BN49" s="224" t="str">
        <f>IFERROR(VLOOKUP($A49,Devengado!$A$1:$AI$1,33,FALSE),"")</f>
        <v/>
      </c>
      <c r="BO49" s="224">
        <f t="shared" si="4"/>
        <v>0</v>
      </c>
      <c r="BP49" s="224" t="str">
        <f t="shared" si="5"/>
        <v/>
      </c>
      <c r="BQ49" s="207"/>
      <c r="BR49" s="207" t="str">
        <f t="shared" si="6"/>
        <v>53</v>
      </c>
    </row>
    <row r="50" spans="1:70" s="225" customFormat="1" ht="25.5" customHeight="1">
      <c r="A50" s="207">
        <v>46</v>
      </c>
      <c r="B50" s="112" t="s">
        <v>73</v>
      </c>
      <c r="C50" s="112" t="s">
        <v>129</v>
      </c>
      <c r="D50" s="117" t="s">
        <v>130</v>
      </c>
      <c r="E50" s="117" t="s">
        <v>76</v>
      </c>
      <c r="F50" s="112" t="s">
        <v>77</v>
      </c>
      <c r="G50" s="112" t="s">
        <v>77</v>
      </c>
      <c r="H50" s="112" t="s">
        <v>77</v>
      </c>
      <c r="I50" s="112" t="s">
        <v>77</v>
      </c>
      <c r="J50" s="112" t="s">
        <v>77</v>
      </c>
      <c r="K50" s="112" t="s">
        <v>77</v>
      </c>
      <c r="L50" s="112" t="s">
        <v>85</v>
      </c>
      <c r="M50" s="113" t="s">
        <v>133</v>
      </c>
      <c r="N50" s="113">
        <v>9999</v>
      </c>
      <c r="O50" s="118" t="s">
        <v>132</v>
      </c>
      <c r="P50" s="118" t="s">
        <v>81</v>
      </c>
      <c r="Q50" s="118" t="s">
        <v>112</v>
      </c>
      <c r="R50" s="115" t="str">
        <f t="shared" si="0"/>
        <v>53</v>
      </c>
      <c r="S50" s="112">
        <v>530205</v>
      </c>
      <c r="T50" s="122" t="str">
        <f>VLOOKUP(S50,ITEM!$C$1:$D$156,2,FALSE)</f>
        <v>Espectáculos Culturales y Sociales</v>
      </c>
      <c r="U50" s="115" t="s">
        <v>83</v>
      </c>
      <c r="V50" s="115" t="s">
        <v>82</v>
      </c>
      <c r="W50" s="115" t="s">
        <v>84</v>
      </c>
      <c r="X50" s="115" t="s">
        <v>84</v>
      </c>
      <c r="Y50" s="224" t="e">
        <f>'Matriz POA 2024-TRABAJO'!#REF!</f>
        <v>#REF!</v>
      </c>
      <c r="Z50" s="224" t="e">
        <f>'Matriz POA 2024-TRABAJO'!#REF!</f>
        <v>#REF!</v>
      </c>
      <c r="AA50" s="224" t="e">
        <f>'Matriz POA 2024-TRABAJO'!#REF!</f>
        <v>#REF!</v>
      </c>
      <c r="AB50" s="279">
        <v>0</v>
      </c>
      <c r="AC50" s="279">
        <v>0</v>
      </c>
      <c r="AD50" s="279">
        <v>0</v>
      </c>
      <c r="AE50" s="279">
        <v>0</v>
      </c>
      <c r="AF50" s="279">
        <v>20000</v>
      </c>
      <c r="AG50" s="279">
        <v>0</v>
      </c>
      <c r="AH50" s="279">
        <v>0</v>
      </c>
      <c r="AI50" s="279">
        <v>0</v>
      </c>
      <c r="AJ50" s="279">
        <v>0</v>
      </c>
      <c r="AK50" s="279">
        <v>0</v>
      </c>
      <c r="AL50" s="279">
        <v>0</v>
      </c>
      <c r="AM50" s="279">
        <v>0</v>
      </c>
      <c r="AN50" s="224" t="e">
        <f>SUM(#REF!)</f>
        <v>#REF!</v>
      </c>
      <c r="AO50" s="224">
        <f t="shared" si="1"/>
        <v>20000</v>
      </c>
      <c r="AP50" s="224" t="e">
        <f t="shared" si="7"/>
        <v>#REF!</v>
      </c>
      <c r="AQ50" s="224"/>
      <c r="AR50" s="224"/>
      <c r="AS50" s="224"/>
      <c r="AT50" s="224" t="str">
        <f>IFERROR(VLOOKUP($A50,'Constancias POA'!$A$2:$DH$9993,17,FALSE),"")</f>
        <v/>
      </c>
      <c r="AU50" s="224" t="str">
        <f t="shared" si="2"/>
        <v/>
      </c>
      <c r="AV50" s="224" t="str">
        <f>IFERROR(VLOOKUP($A50,CP!$A$1:$U$7992,18,FALSE),"")</f>
        <v/>
      </c>
      <c r="AW50" s="224" t="str">
        <f>IFERROR(VLOOKUP($A50,CP!$A$1:$U$7992,19,FALSE),"")</f>
        <v/>
      </c>
      <c r="AX50" s="224" t="str">
        <f>IFERROR(VLOOKUP($A50,CP!$A$1:$U$7992,20,FALSE),"")</f>
        <v/>
      </c>
      <c r="AY50" s="224" t="str">
        <f>IFERROR(VLOOKUP($A50,CP!$A$1:$U$1,21,FALSE),"")</f>
        <v/>
      </c>
      <c r="AZ50" s="224" t="str">
        <f>IFERROR(VLOOKUP(A50,Devengado!$A$1:AJ1,35,FALSE),"")</f>
        <v/>
      </c>
      <c r="BA50" s="224" t="str">
        <f t="shared" si="3"/>
        <v/>
      </c>
      <c r="BB50" s="224" t="str">
        <f>IFERROR(AZ50/#REF!,"")</f>
        <v/>
      </c>
      <c r="BC50" s="224" t="str">
        <f>IFERROR(VLOOKUP($A50,Devengado!$A$1:$AI$1,22,FALSE),"")</f>
        <v/>
      </c>
      <c r="BD50" s="224" t="str">
        <f>IFERROR(VLOOKUP($A50,Devengado!$A$1:$AI$1,23,FALSE),"")</f>
        <v/>
      </c>
      <c r="BE50" s="224" t="str">
        <f>IFERROR(VLOOKUP($A50,Devengado!$A$1:$AI$1,24,FALSE),"")</f>
        <v/>
      </c>
      <c r="BF50" s="224" t="str">
        <f>IFERROR(VLOOKUP($A50,Devengado!$A$1:$AI$1,25,FALSE),"")</f>
        <v/>
      </c>
      <c r="BG50" s="224" t="str">
        <f>IFERROR(VLOOKUP($A50,Devengado!$A$1:$AI$1,26,FALSE),"")</f>
        <v/>
      </c>
      <c r="BH50" s="224" t="str">
        <f>IFERROR(VLOOKUP($A50,Devengado!$A$1:$AI$1,27,FALSE),"")</f>
        <v/>
      </c>
      <c r="BI50" s="224" t="str">
        <f>IFERROR(VLOOKUP($A50,Devengado!$A$1:$AI$1,28,FALSE),"")</f>
        <v/>
      </c>
      <c r="BJ50" s="224" t="str">
        <f>IFERROR(VLOOKUP($A50,Devengado!$A$1:$AI$1,29,FALSE),"")</f>
        <v/>
      </c>
      <c r="BK50" s="224" t="str">
        <f>IFERROR(VLOOKUP($A50,Devengado!$A$1:$AI$1,30,FALSE),"")</f>
        <v/>
      </c>
      <c r="BL50" s="224" t="str">
        <f>IFERROR(VLOOKUP($A50,Devengado!$A$1:$AI$1,31,FALSE),"")</f>
        <v/>
      </c>
      <c r="BM50" s="224" t="str">
        <f>IFERROR(VLOOKUP($A50,Devengado!$A$1:$AI$1,32,FALSE),"")</f>
        <v/>
      </c>
      <c r="BN50" s="224" t="str">
        <f>IFERROR(VLOOKUP($A50,Devengado!$A$1:$AI$1,33,FALSE),"")</f>
        <v/>
      </c>
      <c r="BO50" s="224">
        <f t="shared" si="4"/>
        <v>0</v>
      </c>
      <c r="BP50" s="224" t="str">
        <f t="shared" si="5"/>
        <v/>
      </c>
      <c r="BQ50" s="207"/>
      <c r="BR50" s="207" t="str">
        <f t="shared" si="6"/>
        <v>53</v>
      </c>
    </row>
    <row r="51" spans="1:70" s="225" customFormat="1" ht="25.5" customHeight="1">
      <c r="A51" s="207">
        <v>47</v>
      </c>
      <c r="B51" s="112" t="s">
        <v>73</v>
      </c>
      <c r="C51" s="112" t="s">
        <v>129</v>
      </c>
      <c r="D51" s="117" t="s">
        <v>134</v>
      </c>
      <c r="E51" s="117" t="s">
        <v>76</v>
      </c>
      <c r="F51" s="112" t="s">
        <v>77</v>
      </c>
      <c r="G51" s="112" t="s">
        <v>77</v>
      </c>
      <c r="H51" s="112" t="s">
        <v>77</v>
      </c>
      <c r="I51" s="112" t="s">
        <v>77</v>
      </c>
      <c r="J51" s="112" t="s">
        <v>77</v>
      </c>
      <c r="K51" s="112" t="s">
        <v>77</v>
      </c>
      <c r="L51" s="112" t="s">
        <v>85</v>
      </c>
      <c r="M51" s="113" t="s">
        <v>135</v>
      </c>
      <c r="N51" s="113">
        <v>9999</v>
      </c>
      <c r="O51" s="118" t="s">
        <v>132</v>
      </c>
      <c r="P51" s="118" t="s">
        <v>81</v>
      </c>
      <c r="Q51" s="118" t="s">
        <v>112</v>
      </c>
      <c r="R51" s="115" t="str">
        <f t="shared" si="0"/>
        <v>53</v>
      </c>
      <c r="S51" s="112">
        <v>530205</v>
      </c>
      <c r="T51" s="122" t="str">
        <f>VLOOKUP(S51,ITEM!$C$1:$D$156,2,FALSE)</f>
        <v>Espectáculos Culturales y Sociales</v>
      </c>
      <c r="U51" s="115" t="s">
        <v>83</v>
      </c>
      <c r="V51" s="115" t="s">
        <v>82</v>
      </c>
      <c r="W51" s="115" t="s">
        <v>84</v>
      </c>
      <c r="X51" s="115" t="s">
        <v>84</v>
      </c>
      <c r="Y51" s="224" t="e">
        <f>'Matriz POA 2024-TRABAJO'!#REF!</f>
        <v>#REF!</v>
      </c>
      <c r="Z51" s="224" t="e">
        <f>'Matriz POA 2024-TRABAJO'!#REF!</f>
        <v>#REF!</v>
      </c>
      <c r="AA51" s="224" t="e">
        <f>'Matriz POA 2024-TRABAJO'!#REF!</f>
        <v>#REF!</v>
      </c>
      <c r="AB51" s="279">
        <v>0</v>
      </c>
      <c r="AC51" s="279">
        <v>0</v>
      </c>
      <c r="AD51" s="279">
        <v>0</v>
      </c>
      <c r="AE51" s="279">
        <v>0</v>
      </c>
      <c r="AF51" s="279">
        <v>0</v>
      </c>
      <c r="AG51" s="279">
        <v>0</v>
      </c>
      <c r="AH51" s="279">
        <v>0</v>
      </c>
      <c r="AI51" s="279">
        <v>0</v>
      </c>
      <c r="AJ51" s="279">
        <v>0</v>
      </c>
      <c r="AK51" s="279">
        <v>0</v>
      </c>
      <c r="AL51" s="279">
        <v>0</v>
      </c>
      <c r="AM51" s="279">
        <v>0.01</v>
      </c>
      <c r="AN51" s="224" t="e">
        <f>SUM(#REF!)</f>
        <v>#REF!</v>
      </c>
      <c r="AO51" s="224">
        <f t="shared" si="1"/>
        <v>0.01</v>
      </c>
      <c r="AP51" s="224" t="e">
        <f t="shared" si="7"/>
        <v>#REF!</v>
      </c>
      <c r="AQ51" s="224"/>
      <c r="AR51" s="224"/>
      <c r="AS51" s="224"/>
      <c r="AT51" s="224" t="str">
        <f>IFERROR(VLOOKUP($A51,'Constancias POA'!$A$2:$DH$9993,17,FALSE),"")</f>
        <v/>
      </c>
      <c r="AU51" s="224" t="str">
        <f t="shared" si="2"/>
        <v/>
      </c>
      <c r="AV51" s="224" t="str">
        <f>IFERROR(VLOOKUP($A51,CP!$A$1:$U$7992,18,FALSE),"")</f>
        <v/>
      </c>
      <c r="AW51" s="224" t="str">
        <f>IFERROR(VLOOKUP($A51,CP!$A$1:$U$7992,19,FALSE),"")</f>
        <v/>
      </c>
      <c r="AX51" s="224" t="str">
        <f>IFERROR(VLOOKUP($A51,CP!$A$1:$U$7992,20,FALSE),"")</f>
        <v/>
      </c>
      <c r="AY51" s="224" t="str">
        <f>IFERROR(VLOOKUP($A51,CP!$A$1:$U$1,21,FALSE),"")</f>
        <v/>
      </c>
      <c r="AZ51" s="224" t="str">
        <f>IFERROR(VLOOKUP(A51,Devengado!$A$1:AJ1,35,FALSE),"")</f>
        <v/>
      </c>
      <c r="BA51" s="224" t="str">
        <f t="shared" si="3"/>
        <v/>
      </c>
      <c r="BB51" s="224" t="str">
        <f>IFERROR(AZ51/#REF!,"")</f>
        <v/>
      </c>
      <c r="BC51" s="224" t="str">
        <f>IFERROR(VLOOKUP($A51,Devengado!$A$1:$AI$1,22,FALSE),"")</f>
        <v/>
      </c>
      <c r="BD51" s="224" t="str">
        <f>IFERROR(VLOOKUP($A51,Devengado!$A$1:$AI$1,23,FALSE),"")</f>
        <v/>
      </c>
      <c r="BE51" s="224" t="str">
        <f>IFERROR(VLOOKUP($A51,Devengado!$A$1:$AI$1,24,FALSE),"")</f>
        <v/>
      </c>
      <c r="BF51" s="224" t="str">
        <f>IFERROR(VLOOKUP($A51,Devengado!$A$1:$AI$1,25,FALSE),"")</f>
        <v/>
      </c>
      <c r="BG51" s="224" t="str">
        <f>IFERROR(VLOOKUP($A51,Devengado!$A$1:$AI$1,26,FALSE),"")</f>
        <v/>
      </c>
      <c r="BH51" s="224" t="str">
        <f>IFERROR(VLOOKUP($A51,Devengado!$A$1:$AI$1,27,FALSE),"")</f>
        <v/>
      </c>
      <c r="BI51" s="224" t="str">
        <f>IFERROR(VLOOKUP($A51,Devengado!$A$1:$AI$1,28,FALSE),"")</f>
        <v/>
      </c>
      <c r="BJ51" s="224" t="str">
        <f>IFERROR(VLOOKUP($A51,Devengado!$A$1:$AI$1,29,FALSE),"")</f>
        <v/>
      </c>
      <c r="BK51" s="224" t="str">
        <f>IFERROR(VLOOKUP($A51,Devengado!$A$1:$AI$1,30,FALSE),"")</f>
        <v/>
      </c>
      <c r="BL51" s="224" t="str">
        <f>IFERROR(VLOOKUP($A51,Devengado!$A$1:$AI$1,31,FALSE),"")</f>
        <v/>
      </c>
      <c r="BM51" s="224" t="str">
        <f>IFERROR(VLOOKUP($A51,Devengado!$A$1:$AI$1,32,FALSE),"")</f>
        <v/>
      </c>
      <c r="BN51" s="224" t="str">
        <f>IFERROR(VLOOKUP($A51,Devengado!$A$1:$AI$1,33,FALSE),"")</f>
        <v/>
      </c>
      <c r="BO51" s="224">
        <f t="shared" si="4"/>
        <v>0</v>
      </c>
      <c r="BP51" s="224" t="str">
        <f t="shared" si="5"/>
        <v/>
      </c>
      <c r="BQ51" s="207"/>
      <c r="BR51" s="207" t="str">
        <f t="shared" si="6"/>
        <v>53</v>
      </c>
    </row>
    <row r="52" spans="1:70" s="225" customFormat="1" ht="25.5" customHeight="1">
      <c r="A52" s="207">
        <v>48</v>
      </c>
      <c r="B52" s="112" t="s">
        <v>73</v>
      </c>
      <c r="C52" s="112" t="s">
        <v>129</v>
      </c>
      <c r="D52" s="112" t="s">
        <v>134</v>
      </c>
      <c r="E52" s="112" t="s">
        <v>76</v>
      </c>
      <c r="F52" s="112" t="s">
        <v>77</v>
      </c>
      <c r="G52" s="112" t="s">
        <v>77</v>
      </c>
      <c r="H52" s="112" t="s">
        <v>77</v>
      </c>
      <c r="I52" s="112" t="s">
        <v>77</v>
      </c>
      <c r="J52" s="112" t="s">
        <v>77</v>
      </c>
      <c r="K52" s="112" t="s">
        <v>77</v>
      </c>
      <c r="L52" s="112" t="s">
        <v>85</v>
      </c>
      <c r="M52" s="112" t="s">
        <v>136</v>
      </c>
      <c r="N52" s="112">
        <v>9999</v>
      </c>
      <c r="O52" s="114" t="s">
        <v>132</v>
      </c>
      <c r="P52" s="114" t="s">
        <v>81</v>
      </c>
      <c r="Q52" s="114" t="s">
        <v>112</v>
      </c>
      <c r="R52" s="115" t="str">
        <f t="shared" si="0"/>
        <v>58</v>
      </c>
      <c r="S52" s="112">
        <v>580301</v>
      </c>
      <c r="T52" s="122" t="e">
        <f>VLOOKUP(S52,ITEM!$C$1:$D$156,2,FALSE)</f>
        <v>#N/A</v>
      </c>
      <c r="U52" s="112" t="s">
        <v>83</v>
      </c>
      <c r="V52" s="112" t="s">
        <v>82</v>
      </c>
      <c r="W52" s="112" t="s">
        <v>84</v>
      </c>
      <c r="X52" s="112" t="s">
        <v>84</v>
      </c>
      <c r="Y52" s="224" t="e">
        <f>'Matriz POA 2024-TRABAJO'!#REF!</f>
        <v>#REF!</v>
      </c>
      <c r="Z52" s="224" t="e">
        <f>'Matriz POA 2024-TRABAJO'!#REF!</f>
        <v>#REF!</v>
      </c>
      <c r="AA52" s="280" t="e">
        <f>'Matriz POA 2024-TRABAJO'!#REF!</f>
        <v>#REF!</v>
      </c>
      <c r="AB52" s="279"/>
      <c r="AC52" s="279"/>
      <c r="AD52" s="279"/>
      <c r="AE52" s="279"/>
      <c r="AF52" s="279"/>
      <c r="AG52" s="279"/>
      <c r="AH52" s="279"/>
      <c r="AI52" s="279"/>
      <c r="AJ52" s="279"/>
      <c r="AK52" s="279"/>
      <c r="AL52" s="279"/>
      <c r="AM52" s="279"/>
      <c r="AN52" s="281" t="e">
        <f>SUM(#REF!)</f>
        <v>#REF!</v>
      </c>
      <c r="AO52" s="224">
        <f t="shared" si="1"/>
        <v>0</v>
      </c>
      <c r="AP52" s="224" t="e">
        <f t="shared" si="7"/>
        <v>#REF!</v>
      </c>
      <c r="AQ52" s="224">
        <v>9999999991</v>
      </c>
      <c r="AR52" s="207" t="s">
        <v>114</v>
      </c>
      <c r="AS52" s="224"/>
      <c r="AT52" s="224" t="str">
        <f>IFERROR(VLOOKUP($A52,'Constancias POA'!$A$2:$DH$9993,17,FALSE),"")</f>
        <v/>
      </c>
      <c r="AU52" s="224" t="str">
        <f t="shared" si="2"/>
        <v/>
      </c>
      <c r="AV52" s="224" t="str">
        <f>IFERROR(VLOOKUP($A52,CP!$A$1:$U$7992,18,FALSE),"")</f>
        <v/>
      </c>
      <c r="AW52" s="224" t="str">
        <f>IFERROR(VLOOKUP($A52,CP!$A$1:$U$7992,19,FALSE),"")</f>
        <v/>
      </c>
      <c r="AX52" s="224" t="str">
        <f>IFERROR(VLOOKUP($A52,CP!$A$1:$U$7992,20,FALSE),"")</f>
        <v/>
      </c>
      <c r="AY52" s="224" t="str">
        <f>IFERROR(VLOOKUP($A52,CP!$A$1:$U$1,21,FALSE),"")</f>
        <v/>
      </c>
      <c r="AZ52" s="224" t="str">
        <f>IFERROR(VLOOKUP(A52,Devengado!$A$1:AJ1,35,FALSE),"")</f>
        <v/>
      </c>
      <c r="BA52" s="224" t="str">
        <f t="shared" si="3"/>
        <v/>
      </c>
      <c r="BB52" s="224" t="str">
        <f>IFERROR(AZ52/#REF!,"")</f>
        <v/>
      </c>
      <c r="BC52" s="224" t="str">
        <f>IFERROR(VLOOKUP($A52,Devengado!$A$1:$AI$1,22,FALSE),"")</f>
        <v/>
      </c>
      <c r="BD52" s="224" t="str">
        <f>IFERROR(VLOOKUP($A52,Devengado!$A$1:$AI$1,23,FALSE),"")</f>
        <v/>
      </c>
      <c r="BE52" s="224" t="str">
        <f>IFERROR(VLOOKUP($A52,Devengado!$A$1:$AI$1,24,FALSE),"")</f>
        <v/>
      </c>
      <c r="BF52" s="224" t="str">
        <f>IFERROR(VLOOKUP($A52,Devengado!$A$1:$AI$1,25,FALSE),"")</f>
        <v/>
      </c>
      <c r="BG52" s="224" t="str">
        <f>IFERROR(VLOOKUP($A52,Devengado!$A$1:$AI$1,26,FALSE),"")</f>
        <v/>
      </c>
      <c r="BH52" s="224" t="str">
        <f>IFERROR(VLOOKUP($A52,Devengado!$A$1:$AI$1,27,FALSE),"")</f>
        <v/>
      </c>
      <c r="BI52" s="224" t="str">
        <f>IFERROR(VLOOKUP($A52,Devengado!$A$1:$AI$1,28,FALSE),"")</f>
        <v/>
      </c>
      <c r="BJ52" s="224" t="str">
        <f>IFERROR(VLOOKUP($A52,Devengado!$A$1:$AI$1,29,FALSE),"")</f>
        <v/>
      </c>
      <c r="BK52" s="224" t="str">
        <f>IFERROR(VLOOKUP($A52,Devengado!$A$1:$AI$1,30,FALSE),"")</f>
        <v/>
      </c>
      <c r="BL52" s="224" t="str">
        <f>IFERROR(VLOOKUP($A52,Devengado!$A$1:$AI$1,31,FALSE),"")</f>
        <v/>
      </c>
      <c r="BM52" s="224" t="str">
        <f>IFERROR(VLOOKUP($A52,Devengado!$A$1:$AI$1,32,FALSE),"")</f>
        <v/>
      </c>
      <c r="BN52" s="224" t="str">
        <f>IFERROR(VLOOKUP($A52,Devengado!$A$1:$AI$1,33,FALSE),"")</f>
        <v/>
      </c>
      <c r="BO52" s="224">
        <f t="shared" si="4"/>
        <v>0</v>
      </c>
      <c r="BP52" s="224" t="str">
        <f t="shared" si="5"/>
        <v/>
      </c>
      <c r="BQ52" s="207"/>
      <c r="BR52" s="207" t="str">
        <f t="shared" si="6"/>
        <v>58</v>
      </c>
    </row>
    <row r="53" spans="1:70" s="225" customFormat="1" ht="25.5" customHeight="1">
      <c r="A53" s="207">
        <v>49</v>
      </c>
      <c r="B53" s="112" t="s">
        <v>73</v>
      </c>
      <c r="C53" s="112" t="s">
        <v>129</v>
      </c>
      <c r="D53" s="112" t="s">
        <v>137</v>
      </c>
      <c r="E53" s="112" t="s">
        <v>76</v>
      </c>
      <c r="F53" s="112" t="s">
        <v>77</v>
      </c>
      <c r="G53" s="112" t="s">
        <v>77</v>
      </c>
      <c r="H53" s="112" t="s">
        <v>77</v>
      </c>
      <c r="I53" s="112" t="s">
        <v>77</v>
      </c>
      <c r="J53" s="112" t="s">
        <v>77</v>
      </c>
      <c r="K53" s="112" t="s">
        <v>77</v>
      </c>
      <c r="L53" s="112" t="s">
        <v>85</v>
      </c>
      <c r="M53" s="112" t="s">
        <v>138</v>
      </c>
      <c r="N53" s="112">
        <v>9999</v>
      </c>
      <c r="O53" s="114" t="s">
        <v>132</v>
      </c>
      <c r="P53" s="114" t="s">
        <v>81</v>
      </c>
      <c r="Q53" s="114" t="s">
        <v>112</v>
      </c>
      <c r="R53" s="115" t="str">
        <f t="shared" si="0"/>
        <v>53</v>
      </c>
      <c r="S53" s="112">
        <v>530606</v>
      </c>
      <c r="T53" s="122" t="str">
        <f>VLOOKUP(S53,ITEM!$C$1:$D$156,2,FALSE)</f>
        <v>Honorarios por Contratos Civiles de Servicios</v>
      </c>
      <c r="U53" s="115" t="s">
        <v>83</v>
      </c>
      <c r="V53" s="115" t="s">
        <v>82</v>
      </c>
      <c r="W53" s="115" t="s">
        <v>84</v>
      </c>
      <c r="X53" s="115" t="s">
        <v>84</v>
      </c>
      <c r="Y53" s="224" t="e">
        <f>'Matriz POA 2024-TRABAJO'!#REF!</f>
        <v>#REF!</v>
      </c>
      <c r="Z53" s="224" t="e">
        <f>'Matriz POA 2024-TRABAJO'!#REF!</f>
        <v>#REF!</v>
      </c>
      <c r="AA53" s="224" t="e">
        <f>'Matriz POA 2024-TRABAJO'!#REF!</f>
        <v>#REF!</v>
      </c>
      <c r="AB53" s="282">
        <v>0</v>
      </c>
      <c r="AC53" s="282">
        <v>0</v>
      </c>
      <c r="AD53" s="282">
        <v>0</v>
      </c>
      <c r="AE53" s="282">
        <v>0</v>
      </c>
      <c r="AF53" s="282">
        <v>0</v>
      </c>
      <c r="AG53" s="282">
        <v>0</v>
      </c>
      <c r="AH53" s="282">
        <v>0</v>
      </c>
      <c r="AI53" s="282">
        <v>0</v>
      </c>
      <c r="AJ53" s="282">
        <v>0</v>
      </c>
      <c r="AK53" s="282">
        <v>0</v>
      </c>
      <c r="AL53" s="282">
        <v>0</v>
      </c>
      <c r="AM53" s="282">
        <v>0</v>
      </c>
      <c r="AN53" s="224" t="e">
        <f>SUM(#REF!)</f>
        <v>#REF!</v>
      </c>
      <c r="AO53" s="224">
        <f t="shared" si="1"/>
        <v>0</v>
      </c>
      <c r="AP53" s="224" t="e">
        <f t="shared" si="7"/>
        <v>#REF!</v>
      </c>
      <c r="AQ53" s="224"/>
      <c r="AR53" s="224"/>
      <c r="AS53" s="224"/>
      <c r="AT53" s="224" t="str">
        <f>IFERROR(VLOOKUP($A53,'Constancias POA'!$A$2:$DH$9993,17,FALSE),"")</f>
        <v/>
      </c>
      <c r="AU53" s="224" t="str">
        <f t="shared" si="2"/>
        <v/>
      </c>
      <c r="AV53" s="224" t="str">
        <f>IFERROR(VLOOKUP($A53,CP!$A$1:$U$7992,18,FALSE),"")</f>
        <v/>
      </c>
      <c r="AW53" s="224" t="str">
        <f>IFERROR(VLOOKUP($A53,CP!$A$1:$U$7992,19,FALSE),"")</f>
        <v/>
      </c>
      <c r="AX53" s="224" t="str">
        <f>IFERROR(VLOOKUP($A53,CP!$A$1:$U$7992,20,FALSE),"")</f>
        <v/>
      </c>
      <c r="AY53" s="224" t="str">
        <f>IFERROR(VLOOKUP($A53,CP!$A$1:$U$1,21,FALSE),"")</f>
        <v/>
      </c>
      <c r="AZ53" s="224" t="str">
        <f>IFERROR(VLOOKUP(A53,Devengado!$A$1:AJ1,35,FALSE),"")</f>
        <v/>
      </c>
      <c r="BA53" s="224" t="str">
        <f t="shared" si="3"/>
        <v/>
      </c>
      <c r="BB53" s="224" t="str">
        <f>IFERROR(AZ53/#REF!,"")</f>
        <v/>
      </c>
      <c r="BC53" s="224" t="str">
        <f>IFERROR(VLOOKUP($A53,Devengado!$A$1:$AI$1,22,FALSE),"")</f>
        <v/>
      </c>
      <c r="BD53" s="224" t="str">
        <f>IFERROR(VLOOKUP($A53,Devengado!$A$1:$AI$1,23,FALSE),"")</f>
        <v/>
      </c>
      <c r="BE53" s="224" t="str">
        <f>IFERROR(VLOOKUP($A53,Devengado!$A$1:$AI$1,24,FALSE),"")</f>
        <v/>
      </c>
      <c r="BF53" s="224" t="str">
        <f>IFERROR(VLOOKUP($A53,Devengado!$A$1:$AI$1,25,FALSE),"")</f>
        <v/>
      </c>
      <c r="BG53" s="224" t="str">
        <f>IFERROR(VLOOKUP($A53,Devengado!$A$1:$AI$1,26,FALSE),"")</f>
        <v/>
      </c>
      <c r="BH53" s="224" t="str">
        <f>IFERROR(VLOOKUP($A53,Devengado!$A$1:$AI$1,27,FALSE),"")</f>
        <v/>
      </c>
      <c r="BI53" s="224" t="str">
        <f>IFERROR(VLOOKUP($A53,Devengado!$A$1:$AI$1,28,FALSE),"")</f>
        <v/>
      </c>
      <c r="BJ53" s="224" t="str">
        <f>IFERROR(VLOOKUP($A53,Devengado!$A$1:$AI$1,29,FALSE),"")</f>
        <v/>
      </c>
      <c r="BK53" s="224" t="str">
        <f>IFERROR(VLOOKUP($A53,Devengado!$A$1:$AI$1,30,FALSE),"")</f>
        <v/>
      </c>
      <c r="BL53" s="224" t="str">
        <f>IFERROR(VLOOKUP($A53,Devengado!$A$1:$AI$1,31,FALSE),"")</f>
        <v/>
      </c>
      <c r="BM53" s="224" t="str">
        <f>IFERROR(VLOOKUP($A53,Devengado!$A$1:$AI$1,32,FALSE),"")</f>
        <v/>
      </c>
      <c r="BN53" s="224" t="str">
        <f>IFERROR(VLOOKUP($A53,Devengado!$A$1:$AI$1,33,FALSE),"")</f>
        <v/>
      </c>
      <c r="BO53" s="224">
        <f t="shared" si="4"/>
        <v>0</v>
      </c>
      <c r="BP53" s="224" t="str">
        <f t="shared" si="5"/>
        <v/>
      </c>
      <c r="BQ53" s="207"/>
      <c r="BR53" s="207" t="str">
        <f t="shared" si="6"/>
        <v>53</v>
      </c>
    </row>
    <row r="54" spans="1:70" s="225" customFormat="1" ht="25.5" customHeight="1">
      <c r="A54" s="207">
        <v>50</v>
      </c>
      <c r="B54" s="112" t="s">
        <v>73</v>
      </c>
      <c r="C54" s="112" t="s">
        <v>129</v>
      </c>
      <c r="D54" s="112" t="s">
        <v>137</v>
      </c>
      <c r="E54" s="112" t="s">
        <v>76</v>
      </c>
      <c r="F54" s="112" t="s">
        <v>77</v>
      </c>
      <c r="G54" s="112" t="s">
        <v>77</v>
      </c>
      <c r="H54" s="112" t="s">
        <v>77</v>
      </c>
      <c r="I54" s="112" t="s">
        <v>77</v>
      </c>
      <c r="J54" s="112" t="s">
        <v>77</v>
      </c>
      <c r="K54" s="112" t="s">
        <v>77</v>
      </c>
      <c r="L54" s="112" t="s">
        <v>85</v>
      </c>
      <c r="M54" s="180" t="s">
        <v>139</v>
      </c>
      <c r="N54" s="181">
        <v>9999</v>
      </c>
      <c r="O54" s="182" t="s">
        <v>132</v>
      </c>
      <c r="P54" s="182" t="s">
        <v>81</v>
      </c>
      <c r="Q54" s="182" t="s">
        <v>112</v>
      </c>
      <c r="R54" s="115" t="str">
        <f t="shared" si="0"/>
        <v>53</v>
      </c>
      <c r="S54" s="112">
        <v>530303</v>
      </c>
      <c r="T54" s="122" t="str">
        <f>VLOOKUP(S54,ITEM!$C$1:$D$156,2,FALSE)</f>
        <v>Viáticos y Subsistencias en el Interior</v>
      </c>
      <c r="U54" s="112" t="s">
        <v>83</v>
      </c>
      <c r="V54" s="112" t="s">
        <v>82</v>
      </c>
      <c r="W54" s="112" t="s">
        <v>84</v>
      </c>
      <c r="X54" s="112" t="s">
        <v>84</v>
      </c>
      <c r="Y54" s="224" t="e">
        <f>'Matriz POA 2024-TRABAJO'!#REF!</f>
        <v>#REF!</v>
      </c>
      <c r="Z54" s="224" t="e">
        <f>'Matriz POA 2024-TRABAJO'!#REF!</f>
        <v>#REF!</v>
      </c>
      <c r="AA54" s="224" t="e">
        <f>'Matriz POA 2024-TRABAJO'!#REF!</f>
        <v>#REF!</v>
      </c>
      <c r="AB54" s="279">
        <v>0</v>
      </c>
      <c r="AC54" s="279">
        <v>0</v>
      </c>
      <c r="AD54" s="279">
        <v>0</v>
      </c>
      <c r="AE54" s="279">
        <v>0</v>
      </c>
      <c r="AF54" s="279">
        <v>1500</v>
      </c>
      <c r="AG54" s="279">
        <v>0</v>
      </c>
      <c r="AH54" s="279">
        <v>0</v>
      </c>
      <c r="AI54" s="279">
        <v>0</v>
      </c>
      <c r="AJ54" s="279">
        <v>0</v>
      </c>
      <c r="AK54" s="279">
        <v>0</v>
      </c>
      <c r="AL54" s="279">
        <v>0</v>
      </c>
      <c r="AM54" s="279">
        <v>0</v>
      </c>
      <c r="AN54" s="224" t="e">
        <f>SUM(#REF!)</f>
        <v>#REF!</v>
      </c>
      <c r="AO54" s="224">
        <f t="shared" si="1"/>
        <v>1500</v>
      </c>
      <c r="AP54" s="224" t="e">
        <f t="shared" si="7"/>
        <v>#REF!</v>
      </c>
      <c r="AQ54" s="224"/>
      <c r="AR54" s="224"/>
      <c r="AS54" s="224"/>
      <c r="AT54" s="224" t="str">
        <f>IFERROR(VLOOKUP($A54,'Constancias POA'!$A$2:$DH$9993,17,FALSE),"")</f>
        <v/>
      </c>
      <c r="AU54" s="224" t="str">
        <f t="shared" si="2"/>
        <v/>
      </c>
      <c r="AV54" s="224" t="str">
        <f>IFERROR(VLOOKUP($A54,CP!$A$1:$U$7992,18,FALSE),"")</f>
        <v/>
      </c>
      <c r="AW54" s="224" t="str">
        <f>IFERROR(VLOOKUP($A54,CP!$A$1:$U$7992,19,FALSE),"")</f>
        <v/>
      </c>
      <c r="AX54" s="224" t="str">
        <f>IFERROR(VLOOKUP($A54,CP!$A$1:$U$7992,20,FALSE),"")</f>
        <v/>
      </c>
      <c r="AY54" s="224" t="str">
        <f>IFERROR(VLOOKUP($A54,CP!$A$1:$U$1,21,FALSE),"")</f>
        <v/>
      </c>
      <c r="AZ54" s="224" t="str">
        <f>IFERROR(VLOOKUP(A54,Devengado!$A$1:AJ1,35,FALSE),"")</f>
        <v/>
      </c>
      <c r="BA54" s="224" t="str">
        <f t="shared" si="3"/>
        <v/>
      </c>
      <c r="BB54" s="224" t="str">
        <f>IFERROR(AZ54/#REF!,"")</f>
        <v/>
      </c>
      <c r="BC54" s="224" t="str">
        <f>IFERROR(VLOOKUP($A54,Devengado!$A$1:$AI$1,22,FALSE),"")</f>
        <v/>
      </c>
      <c r="BD54" s="224" t="str">
        <f>IFERROR(VLOOKUP($A54,Devengado!$A$1:$AI$1,23,FALSE),"")</f>
        <v/>
      </c>
      <c r="BE54" s="224" t="str">
        <f>IFERROR(VLOOKUP($A54,Devengado!$A$1:$AI$1,24,FALSE),"")</f>
        <v/>
      </c>
      <c r="BF54" s="224" t="str">
        <f>IFERROR(VLOOKUP($A54,Devengado!$A$1:$AI$1,25,FALSE),"")</f>
        <v/>
      </c>
      <c r="BG54" s="224" t="str">
        <f>IFERROR(VLOOKUP($A54,Devengado!$A$1:$AI$1,26,FALSE),"")</f>
        <v/>
      </c>
      <c r="BH54" s="224" t="str">
        <f>IFERROR(VLOOKUP($A54,Devengado!$A$1:$AI$1,27,FALSE),"")</f>
        <v/>
      </c>
      <c r="BI54" s="224" t="str">
        <f>IFERROR(VLOOKUP($A54,Devengado!$A$1:$AI$1,28,FALSE),"")</f>
        <v/>
      </c>
      <c r="BJ54" s="224" t="str">
        <f>IFERROR(VLOOKUP($A54,Devengado!$A$1:$AI$1,29,FALSE),"")</f>
        <v/>
      </c>
      <c r="BK54" s="224" t="str">
        <f>IFERROR(VLOOKUP($A54,Devengado!$A$1:$AI$1,30,FALSE),"")</f>
        <v/>
      </c>
      <c r="BL54" s="224" t="str">
        <f>IFERROR(VLOOKUP($A54,Devengado!$A$1:$AI$1,31,FALSE),"")</f>
        <v/>
      </c>
      <c r="BM54" s="224" t="str">
        <f>IFERROR(VLOOKUP($A54,Devengado!$A$1:$AI$1,32,FALSE),"")</f>
        <v/>
      </c>
      <c r="BN54" s="224" t="str">
        <f>IFERROR(VLOOKUP($A54,Devengado!$A$1:$AI$1,33,FALSE),"")</f>
        <v/>
      </c>
      <c r="BO54" s="224">
        <f t="shared" si="4"/>
        <v>0</v>
      </c>
      <c r="BP54" s="224" t="str">
        <f t="shared" si="5"/>
        <v/>
      </c>
      <c r="BQ54" s="207"/>
      <c r="BR54" s="207" t="str">
        <f t="shared" si="6"/>
        <v>53</v>
      </c>
    </row>
    <row r="55" spans="1:70" s="225" customFormat="1" ht="25.5" customHeight="1">
      <c r="A55" s="207">
        <v>51</v>
      </c>
      <c r="B55" s="112" t="s">
        <v>73</v>
      </c>
      <c r="C55" s="112" t="s">
        <v>129</v>
      </c>
      <c r="D55" s="112" t="s">
        <v>140</v>
      </c>
      <c r="E55" s="112" t="s">
        <v>76</v>
      </c>
      <c r="F55" s="112" t="s">
        <v>77</v>
      </c>
      <c r="G55" s="112" t="s">
        <v>77</v>
      </c>
      <c r="H55" s="112" t="s">
        <v>77</v>
      </c>
      <c r="I55" s="112" t="s">
        <v>77</v>
      </c>
      <c r="J55" s="112" t="s">
        <v>77</v>
      </c>
      <c r="K55" s="112" t="s">
        <v>77</v>
      </c>
      <c r="L55" s="112" t="s">
        <v>85</v>
      </c>
      <c r="M55" s="180" t="s">
        <v>141</v>
      </c>
      <c r="N55" s="181">
        <v>9999</v>
      </c>
      <c r="O55" s="182" t="s">
        <v>132</v>
      </c>
      <c r="P55" s="182" t="s">
        <v>81</v>
      </c>
      <c r="Q55" s="182" t="s">
        <v>112</v>
      </c>
      <c r="R55" s="115" t="str">
        <f t="shared" si="0"/>
        <v>53</v>
      </c>
      <c r="S55" s="112">
        <v>530301</v>
      </c>
      <c r="T55" s="122" t="str">
        <f>VLOOKUP(S55,ITEM!$C$1:$D$156,2,FALSE)</f>
        <v>Pasajes al Interior</v>
      </c>
      <c r="U55" s="112" t="s">
        <v>83</v>
      </c>
      <c r="V55" s="112" t="s">
        <v>82</v>
      </c>
      <c r="W55" s="112" t="s">
        <v>84</v>
      </c>
      <c r="X55" s="112" t="s">
        <v>84</v>
      </c>
      <c r="Y55" s="224" t="e">
        <f>'Matriz POA 2024-TRABAJO'!#REF!</f>
        <v>#REF!</v>
      </c>
      <c r="Z55" s="224" t="e">
        <f>'Matriz POA 2024-TRABAJO'!#REF!</f>
        <v>#REF!</v>
      </c>
      <c r="AA55" s="224" t="e">
        <f>'Matriz POA 2024-TRABAJO'!#REF!</f>
        <v>#REF!</v>
      </c>
      <c r="AB55" s="279">
        <v>0</v>
      </c>
      <c r="AC55" s="279">
        <v>0</v>
      </c>
      <c r="AD55" s="279">
        <v>0</v>
      </c>
      <c r="AE55" s="279">
        <v>0</v>
      </c>
      <c r="AF55" s="279">
        <v>0</v>
      </c>
      <c r="AG55" s="279">
        <v>0</v>
      </c>
      <c r="AH55" s="279">
        <v>0</v>
      </c>
      <c r="AI55" s="279">
        <v>0</v>
      </c>
      <c r="AJ55" s="279">
        <v>0</v>
      </c>
      <c r="AK55" s="279">
        <v>0</v>
      </c>
      <c r="AL55" s="279">
        <v>0</v>
      </c>
      <c r="AM55" s="279">
        <v>0</v>
      </c>
      <c r="AN55" s="224" t="e">
        <f>SUM(#REF!)</f>
        <v>#REF!</v>
      </c>
      <c r="AO55" s="224">
        <f t="shared" si="1"/>
        <v>0</v>
      </c>
      <c r="AP55" s="224" t="e">
        <f t="shared" si="7"/>
        <v>#REF!</v>
      </c>
      <c r="AQ55" s="224"/>
      <c r="AR55" s="224"/>
      <c r="AS55" s="224"/>
      <c r="AT55" s="224" t="str">
        <f>IFERROR(VLOOKUP($A55,'Constancias POA'!$A$2:$DH$9993,17,FALSE),"")</f>
        <v/>
      </c>
      <c r="AU55" s="224" t="str">
        <f t="shared" si="2"/>
        <v/>
      </c>
      <c r="AV55" s="224" t="str">
        <f>IFERROR(VLOOKUP($A55,CP!$A$1:$U$7992,18,FALSE),"")</f>
        <v/>
      </c>
      <c r="AW55" s="224" t="str">
        <f>IFERROR(VLOOKUP($A55,CP!$A$1:$U$7992,19,FALSE),"")</f>
        <v/>
      </c>
      <c r="AX55" s="224" t="str">
        <f>IFERROR(VLOOKUP($A55,CP!$A$1:$U$7992,20,FALSE),"")</f>
        <v/>
      </c>
      <c r="AY55" s="224" t="str">
        <f>IFERROR(VLOOKUP($A55,CP!$A$1:$U$1,21,FALSE),"")</f>
        <v/>
      </c>
      <c r="AZ55" s="224" t="str">
        <f>IFERROR(VLOOKUP(A55,Devengado!$A$1:AJ1,35,FALSE),"")</f>
        <v/>
      </c>
      <c r="BA55" s="224" t="str">
        <f t="shared" si="3"/>
        <v/>
      </c>
      <c r="BB55" s="224" t="str">
        <f>IFERROR(AZ55/#REF!,"")</f>
        <v/>
      </c>
      <c r="BC55" s="224" t="str">
        <f>IFERROR(VLOOKUP($A55,Devengado!$A$1:$AI$1,22,FALSE),"")</f>
        <v/>
      </c>
      <c r="BD55" s="224" t="str">
        <f>IFERROR(VLOOKUP($A55,Devengado!$A$1:$AI$1,23,FALSE),"")</f>
        <v/>
      </c>
      <c r="BE55" s="224" t="str">
        <f>IFERROR(VLOOKUP($A55,Devengado!$A$1:$AI$1,24,FALSE),"")</f>
        <v/>
      </c>
      <c r="BF55" s="224" t="str">
        <f>IFERROR(VLOOKUP($A55,Devengado!$A$1:$AI$1,25,FALSE),"")</f>
        <v/>
      </c>
      <c r="BG55" s="224" t="str">
        <f>IFERROR(VLOOKUP($A55,Devengado!$A$1:$AI$1,26,FALSE),"")</f>
        <v/>
      </c>
      <c r="BH55" s="224" t="str">
        <f>IFERROR(VLOOKUP($A55,Devengado!$A$1:$AI$1,27,FALSE),"")</f>
        <v/>
      </c>
      <c r="BI55" s="224" t="str">
        <f>IFERROR(VLOOKUP($A55,Devengado!$A$1:$AI$1,28,FALSE),"")</f>
        <v/>
      </c>
      <c r="BJ55" s="224" t="str">
        <f>IFERROR(VLOOKUP($A55,Devengado!$A$1:$AI$1,29,FALSE),"")</f>
        <v/>
      </c>
      <c r="BK55" s="224" t="str">
        <f>IFERROR(VLOOKUP($A55,Devengado!$A$1:$AI$1,30,FALSE),"")</f>
        <v/>
      </c>
      <c r="BL55" s="224" t="str">
        <f>IFERROR(VLOOKUP($A55,Devengado!$A$1:$AI$1,31,FALSE),"")</f>
        <v/>
      </c>
      <c r="BM55" s="224" t="str">
        <f>IFERROR(VLOOKUP($A55,Devengado!$A$1:$AI$1,32,FALSE),"")</f>
        <v/>
      </c>
      <c r="BN55" s="224" t="str">
        <f>IFERROR(VLOOKUP($A55,Devengado!$A$1:$AI$1,33,FALSE),"")</f>
        <v/>
      </c>
      <c r="BO55" s="224">
        <f t="shared" si="4"/>
        <v>0</v>
      </c>
      <c r="BP55" s="224" t="str">
        <f t="shared" si="5"/>
        <v/>
      </c>
      <c r="BQ55" s="207"/>
      <c r="BR55" s="207" t="str">
        <f t="shared" si="6"/>
        <v>53</v>
      </c>
    </row>
    <row r="56" spans="1:70" s="225" customFormat="1" ht="25.5" customHeight="1">
      <c r="A56" s="207">
        <v>52</v>
      </c>
      <c r="B56" s="112" t="s">
        <v>73</v>
      </c>
      <c r="C56" s="112" t="s">
        <v>129</v>
      </c>
      <c r="D56" s="112" t="s">
        <v>142</v>
      </c>
      <c r="E56" s="112" t="s">
        <v>76</v>
      </c>
      <c r="F56" s="112" t="s">
        <v>77</v>
      </c>
      <c r="G56" s="112" t="s">
        <v>77</v>
      </c>
      <c r="H56" s="112" t="s">
        <v>77</v>
      </c>
      <c r="I56" s="112" t="s">
        <v>77</v>
      </c>
      <c r="J56" s="112" t="s">
        <v>77</v>
      </c>
      <c r="K56" s="112" t="s">
        <v>77</v>
      </c>
      <c r="L56" s="112" t="s">
        <v>85</v>
      </c>
      <c r="M56" s="180" t="s">
        <v>143</v>
      </c>
      <c r="N56" s="181">
        <v>9999</v>
      </c>
      <c r="O56" s="182" t="s">
        <v>132</v>
      </c>
      <c r="P56" s="182" t="s">
        <v>81</v>
      </c>
      <c r="Q56" s="182" t="s">
        <v>112</v>
      </c>
      <c r="R56" s="115" t="str">
        <f t="shared" si="0"/>
        <v>53</v>
      </c>
      <c r="S56" s="112">
        <v>530301</v>
      </c>
      <c r="T56" s="122" t="str">
        <f>VLOOKUP(S56,ITEM!$C$1:$D$156,2,FALSE)</f>
        <v>Pasajes al Interior</v>
      </c>
      <c r="U56" s="112" t="s">
        <v>83</v>
      </c>
      <c r="V56" s="112" t="s">
        <v>82</v>
      </c>
      <c r="W56" s="112" t="s">
        <v>84</v>
      </c>
      <c r="X56" s="112" t="s">
        <v>84</v>
      </c>
      <c r="Y56" s="224" t="e">
        <f>'Matriz POA 2024-TRABAJO'!#REF!</f>
        <v>#REF!</v>
      </c>
      <c r="Z56" s="224" t="e">
        <f>'Matriz POA 2024-TRABAJO'!#REF!</f>
        <v>#REF!</v>
      </c>
      <c r="AA56" s="224" t="e">
        <f>'Matriz POA 2024-TRABAJO'!#REF!</f>
        <v>#REF!</v>
      </c>
      <c r="AB56" s="279">
        <v>0</v>
      </c>
      <c r="AC56" s="279">
        <v>0</v>
      </c>
      <c r="AD56" s="279">
        <v>0</v>
      </c>
      <c r="AE56" s="279">
        <v>0</v>
      </c>
      <c r="AF56" s="279">
        <v>0</v>
      </c>
      <c r="AG56" s="279">
        <v>0</v>
      </c>
      <c r="AH56" s="279">
        <v>0</v>
      </c>
      <c r="AI56" s="279">
        <v>0</v>
      </c>
      <c r="AJ56" s="279">
        <v>0</v>
      </c>
      <c r="AK56" s="279">
        <v>0</v>
      </c>
      <c r="AL56" s="279">
        <v>0</v>
      </c>
      <c r="AM56" s="279">
        <v>0</v>
      </c>
      <c r="AN56" s="224" t="e">
        <f>SUM(#REF!)</f>
        <v>#REF!</v>
      </c>
      <c r="AO56" s="224">
        <f t="shared" si="1"/>
        <v>0</v>
      </c>
      <c r="AP56" s="224" t="e">
        <f t="shared" si="7"/>
        <v>#REF!</v>
      </c>
      <c r="AQ56" s="224"/>
      <c r="AR56" s="224"/>
      <c r="AS56" s="224"/>
      <c r="AT56" s="224" t="str">
        <f>IFERROR(VLOOKUP($A56,'Constancias POA'!$A$2:$DH$9993,17,FALSE),"")</f>
        <v/>
      </c>
      <c r="AU56" s="224" t="str">
        <f t="shared" si="2"/>
        <v/>
      </c>
      <c r="AV56" s="224" t="str">
        <f>IFERROR(VLOOKUP($A56,CP!$A$1:$U$7992,18,FALSE),"")</f>
        <v/>
      </c>
      <c r="AW56" s="224" t="str">
        <f>IFERROR(VLOOKUP($A56,CP!$A$1:$U$7992,19,FALSE),"")</f>
        <v/>
      </c>
      <c r="AX56" s="224" t="str">
        <f>IFERROR(VLOOKUP($A56,CP!$A$1:$U$7992,20,FALSE),"")</f>
        <v/>
      </c>
      <c r="AY56" s="224" t="str">
        <f>IFERROR(VLOOKUP($A56,CP!$A$1:$U$1,21,FALSE),"")</f>
        <v/>
      </c>
      <c r="AZ56" s="224" t="str">
        <f>IFERROR(VLOOKUP(A56,Devengado!$A$1:AJ1,35,FALSE),"")</f>
        <v/>
      </c>
      <c r="BA56" s="224" t="str">
        <f t="shared" si="3"/>
        <v/>
      </c>
      <c r="BB56" s="224" t="str">
        <f>IFERROR(AZ56/#REF!,"")</f>
        <v/>
      </c>
      <c r="BC56" s="224" t="str">
        <f>IFERROR(VLOOKUP($A56,Devengado!$A$1:$AI$1,22,FALSE),"")</f>
        <v/>
      </c>
      <c r="BD56" s="224" t="str">
        <f>IFERROR(VLOOKUP($A56,Devengado!$A$1:$AI$1,23,FALSE),"")</f>
        <v/>
      </c>
      <c r="BE56" s="224" t="str">
        <f>IFERROR(VLOOKUP($A56,Devengado!$A$1:$AI$1,24,FALSE),"")</f>
        <v/>
      </c>
      <c r="BF56" s="224" t="str">
        <f>IFERROR(VLOOKUP($A56,Devengado!$A$1:$AI$1,25,FALSE),"")</f>
        <v/>
      </c>
      <c r="BG56" s="224" t="str">
        <f>IFERROR(VLOOKUP($A56,Devengado!$A$1:$AI$1,26,FALSE),"")</f>
        <v/>
      </c>
      <c r="BH56" s="224" t="str">
        <f>IFERROR(VLOOKUP($A56,Devengado!$A$1:$AI$1,27,FALSE),"")</f>
        <v/>
      </c>
      <c r="BI56" s="224" t="str">
        <f>IFERROR(VLOOKUP($A56,Devengado!$A$1:$AI$1,28,FALSE),"")</f>
        <v/>
      </c>
      <c r="BJ56" s="224" t="str">
        <f>IFERROR(VLOOKUP($A56,Devengado!$A$1:$AI$1,29,FALSE),"")</f>
        <v/>
      </c>
      <c r="BK56" s="224" t="str">
        <f>IFERROR(VLOOKUP($A56,Devengado!$A$1:$AI$1,30,FALSE),"")</f>
        <v/>
      </c>
      <c r="BL56" s="224" t="str">
        <f>IFERROR(VLOOKUP($A56,Devengado!$A$1:$AI$1,31,FALSE),"")</f>
        <v/>
      </c>
      <c r="BM56" s="224" t="str">
        <f>IFERROR(VLOOKUP($A56,Devengado!$A$1:$AI$1,32,FALSE),"")</f>
        <v/>
      </c>
      <c r="BN56" s="224" t="str">
        <f>IFERROR(VLOOKUP($A56,Devengado!$A$1:$AI$1,33,FALSE),"")</f>
        <v/>
      </c>
      <c r="BO56" s="224">
        <f t="shared" si="4"/>
        <v>0</v>
      </c>
      <c r="BP56" s="224" t="str">
        <f t="shared" si="5"/>
        <v/>
      </c>
      <c r="BQ56" s="207"/>
      <c r="BR56" s="207" t="str">
        <f t="shared" si="6"/>
        <v>53</v>
      </c>
    </row>
    <row r="57" spans="1:70" s="225" customFormat="1" ht="25.5" customHeight="1">
      <c r="A57" s="207">
        <v>53</v>
      </c>
      <c r="B57" s="112" t="s">
        <v>73</v>
      </c>
      <c r="C57" s="112" t="s">
        <v>129</v>
      </c>
      <c r="D57" s="112" t="s">
        <v>142</v>
      </c>
      <c r="E57" s="112" t="s">
        <v>76</v>
      </c>
      <c r="F57" s="112" t="s">
        <v>77</v>
      </c>
      <c r="G57" s="112" t="s">
        <v>77</v>
      </c>
      <c r="H57" s="112" t="s">
        <v>77</v>
      </c>
      <c r="I57" s="112" t="s">
        <v>77</v>
      </c>
      <c r="J57" s="112" t="s">
        <v>77</v>
      </c>
      <c r="K57" s="112" t="s">
        <v>77</v>
      </c>
      <c r="L57" s="112" t="s">
        <v>85</v>
      </c>
      <c r="M57" s="112" t="s">
        <v>144</v>
      </c>
      <c r="N57" s="112">
        <v>9999</v>
      </c>
      <c r="O57" s="114" t="s">
        <v>132</v>
      </c>
      <c r="P57" s="114" t="s">
        <v>81</v>
      </c>
      <c r="Q57" s="114" t="s">
        <v>112</v>
      </c>
      <c r="R57" s="115" t="str">
        <f t="shared" si="0"/>
        <v>58</v>
      </c>
      <c r="S57" s="112">
        <v>580301</v>
      </c>
      <c r="T57" s="122" t="e">
        <f>VLOOKUP(S57,ITEM!$C$1:$D$156,2,FALSE)</f>
        <v>#N/A</v>
      </c>
      <c r="U57" s="115" t="s">
        <v>83</v>
      </c>
      <c r="V57" s="115" t="s">
        <v>82</v>
      </c>
      <c r="W57" s="115" t="s">
        <v>84</v>
      </c>
      <c r="X57" s="115" t="s">
        <v>84</v>
      </c>
      <c r="Y57" s="224" t="e">
        <f>'Matriz POA 2024-TRABAJO'!#REF!</f>
        <v>#REF!</v>
      </c>
      <c r="Z57" s="224" t="e">
        <f>'Matriz POA 2024-TRABAJO'!#REF!</f>
        <v>#REF!</v>
      </c>
      <c r="AA57" s="280" t="e">
        <f>'Matriz POA 2024-TRABAJO'!#REF!</f>
        <v>#REF!</v>
      </c>
      <c r="AB57" s="279"/>
      <c r="AC57" s="279"/>
      <c r="AD57" s="279"/>
      <c r="AE57" s="279"/>
      <c r="AF57" s="279"/>
      <c r="AG57" s="279"/>
      <c r="AH57" s="279"/>
      <c r="AI57" s="279"/>
      <c r="AJ57" s="279"/>
      <c r="AK57" s="279"/>
      <c r="AL57" s="279"/>
      <c r="AM57" s="279"/>
      <c r="AN57" s="281" t="e">
        <f>SUM(#REF!)</f>
        <v>#REF!</v>
      </c>
      <c r="AO57" s="224">
        <f t="shared" si="1"/>
        <v>0</v>
      </c>
      <c r="AP57" s="224" t="e">
        <f t="shared" si="7"/>
        <v>#REF!</v>
      </c>
      <c r="AQ57" s="224" t="s">
        <v>145</v>
      </c>
      <c r="AR57" s="224" t="s">
        <v>146</v>
      </c>
      <c r="AS57" s="224"/>
      <c r="AT57" s="224" t="str">
        <f>IFERROR(VLOOKUP($A57,'Constancias POA'!$A$2:$DH$9993,17,FALSE),"")</f>
        <v/>
      </c>
      <c r="AU57" s="224" t="str">
        <f t="shared" si="2"/>
        <v/>
      </c>
      <c r="AV57" s="224" t="str">
        <f>IFERROR(VLOOKUP($A57,CP!$A$1:$U$7992,18,FALSE),"")</f>
        <v/>
      </c>
      <c r="AW57" s="224" t="str">
        <f>IFERROR(VLOOKUP($A57,CP!$A$1:$U$7992,19,FALSE),"")</f>
        <v/>
      </c>
      <c r="AX57" s="224" t="str">
        <f>IFERROR(VLOOKUP($A57,CP!$A$1:$U$7992,20,FALSE),"")</f>
        <v/>
      </c>
      <c r="AY57" s="224" t="str">
        <f>IFERROR(VLOOKUP($A57,CP!$A$1:$U$1,21,FALSE),"")</f>
        <v/>
      </c>
      <c r="AZ57" s="224" t="str">
        <f>IFERROR(VLOOKUP(A57,Devengado!$A$1:AJ1,35,FALSE),"")</f>
        <v/>
      </c>
      <c r="BA57" s="224" t="str">
        <f t="shared" si="3"/>
        <v/>
      </c>
      <c r="BB57" s="224" t="str">
        <f>IFERROR(AZ57/#REF!,"")</f>
        <v/>
      </c>
      <c r="BC57" s="224" t="str">
        <f>IFERROR(VLOOKUP($A57,Devengado!$A$1:$AI$1,22,FALSE),"")</f>
        <v/>
      </c>
      <c r="BD57" s="224" t="str">
        <f>IFERROR(VLOOKUP($A57,Devengado!$A$1:$AI$1,23,FALSE),"")</f>
        <v/>
      </c>
      <c r="BE57" s="224" t="str">
        <f>IFERROR(VLOOKUP($A57,Devengado!$A$1:$AI$1,24,FALSE),"")</f>
        <v/>
      </c>
      <c r="BF57" s="224" t="str">
        <f>IFERROR(VLOOKUP($A57,Devengado!$A$1:$AI$1,25,FALSE),"")</f>
        <v/>
      </c>
      <c r="BG57" s="224" t="str">
        <f>IFERROR(VLOOKUP($A57,Devengado!$A$1:$AI$1,26,FALSE),"")</f>
        <v/>
      </c>
      <c r="BH57" s="224" t="str">
        <f>IFERROR(VLOOKUP($A57,Devengado!$A$1:$AI$1,27,FALSE),"")</f>
        <v/>
      </c>
      <c r="BI57" s="224" t="str">
        <f>IFERROR(VLOOKUP($A57,Devengado!$A$1:$AI$1,28,FALSE),"")</f>
        <v/>
      </c>
      <c r="BJ57" s="224" t="str">
        <f>IFERROR(VLOOKUP($A57,Devengado!$A$1:$AI$1,29,FALSE),"")</f>
        <v/>
      </c>
      <c r="BK57" s="224" t="str">
        <f>IFERROR(VLOOKUP($A57,Devengado!$A$1:$AI$1,30,FALSE),"")</f>
        <v/>
      </c>
      <c r="BL57" s="224" t="str">
        <f>IFERROR(VLOOKUP($A57,Devengado!$A$1:$AI$1,31,FALSE),"")</f>
        <v/>
      </c>
      <c r="BM57" s="224" t="str">
        <f>IFERROR(VLOOKUP($A57,Devengado!$A$1:$AI$1,32,FALSE),"")</f>
        <v/>
      </c>
      <c r="BN57" s="224" t="str">
        <f>IFERROR(VLOOKUP($A57,Devengado!$A$1:$AI$1,33,FALSE),"")</f>
        <v/>
      </c>
      <c r="BO57" s="224">
        <f t="shared" si="4"/>
        <v>0</v>
      </c>
      <c r="BP57" s="224" t="str">
        <f t="shared" si="5"/>
        <v/>
      </c>
      <c r="BQ57" s="207"/>
      <c r="BR57" s="207" t="str">
        <f t="shared" si="6"/>
        <v>58</v>
      </c>
    </row>
    <row r="58" spans="1:70" s="225" customFormat="1" ht="25.5" customHeight="1">
      <c r="A58" s="207">
        <v>54</v>
      </c>
      <c r="B58" s="112" t="s">
        <v>73</v>
      </c>
      <c r="C58" s="112" t="s">
        <v>129</v>
      </c>
      <c r="D58" s="112" t="s">
        <v>142</v>
      </c>
      <c r="E58" s="112" t="s">
        <v>76</v>
      </c>
      <c r="F58" s="112" t="s">
        <v>77</v>
      </c>
      <c r="G58" s="112" t="s">
        <v>77</v>
      </c>
      <c r="H58" s="112" t="s">
        <v>77</v>
      </c>
      <c r="I58" s="112" t="s">
        <v>77</v>
      </c>
      <c r="J58" s="112" t="s">
        <v>77</v>
      </c>
      <c r="K58" s="112" t="s">
        <v>77</v>
      </c>
      <c r="L58" s="112" t="s">
        <v>85</v>
      </c>
      <c r="M58" s="112" t="s">
        <v>147</v>
      </c>
      <c r="N58" s="112">
        <v>9999</v>
      </c>
      <c r="O58" s="114" t="s">
        <v>132</v>
      </c>
      <c r="P58" s="114" t="s">
        <v>81</v>
      </c>
      <c r="Q58" s="114" t="s">
        <v>112</v>
      </c>
      <c r="R58" s="115" t="str">
        <f t="shared" si="0"/>
        <v>53</v>
      </c>
      <c r="S58" s="112">
        <v>530205</v>
      </c>
      <c r="T58" s="122" t="str">
        <f>VLOOKUP(S58,ITEM!$C$1:$D$156,2,FALSE)</f>
        <v>Espectáculos Culturales y Sociales</v>
      </c>
      <c r="U58" s="112" t="s">
        <v>83</v>
      </c>
      <c r="V58" s="112" t="s">
        <v>82</v>
      </c>
      <c r="W58" s="112" t="s">
        <v>84</v>
      </c>
      <c r="X58" s="112" t="s">
        <v>84</v>
      </c>
      <c r="Y58" s="224" t="e">
        <f>'Matriz POA 2024-TRABAJO'!#REF!</f>
        <v>#REF!</v>
      </c>
      <c r="Z58" s="224" t="e">
        <f>'Matriz POA 2024-TRABAJO'!#REF!</f>
        <v>#REF!</v>
      </c>
      <c r="AA58" s="224" t="e">
        <f>'Matriz POA 2024-TRABAJO'!#REF!</f>
        <v>#REF!</v>
      </c>
      <c r="AB58" s="282">
        <v>0</v>
      </c>
      <c r="AC58" s="282">
        <v>0</v>
      </c>
      <c r="AD58" s="282">
        <v>0</v>
      </c>
      <c r="AE58" s="282">
        <v>17541</v>
      </c>
      <c r="AF58" s="282">
        <v>0</v>
      </c>
      <c r="AG58" s="282">
        <v>0</v>
      </c>
      <c r="AH58" s="282">
        <v>0</v>
      </c>
      <c r="AI58" s="282">
        <v>0</v>
      </c>
      <c r="AJ58" s="282">
        <v>0</v>
      </c>
      <c r="AK58" s="282">
        <v>0</v>
      </c>
      <c r="AL58" s="282">
        <v>0</v>
      </c>
      <c r="AM58" s="282">
        <v>0</v>
      </c>
      <c r="AN58" s="224" t="e">
        <f>SUM(#REF!)</f>
        <v>#REF!</v>
      </c>
      <c r="AO58" s="224">
        <f t="shared" si="1"/>
        <v>17541</v>
      </c>
      <c r="AP58" s="224" t="e">
        <f t="shared" si="7"/>
        <v>#REF!</v>
      </c>
      <c r="AQ58" s="224"/>
      <c r="AR58" s="224"/>
      <c r="AS58" s="224"/>
      <c r="AT58" s="224" t="str">
        <f>IFERROR(VLOOKUP($A58,'Constancias POA'!$A$2:$DH$9993,17,FALSE),"")</f>
        <v/>
      </c>
      <c r="AU58" s="224" t="str">
        <f t="shared" si="2"/>
        <v/>
      </c>
      <c r="AV58" s="224" t="str">
        <f>IFERROR(VLOOKUP($A58,CP!$A$1:$U$7992,18,FALSE),"")</f>
        <v/>
      </c>
      <c r="AW58" s="224" t="str">
        <f>IFERROR(VLOOKUP($A58,CP!$A$1:$U$7992,19,FALSE),"")</f>
        <v/>
      </c>
      <c r="AX58" s="224" t="str">
        <f>IFERROR(VLOOKUP($A58,CP!$A$1:$U$7992,20,FALSE),"")</f>
        <v/>
      </c>
      <c r="AY58" s="224" t="str">
        <f>IFERROR(VLOOKUP($A58,CP!$A$1:$U$1,21,FALSE),"")</f>
        <v/>
      </c>
      <c r="AZ58" s="224" t="str">
        <f>IFERROR(VLOOKUP(A58,Devengado!$A$1:AJ1,35,FALSE),"")</f>
        <v/>
      </c>
      <c r="BA58" s="224" t="str">
        <f t="shared" si="3"/>
        <v/>
      </c>
      <c r="BB58" s="224" t="str">
        <f>IFERROR(AZ58/#REF!,"")</f>
        <v/>
      </c>
      <c r="BC58" s="224" t="str">
        <f>IFERROR(VLOOKUP($A58,Devengado!$A$1:$AI$1,22,FALSE),"")</f>
        <v/>
      </c>
      <c r="BD58" s="224" t="str">
        <f>IFERROR(VLOOKUP($A58,Devengado!$A$1:$AI$1,23,FALSE),"")</f>
        <v/>
      </c>
      <c r="BE58" s="224" t="str">
        <f>IFERROR(VLOOKUP($A58,Devengado!$A$1:$AI$1,24,FALSE),"")</f>
        <v/>
      </c>
      <c r="BF58" s="224" t="str">
        <f>IFERROR(VLOOKUP($A58,Devengado!$A$1:$AI$1,25,FALSE),"")</f>
        <v/>
      </c>
      <c r="BG58" s="224" t="str">
        <f>IFERROR(VLOOKUP($A58,Devengado!$A$1:$AI$1,26,FALSE),"")</f>
        <v/>
      </c>
      <c r="BH58" s="224" t="str">
        <f>IFERROR(VLOOKUP($A58,Devengado!$A$1:$AI$1,27,FALSE),"")</f>
        <v/>
      </c>
      <c r="BI58" s="224" t="str">
        <f>IFERROR(VLOOKUP($A58,Devengado!$A$1:$AI$1,28,FALSE),"")</f>
        <v/>
      </c>
      <c r="BJ58" s="224" t="str">
        <f>IFERROR(VLOOKUP($A58,Devengado!$A$1:$AI$1,29,FALSE),"")</f>
        <v/>
      </c>
      <c r="BK58" s="224" t="str">
        <f>IFERROR(VLOOKUP($A58,Devengado!$A$1:$AI$1,30,FALSE),"")</f>
        <v/>
      </c>
      <c r="BL58" s="224" t="str">
        <f>IFERROR(VLOOKUP($A58,Devengado!$A$1:$AI$1,31,FALSE),"")</f>
        <v/>
      </c>
      <c r="BM58" s="224" t="str">
        <f>IFERROR(VLOOKUP($A58,Devengado!$A$1:$AI$1,32,FALSE),"")</f>
        <v/>
      </c>
      <c r="BN58" s="224" t="str">
        <f>IFERROR(VLOOKUP($A58,Devengado!$A$1:$AI$1,33,FALSE),"")</f>
        <v/>
      </c>
      <c r="BO58" s="224">
        <f t="shared" si="4"/>
        <v>0</v>
      </c>
      <c r="BP58" s="224" t="str">
        <f t="shared" si="5"/>
        <v/>
      </c>
      <c r="BQ58" s="207"/>
      <c r="BR58" s="207" t="str">
        <f t="shared" si="6"/>
        <v>53</v>
      </c>
    </row>
    <row r="59" spans="1:70" s="225" customFormat="1" ht="25.5" customHeight="1">
      <c r="A59" s="207">
        <v>55</v>
      </c>
      <c r="B59" s="112" t="s">
        <v>73</v>
      </c>
      <c r="C59" s="112" t="s">
        <v>129</v>
      </c>
      <c r="D59" s="112" t="s">
        <v>134</v>
      </c>
      <c r="E59" s="112" t="s">
        <v>76</v>
      </c>
      <c r="F59" s="112" t="s">
        <v>77</v>
      </c>
      <c r="G59" s="112" t="s">
        <v>77</v>
      </c>
      <c r="H59" s="112" t="s">
        <v>77</v>
      </c>
      <c r="I59" s="112" t="s">
        <v>77</v>
      </c>
      <c r="J59" s="112" t="s">
        <v>77</v>
      </c>
      <c r="K59" s="112" t="s">
        <v>77</v>
      </c>
      <c r="L59" s="112" t="s">
        <v>85</v>
      </c>
      <c r="M59" s="112" t="s">
        <v>148</v>
      </c>
      <c r="N59" s="112">
        <v>9999</v>
      </c>
      <c r="O59" s="114" t="s">
        <v>132</v>
      </c>
      <c r="P59" s="114" t="s">
        <v>81</v>
      </c>
      <c r="Q59" s="114" t="s">
        <v>112</v>
      </c>
      <c r="R59" s="115" t="str">
        <f t="shared" si="0"/>
        <v>58</v>
      </c>
      <c r="S59" s="112">
        <v>580301</v>
      </c>
      <c r="T59" s="122" t="e">
        <f>VLOOKUP(S59,ITEM!$C$1:$D$156,2,FALSE)</f>
        <v>#N/A</v>
      </c>
      <c r="U59" s="112" t="s">
        <v>83</v>
      </c>
      <c r="V59" s="112" t="s">
        <v>82</v>
      </c>
      <c r="W59" s="112" t="s">
        <v>84</v>
      </c>
      <c r="X59" s="112" t="s">
        <v>84</v>
      </c>
      <c r="Y59" s="224" t="e">
        <f>'Matriz POA 2024-TRABAJO'!#REF!</f>
        <v>#REF!</v>
      </c>
      <c r="Z59" s="224" t="e">
        <f>'Matriz POA 2024-TRABAJO'!#REF!</f>
        <v>#REF!</v>
      </c>
      <c r="AA59" s="280" t="e">
        <f>'Matriz POA 2024-TRABAJO'!#REF!</f>
        <v>#REF!</v>
      </c>
      <c r="AB59" s="279"/>
      <c r="AC59" s="279"/>
      <c r="AD59" s="279"/>
      <c r="AE59" s="279"/>
      <c r="AF59" s="279"/>
      <c r="AG59" s="279"/>
      <c r="AH59" s="279"/>
      <c r="AI59" s="279"/>
      <c r="AJ59" s="279"/>
      <c r="AK59" s="279"/>
      <c r="AL59" s="279"/>
      <c r="AM59" s="279"/>
      <c r="AN59" s="281" t="e">
        <f>SUM(#REF!)</f>
        <v>#REF!</v>
      </c>
      <c r="AO59" s="224">
        <f t="shared" si="1"/>
        <v>0</v>
      </c>
      <c r="AP59" s="224" t="e">
        <f t="shared" si="7"/>
        <v>#REF!</v>
      </c>
      <c r="AQ59" s="224">
        <v>9999999991</v>
      </c>
      <c r="AR59" s="207" t="s">
        <v>114</v>
      </c>
      <c r="AS59" s="224"/>
      <c r="AT59" s="224" t="str">
        <f>IFERROR(VLOOKUP($A59,'Constancias POA'!$A$2:$DH$9993,17,FALSE),"")</f>
        <v/>
      </c>
      <c r="AU59" s="224" t="str">
        <f t="shared" si="2"/>
        <v/>
      </c>
      <c r="AV59" s="224" t="str">
        <f>IFERROR(VLOOKUP($A59,CP!$A$1:$U$7992,18,FALSE),"")</f>
        <v/>
      </c>
      <c r="AW59" s="224" t="str">
        <f>IFERROR(VLOOKUP($A59,CP!$A$1:$U$7992,19,FALSE),"")</f>
        <v/>
      </c>
      <c r="AX59" s="224" t="str">
        <f>IFERROR(VLOOKUP($A59,CP!$A$1:$U$7992,20,FALSE),"")</f>
        <v/>
      </c>
      <c r="AY59" s="224" t="str">
        <f>IFERROR(VLOOKUP($A59,CP!$A$1:$U$1,21,FALSE),"")</f>
        <v/>
      </c>
      <c r="AZ59" s="224" t="str">
        <f>IFERROR(VLOOKUP(A59,Devengado!$A$1:AJ1,35,FALSE),"")</f>
        <v/>
      </c>
      <c r="BA59" s="224" t="str">
        <f t="shared" si="3"/>
        <v/>
      </c>
      <c r="BB59" s="224" t="str">
        <f>IFERROR(AZ59/#REF!,"")</f>
        <v/>
      </c>
      <c r="BC59" s="224" t="str">
        <f>IFERROR(VLOOKUP($A59,Devengado!$A$1:$AI$1,22,FALSE),"")</f>
        <v/>
      </c>
      <c r="BD59" s="224" t="str">
        <f>IFERROR(VLOOKUP($A59,Devengado!$A$1:$AI$1,23,FALSE),"")</f>
        <v/>
      </c>
      <c r="BE59" s="224" t="str">
        <f>IFERROR(VLOOKUP($A59,Devengado!$A$1:$AI$1,24,FALSE),"")</f>
        <v/>
      </c>
      <c r="BF59" s="224" t="str">
        <f>IFERROR(VLOOKUP($A59,Devengado!$A$1:$AI$1,25,FALSE),"")</f>
        <v/>
      </c>
      <c r="BG59" s="224" t="str">
        <f>IFERROR(VLOOKUP($A59,Devengado!$A$1:$AI$1,26,FALSE),"")</f>
        <v/>
      </c>
      <c r="BH59" s="224" t="str">
        <f>IFERROR(VLOOKUP($A59,Devengado!$A$1:$AI$1,27,FALSE),"")</f>
        <v/>
      </c>
      <c r="BI59" s="224" t="str">
        <f>IFERROR(VLOOKUP($A59,Devengado!$A$1:$AI$1,28,FALSE),"")</f>
        <v/>
      </c>
      <c r="BJ59" s="224" t="str">
        <f>IFERROR(VLOOKUP($A59,Devengado!$A$1:$AI$1,29,FALSE),"")</f>
        <v/>
      </c>
      <c r="BK59" s="224" t="str">
        <f>IFERROR(VLOOKUP($A59,Devengado!$A$1:$AI$1,30,FALSE),"")</f>
        <v/>
      </c>
      <c r="BL59" s="224" t="str">
        <f>IFERROR(VLOOKUP($A59,Devengado!$A$1:$AI$1,31,FALSE),"")</f>
        <v/>
      </c>
      <c r="BM59" s="224" t="str">
        <f>IFERROR(VLOOKUP($A59,Devengado!$A$1:$AI$1,32,FALSE),"")</f>
        <v/>
      </c>
      <c r="BN59" s="224" t="str">
        <f>IFERROR(VLOOKUP($A59,Devengado!$A$1:$AI$1,33,FALSE),"")</f>
        <v/>
      </c>
      <c r="BO59" s="224">
        <f t="shared" si="4"/>
        <v>0</v>
      </c>
      <c r="BP59" s="224" t="str">
        <f t="shared" si="5"/>
        <v/>
      </c>
      <c r="BQ59" s="207"/>
      <c r="BR59" s="207" t="str">
        <f t="shared" si="6"/>
        <v>58</v>
      </c>
    </row>
    <row r="60" spans="1:70" s="225" customFormat="1" ht="25.5" customHeight="1">
      <c r="A60" s="207">
        <v>56</v>
      </c>
      <c r="B60" s="112" t="s">
        <v>73</v>
      </c>
      <c r="C60" s="112" t="s">
        <v>129</v>
      </c>
      <c r="D60" s="112" t="s">
        <v>134</v>
      </c>
      <c r="E60" s="112" t="s">
        <v>76</v>
      </c>
      <c r="F60" s="112" t="s">
        <v>77</v>
      </c>
      <c r="G60" s="112" t="s">
        <v>77</v>
      </c>
      <c r="H60" s="112" t="s">
        <v>77</v>
      </c>
      <c r="I60" s="112" t="s">
        <v>77</v>
      </c>
      <c r="J60" s="112" t="s">
        <v>77</v>
      </c>
      <c r="K60" s="112" t="s">
        <v>77</v>
      </c>
      <c r="L60" s="112" t="s">
        <v>85</v>
      </c>
      <c r="M60" s="113" t="s">
        <v>149</v>
      </c>
      <c r="N60" s="113">
        <v>9999</v>
      </c>
      <c r="O60" s="118" t="s">
        <v>132</v>
      </c>
      <c r="P60" s="118" t="s">
        <v>81</v>
      </c>
      <c r="Q60" s="118" t="s">
        <v>112</v>
      </c>
      <c r="R60" s="115" t="str">
        <f t="shared" si="0"/>
        <v>53</v>
      </c>
      <c r="S60" s="112">
        <v>530205</v>
      </c>
      <c r="T60" s="122" t="str">
        <f>VLOOKUP(S60,ITEM!$C$1:$D$156,2,FALSE)</f>
        <v>Espectáculos Culturales y Sociales</v>
      </c>
      <c r="U60" s="115" t="s">
        <v>83</v>
      </c>
      <c r="V60" s="115" t="s">
        <v>82</v>
      </c>
      <c r="W60" s="115" t="s">
        <v>84</v>
      </c>
      <c r="X60" s="115" t="s">
        <v>84</v>
      </c>
      <c r="Y60" s="224" t="e">
        <f>'Matriz POA 2024-TRABAJO'!#REF!</f>
        <v>#REF!</v>
      </c>
      <c r="Z60" s="224" t="e">
        <f>'Matriz POA 2024-TRABAJO'!#REF!</f>
        <v>#REF!</v>
      </c>
      <c r="AA60" s="224" t="e">
        <f>'Matriz POA 2024-TRABAJO'!#REF!</f>
        <v>#REF!</v>
      </c>
      <c r="AB60" s="282">
        <v>0</v>
      </c>
      <c r="AC60" s="282">
        <v>0</v>
      </c>
      <c r="AD60" s="282">
        <v>0</v>
      </c>
      <c r="AE60" s="282">
        <v>0</v>
      </c>
      <c r="AF60" s="282">
        <v>0</v>
      </c>
      <c r="AG60" s="282">
        <v>0</v>
      </c>
      <c r="AH60" s="282">
        <v>0</v>
      </c>
      <c r="AI60" s="282">
        <v>0</v>
      </c>
      <c r="AJ60" s="282">
        <v>0</v>
      </c>
      <c r="AK60" s="282">
        <v>0</v>
      </c>
      <c r="AL60" s="282">
        <v>0</v>
      </c>
      <c r="AM60" s="282">
        <v>0</v>
      </c>
      <c r="AN60" s="224" t="e">
        <f>SUM(#REF!)</f>
        <v>#REF!</v>
      </c>
      <c r="AO60" s="224">
        <f t="shared" si="1"/>
        <v>0</v>
      </c>
      <c r="AP60" s="224" t="e">
        <f t="shared" si="7"/>
        <v>#REF!</v>
      </c>
      <c r="AQ60" s="224"/>
      <c r="AR60" s="224"/>
      <c r="AS60" s="224"/>
      <c r="AT60" s="224" t="str">
        <f>IFERROR(VLOOKUP($A60,'Constancias POA'!$A$2:$DH$9993,17,FALSE),"")</f>
        <v/>
      </c>
      <c r="AU60" s="224" t="str">
        <f t="shared" si="2"/>
        <v/>
      </c>
      <c r="AV60" s="224" t="str">
        <f>IFERROR(VLOOKUP($A60,CP!$A$1:$U$7992,18,FALSE),"")</f>
        <v/>
      </c>
      <c r="AW60" s="224" t="str">
        <f>IFERROR(VLOOKUP($A60,CP!$A$1:$U$7992,19,FALSE),"")</f>
        <v/>
      </c>
      <c r="AX60" s="224" t="str">
        <f>IFERROR(VLOOKUP($A60,CP!$A$1:$U$7992,20,FALSE),"")</f>
        <v/>
      </c>
      <c r="AY60" s="224" t="str">
        <f>IFERROR(VLOOKUP($A60,CP!$A$1:$U$1,21,FALSE),"")</f>
        <v/>
      </c>
      <c r="AZ60" s="224" t="str">
        <f>IFERROR(VLOOKUP(A60,Devengado!$A$1:AJ1,35,FALSE),"")</f>
        <v/>
      </c>
      <c r="BA60" s="224" t="str">
        <f t="shared" si="3"/>
        <v/>
      </c>
      <c r="BB60" s="224" t="str">
        <f>IFERROR(AZ60/#REF!,"")</f>
        <v/>
      </c>
      <c r="BC60" s="224" t="str">
        <f>IFERROR(VLOOKUP($A60,Devengado!$A$1:$AI$1,22,FALSE),"")</f>
        <v/>
      </c>
      <c r="BD60" s="224" t="str">
        <f>IFERROR(VLOOKUP($A60,Devengado!$A$1:$AI$1,23,FALSE),"")</f>
        <v/>
      </c>
      <c r="BE60" s="224" t="str">
        <f>IFERROR(VLOOKUP($A60,Devengado!$A$1:$AI$1,24,FALSE),"")</f>
        <v/>
      </c>
      <c r="BF60" s="224" t="str">
        <f>IFERROR(VLOOKUP($A60,Devengado!$A$1:$AI$1,25,FALSE),"")</f>
        <v/>
      </c>
      <c r="BG60" s="224" t="str">
        <f>IFERROR(VLOOKUP($A60,Devengado!$A$1:$AI$1,26,FALSE),"")</f>
        <v/>
      </c>
      <c r="BH60" s="224" t="str">
        <f>IFERROR(VLOOKUP($A60,Devengado!$A$1:$AI$1,27,FALSE),"")</f>
        <v/>
      </c>
      <c r="BI60" s="224" t="str">
        <f>IFERROR(VLOOKUP($A60,Devengado!$A$1:$AI$1,28,FALSE),"")</f>
        <v/>
      </c>
      <c r="BJ60" s="224" t="str">
        <f>IFERROR(VLOOKUP($A60,Devengado!$A$1:$AI$1,29,FALSE),"")</f>
        <v/>
      </c>
      <c r="BK60" s="224" t="str">
        <f>IFERROR(VLOOKUP($A60,Devengado!$A$1:$AI$1,30,FALSE),"")</f>
        <v/>
      </c>
      <c r="BL60" s="224" t="str">
        <f>IFERROR(VLOOKUP($A60,Devengado!$A$1:$AI$1,31,FALSE),"")</f>
        <v/>
      </c>
      <c r="BM60" s="224" t="str">
        <f>IFERROR(VLOOKUP($A60,Devengado!$A$1:$AI$1,32,FALSE),"")</f>
        <v/>
      </c>
      <c r="BN60" s="224" t="str">
        <f>IFERROR(VLOOKUP($A60,Devengado!$A$1:$AI$1,33,FALSE),"")</f>
        <v/>
      </c>
      <c r="BO60" s="224">
        <f t="shared" si="4"/>
        <v>0</v>
      </c>
      <c r="BP60" s="224" t="str">
        <f t="shared" si="5"/>
        <v/>
      </c>
      <c r="BQ60" s="207"/>
      <c r="BR60" s="207" t="str">
        <f t="shared" si="6"/>
        <v>53</v>
      </c>
    </row>
    <row r="61" spans="1:70" s="225" customFormat="1" ht="25.5" customHeight="1">
      <c r="A61" s="207">
        <v>57</v>
      </c>
      <c r="B61" s="112" t="s">
        <v>73</v>
      </c>
      <c r="C61" s="112" t="s">
        <v>129</v>
      </c>
      <c r="D61" s="112" t="s">
        <v>134</v>
      </c>
      <c r="E61" s="112" t="s">
        <v>76</v>
      </c>
      <c r="F61" s="112" t="s">
        <v>77</v>
      </c>
      <c r="G61" s="112" t="s">
        <v>77</v>
      </c>
      <c r="H61" s="112" t="s">
        <v>77</v>
      </c>
      <c r="I61" s="112" t="s">
        <v>77</v>
      </c>
      <c r="J61" s="112" t="s">
        <v>77</v>
      </c>
      <c r="K61" s="112" t="s">
        <v>77</v>
      </c>
      <c r="L61" s="112" t="s">
        <v>85</v>
      </c>
      <c r="M61" s="113" t="s">
        <v>150</v>
      </c>
      <c r="N61" s="113">
        <v>9999</v>
      </c>
      <c r="O61" s="118" t="s">
        <v>132</v>
      </c>
      <c r="P61" s="118" t="s">
        <v>81</v>
      </c>
      <c r="Q61" s="118" t="s">
        <v>112</v>
      </c>
      <c r="R61" s="115" t="str">
        <f t="shared" si="0"/>
        <v>53</v>
      </c>
      <c r="S61" s="112">
        <v>530205</v>
      </c>
      <c r="T61" s="122" t="str">
        <f>VLOOKUP(S61,ITEM!$C$1:$D$156,2,FALSE)</f>
        <v>Espectáculos Culturales y Sociales</v>
      </c>
      <c r="U61" s="115" t="s">
        <v>83</v>
      </c>
      <c r="V61" s="115" t="s">
        <v>82</v>
      </c>
      <c r="W61" s="115" t="s">
        <v>84</v>
      </c>
      <c r="X61" s="115" t="s">
        <v>84</v>
      </c>
      <c r="Y61" s="224" t="e">
        <f>'Matriz POA 2024-TRABAJO'!#REF!</f>
        <v>#REF!</v>
      </c>
      <c r="Z61" s="224" t="e">
        <f>'Matriz POA 2024-TRABAJO'!#REF!</f>
        <v>#REF!</v>
      </c>
      <c r="AA61" s="224" t="e">
        <f>'Matriz POA 2024-TRABAJO'!#REF!</f>
        <v>#REF!</v>
      </c>
      <c r="AB61" s="279">
        <v>0</v>
      </c>
      <c r="AC61" s="279">
        <v>0</v>
      </c>
      <c r="AD61" s="279">
        <v>0</v>
      </c>
      <c r="AE61" s="279">
        <v>0</v>
      </c>
      <c r="AF61" s="279">
        <v>0</v>
      </c>
      <c r="AG61" s="279">
        <v>0</v>
      </c>
      <c r="AH61" s="279">
        <v>0</v>
      </c>
      <c r="AI61" s="279">
        <v>0</v>
      </c>
      <c r="AJ61" s="279">
        <v>0</v>
      </c>
      <c r="AK61" s="279">
        <v>0</v>
      </c>
      <c r="AL61" s="279">
        <v>0</v>
      </c>
      <c r="AM61" s="279">
        <v>0</v>
      </c>
      <c r="AN61" s="224" t="e">
        <f>SUM(#REF!)</f>
        <v>#REF!</v>
      </c>
      <c r="AO61" s="224">
        <f t="shared" si="1"/>
        <v>0</v>
      </c>
      <c r="AP61" s="224" t="e">
        <f t="shared" si="7"/>
        <v>#REF!</v>
      </c>
      <c r="AQ61" s="224"/>
      <c r="AR61" s="224"/>
      <c r="AS61" s="224"/>
      <c r="AT61" s="224" t="str">
        <f>IFERROR(VLOOKUP($A61,'Constancias POA'!$A$2:$DH$9993,17,FALSE),"")</f>
        <v/>
      </c>
      <c r="AU61" s="224" t="str">
        <f t="shared" si="2"/>
        <v/>
      </c>
      <c r="AV61" s="224" t="str">
        <f>IFERROR(VLOOKUP($A61,CP!$A$1:$U$7992,18,FALSE),"")</f>
        <v/>
      </c>
      <c r="AW61" s="224" t="str">
        <f>IFERROR(VLOOKUP($A61,CP!$A$1:$U$7992,19,FALSE),"")</f>
        <v/>
      </c>
      <c r="AX61" s="224" t="str">
        <f>IFERROR(VLOOKUP($A61,CP!$A$1:$U$7992,20,FALSE),"")</f>
        <v/>
      </c>
      <c r="AY61" s="224" t="str">
        <f>IFERROR(VLOOKUP($A61,CP!$A$1:$U$1,21,FALSE),"")</f>
        <v/>
      </c>
      <c r="AZ61" s="224" t="str">
        <f>IFERROR(VLOOKUP(A61,Devengado!$A$1:AJ1,35,FALSE),"")</f>
        <v/>
      </c>
      <c r="BA61" s="224" t="str">
        <f t="shared" si="3"/>
        <v/>
      </c>
      <c r="BB61" s="224" t="str">
        <f>IFERROR(AZ61/#REF!,"")</f>
        <v/>
      </c>
      <c r="BC61" s="224" t="str">
        <f>IFERROR(VLOOKUP($A61,Devengado!$A$1:$AI$1,22,FALSE),"")</f>
        <v/>
      </c>
      <c r="BD61" s="224" t="str">
        <f>IFERROR(VLOOKUP($A61,Devengado!$A$1:$AI$1,23,FALSE),"")</f>
        <v/>
      </c>
      <c r="BE61" s="224" t="str">
        <f>IFERROR(VLOOKUP($A61,Devengado!$A$1:$AI$1,24,FALSE),"")</f>
        <v/>
      </c>
      <c r="BF61" s="224" t="str">
        <f>IFERROR(VLOOKUP($A61,Devengado!$A$1:$AI$1,25,FALSE),"")</f>
        <v/>
      </c>
      <c r="BG61" s="224" t="str">
        <f>IFERROR(VLOOKUP($A61,Devengado!$A$1:$AI$1,26,FALSE),"")</f>
        <v/>
      </c>
      <c r="BH61" s="224" t="str">
        <f>IFERROR(VLOOKUP($A61,Devengado!$A$1:$AI$1,27,FALSE),"")</f>
        <v/>
      </c>
      <c r="BI61" s="224" t="str">
        <f>IFERROR(VLOOKUP($A61,Devengado!$A$1:$AI$1,28,FALSE),"")</f>
        <v/>
      </c>
      <c r="BJ61" s="224" t="str">
        <f>IFERROR(VLOOKUP($A61,Devengado!$A$1:$AI$1,29,FALSE),"")</f>
        <v/>
      </c>
      <c r="BK61" s="224" t="str">
        <f>IFERROR(VLOOKUP($A61,Devengado!$A$1:$AI$1,30,FALSE),"")</f>
        <v/>
      </c>
      <c r="BL61" s="224" t="str">
        <f>IFERROR(VLOOKUP($A61,Devengado!$A$1:$AI$1,31,FALSE),"")</f>
        <v/>
      </c>
      <c r="BM61" s="224" t="str">
        <f>IFERROR(VLOOKUP($A61,Devengado!$A$1:$AI$1,32,FALSE),"")</f>
        <v/>
      </c>
      <c r="BN61" s="224" t="str">
        <f>IFERROR(VLOOKUP($A61,Devengado!$A$1:$AI$1,33,FALSE),"")</f>
        <v/>
      </c>
      <c r="BO61" s="224">
        <f t="shared" si="4"/>
        <v>0</v>
      </c>
      <c r="BP61" s="224" t="str">
        <f t="shared" si="5"/>
        <v/>
      </c>
      <c r="BQ61" s="207"/>
      <c r="BR61" s="207" t="str">
        <f t="shared" si="6"/>
        <v>53</v>
      </c>
    </row>
    <row r="62" spans="1:70" s="225" customFormat="1" ht="25.5" customHeight="1">
      <c r="A62" s="283">
        <v>58</v>
      </c>
      <c r="B62" s="183" t="s">
        <v>73</v>
      </c>
      <c r="C62" s="183" t="s">
        <v>129</v>
      </c>
      <c r="D62" s="183" t="s">
        <v>134</v>
      </c>
      <c r="E62" s="184" t="s">
        <v>76</v>
      </c>
      <c r="F62" s="183" t="s">
        <v>77</v>
      </c>
      <c r="G62" s="183" t="s">
        <v>77</v>
      </c>
      <c r="H62" s="183" t="s">
        <v>77</v>
      </c>
      <c r="I62" s="183" t="s">
        <v>77</v>
      </c>
      <c r="J62" s="183" t="s">
        <v>77</v>
      </c>
      <c r="K62" s="183" t="s">
        <v>77</v>
      </c>
      <c r="L62" s="183" t="s">
        <v>85</v>
      </c>
      <c r="M62" s="183" t="s">
        <v>151</v>
      </c>
      <c r="N62" s="183">
        <v>9999</v>
      </c>
      <c r="O62" s="185" t="s">
        <v>132</v>
      </c>
      <c r="P62" s="185" t="s">
        <v>81</v>
      </c>
      <c r="Q62" s="185" t="s">
        <v>112</v>
      </c>
      <c r="R62" s="115" t="str">
        <f t="shared" si="0"/>
        <v>53</v>
      </c>
      <c r="S62" s="112">
        <v>530303</v>
      </c>
      <c r="T62" s="141" t="str">
        <f>VLOOKUP(S62,ITEM!$C$1:$D$156,2,FALSE)</f>
        <v>Viáticos y Subsistencias en el Interior</v>
      </c>
      <c r="U62" s="186" t="s">
        <v>83</v>
      </c>
      <c r="V62" s="186" t="s">
        <v>82</v>
      </c>
      <c r="W62" s="186" t="s">
        <v>84</v>
      </c>
      <c r="X62" s="186" t="s">
        <v>84</v>
      </c>
      <c r="Y62" s="224" t="e">
        <f>'Matriz POA 2024-TRABAJO'!#REF!</f>
        <v>#REF!</v>
      </c>
      <c r="Z62" s="224" t="e">
        <f>'Matriz POA 2024-TRABAJO'!#REF!</f>
        <v>#REF!</v>
      </c>
      <c r="AA62" s="224" t="e">
        <f>'Matriz POA 2024-TRABAJO'!#REF!</f>
        <v>#REF!</v>
      </c>
      <c r="AB62" s="279">
        <v>0</v>
      </c>
      <c r="AC62" s="279">
        <v>0</v>
      </c>
      <c r="AD62" s="279">
        <v>1000</v>
      </c>
      <c r="AE62" s="279">
        <v>0</v>
      </c>
      <c r="AF62" s="279">
        <v>0</v>
      </c>
      <c r="AG62" s="279">
        <v>500</v>
      </c>
      <c r="AH62" s="279">
        <v>0</v>
      </c>
      <c r="AI62" s="279">
        <v>0</v>
      </c>
      <c r="AJ62" s="279">
        <v>0</v>
      </c>
      <c r="AK62" s="279">
        <v>0</v>
      </c>
      <c r="AL62" s="279">
        <v>0</v>
      </c>
      <c r="AM62" s="279">
        <v>0</v>
      </c>
      <c r="AN62" s="224" t="e">
        <f>SUM(#REF!)</f>
        <v>#REF!</v>
      </c>
      <c r="AO62" s="224">
        <f t="shared" si="1"/>
        <v>1500</v>
      </c>
      <c r="AP62" s="224" t="e">
        <f t="shared" si="7"/>
        <v>#REF!</v>
      </c>
      <c r="AQ62" s="224"/>
      <c r="AR62" s="224"/>
      <c r="AS62" s="224"/>
      <c r="AT62" s="224" t="str">
        <f>IFERROR(VLOOKUP($A62,'Constancias POA'!$A$2:$DH$9993,17,FALSE),"")</f>
        <v/>
      </c>
      <c r="AU62" s="224" t="str">
        <f t="shared" si="2"/>
        <v/>
      </c>
      <c r="AV62" s="224" t="str">
        <f>IFERROR(VLOOKUP($A62,CP!$A$1:$U$7992,18,FALSE),"")</f>
        <v/>
      </c>
      <c r="AW62" s="224" t="str">
        <f>IFERROR(VLOOKUP($A62,CP!$A$1:$U$7992,19,FALSE),"")</f>
        <v/>
      </c>
      <c r="AX62" s="224" t="str">
        <f>IFERROR(VLOOKUP($A62,CP!$A$1:$U$7992,20,FALSE),"")</f>
        <v/>
      </c>
      <c r="AY62" s="224" t="str">
        <f>IFERROR(VLOOKUP($A62,CP!$A$1:$U$1,21,FALSE),"")</f>
        <v/>
      </c>
      <c r="AZ62" s="224" t="str">
        <f>IFERROR(VLOOKUP(A62,Devengado!$A$1:AJ1,35,FALSE),"")</f>
        <v/>
      </c>
      <c r="BA62" s="224" t="str">
        <f t="shared" si="3"/>
        <v/>
      </c>
      <c r="BB62" s="224" t="str">
        <f>IFERROR(AZ62/#REF!,"")</f>
        <v/>
      </c>
      <c r="BC62" s="224" t="str">
        <f>IFERROR(VLOOKUP($A62,Devengado!$A$1:$AI$1,22,FALSE),"")</f>
        <v/>
      </c>
      <c r="BD62" s="224" t="str">
        <f>IFERROR(VLOOKUP($A62,Devengado!$A$1:$AI$1,23,FALSE),"")</f>
        <v/>
      </c>
      <c r="BE62" s="224" t="str">
        <f>IFERROR(VLOOKUP($A62,Devengado!$A$1:$AI$1,24,FALSE),"")</f>
        <v/>
      </c>
      <c r="BF62" s="224" t="str">
        <f>IFERROR(VLOOKUP($A62,Devengado!$A$1:$AI$1,25,FALSE),"")</f>
        <v/>
      </c>
      <c r="BG62" s="224" t="str">
        <f>IFERROR(VLOOKUP($A62,Devengado!$A$1:$AI$1,26,FALSE),"")</f>
        <v/>
      </c>
      <c r="BH62" s="224" t="str">
        <f>IFERROR(VLOOKUP($A62,Devengado!$A$1:$AI$1,27,FALSE),"")</f>
        <v/>
      </c>
      <c r="BI62" s="224" t="str">
        <f>IFERROR(VLOOKUP($A62,Devengado!$A$1:$AI$1,28,FALSE),"")</f>
        <v/>
      </c>
      <c r="BJ62" s="224" t="str">
        <f>IFERROR(VLOOKUP($A62,Devengado!$A$1:$AI$1,29,FALSE),"")</f>
        <v/>
      </c>
      <c r="BK62" s="224" t="str">
        <f>IFERROR(VLOOKUP($A62,Devengado!$A$1:$AI$1,30,FALSE),"")</f>
        <v/>
      </c>
      <c r="BL62" s="224" t="str">
        <f>IFERROR(VLOOKUP($A62,Devengado!$A$1:$AI$1,31,FALSE),"")</f>
        <v/>
      </c>
      <c r="BM62" s="224" t="str">
        <f>IFERROR(VLOOKUP($A62,Devengado!$A$1:$AI$1,32,FALSE),"")</f>
        <v/>
      </c>
      <c r="BN62" s="224" t="str">
        <f>IFERROR(VLOOKUP($A62,Devengado!$A$1:$AI$1,33,FALSE),"")</f>
        <v/>
      </c>
      <c r="BO62" s="224">
        <f t="shared" si="4"/>
        <v>0</v>
      </c>
      <c r="BP62" s="224" t="str">
        <f t="shared" si="5"/>
        <v/>
      </c>
      <c r="BQ62" s="207"/>
      <c r="BR62" s="207" t="str">
        <f t="shared" si="6"/>
        <v>53</v>
      </c>
    </row>
    <row r="63" spans="1:70" s="225" customFormat="1" ht="25.5" customHeight="1">
      <c r="A63" s="207">
        <v>59</v>
      </c>
      <c r="B63" s="112" t="s">
        <v>73</v>
      </c>
      <c r="C63" s="112" t="s">
        <v>129</v>
      </c>
      <c r="D63" s="117" t="s">
        <v>142</v>
      </c>
      <c r="E63" s="117" t="s">
        <v>76</v>
      </c>
      <c r="F63" s="112" t="s">
        <v>77</v>
      </c>
      <c r="G63" s="112" t="s">
        <v>77</v>
      </c>
      <c r="H63" s="112" t="s">
        <v>77</v>
      </c>
      <c r="I63" s="112" t="s">
        <v>77</v>
      </c>
      <c r="J63" s="112" t="s">
        <v>77</v>
      </c>
      <c r="K63" s="112" t="s">
        <v>77</v>
      </c>
      <c r="L63" s="112" t="s">
        <v>85</v>
      </c>
      <c r="M63" s="180" t="s">
        <v>152</v>
      </c>
      <c r="N63" s="181">
        <v>9999</v>
      </c>
      <c r="O63" s="182" t="s">
        <v>132</v>
      </c>
      <c r="P63" s="182" t="s">
        <v>81</v>
      </c>
      <c r="Q63" s="182" t="s">
        <v>112</v>
      </c>
      <c r="R63" s="115" t="str">
        <f t="shared" si="0"/>
        <v>53</v>
      </c>
      <c r="S63" s="112">
        <v>530303</v>
      </c>
      <c r="T63" s="122" t="str">
        <f>VLOOKUP(S63,ITEM!$C$1:$D$156,2,FALSE)</f>
        <v>Viáticos y Subsistencias en el Interior</v>
      </c>
      <c r="U63" s="112" t="s">
        <v>83</v>
      </c>
      <c r="V63" s="112" t="s">
        <v>82</v>
      </c>
      <c r="W63" s="112" t="s">
        <v>84</v>
      </c>
      <c r="X63" s="112" t="s">
        <v>84</v>
      </c>
      <c r="Y63" s="224" t="e">
        <f>'Matriz POA 2024-TRABAJO'!#REF!</f>
        <v>#REF!</v>
      </c>
      <c r="Z63" s="224" t="e">
        <f>'Matriz POA 2024-TRABAJO'!#REF!</f>
        <v>#REF!</v>
      </c>
      <c r="AA63" s="224" t="e">
        <f>'Matriz POA 2024-TRABAJO'!#REF!</f>
        <v>#REF!</v>
      </c>
      <c r="AB63" s="279"/>
      <c r="AC63" s="279"/>
      <c r="AD63" s="279"/>
      <c r="AE63" s="279">
        <v>910</v>
      </c>
      <c r="AF63" s="279">
        <v>910</v>
      </c>
      <c r="AG63" s="279"/>
      <c r="AH63" s="279"/>
      <c r="AI63" s="279"/>
      <c r="AJ63" s="279"/>
      <c r="AK63" s="279"/>
      <c r="AL63" s="279"/>
      <c r="AM63" s="279"/>
      <c r="AN63" s="224" t="e">
        <f>SUM(#REF!)</f>
        <v>#REF!</v>
      </c>
      <c r="AO63" s="224">
        <f t="shared" si="1"/>
        <v>1820</v>
      </c>
      <c r="AP63" s="224" t="e">
        <f t="shared" si="7"/>
        <v>#REF!</v>
      </c>
      <c r="AQ63" s="224"/>
      <c r="AR63" s="224"/>
      <c r="AS63" s="224"/>
      <c r="AT63" s="224" t="str">
        <f>IFERROR(VLOOKUP($A63,'Constancias POA'!$A$2:$DH$9993,17,FALSE),"")</f>
        <v/>
      </c>
      <c r="AU63" s="224" t="str">
        <f t="shared" si="2"/>
        <v/>
      </c>
      <c r="AV63" s="224" t="str">
        <f>IFERROR(VLOOKUP($A63,CP!$A$1:$U$7992,18,FALSE),"")</f>
        <v/>
      </c>
      <c r="AW63" s="224" t="str">
        <f>IFERROR(VLOOKUP($A63,CP!$A$1:$U$7992,19,FALSE),"")</f>
        <v/>
      </c>
      <c r="AX63" s="224" t="str">
        <f>IFERROR(VLOOKUP($A63,CP!$A$1:$U$7992,20,FALSE),"")</f>
        <v/>
      </c>
      <c r="AY63" s="224" t="str">
        <f>IFERROR(VLOOKUP($A63,CP!$A$1:$U$1,21,FALSE),"")</f>
        <v/>
      </c>
      <c r="AZ63" s="224" t="str">
        <f>IFERROR(VLOOKUP(A63,Devengado!$A$1:AJ1,35,FALSE),"")</f>
        <v/>
      </c>
      <c r="BA63" s="224" t="str">
        <f t="shared" si="3"/>
        <v/>
      </c>
      <c r="BB63" s="224" t="str">
        <f>IFERROR(AZ63/#REF!,"")</f>
        <v/>
      </c>
      <c r="BC63" s="224" t="str">
        <f>IFERROR(VLOOKUP($A63,Devengado!$A$1:$AI$1,22,FALSE),"")</f>
        <v/>
      </c>
      <c r="BD63" s="224" t="str">
        <f>IFERROR(VLOOKUP($A63,Devengado!$A$1:$AI$1,23,FALSE),"")</f>
        <v/>
      </c>
      <c r="BE63" s="224" t="str">
        <f>IFERROR(VLOOKUP($A63,Devengado!$A$1:$AI$1,24,FALSE),"")</f>
        <v/>
      </c>
      <c r="BF63" s="224" t="str">
        <f>IFERROR(VLOOKUP($A63,Devengado!$A$1:$AI$1,25,FALSE),"")</f>
        <v/>
      </c>
      <c r="BG63" s="224" t="str">
        <f>IFERROR(VLOOKUP($A63,Devengado!$A$1:$AI$1,26,FALSE),"")</f>
        <v/>
      </c>
      <c r="BH63" s="224" t="str">
        <f>IFERROR(VLOOKUP($A63,Devengado!$A$1:$AI$1,27,FALSE),"")</f>
        <v/>
      </c>
      <c r="BI63" s="224" t="str">
        <f>IFERROR(VLOOKUP($A63,Devengado!$A$1:$AI$1,28,FALSE),"")</f>
        <v/>
      </c>
      <c r="BJ63" s="224" t="str">
        <f>IFERROR(VLOOKUP($A63,Devengado!$A$1:$AI$1,29,FALSE),"")</f>
        <v/>
      </c>
      <c r="BK63" s="224" t="str">
        <f>IFERROR(VLOOKUP($A63,Devengado!$A$1:$AI$1,30,FALSE),"")</f>
        <v/>
      </c>
      <c r="BL63" s="224" t="str">
        <f>IFERROR(VLOOKUP($A63,Devengado!$A$1:$AI$1,31,FALSE),"")</f>
        <v/>
      </c>
      <c r="BM63" s="224" t="str">
        <f>IFERROR(VLOOKUP($A63,Devengado!$A$1:$AI$1,32,FALSE),"")</f>
        <v/>
      </c>
      <c r="BN63" s="224" t="str">
        <f>IFERROR(VLOOKUP($A63,Devengado!$A$1:$AI$1,33,FALSE),"")</f>
        <v/>
      </c>
      <c r="BO63" s="224">
        <f t="shared" si="4"/>
        <v>0</v>
      </c>
      <c r="BP63" s="224" t="str">
        <f t="shared" si="5"/>
        <v/>
      </c>
      <c r="BQ63" s="207"/>
      <c r="BR63" s="207" t="str">
        <f t="shared" si="6"/>
        <v>53</v>
      </c>
    </row>
    <row r="64" spans="1:70" s="225" customFormat="1" ht="25.5" customHeight="1">
      <c r="A64" s="207">
        <v>60</v>
      </c>
      <c r="B64" s="112" t="s">
        <v>73</v>
      </c>
      <c r="C64" s="112" t="s">
        <v>129</v>
      </c>
      <c r="D64" s="112" t="s">
        <v>134</v>
      </c>
      <c r="E64" s="117" t="s">
        <v>76</v>
      </c>
      <c r="F64" s="112" t="s">
        <v>77</v>
      </c>
      <c r="G64" s="112" t="s">
        <v>77</v>
      </c>
      <c r="H64" s="112" t="s">
        <v>77</v>
      </c>
      <c r="I64" s="112" t="s">
        <v>77</v>
      </c>
      <c r="J64" s="112" t="s">
        <v>77</v>
      </c>
      <c r="K64" s="112" t="s">
        <v>77</v>
      </c>
      <c r="L64" s="112" t="s">
        <v>85</v>
      </c>
      <c r="M64" s="180" t="s">
        <v>153</v>
      </c>
      <c r="N64" s="181">
        <v>9999</v>
      </c>
      <c r="O64" s="182" t="s">
        <v>132</v>
      </c>
      <c r="P64" s="182" t="s">
        <v>81</v>
      </c>
      <c r="Q64" s="182" t="s">
        <v>112</v>
      </c>
      <c r="R64" s="115" t="str">
        <f t="shared" si="0"/>
        <v>53</v>
      </c>
      <c r="S64" s="112">
        <v>530301</v>
      </c>
      <c r="T64" s="122" t="str">
        <f>VLOOKUP(S64,ITEM!$C$1:$D$156,2,FALSE)</f>
        <v>Pasajes al Interior</v>
      </c>
      <c r="U64" s="112" t="s">
        <v>83</v>
      </c>
      <c r="V64" s="112" t="s">
        <v>82</v>
      </c>
      <c r="W64" s="112" t="s">
        <v>84</v>
      </c>
      <c r="X64" s="112" t="s">
        <v>84</v>
      </c>
      <c r="Y64" s="224" t="e">
        <f>'Matriz POA 2024-TRABAJO'!#REF!</f>
        <v>#REF!</v>
      </c>
      <c r="Z64" s="224" t="e">
        <f>'Matriz POA 2024-TRABAJO'!#REF!</f>
        <v>#REF!</v>
      </c>
      <c r="AA64" s="224" t="e">
        <f>'Matriz POA 2024-TRABAJO'!#REF!</f>
        <v>#REF!</v>
      </c>
      <c r="AB64" s="279">
        <v>0</v>
      </c>
      <c r="AC64" s="279">
        <v>0</v>
      </c>
      <c r="AD64" s="279">
        <v>0</v>
      </c>
      <c r="AE64" s="279">
        <v>0</v>
      </c>
      <c r="AF64" s="279">
        <v>0</v>
      </c>
      <c r="AG64" s="279">
        <v>0</v>
      </c>
      <c r="AH64" s="279">
        <v>0</v>
      </c>
      <c r="AI64" s="279">
        <v>0</v>
      </c>
      <c r="AJ64" s="279">
        <v>0</v>
      </c>
      <c r="AK64" s="279">
        <v>0</v>
      </c>
      <c r="AL64" s="279">
        <v>0</v>
      </c>
      <c r="AM64" s="279">
        <v>0</v>
      </c>
      <c r="AN64" s="224" t="e">
        <f>SUM(#REF!)</f>
        <v>#REF!</v>
      </c>
      <c r="AO64" s="224">
        <f t="shared" si="1"/>
        <v>0</v>
      </c>
      <c r="AP64" s="224" t="e">
        <f t="shared" si="7"/>
        <v>#REF!</v>
      </c>
      <c r="AQ64" s="224"/>
      <c r="AR64" s="224"/>
      <c r="AS64" s="224"/>
      <c r="AT64" s="224" t="str">
        <f>IFERROR(VLOOKUP($A64,'Constancias POA'!$A$2:$DH$9993,17,FALSE),"")</f>
        <v/>
      </c>
      <c r="AU64" s="224" t="str">
        <f t="shared" si="2"/>
        <v/>
      </c>
      <c r="AV64" s="224" t="str">
        <f>IFERROR(VLOOKUP($A64,CP!$A$1:$U$7992,18,FALSE),"")</f>
        <v/>
      </c>
      <c r="AW64" s="224" t="str">
        <f>IFERROR(VLOOKUP($A64,CP!$A$1:$U$7992,19,FALSE),"")</f>
        <v/>
      </c>
      <c r="AX64" s="224" t="str">
        <f>IFERROR(VLOOKUP($A64,CP!$A$1:$U$7992,20,FALSE),"")</f>
        <v/>
      </c>
      <c r="AY64" s="224" t="str">
        <f>IFERROR(VLOOKUP($A64,CP!$A$1:$U$1,21,FALSE),"")</f>
        <v/>
      </c>
      <c r="AZ64" s="224" t="str">
        <f>IFERROR(VLOOKUP(A64,Devengado!$A$1:AJ1,35,FALSE),"")</f>
        <v/>
      </c>
      <c r="BA64" s="224" t="str">
        <f t="shared" si="3"/>
        <v/>
      </c>
      <c r="BB64" s="224" t="str">
        <f>IFERROR(AZ64/#REF!,"")</f>
        <v/>
      </c>
      <c r="BC64" s="224" t="str">
        <f>IFERROR(VLOOKUP($A64,Devengado!$A$1:$AI$1,22,FALSE),"")</f>
        <v/>
      </c>
      <c r="BD64" s="224" t="str">
        <f>IFERROR(VLOOKUP($A64,Devengado!$A$1:$AI$1,23,FALSE),"")</f>
        <v/>
      </c>
      <c r="BE64" s="224" t="str">
        <f>IFERROR(VLOOKUP($A64,Devengado!$A$1:$AI$1,24,FALSE),"")</f>
        <v/>
      </c>
      <c r="BF64" s="224" t="str">
        <f>IFERROR(VLOOKUP($A64,Devengado!$A$1:$AI$1,25,FALSE),"")</f>
        <v/>
      </c>
      <c r="BG64" s="224" t="str">
        <f>IFERROR(VLOOKUP($A64,Devengado!$A$1:$AI$1,26,FALSE),"")</f>
        <v/>
      </c>
      <c r="BH64" s="224" t="str">
        <f>IFERROR(VLOOKUP($A64,Devengado!$A$1:$AI$1,27,FALSE),"")</f>
        <v/>
      </c>
      <c r="BI64" s="224" t="str">
        <f>IFERROR(VLOOKUP($A64,Devengado!$A$1:$AI$1,28,FALSE),"")</f>
        <v/>
      </c>
      <c r="BJ64" s="224" t="str">
        <f>IFERROR(VLOOKUP($A64,Devengado!$A$1:$AI$1,29,FALSE),"")</f>
        <v/>
      </c>
      <c r="BK64" s="224" t="str">
        <f>IFERROR(VLOOKUP($A64,Devengado!$A$1:$AI$1,30,FALSE),"")</f>
        <v/>
      </c>
      <c r="BL64" s="224" t="str">
        <f>IFERROR(VLOOKUP($A64,Devengado!$A$1:$AI$1,31,FALSE),"")</f>
        <v/>
      </c>
      <c r="BM64" s="224" t="str">
        <f>IFERROR(VLOOKUP($A64,Devengado!$A$1:$AI$1,32,FALSE),"")</f>
        <v/>
      </c>
      <c r="BN64" s="224" t="str">
        <f>IFERROR(VLOOKUP($A64,Devengado!$A$1:$AI$1,33,FALSE),"")</f>
        <v/>
      </c>
      <c r="BO64" s="224">
        <f t="shared" si="4"/>
        <v>0</v>
      </c>
      <c r="BP64" s="224" t="str">
        <f t="shared" si="5"/>
        <v/>
      </c>
      <c r="BQ64" s="207"/>
      <c r="BR64" s="207" t="str">
        <f t="shared" si="6"/>
        <v>53</v>
      </c>
    </row>
    <row r="65" spans="1:70" s="225" customFormat="1" ht="25.5" customHeight="1">
      <c r="A65" s="283">
        <v>61</v>
      </c>
      <c r="B65" s="183" t="s">
        <v>73</v>
      </c>
      <c r="C65" s="183" t="s">
        <v>129</v>
      </c>
      <c r="D65" s="184" t="s">
        <v>134</v>
      </c>
      <c r="E65" s="184" t="s">
        <v>76</v>
      </c>
      <c r="F65" s="183" t="s">
        <v>77</v>
      </c>
      <c r="G65" s="183" t="s">
        <v>77</v>
      </c>
      <c r="H65" s="183" t="s">
        <v>77</v>
      </c>
      <c r="I65" s="183" t="s">
        <v>77</v>
      </c>
      <c r="J65" s="183" t="s">
        <v>77</v>
      </c>
      <c r="K65" s="183" t="s">
        <v>77</v>
      </c>
      <c r="L65" s="183" t="s">
        <v>85</v>
      </c>
      <c r="M65" s="187" t="s">
        <v>151</v>
      </c>
      <c r="N65" s="188">
        <v>9999</v>
      </c>
      <c r="O65" s="189" t="s">
        <v>132</v>
      </c>
      <c r="P65" s="189" t="s">
        <v>81</v>
      </c>
      <c r="Q65" s="189" t="s">
        <v>112</v>
      </c>
      <c r="R65" s="115" t="str">
        <f t="shared" si="0"/>
        <v>53</v>
      </c>
      <c r="S65" s="183">
        <v>530304</v>
      </c>
      <c r="T65" s="141" t="str">
        <f>VLOOKUP(S65,ITEM!$C$1:$D$156,2,FALSE)</f>
        <v>Viáticos y Subsistencias en el Exterior</v>
      </c>
      <c r="U65" s="183" t="s">
        <v>83</v>
      </c>
      <c r="V65" s="183" t="s">
        <v>82</v>
      </c>
      <c r="W65" s="183" t="s">
        <v>84</v>
      </c>
      <c r="X65" s="183" t="s">
        <v>84</v>
      </c>
      <c r="Y65" s="284" t="e">
        <f>'Matriz POA 2024-TRABAJO'!#REF!</f>
        <v>#REF!</v>
      </c>
      <c r="Z65" s="284" t="e">
        <f>'Matriz POA 2024-TRABAJO'!#REF!</f>
        <v>#REF!</v>
      </c>
      <c r="AA65" s="284" t="e">
        <f>'Matriz POA 2024-TRABAJO'!#REF!</f>
        <v>#REF!</v>
      </c>
      <c r="AB65" s="279"/>
      <c r="AC65" s="279"/>
      <c r="AD65" s="279">
        <v>5500</v>
      </c>
      <c r="AE65" s="279"/>
      <c r="AF65" s="279"/>
      <c r="AG65" s="279"/>
      <c r="AH65" s="279"/>
      <c r="AI65" s="279"/>
      <c r="AJ65" s="279"/>
      <c r="AK65" s="279"/>
      <c r="AL65" s="279"/>
      <c r="AM65" s="279"/>
      <c r="AN65" s="224" t="e">
        <f>SUM(#REF!)</f>
        <v>#REF!</v>
      </c>
      <c r="AO65" s="224">
        <f t="shared" si="1"/>
        <v>5500</v>
      </c>
      <c r="AP65" s="224" t="e">
        <f t="shared" si="7"/>
        <v>#REF!</v>
      </c>
      <c r="AQ65" s="224"/>
      <c r="AR65" s="224"/>
      <c r="AS65" s="224"/>
      <c r="AT65" s="224" t="str">
        <f>IFERROR(VLOOKUP($A65,'Constancias POA'!$A$2:$DH$9993,17,FALSE),"")</f>
        <v/>
      </c>
      <c r="AU65" s="224" t="str">
        <f t="shared" si="2"/>
        <v/>
      </c>
      <c r="AV65" s="224" t="str">
        <f>IFERROR(VLOOKUP($A65,CP!$A$1:$U$7992,18,FALSE),"")</f>
        <v/>
      </c>
      <c r="AW65" s="224" t="str">
        <f>IFERROR(VLOOKUP($A65,CP!$A$1:$U$7992,19,FALSE),"")</f>
        <v/>
      </c>
      <c r="AX65" s="224" t="str">
        <f>IFERROR(VLOOKUP($A65,CP!$A$1:$U$7992,20,FALSE),"")</f>
        <v/>
      </c>
      <c r="AY65" s="224" t="str">
        <f>IFERROR(VLOOKUP($A65,CP!$A$1:$U$1,21,FALSE),"")</f>
        <v/>
      </c>
      <c r="AZ65" s="224" t="str">
        <f>IFERROR(VLOOKUP(A65,Devengado!$A$1:AJ1,35,FALSE),"")</f>
        <v/>
      </c>
      <c r="BA65" s="224" t="str">
        <f t="shared" si="3"/>
        <v/>
      </c>
      <c r="BB65" s="224" t="str">
        <f>IFERROR(AZ65/#REF!,"")</f>
        <v/>
      </c>
      <c r="BC65" s="224" t="str">
        <f>IFERROR(VLOOKUP($A65,Devengado!$A$1:$AI$1,22,FALSE),"")</f>
        <v/>
      </c>
      <c r="BD65" s="224" t="str">
        <f>IFERROR(VLOOKUP($A65,Devengado!$A$1:$AI$1,23,FALSE),"")</f>
        <v/>
      </c>
      <c r="BE65" s="224" t="str">
        <f>IFERROR(VLOOKUP($A65,Devengado!$A$1:$AI$1,24,FALSE),"")</f>
        <v/>
      </c>
      <c r="BF65" s="224" t="str">
        <f>IFERROR(VLOOKUP($A65,Devengado!$A$1:$AI$1,25,FALSE),"")</f>
        <v/>
      </c>
      <c r="BG65" s="224" t="str">
        <f>IFERROR(VLOOKUP($A65,Devengado!$A$1:$AI$1,26,FALSE),"")</f>
        <v/>
      </c>
      <c r="BH65" s="224" t="str">
        <f>IFERROR(VLOOKUP($A65,Devengado!$A$1:$AI$1,27,FALSE),"")</f>
        <v/>
      </c>
      <c r="BI65" s="224" t="str">
        <f>IFERROR(VLOOKUP($A65,Devengado!$A$1:$AI$1,28,FALSE),"")</f>
        <v/>
      </c>
      <c r="BJ65" s="224" t="str">
        <f>IFERROR(VLOOKUP($A65,Devengado!$A$1:$AI$1,29,FALSE),"")</f>
        <v/>
      </c>
      <c r="BK65" s="224" t="str">
        <f>IFERROR(VLOOKUP($A65,Devengado!$A$1:$AI$1,30,FALSE),"")</f>
        <v/>
      </c>
      <c r="BL65" s="224" t="str">
        <f>IFERROR(VLOOKUP($A65,Devengado!$A$1:$AI$1,31,FALSE),"")</f>
        <v/>
      </c>
      <c r="BM65" s="224" t="str">
        <f>IFERROR(VLOOKUP($A65,Devengado!$A$1:$AI$1,32,FALSE),"")</f>
        <v/>
      </c>
      <c r="BN65" s="224" t="str">
        <f>IFERROR(VLOOKUP($A65,Devengado!$A$1:$AI$1,33,FALSE),"")</f>
        <v/>
      </c>
      <c r="BO65" s="224">
        <f t="shared" si="4"/>
        <v>0</v>
      </c>
      <c r="BP65" s="224" t="str">
        <f t="shared" si="5"/>
        <v/>
      </c>
      <c r="BQ65" s="207"/>
      <c r="BR65" s="207" t="str">
        <f t="shared" si="6"/>
        <v>53</v>
      </c>
    </row>
    <row r="66" spans="1:70" s="225" customFormat="1" ht="25.5" customHeight="1">
      <c r="A66" s="207">
        <v>62</v>
      </c>
      <c r="B66" s="112" t="s">
        <v>73</v>
      </c>
      <c r="C66" s="112" t="s">
        <v>154</v>
      </c>
      <c r="D66" s="112" t="s">
        <v>155</v>
      </c>
      <c r="E66" s="112" t="s">
        <v>76</v>
      </c>
      <c r="F66" s="112" t="s">
        <v>77</v>
      </c>
      <c r="G66" s="112" t="s">
        <v>77</v>
      </c>
      <c r="H66" s="112" t="s">
        <v>77</v>
      </c>
      <c r="I66" s="112" t="s">
        <v>77</v>
      </c>
      <c r="J66" s="112" t="s">
        <v>77</v>
      </c>
      <c r="K66" s="112" t="s">
        <v>77</v>
      </c>
      <c r="L66" s="112" t="s">
        <v>85</v>
      </c>
      <c r="M66" s="112" t="s">
        <v>156</v>
      </c>
      <c r="N66" s="112">
        <v>9999</v>
      </c>
      <c r="O66" s="114" t="s">
        <v>111</v>
      </c>
      <c r="P66" s="114" t="s">
        <v>81</v>
      </c>
      <c r="Q66" s="114" t="s">
        <v>82</v>
      </c>
      <c r="R66" s="115" t="str">
        <f t="shared" si="0"/>
        <v>53</v>
      </c>
      <c r="S66" s="112">
        <v>530202</v>
      </c>
      <c r="T66" s="122" t="str">
        <f>VLOOKUP(S66,ITEM!$C$1:$D$156,2,FALSE)</f>
        <v>Fletes y Maniobras</v>
      </c>
      <c r="U66" s="112" t="s">
        <v>83</v>
      </c>
      <c r="V66" s="112" t="s">
        <v>82</v>
      </c>
      <c r="W66" s="112" t="s">
        <v>84</v>
      </c>
      <c r="X66" s="112" t="s">
        <v>84</v>
      </c>
      <c r="Y66" s="224" t="e">
        <f>'Matriz POA 2024-TRABAJO'!#REF!</f>
        <v>#REF!</v>
      </c>
      <c r="Z66" s="224" t="e">
        <f>'Matriz POA 2024-TRABAJO'!#REF!</f>
        <v>#REF!</v>
      </c>
      <c r="AA66" s="224" t="e">
        <f>'Matriz POA 2024-TRABAJO'!#REF!</f>
        <v>#REF!</v>
      </c>
      <c r="AB66" s="206"/>
      <c r="AC66" s="285"/>
      <c r="AD66" s="285"/>
      <c r="AE66" s="285"/>
      <c r="AF66" s="285"/>
      <c r="AG66" s="285"/>
      <c r="AH66" s="285"/>
      <c r="AI66" s="285"/>
      <c r="AJ66" s="285"/>
      <c r="AK66" s="285"/>
      <c r="AL66" s="285"/>
      <c r="AM66" s="285"/>
      <c r="AN66" s="224" t="e">
        <f>SUM(#REF!)</f>
        <v>#REF!</v>
      </c>
      <c r="AO66" s="224">
        <f t="shared" si="1"/>
        <v>0</v>
      </c>
      <c r="AP66" s="224" t="e">
        <f t="shared" si="7"/>
        <v>#REF!</v>
      </c>
      <c r="AQ66" s="224"/>
      <c r="AR66" s="224"/>
      <c r="AS66" s="224"/>
      <c r="AT66" s="224" t="str">
        <f>IFERROR(VLOOKUP($A66,'Constancias POA'!$A$2:$DH$9993,17,FALSE),"")</f>
        <v/>
      </c>
      <c r="AU66" s="224" t="str">
        <f t="shared" si="2"/>
        <v/>
      </c>
      <c r="AV66" s="224" t="str">
        <f>IFERROR(VLOOKUP($A66,CP!$A$1:$U$7992,18,FALSE),"")</f>
        <v/>
      </c>
      <c r="AW66" s="224" t="str">
        <f>IFERROR(VLOOKUP($A66,CP!$A$1:$U$7992,19,FALSE),"")</f>
        <v/>
      </c>
      <c r="AX66" s="224" t="str">
        <f>IFERROR(VLOOKUP($A66,CP!$A$1:$U$7992,20,FALSE),"")</f>
        <v/>
      </c>
      <c r="AY66" s="224" t="str">
        <f>IFERROR(VLOOKUP($A66,CP!$A$1:$U$1,21,FALSE),"")</f>
        <v/>
      </c>
      <c r="AZ66" s="224" t="str">
        <f>IFERROR(VLOOKUP(A66,Devengado!$A$1:AJ1,35,FALSE),"")</f>
        <v/>
      </c>
      <c r="BA66" s="224" t="str">
        <f t="shared" si="3"/>
        <v/>
      </c>
      <c r="BB66" s="224" t="str">
        <f>IFERROR(AZ66/#REF!,"")</f>
        <v/>
      </c>
      <c r="BC66" s="224" t="str">
        <f>IFERROR(VLOOKUP($A66,Devengado!$A$1:$AI$1,22,FALSE),"")</f>
        <v/>
      </c>
      <c r="BD66" s="224" t="str">
        <f>IFERROR(VLOOKUP($A66,Devengado!$A$1:$AI$1,23,FALSE),"")</f>
        <v/>
      </c>
      <c r="BE66" s="224" t="str">
        <f>IFERROR(VLOOKUP($A66,Devengado!$A$1:$AI$1,24,FALSE),"")</f>
        <v/>
      </c>
      <c r="BF66" s="224" t="str">
        <f>IFERROR(VLOOKUP($A66,Devengado!$A$1:$AI$1,25,FALSE),"")</f>
        <v/>
      </c>
      <c r="BG66" s="224" t="str">
        <f>IFERROR(VLOOKUP($A66,Devengado!$A$1:$AI$1,26,FALSE),"")</f>
        <v/>
      </c>
      <c r="BH66" s="224" t="str">
        <f>IFERROR(VLOOKUP($A66,Devengado!$A$1:$AI$1,27,FALSE),"")</f>
        <v/>
      </c>
      <c r="BI66" s="224" t="str">
        <f>IFERROR(VLOOKUP($A66,Devengado!$A$1:$AI$1,28,FALSE),"")</f>
        <v/>
      </c>
      <c r="BJ66" s="224" t="str">
        <f>IFERROR(VLOOKUP($A66,Devengado!$A$1:$AI$1,29,FALSE),"")</f>
        <v/>
      </c>
      <c r="BK66" s="224" t="str">
        <f>IFERROR(VLOOKUP($A66,Devengado!$A$1:$AI$1,30,FALSE),"")</f>
        <v/>
      </c>
      <c r="BL66" s="224" t="str">
        <f>IFERROR(VLOOKUP($A66,Devengado!$A$1:$AI$1,31,FALSE),"")</f>
        <v/>
      </c>
      <c r="BM66" s="224" t="str">
        <f>IFERROR(VLOOKUP($A66,Devengado!$A$1:$AI$1,32,FALSE),"")</f>
        <v/>
      </c>
      <c r="BN66" s="224" t="str">
        <f>IFERROR(VLOOKUP($A66,Devengado!$A$1:$AI$1,33,FALSE),"")</f>
        <v/>
      </c>
      <c r="BO66" s="224">
        <f t="shared" si="4"/>
        <v>0</v>
      </c>
      <c r="BP66" s="224" t="str">
        <f t="shared" si="5"/>
        <v/>
      </c>
      <c r="BQ66" s="207"/>
      <c r="BR66" s="207" t="str">
        <f t="shared" si="6"/>
        <v>53</v>
      </c>
    </row>
    <row r="67" spans="1:70" s="225" customFormat="1" ht="25.5" customHeight="1">
      <c r="A67" s="207">
        <v>63</v>
      </c>
      <c r="B67" s="112" t="s">
        <v>73</v>
      </c>
      <c r="C67" s="112" t="s">
        <v>154</v>
      </c>
      <c r="D67" s="112" t="s">
        <v>155</v>
      </c>
      <c r="E67" s="112" t="s">
        <v>76</v>
      </c>
      <c r="F67" s="112" t="s">
        <v>77</v>
      </c>
      <c r="G67" s="112" t="s">
        <v>77</v>
      </c>
      <c r="H67" s="112" t="s">
        <v>77</v>
      </c>
      <c r="I67" s="112" t="s">
        <v>77</v>
      </c>
      <c r="J67" s="112" t="s">
        <v>77</v>
      </c>
      <c r="K67" s="112" t="s">
        <v>77</v>
      </c>
      <c r="L67" s="112" t="s">
        <v>85</v>
      </c>
      <c r="M67" s="112" t="s">
        <v>157</v>
      </c>
      <c r="N67" s="112">
        <v>9999</v>
      </c>
      <c r="O67" s="114" t="s">
        <v>111</v>
      </c>
      <c r="P67" s="114" t="s">
        <v>81</v>
      </c>
      <c r="Q67" s="114" t="s">
        <v>82</v>
      </c>
      <c r="R67" s="115" t="str">
        <f t="shared" si="0"/>
        <v>53</v>
      </c>
      <c r="S67" s="112">
        <v>530205</v>
      </c>
      <c r="T67" s="122" t="str">
        <f>VLOOKUP(S67,ITEM!$C$1:$D$156,2,FALSE)</f>
        <v>Espectáculos Culturales y Sociales</v>
      </c>
      <c r="U67" s="112" t="s">
        <v>83</v>
      </c>
      <c r="V67" s="112" t="s">
        <v>82</v>
      </c>
      <c r="W67" s="112" t="s">
        <v>84</v>
      </c>
      <c r="X67" s="112" t="s">
        <v>84</v>
      </c>
      <c r="Y67" s="224" t="e">
        <f>'Matriz POA 2024-TRABAJO'!#REF!</f>
        <v>#REF!</v>
      </c>
      <c r="Z67" s="224" t="e">
        <f>'Matriz POA 2024-TRABAJO'!#REF!</f>
        <v>#REF!</v>
      </c>
      <c r="AA67" s="224" t="e">
        <f>'Matriz POA 2024-TRABAJO'!#REF!</f>
        <v>#REF!</v>
      </c>
      <c r="AB67" s="206"/>
      <c r="AC67" s="285"/>
      <c r="AD67" s="285"/>
      <c r="AE67" s="285"/>
      <c r="AF67" s="285"/>
      <c r="AG67" s="285"/>
      <c r="AH67" s="285"/>
      <c r="AI67" s="285"/>
      <c r="AJ67" s="285"/>
      <c r="AK67" s="285"/>
      <c r="AL67" s="285"/>
      <c r="AM67" s="285"/>
      <c r="AN67" s="224" t="e">
        <f>SUM(#REF!)</f>
        <v>#REF!</v>
      </c>
      <c r="AO67" s="224">
        <f t="shared" si="1"/>
        <v>0</v>
      </c>
      <c r="AP67" s="224" t="e">
        <f t="shared" si="7"/>
        <v>#REF!</v>
      </c>
      <c r="AQ67" s="224"/>
      <c r="AR67" s="224"/>
      <c r="AS67" s="224"/>
      <c r="AT67" s="224" t="str">
        <f>IFERROR(VLOOKUP($A67,'Constancias POA'!$A$2:$DH$9993,17,FALSE),"")</f>
        <v/>
      </c>
      <c r="AU67" s="224" t="str">
        <f t="shared" si="2"/>
        <v/>
      </c>
      <c r="AV67" s="224" t="str">
        <f>IFERROR(VLOOKUP($A67,CP!$A$1:$U$7992,18,FALSE),"")</f>
        <v/>
      </c>
      <c r="AW67" s="224" t="str">
        <f>IFERROR(VLOOKUP($A67,CP!$A$1:$U$7992,19,FALSE),"")</f>
        <v/>
      </c>
      <c r="AX67" s="224" t="str">
        <f>IFERROR(VLOOKUP($A67,CP!$A$1:$U$7992,20,FALSE),"")</f>
        <v/>
      </c>
      <c r="AY67" s="224" t="str">
        <f>IFERROR(VLOOKUP($A67,CP!$A$1:$U$1,21,FALSE),"")</f>
        <v/>
      </c>
      <c r="AZ67" s="224" t="str">
        <f>IFERROR(VLOOKUP(A67,Devengado!$A$1:AJ1,35,FALSE),"")</f>
        <v/>
      </c>
      <c r="BA67" s="224" t="str">
        <f t="shared" si="3"/>
        <v/>
      </c>
      <c r="BB67" s="224" t="str">
        <f>IFERROR(AZ67/#REF!,"")</f>
        <v/>
      </c>
      <c r="BC67" s="224" t="str">
        <f>IFERROR(VLOOKUP($A67,Devengado!$A$1:$AI$1,22,FALSE),"")</f>
        <v/>
      </c>
      <c r="BD67" s="224" t="str">
        <f>IFERROR(VLOOKUP($A67,Devengado!$A$1:$AI$1,23,FALSE),"")</f>
        <v/>
      </c>
      <c r="BE67" s="224" t="str">
        <f>IFERROR(VLOOKUP($A67,Devengado!$A$1:$AI$1,24,FALSE),"")</f>
        <v/>
      </c>
      <c r="BF67" s="224" t="str">
        <f>IFERROR(VLOOKUP($A67,Devengado!$A$1:$AI$1,25,FALSE),"")</f>
        <v/>
      </c>
      <c r="BG67" s="224" t="str">
        <f>IFERROR(VLOOKUP($A67,Devengado!$A$1:$AI$1,26,FALSE),"")</f>
        <v/>
      </c>
      <c r="BH67" s="224" t="str">
        <f>IFERROR(VLOOKUP($A67,Devengado!$A$1:$AI$1,27,FALSE),"")</f>
        <v/>
      </c>
      <c r="BI67" s="224" t="str">
        <f>IFERROR(VLOOKUP($A67,Devengado!$A$1:$AI$1,28,FALSE),"")</f>
        <v/>
      </c>
      <c r="BJ67" s="224" t="str">
        <f>IFERROR(VLOOKUP($A67,Devengado!$A$1:$AI$1,29,FALSE),"")</f>
        <v/>
      </c>
      <c r="BK67" s="224" t="str">
        <f>IFERROR(VLOOKUP($A67,Devengado!$A$1:$AI$1,30,FALSE),"")</f>
        <v/>
      </c>
      <c r="BL67" s="224" t="str">
        <f>IFERROR(VLOOKUP($A67,Devengado!$A$1:$AI$1,31,FALSE),"")</f>
        <v/>
      </c>
      <c r="BM67" s="224" t="str">
        <f>IFERROR(VLOOKUP($A67,Devengado!$A$1:$AI$1,32,FALSE),"")</f>
        <v/>
      </c>
      <c r="BN67" s="224" t="str">
        <f>IFERROR(VLOOKUP($A67,Devengado!$A$1:$AI$1,33,FALSE),"")</f>
        <v/>
      </c>
      <c r="BO67" s="224">
        <f t="shared" si="4"/>
        <v>0</v>
      </c>
      <c r="BP67" s="224" t="str">
        <f t="shared" si="5"/>
        <v/>
      </c>
      <c r="BQ67" s="207"/>
      <c r="BR67" s="207" t="str">
        <f t="shared" si="6"/>
        <v>53</v>
      </c>
    </row>
    <row r="68" spans="1:70" s="225" customFormat="1" ht="25.5" customHeight="1">
      <c r="A68" s="207">
        <v>64</v>
      </c>
      <c r="B68" s="112" t="s">
        <v>73</v>
      </c>
      <c r="C68" s="112" t="s">
        <v>154</v>
      </c>
      <c r="D68" s="112" t="s">
        <v>158</v>
      </c>
      <c r="E68" s="112" t="s">
        <v>76</v>
      </c>
      <c r="F68" s="112" t="s">
        <v>77</v>
      </c>
      <c r="G68" s="112" t="s">
        <v>77</v>
      </c>
      <c r="H68" s="112" t="s">
        <v>77</v>
      </c>
      <c r="I68" s="112" t="s">
        <v>77</v>
      </c>
      <c r="J68" s="112" t="s">
        <v>77</v>
      </c>
      <c r="K68" s="112" t="s">
        <v>77</v>
      </c>
      <c r="L68" s="112" t="s">
        <v>85</v>
      </c>
      <c r="M68" s="112" t="s">
        <v>159</v>
      </c>
      <c r="N68" s="112">
        <v>9999</v>
      </c>
      <c r="O68" s="114" t="s">
        <v>111</v>
      </c>
      <c r="P68" s="114" t="s">
        <v>81</v>
      </c>
      <c r="Q68" s="114" t="s">
        <v>82</v>
      </c>
      <c r="R68" s="115" t="str">
        <f t="shared" si="0"/>
        <v>53</v>
      </c>
      <c r="S68" s="112">
        <v>530807</v>
      </c>
      <c r="T68" s="122" t="e">
        <f>VLOOKUP(S68,ITEM!$C$1:$D$156,2,FALSE)</f>
        <v>#N/A</v>
      </c>
      <c r="U68" s="112" t="s">
        <v>83</v>
      </c>
      <c r="V68" s="112" t="s">
        <v>82</v>
      </c>
      <c r="W68" s="112" t="s">
        <v>84</v>
      </c>
      <c r="X68" s="112" t="s">
        <v>84</v>
      </c>
      <c r="Y68" s="224" t="e">
        <f>'Matriz POA 2024-TRABAJO'!#REF!</f>
        <v>#REF!</v>
      </c>
      <c r="Z68" s="224" t="e">
        <f>'Matriz POA 2024-TRABAJO'!#REF!</f>
        <v>#REF!</v>
      </c>
      <c r="AA68" s="224" t="e">
        <f>'Matriz POA 2024-TRABAJO'!#REF!</f>
        <v>#REF!</v>
      </c>
      <c r="AB68" s="206"/>
      <c r="AC68" s="286"/>
      <c r="AD68" s="286"/>
      <c r="AE68" s="286"/>
      <c r="AF68" s="286"/>
      <c r="AG68" s="286"/>
      <c r="AH68" s="286"/>
      <c r="AI68" s="286"/>
      <c r="AJ68" s="286"/>
      <c r="AK68" s="286"/>
      <c r="AL68" s="286"/>
      <c r="AM68" s="286"/>
      <c r="AN68" s="224" t="e">
        <f>SUM(#REF!)</f>
        <v>#REF!</v>
      </c>
      <c r="AO68" s="224">
        <f t="shared" si="1"/>
        <v>0</v>
      </c>
      <c r="AP68" s="224" t="e">
        <f t="shared" si="7"/>
        <v>#REF!</v>
      </c>
      <c r="AQ68" s="224"/>
      <c r="AR68" s="224"/>
      <c r="AS68" s="224"/>
      <c r="AT68" s="224" t="str">
        <f>IFERROR(VLOOKUP($A68,'Constancias POA'!$A$2:$DH$9993,17,FALSE),"")</f>
        <v/>
      </c>
      <c r="AU68" s="224" t="str">
        <f t="shared" si="2"/>
        <v/>
      </c>
      <c r="AV68" s="224" t="str">
        <f>IFERROR(VLOOKUP($A68,CP!$A$1:$U$7992,18,FALSE),"")</f>
        <v/>
      </c>
      <c r="AW68" s="224" t="str">
        <f>IFERROR(VLOOKUP($A68,CP!$A$1:$U$7992,19,FALSE),"")</f>
        <v/>
      </c>
      <c r="AX68" s="224" t="str">
        <f>IFERROR(VLOOKUP($A68,CP!$A$1:$U$7992,20,FALSE),"")</f>
        <v/>
      </c>
      <c r="AY68" s="224" t="str">
        <f>IFERROR(VLOOKUP($A68,CP!$A$1:$U$1,21,FALSE),"")</f>
        <v/>
      </c>
      <c r="AZ68" s="224" t="str">
        <f>IFERROR(VLOOKUP(A68,Devengado!$A$1:AJ1,35,FALSE),"")</f>
        <v/>
      </c>
      <c r="BA68" s="224" t="str">
        <f t="shared" si="3"/>
        <v/>
      </c>
      <c r="BB68" s="224" t="str">
        <f>IFERROR(AZ68/#REF!,"")</f>
        <v/>
      </c>
      <c r="BC68" s="224" t="str">
        <f>IFERROR(VLOOKUP($A68,Devengado!$A$1:$AI$1,22,FALSE),"")</f>
        <v/>
      </c>
      <c r="BD68" s="224" t="str">
        <f>IFERROR(VLOOKUP($A68,Devengado!$A$1:$AI$1,23,FALSE),"")</f>
        <v/>
      </c>
      <c r="BE68" s="224" t="str">
        <f>IFERROR(VLOOKUP($A68,Devengado!$A$1:$AI$1,24,FALSE),"")</f>
        <v/>
      </c>
      <c r="BF68" s="224" t="str">
        <f>IFERROR(VLOOKUP($A68,Devengado!$A$1:$AI$1,25,FALSE),"")</f>
        <v/>
      </c>
      <c r="BG68" s="224" t="str">
        <f>IFERROR(VLOOKUP($A68,Devengado!$A$1:$AI$1,26,FALSE),"")</f>
        <v/>
      </c>
      <c r="BH68" s="224" t="str">
        <f>IFERROR(VLOOKUP($A68,Devengado!$A$1:$AI$1,27,FALSE),"")</f>
        <v/>
      </c>
      <c r="BI68" s="224" t="str">
        <f>IFERROR(VLOOKUP($A68,Devengado!$A$1:$AI$1,28,FALSE),"")</f>
        <v/>
      </c>
      <c r="BJ68" s="224" t="str">
        <f>IFERROR(VLOOKUP($A68,Devengado!$A$1:$AI$1,29,FALSE),"")</f>
        <v/>
      </c>
      <c r="BK68" s="224" t="str">
        <f>IFERROR(VLOOKUP($A68,Devengado!$A$1:$AI$1,30,FALSE),"")</f>
        <v/>
      </c>
      <c r="BL68" s="224" t="str">
        <f>IFERROR(VLOOKUP($A68,Devengado!$A$1:$AI$1,31,FALSE),"")</f>
        <v/>
      </c>
      <c r="BM68" s="224" t="str">
        <f>IFERROR(VLOOKUP($A68,Devengado!$A$1:$AI$1,32,FALSE),"")</f>
        <v/>
      </c>
      <c r="BN68" s="224" t="str">
        <f>IFERROR(VLOOKUP($A68,Devengado!$A$1:$AI$1,33,FALSE),"")</f>
        <v/>
      </c>
      <c r="BO68" s="224">
        <f t="shared" si="4"/>
        <v>0</v>
      </c>
      <c r="BP68" s="224" t="str">
        <f t="shared" si="5"/>
        <v/>
      </c>
      <c r="BQ68" s="207"/>
      <c r="BR68" s="207" t="str">
        <f t="shared" si="6"/>
        <v>53</v>
      </c>
    </row>
    <row r="69" spans="1:70" s="225" customFormat="1" ht="25.5" customHeight="1">
      <c r="A69" s="207">
        <v>65</v>
      </c>
      <c r="B69" s="112" t="s">
        <v>73</v>
      </c>
      <c r="C69" s="112" t="s">
        <v>154</v>
      </c>
      <c r="D69" s="112" t="s">
        <v>155</v>
      </c>
      <c r="E69" s="112" t="s">
        <v>76</v>
      </c>
      <c r="F69" s="112" t="s">
        <v>77</v>
      </c>
      <c r="G69" s="112" t="s">
        <v>77</v>
      </c>
      <c r="H69" s="112" t="s">
        <v>77</v>
      </c>
      <c r="I69" s="112" t="s">
        <v>77</v>
      </c>
      <c r="J69" s="112" t="s">
        <v>77</v>
      </c>
      <c r="K69" s="112" t="s">
        <v>77</v>
      </c>
      <c r="L69" s="112" t="s">
        <v>85</v>
      </c>
      <c r="M69" s="112" t="s">
        <v>160</v>
      </c>
      <c r="N69" s="112">
        <v>9999</v>
      </c>
      <c r="O69" s="114" t="s">
        <v>111</v>
      </c>
      <c r="P69" s="114" t="s">
        <v>81</v>
      </c>
      <c r="Q69" s="114" t="s">
        <v>82</v>
      </c>
      <c r="R69" s="115" t="str">
        <f t="shared" ref="R69:R132" si="8">LEFT(S69,2)</f>
        <v>53</v>
      </c>
      <c r="S69" s="112">
        <v>530205</v>
      </c>
      <c r="T69" s="122" t="str">
        <f>VLOOKUP(S69,ITEM!$C$1:$D$156,2,FALSE)</f>
        <v>Espectáculos Culturales y Sociales</v>
      </c>
      <c r="U69" s="112" t="s">
        <v>83</v>
      </c>
      <c r="V69" s="112" t="s">
        <v>82</v>
      </c>
      <c r="W69" s="112" t="s">
        <v>84</v>
      </c>
      <c r="X69" s="112" t="s">
        <v>84</v>
      </c>
      <c r="Y69" s="224" t="e">
        <f>'Matriz POA 2024-TRABAJO'!#REF!</f>
        <v>#REF!</v>
      </c>
      <c r="Z69" s="224" t="e">
        <f>'Matriz POA 2024-TRABAJO'!#REF!</f>
        <v>#REF!</v>
      </c>
      <c r="AA69" s="224" t="e">
        <f>'Matriz POA 2024-TRABAJO'!#REF!</f>
        <v>#REF!</v>
      </c>
      <c r="AB69" s="206"/>
      <c r="AC69" s="286"/>
      <c r="AD69" s="286"/>
      <c r="AE69" s="286"/>
      <c r="AF69" s="286"/>
      <c r="AG69" s="286"/>
      <c r="AH69" s="286"/>
      <c r="AI69" s="286"/>
      <c r="AJ69" s="286"/>
      <c r="AK69" s="286"/>
      <c r="AL69" s="286"/>
      <c r="AM69" s="286"/>
      <c r="AN69" s="224" t="e">
        <f>SUM(#REF!)</f>
        <v>#REF!</v>
      </c>
      <c r="AO69" s="224">
        <f t="shared" ref="AO69:AO132" si="9">SUM(AB69:AM69)</f>
        <v>0</v>
      </c>
      <c r="AP69" s="224" t="e">
        <f t="shared" si="7"/>
        <v>#REF!</v>
      </c>
      <c r="AQ69" s="224"/>
      <c r="AR69" s="224"/>
      <c r="AS69" s="224"/>
      <c r="AT69" s="224" t="str">
        <f>IFERROR(VLOOKUP($A69,'Constancias POA'!$A$2:$DH$9993,17,FALSE),"")</f>
        <v/>
      </c>
      <c r="AU69" s="224" t="str">
        <f t="shared" ref="AU69:AU132" si="10">IFERROR(AA69-AT69,"")</f>
        <v/>
      </c>
      <c r="AV69" s="224" t="str">
        <f>IFERROR(VLOOKUP($A69,CP!$A$1:$U$7992,18,FALSE),"")</f>
        <v/>
      </c>
      <c r="AW69" s="224" t="str">
        <f>IFERROR(VLOOKUP($A69,CP!$A$1:$U$7992,19,FALSE),"")</f>
        <v/>
      </c>
      <c r="AX69" s="224" t="str">
        <f>IFERROR(VLOOKUP($A69,CP!$A$1:$U$7992,20,FALSE),"")</f>
        <v/>
      </c>
      <c r="AY69" s="224" t="str">
        <f>IFERROR(VLOOKUP($A69,CP!$A$1:$U$1,21,FALSE),"")</f>
        <v/>
      </c>
      <c r="AZ69" s="224" t="str">
        <f>IFERROR(VLOOKUP(A69,Devengado!$A$1:AJ1,35,FALSE),"")</f>
        <v/>
      </c>
      <c r="BA69" s="224" t="str">
        <f t="shared" ref="BA69:BA132" si="11">IFERROR((AA69-AZ69),"")</f>
        <v/>
      </c>
      <c r="BB69" s="224" t="str">
        <f>IFERROR(AZ69/#REF!,"")</f>
        <v/>
      </c>
      <c r="BC69" s="224" t="str">
        <f>IFERROR(VLOOKUP($A69,Devengado!$A$1:$AI$1,22,FALSE),"")</f>
        <v/>
      </c>
      <c r="BD69" s="224" t="str">
        <f>IFERROR(VLOOKUP($A69,Devengado!$A$1:$AI$1,23,FALSE),"")</f>
        <v/>
      </c>
      <c r="BE69" s="224" t="str">
        <f>IFERROR(VLOOKUP($A69,Devengado!$A$1:$AI$1,24,FALSE),"")</f>
        <v/>
      </c>
      <c r="BF69" s="224" t="str">
        <f>IFERROR(VLOOKUP($A69,Devengado!$A$1:$AI$1,25,FALSE),"")</f>
        <v/>
      </c>
      <c r="BG69" s="224" t="str">
        <f>IFERROR(VLOOKUP($A69,Devengado!$A$1:$AI$1,26,FALSE),"")</f>
        <v/>
      </c>
      <c r="BH69" s="224" t="str">
        <f>IFERROR(VLOOKUP($A69,Devengado!$A$1:$AI$1,27,FALSE),"")</f>
        <v/>
      </c>
      <c r="BI69" s="224" t="str">
        <f>IFERROR(VLOOKUP($A69,Devengado!$A$1:$AI$1,28,FALSE),"")</f>
        <v/>
      </c>
      <c r="BJ69" s="224" t="str">
        <f>IFERROR(VLOOKUP($A69,Devengado!$A$1:$AI$1,29,FALSE),"")</f>
        <v/>
      </c>
      <c r="BK69" s="224" t="str">
        <f>IFERROR(VLOOKUP($A69,Devengado!$A$1:$AI$1,30,FALSE),"")</f>
        <v/>
      </c>
      <c r="BL69" s="224" t="str">
        <f>IFERROR(VLOOKUP($A69,Devengado!$A$1:$AI$1,31,FALSE),"")</f>
        <v/>
      </c>
      <c r="BM69" s="224" t="str">
        <f>IFERROR(VLOOKUP($A69,Devengado!$A$1:$AI$1,32,FALSE),"")</f>
        <v/>
      </c>
      <c r="BN69" s="224" t="str">
        <f>IFERROR(VLOOKUP($A69,Devengado!$A$1:$AI$1,33,FALSE),"")</f>
        <v/>
      </c>
      <c r="BO69" s="224">
        <f t="shared" ref="BO69:BO132" si="12">SUM(BC69:BN69)</f>
        <v>0</v>
      </c>
      <c r="BP69" s="224" t="str">
        <f t="shared" ref="BP69:BP132" si="13">IFERROR(((AB69+AC69)-AZ69),"")</f>
        <v/>
      </c>
      <c r="BQ69" s="207"/>
      <c r="BR69" s="207" t="str">
        <f t="shared" ref="BR69:BR132" si="14">LEFT(R69,4)</f>
        <v>53</v>
      </c>
    </row>
    <row r="70" spans="1:70" s="225" customFormat="1" ht="25.5" customHeight="1">
      <c r="A70" s="207">
        <v>66</v>
      </c>
      <c r="B70" s="112" t="s">
        <v>73</v>
      </c>
      <c r="C70" s="112" t="s">
        <v>154</v>
      </c>
      <c r="D70" s="112" t="s">
        <v>155</v>
      </c>
      <c r="E70" s="112" t="s">
        <v>76</v>
      </c>
      <c r="F70" s="112" t="s">
        <v>77</v>
      </c>
      <c r="G70" s="112" t="s">
        <v>77</v>
      </c>
      <c r="H70" s="112" t="s">
        <v>77</v>
      </c>
      <c r="I70" s="112" t="s">
        <v>77</v>
      </c>
      <c r="J70" s="112" t="s">
        <v>77</v>
      </c>
      <c r="K70" s="112" t="s">
        <v>77</v>
      </c>
      <c r="L70" s="112" t="s">
        <v>85</v>
      </c>
      <c r="M70" s="112" t="s">
        <v>161</v>
      </c>
      <c r="N70" s="112">
        <v>9999</v>
      </c>
      <c r="O70" s="114" t="s">
        <v>111</v>
      </c>
      <c r="P70" s="114" t="s">
        <v>81</v>
      </c>
      <c r="Q70" s="114" t="s">
        <v>82</v>
      </c>
      <c r="R70" s="115" t="str">
        <f t="shared" si="8"/>
        <v>53</v>
      </c>
      <c r="S70" s="112">
        <v>530205</v>
      </c>
      <c r="T70" s="122" t="str">
        <f>VLOOKUP(S70,ITEM!$C$1:$D$156,2,FALSE)</f>
        <v>Espectáculos Culturales y Sociales</v>
      </c>
      <c r="U70" s="112" t="s">
        <v>83</v>
      </c>
      <c r="V70" s="112" t="s">
        <v>82</v>
      </c>
      <c r="W70" s="112" t="s">
        <v>84</v>
      </c>
      <c r="X70" s="112" t="s">
        <v>84</v>
      </c>
      <c r="Y70" s="224" t="e">
        <f>'Matriz POA 2024-TRABAJO'!#REF!</f>
        <v>#REF!</v>
      </c>
      <c r="Z70" s="224" t="e">
        <f>'Matriz POA 2024-TRABAJO'!#REF!</f>
        <v>#REF!</v>
      </c>
      <c r="AA70" s="224" t="e">
        <f>'Matriz POA 2024-TRABAJO'!#REF!</f>
        <v>#REF!</v>
      </c>
      <c r="AB70" s="279">
        <v>0</v>
      </c>
      <c r="AC70" s="279">
        <v>0</v>
      </c>
      <c r="AD70" s="279">
        <v>0</v>
      </c>
      <c r="AE70" s="279">
        <v>0</v>
      </c>
      <c r="AF70" s="279">
        <v>0</v>
      </c>
      <c r="AG70" s="279">
        <v>0</v>
      </c>
      <c r="AH70" s="279">
        <v>0</v>
      </c>
      <c r="AI70" s="279">
        <v>0</v>
      </c>
      <c r="AJ70" s="279">
        <v>0</v>
      </c>
      <c r="AK70" s="279">
        <v>0</v>
      </c>
      <c r="AL70" s="279">
        <v>0</v>
      </c>
      <c r="AM70" s="279">
        <v>0</v>
      </c>
      <c r="AN70" s="224" t="e">
        <f>SUM(#REF!)</f>
        <v>#REF!</v>
      </c>
      <c r="AO70" s="224">
        <f t="shared" si="9"/>
        <v>0</v>
      </c>
      <c r="AP70" s="224" t="e">
        <f t="shared" ref="AP70:AP133" si="15">+AO70-AA70</f>
        <v>#REF!</v>
      </c>
      <c r="AQ70" s="224"/>
      <c r="AR70" s="224"/>
      <c r="AS70" s="224"/>
      <c r="AT70" s="224" t="str">
        <f>IFERROR(VLOOKUP($A70,'Constancias POA'!$A$2:$DH$9993,17,FALSE),"")</f>
        <v/>
      </c>
      <c r="AU70" s="224" t="str">
        <f t="shared" si="10"/>
        <v/>
      </c>
      <c r="AV70" s="224" t="str">
        <f>IFERROR(VLOOKUP($A70,CP!$A$1:$U$7992,18,FALSE),"")</f>
        <v/>
      </c>
      <c r="AW70" s="224" t="str">
        <f>IFERROR(VLOOKUP($A70,CP!$A$1:$U$7992,19,FALSE),"")</f>
        <v/>
      </c>
      <c r="AX70" s="224" t="str">
        <f>IFERROR(VLOOKUP($A70,CP!$A$1:$U$7992,20,FALSE),"")</f>
        <v/>
      </c>
      <c r="AY70" s="224" t="str">
        <f>IFERROR(VLOOKUP($A70,CP!$A$1:$U$1,21,FALSE),"")</f>
        <v/>
      </c>
      <c r="AZ70" s="224" t="str">
        <f>IFERROR(VLOOKUP(A70,Devengado!$A$1:AJ1,35,FALSE),"")</f>
        <v/>
      </c>
      <c r="BA70" s="224" t="str">
        <f t="shared" si="11"/>
        <v/>
      </c>
      <c r="BB70" s="224" t="str">
        <f>IFERROR(AZ70/#REF!,"")</f>
        <v/>
      </c>
      <c r="BC70" s="224" t="str">
        <f>IFERROR(VLOOKUP($A70,Devengado!$A$1:$AI$1,22,FALSE),"")</f>
        <v/>
      </c>
      <c r="BD70" s="224" t="str">
        <f>IFERROR(VLOOKUP($A70,Devengado!$A$1:$AI$1,23,FALSE),"")</f>
        <v/>
      </c>
      <c r="BE70" s="224" t="str">
        <f>IFERROR(VLOOKUP($A70,Devengado!$A$1:$AI$1,24,FALSE),"")</f>
        <v/>
      </c>
      <c r="BF70" s="224" t="str">
        <f>IFERROR(VLOOKUP($A70,Devengado!$A$1:$AI$1,25,FALSE),"")</f>
        <v/>
      </c>
      <c r="BG70" s="224" t="str">
        <f>IFERROR(VLOOKUP($A70,Devengado!$A$1:$AI$1,26,FALSE),"")</f>
        <v/>
      </c>
      <c r="BH70" s="224" t="str">
        <f>IFERROR(VLOOKUP($A70,Devengado!$A$1:$AI$1,27,FALSE),"")</f>
        <v/>
      </c>
      <c r="BI70" s="224" t="str">
        <f>IFERROR(VLOOKUP($A70,Devengado!$A$1:$AI$1,28,FALSE),"")</f>
        <v/>
      </c>
      <c r="BJ70" s="224" t="str">
        <f>IFERROR(VLOOKUP($A70,Devengado!$A$1:$AI$1,29,FALSE),"")</f>
        <v/>
      </c>
      <c r="BK70" s="224" t="str">
        <f>IFERROR(VLOOKUP($A70,Devengado!$A$1:$AI$1,30,FALSE),"")</f>
        <v/>
      </c>
      <c r="BL70" s="224" t="str">
        <f>IFERROR(VLOOKUP($A70,Devengado!$A$1:$AI$1,31,FALSE),"")</f>
        <v/>
      </c>
      <c r="BM70" s="224" t="str">
        <f>IFERROR(VLOOKUP($A70,Devengado!$A$1:$AI$1,32,FALSE),"")</f>
        <v/>
      </c>
      <c r="BN70" s="224" t="str">
        <f>IFERROR(VLOOKUP($A70,Devengado!$A$1:$AI$1,33,FALSE),"")</f>
        <v/>
      </c>
      <c r="BO70" s="224">
        <f t="shared" si="12"/>
        <v>0</v>
      </c>
      <c r="BP70" s="224" t="str">
        <f t="shared" si="13"/>
        <v/>
      </c>
      <c r="BQ70" s="207"/>
      <c r="BR70" s="207" t="str">
        <f t="shared" si="14"/>
        <v>53</v>
      </c>
    </row>
    <row r="71" spans="1:70" s="225" customFormat="1" ht="25.5" customHeight="1">
      <c r="A71" s="207">
        <v>67</v>
      </c>
      <c r="B71" s="112" t="s">
        <v>73</v>
      </c>
      <c r="C71" s="112" t="s">
        <v>154</v>
      </c>
      <c r="D71" s="112" t="s">
        <v>155</v>
      </c>
      <c r="E71" s="112" t="s">
        <v>76</v>
      </c>
      <c r="F71" s="112" t="s">
        <v>77</v>
      </c>
      <c r="G71" s="112" t="s">
        <v>77</v>
      </c>
      <c r="H71" s="112" t="s">
        <v>77</v>
      </c>
      <c r="I71" s="112" t="s">
        <v>77</v>
      </c>
      <c r="J71" s="112" t="s">
        <v>77</v>
      </c>
      <c r="K71" s="112" t="s">
        <v>77</v>
      </c>
      <c r="L71" s="112" t="s">
        <v>85</v>
      </c>
      <c r="M71" s="112" t="s">
        <v>162</v>
      </c>
      <c r="N71" s="112">
        <v>9999</v>
      </c>
      <c r="O71" s="114" t="s">
        <v>111</v>
      </c>
      <c r="P71" s="114" t="s">
        <v>81</v>
      </c>
      <c r="Q71" s="114" t="s">
        <v>82</v>
      </c>
      <c r="R71" s="115" t="str">
        <f t="shared" si="8"/>
        <v>53</v>
      </c>
      <c r="S71" s="112">
        <v>530606</v>
      </c>
      <c r="T71" s="122" t="str">
        <f>VLOOKUP(S71,ITEM!$C$1:$D$156,2,FALSE)</f>
        <v>Honorarios por Contratos Civiles de Servicios</v>
      </c>
      <c r="U71" s="112" t="s">
        <v>83</v>
      </c>
      <c r="V71" s="112" t="s">
        <v>82</v>
      </c>
      <c r="W71" s="112" t="s">
        <v>84</v>
      </c>
      <c r="X71" s="112" t="s">
        <v>84</v>
      </c>
      <c r="Y71" s="224" t="e">
        <f>'Matriz POA 2024-TRABAJO'!#REF!</f>
        <v>#REF!</v>
      </c>
      <c r="Z71" s="224" t="e">
        <f>'Matriz POA 2024-TRABAJO'!#REF!</f>
        <v>#REF!</v>
      </c>
      <c r="AA71" s="224" t="e">
        <f>'Matriz POA 2024-TRABAJO'!#REF!</f>
        <v>#REF!</v>
      </c>
      <c r="AB71" s="279"/>
      <c r="AC71" s="279"/>
      <c r="AD71" s="279"/>
      <c r="AE71" s="279">
        <v>1212</v>
      </c>
      <c r="AF71" s="279">
        <v>1212</v>
      </c>
      <c r="AG71" s="279">
        <v>1212</v>
      </c>
      <c r="AH71" s="279">
        <v>1212</v>
      </c>
      <c r="AI71" s="279">
        <v>1212</v>
      </c>
      <c r="AJ71" s="279">
        <v>269.92</v>
      </c>
      <c r="AK71" s="279">
        <v>0</v>
      </c>
      <c r="AL71" s="279">
        <v>0</v>
      </c>
      <c r="AM71" s="279">
        <v>0</v>
      </c>
      <c r="AN71" s="224" t="e">
        <f>SUM(#REF!)</f>
        <v>#REF!</v>
      </c>
      <c r="AO71" s="224">
        <f t="shared" si="9"/>
        <v>6329.92</v>
      </c>
      <c r="AP71" s="224" t="e">
        <f t="shared" si="15"/>
        <v>#REF!</v>
      </c>
      <c r="AQ71" s="224"/>
      <c r="AR71" s="224"/>
      <c r="AS71" s="224"/>
      <c r="AT71" s="224" t="str">
        <f>IFERROR(VLOOKUP($A71,'Constancias POA'!$A$2:$DH$9993,17,FALSE),"")</f>
        <v/>
      </c>
      <c r="AU71" s="224" t="str">
        <f t="shared" si="10"/>
        <v/>
      </c>
      <c r="AV71" s="224" t="str">
        <f>IFERROR(VLOOKUP($A71,CP!$A$1:$U$7992,18,FALSE),"")</f>
        <v/>
      </c>
      <c r="AW71" s="224" t="str">
        <f>IFERROR(VLOOKUP($A71,CP!$A$1:$U$7992,19,FALSE),"")</f>
        <v/>
      </c>
      <c r="AX71" s="224" t="str">
        <f>IFERROR(VLOOKUP($A71,CP!$A$1:$U$7992,20,FALSE),"")</f>
        <v/>
      </c>
      <c r="AY71" s="224" t="str">
        <f>IFERROR(VLOOKUP($A71,CP!$A$1:$U$1,21,FALSE),"")</f>
        <v/>
      </c>
      <c r="AZ71" s="224" t="str">
        <f>IFERROR(VLOOKUP(A71,Devengado!$A$1:AJ1,35,FALSE),"")</f>
        <v/>
      </c>
      <c r="BA71" s="224" t="str">
        <f t="shared" si="11"/>
        <v/>
      </c>
      <c r="BB71" s="224" t="str">
        <f>IFERROR(AZ71/#REF!,"")</f>
        <v/>
      </c>
      <c r="BC71" s="224" t="str">
        <f>IFERROR(VLOOKUP($A71,Devengado!$A$1:$AI$1,22,FALSE),"")</f>
        <v/>
      </c>
      <c r="BD71" s="224" t="str">
        <f>IFERROR(VLOOKUP($A71,Devengado!$A$1:$AI$1,23,FALSE),"")</f>
        <v/>
      </c>
      <c r="BE71" s="224" t="str">
        <f>IFERROR(VLOOKUP($A71,Devengado!$A$1:$AI$1,24,FALSE),"")</f>
        <v/>
      </c>
      <c r="BF71" s="224" t="str">
        <f>IFERROR(VLOOKUP($A71,Devengado!$A$1:$AI$1,25,FALSE),"")</f>
        <v/>
      </c>
      <c r="BG71" s="224" t="str">
        <f>IFERROR(VLOOKUP($A71,Devengado!$A$1:$AI$1,26,FALSE),"")</f>
        <v/>
      </c>
      <c r="BH71" s="224" t="str">
        <f>IFERROR(VLOOKUP($A71,Devengado!$A$1:$AI$1,27,FALSE),"")</f>
        <v/>
      </c>
      <c r="BI71" s="224" t="str">
        <f>IFERROR(VLOOKUP($A71,Devengado!$A$1:$AI$1,28,FALSE),"")</f>
        <v/>
      </c>
      <c r="BJ71" s="224" t="str">
        <f>IFERROR(VLOOKUP($A71,Devengado!$A$1:$AI$1,29,FALSE),"")</f>
        <v/>
      </c>
      <c r="BK71" s="224" t="str">
        <f>IFERROR(VLOOKUP($A71,Devengado!$A$1:$AI$1,30,FALSE),"")</f>
        <v/>
      </c>
      <c r="BL71" s="224" t="str">
        <f>IFERROR(VLOOKUP($A71,Devengado!$A$1:$AI$1,31,FALSE),"")</f>
        <v/>
      </c>
      <c r="BM71" s="224" t="str">
        <f>IFERROR(VLOOKUP($A71,Devengado!$A$1:$AI$1,32,FALSE),"")</f>
        <v/>
      </c>
      <c r="BN71" s="224" t="str">
        <f>IFERROR(VLOOKUP($A71,Devengado!$A$1:$AI$1,33,FALSE),"")</f>
        <v/>
      </c>
      <c r="BO71" s="224">
        <f t="shared" si="12"/>
        <v>0</v>
      </c>
      <c r="BP71" s="224" t="str">
        <f t="shared" si="13"/>
        <v/>
      </c>
      <c r="BQ71" s="207"/>
      <c r="BR71" s="207" t="str">
        <f t="shared" si="14"/>
        <v>53</v>
      </c>
    </row>
    <row r="72" spans="1:70" s="225" customFormat="1" ht="25.5" customHeight="1">
      <c r="A72" s="207">
        <v>68</v>
      </c>
      <c r="B72" s="112" t="s">
        <v>73</v>
      </c>
      <c r="C72" s="112" t="s">
        <v>154</v>
      </c>
      <c r="D72" s="112" t="s">
        <v>158</v>
      </c>
      <c r="E72" s="112" t="s">
        <v>76</v>
      </c>
      <c r="F72" s="112" t="s">
        <v>77</v>
      </c>
      <c r="G72" s="112" t="s">
        <v>77</v>
      </c>
      <c r="H72" s="112" t="s">
        <v>77</v>
      </c>
      <c r="I72" s="112" t="s">
        <v>77</v>
      </c>
      <c r="J72" s="112" t="s">
        <v>77</v>
      </c>
      <c r="K72" s="112" t="s">
        <v>77</v>
      </c>
      <c r="L72" s="112" t="s">
        <v>85</v>
      </c>
      <c r="M72" s="112" t="s">
        <v>163</v>
      </c>
      <c r="N72" s="112">
        <v>9999</v>
      </c>
      <c r="O72" s="114" t="s">
        <v>111</v>
      </c>
      <c r="P72" s="114" t="s">
        <v>81</v>
      </c>
      <c r="Q72" s="114" t="s">
        <v>82</v>
      </c>
      <c r="R72" s="115" t="str">
        <f t="shared" si="8"/>
        <v>53</v>
      </c>
      <c r="S72" s="112">
        <v>530205</v>
      </c>
      <c r="T72" s="122" t="str">
        <f>VLOOKUP(S72,ITEM!$C$1:$D$156,2,FALSE)</f>
        <v>Espectáculos Culturales y Sociales</v>
      </c>
      <c r="U72" s="112" t="s">
        <v>83</v>
      </c>
      <c r="V72" s="112" t="s">
        <v>82</v>
      </c>
      <c r="W72" s="112" t="s">
        <v>84</v>
      </c>
      <c r="X72" s="112" t="s">
        <v>84</v>
      </c>
      <c r="Y72" s="224" t="e">
        <f>'Matriz POA 2024-TRABAJO'!#REF!</f>
        <v>#REF!</v>
      </c>
      <c r="Z72" s="224" t="e">
        <f>'Matriz POA 2024-TRABAJO'!#REF!</f>
        <v>#REF!</v>
      </c>
      <c r="AA72" s="224" t="e">
        <f>'Matriz POA 2024-TRABAJO'!#REF!</f>
        <v>#REF!</v>
      </c>
      <c r="AB72" s="279">
        <v>0</v>
      </c>
      <c r="AC72" s="279">
        <v>0</v>
      </c>
      <c r="AD72" s="279">
        <v>0</v>
      </c>
      <c r="AE72" s="279">
        <v>9000</v>
      </c>
      <c r="AF72" s="279">
        <v>0</v>
      </c>
      <c r="AG72" s="279">
        <v>0</v>
      </c>
      <c r="AH72" s="279">
        <v>0</v>
      </c>
      <c r="AI72" s="279">
        <v>0</v>
      </c>
      <c r="AJ72" s="279">
        <v>0</v>
      </c>
      <c r="AK72" s="279">
        <v>0</v>
      </c>
      <c r="AL72" s="279">
        <v>0</v>
      </c>
      <c r="AM72" s="279">
        <v>0</v>
      </c>
      <c r="AN72" s="224" t="e">
        <f>SUM(#REF!)</f>
        <v>#REF!</v>
      </c>
      <c r="AO72" s="224">
        <f t="shared" si="9"/>
        <v>9000</v>
      </c>
      <c r="AP72" s="224" t="e">
        <f t="shared" si="15"/>
        <v>#REF!</v>
      </c>
      <c r="AQ72" s="224"/>
      <c r="AR72" s="224"/>
      <c r="AS72" s="224"/>
      <c r="AT72" s="224" t="str">
        <f>IFERROR(VLOOKUP($A72,'Constancias POA'!$A$2:$DH$9993,17,FALSE),"")</f>
        <v/>
      </c>
      <c r="AU72" s="224" t="str">
        <f t="shared" si="10"/>
        <v/>
      </c>
      <c r="AV72" s="224" t="str">
        <f>IFERROR(VLOOKUP($A72,CP!$A$1:$U$7992,18,FALSE),"")</f>
        <v/>
      </c>
      <c r="AW72" s="224" t="str">
        <f>IFERROR(VLOOKUP($A72,CP!$A$1:$U$7992,19,FALSE),"")</f>
        <v/>
      </c>
      <c r="AX72" s="224" t="str">
        <f>IFERROR(VLOOKUP($A72,CP!$A$1:$U$7992,20,FALSE),"")</f>
        <v/>
      </c>
      <c r="AY72" s="224" t="str">
        <f>IFERROR(VLOOKUP($A72,CP!$A$1:$U$1,21,FALSE),"")</f>
        <v/>
      </c>
      <c r="AZ72" s="224" t="str">
        <f>IFERROR(VLOOKUP(A72,Devengado!$A$1:AJ1,35,FALSE),"")</f>
        <v/>
      </c>
      <c r="BA72" s="224" t="str">
        <f t="shared" si="11"/>
        <v/>
      </c>
      <c r="BB72" s="224" t="str">
        <f>IFERROR(AZ72/#REF!,"")</f>
        <v/>
      </c>
      <c r="BC72" s="224" t="str">
        <f>IFERROR(VLOOKUP($A72,Devengado!$A$1:$AI$1,22,FALSE),"")</f>
        <v/>
      </c>
      <c r="BD72" s="224" t="str">
        <f>IFERROR(VLOOKUP($A72,Devengado!$A$1:$AI$1,23,FALSE),"")</f>
        <v/>
      </c>
      <c r="BE72" s="224" t="str">
        <f>IFERROR(VLOOKUP($A72,Devengado!$A$1:$AI$1,24,FALSE),"")</f>
        <v/>
      </c>
      <c r="BF72" s="224" t="str">
        <f>IFERROR(VLOOKUP($A72,Devengado!$A$1:$AI$1,25,FALSE),"")</f>
        <v/>
      </c>
      <c r="BG72" s="224" t="str">
        <f>IFERROR(VLOOKUP($A72,Devengado!$A$1:$AI$1,26,FALSE),"")</f>
        <v/>
      </c>
      <c r="BH72" s="224" t="str">
        <f>IFERROR(VLOOKUP($A72,Devengado!$A$1:$AI$1,27,FALSE),"")</f>
        <v/>
      </c>
      <c r="BI72" s="224" t="str">
        <f>IFERROR(VLOOKUP($A72,Devengado!$A$1:$AI$1,28,FALSE),"")</f>
        <v/>
      </c>
      <c r="BJ72" s="224" t="str">
        <f>IFERROR(VLOOKUP($A72,Devengado!$A$1:$AI$1,29,FALSE),"")</f>
        <v/>
      </c>
      <c r="BK72" s="224" t="str">
        <f>IFERROR(VLOOKUP($A72,Devengado!$A$1:$AI$1,30,FALSE),"")</f>
        <v/>
      </c>
      <c r="BL72" s="224" t="str">
        <f>IFERROR(VLOOKUP($A72,Devengado!$A$1:$AI$1,31,FALSE),"")</f>
        <v/>
      </c>
      <c r="BM72" s="224" t="str">
        <f>IFERROR(VLOOKUP($A72,Devengado!$A$1:$AI$1,32,FALSE),"")</f>
        <v/>
      </c>
      <c r="BN72" s="224" t="str">
        <f>IFERROR(VLOOKUP($A72,Devengado!$A$1:$AI$1,33,FALSE),"")</f>
        <v/>
      </c>
      <c r="BO72" s="224">
        <f t="shared" si="12"/>
        <v>0</v>
      </c>
      <c r="BP72" s="224" t="str">
        <f t="shared" si="13"/>
        <v/>
      </c>
      <c r="BQ72" s="207"/>
      <c r="BR72" s="207" t="str">
        <f t="shared" si="14"/>
        <v>53</v>
      </c>
    </row>
    <row r="73" spans="1:70" s="225" customFormat="1" ht="25.5" customHeight="1">
      <c r="A73" s="207">
        <v>69</v>
      </c>
      <c r="B73" s="112" t="s">
        <v>73</v>
      </c>
      <c r="C73" s="112" t="s">
        <v>154</v>
      </c>
      <c r="D73" s="112" t="s">
        <v>158</v>
      </c>
      <c r="E73" s="112" t="s">
        <v>76</v>
      </c>
      <c r="F73" s="112" t="s">
        <v>77</v>
      </c>
      <c r="G73" s="112" t="s">
        <v>77</v>
      </c>
      <c r="H73" s="112" t="s">
        <v>77</v>
      </c>
      <c r="I73" s="112" t="s">
        <v>77</v>
      </c>
      <c r="J73" s="112" t="s">
        <v>77</v>
      </c>
      <c r="K73" s="112" t="s">
        <v>77</v>
      </c>
      <c r="L73" s="112" t="s">
        <v>85</v>
      </c>
      <c r="M73" s="112" t="s">
        <v>164</v>
      </c>
      <c r="N73" s="112">
        <v>9999</v>
      </c>
      <c r="O73" s="114" t="s">
        <v>111</v>
      </c>
      <c r="P73" s="114" t="s">
        <v>81</v>
      </c>
      <c r="Q73" s="114" t="s">
        <v>82</v>
      </c>
      <c r="R73" s="115" t="str">
        <f t="shared" si="8"/>
        <v>53</v>
      </c>
      <c r="S73" s="112">
        <v>530205</v>
      </c>
      <c r="T73" s="122" t="str">
        <f>VLOOKUP(S73,ITEM!$C$1:$D$156,2,FALSE)</f>
        <v>Espectáculos Culturales y Sociales</v>
      </c>
      <c r="U73" s="112" t="s">
        <v>83</v>
      </c>
      <c r="V73" s="112" t="s">
        <v>82</v>
      </c>
      <c r="W73" s="112" t="s">
        <v>84</v>
      </c>
      <c r="X73" s="112" t="s">
        <v>84</v>
      </c>
      <c r="Y73" s="224" t="e">
        <f>'Matriz POA 2024-TRABAJO'!#REF!</f>
        <v>#REF!</v>
      </c>
      <c r="Z73" s="224" t="e">
        <f>'Matriz POA 2024-TRABAJO'!#REF!</f>
        <v>#REF!</v>
      </c>
      <c r="AA73" s="224" t="e">
        <f>'Matriz POA 2024-TRABAJO'!#REF!</f>
        <v>#REF!</v>
      </c>
      <c r="AB73" s="279">
        <v>0</v>
      </c>
      <c r="AC73" s="279">
        <v>0</v>
      </c>
      <c r="AD73" s="279">
        <v>0</v>
      </c>
      <c r="AE73" s="279">
        <v>0</v>
      </c>
      <c r="AF73" s="279">
        <v>0</v>
      </c>
      <c r="AG73" s="279">
        <v>0</v>
      </c>
      <c r="AH73" s="279">
        <v>0</v>
      </c>
      <c r="AI73" s="279">
        <v>0</v>
      </c>
      <c r="AJ73" s="279">
        <v>0</v>
      </c>
      <c r="AK73" s="279">
        <v>0</v>
      </c>
      <c r="AL73" s="279">
        <v>0</v>
      </c>
      <c r="AM73" s="279">
        <v>0</v>
      </c>
      <c r="AN73" s="224" t="e">
        <f>SUM(#REF!)</f>
        <v>#REF!</v>
      </c>
      <c r="AO73" s="224">
        <f t="shared" si="9"/>
        <v>0</v>
      </c>
      <c r="AP73" s="224" t="e">
        <f t="shared" si="15"/>
        <v>#REF!</v>
      </c>
      <c r="AQ73" s="224"/>
      <c r="AR73" s="224"/>
      <c r="AS73" s="224"/>
      <c r="AT73" s="224" t="str">
        <f>IFERROR(VLOOKUP($A73,'Constancias POA'!$A$2:$DH$9993,17,FALSE),"")</f>
        <v/>
      </c>
      <c r="AU73" s="224" t="str">
        <f t="shared" si="10"/>
        <v/>
      </c>
      <c r="AV73" s="224" t="str">
        <f>IFERROR(VLOOKUP($A73,CP!$A$1:$U$7992,18,FALSE),"")</f>
        <v/>
      </c>
      <c r="AW73" s="224" t="str">
        <f>IFERROR(VLOOKUP($A73,CP!$A$1:$U$7992,19,FALSE),"")</f>
        <v/>
      </c>
      <c r="AX73" s="224" t="str">
        <f>IFERROR(VLOOKUP($A73,CP!$A$1:$U$7992,20,FALSE),"")</f>
        <v/>
      </c>
      <c r="AY73" s="224" t="str">
        <f>IFERROR(VLOOKUP($A73,CP!$A$1:$U$1,21,FALSE),"")</f>
        <v/>
      </c>
      <c r="AZ73" s="224" t="str">
        <f>IFERROR(VLOOKUP(A73,Devengado!$A$1:AJ1,35,FALSE),"")</f>
        <v/>
      </c>
      <c r="BA73" s="224" t="str">
        <f t="shared" si="11"/>
        <v/>
      </c>
      <c r="BB73" s="224" t="str">
        <f>IFERROR(AZ73/#REF!,"")</f>
        <v/>
      </c>
      <c r="BC73" s="224" t="str">
        <f>IFERROR(VLOOKUP($A73,Devengado!$A$1:$AI$1,22,FALSE),"")</f>
        <v/>
      </c>
      <c r="BD73" s="224" t="str">
        <f>IFERROR(VLOOKUP($A73,Devengado!$A$1:$AI$1,23,FALSE),"")</f>
        <v/>
      </c>
      <c r="BE73" s="224" t="str">
        <f>IFERROR(VLOOKUP($A73,Devengado!$A$1:$AI$1,24,FALSE),"")</f>
        <v/>
      </c>
      <c r="BF73" s="224" t="str">
        <f>IFERROR(VLOOKUP($A73,Devengado!$A$1:$AI$1,25,FALSE),"")</f>
        <v/>
      </c>
      <c r="BG73" s="224" t="str">
        <f>IFERROR(VLOOKUP($A73,Devengado!$A$1:$AI$1,26,FALSE),"")</f>
        <v/>
      </c>
      <c r="BH73" s="224" t="str">
        <f>IFERROR(VLOOKUP($A73,Devengado!$A$1:$AI$1,27,FALSE),"")</f>
        <v/>
      </c>
      <c r="BI73" s="224" t="str">
        <f>IFERROR(VLOOKUP($A73,Devengado!$A$1:$AI$1,28,FALSE),"")</f>
        <v/>
      </c>
      <c r="BJ73" s="224" t="str">
        <f>IFERROR(VLOOKUP($A73,Devengado!$A$1:$AI$1,29,FALSE),"")</f>
        <v/>
      </c>
      <c r="BK73" s="224" t="str">
        <f>IFERROR(VLOOKUP($A73,Devengado!$A$1:$AI$1,30,FALSE),"")</f>
        <v/>
      </c>
      <c r="BL73" s="224" t="str">
        <f>IFERROR(VLOOKUP($A73,Devengado!$A$1:$AI$1,31,FALSE),"")</f>
        <v/>
      </c>
      <c r="BM73" s="224" t="str">
        <f>IFERROR(VLOOKUP($A73,Devengado!$A$1:$AI$1,32,FALSE),"")</f>
        <v/>
      </c>
      <c r="BN73" s="224" t="str">
        <f>IFERROR(VLOOKUP($A73,Devengado!$A$1:$AI$1,33,FALSE),"")</f>
        <v/>
      </c>
      <c r="BO73" s="224">
        <f t="shared" si="12"/>
        <v>0</v>
      </c>
      <c r="BP73" s="224" t="str">
        <f t="shared" si="13"/>
        <v/>
      </c>
      <c r="BQ73" s="207"/>
      <c r="BR73" s="207" t="str">
        <f t="shared" si="14"/>
        <v>53</v>
      </c>
    </row>
    <row r="74" spans="1:70" s="225" customFormat="1" ht="25.5" customHeight="1">
      <c r="A74" s="207">
        <v>70</v>
      </c>
      <c r="B74" s="112" t="s">
        <v>73</v>
      </c>
      <c r="C74" s="112" t="s">
        <v>154</v>
      </c>
      <c r="D74" s="112" t="s">
        <v>158</v>
      </c>
      <c r="E74" s="112" t="s">
        <v>76</v>
      </c>
      <c r="F74" s="112" t="s">
        <v>77</v>
      </c>
      <c r="G74" s="112" t="s">
        <v>77</v>
      </c>
      <c r="H74" s="112" t="s">
        <v>77</v>
      </c>
      <c r="I74" s="112" t="s">
        <v>77</v>
      </c>
      <c r="J74" s="112" t="s">
        <v>77</v>
      </c>
      <c r="K74" s="112" t="s">
        <v>77</v>
      </c>
      <c r="L74" s="112" t="s">
        <v>85</v>
      </c>
      <c r="M74" s="112" t="s">
        <v>165</v>
      </c>
      <c r="N74" s="112">
        <v>9999</v>
      </c>
      <c r="O74" s="114" t="s">
        <v>111</v>
      </c>
      <c r="P74" s="114" t="s">
        <v>81</v>
      </c>
      <c r="Q74" s="114" t="s">
        <v>82</v>
      </c>
      <c r="R74" s="115" t="str">
        <f t="shared" si="8"/>
        <v>53</v>
      </c>
      <c r="S74" s="112">
        <v>530807</v>
      </c>
      <c r="T74" s="122" t="e">
        <f>VLOOKUP(S74,ITEM!$C$1:$D$156,2,FALSE)</f>
        <v>#N/A</v>
      </c>
      <c r="U74" s="112" t="s">
        <v>83</v>
      </c>
      <c r="V74" s="112" t="s">
        <v>82</v>
      </c>
      <c r="W74" s="112" t="s">
        <v>84</v>
      </c>
      <c r="X74" s="112" t="s">
        <v>84</v>
      </c>
      <c r="Y74" s="224" t="e">
        <f>'Matriz POA 2024-TRABAJO'!#REF!</f>
        <v>#REF!</v>
      </c>
      <c r="Z74" s="224" t="e">
        <f>'Matriz POA 2024-TRABAJO'!#REF!</f>
        <v>#REF!</v>
      </c>
      <c r="AA74" s="224" t="e">
        <f>'Matriz POA 2024-TRABAJO'!#REF!</f>
        <v>#REF!</v>
      </c>
      <c r="AB74" s="279">
        <v>0</v>
      </c>
      <c r="AC74" s="279">
        <v>0</v>
      </c>
      <c r="AD74" s="279">
        <v>0</v>
      </c>
      <c r="AE74" s="279">
        <v>0</v>
      </c>
      <c r="AF74" s="279">
        <v>0</v>
      </c>
      <c r="AG74" s="279">
        <v>0</v>
      </c>
      <c r="AH74" s="279">
        <v>0</v>
      </c>
      <c r="AI74" s="279">
        <v>0</v>
      </c>
      <c r="AJ74" s="279">
        <v>0</v>
      </c>
      <c r="AK74" s="279">
        <v>0</v>
      </c>
      <c r="AL74" s="279">
        <v>0</v>
      </c>
      <c r="AM74" s="279">
        <v>0</v>
      </c>
      <c r="AN74" s="224" t="e">
        <f>SUM(#REF!)</f>
        <v>#REF!</v>
      </c>
      <c r="AO74" s="224">
        <f t="shared" si="9"/>
        <v>0</v>
      </c>
      <c r="AP74" s="224" t="e">
        <f t="shared" si="15"/>
        <v>#REF!</v>
      </c>
      <c r="AQ74" s="224"/>
      <c r="AR74" s="224"/>
      <c r="AS74" s="224"/>
      <c r="AT74" s="224" t="str">
        <f>IFERROR(VLOOKUP($A74,'Constancias POA'!$A$2:$DH$9993,17,FALSE),"")</f>
        <v/>
      </c>
      <c r="AU74" s="224" t="str">
        <f t="shared" si="10"/>
        <v/>
      </c>
      <c r="AV74" s="224" t="str">
        <f>IFERROR(VLOOKUP($A74,CP!$A$1:$U$7992,18,FALSE),"")</f>
        <v/>
      </c>
      <c r="AW74" s="224" t="str">
        <f>IFERROR(VLOOKUP($A74,CP!$A$1:$U$7992,19,FALSE),"")</f>
        <v/>
      </c>
      <c r="AX74" s="224" t="str">
        <f>IFERROR(VLOOKUP($A74,CP!$A$1:$U$7992,20,FALSE),"")</f>
        <v/>
      </c>
      <c r="AY74" s="224" t="str">
        <f>IFERROR(VLOOKUP($A74,CP!$A$1:$U$1,21,FALSE),"")</f>
        <v/>
      </c>
      <c r="AZ74" s="224" t="str">
        <f>IFERROR(VLOOKUP(A74,Devengado!$A$1:AJ1,35,FALSE),"")</f>
        <v/>
      </c>
      <c r="BA74" s="224" t="str">
        <f t="shared" si="11"/>
        <v/>
      </c>
      <c r="BB74" s="224" t="str">
        <f>IFERROR(AZ74/#REF!,"")</f>
        <v/>
      </c>
      <c r="BC74" s="224" t="str">
        <f>IFERROR(VLOOKUP($A74,Devengado!$A$1:$AI$1,22,FALSE),"")</f>
        <v/>
      </c>
      <c r="BD74" s="224" t="str">
        <f>IFERROR(VLOOKUP($A74,Devengado!$A$1:$AI$1,23,FALSE),"")</f>
        <v/>
      </c>
      <c r="BE74" s="224" t="str">
        <f>IFERROR(VLOOKUP($A74,Devengado!$A$1:$AI$1,24,FALSE),"")</f>
        <v/>
      </c>
      <c r="BF74" s="224" t="str">
        <f>IFERROR(VLOOKUP($A74,Devengado!$A$1:$AI$1,25,FALSE),"")</f>
        <v/>
      </c>
      <c r="BG74" s="224" t="str">
        <f>IFERROR(VLOOKUP($A74,Devengado!$A$1:$AI$1,26,FALSE),"")</f>
        <v/>
      </c>
      <c r="BH74" s="224" t="str">
        <f>IFERROR(VLOOKUP($A74,Devengado!$A$1:$AI$1,27,FALSE),"")</f>
        <v/>
      </c>
      <c r="BI74" s="224" t="str">
        <f>IFERROR(VLOOKUP($A74,Devengado!$A$1:$AI$1,28,FALSE),"")</f>
        <v/>
      </c>
      <c r="BJ74" s="224" t="str">
        <f>IFERROR(VLOOKUP($A74,Devengado!$A$1:$AI$1,29,FALSE),"")</f>
        <v/>
      </c>
      <c r="BK74" s="224" t="str">
        <f>IFERROR(VLOOKUP($A74,Devengado!$A$1:$AI$1,30,FALSE),"")</f>
        <v/>
      </c>
      <c r="BL74" s="224" t="str">
        <f>IFERROR(VLOOKUP($A74,Devengado!$A$1:$AI$1,31,FALSE),"")</f>
        <v/>
      </c>
      <c r="BM74" s="224" t="str">
        <f>IFERROR(VLOOKUP($A74,Devengado!$A$1:$AI$1,32,FALSE),"")</f>
        <v/>
      </c>
      <c r="BN74" s="224" t="str">
        <f>IFERROR(VLOOKUP($A74,Devengado!$A$1:$AI$1,33,FALSE),"")</f>
        <v/>
      </c>
      <c r="BO74" s="224">
        <f t="shared" si="12"/>
        <v>0</v>
      </c>
      <c r="BP74" s="224" t="str">
        <f t="shared" si="13"/>
        <v/>
      </c>
      <c r="BQ74" s="207"/>
      <c r="BR74" s="207" t="str">
        <f t="shared" si="14"/>
        <v>53</v>
      </c>
    </row>
    <row r="75" spans="1:70" s="225" customFormat="1" ht="25.5" customHeight="1">
      <c r="A75" s="207">
        <v>71</v>
      </c>
      <c r="B75" s="112" t="s">
        <v>73</v>
      </c>
      <c r="C75" s="112" t="s">
        <v>154</v>
      </c>
      <c r="D75" s="112" t="s">
        <v>158</v>
      </c>
      <c r="E75" s="112" t="s">
        <v>76</v>
      </c>
      <c r="F75" s="112" t="s">
        <v>77</v>
      </c>
      <c r="G75" s="112" t="s">
        <v>77</v>
      </c>
      <c r="H75" s="112" t="s">
        <v>77</v>
      </c>
      <c r="I75" s="112" t="s">
        <v>77</v>
      </c>
      <c r="J75" s="112" t="s">
        <v>77</v>
      </c>
      <c r="K75" s="112" t="s">
        <v>77</v>
      </c>
      <c r="L75" s="112" t="s">
        <v>85</v>
      </c>
      <c r="M75" s="112" t="s">
        <v>166</v>
      </c>
      <c r="N75" s="112">
        <v>9999</v>
      </c>
      <c r="O75" s="114" t="s">
        <v>111</v>
      </c>
      <c r="P75" s="114" t="s">
        <v>81</v>
      </c>
      <c r="Q75" s="114" t="s">
        <v>82</v>
      </c>
      <c r="R75" s="115" t="str">
        <f t="shared" si="8"/>
        <v>53</v>
      </c>
      <c r="S75" s="112">
        <v>530606</v>
      </c>
      <c r="T75" s="122" t="str">
        <f>VLOOKUP(S75,ITEM!$C$1:$D$156,2,FALSE)</f>
        <v>Honorarios por Contratos Civiles de Servicios</v>
      </c>
      <c r="U75" s="112" t="s">
        <v>83</v>
      </c>
      <c r="V75" s="112" t="s">
        <v>82</v>
      </c>
      <c r="W75" s="112" t="s">
        <v>84</v>
      </c>
      <c r="X75" s="112" t="s">
        <v>84</v>
      </c>
      <c r="Y75" s="224" t="e">
        <f>'Matriz POA 2024-TRABAJO'!#REF!</f>
        <v>#REF!</v>
      </c>
      <c r="Z75" s="224" t="e">
        <f>'Matriz POA 2024-TRABAJO'!#REF!</f>
        <v>#REF!</v>
      </c>
      <c r="AA75" s="224" t="e">
        <f>'Matriz POA 2024-TRABAJO'!#REF!</f>
        <v>#REF!</v>
      </c>
      <c r="AB75" s="279">
        <v>0</v>
      </c>
      <c r="AC75" s="279">
        <v>0</v>
      </c>
      <c r="AD75" s="279">
        <v>0</v>
      </c>
      <c r="AE75" s="279">
        <v>0</v>
      </c>
      <c r="AF75" s="279">
        <v>0</v>
      </c>
      <c r="AG75" s="279">
        <v>0</v>
      </c>
      <c r="AH75" s="279">
        <v>0</v>
      </c>
      <c r="AI75" s="279">
        <v>0</v>
      </c>
      <c r="AJ75" s="279">
        <v>0</v>
      </c>
      <c r="AK75" s="279">
        <v>0</v>
      </c>
      <c r="AL75" s="279">
        <v>0</v>
      </c>
      <c r="AM75" s="279">
        <v>0</v>
      </c>
      <c r="AN75" s="224" t="e">
        <f>SUM(#REF!)</f>
        <v>#REF!</v>
      </c>
      <c r="AO75" s="224">
        <f t="shared" si="9"/>
        <v>0</v>
      </c>
      <c r="AP75" s="224" t="e">
        <f t="shared" si="15"/>
        <v>#REF!</v>
      </c>
      <c r="AQ75" s="224"/>
      <c r="AR75" s="224"/>
      <c r="AS75" s="224"/>
      <c r="AT75" s="224" t="str">
        <f>IFERROR(VLOOKUP($A75,'Constancias POA'!$A$2:$DH$9993,17,FALSE),"")</f>
        <v/>
      </c>
      <c r="AU75" s="224" t="str">
        <f t="shared" si="10"/>
        <v/>
      </c>
      <c r="AV75" s="224" t="str">
        <f>IFERROR(VLOOKUP($A75,CP!$A$1:$U$7992,18,FALSE),"")</f>
        <v/>
      </c>
      <c r="AW75" s="224" t="str">
        <f>IFERROR(VLOOKUP($A75,CP!$A$1:$U$7992,19,FALSE),"")</f>
        <v/>
      </c>
      <c r="AX75" s="224" t="str">
        <f>IFERROR(VLOOKUP($A75,CP!$A$1:$U$7992,20,FALSE),"")</f>
        <v/>
      </c>
      <c r="AY75" s="224" t="str">
        <f>IFERROR(VLOOKUP($A75,CP!$A$1:$U$1,21,FALSE),"")</f>
        <v/>
      </c>
      <c r="AZ75" s="224" t="str">
        <f>IFERROR(VLOOKUP(A75,Devengado!$A$1:AJ1,35,FALSE),"")</f>
        <v/>
      </c>
      <c r="BA75" s="224" t="str">
        <f t="shared" si="11"/>
        <v/>
      </c>
      <c r="BB75" s="224" t="str">
        <f>IFERROR(AZ75/#REF!,"")</f>
        <v/>
      </c>
      <c r="BC75" s="224" t="str">
        <f>IFERROR(VLOOKUP($A75,Devengado!$A$1:$AI$1,22,FALSE),"")</f>
        <v/>
      </c>
      <c r="BD75" s="224" t="str">
        <f>IFERROR(VLOOKUP($A75,Devengado!$A$1:$AI$1,23,FALSE),"")</f>
        <v/>
      </c>
      <c r="BE75" s="224" t="str">
        <f>IFERROR(VLOOKUP($A75,Devengado!$A$1:$AI$1,24,FALSE),"")</f>
        <v/>
      </c>
      <c r="BF75" s="224" t="str">
        <f>IFERROR(VLOOKUP($A75,Devengado!$A$1:$AI$1,25,FALSE),"")</f>
        <v/>
      </c>
      <c r="BG75" s="224" t="str">
        <f>IFERROR(VLOOKUP($A75,Devengado!$A$1:$AI$1,26,FALSE),"")</f>
        <v/>
      </c>
      <c r="BH75" s="224" t="str">
        <f>IFERROR(VLOOKUP($A75,Devengado!$A$1:$AI$1,27,FALSE),"")</f>
        <v/>
      </c>
      <c r="BI75" s="224" t="str">
        <f>IFERROR(VLOOKUP($A75,Devengado!$A$1:$AI$1,28,FALSE),"")</f>
        <v/>
      </c>
      <c r="BJ75" s="224" t="str">
        <f>IFERROR(VLOOKUP($A75,Devengado!$A$1:$AI$1,29,FALSE),"")</f>
        <v/>
      </c>
      <c r="BK75" s="224" t="str">
        <f>IFERROR(VLOOKUP($A75,Devengado!$A$1:$AI$1,30,FALSE),"")</f>
        <v/>
      </c>
      <c r="BL75" s="224" t="str">
        <f>IFERROR(VLOOKUP($A75,Devengado!$A$1:$AI$1,31,FALSE),"")</f>
        <v/>
      </c>
      <c r="BM75" s="224" t="str">
        <f>IFERROR(VLOOKUP($A75,Devengado!$A$1:$AI$1,32,FALSE),"")</f>
        <v/>
      </c>
      <c r="BN75" s="224" t="str">
        <f>IFERROR(VLOOKUP($A75,Devengado!$A$1:$AI$1,33,FALSE),"")</f>
        <v/>
      </c>
      <c r="BO75" s="224">
        <f t="shared" si="12"/>
        <v>0</v>
      </c>
      <c r="BP75" s="224" t="str">
        <f t="shared" si="13"/>
        <v/>
      </c>
      <c r="BQ75" s="207"/>
      <c r="BR75" s="207" t="str">
        <f t="shared" si="14"/>
        <v>53</v>
      </c>
    </row>
    <row r="76" spans="1:70" s="225" customFormat="1" ht="25.5" customHeight="1">
      <c r="A76" s="207">
        <v>72</v>
      </c>
      <c r="B76" s="112" t="s">
        <v>73</v>
      </c>
      <c r="C76" s="112" t="s">
        <v>154</v>
      </c>
      <c r="D76" s="112" t="s">
        <v>158</v>
      </c>
      <c r="E76" s="112" t="s">
        <v>76</v>
      </c>
      <c r="F76" s="112" t="s">
        <v>77</v>
      </c>
      <c r="G76" s="112" t="s">
        <v>77</v>
      </c>
      <c r="H76" s="112" t="s">
        <v>77</v>
      </c>
      <c r="I76" s="112" t="s">
        <v>77</v>
      </c>
      <c r="J76" s="112" t="s">
        <v>77</v>
      </c>
      <c r="K76" s="112" t="s">
        <v>77</v>
      </c>
      <c r="L76" s="112" t="s">
        <v>85</v>
      </c>
      <c r="M76" s="112" t="s">
        <v>167</v>
      </c>
      <c r="N76" s="112">
        <v>9999</v>
      </c>
      <c r="O76" s="114" t="s">
        <v>111</v>
      </c>
      <c r="P76" s="114" t="s">
        <v>81</v>
      </c>
      <c r="Q76" s="114" t="s">
        <v>82</v>
      </c>
      <c r="R76" s="115" t="str">
        <f t="shared" si="8"/>
        <v>53</v>
      </c>
      <c r="S76" s="112">
        <v>530205</v>
      </c>
      <c r="T76" s="122" t="str">
        <f>VLOOKUP(S76,ITEM!$C$1:$D$156,2,FALSE)</f>
        <v>Espectáculos Culturales y Sociales</v>
      </c>
      <c r="U76" s="112" t="s">
        <v>83</v>
      </c>
      <c r="V76" s="112" t="s">
        <v>82</v>
      </c>
      <c r="W76" s="112" t="s">
        <v>84</v>
      </c>
      <c r="X76" s="112" t="s">
        <v>84</v>
      </c>
      <c r="Y76" s="224" t="e">
        <f>'Matriz POA 2024-TRABAJO'!#REF!</f>
        <v>#REF!</v>
      </c>
      <c r="Z76" s="224" t="e">
        <f>'Matriz POA 2024-TRABAJO'!#REF!</f>
        <v>#REF!</v>
      </c>
      <c r="AA76" s="224" t="e">
        <f>'Matriz POA 2024-TRABAJO'!#REF!</f>
        <v>#REF!</v>
      </c>
      <c r="AB76" s="279">
        <v>0</v>
      </c>
      <c r="AC76" s="279">
        <v>0</v>
      </c>
      <c r="AD76" s="279">
        <v>0</v>
      </c>
      <c r="AE76" s="279">
        <v>0</v>
      </c>
      <c r="AF76" s="279">
        <v>0</v>
      </c>
      <c r="AG76" s="279">
        <v>0</v>
      </c>
      <c r="AH76" s="279">
        <v>0</v>
      </c>
      <c r="AI76" s="279">
        <v>0</v>
      </c>
      <c r="AJ76" s="279">
        <v>0</v>
      </c>
      <c r="AK76" s="279">
        <v>0</v>
      </c>
      <c r="AL76" s="279">
        <v>0</v>
      </c>
      <c r="AM76" s="279">
        <v>0</v>
      </c>
      <c r="AN76" s="224" t="e">
        <f>SUM(#REF!)</f>
        <v>#REF!</v>
      </c>
      <c r="AO76" s="224">
        <f t="shared" si="9"/>
        <v>0</v>
      </c>
      <c r="AP76" s="224" t="e">
        <f t="shared" si="15"/>
        <v>#REF!</v>
      </c>
      <c r="AQ76" s="224"/>
      <c r="AR76" s="224"/>
      <c r="AS76" s="224"/>
      <c r="AT76" s="224" t="str">
        <f>IFERROR(VLOOKUP($A76,'Constancias POA'!$A$2:$DH$9993,17,FALSE),"")</f>
        <v/>
      </c>
      <c r="AU76" s="224" t="str">
        <f t="shared" si="10"/>
        <v/>
      </c>
      <c r="AV76" s="224" t="str">
        <f>IFERROR(VLOOKUP($A76,CP!$A$1:$U$7992,18,FALSE),"")</f>
        <v/>
      </c>
      <c r="AW76" s="224" t="str">
        <f>IFERROR(VLOOKUP($A76,CP!$A$1:$U$7992,19,FALSE),"")</f>
        <v/>
      </c>
      <c r="AX76" s="224" t="str">
        <f>IFERROR(VLOOKUP($A76,CP!$A$1:$U$7992,20,FALSE),"")</f>
        <v/>
      </c>
      <c r="AY76" s="224" t="str">
        <f>IFERROR(VLOOKUP($A76,CP!$A$1:$U$1,21,FALSE),"")</f>
        <v/>
      </c>
      <c r="AZ76" s="224" t="str">
        <f>IFERROR(VLOOKUP(A76,Devengado!$A$1:AJ1,35,FALSE),"")</f>
        <v/>
      </c>
      <c r="BA76" s="224" t="str">
        <f t="shared" si="11"/>
        <v/>
      </c>
      <c r="BB76" s="224" t="str">
        <f>IFERROR(AZ76/#REF!,"")</f>
        <v/>
      </c>
      <c r="BC76" s="224" t="str">
        <f>IFERROR(VLOOKUP($A76,Devengado!$A$1:$AI$1,22,FALSE),"")</f>
        <v/>
      </c>
      <c r="BD76" s="224" t="str">
        <f>IFERROR(VLOOKUP($A76,Devengado!$A$1:$AI$1,23,FALSE),"")</f>
        <v/>
      </c>
      <c r="BE76" s="224" t="str">
        <f>IFERROR(VLOOKUP($A76,Devengado!$A$1:$AI$1,24,FALSE),"")</f>
        <v/>
      </c>
      <c r="BF76" s="224" t="str">
        <f>IFERROR(VLOOKUP($A76,Devengado!$A$1:$AI$1,25,FALSE),"")</f>
        <v/>
      </c>
      <c r="BG76" s="224" t="str">
        <f>IFERROR(VLOOKUP($A76,Devengado!$A$1:$AI$1,26,FALSE),"")</f>
        <v/>
      </c>
      <c r="BH76" s="224" t="str">
        <f>IFERROR(VLOOKUP($A76,Devengado!$A$1:$AI$1,27,FALSE),"")</f>
        <v/>
      </c>
      <c r="BI76" s="224" t="str">
        <f>IFERROR(VLOOKUP($A76,Devengado!$A$1:$AI$1,28,FALSE),"")</f>
        <v/>
      </c>
      <c r="BJ76" s="224" t="str">
        <f>IFERROR(VLOOKUP($A76,Devengado!$A$1:$AI$1,29,FALSE),"")</f>
        <v/>
      </c>
      <c r="BK76" s="224" t="str">
        <f>IFERROR(VLOOKUP($A76,Devengado!$A$1:$AI$1,30,FALSE),"")</f>
        <v/>
      </c>
      <c r="BL76" s="224" t="str">
        <f>IFERROR(VLOOKUP($A76,Devengado!$A$1:$AI$1,31,FALSE),"")</f>
        <v/>
      </c>
      <c r="BM76" s="224" t="str">
        <f>IFERROR(VLOOKUP($A76,Devengado!$A$1:$AI$1,32,FALSE),"")</f>
        <v/>
      </c>
      <c r="BN76" s="224" t="str">
        <f>IFERROR(VLOOKUP($A76,Devengado!$A$1:$AI$1,33,FALSE),"")</f>
        <v/>
      </c>
      <c r="BO76" s="224">
        <f t="shared" si="12"/>
        <v>0</v>
      </c>
      <c r="BP76" s="224" t="str">
        <f t="shared" si="13"/>
        <v/>
      </c>
      <c r="BQ76" s="207"/>
      <c r="BR76" s="207" t="str">
        <f t="shared" si="14"/>
        <v>53</v>
      </c>
    </row>
    <row r="77" spans="1:70" s="225" customFormat="1" ht="25.5" customHeight="1">
      <c r="A77" s="207">
        <v>73</v>
      </c>
      <c r="B77" s="112" t="s">
        <v>73</v>
      </c>
      <c r="C77" s="112" t="s">
        <v>154</v>
      </c>
      <c r="D77" s="112" t="s">
        <v>158</v>
      </c>
      <c r="E77" s="112" t="s">
        <v>76</v>
      </c>
      <c r="F77" s="112" t="s">
        <v>77</v>
      </c>
      <c r="G77" s="112" t="s">
        <v>77</v>
      </c>
      <c r="H77" s="112" t="s">
        <v>77</v>
      </c>
      <c r="I77" s="112" t="s">
        <v>77</v>
      </c>
      <c r="J77" s="112" t="s">
        <v>77</v>
      </c>
      <c r="K77" s="112" t="s">
        <v>77</v>
      </c>
      <c r="L77" s="112" t="s">
        <v>85</v>
      </c>
      <c r="M77" s="112" t="s">
        <v>168</v>
      </c>
      <c r="N77" s="112">
        <v>9999</v>
      </c>
      <c r="O77" s="114" t="s">
        <v>111</v>
      </c>
      <c r="P77" s="114" t="s">
        <v>81</v>
      </c>
      <c r="Q77" s="114" t="s">
        <v>82</v>
      </c>
      <c r="R77" s="115" t="str">
        <f t="shared" si="8"/>
        <v>53</v>
      </c>
      <c r="S77" s="112">
        <v>530205</v>
      </c>
      <c r="T77" s="122" t="str">
        <f>VLOOKUP(S77,ITEM!$C$1:$D$156,2,FALSE)</f>
        <v>Espectáculos Culturales y Sociales</v>
      </c>
      <c r="U77" s="112" t="s">
        <v>83</v>
      </c>
      <c r="V77" s="112" t="s">
        <v>82</v>
      </c>
      <c r="W77" s="112" t="s">
        <v>84</v>
      </c>
      <c r="X77" s="112" t="s">
        <v>84</v>
      </c>
      <c r="Y77" s="224" t="e">
        <f>'Matriz POA 2024-TRABAJO'!#REF!</f>
        <v>#REF!</v>
      </c>
      <c r="Z77" s="224" t="e">
        <f>'Matriz POA 2024-TRABAJO'!#REF!</f>
        <v>#REF!</v>
      </c>
      <c r="AA77" s="224" t="e">
        <f>'Matriz POA 2024-TRABAJO'!#REF!</f>
        <v>#REF!</v>
      </c>
      <c r="AB77" s="279">
        <v>0</v>
      </c>
      <c r="AC77" s="279">
        <v>0</v>
      </c>
      <c r="AD77" s="279">
        <v>3000</v>
      </c>
      <c r="AE77" s="279">
        <v>0</v>
      </c>
      <c r="AF77" s="279">
        <v>0</v>
      </c>
      <c r="AG77" s="279">
        <v>0</v>
      </c>
      <c r="AH77" s="279">
        <v>0</v>
      </c>
      <c r="AI77" s="279">
        <v>0</v>
      </c>
      <c r="AJ77" s="279">
        <v>0</v>
      </c>
      <c r="AK77" s="279">
        <v>0</v>
      </c>
      <c r="AL77" s="279">
        <v>0</v>
      </c>
      <c r="AM77" s="279">
        <v>0</v>
      </c>
      <c r="AN77" s="224" t="e">
        <f>SUM(#REF!)</f>
        <v>#REF!</v>
      </c>
      <c r="AO77" s="224">
        <f t="shared" si="9"/>
        <v>3000</v>
      </c>
      <c r="AP77" s="224" t="e">
        <f t="shared" si="15"/>
        <v>#REF!</v>
      </c>
      <c r="AQ77" s="224"/>
      <c r="AR77" s="224"/>
      <c r="AS77" s="224"/>
      <c r="AT77" s="224" t="str">
        <f>IFERROR(VLOOKUP($A77,'Constancias POA'!$A$2:$DH$9993,17,FALSE),"")</f>
        <v/>
      </c>
      <c r="AU77" s="224" t="str">
        <f t="shared" si="10"/>
        <v/>
      </c>
      <c r="AV77" s="224" t="str">
        <f>IFERROR(VLOOKUP($A77,CP!$A$1:$U$7992,18,FALSE),"")</f>
        <v/>
      </c>
      <c r="AW77" s="224" t="str">
        <f>IFERROR(VLOOKUP($A77,CP!$A$1:$U$7992,19,FALSE),"")</f>
        <v/>
      </c>
      <c r="AX77" s="224" t="str">
        <f>IFERROR(VLOOKUP($A77,CP!$A$1:$U$7992,20,FALSE),"")</f>
        <v/>
      </c>
      <c r="AY77" s="224" t="str">
        <f>IFERROR(VLOOKUP($A77,CP!$A$1:$U$1,21,FALSE),"")</f>
        <v/>
      </c>
      <c r="AZ77" s="224" t="str">
        <f>IFERROR(VLOOKUP(A77,Devengado!$A$1:AJ1,35,FALSE),"")</f>
        <v/>
      </c>
      <c r="BA77" s="224" t="str">
        <f t="shared" si="11"/>
        <v/>
      </c>
      <c r="BB77" s="224" t="str">
        <f>IFERROR(AZ77/#REF!,"")</f>
        <v/>
      </c>
      <c r="BC77" s="224" t="str">
        <f>IFERROR(VLOOKUP($A77,Devengado!$A$1:$AI$1,22,FALSE),"")</f>
        <v/>
      </c>
      <c r="BD77" s="224" t="str">
        <f>IFERROR(VLOOKUP($A77,Devengado!$A$1:$AI$1,23,FALSE),"")</f>
        <v/>
      </c>
      <c r="BE77" s="224" t="str">
        <f>IFERROR(VLOOKUP($A77,Devengado!$A$1:$AI$1,24,FALSE),"")</f>
        <v/>
      </c>
      <c r="BF77" s="224" t="str">
        <f>IFERROR(VLOOKUP($A77,Devengado!$A$1:$AI$1,25,FALSE),"")</f>
        <v/>
      </c>
      <c r="BG77" s="224" t="str">
        <f>IFERROR(VLOOKUP($A77,Devengado!$A$1:$AI$1,26,FALSE),"")</f>
        <v/>
      </c>
      <c r="BH77" s="224" t="str">
        <f>IFERROR(VLOOKUP($A77,Devengado!$A$1:$AI$1,27,FALSE),"")</f>
        <v/>
      </c>
      <c r="BI77" s="224" t="str">
        <f>IFERROR(VLOOKUP($A77,Devengado!$A$1:$AI$1,28,FALSE),"")</f>
        <v/>
      </c>
      <c r="BJ77" s="224" t="str">
        <f>IFERROR(VLOOKUP($A77,Devengado!$A$1:$AI$1,29,FALSE),"")</f>
        <v/>
      </c>
      <c r="BK77" s="224" t="str">
        <f>IFERROR(VLOOKUP($A77,Devengado!$A$1:$AI$1,30,FALSE),"")</f>
        <v/>
      </c>
      <c r="BL77" s="224" t="str">
        <f>IFERROR(VLOOKUP($A77,Devengado!$A$1:$AI$1,31,FALSE),"")</f>
        <v/>
      </c>
      <c r="BM77" s="224" t="str">
        <f>IFERROR(VLOOKUP($A77,Devengado!$A$1:$AI$1,32,FALSE),"")</f>
        <v/>
      </c>
      <c r="BN77" s="224" t="str">
        <f>IFERROR(VLOOKUP($A77,Devengado!$A$1:$AI$1,33,FALSE),"")</f>
        <v/>
      </c>
      <c r="BO77" s="224">
        <f t="shared" si="12"/>
        <v>0</v>
      </c>
      <c r="BP77" s="224" t="str">
        <f t="shared" si="13"/>
        <v/>
      </c>
      <c r="BQ77" s="207"/>
      <c r="BR77" s="207" t="str">
        <f t="shared" si="14"/>
        <v>53</v>
      </c>
    </row>
    <row r="78" spans="1:70" s="225" customFormat="1" ht="25.5" customHeight="1">
      <c r="A78" s="207">
        <v>74</v>
      </c>
      <c r="B78" s="112" t="s">
        <v>73</v>
      </c>
      <c r="C78" s="112" t="s">
        <v>77</v>
      </c>
      <c r="D78" s="112" t="s">
        <v>169</v>
      </c>
      <c r="E78" s="112" t="s">
        <v>76</v>
      </c>
      <c r="F78" s="112" t="s">
        <v>77</v>
      </c>
      <c r="G78" s="112" t="s">
        <v>77</v>
      </c>
      <c r="H78" s="112" t="s">
        <v>77</v>
      </c>
      <c r="I78" s="112" t="s">
        <v>77</v>
      </c>
      <c r="J78" s="112" t="s">
        <v>77</v>
      </c>
      <c r="K78" s="112" t="s">
        <v>77</v>
      </c>
      <c r="L78" s="112" t="s">
        <v>85</v>
      </c>
      <c r="M78" s="112" t="s">
        <v>170</v>
      </c>
      <c r="N78" s="112">
        <v>9999</v>
      </c>
      <c r="O78" s="114" t="s">
        <v>80</v>
      </c>
      <c r="P78" s="114" t="s">
        <v>81</v>
      </c>
      <c r="Q78" s="114" t="s">
        <v>82</v>
      </c>
      <c r="R78" s="115" t="str">
        <f t="shared" si="8"/>
        <v>53</v>
      </c>
      <c r="S78" s="112">
        <v>530204</v>
      </c>
      <c r="T78" s="122" t="str">
        <f>VLOOKUP(S78,ITEM!$C$1:$D$156,2,FALSE)</f>
        <v>Edición, Impresión, Reproducción, Publicaciones, Suscripciones, Fotocopiado, Traducción, Empastado, Enmarcación,
Serigrafía, Fotografía, Carnetización, Filmación e Imágenes Satelitales.</v>
      </c>
      <c r="U78" s="115" t="s">
        <v>83</v>
      </c>
      <c r="V78" s="115" t="s">
        <v>82</v>
      </c>
      <c r="W78" s="115" t="s">
        <v>84</v>
      </c>
      <c r="X78" s="115" t="s">
        <v>84</v>
      </c>
      <c r="Y78" s="224" t="e">
        <f>'Matriz POA 2024-TRABAJO'!#REF!</f>
        <v>#REF!</v>
      </c>
      <c r="Z78" s="224" t="e">
        <f>'Matriz POA 2024-TRABAJO'!#REF!</f>
        <v>#REF!</v>
      </c>
      <c r="AA78" s="224" t="e">
        <f>'Matriz POA 2024-TRABAJO'!#REF!</f>
        <v>#REF!</v>
      </c>
      <c r="AB78" s="279">
        <v>0</v>
      </c>
      <c r="AC78" s="279">
        <v>2469</v>
      </c>
      <c r="AD78" s="279">
        <v>0</v>
      </c>
      <c r="AE78" s="279">
        <v>0</v>
      </c>
      <c r="AF78" s="279">
        <v>0</v>
      </c>
      <c r="AG78" s="279">
        <v>0</v>
      </c>
      <c r="AH78" s="279">
        <v>0</v>
      </c>
      <c r="AI78" s="279">
        <v>0</v>
      </c>
      <c r="AJ78" s="279">
        <v>0</v>
      </c>
      <c r="AK78" s="279">
        <v>0</v>
      </c>
      <c r="AL78" s="279">
        <v>0</v>
      </c>
      <c r="AM78" s="279">
        <v>0</v>
      </c>
      <c r="AN78" s="224" t="e">
        <f>SUM(#REF!)</f>
        <v>#REF!</v>
      </c>
      <c r="AO78" s="224">
        <f t="shared" si="9"/>
        <v>2469</v>
      </c>
      <c r="AP78" s="224" t="e">
        <f t="shared" si="15"/>
        <v>#REF!</v>
      </c>
      <c r="AQ78" s="224"/>
      <c r="AR78" s="224"/>
      <c r="AS78" s="224"/>
      <c r="AT78" s="224" t="str">
        <f>IFERROR(VLOOKUP($A78,'Constancias POA'!$A$2:$DH$9993,17,FALSE),"")</f>
        <v/>
      </c>
      <c r="AU78" s="224" t="str">
        <f t="shared" si="10"/>
        <v/>
      </c>
      <c r="AV78" s="224" t="str">
        <f>IFERROR(VLOOKUP($A78,CP!$A$1:$U$7992,18,FALSE),"")</f>
        <v/>
      </c>
      <c r="AW78" s="224" t="str">
        <f>IFERROR(VLOOKUP($A78,CP!$A$1:$U$7992,19,FALSE),"")</f>
        <v/>
      </c>
      <c r="AX78" s="224" t="str">
        <f>IFERROR(VLOOKUP($A78,CP!$A$1:$U$7992,20,FALSE),"")</f>
        <v/>
      </c>
      <c r="AY78" s="224" t="str">
        <f>IFERROR(VLOOKUP($A78,CP!$A$1:$U$1,21,FALSE),"")</f>
        <v/>
      </c>
      <c r="AZ78" s="224" t="str">
        <f>IFERROR(VLOOKUP(A78,Devengado!$A$1:AJ1,35,FALSE),"")</f>
        <v/>
      </c>
      <c r="BA78" s="224" t="str">
        <f t="shared" si="11"/>
        <v/>
      </c>
      <c r="BB78" s="224" t="str">
        <f>IFERROR(AZ78/#REF!,"")</f>
        <v/>
      </c>
      <c r="BC78" s="224" t="str">
        <f>IFERROR(VLOOKUP($A78,Devengado!$A$1:$AI$1,22,FALSE),"")</f>
        <v/>
      </c>
      <c r="BD78" s="224" t="str">
        <f>IFERROR(VLOOKUP($A78,Devengado!$A$1:$AI$1,23,FALSE),"")</f>
        <v/>
      </c>
      <c r="BE78" s="224" t="str">
        <f>IFERROR(VLOOKUP($A78,Devengado!$A$1:$AI$1,24,FALSE),"")</f>
        <v/>
      </c>
      <c r="BF78" s="224" t="str">
        <f>IFERROR(VLOOKUP($A78,Devengado!$A$1:$AI$1,25,FALSE),"")</f>
        <v/>
      </c>
      <c r="BG78" s="224" t="str">
        <f>IFERROR(VLOOKUP($A78,Devengado!$A$1:$AI$1,26,FALSE),"")</f>
        <v/>
      </c>
      <c r="BH78" s="224" t="str">
        <f>IFERROR(VLOOKUP($A78,Devengado!$A$1:$AI$1,27,FALSE),"")</f>
        <v/>
      </c>
      <c r="BI78" s="224" t="str">
        <f>IFERROR(VLOOKUP($A78,Devengado!$A$1:$AI$1,28,FALSE),"")</f>
        <v/>
      </c>
      <c r="BJ78" s="224" t="str">
        <f>IFERROR(VLOOKUP($A78,Devengado!$A$1:$AI$1,29,FALSE),"")</f>
        <v/>
      </c>
      <c r="BK78" s="224" t="str">
        <f>IFERROR(VLOOKUP($A78,Devengado!$A$1:$AI$1,30,FALSE),"")</f>
        <v/>
      </c>
      <c r="BL78" s="224" t="str">
        <f>IFERROR(VLOOKUP($A78,Devengado!$A$1:$AI$1,31,FALSE),"")</f>
        <v/>
      </c>
      <c r="BM78" s="224" t="str">
        <f>IFERROR(VLOOKUP($A78,Devengado!$A$1:$AI$1,32,FALSE),"")</f>
        <v/>
      </c>
      <c r="BN78" s="224" t="str">
        <f>IFERROR(VLOOKUP($A78,Devengado!$A$1:$AI$1,33,FALSE),"")</f>
        <v/>
      </c>
      <c r="BO78" s="224">
        <f t="shared" si="12"/>
        <v>0</v>
      </c>
      <c r="BP78" s="224" t="str">
        <f t="shared" si="13"/>
        <v/>
      </c>
      <c r="BQ78" s="207"/>
      <c r="BR78" s="207" t="str">
        <f t="shared" si="14"/>
        <v>53</v>
      </c>
    </row>
    <row r="79" spans="1:70" s="225" customFormat="1" ht="25.5" customHeight="1">
      <c r="A79" s="207">
        <v>75</v>
      </c>
      <c r="B79" s="112" t="s">
        <v>73</v>
      </c>
      <c r="C79" s="112" t="s">
        <v>77</v>
      </c>
      <c r="D79" s="112" t="s">
        <v>169</v>
      </c>
      <c r="E79" s="112" t="s">
        <v>76</v>
      </c>
      <c r="F79" s="112" t="s">
        <v>77</v>
      </c>
      <c r="G79" s="112" t="s">
        <v>77</v>
      </c>
      <c r="H79" s="112" t="s">
        <v>77</v>
      </c>
      <c r="I79" s="112" t="s">
        <v>77</v>
      </c>
      <c r="J79" s="112" t="s">
        <v>77</v>
      </c>
      <c r="K79" s="112" t="s">
        <v>77</v>
      </c>
      <c r="L79" s="112" t="s">
        <v>85</v>
      </c>
      <c r="M79" s="117" t="s">
        <v>171</v>
      </c>
      <c r="N79" s="113">
        <v>9999</v>
      </c>
      <c r="O79" s="118" t="s">
        <v>80</v>
      </c>
      <c r="P79" s="118" t="s">
        <v>81</v>
      </c>
      <c r="Q79" s="114" t="s">
        <v>82</v>
      </c>
      <c r="R79" s="115" t="str">
        <f t="shared" si="8"/>
        <v>53</v>
      </c>
      <c r="S79" s="112">
        <v>530704</v>
      </c>
      <c r="T79" s="122" t="e">
        <f>VLOOKUP(S79,ITEM!$C$1:$D$156,2,FALSE)</f>
        <v>#N/A</v>
      </c>
      <c r="U79" s="115" t="s">
        <v>83</v>
      </c>
      <c r="V79" s="115" t="s">
        <v>82</v>
      </c>
      <c r="W79" s="115" t="s">
        <v>84</v>
      </c>
      <c r="X79" s="115" t="s">
        <v>84</v>
      </c>
      <c r="Y79" s="224" t="e">
        <f>'Matriz POA 2024-TRABAJO'!#REF!</f>
        <v>#REF!</v>
      </c>
      <c r="Z79" s="224" t="e">
        <f>'Matriz POA 2024-TRABAJO'!#REF!</f>
        <v>#REF!</v>
      </c>
      <c r="AA79" s="224" t="e">
        <f>'Matriz POA 2024-TRABAJO'!#REF!</f>
        <v>#REF!</v>
      </c>
      <c r="AB79" s="279">
        <v>0</v>
      </c>
      <c r="AC79" s="279">
        <v>1000</v>
      </c>
      <c r="AD79" s="279">
        <v>0</v>
      </c>
      <c r="AE79" s="279">
        <v>0</v>
      </c>
      <c r="AF79" s="279">
        <v>0</v>
      </c>
      <c r="AG79" s="279">
        <v>0</v>
      </c>
      <c r="AH79" s="279">
        <v>0</v>
      </c>
      <c r="AI79" s="279">
        <v>0</v>
      </c>
      <c r="AJ79" s="279">
        <v>0</v>
      </c>
      <c r="AK79" s="279">
        <v>0</v>
      </c>
      <c r="AL79" s="279">
        <v>0</v>
      </c>
      <c r="AM79" s="279">
        <v>0</v>
      </c>
      <c r="AN79" s="224" t="e">
        <f>SUM(#REF!)</f>
        <v>#REF!</v>
      </c>
      <c r="AO79" s="224">
        <f t="shared" si="9"/>
        <v>1000</v>
      </c>
      <c r="AP79" s="224" t="e">
        <f t="shared" si="15"/>
        <v>#REF!</v>
      </c>
      <c r="AQ79" s="224"/>
      <c r="AR79" s="224"/>
      <c r="AS79" s="224"/>
      <c r="AT79" s="224" t="str">
        <f>IFERROR(VLOOKUP($A79,'Constancias POA'!$A$2:$DH$9993,17,FALSE),"")</f>
        <v/>
      </c>
      <c r="AU79" s="224" t="str">
        <f t="shared" si="10"/>
        <v/>
      </c>
      <c r="AV79" s="224" t="str">
        <f>IFERROR(VLOOKUP($A79,CP!$A$1:$U$7992,18,FALSE),"")</f>
        <v/>
      </c>
      <c r="AW79" s="224" t="str">
        <f>IFERROR(VLOOKUP($A79,CP!$A$1:$U$7992,19,FALSE),"")</f>
        <v/>
      </c>
      <c r="AX79" s="224" t="str">
        <f>IFERROR(VLOOKUP($A79,CP!$A$1:$U$7992,20,FALSE),"")</f>
        <v/>
      </c>
      <c r="AY79" s="224" t="str">
        <f>IFERROR(VLOOKUP($A79,CP!$A$1:$U$1,21,FALSE),"")</f>
        <v/>
      </c>
      <c r="AZ79" s="224" t="str">
        <f>IFERROR(VLOOKUP(A79,Devengado!$A$1:AJ1,35,FALSE),"")</f>
        <v/>
      </c>
      <c r="BA79" s="224" t="str">
        <f t="shared" si="11"/>
        <v/>
      </c>
      <c r="BB79" s="224" t="str">
        <f>IFERROR(AZ79/#REF!,"")</f>
        <v/>
      </c>
      <c r="BC79" s="224" t="str">
        <f>IFERROR(VLOOKUP($A79,Devengado!$A$1:$AI$1,22,FALSE),"")</f>
        <v/>
      </c>
      <c r="BD79" s="224" t="str">
        <f>IFERROR(VLOOKUP($A79,Devengado!$A$1:$AI$1,23,FALSE),"")</f>
        <v/>
      </c>
      <c r="BE79" s="224" t="str">
        <f>IFERROR(VLOOKUP($A79,Devengado!$A$1:$AI$1,24,FALSE),"")</f>
        <v/>
      </c>
      <c r="BF79" s="224" t="str">
        <f>IFERROR(VLOOKUP($A79,Devengado!$A$1:$AI$1,25,FALSE),"")</f>
        <v/>
      </c>
      <c r="BG79" s="224" t="str">
        <f>IFERROR(VLOOKUP($A79,Devengado!$A$1:$AI$1,26,FALSE),"")</f>
        <v/>
      </c>
      <c r="BH79" s="224" t="str">
        <f>IFERROR(VLOOKUP($A79,Devengado!$A$1:$AI$1,27,FALSE),"")</f>
        <v/>
      </c>
      <c r="BI79" s="224" t="str">
        <f>IFERROR(VLOOKUP($A79,Devengado!$A$1:$AI$1,28,FALSE),"")</f>
        <v/>
      </c>
      <c r="BJ79" s="224" t="str">
        <f>IFERROR(VLOOKUP($A79,Devengado!$A$1:$AI$1,29,FALSE),"")</f>
        <v/>
      </c>
      <c r="BK79" s="224" t="str">
        <f>IFERROR(VLOOKUP($A79,Devengado!$A$1:$AI$1,30,FALSE),"")</f>
        <v/>
      </c>
      <c r="BL79" s="224" t="str">
        <f>IFERROR(VLOOKUP($A79,Devengado!$A$1:$AI$1,31,FALSE),"")</f>
        <v/>
      </c>
      <c r="BM79" s="224" t="str">
        <f>IFERROR(VLOOKUP($A79,Devengado!$A$1:$AI$1,32,FALSE),"")</f>
        <v/>
      </c>
      <c r="BN79" s="224" t="str">
        <f>IFERROR(VLOOKUP($A79,Devengado!$A$1:$AI$1,33,FALSE),"")</f>
        <v/>
      </c>
      <c r="BO79" s="224">
        <f t="shared" si="12"/>
        <v>0</v>
      </c>
      <c r="BP79" s="224" t="str">
        <f t="shared" si="13"/>
        <v/>
      </c>
      <c r="BQ79" s="207"/>
      <c r="BR79" s="207" t="str">
        <f t="shared" si="14"/>
        <v>53</v>
      </c>
    </row>
    <row r="80" spans="1:70" s="225" customFormat="1" ht="25.5" customHeight="1">
      <c r="A80" s="207">
        <v>76</v>
      </c>
      <c r="B80" s="112" t="s">
        <v>73</v>
      </c>
      <c r="C80" s="112" t="s">
        <v>77</v>
      </c>
      <c r="D80" s="112" t="s">
        <v>169</v>
      </c>
      <c r="E80" s="112" t="s">
        <v>76</v>
      </c>
      <c r="F80" s="112" t="s">
        <v>77</v>
      </c>
      <c r="G80" s="112" t="s">
        <v>77</v>
      </c>
      <c r="H80" s="112" t="s">
        <v>77</v>
      </c>
      <c r="I80" s="112" t="s">
        <v>77</v>
      </c>
      <c r="J80" s="112" t="s">
        <v>77</v>
      </c>
      <c r="K80" s="112" t="s">
        <v>77</v>
      </c>
      <c r="L80" s="112" t="s">
        <v>85</v>
      </c>
      <c r="M80" s="117" t="s">
        <v>172</v>
      </c>
      <c r="N80" s="113">
        <v>9999</v>
      </c>
      <c r="O80" s="118" t="s">
        <v>80</v>
      </c>
      <c r="P80" s="118" t="s">
        <v>81</v>
      </c>
      <c r="Q80" s="114" t="s">
        <v>82</v>
      </c>
      <c r="R80" s="115" t="str">
        <f t="shared" si="8"/>
        <v>53</v>
      </c>
      <c r="S80" s="112">
        <v>531407</v>
      </c>
      <c r="T80" s="122" t="e">
        <f>VLOOKUP(S80,ITEM!$C$1:$D$156,2,FALSE)</f>
        <v>#N/A</v>
      </c>
      <c r="U80" s="115" t="s">
        <v>83</v>
      </c>
      <c r="V80" s="115" t="s">
        <v>82</v>
      </c>
      <c r="W80" s="115" t="s">
        <v>84</v>
      </c>
      <c r="X80" s="115" t="s">
        <v>84</v>
      </c>
      <c r="Y80" s="224" t="e">
        <f>'Matriz POA 2024-TRABAJO'!#REF!</f>
        <v>#REF!</v>
      </c>
      <c r="Z80" s="224" t="e">
        <f>'Matriz POA 2024-TRABAJO'!#REF!</f>
        <v>#REF!</v>
      </c>
      <c r="AA80" s="224" t="e">
        <f>'Matriz POA 2024-TRABAJO'!#REF!</f>
        <v>#REF!</v>
      </c>
      <c r="AB80" s="279">
        <v>0</v>
      </c>
      <c r="AC80" s="279">
        <v>0</v>
      </c>
      <c r="AD80" s="279">
        <v>0</v>
      </c>
      <c r="AE80" s="279">
        <v>0</v>
      </c>
      <c r="AF80" s="279">
        <v>0</v>
      </c>
      <c r="AG80" s="279">
        <v>0</v>
      </c>
      <c r="AH80" s="279">
        <v>0</v>
      </c>
      <c r="AI80" s="279">
        <v>0</v>
      </c>
      <c r="AJ80" s="279">
        <v>0</v>
      </c>
      <c r="AK80" s="279">
        <v>0</v>
      </c>
      <c r="AL80" s="279">
        <v>0</v>
      </c>
      <c r="AM80" s="279">
        <v>0</v>
      </c>
      <c r="AN80" s="224" t="e">
        <f>SUM(#REF!)</f>
        <v>#REF!</v>
      </c>
      <c r="AO80" s="224">
        <f t="shared" si="9"/>
        <v>0</v>
      </c>
      <c r="AP80" s="224" t="e">
        <f t="shared" si="15"/>
        <v>#REF!</v>
      </c>
      <c r="AQ80" s="224"/>
      <c r="AR80" s="224"/>
      <c r="AS80" s="224"/>
      <c r="AT80" s="224" t="str">
        <f>IFERROR(VLOOKUP($A80,'Constancias POA'!$A$2:$DH$9993,17,FALSE),"")</f>
        <v/>
      </c>
      <c r="AU80" s="224" t="str">
        <f t="shared" si="10"/>
        <v/>
      </c>
      <c r="AV80" s="224" t="str">
        <f>IFERROR(VLOOKUP($A80,CP!$A$1:$U$7992,18,FALSE),"")</f>
        <v/>
      </c>
      <c r="AW80" s="224" t="str">
        <f>IFERROR(VLOOKUP($A80,CP!$A$1:$U$7992,19,FALSE),"")</f>
        <v/>
      </c>
      <c r="AX80" s="224" t="str">
        <f>IFERROR(VLOOKUP($A80,CP!$A$1:$U$7992,20,FALSE),"")</f>
        <v/>
      </c>
      <c r="AY80" s="224" t="str">
        <f>IFERROR(VLOOKUP($A80,CP!$A$1:$U$1,21,FALSE),"")</f>
        <v/>
      </c>
      <c r="AZ80" s="224" t="str">
        <f>IFERROR(VLOOKUP(A80,Devengado!$A$1:AJ1,35,FALSE),"")</f>
        <v/>
      </c>
      <c r="BA80" s="224" t="str">
        <f t="shared" si="11"/>
        <v/>
      </c>
      <c r="BB80" s="224" t="str">
        <f>IFERROR(AZ80/#REF!,"")</f>
        <v/>
      </c>
      <c r="BC80" s="224" t="str">
        <f>IFERROR(VLOOKUP($A80,Devengado!$A$1:$AI$1,22,FALSE),"")</f>
        <v/>
      </c>
      <c r="BD80" s="224" t="str">
        <f>IFERROR(VLOOKUP($A80,Devengado!$A$1:$AI$1,23,FALSE),"")</f>
        <v/>
      </c>
      <c r="BE80" s="224" t="str">
        <f>IFERROR(VLOOKUP($A80,Devengado!$A$1:$AI$1,24,FALSE),"")</f>
        <v/>
      </c>
      <c r="BF80" s="224" t="str">
        <f>IFERROR(VLOOKUP($A80,Devengado!$A$1:$AI$1,25,FALSE),"")</f>
        <v/>
      </c>
      <c r="BG80" s="224" t="str">
        <f>IFERROR(VLOOKUP($A80,Devengado!$A$1:$AI$1,26,FALSE),"")</f>
        <v/>
      </c>
      <c r="BH80" s="224" t="str">
        <f>IFERROR(VLOOKUP($A80,Devengado!$A$1:$AI$1,27,FALSE),"")</f>
        <v/>
      </c>
      <c r="BI80" s="224" t="str">
        <f>IFERROR(VLOOKUP($A80,Devengado!$A$1:$AI$1,28,FALSE),"")</f>
        <v/>
      </c>
      <c r="BJ80" s="224" t="str">
        <f>IFERROR(VLOOKUP($A80,Devengado!$A$1:$AI$1,29,FALSE),"")</f>
        <v/>
      </c>
      <c r="BK80" s="224" t="str">
        <f>IFERROR(VLOOKUP($A80,Devengado!$A$1:$AI$1,30,FALSE),"")</f>
        <v/>
      </c>
      <c r="BL80" s="224" t="str">
        <f>IFERROR(VLOOKUP($A80,Devengado!$A$1:$AI$1,31,FALSE),"")</f>
        <v/>
      </c>
      <c r="BM80" s="224" t="str">
        <f>IFERROR(VLOOKUP($A80,Devengado!$A$1:$AI$1,32,FALSE),"")</f>
        <v/>
      </c>
      <c r="BN80" s="224" t="str">
        <f>IFERROR(VLOOKUP($A80,Devengado!$A$1:$AI$1,33,FALSE),"")</f>
        <v/>
      </c>
      <c r="BO80" s="224">
        <f t="shared" si="12"/>
        <v>0</v>
      </c>
      <c r="BP80" s="224" t="str">
        <f t="shared" si="13"/>
        <v/>
      </c>
      <c r="BQ80" s="207"/>
      <c r="BR80" s="207" t="str">
        <f t="shared" si="14"/>
        <v>53</v>
      </c>
    </row>
    <row r="81" spans="1:70" s="225" customFormat="1" ht="25.5" customHeight="1">
      <c r="A81" s="207">
        <v>77</v>
      </c>
      <c r="B81" s="112" t="s">
        <v>73</v>
      </c>
      <c r="C81" s="112" t="s">
        <v>77</v>
      </c>
      <c r="D81" s="112" t="s">
        <v>169</v>
      </c>
      <c r="E81" s="112" t="s">
        <v>76</v>
      </c>
      <c r="F81" s="112" t="s">
        <v>77</v>
      </c>
      <c r="G81" s="112" t="s">
        <v>77</v>
      </c>
      <c r="H81" s="112" t="s">
        <v>77</v>
      </c>
      <c r="I81" s="112" t="s">
        <v>77</v>
      </c>
      <c r="J81" s="112" t="s">
        <v>77</v>
      </c>
      <c r="K81" s="112" t="s">
        <v>77</v>
      </c>
      <c r="L81" s="112" t="s">
        <v>85</v>
      </c>
      <c r="M81" s="113" t="s">
        <v>173</v>
      </c>
      <c r="N81" s="113">
        <v>9999</v>
      </c>
      <c r="O81" s="118" t="s">
        <v>80</v>
      </c>
      <c r="P81" s="118" t="s">
        <v>81</v>
      </c>
      <c r="Q81" s="114" t="s">
        <v>82</v>
      </c>
      <c r="R81" s="115" t="str">
        <f t="shared" si="8"/>
        <v>53</v>
      </c>
      <c r="S81" s="112">
        <v>530303</v>
      </c>
      <c r="T81" s="122" t="str">
        <f>VLOOKUP(S81,ITEM!$C$1:$D$156,2,FALSE)</f>
        <v>Viáticos y Subsistencias en el Interior</v>
      </c>
      <c r="U81" s="115" t="s">
        <v>83</v>
      </c>
      <c r="V81" s="115" t="s">
        <v>82</v>
      </c>
      <c r="W81" s="115" t="s">
        <v>84</v>
      </c>
      <c r="X81" s="115" t="s">
        <v>84</v>
      </c>
      <c r="Y81" s="224" t="e">
        <f>'Matriz POA 2024-TRABAJO'!#REF!</f>
        <v>#REF!</v>
      </c>
      <c r="Z81" s="224" t="e">
        <f>'Matriz POA 2024-TRABAJO'!#REF!</f>
        <v>#REF!</v>
      </c>
      <c r="AA81" s="224" t="e">
        <f>'Matriz POA 2024-TRABAJO'!#REF!</f>
        <v>#REF!</v>
      </c>
      <c r="AB81" s="279">
        <v>650</v>
      </c>
      <c r="AC81" s="279">
        <v>650</v>
      </c>
      <c r="AD81" s="279">
        <v>650</v>
      </c>
      <c r="AE81" s="279">
        <v>0</v>
      </c>
      <c r="AF81" s="279">
        <v>0</v>
      </c>
      <c r="AG81" s="279">
        <v>0</v>
      </c>
      <c r="AH81" s="279">
        <v>0</v>
      </c>
      <c r="AI81" s="279">
        <v>0</v>
      </c>
      <c r="AJ81" s="279">
        <v>0</v>
      </c>
      <c r="AK81" s="279">
        <v>0</v>
      </c>
      <c r="AL81" s="279">
        <v>0</v>
      </c>
      <c r="AM81" s="279">
        <v>0</v>
      </c>
      <c r="AN81" s="224" t="e">
        <f>SUM(#REF!)</f>
        <v>#REF!</v>
      </c>
      <c r="AO81" s="224">
        <f t="shared" si="9"/>
        <v>1950</v>
      </c>
      <c r="AP81" s="224" t="e">
        <f t="shared" si="15"/>
        <v>#REF!</v>
      </c>
      <c r="AQ81" s="224"/>
      <c r="AR81" s="224"/>
      <c r="AS81" s="224"/>
      <c r="AT81" s="224" t="str">
        <f>IFERROR(VLOOKUP($A81,'Constancias POA'!$A$2:$DH$9993,17,FALSE),"")</f>
        <v/>
      </c>
      <c r="AU81" s="224" t="str">
        <f t="shared" si="10"/>
        <v/>
      </c>
      <c r="AV81" s="224" t="str">
        <f>IFERROR(VLOOKUP($A81,CP!$A$1:$U$7992,18,FALSE),"")</f>
        <v/>
      </c>
      <c r="AW81" s="224" t="str">
        <f>IFERROR(VLOOKUP($A81,CP!$A$1:$U$7992,19,FALSE),"")</f>
        <v/>
      </c>
      <c r="AX81" s="224" t="str">
        <f>IFERROR(VLOOKUP($A81,CP!$A$1:$U$7992,20,FALSE),"")</f>
        <v/>
      </c>
      <c r="AY81" s="224" t="str">
        <f>IFERROR(VLOOKUP($A81,CP!$A$1:$U$1,21,FALSE),"")</f>
        <v/>
      </c>
      <c r="AZ81" s="224" t="str">
        <f>IFERROR(VLOOKUP(A81,Devengado!$A$1:AJ1,35,FALSE),"")</f>
        <v/>
      </c>
      <c r="BA81" s="224" t="str">
        <f t="shared" si="11"/>
        <v/>
      </c>
      <c r="BB81" s="224" t="str">
        <f>IFERROR(AZ81/#REF!,"")</f>
        <v/>
      </c>
      <c r="BC81" s="224" t="str">
        <f>IFERROR(VLOOKUP($A81,Devengado!$A$1:$AI$1,22,FALSE),"")</f>
        <v/>
      </c>
      <c r="BD81" s="224" t="str">
        <f>IFERROR(VLOOKUP($A81,Devengado!$A$1:$AI$1,23,FALSE),"")</f>
        <v/>
      </c>
      <c r="BE81" s="224" t="str">
        <f>IFERROR(VLOOKUP($A81,Devengado!$A$1:$AI$1,24,FALSE),"")</f>
        <v/>
      </c>
      <c r="BF81" s="224" t="str">
        <f>IFERROR(VLOOKUP($A81,Devengado!$A$1:$AI$1,25,FALSE),"")</f>
        <v/>
      </c>
      <c r="BG81" s="224" t="str">
        <f>IFERROR(VLOOKUP($A81,Devengado!$A$1:$AI$1,26,FALSE),"")</f>
        <v/>
      </c>
      <c r="BH81" s="224" t="str">
        <f>IFERROR(VLOOKUP($A81,Devengado!$A$1:$AI$1,27,FALSE),"")</f>
        <v/>
      </c>
      <c r="BI81" s="224" t="str">
        <f>IFERROR(VLOOKUP($A81,Devengado!$A$1:$AI$1,28,FALSE),"")</f>
        <v/>
      </c>
      <c r="BJ81" s="224" t="str">
        <f>IFERROR(VLOOKUP($A81,Devengado!$A$1:$AI$1,29,FALSE),"")</f>
        <v/>
      </c>
      <c r="BK81" s="224" t="str">
        <f>IFERROR(VLOOKUP($A81,Devengado!$A$1:$AI$1,30,FALSE),"")</f>
        <v/>
      </c>
      <c r="BL81" s="224" t="str">
        <f>IFERROR(VLOOKUP($A81,Devengado!$A$1:$AI$1,31,FALSE),"")</f>
        <v/>
      </c>
      <c r="BM81" s="224" t="str">
        <f>IFERROR(VLOOKUP($A81,Devengado!$A$1:$AI$1,32,FALSE),"")</f>
        <v/>
      </c>
      <c r="BN81" s="224" t="str">
        <f>IFERROR(VLOOKUP($A81,Devengado!$A$1:$AI$1,33,FALSE),"")</f>
        <v/>
      </c>
      <c r="BO81" s="224">
        <f t="shared" si="12"/>
        <v>0</v>
      </c>
      <c r="BP81" s="224" t="str">
        <f t="shared" si="13"/>
        <v/>
      </c>
      <c r="BQ81" s="207"/>
      <c r="BR81" s="207" t="str">
        <f t="shared" si="14"/>
        <v>53</v>
      </c>
    </row>
    <row r="82" spans="1:70" s="225" customFormat="1" ht="25.5" customHeight="1">
      <c r="A82" s="207">
        <v>78</v>
      </c>
      <c r="B82" s="112" t="s">
        <v>73</v>
      </c>
      <c r="C82" s="112" t="s">
        <v>77</v>
      </c>
      <c r="D82" s="112" t="s">
        <v>169</v>
      </c>
      <c r="E82" s="112" t="s">
        <v>76</v>
      </c>
      <c r="F82" s="112" t="s">
        <v>77</v>
      </c>
      <c r="G82" s="112" t="s">
        <v>77</v>
      </c>
      <c r="H82" s="112" t="s">
        <v>77</v>
      </c>
      <c r="I82" s="112" t="s">
        <v>77</v>
      </c>
      <c r="J82" s="112" t="s">
        <v>77</v>
      </c>
      <c r="K82" s="112" t="s">
        <v>77</v>
      </c>
      <c r="L82" s="112" t="s">
        <v>85</v>
      </c>
      <c r="M82" s="112" t="s">
        <v>174</v>
      </c>
      <c r="N82" s="112">
        <v>9999</v>
      </c>
      <c r="O82" s="114" t="s">
        <v>80</v>
      </c>
      <c r="P82" s="114" t="s">
        <v>81</v>
      </c>
      <c r="Q82" s="114" t="s">
        <v>82</v>
      </c>
      <c r="R82" s="115" t="str">
        <f t="shared" si="8"/>
        <v>53</v>
      </c>
      <c r="S82" s="112">
        <v>530204</v>
      </c>
      <c r="T82" s="122" t="str">
        <f>VLOOKUP(S82,ITEM!$C$1:$D$156,2,FALSE)</f>
        <v>Edición, Impresión, Reproducción, Publicaciones, Suscripciones, Fotocopiado, Traducción, Empastado, Enmarcación,
Serigrafía, Fotografía, Carnetización, Filmación e Imágenes Satelitales.</v>
      </c>
      <c r="U82" s="112" t="s">
        <v>83</v>
      </c>
      <c r="V82" s="112" t="s">
        <v>82</v>
      </c>
      <c r="W82" s="112" t="s">
        <v>84</v>
      </c>
      <c r="X82" s="112" t="s">
        <v>84</v>
      </c>
      <c r="Y82" s="224" t="e">
        <f>'Matriz POA 2024-TRABAJO'!#REF!</f>
        <v>#REF!</v>
      </c>
      <c r="Z82" s="224" t="e">
        <f>'Matriz POA 2024-TRABAJO'!#REF!</f>
        <v>#REF!</v>
      </c>
      <c r="AA82" s="224" t="e">
        <f>'Matriz POA 2024-TRABAJO'!#REF!</f>
        <v>#REF!</v>
      </c>
      <c r="AB82" s="279">
        <v>0</v>
      </c>
      <c r="AC82" s="279">
        <v>0</v>
      </c>
      <c r="AD82" s="279">
        <v>81</v>
      </c>
      <c r="AE82" s="279">
        <v>0</v>
      </c>
      <c r="AF82" s="279">
        <v>0</v>
      </c>
      <c r="AG82" s="279">
        <v>0</v>
      </c>
      <c r="AH82" s="279">
        <v>0</v>
      </c>
      <c r="AI82" s="279">
        <v>0</v>
      </c>
      <c r="AJ82" s="279">
        <v>0</v>
      </c>
      <c r="AK82" s="279">
        <v>0</v>
      </c>
      <c r="AL82" s="279">
        <v>0</v>
      </c>
      <c r="AM82" s="279">
        <v>0</v>
      </c>
      <c r="AN82" s="224" t="e">
        <f>SUM(#REF!)</f>
        <v>#REF!</v>
      </c>
      <c r="AO82" s="224">
        <f t="shared" si="9"/>
        <v>81</v>
      </c>
      <c r="AP82" s="224" t="e">
        <f t="shared" si="15"/>
        <v>#REF!</v>
      </c>
      <c r="AQ82" s="224"/>
      <c r="AR82" s="224"/>
      <c r="AS82" s="224"/>
      <c r="AT82" s="224" t="str">
        <f>IFERROR(VLOOKUP($A82,'Constancias POA'!$A$2:$DH$9993,17,FALSE),"")</f>
        <v/>
      </c>
      <c r="AU82" s="224" t="str">
        <f t="shared" si="10"/>
        <v/>
      </c>
      <c r="AV82" s="224" t="str">
        <f>IFERROR(VLOOKUP($A82,CP!$A$1:$U$7992,18,FALSE),"")</f>
        <v/>
      </c>
      <c r="AW82" s="224" t="str">
        <f>IFERROR(VLOOKUP($A82,CP!$A$1:$U$7992,19,FALSE),"")</f>
        <v/>
      </c>
      <c r="AX82" s="224" t="str">
        <f>IFERROR(VLOOKUP($A82,CP!$A$1:$U$7992,20,FALSE),"")</f>
        <v/>
      </c>
      <c r="AY82" s="224" t="str">
        <f>IFERROR(VLOOKUP($A82,CP!$A$1:$U$1,21,FALSE),"")</f>
        <v/>
      </c>
      <c r="AZ82" s="224" t="str">
        <f>IFERROR(VLOOKUP(A82,Devengado!$A$1:AJ1,35,FALSE),"")</f>
        <v/>
      </c>
      <c r="BA82" s="224" t="str">
        <f t="shared" si="11"/>
        <v/>
      </c>
      <c r="BB82" s="224" t="str">
        <f>IFERROR(AZ82/#REF!,"")</f>
        <v/>
      </c>
      <c r="BC82" s="224" t="str">
        <f>IFERROR(VLOOKUP($A82,Devengado!$A$1:$AI$1,22,FALSE),"")</f>
        <v/>
      </c>
      <c r="BD82" s="224" t="str">
        <f>IFERROR(VLOOKUP($A82,Devengado!$A$1:$AI$1,23,FALSE),"")</f>
        <v/>
      </c>
      <c r="BE82" s="224" t="str">
        <f>IFERROR(VLOOKUP($A82,Devengado!$A$1:$AI$1,24,FALSE),"")</f>
        <v/>
      </c>
      <c r="BF82" s="224" t="str">
        <f>IFERROR(VLOOKUP($A82,Devengado!$A$1:$AI$1,25,FALSE),"")</f>
        <v/>
      </c>
      <c r="BG82" s="224" t="str">
        <f>IFERROR(VLOOKUP($A82,Devengado!$A$1:$AI$1,26,FALSE),"")</f>
        <v/>
      </c>
      <c r="BH82" s="224" t="str">
        <f>IFERROR(VLOOKUP($A82,Devengado!$A$1:$AI$1,27,FALSE),"")</f>
        <v/>
      </c>
      <c r="BI82" s="224" t="str">
        <f>IFERROR(VLOOKUP($A82,Devengado!$A$1:$AI$1,28,FALSE),"")</f>
        <v/>
      </c>
      <c r="BJ82" s="224" t="str">
        <f>IFERROR(VLOOKUP($A82,Devengado!$A$1:$AI$1,29,FALSE),"")</f>
        <v/>
      </c>
      <c r="BK82" s="224" t="str">
        <f>IFERROR(VLOOKUP($A82,Devengado!$A$1:$AI$1,30,FALSE),"")</f>
        <v/>
      </c>
      <c r="BL82" s="224" t="str">
        <f>IFERROR(VLOOKUP($A82,Devengado!$A$1:$AI$1,31,FALSE),"")</f>
        <v/>
      </c>
      <c r="BM82" s="224" t="str">
        <f>IFERROR(VLOOKUP($A82,Devengado!$A$1:$AI$1,32,FALSE),"")</f>
        <v/>
      </c>
      <c r="BN82" s="224" t="str">
        <f>IFERROR(VLOOKUP($A82,Devengado!$A$1:$AI$1,33,FALSE),"")</f>
        <v/>
      </c>
      <c r="BO82" s="224">
        <f t="shared" si="12"/>
        <v>0</v>
      </c>
      <c r="BP82" s="224" t="str">
        <f t="shared" si="13"/>
        <v/>
      </c>
      <c r="BQ82" s="207"/>
      <c r="BR82" s="207" t="str">
        <f t="shared" si="14"/>
        <v>53</v>
      </c>
    </row>
    <row r="83" spans="1:70" s="225" customFormat="1" ht="25.5" customHeight="1">
      <c r="A83" s="207">
        <v>79</v>
      </c>
      <c r="B83" s="112" t="s">
        <v>73</v>
      </c>
      <c r="C83" s="112" t="s">
        <v>77</v>
      </c>
      <c r="D83" s="112" t="s">
        <v>169</v>
      </c>
      <c r="E83" s="112" t="s">
        <v>76</v>
      </c>
      <c r="F83" s="112" t="s">
        <v>77</v>
      </c>
      <c r="G83" s="112" t="s">
        <v>77</v>
      </c>
      <c r="H83" s="112" t="s">
        <v>77</v>
      </c>
      <c r="I83" s="112" t="s">
        <v>77</v>
      </c>
      <c r="J83" s="112" t="s">
        <v>77</v>
      </c>
      <c r="K83" s="112" t="s">
        <v>77</v>
      </c>
      <c r="L83" s="112" t="s">
        <v>85</v>
      </c>
      <c r="M83" s="112" t="s">
        <v>175</v>
      </c>
      <c r="N83" s="112">
        <v>9999</v>
      </c>
      <c r="O83" s="114" t="s">
        <v>80</v>
      </c>
      <c r="P83" s="114" t="s">
        <v>81</v>
      </c>
      <c r="Q83" s="114" t="s">
        <v>82</v>
      </c>
      <c r="R83" s="115" t="str">
        <f t="shared" si="8"/>
        <v>53</v>
      </c>
      <c r="S83" s="112">
        <v>530204</v>
      </c>
      <c r="T83" s="122" t="str">
        <f>VLOOKUP(S83,ITEM!$C$1:$D$156,2,FALSE)</f>
        <v>Edición, Impresión, Reproducción, Publicaciones, Suscripciones, Fotocopiado, Traducción, Empastado, Enmarcación,
Serigrafía, Fotografía, Carnetización, Filmación e Imágenes Satelitales.</v>
      </c>
      <c r="U83" s="115" t="s">
        <v>83</v>
      </c>
      <c r="V83" s="114" t="s">
        <v>82</v>
      </c>
      <c r="W83" s="114" t="s">
        <v>84</v>
      </c>
      <c r="X83" s="114" t="s">
        <v>84</v>
      </c>
      <c r="Y83" s="224" t="e">
        <f>'Matriz POA 2024-TRABAJO'!#REF!</f>
        <v>#REF!</v>
      </c>
      <c r="Z83" s="224" t="e">
        <f>'Matriz POA 2024-TRABAJO'!#REF!</f>
        <v>#REF!</v>
      </c>
      <c r="AA83" s="224" t="e">
        <f>'Matriz POA 2024-TRABAJO'!#REF!</f>
        <v>#REF!</v>
      </c>
      <c r="AB83" s="279">
        <v>0</v>
      </c>
      <c r="AC83" s="279">
        <v>0</v>
      </c>
      <c r="AD83" s="279">
        <v>0</v>
      </c>
      <c r="AE83" s="279">
        <v>0</v>
      </c>
      <c r="AF83" s="279">
        <v>0</v>
      </c>
      <c r="AG83" s="279">
        <v>0</v>
      </c>
      <c r="AH83" s="279">
        <v>0</v>
      </c>
      <c r="AI83" s="279">
        <v>0</v>
      </c>
      <c r="AJ83" s="279">
        <v>0</v>
      </c>
      <c r="AK83" s="279">
        <v>0</v>
      </c>
      <c r="AL83" s="279">
        <v>0</v>
      </c>
      <c r="AM83" s="279">
        <v>0</v>
      </c>
      <c r="AN83" s="224" t="e">
        <f>SUM(#REF!)</f>
        <v>#REF!</v>
      </c>
      <c r="AO83" s="224">
        <f t="shared" si="9"/>
        <v>0</v>
      </c>
      <c r="AP83" s="224" t="e">
        <f t="shared" si="15"/>
        <v>#REF!</v>
      </c>
      <c r="AQ83" s="224"/>
      <c r="AR83" s="224"/>
      <c r="AS83" s="224"/>
      <c r="AT83" s="224" t="str">
        <f>IFERROR(VLOOKUP($A83,'Constancias POA'!$A$2:$DH$9993,17,FALSE),"")</f>
        <v/>
      </c>
      <c r="AU83" s="224" t="str">
        <f t="shared" si="10"/>
        <v/>
      </c>
      <c r="AV83" s="224" t="str">
        <f>IFERROR(VLOOKUP($A83,CP!$A$1:$U$7992,18,FALSE),"")</f>
        <v/>
      </c>
      <c r="AW83" s="224" t="str">
        <f>IFERROR(VLOOKUP($A83,CP!$A$1:$U$7992,19,FALSE),"")</f>
        <v/>
      </c>
      <c r="AX83" s="224" t="str">
        <f>IFERROR(VLOOKUP($A83,CP!$A$1:$U$7992,20,FALSE),"")</f>
        <v/>
      </c>
      <c r="AY83" s="224" t="str">
        <f>IFERROR(VLOOKUP($A83,CP!$A$1:$U$1,21,FALSE),"")</f>
        <v/>
      </c>
      <c r="AZ83" s="224" t="str">
        <f>IFERROR(VLOOKUP(A83,Devengado!$A$1:AJ1,35,FALSE),"")</f>
        <v/>
      </c>
      <c r="BA83" s="224" t="str">
        <f t="shared" si="11"/>
        <v/>
      </c>
      <c r="BB83" s="224" t="str">
        <f>IFERROR(AZ83/#REF!,"")</f>
        <v/>
      </c>
      <c r="BC83" s="224" t="str">
        <f>IFERROR(VLOOKUP($A83,Devengado!$A$1:$AI$1,22,FALSE),"")</f>
        <v/>
      </c>
      <c r="BD83" s="224" t="str">
        <f>IFERROR(VLOOKUP($A83,Devengado!$A$1:$AI$1,23,FALSE),"")</f>
        <v/>
      </c>
      <c r="BE83" s="224" t="str">
        <f>IFERROR(VLOOKUP($A83,Devengado!$A$1:$AI$1,24,FALSE),"")</f>
        <v/>
      </c>
      <c r="BF83" s="224" t="str">
        <f>IFERROR(VLOOKUP($A83,Devengado!$A$1:$AI$1,25,FALSE),"")</f>
        <v/>
      </c>
      <c r="BG83" s="224" t="str">
        <f>IFERROR(VLOOKUP($A83,Devengado!$A$1:$AI$1,26,FALSE),"")</f>
        <v/>
      </c>
      <c r="BH83" s="224" t="str">
        <f>IFERROR(VLOOKUP($A83,Devengado!$A$1:$AI$1,27,FALSE),"")</f>
        <v/>
      </c>
      <c r="BI83" s="224" t="str">
        <f>IFERROR(VLOOKUP($A83,Devengado!$A$1:$AI$1,28,FALSE),"")</f>
        <v/>
      </c>
      <c r="BJ83" s="224" t="str">
        <f>IFERROR(VLOOKUP($A83,Devengado!$A$1:$AI$1,29,FALSE),"")</f>
        <v/>
      </c>
      <c r="BK83" s="224" t="str">
        <f>IFERROR(VLOOKUP($A83,Devengado!$A$1:$AI$1,30,FALSE),"")</f>
        <v/>
      </c>
      <c r="BL83" s="224" t="str">
        <f>IFERROR(VLOOKUP($A83,Devengado!$A$1:$AI$1,31,FALSE),"")</f>
        <v/>
      </c>
      <c r="BM83" s="224" t="str">
        <f>IFERROR(VLOOKUP($A83,Devengado!$A$1:$AI$1,32,FALSE),"")</f>
        <v/>
      </c>
      <c r="BN83" s="224" t="str">
        <f>IFERROR(VLOOKUP($A83,Devengado!$A$1:$AI$1,33,FALSE),"")</f>
        <v/>
      </c>
      <c r="BO83" s="224">
        <f t="shared" si="12"/>
        <v>0</v>
      </c>
      <c r="BP83" s="224" t="str">
        <f t="shared" si="13"/>
        <v/>
      </c>
      <c r="BQ83" s="207"/>
      <c r="BR83" s="207" t="str">
        <f t="shared" si="14"/>
        <v>53</v>
      </c>
    </row>
    <row r="84" spans="1:70" s="225" customFormat="1" ht="25.5" customHeight="1">
      <c r="A84" s="207">
        <v>80</v>
      </c>
      <c r="B84" s="119" t="s">
        <v>73</v>
      </c>
      <c r="C84" s="120" t="s">
        <v>77</v>
      </c>
      <c r="D84" s="121" t="s">
        <v>176</v>
      </c>
      <c r="E84" s="112" t="s">
        <v>76</v>
      </c>
      <c r="F84" s="112" t="s">
        <v>77</v>
      </c>
      <c r="G84" s="112" t="s">
        <v>77</v>
      </c>
      <c r="H84" s="112" t="s">
        <v>77</v>
      </c>
      <c r="I84" s="112" t="s">
        <v>77</v>
      </c>
      <c r="J84" s="112" t="s">
        <v>77</v>
      </c>
      <c r="K84" s="112" t="s">
        <v>77</v>
      </c>
      <c r="L84" s="112" t="s">
        <v>177</v>
      </c>
      <c r="M84" s="112" t="s">
        <v>178</v>
      </c>
      <c r="N84" s="112">
        <v>9999</v>
      </c>
      <c r="O84" s="118" t="s">
        <v>132</v>
      </c>
      <c r="P84" s="114" t="s">
        <v>81</v>
      </c>
      <c r="Q84" s="114" t="s">
        <v>82</v>
      </c>
      <c r="R84" s="115" t="str">
        <f t="shared" si="8"/>
        <v>53</v>
      </c>
      <c r="S84" s="112">
        <v>530704</v>
      </c>
      <c r="T84" s="122" t="e">
        <f>VLOOKUP(S84,ITEM!$C$1:$D$156,2,FALSE)</f>
        <v>#N/A</v>
      </c>
      <c r="U84" s="114" t="s">
        <v>83</v>
      </c>
      <c r="V84" s="114" t="s">
        <v>82</v>
      </c>
      <c r="W84" s="114" t="s">
        <v>84</v>
      </c>
      <c r="X84" s="114" t="s">
        <v>84</v>
      </c>
      <c r="Y84" s="224" t="e">
        <f>'Matriz POA 2024-TRABAJO'!#REF!</f>
        <v>#REF!</v>
      </c>
      <c r="Z84" s="224" t="e">
        <f>'Matriz POA 2024-TRABAJO'!#REF!</f>
        <v>#REF!</v>
      </c>
      <c r="AA84" s="224" t="e">
        <f>'Matriz POA 2024-TRABAJO'!#REF!</f>
        <v>#REF!</v>
      </c>
      <c r="AB84" s="279">
        <v>0</v>
      </c>
      <c r="AC84" s="279">
        <v>0</v>
      </c>
      <c r="AD84" s="279">
        <v>0</v>
      </c>
      <c r="AE84" s="279">
        <v>0</v>
      </c>
      <c r="AF84" s="279">
        <v>349.99999999999994</v>
      </c>
      <c r="AG84" s="279">
        <v>0</v>
      </c>
      <c r="AH84" s="279">
        <v>0</v>
      </c>
      <c r="AI84" s="279">
        <v>0</v>
      </c>
      <c r="AJ84" s="279">
        <v>0</v>
      </c>
      <c r="AK84" s="279">
        <v>0</v>
      </c>
      <c r="AL84" s="279">
        <v>0</v>
      </c>
      <c r="AM84" s="279">
        <v>0</v>
      </c>
      <c r="AN84" s="224" t="e">
        <f>SUM(#REF!)</f>
        <v>#REF!</v>
      </c>
      <c r="AO84" s="224">
        <f t="shared" si="9"/>
        <v>349.99999999999994</v>
      </c>
      <c r="AP84" s="224" t="e">
        <f t="shared" si="15"/>
        <v>#REF!</v>
      </c>
      <c r="AQ84" s="224"/>
      <c r="AR84" s="224"/>
      <c r="AS84" s="224"/>
      <c r="AT84" s="224" t="str">
        <f>IFERROR(VLOOKUP($A84,'Constancias POA'!$A$2:$DH$9993,17,FALSE),"")</f>
        <v/>
      </c>
      <c r="AU84" s="224" t="str">
        <f t="shared" si="10"/>
        <v/>
      </c>
      <c r="AV84" s="224" t="str">
        <f>IFERROR(VLOOKUP($A84,CP!$A$1:$U$7992,18,FALSE),"")</f>
        <v/>
      </c>
      <c r="AW84" s="224" t="str">
        <f>IFERROR(VLOOKUP($A84,CP!$A$1:$U$7992,19,FALSE),"")</f>
        <v/>
      </c>
      <c r="AX84" s="224" t="str">
        <f>IFERROR(VLOOKUP($A84,CP!$A$1:$U$7992,20,FALSE),"")</f>
        <v/>
      </c>
      <c r="AY84" s="224" t="str">
        <f>IFERROR(VLOOKUP($A84,CP!$A$1:$U$1,21,FALSE),"")</f>
        <v/>
      </c>
      <c r="AZ84" s="224" t="str">
        <f>IFERROR(VLOOKUP(A84,Devengado!$A$1:AJ1,35,FALSE),"")</f>
        <v/>
      </c>
      <c r="BA84" s="224" t="str">
        <f t="shared" si="11"/>
        <v/>
      </c>
      <c r="BB84" s="224" t="str">
        <f>IFERROR(AZ84/#REF!,"")</f>
        <v/>
      </c>
      <c r="BC84" s="224" t="str">
        <f>IFERROR(VLOOKUP($A84,Devengado!$A$1:$AI$1,22,FALSE),"")</f>
        <v/>
      </c>
      <c r="BD84" s="224" t="str">
        <f>IFERROR(VLOOKUP($A84,Devengado!$A$1:$AI$1,23,FALSE),"")</f>
        <v/>
      </c>
      <c r="BE84" s="224" t="str">
        <f>IFERROR(VLOOKUP($A84,Devengado!$A$1:$AI$1,24,FALSE),"")</f>
        <v/>
      </c>
      <c r="BF84" s="224" t="str">
        <f>IFERROR(VLOOKUP($A84,Devengado!$A$1:$AI$1,25,FALSE),"")</f>
        <v/>
      </c>
      <c r="BG84" s="224" t="str">
        <f>IFERROR(VLOOKUP($A84,Devengado!$A$1:$AI$1,26,FALSE),"")</f>
        <v/>
      </c>
      <c r="BH84" s="224" t="str">
        <f>IFERROR(VLOOKUP($A84,Devengado!$A$1:$AI$1,27,FALSE),"")</f>
        <v/>
      </c>
      <c r="BI84" s="224" t="str">
        <f>IFERROR(VLOOKUP($A84,Devengado!$A$1:$AI$1,28,FALSE),"")</f>
        <v/>
      </c>
      <c r="BJ84" s="224" t="str">
        <f>IFERROR(VLOOKUP($A84,Devengado!$A$1:$AI$1,29,FALSE),"")</f>
        <v/>
      </c>
      <c r="BK84" s="224" t="str">
        <f>IFERROR(VLOOKUP($A84,Devengado!$A$1:$AI$1,30,FALSE),"")</f>
        <v/>
      </c>
      <c r="BL84" s="224" t="str">
        <f>IFERROR(VLOOKUP($A84,Devengado!$A$1:$AI$1,31,FALSE),"")</f>
        <v/>
      </c>
      <c r="BM84" s="224" t="str">
        <f>IFERROR(VLOOKUP($A84,Devengado!$A$1:$AI$1,32,FALSE),"")</f>
        <v/>
      </c>
      <c r="BN84" s="224" t="str">
        <f>IFERROR(VLOOKUP($A84,Devengado!$A$1:$AI$1,33,FALSE),"")</f>
        <v/>
      </c>
      <c r="BO84" s="224">
        <f t="shared" si="12"/>
        <v>0</v>
      </c>
      <c r="BP84" s="224" t="str">
        <f t="shared" si="13"/>
        <v/>
      </c>
      <c r="BQ84" s="207"/>
      <c r="BR84" s="207" t="str">
        <f t="shared" si="14"/>
        <v>53</v>
      </c>
    </row>
    <row r="85" spans="1:70" s="225" customFormat="1" ht="25.5" customHeight="1">
      <c r="A85" s="207">
        <v>81</v>
      </c>
      <c r="B85" s="119" t="s">
        <v>73</v>
      </c>
      <c r="C85" s="120" t="s">
        <v>77</v>
      </c>
      <c r="D85" s="121" t="s">
        <v>176</v>
      </c>
      <c r="E85" s="112" t="s">
        <v>76</v>
      </c>
      <c r="F85" s="112" t="s">
        <v>77</v>
      </c>
      <c r="G85" s="112" t="s">
        <v>77</v>
      </c>
      <c r="H85" s="112" t="s">
        <v>77</v>
      </c>
      <c r="I85" s="112" t="s">
        <v>77</v>
      </c>
      <c r="J85" s="112" t="s">
        <v>77</v>
      </c>
      <c r="K85" s="112" t="s">
        <v>77</v>
      </c>
      <c r="L85" s="112" t="s">
        <v>177</v>
      </c>
      <c r="M85" s="112" t="s">
        <v>179</v>
      </c>
      <c r="N85" s="112">
        <v>9999</v>
      </c>
      <c r="O85" s="118" t="s">
        <v>132</v>
      </c>
      <c r="P85" s="114" t="s">
        <v>81</v>
      </c>
      <c r="Q85" s="114" t="s">
        <v>82</v>
      </c>
      <c r="R85" s="115" t="str">
        <f t="shared" si="8"/>
        <v>53</v>
      </c>
      <c r="S85" s="112">
        <v>530704</v>
      </c>
      <c r="T85" s="122" t="e">
        <f>VLOOKUP(S85,ITEM!$C$1:$D$156,2,FALSE)</f>
        <v>#N/A</v>
      </c>
      <c r="U85" s="114" t="s">
        <v>83</v>
      </c>
      <c r="V85" s="114" t="s">
        <v>82</v>
      </c>
      <c r="W85" s="114" t="s">
        <v>84</v>
      </c>
      <c r="X85" s="114" t="s">
        <v>84</v>
      </c>
      <c r="Y85" s="224" t="e">
        <f>'Matriz POA 2024-TRABAJO'!#REF!</f>
        <v>#REF!</v>
      </c>
      <c r="Z85" s="224" t="e">
        <f>'Matriz POA 2024-TRABAJO'!#REF!</f>
        <v>#REF!</v>
      </c>
      <c r="AA85" s="224" t="e">
        <f>'Matriz POA 2024-TRABAJO'!#REF!</f>
        <v>#REF!</v>
      </c>
      <c r="AB85" s="279">
        <v>0</v>
      </c>
      <c r="AC85" s="279">
        <v>0</v>
      </c>
      <c r="AD85" s="279">
        <v>0</v>
      </c>
      <c r="AE85" s="279">
        <v>0</v>
      </c>
      <c r="AF85" s="279">
        <v>980.67000000000007</v>
      </c>
      <c r="AG85" s="279">
        <v>0</v>
      </c>
      <c r="AH85" s="279">
        <v>0</v>
      </c>
      <c r="AI85" s="279">
        <v>0</v>
      </c>
      <c r="AJ85" s="279">
        <v>0</v>
      </c>
      <c r="AK85" s="279">
        <v>0</v>
      </c>
      <c r="AL85" s="279">
        <v>0</v>
      </c>
      <c r="AM85" s="279">
        <v>0</v>
      </c>
      <c r="AN85" s="224" t="e">
        <f>SUM(#REF!)</f>
        <v>#REF!</v>
      </c>
      <c r="AO85" s="224">
        <f t="shared" si="9"/>
        <v>980.67000000000007</v>
      </c>
      <c r="AP85" s="224" t="e">
        <f t="shared" si="15"/>
        <v>#REF!</v>
      </c>
      <c r="AQ85" s="224"/>
      <c r="AR85" s="224"/>
      <c r="AS85" s="224"/>
      <c r="AT85" s="224" t="str">
        <f>IFERROR(VLOOKUP($A85,'Constancias POA'!$A$2:$DH$9993,17,FALSE),"")</f>
        <v/>
      </c>
      <c r="AU85" s="224" t="str">
        <f t="shared" si="10"/>
        <v/>
      </c>
      <c r="AV85" s="224" t="str">
        <f>IFERROR(VLOOKUP($A85,CP!$A$1:$U$7992,18,FALSE),"")</f>
        <v/>
      </c>
      <c r="AW85" s="224" t="str">
        <f>IFERROR(VLOOKUP($A85,CP!$A$1:$U$7992,19,FALSE),"")</f>
        <v/>
      </c>
      <c r="AX85" s="224" t="str">
        <f>IFERROR(VLOOKUP($A85,CP!$A$1:$U$7992,20,FALSE),"")</f>
        <v/>
      </c>
      <c r="AY85" s="224" t="str">
        <f>IFERROR(VLOOKUP($A85,CP!$A$1:$U$1,21,FALSE),"")</f>
        <v/>
      </c>
      <c r="AZ85" s="224" t="str">
        <f>IFERROR(VLOOKUP(A85,Devengado!$A$1:AJ1,35,FALSE),"")</f>
        <v/>
      </c>
      <c r="BA85" s="224" t="str">
        <f t="shared" si="11"/>
        <v/>
      </c>
      <c r="BB85" s="224" t="str">
        <f>IFERROR(AZ85/#REF!,"")</f>
        <v/>
      </c>
      <c r="BC85" s="224" t="str">
        <f>IFERROR(VLOOKUP($A85,Devengado!$A$1:$AI$1,22,FALSE),"")</f>
        <v/>
      </c>
      <c r="BD85" s="224" t="str">
        <f>IFERROR(VLOOKUP($A85,Devengado!$A$1:$AI$1,23,FALSE),"")</f>
        <v/>
      </c>
      <c r="BE85" s="224" t="str">
        <f>IFERROR(VLOOKUP($A85,Devengado!$A$1:$AI$1,24,FALSE),"")</f>
        <v/>
      </c>
      <c r="BF85" s="224" t="str">
        <f>IFERROR(VLOOKUP($A85,Devengado!$A$1:$AI$1,25,FALSE),"")</f>
        <v/>
      </c>
      <c r="BG85" s="224" t="str">
        <f>IFERROR(VLOOKUP($A85,Devengado!$A$1:$AI$1,26,FALSE),"")</f>
        <v/>
      </c>
      <c r="BH85" s="224" t="str">
        <f>IFERROR(VLOOKUP($A85,Devengado!$A$1:$AI$1,27,FALSE),"")</f>
        <v/>
      </c>
      <c r="BI85" s="224" t="str">
        <f>IFERROR(VLOOKUP($A85,Devengado!$A$1:$AI$1,28,FALSE),"")</f>
        <v/>
      </c>
      <c r="BJ85" s="224" t="str">
        <f>IFERROR(VLOOKUP($A85,Devengado!$A$1:$AI$1,29,FALSE),"")</f>
        <v/>
      </c>
      <c r="BK85" s="224" t="str">
        <f>IFERROR(VLOOKUP($A85,Devengado!$A$1:$AI$1,30,FALSE),"")</f>
        <v/>
      </c>
      <c r="BL85" s="224" t="str">
        <f>IFERROR(VLOOKUP($A85,Devengado!$A$1:$AI$1,31,FALSE),"")</f>
        <v/>
      </c>
      <c r="BM85" s="224" t="str">
        <f>IFERROR(VLOOKUP($A85,Devengado!$A$1:$AI$1,32,FALSE),"")</f>
        <v/>
      </c>
      <c r="BN85" s="224" t="str">
        <f>IFERROR(VLOOKUP($A85,Devengado!$A$1:$AI$1,33,FALSE),"")</f>
        <v/>
      </c>
      <c r="BO85" s="224">
        <f t="shared" si="12"/>
        <v>0</v>
      </c>
      <c r="BP85" s="224" t="str">
        <f t="shared" si="13"/>
        <v/>
      </c>
      <c r="BQ85" s="207"/>
      <c r="BR85" s="207" t="str">
        <f t="shared" si="14"/>
        <v>53</v>
      </c>
    </row>
    <row r="86" spans="1:70" s="225" customFormat="1" ht="25.5" customHeight="1">
      <c r="A86" s="207">
        <v>82</v>
      </c>
      <c r="B86" s="119" t="s">
        <v>73</v>
      </c>
      <c r="C86" s="120" t="s">
        <v>77</v>
      </c>
      <c r="D86" s="121" t="s">
        <v>176</v>
      </c>
      <c r="E86" s="112" t="s">
        <v>76</v>
      </c>
      <c r="F86" s="112" t="s">
        <v>77</v>
      </c>
      <c r="G86" s="112" t="s">
        <v>77</v>
      </c>
      <c r="H86" s="112" t="s">
        <v>77</v>
      </c>
      <c r="I86" s="112" t="s">
        <v>77</v>
      </c>
      <c r="J86" s="112" t="s">
        <v>77</v>
      </c>
      <c r="K86" s="112" t="s">
        <v>77</v>
      </c>
      <c r="L86" s="112" t="s">
        <v>85</v>
      </c>
      <c r="M86" s="112" t="s">
        <v>180</v>
      </c>
      <c r="N86" s="112">
        <v>9999</v>
      </c>
      <c r="O86" s="118" t="s">
        <v>132</v>
      </c>
      <c r="P86" s="114" t="s">
        <v>81</v>
      </c>
      <c r="Q86" s="114" t="s">
        <v>82</v>
      </c>
      <c r="R86" s="115" t="str">
        <f t="shared" si="8"/>
        <v>53</v>
      </c>
      <c r="S86" s="112">
        <v>530301</v>
      </c>
      <c r="T86" s="122" t="str">
        <f>VLOOKUP(S86,ITEM!$C$1:$D$156,2,FALSE)</f>
        <v>Pasajes al Interior</v>
      </c>
      <c r="U86" s="114" t="s">
        <v>83</v>
      </c>
      <c r="V86" s="114" t="s">
        <v>82</v>
      </c>
      <c r="W86" s="114" t="s">
        <v>84</v>
      </c>
      <c r="X86" s="114" t="s">
        <v>84</v>
      </c>
      <c r="Y86" s="224" t="e">
        <f>'Matriz POA 2024-TRABAJO'!#REF!</f>
        <v>#REF!</v>
      </c>
      <c r="Z86" s="224" t="e">
        <f>'Matriz POA 2024-TRABAJO'!#REF!</f>
        <v>#REF!</v>
      </c>
      <c r="AA86" s="224" t="e">
        <f>'Matriz POA 2024-TRABAJO'!#REF!</f>
        <v>#REF!</v>
      </c>
      <c r="AB86" s="279">
        <v>0</v>
      </c>
      <c r="AC86" s="279">
        <v>0</v>
      </c>
      <c r="AD86" s="279">
        <v>0</v>
      </c>
      <c r="AE86" s="279">
        <v>0</v>
      </c>
      <c r="AF86" s="279">
        <v>0</v>
      </c>
      <c r="AG86" s="279">
        <v>0</v>
      </c>
      <c r="AH86" s="279">
        <v>0</v>
      </c>
      <c r="AI86" s="279">
        <v>0</v>
      </c>
      <c r="AJ86" s="279">
        <v>0</v>
      </c>
      <c r="AK86" s="279">
        <v>0</v>
      </c>
      <c r="AL86" s="279">
        <v>0</v>
      </c>
      <c r="AM86" s="279">
        <v>0</v>
      </c>
      <c r="AN86" s="224" t="e">
        <f>SUM(#REF!)</f>
        <v>#REF!</v>
      </c>
      <c r="AO86" s="224">
        <f t="shared" si="9"/>
        <v>0</v>
      </c>
      <c r="AP86" s="224" t="e">
        <f t="shared" si="15"/>
        <v>#REF!</v>
      </c>
      <c r="AQ86" s="224"/>
      <c r="AR86" s="224"/>
      <c r="AS86" s="224"/>
      <c r="AT86" s="224" t="str">
        <f>IFERROR(VLOOKUP($A86,'Constancias POA'!$A$2:$DH$9993,17,FALSE),"")</f>
        <v/>
      </c>
      <c r="AU86" s="224" t="str">
        <f t="shared" si="10"/>
        <v/>
      </c>
      <c r="AV86" s="224" t="str">
        <f>IFERROR(VLOOKUP($A86,CP!$A$1:$U$7992,18,FALSE),"")</f>
        <v/>
      </c>
      <c r="AW86" s="224" t="str">
        <f>IFERROR(VLOOKUP($A86,CP!$A$1:$U$7992,19,FALSE),"")</f>
        <v/>
      </c>
      <c r="AX86" s="224" t="str">
        <f>IFERROR(VLOOKUP($A86,CP!$A$1:$U$7992,20,FALSE),"")</f>
        <v/>
      </c>
      <c r="AY86" s="224" t="str">
        <f>IFERROR(VLOOKUP($A86,CP!$A$1:$U$1,21,FALSE),"")</f>
        <v/>
      </c>
      <c r="AZ86" s="224" t="str">
        <f>IFERROR(VLOOKUP(A86,Devengado!$A$1:AJ1,35,FALSE),"")</f>
        <v/>
      </c>
      <c r="BA86" s="224" t="str">
        <f t="shared" si="11"/>
        <v/>
      </c>
      <c r="BB86" s="224" t="str">
        <f>IFERROR(AZ86/#REF!,"")</f>
        <v/>
      </c>
      <c r="BC86" s="224" t="str">
        <f>IFERROR(VLOOKUP($A86,Devengado!$A$1:$AI$1,22,FALSE),"")</f>
        <v/>
      </c>
      <c r="BD86" s="224" t="str">
        <f>IFERROR(VLOOKUP($A86,Devengado!$A$1:$AI$1,23,FALSE),"")</f>
        <v/>
      </c>
      <c r="BE86" s="224" t="str">
        <f>IFERROR(VLOOKUP($A86,Devengado!$A$1:$AI$1,24,FALSE),"")</f>
        <v/>
      </c>
      <c r="BF86" s="224" t="str">
        <f>IFERROR(VLOOKUP($A86,Devengado!$A$1:$AI$1,25,FALSE),"")</f>
        <v/>
      </c>
      <c r="BG86" s="224" t="str">
        <f>IFERROR(VLOOKUP($A86,Devengado!$A$1:$AI$1,26,FALSE),"")</f>
        <v/>
      </c>
      <c r="BH86" s="224" t="str">
        <f>IFERROR(VLOOKUP($A86,Devengado!$A$1:$AI$1,27,FALSE),"")</f>
        <v/>
      </c>
      <c r="BI86" s="224" t="str">
        <f>IFERROR(VLOOKUP($A86,Devengado!$A$1:$AI$1,28,FALSE),"")</f>
        <v/>
      </c>
      <c r="BJ86" s="224" t="str">
        <f>IFERROR(VLOOKUP($A86,Devengado!$A$1:$AI$1,29,FALSE),"")</f>
        <v/>
      </c>
      <c r="BK86" s="224" t="str">
        <f>IFERROR(VLOOKUP($A86,Devengado!$A$1:$AI$1,30,FALSE),"")</f>
        <v/>
      </c>
      <c r="BL86" s="224" t="str">
        <f>IFERROR(VLOOKUP($A86,Devengado!$A$1:$AI$1,31,FALSE),"")</f>
        <v/>
      </c>
      <c r="BM86" s="224" t="str">
        <f>IFERROR(VLOOKUP($A86,Devengado!$A$1:$AI$1,32,FALSE),"")</f>
        <v/>
      </c>
      <c r="BN86" s="224" t="str">
        <f>IFERROR(VLOOKUP($A86,Devengado!$A$1:$AI$1,33,FALSE),"")</f>
        <v/>
      </c>
      <c r="BO86" s="224">
        <f t="shared" si="12"/>
        <v>0</v>
      </c>
      <c r="BP86" s="224" t="str">
        <f t="shared" si="13"/>
        <v/>
      </c>
      <c r="BQ86" s="207"/>
      <c r="BR86" s="207" t="str">
        <f t="shared" si="14"/>
        <v>53</v>
      </c>
    </row>
    <row r="87" spans="1:70" s="225" customFormat="1" ht="25.5" customHeight="1">
      <c r="A87" s="207">
        <v>83</v>
      </c>
      <c r="B87" s="119" t="s">
        <v>73</v>
      </c>
      <c r="C87" s="120" t="s">
        <v>77</v>
      </c>
      <c r="D87" s="121" t="s">
        <v>176</v>
      </c>
      <c r="E87" s="112" t="s">
        <v>76</v>
      </c>
      <c r="F87" s="112" t="s">
        <v>77</v>
      </c>
      <c r="G87" s="112" t="s">
        <v>77</v>
      </c>
      <c r="H87" s="112" t="s">
        <v>77</v>
      </c>
      <c r="I87" s="112" t="s">
        <v>77</v>
      </c>
      <c r="J87" s="112" t="s">
        <v>77</v>
      </c>
      <c r="K87" s="112" t="s">
        <v>77</v>
      </c>
      <c r="L87" s="112" t="s">
        <v>85</v>
      </c>
      <c r="M87" s="112" t="s">
        <v>181</v>
      </c>
      <c r="N87" s="112">
        <v>9999</v>
      </c>
      <c r="O87" s="118" t="s">
        <v>132</v>
      </c>
      <c r="P87" s="114" t="s">
        <v>81</v>
      </c>
      <c r="Q87" s="114" t="s">
        <v>82</v>
      </c>
      <c r="R87" s="115" t="str">
        <f t="shared" si="8"/>
        <v>53</v>
      </c>
      <c r="S87" s="112">
        <v>530303</v>
      </c>
      <c r="T87" s="122" t="str">
        <f>VLOOKUP(S87,ITEM!$C$1:$D$156,2,FALSE)</f>
        <v>Viáticos y Subsistencias en el Interior</v>
      </c>
      <c r="U87" s="114" t="s">
        <v>83</v>
      </c>
      <c r="V87" s="114" t="s">
        <v>82</v>
      </c>
      <c r="W87" s="114" t="s">
        <v>84</v>
      </c>
      <c r="X87" s="114" t="s">
        <v>84</v>
      </c>
      <c r="Y87" s="224" t="e">
        <f>'Matriz POA 2024-TRABAJO'!#REF!</f>
        <v>#REF!</v>
      </c>
      <c r="Z87" s="224" t="e">
        <f>'Matriz POA 2024-TRABAJO'!#REF!</f>
        <v>#REF!</v>
      </c>
      <c r="AA87" s="224" t="e">
        <f>'Matriz POA 2024-TRABAJO'!#REF!</f>
        <v>#REF!</v>
      </c>
      <c r="AB87" s="279">
        <v>0</v>
      </c>
      <c r="AC87" s="279">
        <v>0</v>
      </c>
      <c r="AD87" s="279">
        <v>0</v>
      </c>
      <c r="AE87" s="279">
        <v>342.33</v>
      </c>
      <c r="AF87" s="279">
        <v>343</v>
      </c>
      <c r="AG87" s="279">
        <v>0</v>
      </c>
      <c r="AH87" s="279">
        <v>514</v>
      </c>
      <c r="AI87" s="279">
        <v>308</v>
      </c>
      <c r="AJ87" s="279">
        <v>162</v>
      </c>
      <c r="AK87" s="279">
        <v>0</v>
      </c>
      <c r="AL87" s="279">
        <v>0</v>
      </c>
      <c r="AM87" s="279">
        <v>0</v>
      </c>
      <c r="AN87" s="224" t="e">
        <f>SUM(#REF!)</f>
        <v>#REF!</v>
      </c>
      <c r="AO87" s="224">
        <f t="shared" si="9"/>
        <v>1669.33</v>
      </c>
      <c r="AP87" s="224" t="e">
        <f t="shared" si="15"/>
        <v>#REF!</v>
      </c>
      <c r="AQ87" s="224"/>
      <c r="AR87" s="224"/>
      <c r="AS87" s="224"/>
      <c r="AT87" s="224" t="str">
        <f>IFERROR(VLOOKUP($A87,'Constancias POA'!$A$2:$DH$9993,17,FALSE),"")</f>
        <v/>
      </c>
      <c r="AU87" s="224" t="str">
        <f t="shared" si="10"/>
        <v/>
      </c>
      <c r="AV87" s="224" t="str">
        <f>IFERROR(VLOOKUP($A87,CP!$A$1:$U$7992,18,FALSE),"")</f>
        <v/>
      </c>
      <c r="AW87" s="224" t="str">
        <f>IFERROR(VLOOKUP($A87,CP!$A$1:$U$7992,19,FALSE),"")</f>
        <v/>
      </c>
      <c r="AX87" s="224" t="str">
        <f>IFERROR(VLOOKUP($A87,CP!$A$1:$U$7992,20,FALSE),"")</f>
        <v/>
      </c>
      <c r="AY87" s="224" t="str">
        <f>IFERROR(VLOOKUP($A87,CP!$A$1:$U$1,21,FALSE),"")</f>
        <v/>
      </c>
      <c r="AZ87" s="224" t="str">
        <f>IFERROR(VLOOKUP(A87,Devengado!$A$1:AJ1,35,FALSE),"")</f>
        <v/>
      </c>
      <c r="BA87" s="224" t="str">
        <f t="shared" si="11"/>
        <v/>
      </c>
      <c r="BB87" s="224" t="str">
        <f>IFERROR(AZ87/#REF!,"")</f>
        <v/>
      </c>
      <c r="BC87" s="224" t="str">
        <f>IFERROR(VLOOKUP($A87,Devengado!$A$1:$AI$1,22,FALSE),"")</f>
        <v/>
      </c>
      <c r="BD87" s="224" t="str">
        <f>IFERROR(VLOOKUP($A87,Devengado!$A$1:$AI$1,23,FALSE),"")</f>
        <v/>
      </c>
      <c r="BE87" s="224" t="str">
        <f>IFERROR(VLOOKUP($A87,Devengado!$A$1:$AI$1,24,FALSE),"")</f>
        <v/>
      </c>
      <c r="BF87" s="224" t="str">
        <f>IFERROR(VLOOKUP($A87,Devengado!$A$1:$AI$1,25,FALSE),"")</f>
        <v/>
      </c>
      <c r="BG87" s="224" t="str">
        <f>IFERROR(VLOOKUP($A87,Devengado!$A$1:$AI$1,26,FALSE),"")</f>
        <v/>
      </c>
      <c r="BH87" s="224" t="str">
        <f>IFERROR(VLOOKUP($A87,Devengado!$A$1:$AI$1,27,FALSE),"")</f>
        <v/>
      </c>
      <c r="BI87" s="224" t="str">
        <f>IFERROR(VLOOKUP($A87,Devengado!$A$1:$AI$1,28,FALSE),"")</f>
        <v/>
      </c>
      <c r="BJ87" s="224" t="str">
        <f>IFERROR(VLOOKUP($A87,Devengado!$A$1:$AI$1,29,FALSE),"")</f>
        <v/>
      </c>
      <c r="BK87" s="224" t="str">
        <f>IFERROR(VLOOKUP($A87,Devengado!$A$1:$AI$1,30,FALSE),"")</f>
        <v/>
      </c>
      <c r="BL87" s="224" t="str">
        <f>IFERROR(VLOOKUP($A87,Devengado!$A$1:$AI$1,31,FALSE),"")</f>
        <v/>
      </c>
      <c r="BM87" s="224" t="str">
        <f>IFERROR(VLOOKUP($A87,Devengado!$A$1:$AI$1,32,FALSE),"")</f>
        <v/>
      </c>
      <c r="BN87" s="224" t="str">
        <f>IFERROR(VLOOKUP($A87,Devengado!$A$1:$AI$1,33,FALSE),"")</f>
        <v/>
      </c>
      <c r="BO87" s="224">
        <f t="shared" si="12"/>
        <v>0</v>
      </c>
      <c r="BP87" s="224" t="str">
        <f t="shared" si="13"/>
        <v/>
      </c>
      <c r="BQ87" s="207"/>
      <c r="BR87" s="207" t="str">
        <f t="shared" si="14"/>
        <v>53</v>
      </c>
    </row>
    <row r="88" spans="1:70" s="225" customFormat="1" ht="25.5" customHeight="1">
      <c r="A88" s="207">
        <v>84</v>
      </c>
      <c r="B88" s="119" t="s">
        <v>73</v>
      </c>
      <c r="C88" s="120" t="s">
        <v>77</v>
      </c>
      <c r="D88" s="121" t="s">
        <v>176</v>
      </c>
      <c r="E88" s="112" t="s">
        <v>76</v>
      </c>
      <c r="F88" s="112" t="s">
        <v>77</v>
      </c>
      <c r="G88" s="112" t="s">
        <v>77</v>
      </c>
      <c r="H88" s="112" t="s">
        <v>77</v>
      </c>
      <c r="I88" s="112" t="s">
        <v>77</v>
      </c>
      <c r="J88" s="112" t="s">
        <v>77</v>
      </c>
      <c r="K88" s="112" t="s">
        <v>77</v>
      </c>
      <c r="L88" s="112" t="s">
        <v>85</v>
      </c>
      <c r="M88" s="112" t="s">
        <v>182</v>
      </c>
      <c r="N88" s="112">
        <v>9999</v>
      </c>
      <c r="O88" s="118" t="s">
        <v>132</v>
      </c>
      <c r="P88" s="114" t="s">
        <v>81</v>
      </c>
      <c r="Q88" s="114" t="s">
        <v>82</v>
      </c>
      <c r="R88" s="115" t="str">
        <f t="shared" si="8"/>
        <v>53</v>
      </c>
      <c r="S88" s="112">
        <v>530601</v>
      </c>
      <c r="T88" s="122" t="str">
        <f>VLOOKUP(S88,ITEM!$C$1:$D$156,2,FALSE)</f>
        <v>Consultoría, Asesoría e Investigación Especializada</v>
      </c>
      <c r="U88" s="114" t="s">
        <v>83</v>
      </c>
      <c r="V88" s="114" t="s">
        <v>82</v>
      </c>
      <c r="W88" s="114" t="s">
        <v>84</v>
      </c>
      <c r="X88" s="114" t="s">
        <v>84</v>
      </c>
      <c r="Y88" s="224" t="e">
        <f>'Matriz POA 2024-TRABAJO'!#REF!</f>
        <v>#REF!</v>
      </c>
      <c r="Z88" s="224" t="e">
        <f>'Matriz POA 2024-TRABAJO'!#REF!</f>
        <v>#REF!</v>
      </c>
      <c r="AA88" s="224" t="e">
        <f>'Matriz POA 2024-TRABAJO'!#REF!</f>
        <v>#REF!</v>
      </c>
      <c r="AB88" s="279">
        <v>0</v>
      </c>
      <c r="AC88" s="279">
        <v>0</v>
      </c>
      <c r="AD88" s="279">
        <v>0</v>
      </c>
      <c r="AE88" s="279">
        <v>0</v>
      </c>
      <c r="AF88" s="279">
        <v>0</v>
      </c>
      <c r="AG88" s="279">
        <v>0</v>
      </c>
      <c r="AH88" s="279">
        <v>0</v>
      </c>
      <c r="AI88" s="279">
        <v>0</v>
      </c>
      <c r="AJ88" s="279">
        <v>0</v>
      </c>
      <c r="AK88" s="279">
        <v>0</v>
      </c>
      <c r="AL88" s="279">
        <v>0</v>
      </c>
      <c r="AM88" s="279">
        <v>0</v>
      </c>
      <c r="AN88" s="224" t="e">
        <f>SUM(#REF!)</f>
        <v>#REF!</v>
      </c>
      <c r="AO88" s="224">
        <f t="shared" si="9"/>
        <v>0</v>
      </c>
      <c r="AP88" s="224" t="e">
        <f t="shared" si="15"/>
        <v>#REF!</v>
      </c>
      <c r="AQ88" s="224"/>
      <c r="AR88" s="224"/>
      <c r="AS88" s="224"/>
      <c r="AT88" s="224" t="str">
        <f>IFERROR(VLOOKUP($A88,'Constancias POA'!$A$2:$DH$9993,17,FALSE),"")</f>
        <v/>
      </c>
      <c r="AU88" s="224" t="str">
        <f t="shared" si="10"/>
        <v/>
      </c>
      <c r="AV88" s="224" t="str">
        <f>IFERROR(VLOOKUP($A88,CP!$A$1:$U$7992,18,FALSE),"")</f>
        <v/>
      </c>
      <c r="AW88" s="224" t="str">
        <f>IFERROR(VLOOKUP($A88,CP!$A$1:$U$7992,19,FALSE),"")</f>
        <v/>
      </c>
      <c r="AX88" s="224" t="str">
        <f>IFERROR(VLOOKUP($A88,CP!$A$1:$U$7992,20,FALSE),"")</f>
        <v/>
      </c>
      <c r="AY88" s="224" t="str">
        <f>IFERROR(VLOOKUP($A88,CP!$A$1:$U$1,21,FALSE),"")</f>
        <v/>
      </c>
      <c r="AZ88" s="224" t="str">
        <f>IFERROR(VLOOKUP(A88,Devengado!$A$1:AJ1,35,FALSE),"")</f>
        <v/>
      </c>
      <c r="BA88" s="224" t="str">
        <f t="shared" si="11"/>
        <v/>
      </c>
      <c r="BB88" s="224" t="str">
        <f>IFERROR(AZ88/#REF!,"")</f>
        <v/>
      </c>
      <c r="BC88" s="224" t="str">
        <f>IFERROR(VLOOKUP($A88,Devengado!$A$1:$AI$1,22,FALSE),"")</f>
        <v/>
      </c>
      <c r="BD88" s="224" t="str">
        <f>IFERROR(VLOOKUP($A88,Devengado!$A$1:$AI$1,23,FALSE),"")</f>
        <v/>
      </c>
      <c r="BE88" s="224" t="str">
        <f>IFERROR(VLOOKUP($A88,Devengado!$A$1:$AI$1,24,FALSE),"")</f>
        <v/>
      </c>
      <c r="BF88" s="224" t="str">
        <f>IFERROR(VLOOKUP($A88,Devengado!$A$1:$AI$1,25,FALSE),"")</f>
        <v/>
      </c>
      <c r="BG88" s="224" t="str">
        <f>IFERROR(VLOOKUP($A88,Devengado!$A$1:$AI$1,26,FALSE),"")</f>
        <v/>
      </c>
      <c r="BH88" s="224" t="str">
        <f>IFERROR(VLOOKUP($A88,Devengado!$A$1:$AI$1,27,FALSE),"")</f>
        <v/>
      </c>
      <c r="BI88" s="224" t="str">
        <f>IFERROR(VLOOKUP($A88,Devengado!$A$1:$AI$1,28,FALSE),"")</f>
        <v/>
      </c>
      <c r="BJ88" s="224" t="str">
        <f>IFERROR(VLOOKUP($A88,Devengado!$A$1:$AI$1,29,FALSE),"")</f>
        <v/>
      </c>
      <c r="BK88" s="224" t="str">
        <f>IFERROR(VLOOKUP($A88,Devengado!$A$1:$AI$1,30,FALSE),"")</f>
        <v/>
      </c>
      <c r="BL88" s="224" t="str">
        <f>IFERROR(VLOOKUP($A88,Devengado!$A$1:$AI$1,31,FALSE),"")</f>
        <v/>
      </c>
      <c r="BM88" s="224" t="str">
        <f>IFERROR(VLOOKUP($A88,Devengado!$A$1:$AI$1,32,FALSE),"")</f>
        <v/>
      </c>
      <c r="BN88" s="224" t="str">
        <f>IFERROR(VLOOKUP($A88,Devengado!$A$1:$AI$1,33,FALSE),"")</f>
        <v/>
      </c>
      <c r="BO88" s="224">
        <f t="shared" si="12"/>
        <v>0</v>
      </c>
      <c r="BP88" s="224" t="str">
        <f t="shared" si="13"/>
        <v/>
      </c>
      <c r="BQ88" s="207"/>
      <c r="BR88" s="207" t="str">
        <f t="shared" si="14"/>
        <v>53</v>
      </c>
    </row>
    <row r="89" spans="1:70" s="225" customFormat="1" ht="25.5" customHeight="1">
      <c r="A89" s="207">
        <v>85</v>
      </c>
      <c r="B89" s="112" t="s">
        <v>73</v>
      </c>
      <c r="C89" s="112" t="s">
        <v>77</v>
      </c>
      <c r="D89" s="112" t="s">
        <v>183</v>
      </c>
      <c r="E89" s="112" t="s">
        <v>76</v>
      </c>
      <c r="F89" s="112" t="s">
        <v>77</v>
      </c>
      <c r="G89" s="112" t="s">
        <v>77</v>
      </c>
      <c r="H89" s="112" t="s">
        <v>77</v>
      </c>
      <c r="I89" s="112" t="s">
        <v>77</v>
      </c>
      <c r="J89" s="112" t="s">
        <v>77</v>
      </c>
      <c r="K89" s="112" t="s">
        <v>77</v>
      </c>
      <c r="L89" s="112" t="s">
        <v>85</v>
      </c>
      <c r="M89" s="112" t="s">
        <v>184</v>
      </c>
      <c r="N89" s="113">
        <v>9999</v>
      </c>
      <c r="O89" s="118" t="s">
        <v>80</v>
      </c>
      <c r="P89" s="118" t="s">
        <v>81</v>
      </c>
      <c r="Q89" s="114" t="s">
        <v>82</v>
      </c>
      <c r="R89" s="115" t="str">
        <f t="shared" si="8"/>
        <v>53</v>
      </c>
      <c r="S89" s="112">
        <v>530205</v>
      </c>
      <c r="T89" s="122" t="str">
        <f>VLOOKUP(S89,ITEM!$C$1:$D$156,2,FALSE)</f>
        <v>Espectáculos Culturales y Sociales</v>
      </c>
      <c r="U89" s="113">
        <v>1701</v>
      </c>
      <c r="V89" s="114" t="s">
        <v>82</v>
      </c>
      <c r="W89" s="118" t="s">
        <v>84</v>
      </c>
      <c r="X89" s="118" t="s">
        <v>84</v>
      </c>
      <c r="Y89" s="224" t="e">
        <f>'Matriz POA 2024-TRABAJO'!#REF!</f>
        <v>#REF!</v>
      </c>
      <c r="Z89" s="224" t="e">
        <f>'Matriz POA 2024-TRABAJO'!#REF!</f>
        <v>#REF!</v>
      </c>
      <c r="AA89" s="224" t="e">
        <f>'Matriz POA 2024-TRABAJO'!#REF!</f>
        <v>#REF!</v>
      </c>
      <c r="AB89" s="279"/>
      <c r="AC89" s="279"/>
      <c r="AD89" s="279"/>
      <c r="AE89" s="279"/>
      <c r="AF89" s="279"/>
      <c r="AG89" s="279"/>
      <c r="AH89" s="279"/>
      <c r="AI89" s="279"/>
      <c r="AJ89" s="279"/>
      <c r="AK89" s="279">
        <v>2000</v>
      </c>
      <c r="AL89" s="279"/>
      <c r="AM89" s="279"/>
      <c r="AN89" s="224" t="e">
        <f>SUM(#REF!)</f>
        <v>#REF!</v>
      </c>
      <c r="AO89" s="224">
        <f t="shared" si="9"/>
        <v>2000</v>
      </c>
      <c r="AP89" s="224" t="e">
        <f t="shared" si="15"/>
        <v>#REF!</v>
      </c>
      <c r="AQ89" s="224"/>
      <c r="AR89" s="224"/>
      <c r="AS89" s="224"/>
      <c r="AT89" s="224" t="str">
        <f>IFERROR(VLOOKUP($A89,'Constancias POA'!$A$2:$DH$9993,17,FALSE),"")</f>
        <v/>
      </c>
      <c r="AU89" s="224" t="str">
        <f t="shared" si="10"/>
        <v/>
      </c>
      <c r="AV89" s="224" t="str">
        <f>IFERROR(VLOOKUP($A89,CP!$A$1:$U$7992,18,FALSE),"")</f>
        <v/>
      </c>
      <c r="AW89" s="224" t="str">
        <f>IFERROR(VLOOKUP($A89,CP!$A$1:$U$7992,19,FALSE),"")</f>
        <v/>
      </c>
      <c r="AX89" s="224" t="str">
        <f>IFERROR(VLOOKUP($A89,CP!$A$1:$U$7992,20,FALSE),"")</f>
        <v/>
      </c>
      <c r="AY89" s="224" t="str">
        <f>IFERROR(VLOOKUP($A89,CP!$A$1:$U$1,21,FALSE),"")</f>
        <v/>
      </c>
      <c r="AZ89" s="224" t="str">
        <f>IFERROR(VLOOKUP(A89,Devengado!$A$1:AJ1,35,FALSE),"")</f>
        <v/>
      </c>
      <c r="BA89" s="224" t="str">
        <f t="shared" si="11"/>
        <v/>
      </c>
      <c r="BB89" s="224" t="str">
        <f>IFERROR(AZ89/#REF!,"")</f>
        <v/>
      </c>
      <c r="BC89" s="224" t="str">
        <f>IFERROR(VLOOKUP($A89,Devengado!$A$1:$AI$1,22,FALSE),"")</f>
        <v/>
      </c>
      <c r="BD89" s="224" t="str">
        <f>IFERROR(VLOOKUP($A89,Devengado!$A$1:$AI$1,23,FALSE),"")</f>
        <v/>
      </c>
      <c r="BE89" s="224" t="str">
        <f>IFERROR(VLOOKUP($A89,Devengado!$A$1:$AI$1,24,FALSE),"")</f>
        <v/>
      </c>
      <c r="BF89" s="224" t="str">
        <f>IFERROR(VLOOKUP($A89,Devengado!$A$1:$AI$1,25,FALSE),"")</f>
        <v/>
      </c>
      <c r="BG89" s="224" t="str">
        <f>IFERROR(VLOOKUP($A89,Devengado!$A$1:$AI$1,26,FALSE),"")</f>
        <v/>
      </c>
      <c r="BH89" s="224" t="str">
        <f>IFERROR(VLOOKUP($A89,Devengado!$A$1:$AI$1,27,FALSE),"")</f>
        <v/>
      </c>
      <c r="BI89" s="224" t="str">
        <f>IFERROR(VLOOKUP($A89,Devengado!$A$1:$AI$1,28,FALSE),"")</f>
        <v/>
      </c>
      <c r="BJ89" s="224" t="str">
        <f>IFERROR(VLOOKUP($A89,Devengado!$A$1:$AI$1,29,FALSE),"")</f>
        <v/>
      </c>
      <c r="BK89" s="224" t="str">
        <f>IFERROR(VLOOKUP($A89,Devengado!$A$1:$AI$1,30,FALSE),"")</f>
        <v/>
      </c>
      <c r="BL89" s="224" t="str">
        <f>IFERROR(VLOOKUP($A89,Devengado!$A$1:$AI$1,31,FALSE),"")</f>
        <v/>
      </c>
      <c r="BM89" s="224" t="str">
        <f>IFERROR(VLOOKUP($A89,Devengado!$A$1:$AI$1,32,FALSE),"")</f>
        <v/>
      </c>
      <c r="BN89" s="224" t="str">
        <f>IFERROR(VLOOKUP($A89,Devengado!$A$1:$AI$1,33,FALSE),"")</f>
        <v/>
      </c>
      <c r="BO89" s="224">
        <f t="shared" si="12"/>
        <v>0</v>
      </c>
      <c r="BP89" s="224" t="str">
        <f t="shared" si="13"/>
        <v/>
      </c>
      <c r="BQ89" s="207"/>
      <c r="BR89" s="207" t="str">
        <f t="shared" si="14"/>
        <v>53</v>
      </c>
    </row>
    <row r="90" spans="1:70" s="225" customFormat="1" ht="46.5" customHeight="1">
      <c r="A90" s="207">
        <v>86</v>
      </c>
      <c r="B90" s="112" t="s">
        <v>73</v>
      </c>
      <c r="C90" s="112" t="s">
        <v>77</v>
      </c>
      <c r="D90" s="112" t="s">
        <v>183</v>
      </c>
      <c r="E90" s="112" t="s">
        <v>76</v>
      </c>
      <c r="F90" s="112" t="s">
        <v>77</v>
      </c>
      <c r="G90" s="112" t="s">
        <v>77</v>
      </c>
      <c r="H90" s="112" t="s">
        <v>77</v>
      </c>
      <c r="I90" s="112" t="s">
        <v>77</v>
      </c>
      <c r="J90" s="112" t="s">
        <v>77</v>
      </c>
      <c r="K90" s="112" t="s">
        <v>77</v>
      </c>
      <c r="L90" s="112" t="s">
        <v>85</v>
      </c>
      <c r="M90" s="143" t="s">
        <v>185</v>
      </c>
      <c r="N90" s="113">
        <v>9999</v>
      </c>
      <c r="O90" s="114" t="s">
        <v>80</v>
      </c>
      <c r="P90" s="114" t="s">
        <v>81</v>
      </c>
      <c r="Q90" s="114" t="s">
        <v>82</v>
      </c>
      <c r="R90" s="115" t="str">
        <f t="shared" si="8"/>
        <v>53</v>
      </c>
      <c r="S90" s="112">
        <v>530303</v>
      </c>
      <c r="T90" s="122" t="str">
        <f>VLOOKUP(S90,ITEM!$C$1:$D$156,2,FALSE)</f>
        <v>Viáticos y Subsistencias en el Interior</v>
      </c>
      <c r="U90" s="112">
        <v>1701</v>
      </c>
      <c r="V90" s="114" t="s">
        <v>82</v>
      </c>
      <c r="W90" s="118" t="s">
        <v>84</v>
      </c>
      <c r="X90" s="118" t="s">
        <v>84</v>
      </c>
      <c r="Y90" s="224" t="e">
        <f>'Matriz POA 2024-TRABAJO'!#REF!</f>
        <v>#REF!</v>
      </c>
      <c r="Z90" s="224" t="e">
        <f>'Matriz POA 2024-TRABAJO'!#REF!</f>
        <v>#REF!</v>
      </c>
      <c r="AA90" s="224" t="e">
        <f>'Matriz POA 2024-TRABAJO'!#REF!</f>
        <v>#REF!</v>
      </c>
      <c r="AB90" s="279"/>
      <c r="AC90" s="279">
        <v>1000</v>
      </c>
      <c r="AD90" s="279"/>
      <c r="AE90" s="279"/>
      <c r="AF90" s="279"/>
      <c r="AG90" s="279"/>
      <c r="AH90" s="279"/>
      <c r="AI90" s="279"/>
      <c r="AJ90" s="279"/>
      <c r="AK90" s="279"/>
      <c r="AL90" s="279">
        <v>1000</v>
      </c>
      <c r="AM90" s="279"/>
      <c r="AN90" s="224" t="e">
        <f>SUM(#REF!)</f>
        <v>#REF!</v>
      </c>
      <c r="AO90" s="224">
        <f t="shared" si="9"/>
        <v>2000</v>
      </c>
      <c r="AP90" s="224" t="e">
        <f t="shared" si="15"/>
        <v>#REF!</v>
      </c>
      <c r="AQ90" s="224"/>
      <c r="AR90" s="224"/>
      <c r="AS90" s="224"/>
      <c r="AT90" s="224" t="str">
        <f>IFERROR(VLOOKUP($A90,'Constancias POA'!$A$2:$DH$9993,17,FALSE),"")</f>
        <v/>
      </c>
      <c r="AU90" s="224" t="str">
        <f t="shared" si="10"/>
        <v/>
      </c>
      <c r="AV90" s="224" t="str">
        <f>IFERROR(VLOOKUP($A90,CP!$A$1:$U$7992,18,FALSE),"")</f>
        <v/>
      </c>
      <c r="AW90" s="224" t="str">
        <f>IFERROR(VLOOKUP($A90,CP!$A$1:$U$7992,19,FALSE),"")</f>
        <v/>
      </c>
      <c r="AX90" s="224" t="str">
        <f>IFERROR(VLOOKUP($A90,CP!$A$1:$U$7992,20,FALSE),"")</f>
        <v/>
      </c>
      <c r="AY90" s="224" t="str">
        <f>IFERROR(VLOOKUP($A90,CP!$A$1:$U$1,21,FALSE),"")</f>
        <v/>
      </c>
      <c r="AZ90" s="224" t="str">
        <f>IFERROR(VLOOKUP(A90,Devengado!$A$1:AJ1,35,FALSE),"")</f>
        <v/>
      </c>
      <c r="BA90" s="224" t="str">
        <f t="shared" si="11"/>
        <v/>
      </c>
      <c r="BB90" s="224" t="str">
        <f>IFERROR(AZ90/#REF!,"")</f>
        <v/>
      </c>
      <c r="BC90" s="224" t="str">
        <f>IFERROR(VLOOKUP($A90,Devengado!$A$1:$AI$1,22,FALSE),"")</f>
        <v/>
      </c>
      <c r="BD90" s="224" t="str">
        <f>IFERROR(VLOOKUP($A90,Devengado!$A$1:$AI$1,23,FALSE),"")</f>
        <v/>
      </c>
      <c r="BE90" s="224" t="str">
        <f>IFERROR(VLOOKUP($A90,Devengado!$A$1:$AI$1,24,FALSE),"")</f>
        <v/>
      </c>
      <c r="BF90" s="224" t="str">
        <f>IFERROR(VLOOKUP($A90,Devengado!$A$1:$AI$1,25,FALSE),"")</f>
        <v/>
      </c>
      <c r="BG90" s="224" t="str">
        <f>IFERROR(VLOOKUP($A90,Devengado!$A$1:$AI$1,26,FALSE),"")</f>
        <v/>
      </c>
      <c r="BH90" s="224" t="str">
        <f>IFERROR(VLOOKUP($A90,Devengado!$A$1:$AI$1,27,FALSE),"")</f>
        <v/>
      </c>
      <c r="BI90" s="224" t="str">
        <f>IFERROR(VLOOKUP($A90,Devengado!$A$1:$AI$1,28,FALSE),"")</f>
        <v/>
      </c>
      <c r="BJ90" s="224" t="str">
        <f>IFERROR(VLOOKUP($A90,Devengado!$A$1:$AI$1,29,FALSE),"")</f>
        <v/>
      </c>
      <c r="BK90" s="224" t="str">
        <f>IFERROR(VLOOKUP($A90,Devengado!$A$1:$AI$1,30,FALSE),"")</f>
        <v/>
      </c>
      <c r="BL90" s="224" t="str">
        <f>IFERROR(VLOOKUP($A90,Devengado!$A$1:$AI$1,31,FALSE),"")</f>
        <v/>
      </c>
      <c r="BM90" s="224" t="str">
        <f>IFERROR(VLOOKUP($A90,Devengado!$A$1:$AI$1,32,FALSE),"")</f>
        <v/>
      </c>
      <c r="BN90" s="224" t="str">
        <f>IFERROR(VLOOKUP($A90,Devengado!$A$1:$AI$1,33,FALSE),"")</f>
        <v/>
      </c>
      <c r="BO90" s="224">
        <f t="shared" si="12"/>
        <v>0</v>
      </c>
      <c r="BP90" s="224" t="str">
        <f t="shared" si="13"/>
        <v/>
      </c>
      <c r="BQ90" s="207"/>
      <c r="BR90" s="207" t="str">
        <f t="shared" si="14"/>
        <v>53</v>
      </c>
    </row>
    <row r="91" spans="1:70" s="225" customFormat="1" ht="57.75" customHeight="1">
      <c r="A91" s="207">
        <v>87</v>
      </c>
      <c r="B91" s="112" t="s">
        <v>73</v>
      </c>
      <c r="C91" s="112" t="s">
        <v>77</v>
      </c>
      <c r="D91" s="112" t="s">
        <v>183</v>
      </c>
      <c r="E91" s="112" t="s">
        <v>76</v>
      </c>
      <c r="F91" s="112" t="s">
        <v>77</v>
      </c>
      <c r="G91" s="112" t="s">
        <v>77</v>
      </c>
      <c r="H91" s="112" t="s">
        <v>77</v>
      </c>
      <c r="I91" s="112" t="s">
        <v>77</v>
      </c>
      <c r="J91" s="112" t="s">
        <v>77</v>
      </c>
      <c r="K91" s="112" t="s">
        <v>77</v>
      </c>
      <c r="L91" s="112" t="s">
        <v>85</v>
      </c>
      <c r="M91" s="112" t="s">
        <v>186</v>
      </c>
      <c r="N91" s="113">
        <v>9999</v>
      </c>
      <c r="O91" s="114" t="s">
        <v>80</v>
      </c>
      <c r="P91" s="114" t="s">
        <v>81</v>
      </c>
      <c r="Q91" s="114" t="s">
        <v>82</v>
      </c>
      <c r="R91" s="115" t="str">
        <f t="shared" si="8"/>
        <v>53</v>
      </c>
      <c r="S91" s="122">
        <v>530304</v>
      </c>
      <c r="T91" s="122" t="str">
        <f>VLOOKUP(S91,ITEM!$C$1:$D$156,2,FALSE)</f>
        <v>Viáticos y Subsistencias en el Exterior</v>
      </c>
      <c r="U91" s="112">
        <v>1701</v>
      </c>
      <c r="V91" s="114" t="s">
        <v>82</v>
      </c>
      <c r="W91" s="114" t="s">
        <v>84</v>
      </c>
      <c r="X91" s="114" t="s">
        <v>84</v>
      </c>
      <c r="Y91" s="224" t="e">
        <f>'Matriz POA 2024-TRABAJO'!#REF!</f>
        <v>#REF!</v>
      </c>
      <c r="Z91" s="224" t="e">
        <f>'Matriz POA 2024-TRABAJO'!#REF!</f>
        <v>#REF!</v>
      </c>
      <c r="AA91" s="224" t="e">
        <f>'Matriz POA 2024-TRABAJO'!#REF!</f>
        <v>#REF!</v>
      </c>
      <c r="AB91" s="279"/>
      <c r="AC91" s="279"/>
      <c r="AD91" s="279"/>
      <c r="AE91" s="279">
        <v>1000</v>
      </c>
      <c r="AF91" s="279"/>
      <c r="AG91" s="279"/>
      <c r="AH91" s="279"/>
      <c r="AI91" s="279"/>
      <c r="AJ91" s="279">
        <v>1000</v>
      </c>
      <c r="AK91" s="279"/>
      <c r="AL91" s="279"/>
      <c r="AM91" s="279"/>
      <c r="AN91" s="224" t="e">
        <f>SUM(#REF!)</f>
        <v>#REF!</v>
      </c>
      <c r="AO91" s="224">
        <f t="shared" si="9"/>
        <v>2000</v>
      </c>
      <c r="AP91" s="224" t="e">
        <f t="shared" si="15"/>
        <v>#REF!</v>
      </c>
      <c r="AQ91" s="224"/>
      <c r="AR91" s="224"/>
      <c r="AS91" s="224"/>
      <c r="AT91" s="224" t="str">
        <f>IFERROR(VLOOKUP($A91,'Constancias POA'!$A$2:$DH$9993,17,FALSE),"")</f>
        <v/>
      </c>
      <c r="AU91" s="224" t="str">
        <f t="shared" si="10"/>
        <v/>
      </c>
      <c r="AV91" s="224" t="str">
        <f>IFERROR(VLOOKUP($A91,CP!$A$1:$U$7992,18,FALSE),"")</f>
        <v/>
      </c>
      <c r="AW91" s="224" t="str">
        <f>IFERROR(VLOOKUP($A91,CP!$A$1:$U$7992,19,FALSE),"")</f>
        <v/>
      </c>
      <c r="AX91" s="224" t="str">
        <f>IFERROR(VLOOKUP($A91,CP!$A$1:$U$7992,20,FALSE),"")</f>
        <v/>
      </c>
      <c r="AY91" s="224" t="str">
        <f>IFERROR(VLOOKUP($A91,CP!$A$1:$U$1,21,FALSE),"")</f>
        <v/>
      </c>
      <c r="AZ91" s="224" t="str">
        <f>IFERROR(VLOOKUP(A91,Devengado!$A$1:AJ1,35,FALSE),"")</f>
        <v/>
      </c>
      <c r="BA91" s="224" t="str">
        <f t="shared" si="11"/>
        <v/>
      </c>
      <c r="BB91" s="224" t="str">
        <f>IFERROR(AZ91/#REF!,"")</f>
        <v/>
      </c>
      <c r="BC91" s="224" t="str">
        <f>IFERROR(VLOOKUP($A91,Devengado!$A$1:$AI$1,22,FALSE),"")</f>
        <v/>
      </c>
      <c r="BD91" s="224" t="str">
        <f>IFERROR(VLOOKUP($A91,Devengado!$A$1:$AI$1,23,FALSE),"")</f>
        <v/>
      </c>
      <c r="BE91" s="224" t="str">
        <f>IFERROR(VLOOKUP($A91,Devengado!$A$1:$AI$1,24,FALSE),"")</f>
        <v/>
      </c>
      <c r="BF91" s="224" t="str">
        <f>IFERROR(VLOOKUP($A91,Devengado!$A$1:$AI$1,25,FALSE),"")</f>
        <v/>
      </c>
      <c r="BG91" s="224" t="str">
        <f>IFERROR(VLOOKUP($A91,Devengado!$A$1:$AI$1,26,FALSE),"")</f>
        <v/>
      </c>
      <c r="BH91" s="224" t="str">
        <f>IFERROR(VLOOKUP($A91,Devengado!$A$1:$AI$1,27,FALSE),"")</f>
        <v/>
      </c>
      <c r="BI91" s="224" t="str">
        <f>IFERROR(VLOOKUP($A91,Devengado!$A$1:$AI$1,28,FALSE),"")</f>
        <v/>
      </c>
      <c r="BJ91" s="224" t="str">
        <f>IFERROR(VLOOKUP($A91,Devengado!$A$1:$AI$1,29,FALSE),"")</f>
        <v/>
      </c>
      <c r="BK91" s="224" t="str">
        <f>IFERROR(VLOOKUP($A91,Devengado!$A$1:$AI$1,30,FALSE),"")</f>
        <v/>
      </c>
      <c r="BL91" s="224" t="str">
        <f>IFERROR(VLOOKUP($A91,Devengado!$A$1:$AI$1,31,FALSE),"")</f>
        <v/>
      </c>
      <c r="BM91" s="224" t="str">
        <f>IFERROR(VLOOKUP($A91,Devengado!$A$1:$AI$1,32,FALSE),"")</f>
        <v/>
      </c>
      <c r="BN91" s="224" t="str">
        <f>IFERROR(VLOOKUP($A91,Devengado!$A$1:$AI$1,33,FALSE),"")</f>
        <v/>
      </c>
      <c r="BO91" s="224">
        <f t="shared" si="12"/>
        <v>0</v>
      </c>
      <c r="BP91" s="224" t="str">
        <f t="shared" si="13"/>
        <v/>
      </c>
      <c r="BQ91" s="207"/>
      <c r="BR91" s="207" t="str">
        <f t="shared" si="14"/>
        <v>53</v>
      </c>
    </row>
    <row r="92" spans="1:70" s="225" customFormat="1" ht="25.5" customHeight="1">
      <c r="A92" s="207">
        <v>88</v>
      </c>
      <c r="B92" s="112" t="s">
        <v>73</v>
      </c>
      <c r="C92" s="112" t="s">
        <v>187</v>
      </c>
      <c r="D92" s="112" t="s">
        <v>188</v>
      </c>
      <c r="E92" s="112" t="s">
        <v>76</v>
      </c>
      <c r="F92" s="112" t="s">
        <v>77</v>
      </c>
      <c r="G92" s="112" t="s">
        <v>77</v>
      </c>
      <c r="H92" s="112" t="s">
        <v>77</v>
      </c>
      <c r="I92" s="112" t="s">
        <v>77</v>
      </c>
      <c r="J92" s="112" t="s">
        <v>77</v>
      </c>
      <c r="K92" s="112" t="s">
        <v>77</v>
      </c>
      <c r="L92" s="112" t="s">
        <v>85</v>
      </c>
      <c r="M92" s="112" t="s">
        <v>189</v>
      </c>
      <c r="N92" s="112">
        <v>9999</v>
      </c>
      <c r="O92" s="114" t="s">
        <v>80</v>
      </c>
      <c r="P92" s="114" t="s">
        <v>81</v>
      </c>
      <c r="Q92" s="114" t="s">
        <v>82</v>
      </c>
      <c r="R92" s="115" t="str">
        <f t="shared" si="8"/>
        <v>51</v>
      </c>
      <c r="S92" s="122">
        <v>510105</v>
      </c>
      <c r="T92" s="122" t="str">
        <f>VLOOKUP(S92,ITEM!$C$1:$D$156,2,FALSE)</f>
        <v>Remuneraciones Unificadas</v>
      </c>
      <c r="U92" s="112" t="s">
        <v>190</v>
      </c>
      <c r="V92" s="112" t="s">
        <v>82</v>
      </c>
      <c r="W92" s="112" t="s">
        <v>84</v>
      </c>
      <c r="X92" s="112" t="s">
        <v>84</v>
      </c>
      <c r="Y92" s="224" t="e">
        <f>'Matriz POA 2024-TRABAJO'!#REF!</f>
        <v>#REF!</v>
      </c>
      <c r="Z92" s="224" t="e">
        <f>'Matriz POA 2024-TRABAJO'!#REF!</f>
        <v>#REF!</v>
      </c>
      <c r="AA92" s="224" t="e">
        <f>'Matriz POA 2024-TRABAJO'!#REF!</f>
        <v>#REF!</v>
      </c>
      <c r="AB92" s="279">
        <v>89652.38</v>
      </c>
      <c r="AC92" s="279">
        <v>88238.88</v>
      </c>
      <c r="AD92" s="279">
        <v>88851.77</v>
      </c>
      <c r="AE92" s="279">
        <v>88851.77</v>
      </c>
      <c r="AF92" s="279">
        <v>88851.77</v>
      </c>
      <c r="AG92" s="279">
        <v>88851.77</v>
      </c>
      <c r="AH92" s="279">
        <v>88851.77</v>
      </c>
      <c r="AI92" s="279">
        <v>88851.77</v>
      </c>
      <c r="AJ92" s="279">
        <v>88851.77</v>
      </c>
      <c r="AK92" s="279">
        <v>88851.77</v>
      </c>
      <c r="AL92" s="279">
        <v>88851.77</v>
      </c>
      <c r="AM92" s="279">
        <v>88851.75</v>
      </c>
      <c r="AN92" s="224" t="e">
        <f>SUM(#REF!)</f>
        <v>#REF!</v>
      </c>
      <c r="AO92" s="224">
        <f t="shared" si="9"/>
        <v>1066408.9400000002</v>
      </c>
      <c r="AP92" s="224" t="e">
        <f t="shared" si="15"/>
        <v>#REF!</v>
      </c>
      <c r="AQ92" s="224"/>
      <c r="AR92" s="224"/>
      <c r="AS92" s="224"/>
      <c r="AT92" s="224" t="str">
        <f>IFERROR(VLOOKUP($A92,'Constancias POA'!$A$2:$DH$9993,17,FALSE),"")</f>
        <v/>
      </c>
      <c r="AU92" s="224" t="str">
        <f t="shared" si="10"/>
        <v/>
      </c>
      <c r="AV92" s="224" t="str">
        <f>IFERROR(VLOOKUP($A92,CP!$A$1:$U$7992,18,FALSE),"")</f>
        <v/>
      </c>
      <c r="AW92" s="224" t="str">
        <f>IFERROR(VLOOKUP($A92,CP!$A$1:$U$7992,19,FALSE),"")</f>
        <v/>
      </c>
      <c r="AX92" s="224" t="str">
        <f>IFERROR(VLOOKUP($A92,CP!$A$1:$U$7992,20,FALSE),"")</f>
        <v/>
      </c>
      <c r="AY92" s="224" t="str">
        <f>IFERROR(VLOOKUP($A92,CP!$A$1:$U$1,21,FALSE),"")</f>
        <v/>
      </c>
      <c r="AZ92" s="224" t="str">
        <f>IFERROR(VLOOKUP(A92,Devengado!$A$1:AJ1,35,FALSE),"")</f>
        <v/>
      </c>
      <c r="BA92" s="224" t="str">
        <f t="shared" si="11"/>
        <v/>
      </c>
      <c r="BB92" s="224" t="str">
        <f>IFERROR(AZ92/#REF!,"")</f>
        <v/>
      </c>
      <c r="BC92" s="224" t="str">
        <f>IFERROR(VLOOKUP($A92,Devengado!$A$1:$AI$1,22,FALSE),"")</f>
        <v/>
      </c>
      <c r="BD92" s="224" t="str">
        <f>IFERROR(VLOOKUP($A92,Devengado!$A$1:$AI$1,23,FALSE),"")</f>
        <v/>
      </c>
      <c r="BE92" s="224" t="str">
        <f>IFERROR(VLOOKUP($A92,Devengado!$A$1:$AI$1,24,FALSE),"")</f>
        <v/>
      </c>
      <c r="BF92" s="224" t="str">
        <f>IFERROR(VLOOKUP($A92,Devengado!$A$1:$AI$1,25,FALSE),"")</f>
        <v/>
      </c>
      <c r="BG92" s="224" t="str">
        <f>IFERROR(VLOOKUP($A92,Devengado!$A$1:$AI$1,26,FALSE),"")</f>
        <v/>
      </c>
      <c r="BH92" s="224" t="str">
        <f>IFERROR(VLOOKUP($A92,Devengado!$A$1:$AI$1,27,FALSE),"")</f>
        <v/>
      </c>
      <c r="BI92" s="224" t="str">
        <f>IFERROR(VLOOKUP($A92,Devengado!$A$1:$AI$1,28,FALSE),"")</f>
        <v/>
      </c>
      <c r="BJ92" s="224" t="str">
        <f>IFERROR(VLOOKUP($A92,Devengado!$A$1:$AI$1,29,FALSE),"")</f>
        <v/>
      </c>
      <c r="BK92" s="224" t="str">
        <f>IFERROR(VLOOKUP($A92,Devengado!$A$1:$AI$1,30,FALSE),"")</f>
        <v/>
      </c>
      <c r="BL92" s="224" t="str">
        <f>IFERROR(VLOOKUP($A92,Devengado!$A$1:$AI$1,31,FALSE),"")</f>
        <v/>
      </c>
      <c r="BM92" s="224" t="str">
        <f>IFERROR(VLOOKUP($A92,Devengado!$A$1:$AI$1,32,FALSE),"")</f>
        <v/>
      </c>
      <c r="BN92" s="224" t="str">
        <f>IFERROR(VLOOKUP($A92,Devengado!$A$1:$AI$1,33,FALSE),"")</f>
        <v/>
      </c>
      <c r="BO92" s="224">
        <f t="shared" si="12"/>
        <v>0</v>
      </c>
      <c r="BP92" s="224" t="str">
        <f t="shared" si="13"/>
        <v/>
      </c>
      <c r="BQ92" s="207"/>
      <c r="BR92" s="207" t="str">
        <f t="shared" si="14"/>
        <v>51</v>
      </c>
    </row>
    <row r="93" spans="1:70" s="225" customFormat="1" ht="25.5" customHeight="1">
      <c r="A93" s="207">
        <v>89</v>
      </c>
      <c r="B93" s="112" t="s">
        <v>73</v>
      </c>
      <c r="C93" s="112" t="s">
        <v>187</v>
      </c>
      <c r="D93" s="112" t="s">
        <v>188</v>
      </c>
      <c r="E93" s="112" t="s">
        <v>76</v>
      </c>
      <c r="F93" s="112" t="s">
        <v>77</v>
      </c>
      <c r="G93" s="112" t="s">
        <v>77</v>
      </c>
      <c r="H93" s="112" t="s">
        <v>77</v>
      </c>
      <c r="I93" s="112" t="s">
        <v>77</v>
      </c>
      <c r="J93" s="112" t="s">
        <v>77</v>
      </c>
      <c r="K93" s="112" t="s">
        <v>77</v>
      </c>
      <c r="L93" s="112" t="s">
        <v>85</v>
      </c>
      <c r="M93" s="112" t="s">
        <v>189</v>
      </c>
      <c r="N93" s="112">
        <v>9999</v>
      </c>
      <c r="O93" s="114" t="s">
        <v>80</v>
      </c>
      <c r="P93" s="114" t="s">
        <v>81</v>
      </c>
      <c r="Q93" s="114" t="s">
        <v>82</v>
      </c>
      <c r="R93" s="115" t="str">
        <f t="shared" si="8"/>
        <v>51</v>
      </c>
      <c r="S93" s="122">
        <v>510106</v>
      </c>
      <c r="T93" s="122" t="str">
        <f>VLOOKUP(S93,ITEM!$C$1:$D$156,2,FALSE)</f>
        <v>Salarios Unificados</v>
      </c>
      <c r="U93" s="112" t="s">
        <v>190</v>
      </c>
      <c r="V93" s="112" t="s">
        <v>82</v>
      </c>
      <c r="W93" s="112" t="s">
        <v>84</v>
      </c>
      <c r="X93" s="112" t="s">
        <v>84</v>
      </c>
      <c r="Y93" s="224" t="e">
        <f>'Matriz POA 2024-TRABAJO'!#REF!</f>
        <v>#REF!</v>
      </c>
      <c r="Z93" s="224" t="e">
        <f>'Matriz POA 2024-TRABAJO'!#REF!</f>
        <v>#REF!</v>
      </c>
      <c r="AA93" s="224" t="e">
        <f>'Matriz POA 2024-TRABAJO'!#REF!</f>
        <v>#REF!</v>
      </c>
      <c r="AB93" s="279">
        <v>20692</v>
      </c>
      <c r="AC93" s="279">
        <v>20692</v>
      </c>
      <c r="AD93" s="279">
        <v>20692</v>
      </c>
      <c r="AE93" s="279">
        <v>20692</v>
      </c>
      <c r="AF93" s="279">
        <v>20692</v>
      </c>
      <c r="AG93" s="279">
        <v>20692</v>
      </c>
      <c r="AH93" s="279">
        <v>20692</v>
      </c>
      <c r="AI93" s="279">
        <v>20692</v>
      </c>
      <c r="AJ93" s="279">
        <v>20692</v>
      </c>
      <c r="AK93" s="279">
        <v>20692</v>
      </c>
      <c r="AL93" s="279">
        <v>20692</v>
      </c>
      <c r="AM93" s="279">
        <v>15549.5</v>
      </c>
      <c r="AN93" s="224" t="e">
        <f>SUM(#REF!)</f>
        <v>#REF!</v>
      </c>
      <c r="AO93" s="224">
        <f t="shared" si="9"/>
        <v>243161.5</v>
      </c>
      <c r="AP93" s="224" t="e">
        <f t="shared" si="15"/>
        <v>#REF!</v>
      </c>
      <c r="AQ93" s="224"/>
      <c r="AR93" s="224"/>
      <c r="AS93" s="224"/>
      <c r="AT93" s="224" t="str">
        <f>IFERROR(VLOOKUP($A93,'Constancias POA'!$A$2:$DH$9993,17,FALSE),"")</f>
        <v/>
      </c>
      <c r="AU93" s="224" t="str">
        <f t="shared" si="10"/>
        <v/>
      </c>
      <c r="AV93" s="224" t="str">
        <f>IFERROR(VLOOKUP($A93,CP!$A$1:$U$7992,18,FALSE),"")</f>
        <v/>
      </c>
      <c r="AW93" s="224" t="str">
        <f>IFERROR(VLOOKUP($A93,CP!$A$1:$U$7992,19,FALSE),"")</f>
        <v/>
      </c>
      <c r="AX93" s="224" t="str">
        <f>IFERROR(VLOOKUP($A93,CP!$A$1:$U$7992,20,FALSE),"")</f>
        <v/>
      </c>
      <c r="AY93" s="224" t="str">
        <f>IFERROR(VLOOKUP($A93,CP!$A$1:$U$1,21,FALSE),"")</f>
        <v/>
      </c>
      <c r="AZ93" s="224" t="str">
        <f>IFERROR(VLOOKUP(A93,Devengado!$A$1:AJ1,35,FALSE),"")</f>
        <v/>
      </c>
      <c r="BA93" s="224" t="str">
        <f t="shared" si="11"/>
        <v/>
      </c>
      <c r="BB93" s="224" t="str">
        <f>IFERROR(AZ93/#REF!,"")</f>
        <v/>
      </c>
      <c r="BC93" s="224" t="str">
        <f>IFERROR(VLOOKUP($A93,Devengado!$A$1:$AI$1,22,FALSE),"")</f>
        <v/>
      </c>
      <c r="BD93" s="224" t="str">
        <f>IFERROR(VLOOKUP($A93,Devengado!$A$1:$AI$1,23,FALSE),"")</f>
        <v/>
      </c>
      <c r="BE93" s="224" t="str">
        <f>IFERROR(VLOOKUP($A93,Devengado!$A$1:$AI$1,24,FALSE),"")</f>
        <v/>
      </c>
      <c r="BF93" s="224" t="str">
        <f>IFERROR(VLOOKUP($A93,Devengado!$A$1:$AI$1,25,FALSE),"")</f>
        <v/>
      </c>
      <c r="BG93" s="224" t="str">
        <f>IFERROR(VLOOKUP($A93,Devengado!$A$1:$AI$1,26,FALSE),"")</f>
        <v/>
      </c>
      <c r="BH93" s="224" t="str">
        <f>IFERROR(VLOOKUP($A93,Devengado!$A$1:$AI$1,27,FALSE),"")</f>
        <v/>
      </c>
      <c r="BI93" s="224" t="str">
        <f>IFERROR(VLOOKUP($A93,Devengado!$A$1:$AI$1,28,FALSE),"")</f>
        <v/>
      </c>
      <c r="BJ93" s="224" t="str">
        <f>IFERROR(VLOOKUP($A93,Devengado!$A$1:$AI$1,29,FALSE),"")</f>
        <v/>
      </c>
      <c r="BK93" s="224" t="str">
        <f>IFERROR(VLOOKUP($A93,Devengado!$A$1:$AI$1,30,FALSE),"")</f>
        <v/>
      </c>
      <c r="BL93" s="224" t="str">
        <f>IFERROR(VLOOKUP($A93,Devengado!$A$1:$AI$1,31,FALSE),"")</f>
        <v/>
      </c>
      <c r="BM93" s="224" t="str">
        <f>IFERROR(VLOOKUP($A93,Devengado!$A$1:$AI$1,32,FALSE),"")</f>
        <v/>
      </c>
      <c r="BN93" s="224" t="str">
        <f>IFERROR(VLOOKUP($A93,Devengado!$A$1:$AI$1,33,FALSE),"")</f>
        <v/>
      </c>
      <c r="BO93" s="224">
        <f t="shared" si="12"/>
        <v>0</v>
      </c>
      <c r="BP93" s="224" t="str">
        <f t="shared" si="13"/>
        <v/>
      </c>
      <c r="BQ93" s="207"/>
      <c r="BR93" s="207" t="str">
        <f t="shared" si="14"/>
        <v>51</v>
      </c>
    </row>
    <row r="94" spans="1:70" s="225" customFormat="1" ht="25.5" customHeight="1">
      <c r="A94" s="207">
        <v>90</v>
      </c>
      <c r="B94" s="112" t="s">
        <v>73</v>
      </c>
      <c r="C94" s="112" t="s">
        <v>187</v>
      </c>
      <c r="D94" s="112" t="s">
        <v>188</v>
      </c>
      <c r="E94" s="112" t="s">
        <v>76</v>
      </c>
      <c r="F94" s="112" t="s">
        <v>77</v>
      </c>
      <c r="G94" s="112" t="s">
        <v>77</v>
      </c>
      <c r="H94" s="112" t="s">
        <v>77</v>
      </c>
      <c r="I94" s="112" t="s">
        <v>77</v>
      </c>
      <c r="J94" s="112" t="s">
        <v>77</v>
      </c>
      <c r="K94" s="112" t="s">
        <v>77</v>
      </c>
      <c r="L94" s="112" t="s">
        <v>85</v>
      </c>
      <c r="M94" s="112" t="s">
        <v>189</v>
      </c>
      <c r="N94" s="112">
        <v>9999</v>
      </c>
      <c r="O94" s="114" t="s">
        <v>80</v>
      </c>
      <c r="P94" s="114" t="s">
        <v>81</v>
      </c>
      <c r="Q94" s="114" t="s">
        <v>82</v>
      </c>
      <c r="R94" s="115" t="str">
        <f t="shared" si="8"/>
        <v>51</v>
      </c>
      <c r="S94" s="122">
        <v>510510</v>
      </c>
      <c r="T94" s="122" t="str">
        <f>VLOOKUP(S94,ITEM!$C$1:$D$156,2,FALSE)</f>
        <v>Servicios Personales por Contrato</v>
      </c>
      <c r="U94" s="112" t="s">
        <v>190</v>
      </c>
      <c r="V94" s="112" t="s">
        <v>82</v>
      </c>
      <c r="W94" s="112" t="s">
        <v>84</v>
      </c>
      <c r="X94" s="112" t="s">
        <v>84</v>
      </c>
      <c r="Y94" s="224" t="e">
        <f>'Matriz POA 2024-TRABAJO'!#REF!</f>
        <v>#REF!</v>
      </c>
      <c r="Z94" s="224" t="e">
        <f>'Matriz POA 2024-TRABAJO'!#REF!</f>
        <v>#REF!</v>
      </c>
      <c r="AA94" s="224" t="e">
        <f>'Matriz POA 2024-TRABAJO'!#REF!</f>
        <v>#REF!</v>
      </c>
      <c r="AB94" s="287">
        <v>33856</v>
      </c>
      <c r="AC94" s="288">
        <v>32684.400000000001</v>
      </c>
      <c r="AD94" s="289">
        <v>31705.21</v>
      </c>
      <c r="AE94" s="289">
        <v>31705.21</v>
      </c>
      <c r="AF94" s="289">
        <v>31705.21</v>
      </c>
      <c r="AG94" s="289">
        <v>31705.21</v>
      </c>
      <c r="AH94" s="289">
        <v>31705.200000000001</v>
      </c>
      <c r="AI94" s="289">
        <v>31705.200000000001</v>
      </c>
      <c r="AJ94" s="289">
        <v>31705.200000000001</v>
      </c>
      <c r="AK94" s="289">
        <v>31705.200000000001</v>
      </c>
      <c r="AL94" s="289">
        <v>31705.200000000001</v>
      </c>
      <c r="AM94" s="289">
        <v>31705.200000000001</v>
      </c>
      <c r="AN94" s="290">
        <v>30705.06</v>
      </c>
      <c r="AO94" s="224">
        <f t="shared" si="9"/>
        <v>383592.44</v>
      </c>
      <c r="AP94" s="224" t="e">
        <f t="shared" si="15"/>
        <v>#REF!</v>
      </c>
      <c r="AQ94" s="224"/>
      <c r="AR94" s="224"/>
      <c r="AS94" s="224"/>
      <c r="AT94" s="224" t="str">
        <f>IFERROR(VLOOKUP($A94,'Constancias POA'!$A$2:$DH$9993,17,FALSE),"")</f>
        <v/>
      </c>
      <c r="AU94" s="224" t="str">
        <f t="shared" si="10"/>
        <v/>
      </c>
      <c r="AV94" s="224" t="str">
        <f>IFERROR(VLOOKUP($A94,CP!$A$1:$U$7992,18,FALSE),"")</f>
        <v/>
      </c>
      <c r="AW94" s="224" t="str">
        <f>IFERROR(VLOOKUP($A94,CP!$A$1:$U$7992,19,FALSE),"")</f>
        <v/>
      </c>
      <c r="AX94" s="224" t="str">
        <f>IFERROR(VLOOKUP($A94,CP!$A$1:$U$7992,20,FALSE),"")</f>
        <v/>
      </c>
      <c r="AY94" s="224" t="str">
        <f>IFERROR(VLOOKUP($A94,CP!$A$1:$U$1,21,FALSE),"")</f>
        <v/>
      </c>
      <c r="AZ94" s="224" t="str">
        <f>IFERROR(VLOOKUP(A94,Devengado!$A$1:AJ1,35,FALSE),"")</f>
        <v/>
      </c>
      <c r="BA94" s="224" t="str">
        <f t="shared" si="11"/>
        <v/>
      </c>
      <c r="BB94" s="224" t="str">
        <f>IFERROR(AZ94/#REF!,"")</f>
        <v/>
      </c>
      <c r="BC94" s="224" t="str">
        <f>IFERROR(VLOOKUP($A94,Devengado!$A$1:$AI$1,22,FALSE),"")</f>
        <v/>
      </c>
      <c r="BD94" s="224" t="str">
        <f>IFERROR(VLOOKUP($A94,Devengado!$A$1:$AI$1,23,FALSE),"")</f>
        <v/>
      </c>
      <c r="BE94" s="224" t="str">
        <f>IFERROR(VLOOKUP($A94,Devengado!$A$1:$AI$1,24,FALSE),"")</f>
        <v/>
      </c>
      <c r="BF94" s="224" t="str">
        <f>IFERROR(VLOOKUP($A94,Devengado!$A$1:$AI$1,25,FALSE),"")</f>
        <v/>
      </c>
      <c r="BG94" s="224" t="str">
        <f>IFERROR(VLOOKUP($A94,Devengado!$A$1:$AI$1,26,FALSE),"")</f>
        <v/>
      </c>
      <c r="BH94" s="224" t="str">
        <f>IFERROR(VLOOKUP($A94,Devengado!$A$1:$AI$1,27,FALSE),"")</f>
        <v/>
      </c>
      <c r="BI94" s="224" t="str">
        <f>IFERROR(VLOOKUP($A94,Devengado!$A$1:$AI$1,28,FALSE),"")</f>
        <v/>
      </c>
      <c r="BJ94" s="224" t="str">
        <f>IFERROR(VLOOKUP($A94,Devengado!$A$1:$AI$1,29,FALSE),"")</f>
        <v/>
      </c>
      <c r="BK94" s="224" t="str">
        <f>IFERROR(VLOOKUP($A94,Devengado!$A$1:$AI$1,30,FALSE),"")</f>
        <v/>
      </c>
      <c r="BL94" s="224" t="str">
        <f>IFERROR(VLOOKUP($A94,Devengado!$A$1:$AI$1,31,FALSE),"")</f>
        <v/>
      </c>
      <c r="BM94" s="224" t="str">
        <f>IFERROR(VLOOKUP($A94,Devengado!$A$1:$AI$1,32,FALSE),"")</f>
        <v/>
      </c>
      <c r="BN94" s="224" t="str">
        <f>IFERROR(VLOOKUP($A94,Devengado!$A$1:$AI$1,33,FALSE),"")</f>
        <v/>
      </c>
      <c r="BO94" s="224">
        <f t="shared" si="12"/>
        <v>0</v>
      </c>
      <c r="BP94" s="224" t="str">
        <f t="shared" si="13"/>
        <v/>
      </c>
      <c r="BQ94" s="207"/>
      <c r="BR94" s="207" t="str">
        <f t="shared" si="14"/>
        <v>51</v>
      </c>
    </row>
    <row r="95" spans="1:70" s="225" customFormat="1" ht="15.75" customHeight="1">
      <c r="A95" s="207">
        <v>91</v>
      </c>
      <c r="B95" s="112" t="s">
        <v>73</v>
      </c>
      <c r="C95" s="112" t="s">
        <v>187</v>
      </c>
      <c r="D95" s="112" t="s">
        <v>188</v>
      </c>
      <c r="E95" s="112" t="s">
        <v>76</v>
      </c>
      <c r="F95" s="112" t="s">
        <v>77</v>
      </c>
      <c r="G95" s="112" t="s">
        <v>77</v>
      </c>
      <c r="H95" s="112" t="s">
        <v>77</v>
      </c>
      <c r="I95" s="112" t="s">
        <v>77</v>
      </c>
      <c r="J95" s="112" t="s">
        <v>77</v>
      </c>
      <c r="K95" s="112" t="s">
        <v>77</v>
      </c>
      <c r="L95" s="112" t="s">
        <v>85</v>
      </c>
      <c r="M95" s="112" t="s">
        <v>189</v>
      </c>
      <c r="N95" s="112">
        <v>9999</v>
      </c>
      <c r="O95" s="114" t="s">
        <v>80</v>
      </c>
      <c r="P95" s="114" t="s">
        <v>81</v>
      </c>
      <c r="Q95" s="114" t="s">
        <v>82</v>
      </c>
      <c r="R95" s="115" t="str">
        <f t="shared" si="8"/>
        <v>51</v>
      </c>
      <c r="S95" s="122">
        <v>510203</v>
      </c>
      <c r="T95" s="122" t="str">
        <f>VLOOKUP(S95,ITEM!$C$1:$D$156,2,FALSE)</f>
        <v>Decimo Tercer Sueldo</v>
      </c>
      <c r="U95" s="112" t="s">
        <v>190</v>
      </c>
      <c r="V95" s="112" t="s">
        <v>82</v>
      </c>
      <c r="W95" s="112" t="s">
        <v>84</v>
      </c>
      <c r="X95" s="112" t="s">
        <v>84</v>
      </c>
      <c r="Y95" s="224" t="e">
        <f>'Matriz POA 2024-TRABAJO'!#REF!</f>
        <v>#REF!</v>
      </c>
      <c r="Z95" s="224" t="e">
        <f>'Matriz POA 2024-TRABAJO'!#REF!</f>
        <v>#REF!</v>
      </c>
      <c r="AA95" s="224" t="e">
        <f>'Matriz POA 2024-TRABAJO'!#REF!</f>
        <v>#REF!</v>
      </c>
      <c r="AB95" s="279">
        <v>0</v>
      </c>
      <c r="AC95" s="279">
        <v>9322.92</v>
      </c>
      <c r="AD95" s="279">
        <v>4661.46</v>
      </c>
      <c r="AE95" s="279">
        <v>4661.46</v>
      </c>
      <c r="AF95" s="279">
        <v>4661.46</v>
      </c>
      <c r="AG95" s="279">
        <v>4661.46</v>
      </c>
      <c r="AH95" s="279">
        <v>4661.46</v>
      </c>
      <c r="AI95" s="279">
        <v>4661.46</v>
      </c>
      <c r="AJ95" s="279">
        <v>4661.46</v>
      </c>
      <c r="AK95" s="279">
        <v>4661.46</v>
      </c>
      <c r="AL95" s="279">
        <v>4661.46</v>
      </c>
      <c r="AM95" s="279">
        <v>92390.05</v>
      </c>
      <c r="AN95" s="224" t="e">
        <f>SUM(#REF!)</f>
        <v>#REF!</v>
      </c>
      <c r="AO95" s="224">
        <f t="shared" si="9"/>
        <v>143666.10999999999</v>
      </c>
      <c r="AP95" s="224" t="e">
        <f>+AO95-AA95</f>
        <v>#REF!</v>
      </c>
      <c r="AQ95" s="224"/>
      <c r="AR95" s="224"/>
      <c r="AS95" s="224"/>
      <c r="AT95" s="224" t="str">
        <f>IFERROR(VLOOKUP($A95,'Constancias POA'!$A$2:$DH$9993,17,FALSE),"")</f>
        <v/>
      </c>
      <c r="AU95" s="224" t="str">
        <f t="shared" si="10"/>
        <v/>
      </c>
      <c r="AV95" s="224" t="str">
        <f>IFERROR(VLOOKUP($A95,CP!$A$1:$U$7992,18,FALSE),"")</f>
        <v/>
      </c>
      <c r="AW95" s="224" t="str">
        <f>IFERROR(VLOOKUP($A95,CP!$A$1:$U$7992,19,FALSE),"")</f>
        <v/>
      </c>
      <c r="AX95" s="224" t="str">
        <f>IFERROR(VLOOKUP($A95,CP!$A$1:$U$7992,20,FALSE),"")</f>
        <v/>
      </c>
      <c r="AY95" s="224" t="str">
        <f>IFERROR(VLOOKUP($A95,CP!$A$1:$U$1,21,FALSE),"")</f>
        <v/>
      </c>
      <c r="AZ95" s="224" t="str">
        <f>IFERROR(VLOOKUP(A95,Devengado!$A$1:AJ1,35,FALSE),"")</f>
        <v/>
      </c>
      <c r="BA95" s="224" t="str">
        <f t="shared" si="11"/>
        <v/>
      </c>
      <c r="BB95" s="224" t="str">
        <f>IFERROR(AZ95/#REF!,"")</f>
        <v/>
      </c>
      <c r="BC95" s="224" t="str">
        <f>IFERROR(VLOOKUP($A95,Devengado!$A$1:$AI$1,22,FALSE),"")</f>
        <v/>
      </c>
      <c r="BD95" s="224" t="str">
        <f>IFERROR(VLOOKUP($A95,Devengado!$A$1:$AI$1,23,FALSE),"")</f>
        <v/>
      </c>
      <c r="BE95" s="224" t="str">
        <f>IFERROR(VLOOKUP($A95,Devengado!$A$1:$AI$1,24,FALSE),"")</f>
        <v/>
      </c>
      <c r="BF95" s="224" t="str">
        <f>IFERROR(VLOOKUP($A95,Devengado!$A$1:$AI$1,25,FALSE),"")</f>
        <v/>
      </c>
      <c r="BG95" s="224" t="str">
        <f>IFERROR(VLOOKUP($A95,Devengado!$A$1:$AI$1,26,FALSE),"")</f>
        <v/>
      </c>
      <c r="BH95" s="224" t="str">
        <f>IFERROR(VLOOKUP($A95,Devengado!$A$1:$AI$1,27,FALSE),"")</f>
        <v/>
      </c>
      <c r="BI95" s="224" t="str">
        <f>IFERROR(VLOOKUP($A95,Devengado!$A$1:$AI$1,28,FALSE),"")</f>
        <v/>
      </c>
      <c r="BJ95" s="224" t="str">
        <f>IFERROR(VLOOKUP($A95,Devengado!$A$1:$AI$1,29,FALSE),"")</f>
        <v/>
      </c>
      <c r="BK95" s="224" t="str">
        <f>IFERROR(VLOOKUP($A95,Devengado!$A$1:$AI$1,30,FALSE),"")</f>
        <v/>
      </c>
      <c r="BL95" s="224" t="str">
        <f>IFERROR(VLOOKUP($A95,Devengado!$A$1:$AI$1,31,FALSE),"")</f>
        <v/>
      </c>
      <c r="BM95" s="224" t="str">
        <f>IFERROR(VLOOKUP($A95,Devengado!$A$1:$AI$1,32,FALSE),"")</f>
        <v/>
      </c>
      <c r="BN95" s="224" t="str">
        <f>IFERROR(VLOOKUP($A95,Devengado!$A$1:$AI$1,33,FALSE),"")</f>
        <v/>
      </c>
      <c r="BO95" s="224">
        <f t="shared" si="12"/>
        <v>0</v>
      </c>
      <c r="BP95" s="224" t="str">
        <f t="shared" si="13"/>
        <v/>
      </c>
      <c r="BQ95" s="207"/>
      <c r="BR95" s="207" t="str">
        <f t="shared" si="14"/>
        <v>51</v>
      </c>
    </row>
    <row r="96" spans="1:70" s="225" customFormat="1" ht="25.5" customHeight="1">
      <c r="A96" s="207">
        <v>92</v>
      </c>
      <c r="B96" s="112" t="s">
        <v>73</v>
      </c>
      <c r="C96" s="112" t="s">
        <v>187</v>
      </c>
      <c r="D96" s="112" t="s">
        <v>188</v>
      </c>
      <c r="E96" s="112" t="s">
        <v>76</v>
      </c>
      <c r="F96" s="112" t="s">
        <v>77</v>
      </c>
      <c r="G96" s="112" t="s">
        <v>77</v>
      </c>
      <c r="H96" s="112" t="s">
        <v>77</v>
      </c>
      <c r="I96" s="112" t="s">
        <v>77</v>
      </c>
      <c r="J96" s="112" t="s">
        <v>77</v>
      </c>
      <c r="K96" s="112" t="s">
        <v>77</v>
      </c>
      <c r="L96" s="112" t="s">
        <v>85</v>
      </c>
      <c r="M96" s="112" t="s">
        <v>189</v>
      </c>
      <c r="N96" s="112">
        <v>9999</v>
      </c>
      <c r="O96" s="114" t="s">
        <v>80</v>
      </c>
      <c r="P96" s="114" t="s">
        <v>81</v>
      </c>
      <c r="Q96" s="114" t="s">
        <v>82</v>
      </c>
      <c r="R96" s="115" t="str">
        <f t="shared" si="8"/>
        <v>51</v>
      </c>
      <c r="S96" s="122">
        <v>510204</v>
      </c>
      <c r="T96" s="122" t="str">
        <f>VLOOKUP(S96,ITEM!$C$1:$D$156,2,FALSE)</f>
        <v>Decimo Cuarto Sueldo</v>
      </c>
      <c r="U96" s="112" t="s">
        <v>190</v>
      </c>
      <c r="V96" s="112" t="s">
        <v>82</v>
      </c>
      <c r="W96" s="112" t="s">
        <v>84</v>
      </c>
      <c r="X96" s="112" t="s">
        <v>84</v>
      </c>
      <c r="Y96" s="224" t="e">
        <f>'Matriz POA 2024-TRABAJO'!#REF!</f>
        <v>#REF!</v>
      </c>
      <c r="Z96" s="224" t="e">
        <f>'Matriz POA 2024-TRABAJO'!#REF!</f>
        <v>#REF!</v>
      </c>
      <c r="AA96" s="224" t="e">
        <f>'Matriz POA 2024-TRABAJO'!#REF!</f>
        <v>#REF!</v>
      </c>
      <c r="AB96" s="282">
        <v>1519.15</v>
      </c>
      <c r="AC96" s="282">
        <v>1100</v>
      </c>
      <c r="AD96" s="282">
        <v>1100</v>
      </c>
      <c r="AE96" s="282">
        <v>1100</v>
      </c>
      <c r="AF96" s="282">
        <v>1100</v>
      </c>
      <c r="AG96" s="282">
        <v>1100</v>
      </c>
      <c r="AH96" s="282">
        <v>1100</v>
      </c>
      <c r="AI96" s="282">
        <v>44600</v>
      </c>
      <c r="AJ96" s="282">
        <v>1100</v>
      </c>
      <c r="AK96" s="282">
        <v>1100</v>
      </c>
      <c r="AL96" s="282">
        <v>1100</v>
      </c>
      <c r="AM96" s="282">
        <v>457.6</v>
      </c>
      <c r="AN96" s="291" t="e">
        <f>SUM(#REF!)</f>
        <v>#REF!</v>
      </c>
      <c r="AO96" s="224">
        <f t="shared" si="9"/>
        <v>56476.75</v>
      </c>
      <c r="AP96" s="224" t="e">
        <f t="shared" si="15"/>
        <v>#REF!</v>
      </c>
      <c r="AQ96" s="224"/>
      <c r="AR96" s="224"/>
      <c r="AS96" s="224"/>
      <c r="AT96" s="224" t="str">
        <f>IFERROR(VLOOKUP($A96,'Constancias POA'!$A$2:$DH$9993,17,FALSE),"")</f>
        <v/>
      </c>
      <c r="AU96" s="224" t="str">
        <f t="shared" si="10"/>
        <v/>
      </c>
      <c r="AV96" s="224" t="str">
        <f>IFERROR(VLOOKUP($A96,CP!$A$1:$U$7992,18,FALSE),"")</f>
        <v/>
      </c>
      <c r="AW96" s="224" t="str">
        <f>IFERROR(VLOOKUP($A96,CP!$A$1:$U$7992,19,FALSE),"")</f>
        <v/>
      </c>
      <c r="AX96" s="224" t="str">
        <f>IFERROR(VLOOKUP($A96,CP!$A$1:$U$7992,20,FALSE),"")</f>
        <v/>
      </c>
      <c r="AY96" s="224" t="str">
        <f>IFERROR(VLOOKUP($A96,CP!$A$1:$U$1,21,FALSE),"")</f>
        <v/>
      </c>
      <c r="AZ96" s="224" t="str">
        <f>IFERROR(VLOOKUP(A96,Devengado!$A$1:AJ1,35,FALSE),"")</f>
        <v/>
      </c>
      <c r="BA96" s="224" t="str">
        <f t="shared" si="11"/>
        <v/>
      </c>
      <c r="BB96" s="224" t="str">
        <f>IFERROR(AZ96/#REF!,"")</f>
        <v/>
      </c>
      <c r="BC96" s="224" t="str">
        <f>IFERROR(VLOOKUP($A96,Devengado!$A$1:$AI$1,22,FALSE),"")</f>
        <v/>
      </c>
      <c r="BD96" s="224" t="str">
        <f>IFERROR(VLOOKUP($A96,Devengado!$A$1:$AI$1,23,FALSE),"")</f>
        <v/>
      </c>
      <c r="BE96" s="224" t="str">
        <f>IFERROR(VLOOKUP($A96,Devengado!$A$1:$AI$1,24,FALSE),"")</f>
        <v/>
      </c>
      <c r="BF96" s="224" t="str">
        <f>IFERROR(VLOOKUP($A96,Devengado!$A$1:$AI$1,25,FALSE),"")</f>
        <v/>
      </c>
      <c r="BG96" s="224" t="str">
        <f>IFERROR(VLOOKUP($A96,Devengado!$A$1:$AI$1,26,FALSE),"")</f>
        <v/>
      </c>
      <c r="BH96" s="224" t="str">
        <f>IFERROR(VLOOKUP($A96,Devengado!$A$1:$AI$1,27,FALSE),"")</f>
        <v/>
      </c>
      <c r="BI96" s="224" t="str">
        <f>IFERROR(VLOOKUP($A96,Devengado!$A$1:$AI$1,28,FALSE),"")</f>
        <v/>
      </c>
      <c r="BJ96" s="224" t="str">
        <f>IFERROR(VLOOKUP($A96,Devengado!$A$1:$AI$1,29,FALSE),"")</f>
        <v/>
      </c>
      <c r="BK96" s="224" t="str">
        <f>IFERROR(VLOOKUP($A96,Devengado!$A$1:$AI$1,30,FALSE),"")</f>
        <v/>
      </c>
      <c r="BL96" s="224" t="str">
        <f>IFERROR(VLOOKUP($A96,Devengado!$A$1:$AI$1,31,FALSE),"")</f>
        <v/>
      </c>
      <c r="BM96" s="224" t="str">
        <f>IFERROR(VLOOKUP($A96,Devengado!$A$1:$AI$1,32,FALSE),"")</f>
        <v/>
      </c>
      <c r="BN96" s="224" t="str">
        <f>IFERROR(VLOOKUP($A96,Devengado!$A$1:$AI$1,33,FALSE),"")</f>
        <v/>
      </c>
      <c r="BO96" s="224">
        <f t="shared" si="12"/>
        <v>0</v>
      </c>
      <c r="BP96" s="224" t="str">
        <f t="shared" si="13"/>
        <v/>
      </c>
      <c r="BQ96" s="207"/>
      <c r="BR96" s="207" t="str">
        <f t="shared" si="14"/>
        <v>51</v>
      </c>
    </row>
    <row r="97" spans="1:70" s="225" customFormat="1" ht="25.5" customHeight="1">
      <c r="A97" s="207">
        <v>93</v>
      </c>
      <c r="B97" s="112" t="s">
        <v>73</v>
      </c>
      <c r="C97" s="112" t="s">
        <v>187</v>
      </c>
      <c r="D97" s="112" t="s">
        <v>188</v>
      </c>
      <c r="E97" s="112" t="s">
        <v>76</v>
      </c>
      <c r="F97" s="112" t="s">
        <v>77</v>
      </c>
      <c r="G97" s="112" t="s">
        <v>77</v>
      </c>
      <c r="H97" s="112" t="s">
        <v>77</v>
      </c>
      <c r="I97" s="112" t="s">
        <v>77</v>
      </c>
      <c r="J97" s="112" t="s">
        <v>77</v>
      </c>
      <c r="K97" s="112" t="s">
        <v>77</v>
      </c>
      <c r="L97" s="112" t="s">
        <v>85</v>
      </c>
      <c r="M97" s="112" t="s">
        <v>189</v>
      </c>
      <c r="N97" s="112">
        <v>9999</v>
      </c>
      <c r="O97" s="114" t="s">
        <v>80</v>
      </c>
      <c r="P97" s="114" t="s">
        <v>81</v>
      </c>
      <c r="Q97" s="114" t="s">
        <v>82</v>
      </c>
      <c r="R97" s="115" t="str">
        <f t="shared" si="8"/>
        <v>51</v>
      </c>
      <c r="S97" s="122">
        <v>510304</v>
      </c>
      <c r="T97" s="122" t="str">
        <f>VLOOKUP(S97,ITEM!$C$1:$D$156,2,FALSE)</f>
        <v>Compensación por Transporte</v>
      </c>
      <c r="U97" s="112" t="s">
        <v>190</v>
      </c>
      <c r="V97" s="112" t="s">
        <v>82</v>
      </c>
      <c r="W97" s="112" t="s">
        <v>84</v>
      </c>
      <c r="X97" s="112" t="s">
        <v>84</v>
      </c>
      <c r="Y97" s="224" t="e">
        <f>'Matriz POA 2024-TRABAJO'!#REF!</f>
        <v>#REF!</v>
      </c>
      <c r="Z97" s="224" t="e">
        <f>'Matriz POA 2024-TRABAJO'!#REF!</f>
        <v>#REF!</v>
      </c>
      <c r="AA97" s="224" t="e">
        <f>'Matriz POA 2024-TRABAJO'!#REF!</f>
        <v>#REF!</v>
      </c>
      <c r="AB97" s="279">
        <v>378</v>
      </c>
      <c r="AC97" s="279">
        <v>378</v>
      </c>
      <c r="AD97" s="279">
        <v>378</v>
      </c>
      <c r="AE97" s="279">
        <v>378</v>
      </c>
      <c r="AF97" s="279">
        <v>378</v>
      </c>
      <c r="AG97" s="279">
        <v>378</v>
      </c>
      <c r="AH97" s="279">
        <v>378</v>
      </c>
      <c r="AI97" s="279">
        <v>378</v>
      </c>
      <c r="AJ97" s="279">
        <v>378</v>
      </c>
      <c r="AK97" s="279">
        <v>273</v>
      </c>
      <c r="AL97" s="279">
        <v>0</v>
      </c>
      <c r="AM97" s="279">
        <v>0</v>
      </c>
      <c r="AN97" s="224" t="e">
        <f>SUM(#REF!)</f>
        <v>#REF!</v>
      </c>
      <c r="AO97" s="224">
        <f t="shared" si="9"/>
        <v>3675</v>
      </c>
      <c r="AP97" s="224" t="e">
        <f t="shared" si="15"/>
        <v>#REF!</v>
      </c>
      <c r="AQ97" s="224"/>
      <c r="AR97" s="224"/>
      <c r="AS97" s="224"/>
      <c r="AT97" s="224" t="str">
        <f>IFERROR(VLOOKUP($A97,'Constancias POA'!$A$2:$DH$9993,17,FALSE),"")</f>
        <v/>
      </c>
      <c r="AU97" s="224" t="str">
        <f t="shared" si="10"/>
        <v/>
      </c>
      <c r="AV97" s="224" t="str">
        <f>IFERROR(VLOOKUP($A97,CP!$A$1:$U$7992,18,FALSE),"")</f>
        <v/>
      </c>
      <c r="AW97" s="224" t="str">
        <f>IFERROR(VLOOKUP($A97,CP!$A$1:$U$7992,19,FALSE),"")</f>
        <v/>
      </c>
      <c r="AX97" s="224" t="str">
        <f>IFERROR(VLOOKUP($A97,CP!$A$1:$U$7992,20,FALSE),"")</f>
        <v/>
      </c>
      <c r="AY97" s="224" t="str">
        <f>IFERROR(VLOOKUP($A97,CP!$A$1:$U$1,21,FALSE),"")</f>
        <v/>
      </c>
      <c r="AZ97" s="224" t="str">
        <f>IFERROR(VLOOKUP(A97,Devengado!$A$1:AJ1,35,FALSE),"")</f>
        <v/>
      </c>
      <c r="BA97" s="224" t="str">
        <f t="shared" si="11"/>
        <v/>
      </c>
      <c r="BB97" s="224" t="str">
        <f>IFERROR(AZ97/#REF!,"")</f>
        <v/>
      </c>
      <c r="BC97" s="224" t="str">
        <f>IFERROR(VLOOKUP($A97,Devengado!$A$1:$AI$1,22,FALSE),"")</f>
        <v/>
      </c>
      <c r="BD97" s="224" t="str">
        <f>IFERROR(VLOOKUP($A97,Devengado!$A$1:$AI$1,23,FALSE),"")</f>
        <v/>
      </c>
      <c r="BE97" s="224" t="str">
        <f>IFERROR(VLOOKUP($A97,Devengado!$A$1:$AI$1,24,FALSE),"")</f>
        <v/>
      </c>
      <c r="BF97" s="224" t="str">
        <f>IFERROR(VLOOKUP($A97,Devengado!$A$1:$AI$1,25,FALSE),"")</f>
        <v/>
      </c>
      <c r="BG97" s="224" t="str">
        <f>IFERROR(VLOOKUP($A97,Devengado!$A$1:$AI$1,26,FALSE),"")</f>
        <v/>
      </c>
      <c r="BH97" s="224" t="str">
        <f>IFERROR(VLOOKUP($A97,Devengado!$A$1:$AI$1,27,FALSE),"")</f>
        <v/>
      </c>
      <c r="BI97" s="224" t="str">
        <f>IFERROR(VLOOKUP($A97,Devengado!$A$1:$AI$1,28,FALSE),"")</f>
        <v/>
      </c>
      <c r="BJ97" s="224" t="str">
        <f>IFERROR(VLOOKUP($A97,Devengado!$A$1:$AI$1,29,FALSE),"")</f>
        <v/>
      </c>
      <c r="BK97" s="224" t="str">
        <f>IFERROR(VLOOKUP($A97,Devengado!$A$1:$AI$1,30,FALSE),"")</f>
        <v/>
      </c>
      <c r="BL97" s="224" t="str">
        <f>IFERROR(VLOOKUP($A97,Devengado!$A$1:$AI$1,31,FALSE),"")</f>
        <v/>
      </c>
      <c r="BM97" s="224" t="str">
        <f>IFERROR(VLOOKUP($A97,Devengado!$A$1:$AI$1,32,FALSE),"")</f>
        <v/>
      </c>
      <c r="BN97" s="224" t="str">
        <f>IFERROR(VLOOKUP($A97,Devengado!$A$1:$AI$1,33,FALSE),"")</f>
        <v/>
      </c>
      <c r="BO97" s="224">
        <f t="shared" si="12"/>
        <v>0</v>
      </c>
      <c r="BP97" s="224" t="str">
        <f t="shared" si="13"/>
        <v/>
      </c>
      <c r="BQ97" s="207"/>
      <c r="BR97" s="207" t="str">
        <f t="shared" si="14"/>
        <v>51</v>
      </c>
    </row>
    <row r="98" spans="1:70" s="225" customFormat="1" ht="25.5" customHeight="1">
      <c r="A98" s="207">
        <v>94</v>
      </c>
      <c r="B98" s="112" t="s">
        <v>73</v>
      </c>
      <c r="C98" s="112" t="s">
        <v>187</v>
      </c>
      <c r="D98" s="112" t="s">
        <v>188</v>
      </c>
      <c r="E98" s="112" t="s">
        <v>76</v>
      </c>
      <c r="F98" s="112" t="s">
        <v>77</v>
      </c>
      <c r="G98" s="112" t="s">
        <v>77</v>
      </c>
      <c r="H98" s="112" t="s">
        <v>77</v>
      </c>
      <c r="I98" s="112" t="s">
        <v>77</v>
      </c>
      <c r="J98" s="112" t="s">
        <v>77</v>
      </c>
      <c r="K98" s="112" t="s">
        <v>77</v>
      </c>
      <c r="L98" s="112" t="s">
        <v>85</v>
      </c>
      <c r="M98" s="112" t="s">
        <v>189</v>
      </c>
      <c r="N98" s="112">
        <v>9999</v>
      </c>
      <c r="O98" s="114" t="s">
        <v>80</v>
      </c>
      <c r="P98" s="114" t="s">
        <v>81</v>
      </c>
      <c r="Q98" s="114" t="s">
        <v>82</v>
      </c>
      <c r="R98" s="115" t="str">
        <f t="shared" si="8"/>
        <v>51</v>
      </c>
      <c r="S98" s="122">
        <v>510306</v>
      </c>
      <c r="T98" s="122" t="str">
        <f>VLOOKUP(S98,ITEM!$C$1:$D$156,2,FALSE)</f>
        <v>Alimentación</v>
      </c>
      <c r="U98" s="112" t="s">
        <v>190</v>
      </c>
      <c r="V98" s="112" t="s">
        <v>82</v>
      </c>
      <c r="W98" s="112" t="s">
        <v>84</v>
      </c>
      <c r="X98" s="112" t="s">
        <v>84</v>
      </c>
      <c r="Y98" s="224" t="e">
        <f>'Matriz POA 2024-TRABAJO'!#REF!</f>
        <v>#REF!</v>
      </c>
      <c r="Z98" s="224" t="e">
        <f>'Matriz POA 2024-TRABAJO'!#REF!</f>
        <v>#REF!</v>
      </c>
      <c r="AA98" s="224" t="e">
        <f>'Matriz POA 2024-TRABAJO'!#REF!</f>
        <v>#REF!</v>
      </c>
      <c r="AB98" s="279">
        <v>2583</v>
      </c>
      <c r="AC98" s="279">
        <v>2583</v>
      </c>
      <c r="AD98" s="279">
        <v>2583</v>
      </c>
      <c r="AE98" s="279">
        <v>2583</v>
      </c>
      <c r="AF98" s="279">
        <v>2583</v>
      </c>
      <c r="AG98" s="279">
        <v>2583</v>
      </c>
      <c r="AH98" s="279">
        <v>2583</v>
      </c>
      <c r="AI98" s="279">
        <v>2583</v>
      </c>
      <c r="AJ98" s="279">
        <v>2583</v>
      </c>
      <c r="AK98" s="279">
        <v>2478</v>
      </c>
      <c r="AL98" s="279">
        <v>0</v>
      </c>
      <c r="AM98" s="279">
        <v>0</v>
      </c>
      <c r="AN98" s="224" t="e">
        <f>SUM(#REF!)</f>
        <v>#REF!</v>
      </c>
      <c r="AO98" s="224">
        <f t="shared" si="9"/>
        <v>25725</v>
      </c>
      <c r="AP98" s="224" t="e">
        <f t="shared" si="15"/>
        <v>#REF!</v>
      </c>
      <c r="AQ98" s="224"/>
      <c r="AR98" s="224"/>
      <c r="AS98" s="224"/>
      <c r="AT98" s="224" t="str">
        <f>IFERROR(VLOOKUP($A98,'Constancias POA'!$A$2:$DH$9993,17,FALSE),"")</f>
        <v/>
      </c>
      <c r="AU98" s="224" t="str">
        <f t="shared" si="10"/>
        <v/>
      </c>
      <c r="AV98" s="224" t="str">
        <f>IFERROR(VLOOKUP($A98,CP!$A$1:$U$7992,18,FALSE),"")</f>
        <v/>
      </c>
      <c r="AW98" s="224" t="str">
        <f>IFERROR(VLOOKUP($A98,CP!$A$1:$U$7992,19,FALSE),"")</f>
        <v/>
      </c>
      <c r="AX98" s="224" t="str">
        <f>IFERROR(VLOOKUP($A98,CP!$A$1:$U$7992,20,FALSE),"")</f>
        <v/>
      </c>
      <c r="AY98" s="224" t="str">
        <f>IFERROR(VLOOKUP($A98,CP!$A$1:$U$1,21,FALSE),"")</f>
        <v/>
      </c>
      <c r="AZ98" s="224" t="str">
        <f>IFERROR(VLOOKUP(A98,Devengado!$A$1:AJ1,35,FALSE),"")</f>
        <v/>
      </c>
      <c r="BA98" s="224" t="str">
        <f t="shared" si="11"/>
        <v/>
      </c>
      <c r="BB98" s="224" t="str">
        <f>IFERROR(AZ98/#REF!,"")</f>
        <v/>
      </c>
      <c r="BC98" s="224" t="str">
        <f>IFERROR(VLOOKUP($A98,Devengado!$A$1:$AI$1,22,FALSE),"")</f>
        <v/>
      </c>
      <c r="BD98" s="224" t="str">
        <f>IFERROR(VLOOKUP($A98,Devengado!$A$1:$AI$1,23,FALSE),"")</f>
        <v/>
      </c>
      <c r="BE98" s="224" t="str">
        <f>IFERROR(VLOOKUP($A98,Devengado!$A$1:$AI$1,24,FALSE),"")</f>
        <v/>
      </c>
      <c r="BF98" s="224" t="str">
        <f>IFERROR(VLOOKUP($A98,Devengado!$A$1:$AI$1,25,FALSE),"")</f>
        <v/>
      </c>
      <c r="BG98" s="224" t="str">
        <f>IFERROR(VLOOKUP($A98,Devengado!$A$1:$AI$1,26,FALSE),"")</f>
        <v/>
      </c>
      <c r="BH98" s="224" t="str">
        <f>IFERROR(VLOOKUP($A98,Devengado!$A$1:$AI$1,27,FALSE),"")</f>
        <v/>
      </c>
      <c r="BI98" s="224" t="str">
        <f>IFERROR(VLOOKUP($A98,Devengado!$A$1:$AI$1,28,FALSE),"")</f>
        <v/>
      </c>
      <c r="BJ98" s="224" t="str">
        <f>IFERROR(VLOOKUP($A98,Devengado!$A$1:$AI$1,29,FALSE),"")</f>
        <v/>
      </c>
      <c r="BK98" s="224" t="str">
        <f>IFERROR(VLOOKUP($A98,Devengado!$A$1:$AI$1,30,FALSE),"")</f>
        <v/>
      </c>
      <c r="BL98" s="224" t="str">
        <f>IFERROR(VLOOKUP($A98,Devengado!$A$1:$AI$1,31,FALSE),"")</f>
        <v/>
      </c>
      <c r="BM98" s="224" t="str">
        <f>IFERROR(VLOOKUP($A98,Devengado!$A$1:$AI$1,32,FALSE),"")</f>
        <v/>
      </c>
      <c r="BN98" s="224" t="str">
        <f>IFERROR(VLOOKUP($A98,Devengado!$A$1:$AI$1,33,FALSE),"")</f>
        <v/>
      </c>
      <c r="BO98" s="224">
        <f t="shared" si="12"/>
        <v>0</v>
      </c>
      <c r="BP98" s="224" t="str">
        <f t="shared" si="13"/>
        <v/>
      </c>
      <c r="BQ98" s="207"/>
      <c r="BR98" s="207" t="str">
        <f t="shared" si="14"/>
        <v>51</v>
      </c>
    </row>
    <row r="99" spans="1:70" s="225" customFormat="1" ht="25.5" customHeight="1">
      <c r="A99" s="207">
        <v>95</v>
      </c>
      <c r="B99" s="112" t="s">
        <v>73</v>
      </c>
      <c r="C99" s="112" t="s">
        <v>187</v>
      </c>
      <c r="D99" s="112" t="s">
        <v>188</v>
      </c>
      <c r="E99" s="112" t="s">
        <v>76</v>
      </c>
      <c r="F99" s="112" t="s">
        <v>77</v>
      </c>
      <c r="G99" s="112" t="s">
        <v>77</v>
      </c>
      <c r="H99" s="112" t="s">
        <v>77</v>
      </c>
      <c r="I99" s="112" t="s">
        <v>77</v>
      </c>
      <c r="J99" s="112" t="s">
        <v>77</v>
      </c>
      <c r="K99" s="112" t="s">
        <v>77</v>
      </c>
      <c r="L99" s="112" t="s">
        <v>85</v>
      </c>
      <c r="M99" s="112" t="s">
        <v>189</v>
      </c>
      <c r="N99" s="112">
        <v>9999</v>
      </c>
      <c r="O99" s="114" t="s">
        <v>80</v>
      </c>
      <c r="P99" s="114" t="s">
        <v>81</v>
      </c>
      <c r="Q99" s="114" t="s">
        <v>82</v>
      </c>
      <c r="R99" s="115" t="str">
        <f t="shared" si="8"/>
        <v>51</v>
      </c>
      <c r="S99" s="122">
        <v>510408</v>
      </c>
      <c r="T99" s="122" t="str">
        <f>VLOOKUP(S99,ITEM!$C$1:$D$156,2,FALSE)</f>
        <v>Subsidio de Antigüedad</v>
      </c>
      <c r="U99" s="112" t="s">
        <v>190</v>
      </c>
      <c r="V99" s="112" t="s">
        <v>82</v>
      </c>
      <c r="W99" s="112" t="s">
        <v>84</v>
      </c>
      <c r="X99" s="112" t="s">
        <v>84</v>
      </c>
      <c r="Y99" s="224" t="e">
        <f>'Matriz POA 2024-TRABAJO'!#REF!</f>
        <v>#REF!</v>
      </c>
      <c r="Z99" s="224" t="e">
        <f>'Matriz POA 2024-TRABAJO'!#REF!</f>
        <v>#REF!</v>
      </c>
      <c r="AA99" s="224" t="e">
        <f>'Matriz POA 2024-TRABAJO'!#REF!</f>
        <v>#REF!</v>
      </c>
      <c r="AB99" s="279">
        <v>104.17</v>
      </c>
      <c r="AC99" s="279">
        <v>104.17</v>
      </c>
      <c r="AD99" s="279">
        <v>104.17</v>
      </c>
      <c r="AE99" s="279">
        <v>104.17</v>
      </c>
      <c r="AF99" s="279">
        <v>104.17</v>
      </c>
      <c r="AG99" s="279">
        <v>104.17</v>
      </c>
      <c r="AH99" s="279">
        <v>104.17</v>
      </c>
      <c r="AI99" s="279">
        <v>104.17</v>
      </c>
      <c r="AJ99" s="279">
        <v>104.17</v>
      </c>
      <c r="AK99" s="279">
        <v>104.17</v>
      </c>
      <c r="AL99" s="279">
        <v>104.17</v>
      </c>
      <c r="AM99" s="279">
        <v>64.400000000000006</v>
      </c>
      <c r="AN99" s="224" t="e">
        <f>SUM(#REF!)</f>
        <v>#REF!</v>
      </c>
      <c r="AO99" s="224">
        <f t="shared" si="9"/>
        <v>1210.27</v>
      </c>
      <c r="AP99" s="224" t="e">
        <f t="shared" si="15"/>
        <v>#REF!</v>
      </c>
      <c r="AQ99" s="224"/>
      <c r="AR99" s="224"/>
      <c r="AS99" s="224"/>
      <c r="AT99" s="224" t="str">
        <f>IFERROR(VLOOKUP($A99,'Constancias POA'!$A$2:$DH$9993,17,FALSE),"")</f>
        <v/>
      </c>
      <c r="AU99" s="224" t="str">
        <f t="shared" si="10"/>
        <v/>
      </c>
      <c r="AV99" s="224" t="str">
        <f>IFERROR(VLOOKUP($A99,CP!$A$1:$U$7992,18,FALSE),"")</f>
        <v/>
      </c>
      <c r="AW99" s="224" t="str">
        <f>IFERROR(VLOOKUP($A99,CP!$A$1:$U$7992,19,FALSE),"")</f>
        <v/>
      </c>
      <c r="AX99" s="224" t="str">
        <f>IFERROR(VLOOKUP($A99,CP!$A$1:$U$7992,20,FALSE),"")</f>
        <v/>
      </c>
      <c r="AY99" s="224" t="str">
        <f>IFERROR(VLOOKUP($A99,CP!$A$1:$U$1,21,FALSE),"")</f>
        <v/>
      </c>
      <c r="AZ99" s="224" t="str">
        <f>IFERROR(VLOOKUP(A99,Devengado!$A$1:AJ1,35,FALSE),"")</f>
        <v/>
      </c>
      <c r="BA99" s="224" t="str">
        <f t="shared" si="11"/>
        <v/>
      </c>
      <c r="BB99" s="224" t="str">
        <f>IFERROR(AZ99/#REF!,"")</f>
        <v/>
      </c>
      <c r="BC99" s="224" t="str">
        <f>IFERROR(VLOOKUP($A99,Devengado!$A$1:$AI$1,22,FALSE),"")</f>
        <v/>
      </c>
      <c r="BD99" s="224" t="str">
        <f>IFERROR(VLOOKUP($A99,Devengado!$A$1:$AI$1,23,FALSE),"")</f>
        <v/>
      </c>
      <c r="BE99" s="224" t="str">
        <f>IFERROR(VLOOKUP($A99,Devengado!$A$1:$AI$1,24,FALSE),"")</f>
        <v/>
      </c>
      <c r="BF99" s="224" t="str">
        <f>IFERROR(VLOOKUP($A99,Devengado!$A$1:$AI$1,25,FALSE),"")</f>
        <v/>
      </c>
      <c r="BG99" s="224" t="str">
        <f>IFERROR(VLOOKUP($A99,Devengado!$A$1:$AI$1,26,FALSE),"")</f>
        <v/>
      </c>
      <c r="BH99" s="224" t="str">
        <f>IFERROR(VLOOKUP($A99,Devengado!$A$1:$AI$1,27,FALSE),"")</f>
        <v/>
      </c>
      <c r="BI99" s="224" t="str">
        <f>IFERROR(VLOOKUP($A99,Devengado!$A$1:$AI$1,28,FALSE),"")</f>
        <v/>
      </c>
      <c r="BJ99" s="224" t="str">
        <f>IFERROR(VLOOKUP($A99,Devengado!$A$1:$AI$1,29,FALSE),"")</f>
        <v/>
      </c>
      <c r="BK99" s="224" t="str">
        <f>IFERROR(VLOOKUP($A99,Devengado!$A$1:$AI$1,30,FALSE),"")</f>
        <v/>
      </c>
      <c r="BL99" s="224" t="str">
        <f>IFERROR(VLOOKUP($A99,Devengado!$A$1:$AI$1,31,FALSE),"")</f>
        <v/>
      </c>
      <c r="BM99" s="224" t="str">
        <f>IFERROR(VLOOKUP($A99,Devengado!$A$1:$AI$1,32,FALSE),"")</f>
        <v/>
      </c>
      <c r="BN99" s="224" t="str">
        <f>IFERROR(VLOOKUP($A99,Devengado!$A$1:$AI$1,33,FALSE),"")</f>
        <v/>
      </c>
      <c r="BO99" s="224">
        <f t="shared" si="12"/>
        <v>0</v>
      </c>
      <c r="BP99" s="224" t="str">
        <f t="shared" si="13"/>
        <v/>
      </c>
      <c r="BQ99" s="207"/>
      <c r="BR99" s="207" t="str">
        <f t="shared" si="14"/>
        <v>51</v>
      </c>
    </row>
    <row r="100" spans="1:70" s="225" customFormat="1" ht="25.5" customHeight="1">
      <c r="A100" s="207">
        <v>96</v>
      </c>
      <c r="B100" s="112" t="s">
        <v>73</v>
      </c>
      <c r="C100" s="112" t="s">
        <v>187</v>
      </c>
      <c r="D100" s="112" t="s">
        <v>188</v>
      </c>
      <c r="E100" s="112" t="s">
        <v>76</v>
      </c>
      <c r="F100" s="112" t="s">
        <v>77</v>
      </c>
      <c r="G100" s="112" t="s">
        <v>77</v>
      </c>
      <c r="H100" s="112" t="s">
        <v>77</v>
      </c>
      <c r="I100" s="112" t="s">
        <v>77</v>
      </c>
      <c r="J100" s="112" t="s">
        <v>77</v>
      </c>
      <c r="K100" s="112" t="s">
        <v>77</v>
      </c>
      <c r="L100" s="112" t="s">
        <v>85</v>
      </c>
      <c r="M100" s="112" t="s">
        <v>189</v>
      </c>
      <c r="N100" s="112">
        <v>9999</v>
      </c>
      <c r="O100" s="114" t="s">
        <v>80</v>
      </c>
      <c r="P100" s="114" t="s">
        <v>81</v>
      </c>
      <c r="Q100" s="114" t="s">
        <v>82</v>
      </c>
      <c r="R100" s="115" t="str">
        <f t="shared" si="8"/>
        <v>51</v>
      </c>
      <c r="S100" s="122">
        <v>510401</v>
      </c>
      <c r="T100" s="122" t="str">
        <f>VLOOKUP(S100,ITEM!$C$1:$D$156,2,FALSE)</f>
        <v>Por Cargas Familiares</v>
      </c>
      <c r="U100" s="112" t="s">
        <v>190</v>
      </c>
      <c r="V100" s="112" t="s">
        <v>82</v>
      </c>
      <c r="W100" s="112" t="s">
        <v>84</v>
      </c>
      <c r="X100" s="112" t="s">
        <v>84</v>
      </c>
      <c r="Y100" s="224" t="e">
        <f>'Matriz POA 2024-TRABAJO'!#REF!</f>
        <v>#REF!</v>
      </c>
      <c r="Z100" s="224" t="e">
        <f>'Matriz POA 2024-TRABAJO'!#REF!</f>
        <v>#REF!</v>
      </c>
      <c r="AA100" s="224" t="e">
        <f>'Matriz POA 2024-TRABAJO'!#REF!</f>
        <v>#REF!</v>
      </c>
      <c r="AB100" s="279">
        <v>187.5</v>
      </c>
      <c r="AC100" s="279">
        <v>187.5</v>
      </c>
      <c r="AD100" s="279">
        <v>187.5</v>
      </c>
      <c r="AE100" s="279">
        <v>187.5</v>
      </c>
      <c r="AF100" s="279">
        <v>187.5</v>
      </c>
      <c r="AG100" s="279">
        <v>187.5</v>
      </c>
      <c r="AH100" s="279">
        <v>110.46</v>
      </c>
      <c r="AI100" s="279">
        <v>0</v>
      </c>
      <c r="AJ100" s="279">
        <v>0</v>
      </c>
      <c r="AK100" s="279">
        <v>0</v>
      </c>
      <c r="AL100" s="279">
        <v>0</v>
      </c>
      <c r="AM100" s="279">
        <v>0</v>
      </c>
      <c r="AN100" s="224" t="e">
        <f>SUM(#REF!)</f>
        <v>#REF!</v>
      </c>
      <c r="AO100" s="224">
        <f t="shared" si="9"/>
        <v>1235.46</v>
      </c>
      <c r="AP100" s="224" t="e">
        <f t="shared" si="15"/>
        <v>#REF!</v>
      </c>
      <c r="AQ100" s="224"/>
      <c r="AR100" s="224"/>
      <c r="AS100" s="224"/>
      <c r="AT100" s="224" t="str">
        <f>IFERROR(VLOOKUP($A100,'Constancias POA'!$A$2:$DH$9993,17,FALSE),"")</f>
        <v/>
      </c>
      <c r="AU100" s="224" t="str">
        <f t="shared" si="10"/>
        <v/>
      </c>
      <c r="AV100" s="224" t="str">
        <f>IFERROR(VLOOKUP($A100,CP!$A$1:$U$7992,18,FALSE),"")</f>
        <v/>
      </c>
      <c r="AW100" s="224" t="str">
        <f>IFERROR(VLOOKUP($A100,CP!$A$1:$U$7992,19,FALSE),"")</f>
        <v/>
      </c>
      <c r="AX100" s="224" t="str">
        <f>IFERROR(VLOOKUP($A100,CP!$A$1:$U$7992,20,FALSE),"")</f>
        <v/>
      </c>
      <c r="AY100" s="224" t="str">
        <f>IFERROR(VLOOKUP($A100,CP!$A$1:$U$1,21,FALSE),"")</f>
        <v/>
      </c>
      <c r="AZ100" s="224" t="str">
        <f>IFERROR(VLOOKUP(A100,Devengado!$A$1:AJ1,35,FALSE),"")</f>
        <v/>
      </c>
      <c r="BA100" s="224" t="str">
        <f t="shared" si="11"/>
        <v/>
      </c>
      <c r="BB100" s="224" t="str">
        <f>IFERROR(AZ100/#REF!,"")</f>
        <v/>
      </c>
      <c r="BC100" s="224" t="str">
        <f>IFERROR(VLOOKUP($A100,Devengado!$A$1:$AI$1,22,FALSE),"")</f>
        <v/>
      </c>
      <c r="BD100" s="224" t="str">
        <f>IFERROR(VLOOKUP($A100,Devengado!$A$1:$AI$1,23,FALSE),"")</f>
        <v/>
      </c>
      <c r="BE100" s="224" t="str">
        <f>IFERROR(VLOOKUP($A100,Devengado!$A$1:$AI$1,24,FALSE),"")</f>
        <v/>
      </c>
      <c r="BF100" s="224" t="str">
        <f>IFERROR(VLOOKUP($A100,Devengado!$A$1:$AI$1,25,FALSE),"")</f>
        <v/>
      </c>
      <c r="BG100" s="224" t="str">
        <f>IFERROR(VLOOKUP($A100,Devengado!$A$1:$AI$1,26,FALSE),"")</f>
        <v/>
      </c>
      <c r="BH100" s="224" t="str">
        <f>IFERROR(VLOOKUP($A100,Devengado!$A$1:$AI$1,27,FALSE),"")</f>
        <v/>
      </c>
      <c r="BI100" s="224" t="str">
        <f>IFERROR(VLOOKUP($A100,Devengado!$A$1:$AI$1,28,FALSE),"")</f>
        <v/>
      </c>
      <c r="BJ100" s="224" t="str">
        <f>IFERROR(VLOOKUP($A100,Devengado!$A$1:$AI$1,29,FALSE),"")</f>
        <v/>
      </c>
      <c r="BK100" s="224" t="str">
        <f>IFERROR(VLOOKUP($A100,Devengado!$A$1:$AI$1,30,FALSE),"")</f>
        <v/>
      </c>
      <c r="BL100" s="224" t="str">
        <f>IFERROR(VLOOKUP($A100,Devengado!$A$1:$AI$1,31,FALSE),"")</f>
        <v/>
      </c>
      <c r="BM100" s="224" t="str">
        <f>IFERROR(VLOOKUP($A100,Devengado!$A$1:$AI$1,32,FALSE),"")</f>
        <v/>
      </c>
      <c r="BN100" s="224" t="str">
        <f>IFERROR(VLOOKUP($A100,Devengado!$A$1:$AI$1,33,FALSE),"")</f>
        <v/>
      </c>
      <c r="BO100" s="224">
        <f t="shared" si="12"/>
        <v>0</v>
      </c>
      <c r="BP100" s="224" t="str">
        <f t="shared" si="13"/>
        <v/>
      </c>
      <c r="BQ100" s="207"/>
      <c r="BR100" s="207" t="str">
        <f t="shared" si="14"/>
        <v>51</v>
      </c>
    </row>
    <row r="101" spans="1:70" s="225" customFormat="1" ht="25.5" customHeight="1">
      <c r="A101" s="207">
        <v>97</v>
      </c>
      <c r="B101" s="112" t="s">
        <v>73</v>
      </c>
      <c r="C101" s="112" t="s">
        <v>187</v>
      </c>
      <c r="D101" s="112" t="s">
        <v>188</v>
      </c>
      <c r="E101" s="112" t="s">
        <v>76</v>
      </c>
      <c r="F101" s="112" t="s">
        <v>77</v>
      </c>
      <c r="G101" s="112" t="s">
        <v>77</v>
      </c>
      <c r="H101" s="112" t="s">
        <v>77</v>
      </c>
      <c r="I101" s="112" t="s">
        <v>77</v>
      </c>
      <c r="J101" s="112" t="s">
        <v>77</v>
      </c>
      <c r="K101" s="112" t="s">
        <v>77</v>
      </c>
      <c r="L101" s="112" t="s">
        <v>85</v>
      </c>
      <c r="M101" s="112" t="s">
        <v>189</v>
      </c>
      <c r="N101" s="112">
        <v>9999</v>
      </c>
      <c r="O101" s="114" t="s">
        <v>80</v>
      </c>
      <c r="P101" s="114" t="s">
        <v>81</v>
      </c>
      <c r="Q101" s="114" t="s">
        <v>82</v>
      </c>
      <c r="R101" s="115" t="str">
        <f t="shared" si="8"/>
        <v>51</v>
      </c>
      <c r="S101" s="122">
        <v>510509</v>
      </c>
      <c r="T101" s="122" t="str">
        <f>VLOOKUP(S101,ITEM!$C$1:$D$156,2,FALSE)</f>
        <v>Horas Extraordinarias y Suplementarias</v>
      </c>
      <c r="U101" s="112" t="s">
        <v>190</v>
      </c>
      <c r="V101" s="112" t="s">
        <v>82</v>
      </c>
      <c r="W101" s="112" t="s">
        <v>84</v>
      </c>
      <c r="X101" s="112" t="s">
        <v>84</v>
      </c>
      <c r="Y101" s="224" t="e">
        <f>'Matriz POA 2024-TRABAJO'!#REF!</f>
        <v>#REF!</v>
      </c>
      <c r="Z101" s="224" t="e">
        <f>'Matriz POA 2024-TRABAJO'!#REF!</f>
        <v>#REF!</v>
      </c>
      <c r="AA101" s="224" t="e">
        <f>'Matriz POA 2024-TRABAJO'!#REF!</f>
        <v>#REF!</v>
      </c>
      <c r="AB101" s="279">
        <v>500</v>
      </c>
      <c r="AC101" s="279">
        <v>500</v>
      </c>
      <c r="AD101" s="279">
        <v>500</v>
      </c>
      <c r="AE101" s="279">
        <v>500</v>
      </c>
      <c r="AF101" s="279">
        <v>500</v>
      </c>
      <c r="AG101" s="279">
        <v>500</v>
      </c>
      <c r="AH101" s="279">
        <v>500</v>
      </c>
      <c r="AI101" s="279">
        <v>500</v>
      </c>
      <c r="AJ101" s="279">
        <v>500</v>
      </c>
      <c r="AK101" s="279">
        <v>500</v>
      </c>
      <c r="AL101" s="279">
        <v>500</v>
      </c>
      <c r="AM101" s="279">
        <v>199.04</v>
      </c>
      <c r="AN101" s="224" t="e">
        <f>SUM(#REF!)</f>
        <v>#REF!</v>
      </c>
      <c r="AO101" s="224">
        <f t="shared" si="9"/>
        <v>5699.04</v>
      </c>
      <c r="AP101" s="224" t="e">
        <f t="shared" si="15"/>
        <v>#REF!</v>
      </c>
      <c r="AQ101" s="224"/>
      <c r="AR101" s="224"/>
      <c r="AS101" s="224"/>
      <c r="AT101" s="224" t="str">
        <f>IFERROR(VLOOKUP($A101,'Constancias POA'!$A$2:$DH$9993,17,FALSE),"")</f>
        <v/>
      </c>
      <c r="AU101" s="224" t="str">
        <f t="shared" si="10"/>
        <v/>
      </c>
      <c r="AV101" s="224" t="str">
        <f>IFERROR(VLOOKUP($A101,CP!$A$1:$U$7992,18,FALSE),"")</f>
        <v/>
      </c>
      <c r="AW101" s="224" t="str">
        <f>IFERROR(VLOOKUP($A101,CP!$A$1:$U$7992,19,FALSE),"")</f>
        <v/>
      </c>
      <c r="AX101" s="224" t="str">
        <f>IFERROR(VLOOKUP($A101,CP!$A$1:$U$7992,20,FALSE),"")</f>
        <v/>
      </c>
      <c r="AY101" s="224" t="str">
        <f>IFERROR(VLOOKUP($A101,CP!$A$1:$U$1,21,FALSE),"")</f>
        <v/>
      </c>
      <c r="AZ101" s="224" t="str">
        <f>IFERROR(VLOOKUP(A101,Devengado!$A$1:AJ1,35,FALSE),"")</f>
        <v/>
      </c>
      <c r="BA101" s="224" t="str">
        <f t="shared" si="11"/>
        <v/>
      </c>
      <c r="BB101" s="224" t="str">
        <f>IFERROR(AZ101/#REF!,"")</f>
        <v/>
      </c>
      <c r="BC101" s="224" t="str">
        <f>IFERROR(VLOOKUP($A101,Devengado!$A$1:$AI$1,22,FALSE),"")</f>
        <v/>
      </c>
      <c r="BD101" s="224" t="str">
        <f>IFERROR(VLOOKUP($A101,Devengado!$A$1:$AI$1,23,FALSE),"")</f>
        <v/>
      </c>
      <c r="BE101" s="224" t="str">
        <f>IFERROR(VLOOKUP($A101,Devengado!$A$1:$AI$1,24,FALSE),"")</f>
        <v/>
      </c>
      <c r="BF101" s="224" t="str">
        <f>IFERROR(VLOOKUP($A101,Devengado!$A$1:$AI$1,25,FALSE),"")</f>
        <v/>
      </c>
      <c r="BG101" s="224" t="str">
        <f>IFERROR(VLOOKUP($A101,Devengado!$A$1:$AI$1,26,FALSE),"")</f>
        <v/>
      </c>
      <c r="BH101" s="224" t="str">
        <f>IFERROR(VLOOKUP($A101,Devengado!$A$1:$AI$1,27,FALSE),"")</f>
        <v/>
      </c>
      <c r="BI101" s="224" t="str">
        <f>IFERROR(VLOOKUP($A101,Devengado!$A$1:$AI$1,28,FALSE),"")</f>
        <v/>
      </c>
      <c r="BJ101" s="224" t="str">
        <f>IFERROR(VLOOKUP($A101,Devengado!$A$1:$AI$1,29,FALSE),"")</f>
        <v/>
      </c>
      <c r="BK101" s="224" t="str">
        <f>IFERROR(VLOOKUP($A101,Devengado!$A$1:$AI$1,30,FALSE),"")</f>
        <v/>
      </c>
      <c r="BL101" s="224" t="str">
        <f>IFERROR(VLOOKUP($A101,Devengado!$A$1:$AI$1,31,FALSE),"")</f>
        <v/>
      </c>
      <c r="BM101" s="224" t="str">
        <f>IFERROR(VLOOKUP($A101,Devengado!$A$1:$AI$1,32,FALSE),"")</f>
        <v/>
      </c>
      <c r="BN101" s="224" t="str">
        <f>IFERROR(VLOOKUP($A101,Devengado!$A$1:$AI$1,33,FALSE),"")</f>
        <v/>
      </c>
      <c r="BO101" s="224">
        <f t="shared" si="12"/>
        <v>0</v>
      </c>
      <c r="BP101" s="224" t="str">
        <f t="shared" si="13"/>
        <v/>
      </c>
      <c r="BQ101" s="207"/>
      <c r="BR101" s="207" t="str">
        <f t="shared" si="14"/>
        <v>51</v>
      </c>
    </row>
    <row r="102" spans="1:70" s="225" customFormat="1" ht="15.75" customHeight="1">
      <c r="A102" s="207">
        <v>98</v>
      </c>
      <c r="B102" s="112" t="s">
        <v>73</v>
      </c>
      <c r="C102" s="112" t="s">
        <v>187</v>
      </c>
      <c r="D102" s="112" t="s">
        <v>188</v>
      </c>
      <c r="E102" s="112" t="s">
        <v>76</v>
      </c>
      <c r="F102" s="112" t="s">
        <v>77</v>
      </c>
      <c r="G102" s="112" t="s">
        <v>77</v>
      </c>
      <c r="H102" s="112" t="s">
        <v>77</v>
      </c>
      <c r="I102" s="112" t="s">
        <v>77</v>
      </c>
      <c r="J102" s="112" t="s">
        <v>77</v>
      </c>
      <c r="K102" s="112" t="s">
        <v>77</v>
      </c>
      <c r="L102" s="112" t="s">
        <v>85</v>
      </c>
      <c r="M102" s="112" t="s">
        <v>189</v>
      </c>
      <c r="N102" s="112">
        <v>9999</v>
      </c>
      <c r="O102" s="114" t="s">
        <v>80</v>
      </c>
      <c r="P102" s="114" t="s">
        <v>81</v>
      </c>
      <c r="Q102" s="114" t="s">
        <v>82</v>
      </c>
      <c r="R102" s="115" t="str">
        <f t="shared" si="8"/>
        <v>51</v>
      </c>
      <c r="S102" s="122">
        <v>510512</v>
      </c>
      <c r="T102" s="122" t="str">
        <f>VLOOKUP(S102,ITEM!$C$1:$D$156,2,FALSE)</f>
        <v>Subrogación</v>
      </c>
      <c r="U102" s="112" t="s">
        <v>190</v>
      </c>
      <c r="V102" s="112" t="s">
        <v>82</v>
      </c>
      <c r="W102" s="112" t="s">
        <v>84</v>
      </c>
      <c r="X102" s="112" t="s">
        <v>84</v>
      </c>
      <c r="Y102" s="224" t="e">
        <f>'Matriz POA 2024-TRABAJO'!#REF!</f>
        <v>#REF!</v>
      </c>
      <c r="Z102" s="224" t="e">
        <f>'Matriz POA 2024-TRABAJO'!#REF!</f>
        <v>#REF!</v>
      </c>
      <c r="AA102" s="224" t="e">
        <f>'Matriz POA 2024-TRABAJO'!#REF!</f>
        <v>#REF!</v>
      </c>
      <c r="AB102" s="279">
        <v>0</v>
      </c>
      <c r="AC102" s="279">
        <v>1000</v>
      </c>
      <c r="AD102" s="279">
        <v>1000</v>
      </c>
      <c r="AE102" s="279">
        <v>0</v>
      </c>
      <c r="AF102" s="279">
        <v>1000</v>
      </c>
      <c r="AG102" s="279">
        <v>1000</v>
      </c>
      <c r="AH102" s="279">
        <v>0</v>
      </c>
      <c r="AI102" s="279">
        <v>1000</v>
      </c>
      <c r="AJ102" s="279">
        <v>1000</v>
      </c>
      <c r="AK102" s="279">
        <v>0</v>
      </c>
      <c r="AL102" s="279"/>
      <c r="AM102" s="279">
        <v>1042.8699999999999</v>
      </c>
      <c r="AN102" s="224" t="e">
        <f>SUM(#REF!)</f>
        <v>#REF!</v>
      </c>
      <c r="AO102" s="224">
        <f t="shared" si="9"/>
        <v>7042.87</v>
      </c>
      <c r="AP102" s="224" t="e">
        <f>+AO102-AA102</f>
        <v>#REF!</v>
      </c>
      <c r="AQ102" s="224"/>
      <c r="AR102" s="224"/>
      <c r="AS102" s="224"/>
      <c r="AT102" s="224" t="str">
        <f>IFERROR(VLOOKUP($A102,'Constancias POA'!$A$2:$DH$9993,17,FALSE),"")</f>
        <v/>
      </c>
      <c r="AU102" s="224" t="str">
        <f t="shared" si="10"/>
        <v/>
      </c>
      <c r="AV102" s="224" t="str">
        <f>IFERROR(VLOOKUP($A102,CP!$A$1:$U$7992,18,FALSE),"")</f>
        <v/>
      </c>
      <c r="AW102" s="224" t="str">
        <f>IFERROR(VLOOKUP($A102,CP!$A$1:$U$7992,19,FALSE),"")</f>
        <v/>
      </c>
      <c r="AX102" s="224" t="str">
        <f>IFERROR(VLOOKUP($A102,CP!$A$1:$U$7992,20,FALSE),"")</f>
        <v/>
      </c>
      <c r="AY102" s="224" t="str">
        <f>IFERROR(VLOOKUP($A102,CP!$A$1:$U$1,21,FALSE),"")</f>
        <v/>
      </c>
      <c r="AZ102" s="224" t="str">
        <f>IFERROR(VLOOKUP(A102,Devengado!$A$1:AJ1,35,FALSE),"")</f>
        <v/>
      </c>
      <c r="BA102" s="224" t="str">
        <f t="shared" si="11"/>
        <v/>
      </c>
      <c r="BB102" s="224" t="str">
        <f>IFERROR(AZ102/#REF!,"")</f>
        <v/>
      </c>
      <c r="BC102" s="224" t="str">
        <f>IFERROR(VLOOKUP($A102,Devengado!$A$1:$AI$1,22,FALSE),"")</f>
        <v/>
      </c>
      <c r="BD102" s="224" t="str">
        <f>IFERROR(VLOOKUP($A102,Devengado!$A$1:$AI$1,23,FALSE),"")</f>
        <v/>
      </c>
      <c r="BE102" s="224" t="str">
        <f>IFERROR(VLOOKUP($A102,Devengado!$A$1:$AI$1,24,FALSE),"")</f>
        <v/>
      </c>
      <c r="BF102" s="224" t="str">
        <f>IFERROR(VLOOKUP($A102,Devengado!$A$1:$AI$1,25,FALSE),"")</f>
        <v/>
      </c>
      <c r="BG102" s="224" t="str">
        <f>IFERROR(VLOOKUP($A102,Devengado!$A$1:$AI$1,26,FALSE),"")</f>
        <v/>
      </c>
      <c r="BH102" s="224" t="str">
        <f>IFERROR(VLOOKUP($A102,Devengado!$A$1:$AI$1,27,FALSE),"")</f>
        <v/>
      </c>
      <c r="BI102" s="224" t="str">
        <f>IFERROR(VLOOKUP($A102,Devengado!$A$1:$AI$1,28,FALSE),"")</f>
        <v/>
      </c>
      <c r="BJ102" s="224" t="str">
        <f>IFERROR(VLOOKUP($A102,Devengado!$A$1:$AI$1,29,FALSE),"")</f>
        <v/>
      </c>
      <c r="BK102" s="224" t="str">
        <f>IFERROR(VLOOKUP($A102,Devengado!$A$1:$AI$1,30,FALSE),"")</f>
        <v/>
      </c>
      <c r="BL102" s="224" t="str">
        <f>IFERROR(VLOOKUP($A102,Devengado!$A$1:$AI$1,31,FALSE),"")</f>
        <v/>
      </c>
      <c r="BM102" s="224" t="str">
        <f>IFERROR(VLOOKUP($A102,Devengado!$A$1:$AI$1,32,FALSE),"")</f>
        <v/>
      </c>
      <c r="BN102" s="224" t="str">
        <f>IFERROR(VLOOKUP($A102,Devengado!$A$1:$AI$1,33,FALSE),"")</f>
        <v/>
      </c>
      <c r="BO102" s="224">
        <f t="shared" si="12"/>
        <v>0</v>
      </c>
      <c r="BP102" s="224" t="str">
        <f t="shared" si="13"/>
        <v/>
      </c>
      <c r="BQ102" s="207"/>
      <c r="BR102" s="207" t="str">
        <f t="shared" si="14"/>
        <v>51</v>
      </c>
    </row>
    <row r="103" spans="1:70" s="225" customFormat="1" ht="25.5" customHeight="1">
      <c r="A103" s="207">
        <v>99</v>
      </c>
      <c r="B103" s="112" t="s">
        <v>73</v>
      </c>
      <c r="C103" s="112" t="s">
        <v>187</v>
      </c>
      <c r="D103" s="112" t="s">
        <v>188</v>
      </c>
      <c r="E103" s="112" t="s">
        <v>76</v>
      </c>
      <c r="F103" s="112" t="s">
        <v>77</v>
      </c>
      <c r="G103" s="112" t="s">
        <v>77</v>
      </c>
      <c r="H103" s="112" t="s">
        <v>77</v>
      </c>
      <c r="I103" s="112" t="s">
        <v>77</v>
      </c>
      <c r="J103" s="112" t="s">
        <v>77</v>
      </c>
      <c r="K103" s="112" t="s">
        <v>77</v>
      </c>
      <c r="L103" s="112" t="s">
        <v>85</v>
      </c>
      <c r="M103" s="112" t="s">
        <v>189</v>
      </c>
      <c r="N103" s="112">
        <v>9999</v>
      </c>
      <c r="O103" s="114" t="s">
        <v>80</v>
      </c>
      <c r="P103" s="114" t="s">
        <v>81</v>
      </c>
      <c r="Q103" s="114" t="s">
        <v>82</v>
      </c>
      <c r="R103" s="115" t="str">
        <f t="shared" si="8"/>
        <v>51</v>
      </c>
      <c r="S103" s="122">
        <v>510513</v>
      </c>
      <c r="T103" s="122" t="str">
        <f>VLOOKUP(S103,ITEM!$C$1:$D$156,2,FALSE)</f>
        <v>Encargos</v>
      </c>
      <c r="U103" s="112" t="s">
        <v>190</v>
      </c>
      <c r="V103" s="112" t="s">
        <v>82</v>
      </c>
      <c r="W103" s="112" t="s">
        <v>84</v>
      </c>
      <c r="X103" s="112" t="s">
        <v>84</v>
      </c>
      <c r="Y103" s="224" t="e">
        <f>'Matriz POA 2024-TRABAJO'!#REF!</f>
        <v>#REF!</v>
      </c>
      <c r="Z103" s="224" t="e">
        <f>'Matriz POA 2024-TRABAJO'!#REF!</f>
        <v>#REF!</v>
      </c>
      <c r="AA103" s="224" t="e">
        <f>'Matriz POA 2024-TRABAJO'!#REF!</f>
        <v>#REF!</v>
      </c>
      <c r="AB103" s="279">
        <v>250</v>
      </c>
      <c r="AC103" s="279">
        <v>250</v>
      </c>
      <c r="AD103" s="279">
        <v>250</v>
      </c>
      <c r="AE103" s="279">
        <v>250</v>
      </c>
      <c r="AF103" s="279">
        <v>250</v>
      </c>
      <c r="AG103" s="279">
        <v>250</v>
      </c>
      <c r="AH103" s="279">
        <v>250</v>
      </c>
      <c r="AI103" s="279">
        <v>250</v>
      </c>
      <c r="AJ103" s="279">
        <v>250</v>
      </c>
      <c r="AK103" s="279">
        <v>0</v>
      </c>
      <c r="AL103" s="279">
        <v>0</v>
      </c>
      <c r="AM103" s="279">
        <v>311</v>
      </c>
      <c r="AN103" s="224" t="e">
        <f>SUM(#REF!)</f>
        <v>#REF!</v>
      </c>
      <c r="AO103" s="224">
        <f t="shared" si="9"/>
        <v>2561</v>
      </c>
      <c r="AP103" s="224" t="e">
        <f t="shared" si="15"/>
        <v>#REF!</v>
      </c>
      <c r="AQ103" s="224"/>
      <c r="AR103" s="224"/>
      <c r="AS103" s="224"/>
      <c r="AT103" s="224" t="str">
        <f>IFERROR(VLOOKUP($A103,'Constancias POA'!$A$2:$DH$9993,17,FALSE),"")</f>
        <v/>
      </c>
      <c r="AU103" s="224" t="str">
        <f t="shared" si="10"/>
        <v/>
      </c>
      <c r="AV103" s="224" t="str">
        <f>IFERROR(VLOOKUP($A103,CP!$A$1:$U$7992,18,FALSE),"")</f>
        <v/>
      </c>
      <c r="AW103" s="224" t="str">
        <f>IFERROR(VLOOKUP($A103,CP!$A$1:$U$7992,19,FALSE),"")</f>
        <v/>
      </c>
      <c r="AX103" s="224" t="str">
        <f>IFERROR(VLOOKUP($A103,CP!$A$1:$U$7992,20,FALSE),"")</f>
        <v/>
      </c>
      <c r="AY103" s="224" t="str">
        <f>IFERROR(VLOOKUP($A103,CP!$A$1:$U$1,21,FALSE),"")</f>
        <v/>
      </c>
      <c r="AZ103" s="224" t="str">
        <f>IFERROR(VLOOKUP(A103,Devengado!$A$1:AJ1,35,FALSE),"")</f>
        <v/>
      </c>
      <c r="BA103" s="224" t="str">
        <f t="shared" si="11"/>
        <v/>
      </c>
      <c r="BB103" s="224" t="str">
        <f>IFERROR(AZ103/#REF!,"")</f>
        <v/>
      </c>
      <c r="BC103" s="224" t="str">
        <f>IFERROR(VLOOKUP($A103,Devengado!$A$1:$AI$1,22,FALSE),"")</f>
        <v/>
      </c>
      <c r="BD103" s="224" t="str">
        <f>IFERROR(VLOOKUP($A103,Devengado!$A$1:$AI$1,23,FALSE),"")</f>
        <v/>
      </c>
      <c r="BE103" s="224" t="str">
        <f>IFERROR(VLOOKUP($A103,Devengado!$A$1:$AI$1,24,FALSE),"")</f>
        <v/>
      </c>
      <c r="BF103" s="224" t="str">
        <f>IFERROR(VLOOKUP($A103,Devengado!$A$1:$AI$1,25,FALSE),"")</f>
        <v/>
      </c>
      <c r="BG103" s="224" t="str">
        <f>IFERROR(VLOOKUP($A103,Devengado!$A$1:$AI$1,26,FALSE),"")</f>
        <v/>
      </c>
      <c r="BH103" s="224" t="str">
        <f>IFERROR(VLOOKUP($A103,Devengado!$A$1:$AI$1,27,FALSE),"")</f>
        <v/>
      </c>
      <c r="BI103" s="224" t="str">
        <f>IFERROR(VLOOKUP($A103,Devengado!$A$1:$AI$1,28,FALSE),"")</f>
        <v/>
      </c>
      <c r="BJ103" s="224" t="str">
        <f>IFERROR(VLOOKUP($A103,Devengado!$A$1:$AI$1,29,FALSE),"")</f>
        <v/>
      </c>
      <c r="BK103" s="224" t="str">
        <f>IFERROR(VLOOKUP($A103,Devengado!$A$1:$AI$1,30,FALSE),"")</f>
        <v/>
      </c>
      <c r="BL103" s="224" t="str">
        <f>IFERROR(VLOOKUP($A103,Devengado!$A$1:$AI$1,31,FALSE),"")</f>
        <v/>
      </c>
      <c r="BM103" s="224" t="str">
        <f>IFERROR(VLOOKUP($A103,Devengado!$A$1:$AI$1,32,FALSE),"")</f>
        <v/>
      </c>
      <c r="BN103" s="224" t="str">
        <f>IFERROR(VLOOKUP($A103,Devengado!$A$1:$AI$1,33,FALSE),"")</f>
        <v/>
      </c>
      <c r="BO103" s="224">
        <f t="shared" si="12"/>
        <v>0</v>
      </c>
      <c r="BP103" s="224" t="str">
        <f t="shared" si="13"/>
        <v/>
      </c>
      <c r="BQ103" s="207"/>
      <c r="BR103" s="207" t="str">
        <f t="shared" si="14"/>
        <v>51</v>
      </c>
    </row>
    <row r="104" spans="1:70" s="225" customFormat="1" ht="15.75" customHeight="1">
      <c r="A104" s="207">
        <v>100</v>
      </c>
      <c r="B104" s="112" t="s">
        <v>73</v>
      </c>
      <c r="C104" s="112" t="s">
        <v>187</v>
      </c>
      <c r="D104" s="112" t="s">
        <v>188</v>
      </c>
      <c r="E104" s="112" t="s">
        <v>76</v>
      </c>
      <c r="F104" s="112" t="s">
        <v>77</v>
      </c>
      <c r="G104" s="112" t="s">
        <v>77</v>
      </c>
      <c r="H104" s="112" t="s">
        <v>77</v>
      </c>
      <c r="I104" s="112" t="s">
        <v>77</v>
      </c>
      <c r="J104" s="112" t="s">
        <v>77</v>
      </c>
      <c r="K104" s="112" t="s">
        <v>77</v>
      </c>
      <c r="L104" s="112" t="s">
        <v>85</v>
      </c>
      <c r="M104" s="112" t="s">
        <v>189</v>
      </c>
      <c r="N104" s="112">
        <v>9999</v>
      </c>
      <c r="O104" s="114" t="s">
        <v>80</v>
      </c>
      <c r="P104" s="114" t="s">
        <v>81</v>
      </c>
      <c r="Q104" s="114" t="s">
        <v>82</v>
      </c>
      <c r="R104" s="115" t="str">
        <f t="shared" si="8"/>
        <v>51</v>
      </c>
      <c r="S104" s="122">
        <v>510601</v>
      </c>
      <c r="T104" s="122" t="str">
        <f>VLOOKUP(S104,ITEM!$C$1:$D$156,2,FALSE)</f>
        <v>Aporte Patronal</v>
      </c>
      <c r="U104" s="112" t="s">
        <v>190</v>
      </c>
      <c r="V104" s="112" t="s">
        <v>82</v>
      </c>
      <c r="W104" s="112" t="s">
        <v>84</v>
      </c>
      <c r="X104" s="112" t="s">
        <v>84</v>
      </c>
      <c r="Y104" s="224" t="e">
        <f>'Matriz POA 2024-TRABAJO'!#REF!</f>
        <v>#REF!</v>
      </c>
      <c r="Z104" s="224" t="e">
        <f>'Matriz POA 2024-TRABAJO'!#REF!</f>
        <v>#REF!</v>
      </c>
      <c r="AA104" s="224" t="e">
        <f>'Matriz POA 2024-TRABAJO'!#REF!</f>
        <v>#REF!</v>
      </c>
      <c r="AB104" s="279">
        <v>14364.76</v>
      </c>
      <c r="AC104" s="279">
        <v>16456.73</v>
      </c>
      <c r="AD104" s="279">
        <v>16456.73</v>
      </c>
      <c r="AE104" s="279">
        <v>16456.73</v>
      </c>
      <c r="AF104" s="279">
        <v>16456.73</v>
      </c>
      <c r="AG104" s="279">
        <v>16456.73</v>
      </c>
      <c r="AH104" s="279">
        <v>16456.73</v>
      </c>
      <c r="AI104" s="279">
        <v>16456.73</v>
      </c>
      <c r="AJ104" s="279">
        <v>16456.73</v>
      </c>
      <c r="AK104" s="279">
        <v>16456.73</v>
      </c>
      <c r="AL104" s="279">
        <v>10918.55</v>
      </c>
      <c r="AM104" s="279">
        <v>393.76</v>
      </c>
      <c r="AN104" s="224" t="e">
        <f>SUM(#REF!)</f>
        <v>#REF!</v>
      </c>
      <c r="AO104" s="224">
        <f t="shared" si="9"/>
        <v>173787.63999999998</v>
      </c>
      <c r="AP104" s="224" t="e">
        <f t="shared" si="15"/>
        <v>#REF!</v>
      </c>
      <c r="AQ104" s="224"/>
      <c r="AR104" s="224"/>
      <c r="AS104" s="224"/>
      <c r="AT104" s="224" t="str">
        <f>IFERROR(VLOOKUP($A104,'Constancias POA'!$A$2:$DH$9993,17,FALSE),"")</f>
        <v/>
      </c>
      <c r="AU104" s="224" t="str">
        <f t="shared" si="10"/>
        <v/>
      </c>
      <c r="AV104" s="224" t="str">
        <f>IFERROR(VLOOKUP($A104,CP!$A$1:$U$7992,18,FALSE),"")</f>
        <v/>
      </c>
      <c r="AW104" s="224" t="str">
        <f>IFERROR(VLOOKUP($A104,CP!$A$1:$U$7992,19,FALSE),"")</f>
        <v/>
      </c>
      <c r="AX104" s="224" t="str">
        <f>IFERROR(VLOOKUP($A104,CP!$A$1:$U$7992,20,FALSE),"")</f>
        <v/>
      </c>
      <c r="AY104" s="224" t="str">
        <f>IFERROR(VLOOKUP($A104,CP!$A$1:$U$1,21,FALSE),"")</f>
        <v/>
      </c>
      <c r="AZ104" s="224" t="str">
        <f>IFERROR(VLOOKUP(A104,Devengado!$A$1:AJ1,35,FALSE),"")</f>
        <v/>
      </c>
      <c r="BA104" s="224" t="str">
        <f t="shared" si="11"/>
        <v/>
      </c>
      <c r="BB104" s="224" t="str">
        <f>IFERROR(AZ104/#REF!,"")</f>
        <v/>
      </c>
      <c r="BC104" s="224" t="str">
        <f>IFERROR(VLOOKUP($A104,Devengado!$A$1:$AI$1,22,FALSE),"")</f>
        <v/>
      </c>
      <c r="BD104" s="224" t="str">
        <f>IFERROR(VLOOKUP($A104,Devengado!$A$1:$AI$1,23,FALSE),"")</f>
        <v/>
      </c>
      <c r="BE104" s="224" t="str">
        <f>IFERROR(VLOOKUP($A104,Devengado!$A$1:$AI$1,24,FALSE),"")</f>
        <v/>
      </c>
      <c r="BF104" s="224" t="str">
        <f>IFERROR(VLOOKUP($A104,Devengado!$A$1:$AI$1,25,FALSE),"")</f>
        <v/>
      </c>
      <c r="BG104" s="224" t="str">
        <f>IFERROR(VLOOKUP($A104,Devengado!$A$1:$AI$1,26,FALSE),"")</f>
        <v/>
      </c>
      <c r="BH104" s="224" t="str">
        <f>IFERROR(VLOOKUP($A104,Devengado!$A$1:$AI$1,27,FALSE),"")</f>
        <v/>
      </c>
      <c r="BI104" s="224" t="str">
        <f>IFERROR(VLOOKUP($A104,Devengado!$A$1:$AI$1,28,FALSE),"")</f>
        <v/>
      </c>
      <c r="BJ104" s="224" t="str">
        <f>IFERROR(VLOOKUP($A104,Devengado!$A$1:$AI$1,29,FALSE),"")</f>
        <v/>
      </c>
      <c r="BK104" s="224" t="str">
        <f>IFERROR(VLOOKUP($A104,Devengado!$A$1:$AI$1,30,FALSE),"")</f>
        <v/>
      </c>
      <c r="BL104" s="224" t="str">
        <f>IFERROR(VLOOKUP($A104,Devengado!$A$1:$AI$1,31,FALSE),"")</f>
        <v/>
      </c>
      <c r="BM104" s="224" t="str">
        <f>IFERROR(VLOOKUP($A104,Devengado!$A$1:$AI$1,32,FALSE),"")</f>
        <v/>
      </c>
      <c r="BN104" s="224" t="str">
        <f>IFERROR(VLOOKUP($A104,Devengado!$A$1:$AI$1,33,FALSE),"")</f>
        <v/>
      </c>
      <c r="BO104" s="224">
        <f t="shared" si="12"/>
        <v>0</v>
      </c>
      <c r="BP104" s="224" t="str">
        <f t="shared" si="13"/>
        <v/>
      </c>
      <c r="BQ104" s="207"/>
      <c r="BR104" s="207" t="str">
        <f t="shared" si="14"/>
        <v>51</v>
      </c>
    </row>
    <row r="105" spans="1:70" s="225" customFormat="1" ht="15.75" customHeight="1">
      <c r="A105" s="207">
        <v>101</v>
      </c>
      <c r="B105" s="112" t="s">
        <v>73</v>
      </c>
      <c r="C105" s="112" t="s">
        <v>187</v>
      </c>
      <c r="D105" s="112" t="s">
        <v>188</v>
      </c>
      <c r="E105" s="112" t="s">
        <v>76</v>
      </c>
      <c r="F105" s="112" t="s">
        <v>77</v>
      </c>
      <c r="G105" s="112" t="s">
        <v>77</v>
      </c>
      <c r="H105" s="112" t="s">
        <v>77</v>
      </c>
      <c r="I105" s="112" t="s">
        <v>77</v>
      </c>
      <c r="J105" s="112" t="s">
        <v>77</v>
      </c>
      <c r="K105" s="112" t="s">
        <v>77</v>
      </c>
      <c r="L105" s="112" t="s">
        <v>85</v>
      </c>
      <c r="M105" s="112" t="s">
        <v>189</v>
      </c>
      <c r="N105" s="112">
        <v>9999</v>
      </c>
      <c r="O105" s="114" t="s">
        <v>80</v>
      </c>
      <c r="P105" s="114" t="s">
        <v>81</v>
      </c>
      <c r="Q105" s="114" t="s">
        <v>82</v>
      </c>
      <c r="R105" s="115" t="str">
        <f t="shared" si="8"/>
        <v>51</v>
      </c>
      <c r="S105" s="122">
        <v>510602</v>
      </c>
      <c r="T105" s="122" t="str">
        <f>VLOOKUP(S105,ITEM!$C$1:$D$156,2,FALSE)</f>
        <v>Fondo de Reserva</v>
      </c>
      <c r="U105" s="112" t="s">
        <v>190</v>
      </c>
      <c r="V105" s="112" t="s">
        <v>82</v>
      </c>
      <c r="W105" s="112" t="s">
        <v>84</v>
      </c>
      <c r="X105" s="112" t="s">
        <v>84</v>
      </c>
      <c r="Y105" s="224" t="e">
        <f>'Matriz POA 2024-TRABAJO'!#REF!</f>
        <v>#REF!</v>
      </c>
      <c r="Z105" s="224" t="e">
        <f>'Matriz POA 2024-TRABAJO'!#REF!</f>
        <v>#REF!</v>
      </c>
      <c r="AA105" s="224" t="e">
        <f>'Matriz POA 2024-TRABAJO'!#REF!</f>
        <v>#REF!</v>
      </c>
      <c r="AB105" s="279">
        <v>0</v>
      </c>
      <c r="AC105" s="279">
        <v>19495.93</v>
      </c>
      <c r="AD105" s="279">
        <v>10480.92</v>
      </c>
      <c r="AE105" s="279">
        <v>10480.92</v>
      </c>
      <c r="AF105" s="279">
        <v>10480.92</v>
      </c>
      <c r="AG105" s="279">
        <v>10480.92</v>
      </c>
      <c r="AH105" s="279">
        <v>10480.92</v>
      </c>
      <c r="AI105" s="279">
        <v>10480.92</v>
      </c>
      <c r="AJ105" s="279">
        <v>10480.92</v>
      </c>
      <c r="AK105" s="279">
        <v>10480.92</v>
      </c>
      <c r="AL105" s="279">
        <v>10480.92</v>
      </c>
      <c r="AM105" s="279">
        <v>10480.879999999999</v>
      </c>
      <c r="AN105" s="224" t="e">
        <f>SUM(#REF!)</f>
        <v>#REF!</v>
      </c>
      <c r="AO105" s="224">
        <f t="shared" si="9"/>
        <v>124305.09</v>
      </c>
      <c r="AP105" s="224" t="e">
        <f t="shared" si="15"/>
        <v>#REF!</v>
      </c>
      <c r="AQ105" s="224"/>
      <c r="AR105" s="224"/>
      <c r="AS105" s="224"/>
      <c r="AT105" s="224" t="str">
        <f>IFERROR(VLOOKUP($A105,'Constancias POA'!$A$2:$DH$9993,17,FALSE),"")</f>
        <v/>
      </c>
      <c r="AU105" s="224" t="str">
        <f t="shared" si="10"/>
        <v/>
      </c>
      <c r="AV105" s="224" t="str">
        <f>IFERROR(VLOOKUP($A105,CP!$A$1:$U$7992,18,FALSE),"")</f>
        <v/>
      </c>
      <c r="AW105" s="224" t="str">
        <f>IFERROR(VLOOKUP($A105,CP!$A$1:$U$7992,19,FALSE),"")</f>
        <v/>
      </c>
      <c r="AX105" s="224" t="str">
        <f>IFERROR(VLOOKUP($A105,CP!$A$1:$U$7992,20,FALSE),"")</f>
        <v/>
      </c>
      <c r="AY105" s="224" t="str">
        <f>IFERROR(VLOOKUP($A105,CP!$A$1:$U$1,21,FALSE),"")</f>
        <v/>
      </c>
      <c r="AZ105" s="224" t="str">
        <f>IFERROR(VLOOKUP(A105,Devengado!$A$1:AJ1,35,FALSE),"")</f>
        <v/>
      </c>
      <c r="BA105" s="224" t="str">
        <f t="shared" si="11"/>
        <v/>
      </c>
      <c r="BB105" s="224" t="str">
        <f>IFERROR(AZ105/#REF!,"")</f>
        <v/>
      </c>
      <c r="BC105" s="224" t="str">
        <f>IFERROR(VLOOKUP($A105,Devengado!$A$1:$AI$1,22,FALSE),"")</f>
        <v/>
      </c>
      <c r="BD105" s="224" t="str">
        <f>IFERROR(VLOOKUP($A105,Devengado!$A$1:$AI$1,23,FALSE),"")</f>
        <v/>
      </c>
      <c r="BE105" s="224" t="str">
        <f>IFERROR(VLOOKUP($A105,Devengado!$A$1:$AI$1,24,FALSE),"")</f>
        <v/>
      </c>
      <c r="BF105" s="224" t="str">
        <f>IFERROR(VLOOKUP($A105,Devengado!$A$1:$AI$1,25,FALSE),"")</f>
        <v/>
      </c>
      <c r="BG105" s="224" t="str">
        <f>IFERROR(VLOOKUP($A105,Devengado!$A$1:$AI$1,26,FALSE),"")</f>
        <v/>
      </c>
      <c r="BH105" s="224" t="str">
        <f>IFERROR(VLOOKUP($A105,Devengado!$A$1:$AI$1,27,FALSE),"")</f>
        <v/>
      </c>
      <c r="BI105" s="224" t="str">
        <f>IFERROR(VLOOKUP($A105,Devengado!$A$1:$AI$1,28,FALSE),"")</f>
        <v/>
      </c>
      <c r="BJ105" s="224" t="str">
        <f>IFERROR(VLOOKUP($A105,Devengado!$A$1:$AI$1,29,FALSE),"")</f>
        <v/>
      </c>
      <c r="BK105" s="224" t="str">
        <f>IFERROR(VLOOKUP($A105,Devengado!$A$1:$AI$1,30,FALSE),"")</f>
        <v/>
      </c>
      <c r="BL105" s="224" t="str">
        <f>IFERROR(VLOOKUP($A105,Devengado!$A$1:$AI$1,31,FALSE),"")</f>
        <v/>
      </c>
      <c r="BM105" s="224" t="str">
        <f>IFERROR(VLOOKUP($A105,Devengado!$A$1:$AI$1,32,FALSE),"")</f>
        <v/>
      </c>
      <c r="BN105" s="224" t="str">
        <f>IFERROR(VLOOKUP($A105,Devengado!$A$1:$AI$1,33,FALSE),"")</f>
        <v/>
      </c>
      <c r="BO105" s="224">
        <f t="shared" si="12"/>
        <v>0</v>
      </c>
      <c r="BP105" s="224" t="str">
        <f t="shared" si="13"/>
        <v/>
      </c>
      <c r="BQ105" s="207"/>
      <c r="BR105" s="207" t="str">
        <f t="shared" si="14"/>
        <v>51</v>
      </c>
    </row>
    <row r="106" spans="1:70" s="225" customFormat="1" ht="25.5" customHeight="1">
      <c r="A106" s="207">
        <v>102</v>
      </c>
      <c r="B106" s="112" t="s">
        <v>73</v>
      </c>
      <c r="C106" s="112" t="s">
        <v>187</v>
      </c>
      <c r="D106" s="112" t="s">
        <v>188</v>
      </c>
      <c r="E106" s="112" t="s">
        <v>76</v>
      </c>
      <c r="F106" s="112" t="s">
        <v>77</v>
      </c>
      <c r="G106" s="112" t="s">
        <v>77</v>
      </c>
      <c r="H106" s="112" t="s">
        <v>77</v>
      </c>
      <c r="I106" s="112" t="s">
        <v>77</v>
      </c>
      <c r="J106" s="112" t="s">
        <v>77</v>
      </c>
      <c r="K106" s="112" t="s">
        <v>77</v>
      </c>
      <c r="L106" s="112" t="s">
        <v>85</v>
      </c>
      <c r="M106" s="112" t="s">
        <v>189</v>
      </c>
      <c r="N106" s="112">
        <v>9999</v>
      </c>
      <c r="O106" s="114" t="s">
        <v>80</v>
      </c>
      <c r="P106" s="114" t="s">
        <v>81</v>
      </c>
      <c r="Q106" s="114" t="s">
        <v>82</v>
      </c>
      <c r="R106" s="115" t="str">
        <f t="shared" si="8"/>
        <v>51</v>
      </c>
      <c r="S106" s="122">
        <v>510707</v>
      </c>
      <c r="T106" s="122" t="str">
        <f>VLOOKUP(S106,ITEM!$C$1:$D$156,2,FALSE)</f>
        <v>Compensación por Vacaciones no Gozadas por Cesación de Funciones</v>
      </c>
      <c r="U106" s="112" t="s">
        <v>190</v>
      </c>
      <c r="V106" s="112" t="s">
        <v>82</v>
      </c>
      <c r="W106" s="112" t="s">
        <v>84</v>
      </c>
      <c r="X106" s="112" t="s">
        <v>84</v>
      </c>
      <c r="Y106" s="224" t="e">
        <f>'Matriz POA 2024-TRABAJO'!#REF!</f>
        <v>#REF!</v>
      </c>
      <c r="Z106" s="224" t="e">
        <f>'Matriz POA 2024-TRABAJO'!#REF!</f>
        <v>#REF!</v>
      </c>
      <c r="AA106" s="224" t="e">
        <f>'Matriz POA 2024-TRABAJO'!#REF!</f>
        <v>#REF!</v>
      </c>
      <c r="AB106" s="279">
        <v>0</v>
      </c>
      <c r="AC106" s="279">
        <v>0</v>
      </c>
      <c r="AD106" s="279">
        <v>0</v>
      </c>
      <c r="AE106" s="279">
        <v>0</v>
      </c>
      <c r="AF106" s="279">
        <v>0</v>
      </c>
      <c r="AG106" s="279">
        <v>0</v>
      </c>
      <c r="AH106" s="279">
        <v>0</v>
      </c>
      <c r="AI106" s="279">
        <v>0</v>
      </c>
      <c r="AJ106" s="279">
        <v>0</v>
      </c>
      <c r="AK106" s="279">
        <v>0</v>
      </c>
      <c r="AL106" s="279">
        <v>0</v>
      </c>
      <c r="AM106" s="279">
        <v>0</v>
      </c>
      <c r="AN106" s="224" t="e">
        <f>SUM(#REF!)</f>
        <v>#REF!</v>
      </c>
      <c r="AO106" s="224">
        <f t="shared" si="9"/>
        <v>0</v>
      </c>
      <c r="AP106" s="224" t="e">
        <f t="shared" si="15"/>
        <v>#REF!</v>
      </c>
      <c r="AQ106" s="224"/>
      <c r="AR106" s="224"/>
      <c r="AS106" s="224"/>
      <c r="AT106" s="224" t="str">
        <f>IFERROR(VLOOKUP($A106,'Constancias POA'!$A$2:$DH$9993,17,FALSE),"")</f>
        <v/>
      </c>
      <c r="AU106" s="224" t="str">
        <f t="shared" si="10"/>
        <v/>
      </c>
      <c r="AV106" s="224" t="str">
        <f>IFERROR(VLOOKUP($A106,CP!$A$1:$U$7992,18,FALSE),"")</f>
        <v/>
      </c>
      <c r="AW106" s="224" t="str">
        <f>IFERROR(VLOOKUP($A106,CP!$A$1:$U$7992,19,FALSE),"")</f>
        <v/>
      </c>
      <c r="AX106" s="224" t="str">
        <f>IFERROR(VLOOKUP($A106,CP!$A$1:$U$7992,20,FALSE),"")</f>
        <v/>
      </c>
      <c r="AY106" s="224" t="str">
        <f>IFERROR(VLOOKUP($A106,CP!$A$1:$U$1,21,FALSE),"")</f>
        <v/>
      </c>
      <c r="AZ106" s="224" t="str">
        <f>IFERROR(VLOOKUP(A106,Devengado!$A$1:AJ1,35,FALSE),"")</f>
        <v/>
      </c>
      <c r="BA106" s="224" t="str">
        <f t="shared" si="11"/>
        <v/>
      </c>
      <c r="BB106" s="224" t="str">
        <f>IFERROR(AZ106/#REF!,"")</f>
        <v/>
      </c>
      <c r="BC106" s="224" t="str">
        <f>IFERROR(VLOOKUP($A106,Devengado!$A$1:$AI$1,22,FALSE),"")</f>
        <v/>
      </c>
      <c r="BD106" s="224" t="str">
        <f>IFERROR(VLOOKUP($A106,Devengado!$A$1:$AI$1,23,FALSE),"")</f>
        <v/>
      </c>
      <c r="BE106" s="224" t="str">
        <f>IFERROR(VLOOKUP($A106,Devengado!$A$1:$AI$1,24,FALSE),"")</f>
        <v/>
      </c>
      <c r="BF106" s="224" t="str">
        <f>IFERROR(VLOOKUP($A106,Devengado!$A$1:$AI$1,25,FALSE),"")</f>
        <v/>
      </c>
      <c r="BG106" s="224" t="str">
        <f>IFERROR(VLOOKUP($A106,Devengado!$A$1:$AI$1,26,FALSE),"")</f>
        <v/>
      </c>
      <c r="BH106" s="224" t="str">
        <f>IFERROR(VLOOKUP($A106,Devengado!$A$1:$AI$1,27,FALSE),"")</f>
        <v/>
      </c>
      <c r="BI106" s="224" t="str">
        <f>IFERROR(VLOOKUP($A106,Devengado!$A$1:$AI$1,28,FALSE),"")</f>
        <v/>
      </c>
      <c r="BJ106" s="224" t="str">
        <f>IFERROR(VLOOKUP($A106,Devengado!$A$1:$AI$1,29,FALSE),"")</f>
        <v/>
      </c>
      <c r="BK106" s="224" t="str">
        <f>IFERROR(VLOOKUP($A106,Devengado!$A$1:$AI$1,30,FALSE),"")</f>
        <v/>
      </c>
      <c r="BL106" s="224" t="str">
        <f>IFERROR(VLOOKUP($A106,Devengado!$A$1:$AI$1,31,FALSE),"")</f>
        <v/>
      </c>
      <c r="BM106" s="224" t="str">
        <f>IFERROR(VLOOKUP($A106,Devengado!$A$1:$AI$1,32,FALSE),"")</f>
        <v/>
      </c>
      <c r="BN106" s="224" t="str">
        <f>IFERROR(VLOOKUP($A106,Devengado!$A$1:$AI$1,33,FALSE),"")</f>
        <v/>
      </c>
      <c r="BO106" s="224">
        <f t="shared" si="12"/>
        <v>0</v>
      </c>
      <c r="BP106" s="224" t="str">
        <f t="shared" si="13"/>
        <v/>
      </c>
      <c r="BQ106" s="207"/>
      <c r="BR106" s="207" t="str">
        <f t="shared" si="14"/>
        <v>51</v>
      </c>
    </row>
    <row r="107" spans="1:70" s="225" customFormat="1" ht="25.5" customHeight="1">
      <c r="A107" s="207">
        <v>103</v>
      </c>
      <c r="B107" s="112" t="s">
        <v>73</v>
      </c>
      <c r="C107" s="112" t="s">
        <v>187</v>
      </c>
      <c r="D107" s="112" t="s">
        <v>188</v>
      </c>
      <c r="E107" s="112" t="s">
        <v>76</v>
      </c>
      <c r="F107" s="112" t="s">
        <v>77</v>
      </c>
      <c r="G107" s="112" t="s">
        <v>77</v>
      </c>
      <c r="H107" s="112" t="s">
        <v>77</v>
      </c>
      <c r="I107" s="112" t="s">
        <v>77</v>
      </c>
      <c r="J107" s="112" t="s">
        <v>77</v>
      </c>
      <c r="K107" s="112" t="s">
        <v>77</v>
      </c>
      <c r="L107" s="112" t="s">
        <v>85</v>
      </c>
      <c r="M107" s="112" t="s">
        <v>189</v>
      </c>
      <c r="N107" s="112">
        <v>9999</v>
      </c>
      <c r="O107" s="114" t="s">
        <v>132</v>
      </c>
      <c r="P107" s="114" t="s">
        <v>81</v>
      </c>
      <c r="Q107" s="114" t="s">
        <v>112</v>
      </c>
      <c r="R107" s="115" t="str">
        <f t="shared" si="8"/>
        <v>51</v>
      </c>
      <c r="S107" s="122">
        <v>510105</v>
      </c>
      <c r="T107" s="122" t="str">
        <f>VLOOKUP(S107,ITEM!$C$1:$D$156,2,FALSE)</f>
        <v>Remuneraciones Unificadas</v>
      </c>
      <c r="U107" s="112" t="s">
        <v>190</v>
      </c>
      <c r="V107" s="112" t="s">
        <v>82</v>
      </c>
      <c r="W107" s="112" t="s">
        <v>84</v>
      </c>
      <c r="X107" s="112" t="s">
        <v>84</v>
      </c>
      <c r="Y107" s="224" t="e">
        <f>'Matriz POA 2024-TRABAJO'!#REF!</f>
        <v>#REF!</v>
      </c>
      <c r="Z107" s="224" t="e">
        <f>'Matriz POA 2024-TRABAJO'!#REF!</f>
        <v>#REF!</v>
      </c>
      <c r="AA107" s="224" t="e">
        <f>'Matriz POA 2024-TRABAJO'!#REF!</f>
        <v>#REF!</v>
      </c>
      <c r="AB107" s="279">
        <v>26113</v>
      </c>
      <c r="AC107" s="279">
        <v>26113</v>
      </c>
      <c r="AD107" s="279">
        <v>26113</v>
      </c>
      <c r="AE107" s="279">
        <v>26113</v>
      </c>
      <c r="AF107" s="279">
        <v>26113</v>
      </c>
      <c r="AG107" s="279">
        <v>26113</v>
      </c>
      <c r="AH107" s="279">
        <v>26113</v>
      </c>
      <c r="AI107" s="279">
        <v>26113</v>
      </c>
      <c r="AJ107" s="279">
        <v>26113</v>
      </c>
      <c r="AK107" s="279">
        <v>26113</v>
      </c>
      <c r="AL107" s="279">
        <v>26113</v>
      </c>
      <c r="AM107" s="279">
        <v>30044.400000000001</v>
      </c>
      <c r="AN107" s="224" t="e">
        <f>SUM(#REF!)</f>
        <v>#REF!</v>
      </c>
      <c r="AO107" s="224">
        <f t="shared" si="9"/>
        <v>317287.40000000002</v>
      </c>
      <c r="AP107" s="224" t="e">
        <f t="shared" si="15"/>
        <v>#REF!</v>
      </c>
      <c r="AQ107" s="224"/>
      <c r="AR107" s="224"/>
      <c r="AS107" s="224"/>
      <c r="AT107" s="224" t="str">
        <f>IFERROR(VLOOKUP($A107,'Constancias POA'!$A$2:$DH$9993,17,FALSE),"")</f>
        <v/>
      </c>
      <c r="AU107" s="224" t="str">
        <f t="shared" si="10"/>
        <v/>
      </c>
      <c r="AV107" s="224" t="str">
        <f>IFERROR(VLOOKUP($A107,CP!$A$1:$U$7992,18,FALSE),"")</f>
        <v/>
      </c>
      <c r="AW107" s="224" t="str">
        <f>IFERROR(VLOOKUP($A107,CP!$A$1:$U$7992,19,FALSE),"")</f>
        <v/>
      </c>
      <c r="AX107" s="224" t="str">
        <f>IFERROR(VLOOKUP($A107,CP!$A$1:$U$7992,20,FALSE),"")</f>
        <v/>
      </c>
      <c r="AY107" s="224" t="str">
        <f>IFERROR(VLOOKUP($A107,CP!$A$1:$U$1,21,FALSE),"")</f>
        <v/>
      </c>
      <c r="AZ107" s="224" t="str">
        <f>IFERROR(VLOOKUP(A107,Devengado!$A$1:AJ1,35,FALSE),"")</f>
        <v/>
      </c>
      <c r="BA107" s="224" t="str">
        <f t="shared" si="11"/>
        <v/>
      </c>
      <c r="BB107" s="224" t="str">
        <f>IFERROR(AZ107/#REF!,"")</f>
        <v/>
      </c>
      <c r="BC107" s="224" t="str">
        <f>IFERROR(VLOOKUP($A107,Devengado!$A$1:$AI$1,22,FALSE),"")</f>
        <v/>
      </c>
      <c r="BD107" s="224" t="str">
        <f>IFERROR(VLOOKUP($A107,Devengado!$A$1:$AI$1,23,FALSE),"")</f>
        <v/>
      </c>
      <c r="BE107" s="224" t="str">
        <f>IFERROR(VLOOKUP($A107,Devengado!$A$1:$AI$1,24,FALSE),"")</f>
        <v/>
      </c>
      <c r="BF107" s="224" t="str">
        <f>IFERROR(VLOOKUP($A107,Devengado!$A$1:$AI$1,25,FALSE),"")</f>
        <v/>
      </c>
      <c r="BG107" s="224" t="str">
        <f>IFERROR(VLOOKUP($A107,Devengado!$A$1:$AI$1,26,FALSE),"")</f>
        <v/>
      </c>
      <c r="BH107" s="224" t="str">
        <f>IFERROR(VLOOKUP($A107,Devengado!$A$1:$AI$1,27,FALSE),"")</f>
        <v/>
      </c>
      <c r="BI107" s="224" t="str">
        <f>IFERROR(VLOOKUP($A107,Devengado!$A$1:$AI$1,28,FALSE),"")</f>
        <v/>
      </c>
      <c r="BJ107" s="224" t="str">
        <f>IFERROR(VLOOKUP($A107,Devengado!$A$1:$AI$1,29,FALSE),"")</f>
        <v/>
      </c>
      <c r="BK107" s="224" t="str">
        <f>IFERROR(VLOOKUP($A107,Devengado!$A$1:$AI$1,30,FALSE),"")</f>
        <v/>
      </c>
      <c r="BL107" s="224" t="str">
        <f>IFERROR(VLOOKUP($A107,Devengado!$A$1:$AI$1,31,FALSE),"")</f>
        <v/>
      </c>
      <c r="BM107" s="224" t="str">
        <f>IFERROR(VLOOKUP($A107,Devengado!$A$1:$AI$1,32,FALSE),"")</f>
        <v/>
      </c>
      <c r="BN107" s="224" t="str">
        <f>IFERROR(VLOOKUP($A107,Devengado!$A$1:$AI$1,33,FALSE),"")</f>
        <v/>
      </c>
      <c r="BO107" s="224">
        <f t="shared" si="12"/>
        <v>0</v>
      </c>
      <c r="BP107" s="224" t="str">
        <f t="shared" si="13"/>
        <v/>
      </c>
      <c r="BQ107" s="207"/>
      <c r="BR107" s="207" t="str">
        <f t="shared" si="14"/>
        <v>51</v>
      </c>
    </row>
    <row r="108" spans="1:70" s="225" customFormat="1" ht="25.5" customHeight="1">
      <c r="A108" s="207">
        <v>104</v>
      </c>
      <c r="B108" s="112" t="s">
        <v>73</v>
      </c>
      <c r="C108" s="112" t="s">
        <v>187</v>
      </c>
      <c r="D108" s="112" t="s">
        <v>188</v>
      </c>
      <c r="E108" s="112" t="s">
        <v>76</v>
      </c>
      <c r="F108" s="112" t="s">
        <v>77</v>
      </c>
      <c r="G108" s="112" t="s">
        <v>77</v>
      </c>
      <c r="H108" s="112" t="s">
        <v>77</v>
      </c>
      <c r="I108" s="112" t="s">
        <v>77</v>
      </c>
      <c r="J108" s="112" t="s">
        <v>77</v>
      </c>
      <c r="K108" s="112" t="s">
        <v>77</v>
      </c>
      <c r="L108" s="112" t="s">
        <v>85</v>
      </c>
      <c r="M108" s="112" t="s">
        <v>189</v>
      </c>
      <c r="N108" s="112">
        <v>9999</v>
      </c>
      <c r="O108" s="114" t="s">
        <v>132</v>
      </c>
      <c r="P108" s="114" t="s">
        <v>81</v>
      </c>
      <c r="Q108" s="114" t="s">
        <v>112</v>
      </c>
      <c r="R108" s="115" t="str">
        <f t="shared" si="8"/>
        <v>51</v>
      </c>
      <c r="S108" s="122">
        <v>510510</v>
      </c>
      <c r="T108" s="122" t="str">
        <f>VLOOKUP(S108,ITEM!$C$1:$D$156,2,FALSE)</f>
        <v>Servicios Personales por Contrato</v>
      </c>
      <c r="U108" s="112" t="s">
        <v>190</v>
      </c>
      <c r="V108" s="112" t="s">
        <v>82</v>
      </c>
      <c r="W108" s="112" t="s">
        <v>84</v>
      </c>
      <c r="X108" s="112" t="s">
        <v>84</v>
      </c>
      <c r="Y108" s="224" t="e">
        <f>'Matriz POA 2024-TRABAJO'!#REF!</f>
        <v>#REF!</v>
      </c>
      <c r="Z108" s="224" t="e">
        <f>'Matriz POA 2024-TRABAJO'!#REF!</f>
        <v>#REF!</v>
      </c>
      <c r="AA108" s="224" t="e">
        <f>'Matriz POA 2024-TRABAJO'!#REF!</f>
        <v>#REF!</v>
      </c>
      <c r="AB108" s="279">
        <v>9986.8333333333339</v>
      </c>
      <c r="AC108" s="279">
        <v>9986.8333333333339</v>
      </c>
      <c r="AD108" s="279">
        <v>9986.8333333333339</v>
      </c>
      <c r="AE108" s="279">
        <v>9986.8333333333339</v>
      </c>
      <c r="AF108" s="279">
        <v>9986.8333333333339</v>
      </c>
      <c r="AG108" s="279">
        <v>9986.8333333333339</v>
      </c>
      <c r="AH108" s="279">
        <v>9986.8333333333339</v>
      </c>
      <c r="AI108" s="279">
        <v>9986.8333333333339</v>
      </c>
      <c r="AJ108" s="279">
        <v>9986.8333333333339</v>
      </c>
      <c r="AK108" s="279">
        <v>9986.8333333333339</v>
      </c>
      <c r="AL108" s="279">
        <v>9986.8333333333339</v>
      </c>
      <c r="AM108" s="279">
        <v>9986.8333333333339</v>
      </c>
      <c r="AN108" s="224" t="e">
        <f>SUM(#REF!)</f>
        <v>#REF!</v>
      </c>
      <c r="AO108" s="224">
        <f t="shared" si="9"/>
        <v>119841.99999999999</v>
      </c>
      <c r="AP108" s="224" t="e">
        <f t="shared" si="15"/>
        <v>#REF!</v>
      </c>
      <c r="AQ108" s="224"/>
      <c r="AR108" s="224"/>
      <c r="AS108" s="224"/>
      <c r="AT108" s="224" t="str">
        <f>IFERROR(VLOOKUP($A108,'Constancias POA'!$A$2:$DH$9993,17,FALSE),"")</f>
        <v/>
      </c>
      <c r="AU108" s="224" t="str">
        <f t="shared" si="10"/>
        <v/>
      </c>
      <c r="AV108" s="224" t="str">
        <f>IFERROR(VLOOKUP($A108,CP!$A$1:$U$7992,18,FALSE),"")</f>
        <v/>
      </c>
      <c r="AW108" s="224" t="str">
        <f>IFERROR(VLOOKUP($A108,CP!$A$1:$U$7992,19,FALSE),"")</f>
        <v/>
      </c>
      <c r="AX108" s="224" t="str">
        <f>IFERROR(VLOOKUP($A108,CP!$A$1:$U$7992,20,FALSE),"")</f>
        <v/>
      </c>
      <c r="AY108" s="224" t="str">
        <f>IFERROR(VLOOKUP($A108,CP!$A$1:$U$1,21,FALSE),"")</f>
        <v/>
      </c>
      <c r="AZ108" s="224" t="str">
        <f>IFERROR(VLOOKUP(A108,Devengado!$A$1:AJ1,35,FALSE),"")</f>
        <v/>
      </c>
      <c r="BA108" s="224" t="str">
        <f t="shared" si="11"/>
        <v/>
      </c>
      <c r="BB108" s="224" t="str">
        <f>IFERROR(AZ108/#REF!,"")</f>
        <v/>
      </c>
      <c r="BC108" s="224" t="str">
        <f>IFERROR(VLOOKUP($A108,Devengado!$A$1:$AI$1,22,FALSE),"")</f>
        <v/>
      </c>
      <c r="BD108" s="224" t="str">
        <f>IFERROR(VLOOKUP($A108,Devengado!$A$1:$AI$1,23,FALSE),"")</f>
        <v/>
      </c>
      <c r="BE108" s="224" t="str">
        <f>IFERROR(VLOOKUP($A108,Devengado!$A$1:$AI$1,24,FALSE),"")</f>
        <v/>
      </c>
      <c r="BF108" s="224" t="str">
        <f>IFERROR(VLOOKUP($A108,Devengado!$A$1:$AI$1,25,FALSE),"")</f>
        <v/>
      </c>
      <c r="BG108" s="224" t="str">
        <f>IFERROR(VLOOKUP($A108,Devengado!$A$1:$AI$1,26,FALSE),"")</f>
        <v/>
      </c>
      <c r="BH108" s="224" t="str">
        <f>IFERROR(VLOOKUP($A108,Devengado!$A$1:$AI$1,27,FALSE),"")</f>
        <v/>
      </c>
      <c r="BI108" s="224" t="str">
        <f>IFERROR(VLOOKUP($A108,Devengado!$A$1:$AI$1,28,FALSE),"")</f>
        <v/>
      </c>
      <c r="BJ108" s="224" t="str">
        <f>IFERROR(VLOOKUP($A108,Devengado!$A$1:$AI$1,29,FALSE),"")</f>
        <v/>
      </c>
      <c r="BK108" s="224" t="str">
        <f>IFERROR(VLOOKUP($A108,Devengado!$A$1:$AI$1,30,FALSE),"")</f>
        <v/>
      </c>
      <c r="BL108" s="224" t="str">
        <f>IFERROR(VLOOKUP($A108,Devengado!$A$1:$AI$1,31,FALSE),"")</f>
        <v/>
      </c>
      <c r="BM108" s="224" t="str">
        <f>IFERROR(VLOOKUP($A108,Devengado!$A$1:$AI$1,32,FALSE),"")</f>
        <v/>
      </c>
      <c r="BN108" s="224" t="str">
        <f>IFERROR(VLOOKUP($A108,Devengado!$A$1:$AI$1,33,FALSE),"")</f>
        <v/>
      </c>
      <c r="BO108" s="224">
        <f t="shared" si="12"/>
        <v>0</v>
      </c>
      <c r="BP108" s="224" t="str">
        <f t="shared" si="13"/>
        <v/>
      </c>
      <c r="BQ108" s="207"/>
      <c r="BR108" s="207" t="str">
        <f t="shared" si="14"/>
        <v>51</v>
      </c>
    </row>
    <row r="109" spans="1:70" s="225" customFormat="1" ht="25.5" customHeight="1">
      <c r="A109" s="207">
        <v>105</v>
      </c>
      <c r="B109" s="112" t="s">
        <v>73</v>
      </c>
      <c r="C109" s="112" t="s">
        <v>187</v>
      </c>
      <c r="D109" s="112" t="s">
        <v>188</v>
      </c>
      <c r="E109" s="112" t="s">
        <v>76</v>
      </c>
      <c r="F109" s="112" t="s">
        <v>77</v>
      </c>
      <c r="G109" s="112" t="s">
        <v>77</v>
      </c>
      <c r="H109" s="112" t="s">
        <v>77</v>
      </c>
      <c r="I109" s="112" t="s">
        <v>77</v>
      </c>
      <c r="J109" s="112" t="s">
        <v>77</v>
      </c>
      <c r="K109" s="112" t="s">
        <v>77</v>
      </c>
      <c r="L109" s="112" t="s">
        <v>85</v>
      </c>
      <c r="M109" s="112" t="s">
        <v>189</v>
      </c>
      <c r="N109" s="112">
        <v>9999</v>
      </c>
      <c r="O109" s="114" t="s">
        <v>132</v>
      </c>
      <c r="P109" s="114" t="s">
        <v>81</v>
      </c>
      <c r="Q109" s="114" t="s">
        <v>112</v>
      </c>
      <c r="R109" s="115" t="str">
        <f t="shared" si="8"/>
        <v>51</v>
      </c>
      <c r="S109" s="122">
        <v>510203</v>
      </c>
      <c r="T109" s="122" t="str">
        <f>VLOOKUP(S109,ITEM!$C$1:$D$156,2,FALSE)</f>
        <v>Decimo Tercer Sueldo</v>
      </c>
      <c r="U109" s="112" t="s">
        <v>190</v>
      </c>
      <c r="V109" s="112" t="s">
        <v>82</v>
      </c>
      <c r="W109" s="112" t="s">
        <v>84</v>
      </c>
      <c r="X109" s="112" t="s">
        <v>84</v>
      </c>
      <c r="Y109" s="224" t="e">
        <f>'Matriz POA 2024-TRABAJO'!#REF!</f>
        <v>#REF!</v>
      </c>
      <c r="Z109" s="224" t="e">
        <f>'Matriz POA 2024-TRABAJO'!#REF!</f>
        <v>#REF!</v>
      </c>
      <c r="AA109" s="224" t="e">
        <f>'Matriz POA 2024-TRABAJO'!#REF!</f>
        <v>#REF!</v>
      </c>
      <c r="AB109" s="279">
        <v>1846.98</v>
      </c>
      <c r="AC109" s="279">
        <v>1846.98</v>
      </c>
      <c r="AD109" s="279">
        <v>1846.98</v>
      </c>
      <c r="AE109" s="279">
        <v>1846.98</v>
      </c>
      <c r="AF109" s="279">
        <v>1846.98</v>
      </c>
      <c r="AG109" s="279">
        <v>1846.98</v>
      </c>
      <c r="AH109" s="279">
        <v>1846.98</v>
      </c>
      <c r="AI109" s="279">
        <v>1846.98</v>
      </c>
      <c r="AJ109" s="279">
        <v>1846.98</v>
      </c>
      <c r="AK109" s="279">
        <v>1846.98</v>
      </c>
      <c r="AL109" s="279">
        <v>1846.98</v>
      </c>
      <c r="AM109" s="279">
        <v>15247.19</v>
      </c>
      <c r="AN109" s="224" t="e">
        <f>SUM(#REF!)</f>
        <v>#REF!</v>
      </c>
      <c r="AO109" s="224">
        <f t="shared" si="9"/>
        <v>35563.97</v>
      </c>
      <c r="AP109" s="224" t="e">
        <f t="shared" si="15"/>
        <v>#REF!</v>
      </c>
      <c r="AQ109" s="224"/>
      <c r="AR109" s="224"/>
      <c r="AS109" s="224"/>
      <c r="AT109" s="224" t="str">
        <f>IFERROR(VLOOKUP($A109,'Constancias POA'!$A$2:$DH$9993,17,FALSE),"")</f>
        <v/>
      </c>
      <c r="AU109" s="224" t="str">
        <f t="shared" si="10"/>
        <v/>
      </c>
      <c r="AV109" s="224" t="str">
        <f>IFERROR(VLOOKUP($A109,CP!$A$1:$U$7992,18,FALSE),"")</f>
        <v/>
      </c>
      <c r="AW109" s="224" t="str">
        <f>IFERROR(VLOOKUP($A109,CP!$A$1:$U$7992,19,FALSE),"")</f>
        <v/>
      </c>
      <c r="AX109" s="224" t="str">
        <f>IFERROR(VLOOKUP($A109,CP!$A$1:$U$7992,20,FALSE),"")</f>
        <v/>
      </c>
      <c r="AY109" s="224" t="str">
        <f>IFERROR(VLOOKUP($A109,CP!$A$1:$U$1,21,FALSE),"")</f>
        <v/>
      </c>
      <c r="AZ109" s="224" t="str">
        <f>IFERROR(VLOOKUP(A109,Devengado!$A$1:AJ1,35,FALSE),"")</f>
        <v/>
      </c>
      <c r="BA109" s="224" t="str">
        <f t="shared" si="11"/>
        <v/>
      </c>
      <c r="BB109" s="224" t="str">
        <f>IFERROR(AZ109/#REF!,"")</f>
        <v/>
      </c>
      <c r="BC109" s="224" t="str">
        <f>IFERROR(VLOOKUP($A109,Devengado!$A$1:$AI$1,22,FALSE),"")</f>
        <v/>
      </c>
      <c r="BD109" s="224" t="str">
        <f>IFERROR(VLOOKUP($A109,Devengado!$A$1:$AI$1,23,FALSE),"")</f>
        <v/>
      </c>
      <c r="BE109" s="224" t="str">
        <f>IFERROR(VLOOKUP($A109,Devengado!$A$1:$AI$1,24,FALSE),"")</f>
        <v/>
      </c>
      <c r="BF109" s="224" t="str">
        <f>IFERROR(VLOOKUP($A109,Devengado!$A$1:$AI$1,25,FALSE),"")</f>
        <v/>
      </c>
      <c r="BG109" s="224" t="str">
        <f>IFERROR(VLOOKUP($A109,Devengado!$A$1:$AI$1,26,FALSE),"")</f>
        <v/>
      </c>
      <c r="BH109" s="224" t="str">
        <f>IFERROR(VLOOKUP($A109,Devengado!$A$1:$AI$1,27,FALSE),"")</f>
        <v/>
      </c>
      <c r="BI109" s="224" t="str">
        <f>IFERROR(VLOOKUP($A109,Devengado!$A$1:$AI$1,28,FALSE),"")</f>
        <v/>
      </c>
      <c r="BJ109" s="224" t="str">
        <f>IFERROR(VLOOKUP($A109,Devengado!$A$1:$AI$1,29,FALSE),"")</f>
        <v/>
      </c>
      <c r="BK109" s="224" t="str">
        <f>IFERROR(VLOOKUP($A109,Devengado!$A$1:$AI$1,30,FALSE),"")</f>
        <v/>
      </c>
      <c r="BL109" s="224" t="str">
        <f>IFERROR(VLOOKUP($A109,Devengado!$A$1:$AI$1,31,FALSE),"")</f>
        <v/>
      </c>
      <c r="BM109" s="224" t="str">
        <f>IFERROR(VLOOKUP($A109,Devengado!$A$1:$AI$1,32,FALSE),"")</f>
        <v/>
      </c>
      <c r="BN109" s="224" t="str">
        <f>IFERROR(VLOOKUP($A109,Devengado!$A$1:$AI$1,33,FALSE),"")</f>
        <v/>
      </c>
      <c r="BO109" s="224">
        <f t="shared" si="12"/>
        <v>0</v>
      </c>
      <c r="BP109" s="224" t="str">
        <f t="shared" si="13"/>
        <v/>
      </c>
      <c r="BQ109" s="207"/>
      <c r="BR109" s="207" t="str">
        <f t="shared" si="14"/>
        <v>51</v>
      </c>
    </row>
    <row r="110" spans="1:70" s="225" customFormat="1" ht="25.5" customHeight="1">
      <c r="A110" s="207">
        <v>106</v>
      </c>
      <c r="B110" s="112" t="s">
        <v>73</v>
      </c>
      <c r="C110" s="112" t="s">
        <v>187</v>
      </c>
      <c r="D110" s="112" t="s">
        <v>188</v>
      </c>
      <c r="E110" s="112" t="s">
        <v>76</v>
      </c>
      <c r="F110" s="112" t="s">
        <v>77</v>
      </c>
      <c r="G110" s="112" t="s">
        <v>77</v>
      </c>
      <c r="H110" s="112" t="s">
        <v>77</v>
      </c>
      <c r="I110" s="112" t="s">
        <v>77</v>
      </c>
      <c r="J110" s="112" t="s">
        <v>77</v>
      </c>
      <c r="K110" s="112" t="s">
        <v>77</v>
      </c>
      <c r="L110" s="112" t="s">
        <v>85</v>
      </c>
      <c r="M110" s="112" t="s">
        <v>189</v>
      </c>
      <c r="N110" s="112">
        <v>9999</v>
      </c>
      <c r="O110" s="114" t="s">
        <v>132</v>
      </c>
      <c r="P110" s="114" t="s">
        <v>81</v>
      </c>
      <c r="Q110" s="114" t="s">
        <v>112</v>
      </c>
      <c r="R110" s="115" t="str">
        <f t="shared" si="8"/>
        <v>51</v>
      </c>
      <c r="S110" s="122">
        <v>510204</v>
      </c>
      <c r="T110" s="122" t="str">
        <f>VLOOKUP(S110,ITEM!$C$1:$D$156,2,FALSE)</f>
        <v>Decimo Cuarto Sueldo</v>
      </c>
      <c r="U110" s="112" t="s">
        <v>190</v>
      </c>
      <c r="V110" s="112" t="s">
        <v>82</v>
      </c>
      <c r="W110" s="112" t="s">
        <v>84</v>
      </c>
      <c r="X110" s="112" t="s">
        <v>84</v>
      </c>
      <c r="Y110" s="224" t="e">
        <f>'Matriz POA 2024-TRABAJO'!#REF!</f>
        <v>#REF!</v>
      </c>
      <c r="Z110" s="224" t="e">
        <f>'Matriz POA 2024-TRABAJO'!#REF!</f>
        <v>#REF!</v>
      </c>
      <c r="AA110" s="224" t="e">
        <f>'Matriz POA 2024-TRABAJO'!#REF!</f>
        <v>#REF!</v>
      </c>
      <c r="AB110" s="279">
        <v>443.01</v>
      </c>
      <c r="AC110" s="279">
        <v>443.01</v>
      </c>
      <c r="AD110" s="279">
        <v>443.01</v>
      </c>
      <c r="AE110" s="279">
        <v>443.01</v>
      </c>
      <c r="AF110" s="279">
        <v>443.01</v>
      </c>
      <c r="AG110" s="279">
        <v>443.01</v>
      </c>
      <c r="AH110" s="279">
        <v>443.01</v>
      </c>
      <c r="AI110" s="279">
        <v>7000.04</v>
      </c>
      <c r="AJ110" s="279">
        <v>443.01</v>
      </c>
      <c r="AK110" s="279">
        <v>443.01</v>
      </c>
      <c r="AL110" s="279">
        <v>443.01</v>
      </c>
      <c r="AM110" s="279">
        <v>443.01</v>
      </c>
      <c r="AN110" s="224" t="e">
        <f>SUM(#REF!)</f>
        <v>#REF!</v>
      </c>
      <c r="AO110" s="224">
        <f t="shared" si="9"/>
        <v>11873.150000000001</v>
      </c>
      <c r="AP110" s="224" t="e">
        <f t="shared" si="15"/>
        <v>#REF!</v>
      </c>
      <c r="AQ110" s="224"/>
      <c r="AR110" s="224"/>
      <c r="AS110" s="224"/>
      <c r="AT110" s="224" t="str">
        <f>IFERROR(VLOOKUP($A110,'Constancias POA'!$A$2:$DH$9993,17,FALSE),"")</f>
        <v/>
      </c>
      <c r="AU110" s="224" t="str">
        <f t="shared" si="10"/>
        <v/>
      </c>
      <c r="AV110" s="224" t="str">
        <f>IFERROR(VLOOKUP($A110,CP!$A$1:$U$7992,18,FALSE),"")</f>
        <v/>
      </c>
      <c r="AW110" s="224" t="str">
        <f>IFERROR(VLOOKUP($A110,CP!$A$1:$U$7992,19,FALSE),"")</f>
        <v/>
      </c>
      <c r="AX110" s="224" t="str">
        <f>IFERROR(VLOOKUP($A110,CP!$A$1:$U$7992,20,FALSE),"")</f>
        <v/>
      </c>
      <c r="AY110" s="224" t="str">
        <f>IFERROR(VLOOKUP($A110,CP!$A$1:$U$1,21,FALSE),"")</f>
        <v/>
      </c>
      <c r="AZ110" s="224" t="str">
        <f>IFERROR(VLOOKUP(A110,Devengado!$A$1:AJ1,35,FALSE),"")</f>
        <v/>
      </c>
      <c r="BA110" s="224" t="str">
        <f t="shared" si="11"/>
        <v/>
      </c>
      <c r="BB110" s="224" t="str">
        <f>IFERROR(AZ110/#REF!,"")</f>
        <v/>
      </c>
      <c r="BC110" s="224" t="str">
        <f>IFERROR(VLOOKUP($A110,Devengado!$A$1:$AI$1,22,FALSE),"")</f>
        <v/>
      </c>
      <c r="BD110" s="224" t="str">
        <f>IFERROR(VLOOKUP($A110,Devengado!$A$1:$AI$1,23,FALSE),"")</f>
        <v/>
      </c>
      <c r="BE110" s="224" t="str">
        <f>IFERROR(VLOOKUP($A110,Devengado!$A$1:$AI$1,24,FALSE),"")</f>
        <v/>
      </c>
      <c r="BF110" s="224" t="str">
        <f>IFERROR(VLOOKUP($A110,Devengado!$A$1:$AI$1,25,FALSE),"")</f>
        <v/>
      </c>
      <c r="BG110" s="224" t="str">
        <f>IFERROR(VLOOKUP($A110,Devengado!$A$1:$AI$1,26,FALSE),"")</f>
        <v/>
      </c>
      <c r="BH110" s="224" t="str">
        <f>IFERROR(VLOOKUP($A110,Devengado!$A$1:$AI$1,27,FALSE),"")</f>
        <v/>
      </c>
      <c r="BI110" s="224" t="str">
        <f>IFERROR(VLOOKUP($A110,Devengado!$A$1:$AI$1,28,FALSE),"")</f>
        <v/>
      </c>
      <c r="BJ110" s="224" t="str">
        <f>IFERROR(VLOOKUP($A110,Devengado!$A$1:$AI$1,29,FALSE),"")</f>
        <v/>
      </c>
      <c r="BK110" s="224" t="str">
        <f>IFERROR(VLOOKUP($A110,Devengado!$A$1:$AI$1,30,FALSE),"")</f>
        <v/>
      </c>
      <c r="BL110" s="224" t="str">
        <f>IFERROR(VLOOKUP($A110,Devengado!$A$1:$AI$1,31,FALSE),"")</f>
        <v/>
      </c>
      <c r="BM110" s="224" t="str">
        <f>IFERROR(VLOOKUP($A110,Devengado!$A$1:$AI$1,32,FALSE),"")</f>
        <v/>
      </c>
      <c r="BN110" s="224" t="str">
        <f>IFERROR(VLOOKUP($A110,Devengado!$A$1:$AI$1,33,FALSE),"")</f>
        <v/>
      </c>
      <c r="BO110" s="224">
        <f t="shared" si="12"/>
        <v>0</v>
      </c>
      <c r="BP110" s="224" t="str">
        <f t="shared" si="13"/>
        <v/>
      </c>
      <c r="BQ110" s="207"/>
      <c r="BR110" s="207" t="str">
        <f t="shared" si="14"/>
        <v>51</v>
      </c>
    </row>
    <row r="111" spans="1:70" s="225" customFormat="1" ht="25.5" customHeight="1">
      <c r="A111" s="207">
        <v>107</v>
      </c>
      <c r="B111" s="112" t="s">
        <v>73</v>
      </c>
      <c r="C111" s="112" t="s">
        <v>187</v>
      </c>
      <c r="D111" s="112" t="s">
        <v>188</v>
      </c>
      <c r="E111" s="112" t="s">
        <v>76</v>
      </c>
      <c r="F111" s="112" t="s">
        <v>77</v>
      </c>
      <c r="G111" s="112" t="s">
        <v>77</v>
      </c>
      <c r="H111" s="112" t="s">
        <v>77</v>
      </c>
      <c r="I111" s="112" t="s">
        <v>77</v>
      </c>
      <c r="J111" s="112" t="s">
        <v>77</v>
      </c>
      <c r="K111" s="112" t="s">
        <v>77</v>
      </c>
      <c r="L111" s="112" t="s">
        <v>85</v>
      </c>
      <c r="M111" s="112" t="s">
        <v>189</v>
      </c>
      <c r="N111" s="112">
        <v>9999</v>
      </c>
      <c r="O111" s="114" t="s">
        <v>132</v>
      </c>
      <c r="P111" s="114" t="s">
        <v>81</v>
      </c>
      <c r="Q111" s="114" t="s">
        <v>112</v>
      </c>
      <c r="R111" s="115" t="str">
        <f t="shared" si="8"/>
        <v>51</v>
      </c>
      <c r="S111" s="122">
        <v>510512</v>
      </c>
      <c r="T111" s="122" t="str">
        <f>VLOOKUP(S111,ITEM!$C$1:$D$156,2,FALSE)</f>
        <v>Subrogación</v>
      </c>
      <c r="U111" s="112" t="s">
        <v>190</v>
      </c>
      <c r="V111" s="112" t="s">
        <v>82</v>
      </c>
      <c r="W111" s="112" t="s">
        <v>84</v>
      </c>
      <c r="X111" s="112" t="s">
        <v>84</v>
      </c>
      <c r="Y111" s="224" t="e">
        <f>'Matriz POA 2024-TRABAJO'!#REF!</f>
        <v>#REF!</v>
      </c>
      <c r="Z111" s="224" t="e">
        <f>'Matriz POA 2024-TRABAJO'!#REF!</f>
        <v>#REF!</v>
      </c>
      <c r="AA111" s="224" t="e">
        <f>'Matriz POA 2024-TRABAJO'!#REF!</f>
        <v>#REF!</v>
      </c>
      <c r="AB111" s="279">
        <v>0</v>
      </c>
      <c r="AC111" s="279">
        <v>500</v>
      </c>
      <c r="AD111" s="279">
        <v>0</v>
      </c>
      <c r="AE111" s="279">
        <v>500</v>
      </c>
      <c r="AF111" s="279">
        <v>0</v>
      </c>
      <c r="AG111" s="279">
        <v>500</v>
      </c>
      <c r="AH111" s="279">
        <v>0</v>
      </c>
      <c r="AI111" s="279">
        <v>500</v>
      </c>
      <c r="AJ111" s="279">
        <v>0</v>
      </c>
      <c r="AK111" s="279">
        <v>500</v>
      </c>
      <c r="AL111" s="279">
        <v>0</v>
      </c>
      <c r="AM111" s="279">
        <v>1277.08</v>
      </c>
      <c r="AN111" s="224" t="e">
        <f>SUM(#REF!)</f>
        <v>#REF!</v>
      </c>
      <c r="AO111" s="224">
        <f t="shared" si="9"/>
        <v>3777.08</v>
      </c>
      <c r="AP111" s="224" t="e">
        <f t="shared" si="15"/>
        <v>#REF!</v>
      </c>
      <c r="AQ111" s="224"/>
      <c r="AR111" s="224"/>
      <c r="AS111" s="224"/>
      <c r="AT111" s="224" t="str">
        <f>IFERROR(VLOOKUP($A111,'Constancias POA'!$A$2:$DH$9993,17,FALSE),"")</f>
        <v/>
      </c>
      <c r="AU111" s="224" t="str">
        <f t="shared" si="10"/>
        <v/>
      </c>
      <c r="AV111" s="224" t="str">
        <f>IFERROR(VLOOKUP($A111,CP!$A$1:$U$7992,18,FALSE),"")</f>
        <v/>
      </c>
      <c r="AW111" s="224" t="str">
        <f>IFERROR(VLOOKUP($A111,CP!$A$1:$U$7992,19,FALSE),"")</f>
        <v/>
      </c>
      <c r="AX111" s="224" t="str">
        <f>IFERROR(VLOOKUP($A111,CP!$A$1:$U$7992,20,FALSE),"")</f>
        <v/>
      </c>
      <c r="AY111" s="224" t="str">
        <f>IFERROR(VLOOKUP($A111,CP!$A$1:$U$1,21,FALSE),"")</f>
        <v/>
      </c>
      <c r="AZ111" s="224" t="str">
        <f>IFERROR(VLOOKUP(A111,Devengado!$A$1:AJ1,35,FALSE),"")</f>
        <v/>
      </c>
      <c r="BA111" s="224" t="str">
        <f t="shared" si="11"/>
        <v/>
      </c>
      <c r="BB111" s="224" t="str">
        <f>IFERROR(AZ111/#REF!,"")</f>
        <v/>
      </c>
      <c r="BC111" s="224" t="str">
        <f>IFERROR(VLOOKUP($A111,Devengado!$A$1:$AI$1,22,FALSE),"")</f>
        <v/>
      </c>
      <c r="BD111" s="224" t="str">
        <f>IFERROR(VLOOKUP($A111,Devengado!$A$1:$AI$1,23,FALSE),"")</f>
        <v/>
      </c>
      <c r="BE111" s="224" t="str">
        <f>IFERROR(VLOOKUP($A111,Devengado!$A$1:$AI$1,24,FALSE),"")</f>
        <v/>
      </c>
      <c r="BF111" s="224" t="str">
        <f>IFERROR(VLOOKUP($A111,Devengado!$A$1:$AI$1,25,FALSE),"")</f>
        <v/>
      </c>
      <c r="BG111" s="224" t="str">
        <f>IFERROR(VLOOKUP($A111,Devengado!$A$1:$AI$1,26,FALSE),"")</f>
        <v/>
      </c>
      <c r="BH111" s="224" t="str">
        <f>IFERROR(VLOOKUP($A111,Devengado!$A$1:$AI$1,27,FALSE),"")</f>
        <v/>
      </c>
      <c r="BI111" s="224" t="str">
        <f>IFERROR(VLOOKUP($A111,Devengado!$A$1:$AI$1,28,FALSE),"")</f>
        <v/>
      </c>
      <c r="BJ111" s="224" t="str">
        <f>IFERROR(VLOOKUP($A111,Devengado!$A$1:$AI$1,29,FALSE),"")</f>
        <v/>
      </c>
      <c r="BK111" s="224" t="str">
        <f>IFERROR(VLOOKUP($A111,Devengado!$A$1:$AI$1,30,FALSE),"")</f>
        <v/>
      </c>
      <c r="BL111" s="224" t="str">
        <f>IFERROR(VLOOKUP($A111,Devengado!$A$1:$AI$1,31,FALSE),"")</f>
        <v/>
      </c>
      <c r="BM111" s="224" t="str">
        <f>IFERROR(VLOOKUP($A111,Devengado!$A$1:$AI$1,32,FALSE),"")</f>
        <v/>
      </c>
      <c r="BN111" s="224" t="str">
        <f>IFERROR(VLOOKUP($A111,Devengado!$A$1:$AI$1,33,FALSE),"")</f>
        <v/>
      </c>
      <c r="BO111" s="224">
        <f t="shared" si="12"/>
        <v>0</v>
      </c>
      <c r="BP111" s="224" t="str">
        <f t="shared" si="13"/>
        <v/>
      </c>
      <c r="BQ111" s="207"/>
      <c r="BR111" s="207" t="str">
        <f t="shared" si="14"/>
        <v>51</v>
      </c>
    </row>
    <row r="112" spans="1:70" s="225" customFormat="1" ht="25.5" customHeight="1">
      <c r="A112" s="207">
        <v>108</v>
      </c>
      <c r="B112" s="112" t="s">
        <v>73</v>
      </c>
      <c r="C112" s="112" t="s">
        <v>187</v>
      </c>
      <c r="D112" s="112" t="s">
        <v>188</v>
      </c>
      <c r="E112" s="112" t="s">
        <v>76</v>
      </c>
      <c r="F112" s="112" t="s">
        <v>77</v>
      </c>
      <c r="G112" s="112" t="s">
        <v>77</v>
      </c>
      <c r="H112" s="112" t="s">
        <v>77</v>
      </c>
      <c r="I112" s="112" t="s">
        <v>77</v>
      </c>
      <c r="J112" s="112" t="s">
        <v>77</v>
      </c>
      <c r="K112" s="112" t="s">
        <v>77</v>
      </c>
      <c r="L112" s="112" t="s">
        <v>85</v>
      </c>
      <c r="M112" s="112" t="s">
        <v>189</v>
      </c>
      <c r="N112" s="112">
        <v>9999</v>
      </c>
      <c r="O112" s="114" t="s">
        <v>132</v>
      </c>
      <c r="P112" s="114" t="s">
        <v>81</v>
      </c>
      <c r="Q112" s="114" t="s">
        <v>112</v>
      </c>
      <c r="R112" s="115" t="str">
        <f t="shared" si="8"/>
        <v>51</v>
      </c>
      <c r="S112" s="122">
        <v>510513</v>
      </c>
      <c r="T112" s="122" t="str">
        <f>VLOOKUP(S112,ITEM!$C$1:$D$156,2,FALSE)</f>
        <v>Encargos</v>
      </c>
      <c r="U112" s="112" t="s">
        <v>190</v>
      </c>
      <c r="V112" s="112" t="s">
        <v>82</v>
      </c>
      <c r="W112" s="112" t="s">
        <v>84</v>
      </c>
      <c r="X112" s="112" t="s">
        <v>84</v>
      </c>
      <c r="Y112" s="224" t="e">
        <f>'Matriz POA 2024-TRABAJO'!#REF!</f>
        <v>#REF!</v>
      </c>
      <c r="Z112" s="224" t="e">
        <f>'Matriz POA 2024-TRABAJO'!#REF!</f>
        <v>#REF!</v>
      </c>
      <c r="AA112" s="224" t="e">
        <f>'Matriz POA 2024-TRABAJO'!#REF!</f>
        <v>#REF!</v>
      </c>
      <c r="AB112" s="279">
        <v>1000</v>
      </c>
      <c r="AC112" s="279">
        <v>0</v>
      </c>
      <c r="AD112" s="279">
        <v>1000</v>
      </c>
      <c r="AE112" s="279">
        <v>0</v>
      </c>
      <c r="AF112" s="279">
        <v>1000</v>
      </c>
      <c r="AG112" s="279">
        <v>0</v>
      </c>
      <c r="AH112" s="279">
        <v>0</v>
      </c>
      <c r="AI112" s="279">
        <v>1000</v>
      </c>
      <c r="AJ112" s="279">
        <v>0</v>
      </c>
      <c r="AK112" s="279">
        <v>0</v>
      </c>
      <c r="AL112" s="279">
        <v>0</v>
      </c>
      <c r="AM112" s="279">
        <v>1179.53</v>
      </c>
      <c r="AN112" s="224" t="e">
        <f>SUM(#REF!)</f>
        <v>#REF!</v>
      </c>
      <c r="AO112" s="224">
        <f t="shared" si="9"/>
        <v>5179.53</v>
      </c>
      <c r="AP112" s="224" t="e">
        <f t="shared" si="15"/>
        <v>#REF!</v>
      </c>
      <c r="AQ112" s="224"/>
      <c r="AR112" s="224"/>
      <c r="AS112" s="224"/>
      <c r="AT112" s="224" t="str">
        <f>IFERROR(VLOOKUP($A112,'Constancias POA'!$A$2:$DH$9993,17,FALSE),"")</f>
        <v/>
      </c>
      <c r="AU112" s="224" t="str">
        <f t="shared" si="10"/>
        <v/>
      </c>
      <c r="AV112" s="224" t="str">
        <f>IFERROR(VLOOKUP($A112,CP!$A$1:$U$7992,18,FALSE),"")</f>
        <v/>
      </c>
      <c r="AW112" s="224" t="str">
        <f>IFERROR(VLOOKUP($A112,CP!$A$1:$U$7992,19,FALSE),"")</f>
        <v/>
      </c>
      <c r="AX112" s="224" t="str">
        <f>IFERROR(VLOOKUP($A112,CP!$A$1:$U$7992,20,FALSE),"")</f>
        <v/>
      </c>
      <c r="AY112" s="224" t="str">
        <f>IFERROR(VLOOKUP($A112,CP!$A$1:$U$1,21,FALSE),"")</f>
        <v/>
      </c>
      <c r="AZ112" s="224" t="str">
        <f>IFERROR(VLOOKUP(A112,Devengado!$A$1:AJ1,35,FALSE),"")</f>
        <v/>
      </c>
      <c r="BA112" s="224" t="str">
        <f t="shared" si="11"/>
        <v/>
      </c>
      <c r="BB112" s="224" t="str">
        <f>IFERROR(AZ112/#REF!,"")</f>
        <v/>
      </c>
      <c r="BC112" s="224" t="str">
        <f>IFERROR(VLOOKUP($A112,Devengado!$A$1:$AI$1,22,FALSE),"")</f>
        <v/>
      </c>
      <c r="BD112" s="224" t="str">
        <f>IFERROR(VLOOKUP($A112,Devengado!$A$1:$AI$1,23,FALSE),"")</f>
        <v/>
      </c>
      <c r="BE112" s="224" t="str">
        <f>IFERROR(VLOOKUP($A112,Devengado!$A$1:$AI$1,24,FALSE),"")</f>
        <v/>
      </c>
      <c r="BF112" s="224" t="str">
        <f>IFERROR(VLOOKUP($A112,Devengado!$A$1:$AI$1,25,FALSE),"")</f>
        <v/>
      </c>
      <c r="BG112" s="224" t="str">
        <f>IFERROR(VLOOKUP($A112,Devengado!$A$1:$AI$1,26,FALSE),"")</f>
        <v/>
      </c>
      <c r="BH112" s="224" t="str">
        <f>IFERROR(VLOOKUP($A112,Devengado!$A$1:$AI$1,27,FALSE),"")</f>
        <v/>
      </c>
      <c r="BI112" s="224" t="str">
        <f>IFERROR(VLOOKUP($A112,Devengado!$A$1:$AI$1,28,FALSE),"")</f>
        <v/>
      </c>
      <c r="BJ112" s="224" t="str">
        <f>IFERROR(VLOOKUP($A112,Devengado!$A$1:$AI$1,29,FALSE),"")</f>
        <v/>
      </c>
      <c r="BK112" s="224" t="str">
        <f>IFERROR(VLOOKUP($A112,Devengado!$A$1:$AI$1,30,FALSE),"")</f>
        <v/>
      </c>
      <c r="BL112" s="224" t="str">
        <f>IFERROR(VLOOKUP($A112,Devengado!$A$1:$AI$1,31,FALSE),"")</f>
        <v/>
      </c>
      <c r="BM112" s="224" t="str">
        <f>IFERROR(VLOOKUP($A112,Devengado!$A$1:$AI$1,32,FALSE),"")</f>
        <v/>
      </c>
      <c r="BN112" s="224" t="str">
        <f>IFERROR(VLOOKUP($A112,Devengado!$A$1:$AI$1,33,FALSE),"")</f>
        <v/>
      </c>
      <c r="BO112" s="224">
        <f t="shared" si="12"/>
        <v>0</v>
      </c>
      <c r="BP112" s="224" t="str">
        <f t="shared" si="13"/>
        <v/>
      </c>
      <c r="BQ112" s="207"/>
      <c r="BR112" s="207" t="str">
        <f t="shared" si="14"/>
        <v>51</v>
      </c>
    </row>
    <row r="113" spans="1:70" s="225" customFormat="1" ht="25.5" customHeight="1">
      <c r="A113" s="207">
        <v>109</v>
      </c>
      <c r="B113" s="112" t="s">
        <v>73</v>
      </c>
      <c r="C113" s="112" t="s">
        <v>187</v>
      </c>
      <c r="D113" s="112" t="s">
        <v>188</v>
      </c>
      <c r="E113" s="112" t="s">
        <v>76</v>
      </c>
      <c r="F113" s="112" t="s">
        <v>77</v>
      </c>
      <c r="G113" s="112" t="s">
        <v>77</v>
      </c>
      <c r="H113" s="112" t="s">
        <v>77</v>
      </c>
      <c r="I113" s="112" t="s">
        <v>77</v>
      </c>
      <c r="J113" s="112" t="s">
        <v>77</v>
      </c>
      <c r="K113" s="112" t="s">
        <v>77</v>
      </c>
      <c r="L113" s="112" t="s">
        <v>85</v>
      </c>
      <c r="M113" s="112" t="s">
        <v>189</v>
      </c>
      <c r="N113" s="112">
        <v>9999</v>
      </c>
      <c r="O113" s="114" t="s">
        <v>132</v>
      </c>
      <c r="P113" s="114" t="s">
        <v>81</v>
      </c>
      <c r="Q113" s="114" t="s">
        <v>112</v>
      </c>
      <c r="R113" s="115" t="str">
        <f t="shared" si="8"/>
        <v>51</v>
      </c>
      <c r="S113" s="122">
        <v>510601</v>
      </c>
      <c r="T113" s="122" t="str">
        <f>VLOOKUP(S113,ITEM!$C$1:$D$156,2,FALSE)</f>
        <v>Aporte Patronal</v>
      </c>
      <c r="U113" s="112" t="s">
        <v>190</v>
      </c>
      <c r="V113" s="112" t="s">
        <v>82</v>
      </c>
      <c r="W113" s="112" t="s">
        <v>84</v>
      </c>
      <c r="X113" s="112" t="s">
        <v>84</v>
      </c>
      <c r="Y113" s="224" t="e">
        <f>'Matriz POA 2024-TRABAJO'!#REF!</f>
        <v>#REF!</v>
      </c>
      <c r="Z113" s="224" t="e">
        <f>'Matriz POA 2024-TRABAJO'!#REF!</f>
        <v>#REF!</v>
      </c>
      <c r="AA113" s="224" t="e">
        <f>'Matriz POA 2024-TRABAJO'!#REF!</f>
        <v>#REF!</v>
      </c>
      <c r="AB113" s="279">
        <v>3587.29</v>
      </c>
      <c r="AC113" s="279">
        <v>3587.29</v>
      </c>
      <c r="AD113" s="279">
        <v>3587.29</v>
      </c>
      <c r="AE113" s="279">
        <v>3587.29</v>
      </c>
      <c r="AF113" s="279">
        <v>3587.29</v>
      </c>
      <c r="AG113" s="279">
        <v>3587.29</v>
      </c>
      <c r="AH113" s="279">
        <v>3587.29</v>
      </c>
      <c r="AI113" s="279">
        <v>3587.29</v>
      </c>
      <c r="AJ113" s="279">
        <v>3587.29</v>
      </c>
      <c r="AK113" s="279">
        <v>3587.29</v>
      </c>
      <c r="AL113" s="279">
        <v>3587.29</v>
      </c>
      <c r="AM113" s="279">
        <v>3587.28</v>
      </c>
      <c r="AN113" s="224" t="e">
        <f>SUM(#REF!)</f>
        <v>#REF!</v>
      </c>
      <c r="AO113" s="224">
        <f t="shared" si="9"/>
        <v>43047.47</v>
      </c>
      <c r="AP113" s="224" t="e">
        <f t="shared" si="15"/>
        <v>#REF!</v>
      </c>
      <c r="AQ113" s="224"/>
      <c r="AR113" s="224"/>
      <c r="AS113" s="224"/>
      <c r="AT113" s="224" t="str">
        <f>IFERROR(VLOOKUP($A113,'Constancias POA'!$A$2:$DH$9993,17,FALSE),"")</f>
        <v/>
      </c>
      <c r="AU113" s="224" t="str">
        <f t="shared" si="10"/>
        <v/>
      </c>
      <c r="AV113" s="224" t="str">
        <f>IFERROR(VLOOKUP($A113,CP!$A$1:$U$7992,18,FALSE),"")</f>
        <v/>
      </c>
      <c r="AW113" s="224" t="str">
        <f>IFERROR(VLOOKUP($A113,CP!$A$1:$U$7992,19,FALSE),"")</f>
        <v/>
      </c>
      <c r="AX113" s="224" t="str">
        <f>IFERROR(VLOOKUP($A113,CP!$A$1:$U$7992,20,FALSE),"")</f>
        <v/>
      </c>
      <c r="AY113" s="224" t="str">
        <f>IFERROR(VLOOKUP($A113,CP!$A$1:$U$1,21,FALSE),"")</f>
        <v/>
      </c>
      <c r="AZ113" s="224" t="str">
        <f>IFERROR(VLOOKUP(A113,Devengado!$A$1:AJ1,35,FALSE),"")</f>
        <v/>
      </c>
      <c r="BA113" s="224" t="str">
        <f t="shared" si="11"/>
        <v/>
      </c>
      <c r="BB113" s="224" t="str">
        <f>IFERROR(AZ113/#REF!,"")</f>
        <v/>
      </c>
      <c r="BC113" s="224" t="str">
        <f>IFERROR(VLOOKUP($A113,Devengado!$A$1:$AI$1,22,FALSE),"")</f>
        <v/>
      </c>
      <c r="BD113" s="224" t="str">
        <f>IFERROR(VLOOKUP($A113,Devengado!$A$1:$AI$1,23,FALSE),"")</f>
        <v/>
      </c>
      <c r="BE113" s="224" t="str">
        <f>IFERROR(VLOOKUP($A113,Devengado!$A$1:$AI$1,24,FALSE),"")</f>
        <v/>
      </c>
      <c r="BF113" s="224" t="str">
        <f>IFERROR(VLOOKUP($A113,Devengado!$A$1:$AI$1,25,FALSE),"")</f>
        <v/>
      </c>
      <c r="BG113" s="224" t="str">
        <f>IFERROR(VLOOKUP($A113,Devengado!$A$1:$AI$1,26,FALSE),"")</f>
        <v/>
      </c>
      <c r="BH113" s="224" t="str">
        <f>IFERROR(VLOOKUP($A113,Devengado!$A$1:$AI$1,27,FALSE),"")</f>
        <v/>
      </c>
      <c r="BI113" s="224" t="str">
        <f>IFERROR(VLOOKUP($A113,Devengado!$A$1:$AI$1,28,FALSE),"")</f>
        <v/>
      </c>
      <c r="BJ113" s="224" t="str">
        <f>IFERROR(VLOOKUP($A113,Devengado!$A$1:$AI$1,29,FALSE),"")</f>
        <v/>
      </c>
      <c r="BK113" s="224" t="str">
        <f>IFERROR(VLOOKUP($A113,Devengado!$A$1:$AI$1,30,FALSE),"")</f>
        <v/>
      </c>
      <c r="BL113" s="224" t="str">
        <f>IFERROR(VLOOKUP($A113,Devengado!$A$1:$AI$1,31,FALSE),"")</f>
        <v/>
      </c>
      <c r="BM113" s="224" t="str">
        <f>IFERROR(VLOOKUP($A113,Devengado!$A$1:$AI$1,32,FALSE),"")</f>
        <v/>
      </c>
      <c r="BN113" s="224" t="str">
        <f>IFERROR(VLOOKUP($A113,Devengado!$A$1:$AI$1,33,FALSE),"")</f>
        <v/>
      </c>
      <c r="BO113" s="224">
        <f t="shared" si="12"/>
        <v>0</v>
      </c>
      <c r="BP113" s="224" t="str">
        <f t="shared" si="13"/>
        <v/>
      </c>
      <c r="BQ113" s="207"/>
      <c r="BR113" s="207" t="str">
        <f t="shared" si="14"/>
        <v>51</v>
      </c>
    </row>
    <row r="114" spans="1:70" s="225" customFormat="1" ht="25.5" customHeight="1">
      <c r="A114" s="207">
        <v>110</v>
      </c>
      <c r="B114" s="112" t="s">
        <v>73</v>
      </c>
      <c r="C114" s="112" t="s">
        <v>187</v>
      </c>
      <c r="D114" s="112" t="s">
        <v>188</v>
      </c>
      <c r="E114" s="112" t="s">
        <v>76</v>
      </c>
      <c r="F114" s="112" t="s">
        <v>77</v>
      </c>
      <c r="G114" s="112" t="s">
        <v>77</v>
      </c>
      <c r="H114" s="112" t="s">
        <v>77</v>
      </c>
      <c r="I114" s="112" t="s">
        <v>77</v>
      </c>
      <c r="J114" s="112" t="s">
        <v>77</v>
      </c>
      <c r="K114" s="112" t="s">
        <v>77</v>
      </c>
      <c r="L114" s="112" t="s">
        <v>85</v>
      </c>
      <c r="M114" s="112" t="s">
        <v>189</v>
      </c>
      <c r="N114" s="112">
        <v>9999</v>
      </c>
      <c r="O114" s="114" t="s">
        <v>132</v>
      </c>
      <c r="P114" s="114" t="s">
        <v>81</v>
      </c>
      <c r="Q114" s="114" t="s">
        <v>112</v>
      </c>
      <c r="R114" s="115" t="str">
        <f t="shared" si="8"/>
        <v>51</v>
      </c>
      <c r="S114" s="122">
        <v>510602</v>
      </c>
      <c r="T114" s="122" t="str">
        <f>VLOOKUP(S114,ITEM!$C$1:$D$156,2,FALSE)</f>
        <v>Fondo de Reserva</v>
      </c>
      <c r="U114" s="112" t="s">
        <v>190</v>
      </c>
      <c r="V114" s="112" t="s">
        <v>82</v>
      </c>
      <c r="W114" s="112" t="s">
        <v>84</v>
      </c>
      <c r="X114" s="112" t="s">
        <v>84</v>
      </c>
      <c r="Y114" s="224" t="e">
        <f>'Matriz POA 2024-TRABAJO'!#REF!</f>
        <v>#REF!</v>
      </c>
      <c r="Z114" s="224" t="e">
        <f>'Matriz POA 2024-TRABAJO'!#REF!</f>
        <v>#REF!</v>
      </c>
      <c r="AA114" s="224" t="e">
        <f>'Matriz POA 2024-TRABAJO'!#REF!</f>
        <v>#REF!</v>
      </c>
      <c r="AB114" s="279">
        <v>2490.2800000000002</v>
      </c>
      <c r="AC114" s="279">
        <v>2490.2800000000002</v>
      </c>
      <c r="AD114" s="279">
        <v>2490.2800000000002</v>
      </c>
      <c r="AE114" s="279">
        <v>2490.2800000000002</v>
      </c>
      <c r="AF114" s="279">
        <v>2490.2800000000002</v>
      </c>
      <c r="AG114" s="279">
        <v>2490.2800000000002</v>
      </c>
      <c r="AH114" s="279">
        <v>2490.2800000000002</v>
      </c>
      <c r="AI114" s="279">
        <v>2490.2800000000002</v>
      </c>
      <c r="AJ114" s="279">
        <v>2490.2800000000002</v>
      </c>
      <c r="AK114" s="279">
        <v>2490.2800000000002</v>
      </c>
      <c r="AL114" s="279">
        <v>2490.2800000000002</v>
      </c>
      <c r="AM114" s="279">
        <v>2490.34</v>
      </c>
      <c r="AN114" s="224" t="e">
        <f>SUM(#REF!)</f>
        <v>#REF!</v>
      </c>
      <c r="AO114" s="224">
        <f t="shared" si="9"/>
        <v>29883.42</v>
      </c>
      <c r="AP114" s="224" t="e">
        <f t="shared" si="15"/>
        <v>#REF!</v>
      </c>
      <c r="AQ114" s="224"/>
      <c r="AR114" s="224"/>
      <c r="AS114" s="224"/>
      <c r="AT114" s="224" t="str">
        <f>IFERROR(VLOOKUP($A114,'Constancias POA'!$A$2:$DH$9993,17,FALSE),"")</f>
        <v/>
      </c>
      <c r="AU114" s="224" t="str">
        <f t="shared" si="10"/>
        <v/>
      </c>
      <c r="AV114" s="224" t="str">
        <f>IFERROR(VLOOKUP($A114,CP!$A$1:$U$7992,18,FALSE),"")</f>
        <v/>
      </c>
      <c r="AW114" s="224" t="str">
        <f>IFERROR(VLOOKUP($A114,CP!$A$1:$U$7992,19,FALSE),"")</f>
        <v/>
      </c>
      <c r="AX114" s="224" t="str">
        <f>IFERROR(VLOOKUP($A114,CP!$A$1:$U$7992,20,FALSE),"")</f>
        <v/>
      </c>
      <c r="AY114" s="224" t="str">
        <f>IFERROR(VLOOKUP($A114,CP!$A$1:$U$1,21,FALSE),"")</f>
        <v/>
      </c>
      <c r="AZ114" s="224" t="str">
        <f>IFERROR(VLOOKUP(A114,Devengado!$A$1:AJ1,35,FALSE),"")</f>
        <v/>
      </c>
      <c r="BA114" s="224" t="str">
        <f t="shared" si="11"/>
        <v/>
      </c>
      <c r="BB114" s="224" t="str">
        <f>IFERROR(AZ114/#REF!,"")</f>
        <v/>
      </c>
      <c r="BC114" s="224" t="str">
        <f>IFERROR(VLOOKUP($A114,Devengado!$A$1:$AI$1,22,FALSE),"")</f>
        <v/>
      </c>
      <c r="BD114" s="224" t="str">
        <f>IFERROR(VLOOKUP($A114,Devengado!$A$1:$AI$1,23,FALSE),"")</f>
        <v/>
      </c>
      <c r="BE114" s="224" t="str">
        <f>IFERROR(VLOOKUP($A114,Devengado!$A$1:$AI$1,24,FALSE),"")</f>
        <v/>
      </c>
      <c r="BF114" s="224" t="str">
        <f>IFERROR(VLOOKUP($A114,Devengado!$A$1:$AI$1,25,FALSE),"")</f>
        <v/>
      </c>
      <c r="BG114" s="224" t="str">
        <f>IFERROR(VLOOKUP($A114,Devengado!$A$1:$AI$1,26,FALSE),"")</f>
        <v/>
      </c>
      <c r="BH114" s="224" t="str">
        <f>IFERROR(VLOOKUP($A114,Devengado!$A$1:$AI$1,27,FALSE),"")</f>
        <v/>
      </c>
      <c r="BI114" s="224" t="str">
        <f>IFERROR(VLOOKUP($A114,Devengado!$A$1:$AI$1,28,FALSE),"")</f>
        <v/>
      </c>
      <c r="BJ114" s="224" t="str">
        <f>IFERROR(VLOOKUP($A114,Devengado!$A$1:$AI$1,29,FALSE),"")</f>
        <v/>
      </c>
      <c r="BK114" s="224" t="str">
        <f>IFERROR(VLOOKUP($A114,Devengado!$A$1:$AI$1,30,FALSE),"")</f>
        <v/>
      </c>
      <c r="BL114" s="224" t="str">
        <f>IFERROR(VLOOKUP($A114,Devengado!$A$1:$AI$1,31,FALSE),"")</f>
        <v/>
      </c>
      <c r="BM114" s="224" t="str">
        <f>IFERROR(VLOOKUP($A114,Devengado!$A$1:$AI$1,32,FALSE),"")</f>
        <v/>
      </c>
      <c r="BN114" s="224" t="str">
        <f>IFERROR(VLOOKUP($A114,Devengado!$A$1:$AI$1,33,FALSE),"")</f>
        <v/>
      </c>
      <c r="BO114" s="224">
        <f t="shared" si="12"/>
        <v>0</v>
      </c>
      <c r="BP114" s="224" t="str">
        <f t="shared" si="13"/>
        <v/>
      </c>
      <c r="BQ114" s="207"/>
      <c r="BR114" s="207" t="str">
        <f t="shared" si="14"/>
        <v>51</v>
      </c>
    </row>
    <row r="115" spans="1:70" s="225" customFormat="1" ht="25.5" customHeight="1">
      <c r="A115" s="207">
        <v>111</v>
      </c>
      <c r="B115" s="112" t="s">
        <v>73</v>
      </c>
      <c r="C115" s="112" t="s">
        <v>187</v>
      </c>
      <c r="D115" s="112" t="s">
        <v>188</v>
      </c>
      <c r="E115" s="112" t="s">
        <v>76</v>
      </c>
      <c r="F115" s="112" t="s">
        <v>77</v>
      </c>
      <c r="G115" s="112" t="s">
        <v>77</v>
      </c>
      <c r="H115" s="112" t="s">
        <v>77</v>
      </c>
      <c r="I115" s="112" t="s">
        <v>77</v>
      </c>
      <c r="J115" s="112" t="s">
        <v>77</v>
      </c>
      <c r="K115" s="112" t="s">
        <v>77</v>
      </c>
      <c r="L115" s="112" t="s">
        <v>85</v>
      </c>
      <c r="M115" s="112" t="s">
        <v>189</v>
      </c>
      <c r="N115" s="112">
        <v>9999</v>
      </c>
      <c r="O115" s="114" t="s">
        <v>132</v>
      </c>
      <c r="P115" s="114" t="s">
        <v>81</v>
      </c>
      <c r="Q115" s="114" t="s">
        <v>112</v>
      </c>
      <c r="R115" s="115" t="str">
        <f t="shared" si="8"/>
        <v>51</v>
      </c>
      <c r="S115" s="122">
        <v>510707</v>
      </c>
      <c r="T115" s="122" t="str">
        <f>VLOOKUP(S115,ITEM!$C$1:$D$156,2,FALSE)</f>
        <v>Compensación por Vacaciones no Gozadas por Cesación de Funciones</v>
      </c>
      <c r="U115" s="112" t="s">
        <v>190</v>
      </c>
      <c r="V115" s="112" t="s">
        <v>82</v>
      </c>
      <c r="W115" s="112" t="s">
        <v>84</v>
      </c>
      <c r="X115" s="112" t="s">
        <v>84</v>
      </c>
      <c r="Y115" s="224" t="e">
        <f>'Matriz POA 2024-TRABAJO'!#REF!</f>
        <v>#REF!</v>
      </c>
      <c r="Z115" s="224" t="e">
        <f>'Matriz POA 2024-TRABAJO'!#REF!</f>
        <v>#REF!</v>
      </c>
      <c r="AA115" s="224" t="e">
        <f>'Matriz POA 2024-TRABAJO'!#REF!</f>
        <v>#REF!</v>
      </c>
      <c r="AB115" s="279">
        <v>0</v>
      </c>
      <c r="AC115" s="279">
        <v>0</v>
      </c>
      <c r="AD115" s="279">
        <v>0</v>
      </c>
      <c r="AE115" s="279">
        <v>0</v>
      </c>
      <c r="AF115" s="279">
        <v>0</v>
      </c>
      <c r="AG115" s="279">
        <v>0</v>
      </c>
      <c r="AH115" s="279">
        <v>0</v>
      </c>
      <c r="AI115" s="279">
        <v>0</v>
      </c>
      <c r="AJ115" s="279">
        <v>0</v>
      </c>
      <c r="AK115" s="279">
        <v>0</v>
      </c>
      <c r="AL115" s="279">
        <v>0</v>
      </c>
      <c r="AM115" s="279">
        <v>0</v>
      </c>
      <c r="AN115" s="224" t="e">
        <f>SUM(#REF!)</f>
        <v>#REF!</v>
      </c>
      <c r="AO115" s="224">
        <f t="shared" si="9"/>
        <v>0</v>
      </c>
      <c r="AP115" s="224" t="e">
        <f t="shared" si="15"/>
        <v>#REF!</v>
      </c>
      <c r="AQ115" s="224"/>
      <c r="AR115" s="224"/>
      <c r="AS115" s="224"/>
      <c r="AT115" s="224" t="str">
        <f>IFERROR(VLOOKUP($A115,'Constancias POA'!$A$2:$DH$9993,17,FALSE),"")</f>
        <v/>
      </c>
      <c r="AU115" s="224" t="str">
        <f t="shared" si="10"/>
        <v/>
      </c>
      <c r="AV115" s="224" t="str">
        <f>IFERROR(VLOOKUP($A115,CP!$A$1:$U$7992,18,FALSE),"")</f>
        <v/>
      </c>
      <c r="AW115" s="224" t="str">
        <f>IFERROR(VLOOKUP($A115,CP!$A$1:$U$7992,19,FALSE),"")</f>
        <v/>
      </c>
      <c r="AX115" s="224" t="str">
        <f>IFERROR(VLOOKUP($A115,CP!$A$1:$U$7992,20,FALSE),"")</f>
        <v/>
      </c>
      <c r="AY115" s="224" t="str">
        <f>IFERROR(VLOOKUP($A115,CP!$A$1:$U$1,21,FALSE),"")</f>
        <v/>
      </c>
      <c r="AZ115" s="224" t="str">
        <f>IFERROR(VLOOKUP(A115,Devengado!$A$1:AJ1,35,FALSE),"")</f>
        <v/>
      </c>
      <c r="BA115" s="224" t="str">
        <f t="shared" si="11"/>
        <v/>
      </c>
      <c r="BB115" s="224" t="str">
        <f>IFERROR(AZ115/#REF!,"")</f>
        <v/>
      </c>
      <c r="BC115" s="224" t="str">
        <f>IFERROR(VLOOKUP($A115,Devengado!$A$1:$AI$1,22,FALSE),"")</f>
        <v/>
      </c>
      <c r="BD115" s="224" t="str">
        <f>IFERROR(VLOOKUP($A115,Devengado!$A$1:$AI$1,23,FALSE),"")</f>
        <v/>
      </c>
      <c r="BE115" s="224" t="str">
        <f>IFERROR(VLOOKUP($A115,Devengado!$A$1:$AI$1,24,FALSE),"")</f>
        <v/>
      </c>
      <c r="BF115" s="224" t="str">
        <f>IFERROR(VLOOKUP($A115,Devengado!$A$1:$AI$1,25,FALSE),"")</f>
        <v/>
      </c>
      <c r="BG115" s="224" t="str">
        <f>IFERROR(VLOOKUP($A115,Devengado!$A$1:$AI$1,26,FALSE),"")</f>
        <v/>
      </c>
      <c r="BH115" s="224" t="str">
        <f>IFERROR(VLOOKUP($A115,Devengado!$A$1:$AI$1,27,FALSE),"")</f>
        <v/>
      </c>
      <c r="BI115" s="224" t="str">
        <f>IFERROR(VLOOKUP($A115,Devengado!$A$1:$AI$1,28,FALSE),"")</f>
        <v/>
      </c>
      <c r="BJ115" s="224" t="str">
        <f>IFERROR(VLOOKUP($A115,Devengado!$A$1:$AI$1,29,FALSE),"")</f>
        <v/>
      </c>
      <c r="BK115" s="224" t="str">
        <f>IFERROR(VLOOKUP($A115,Devengado!$A$1:$AI$1,30,FALSE),"")</f>
        <v/>
      </c>
      <c r="BL115" s="224" t="str">
        <f>IFERROR(VLOOKUP($A115,Devengado!$A$1:$AI$1,31,FALSE),"")</f>
        <v/>
      </c>
      <c r="BM115" s="224" t="str">
        <f>IFERROR(VLOOKUP($A115,Devengado!$A$1:$AI$1,32,FALSE),"")</f>
        <v/>
      </c>
      <c r="BN115" s="224" t="str">
        <f>IFERROR(VLOOKUP($A115,Devengado!$A$1:$AI$1,33,FALSE),"")</f>
        <v/>
      </c>
      <c r="BO115" s="224">
        <f t="shared" si="12"/>
        <v>0</v>
      </c>
      <c r="BP115" s="224" t="str">
        <f t="shared" si="13"/>
        <v/>
      </c>
      <c r="BQ115" s="207"/>
      <c r="BR115" s="207" t="str">
        <f t="shared" si="14"/>
        <v>51</v>
      </c>
    </row>
    <row r="116" spans="1:70" s="225" customFormat="1" ht="25.5" customHeight="1">
      <c r="A116" s="207">
        <v>112</v>
      </c>
      <c r="B116" s="112" t="s">
        <v>73</v>
      </c>
      <c r="C116" s="112" t="s">
        <v>187</v>
      </c>
      <c r="D116" s="112" t="s">
        <v>188</v>
      </c>
      <c r="E116" s="112" t="s">
        <v>76</v>
      </c>
      <c r="F116" s="112" t="s">
        <v>77</v>
      </c>
      <c r="G116" s="112" t="s">
        <v>77</v>
      </c>
      <c r="H116" s="112" t="s">
        <v>77</v>
      </c>
      <c r="I116" s="112" t="s">
        <v>77</v>
      </c>
      <c r="J116" s="112" t="s">
        <v>77</v>
      </c>
      <c r="K116" s="112" t="s">
        <v>77</v>
      </c>
      <c r="L116" s="112" t="s">
        <v>85</v>
      </c>
      <c r="M116" s="112" t="s">
        <v>189</v>
      </c>
      <c r="N116" s="112">
        <v>9999</v>
      </c>
      <c r="O116" s="114" t="s">
        <v>132</v>
      </c>
      <c r="P116" s="114" t="s">
        <v>81</v>
      </c>
      <c r="Q116" s="114" t="s">
        <v>82</v>
      </c>
      <c r="R116" s="115" t="str">
        <f t="shared" si="8"/>
        <v>51</v>
      </c>
      <c r="S116" s="122">
        <v>510105</v>
      </c>
      <c r="T116" s="122" t="str">
        <f>VLOOKUP(S116,ITEM!$C$1:$D$156,2,FALSE)</f>
        <v>Remuneraciones Unificadas</v>
      </c>
      <c r="U116" s="112" t="s">
        <v>190</v>
      </c>
      <c r="V116" s="112" t="s">
        <v>82</v>
      </c>
      <c r="W116" s="112" t="s">
        <v>84</v>
      </c>
      <c r="X116" s="112" t="s">
        <v>84</v>
      </c>
      <c r="Y116" s="224" t="e">
        <f>'Matriz POA 2024-TRABAJO'!#REF!</f>
        <v>#REF!</v>
      </c>
      <c r="Z116" s="224" t="e">
        <f>'Matriz POA 2024-TRABAJO'!#REF!</f>
        <v>#REF!</v>
      </c>
      <c r="AA116" s="224" t="e">
        <f>'Matriz POA 2024-TRABAJO'!#REF!</f>
        <v>#REF!</v>
      </c>
      <c r="AB116" s="279">
        <v>4025.25</v>
      </c>
      <c r="AC116" s="279">
        <v>4025.25</v>
      </c>
      <c r="AD116" s="279">
        <v>4025.25</v>
      </c>
      <c r="AE116" s="279">
        <v>4025.25</v>
      </c>
      <c r="AF116" s="279">
        <v>4025.25</v>
      </c>
      <c r="AG116" s="279">
        <v>4025.25</v>
      </c>
      <c r="AH116" s="279">
        <v>4025.25</v>
      </c>
      <c r="AI116" s="279">
        <v>4025.25</v>
      </c>
      <c r="AJ116" s="279">
        <v>4025.25</v>
      </c>
      <c r="AK116" s="279">
        <v>4025.25</v>
      </c>
      <c r="AL116" s="279">
        <v>4025.25</v>
      </c>
      <c r="AM116" s="279">
        <v>4025.31</v>
      </c>
      <c r="AN116" s="224" t="e">
        <f>SUM(#REF!)</f>
        <v>#REF!</v>
      </c>
      <c r="AO116" s="224">
        <f t="shared" si="9"/>
        <v>48303.06</v>
      </c>
      <c r="AP116" s="224" t="e">
        <f t="shared" si="15"/>
        <v>#REF!</v>
      </c>
      <c r="AQ116" s="224"/>
      <c r="AR116" s="224"/>
      <c r="AS116" s="224"/>
      <c r="AT116" s="224" t="str">
        <f>IFERROR(VLOOKUP($A116,'Constancias POA'!$A$2:$DH$9993,17,FALSE),"")</f>
        <v/>
      </c>
      <c r="AU116" s="224" t="str">
        <f t="shared" si="10"/>
        <v/>
      </c>
      <c r="AV116" s="224" t="str">
        <f>IFERROR(VLOOKUP($A116,CP!$A$1:$U$7992,18,FALSE),"")</f>
        <v/>
      </c>
      <c r="AW116" s="224" t="str">
        <f>IFERROR(VLOOKUP($A116,CP!$A$1:$U$7992,19,FALSE),"")</f>
        <v/>
      </c>
      <c r="AX116" s="224" t="str">
        <f>IFERROR(VLOOKUP($A116,CP!$A$1:$U$7992,20,FALSE),"")</f>
        <v/>
      </c>
      <c r="AY116" s="224" t="str">
        <f>IFERROR(VLOOKUP($A116,CP!$A$1:$U$1,21,FALSE),"")</f>
        <v/>
      </c>
      <c r="AZ116" s="224" t="str">
        <f>IFERROR(VLOOKUP(A116,Devengado!$A$1:AJ1,35,FALSE),"")</f>
        <v/>
      </c>
      <c r="BA116" s="224" t="str">
        <f t="shared" si="11"/>
        <v/>
      </c>
      <c r="BB116" s="224" t="str">
        <f>IFERROR(AZ116/#REF!,"")</f>
        <v/>
      </c>
      <c r="BC116" s="224" t="str">
        <f>IFERROR(VLOOKUP($A116,Devengado!$A$1:$AI$1,22,FALSE),"")</f>
        <v/>
      </c>
      <c r="BD116" s="224" t="str">
        <f>IFERROR(VLOOKUP($A116,Devengado!$A$1:$AI$1,23,FALSE),"")</f>
        <v/>
      </c>
      <c r="BE116" s="224" t="str">
        <f>IFERROR(VLOOKUP($A116,Devengado!$A$1:$AI$1,24,FALSE),"")</f>
        <v/>
      </c>
      <c r="BF116" s="224" t="str">
        <f>IFERROR(VLOOKUP($A116,Devengado!$A$1:$AI$1,25,FALSE),"")</f>
        <v/>
      </c>
      <c r="BG116" s="224" t="str">
        <f>IFERROR(VLOOKUP($A116,Devengado!$A$1:$AI$1,26,FALSE),"")</f>
        <v/>
      </c>
      <c r="BH116" s="224" t="str">
        <f>IFERROR(VLOOKUP($A116,Devengado!$A$1:$AI$1,27,FALSE),"")</f>
        <v/>
      </c>
      <c r="BI116" s="224" t="str">
        <f>IFERROR(VLOOKUP($A116,Devengado!$A$1:$AI$1,28,FALSE),"")</f>
        <v/>
      </c>
      <c r="BJ116" s="224" t="str">
        <f>IFERROR(VLOOKUP($A116,Devengado!$A$1:$AI$1,29,FALSE),"")</f>
        <v/>
      </c>
      <c r="BK116" s="224" t="str">
        <f>IFERROR(VLOOKUP($A116,Devengado!$A$1:$AI$1,30,FALSE),"")</f>
        <v/>
      </c>
      <c r="BL116" s="224" t="str">
        <f>IFERROR(VLOOKUP($A116,Devengado!$A$1:$AI$1,31,FALSE),"")</f>
        <v/>
      </c>
      <c r="BM116" s="224" t="str">
        <f>IFERROR(VLOOKUP($A116,Devengado!$A$1:$AI$1,32,FALSE),"")</f>
        <v/>
      </c>
      <c r="BN116" s="224" t="str">
        <f>IFERROR(VLOOKUP($A116,Devengado!$A$1:$AI$1,33,FALSE),"")</f>
        <v/>
      </c>
      <c r="BO116" s="224">
        <f t="shared" si="12"/>
        <v>0</v>
      </c>
      <c r="BP116" s="224" t="str">
        <f t="shared" si="13"/>
        <v/>
      </c>
      <c r="BQ116" s="207"/>
      <c r="BR116" s="207" t="str">
        <f t="shared" si="14"/>
        <v>51</v>
      </c>
    </row>
    <row r="117" spans="1:70" s="225" customFormat="1" ht="25.5" customHeight="1">
      <c r="A117" s="207">
        <v>113</v>
      </c>
      <c r="B117" s="112" t="s">
        <v>73</v>
      </c>
      <c r="C117" s="112" t="s">
        <v>187</v>
      </c>
      <c r="D117" s="112" t="s">
        <v>188</v>
      </c>
      <c r="E117" s="112" t="s">
        <v>76</v>
      </c>
      <c r="F117" s="112" t="s">
        <v>77</v>
      </c>
      <c r="G117" s="112" t="s">
        <v>77</v>
      </c>
      <c r="H117" s="112" t="s">
        <v>77</v>
      </c>
      <c r="I117" s="112" t="s">
        <v>77</v>
      </c>
      <c r="J117" s="112" t="s">
        <v>77</v>
      </c>
      <c r="K117" s="112" t="s">
        <v>77</v>
      </c>
      <c r="L117" s="112" t="s">
        <v>85</v>
      </c>
      <c r="M117" s="112" t="s">
        <v>189</v>
      </c>
      <c r="N117" s="112">
        <v>9999</v>
      </c>
      <c r="O117" s="114" t="s">
        <v>132</v>
      </c>
      <c r="P117" s="114" t="s">
        <v>81</v>
      </c>
      <c r="Q117" s="114" t="s">
        <v>82</v>
      </c>
      <c r="R117" s="115" t="str">
        <f t="shared" si="8"/>
        <v>51</v>
      </c>
      <c r="S117" s="122">
        <v>510510</v>
      </c>
      <c r="T117" s="122" t="str">
        <f>VLOOKUP(S117,ITEM!$C$1:$D$156,2,FALSE)</f>
        <v>Servicios Personales por Contrato</v>
      </c>
      <c r="U117" s="112" t="s">
        <v>190</v>
      </c>
      <c r="V117" s="112" t="s">
        <v>82</v>
      </c>
      <c r="W117" s="112" t="s">
        <v>84</v>
      </c>
      <c r="X117" s="112" t="s">
        <v>84</v>
      </c>
      <c r="Y117" s="224" t="e">
        <f>'Matriz POA 2024-TRABAJO'!#REF!</f>
        <v>#REF!</v>
      </c>
      <c r="Z117" s="224" t="e">
        <f>'Matriz POA 2024-TRABAJO'!#REF!</f>
        <v>#REF!</v>
      </c>
      <c r="AA117" s="224" t="e">
        <f>'Matriz POA 2024-TRABAJO'!#REF!</f>
        <v>#REF!</v>
      </c>
      <c r="AB117" s="279">
        <v>4100</v>
      </c>
      <c r="AC117" s="279">
        <v>4100</v>
      </c>
      <c r="AD117" s="279">
        <v>4100</v>
      </c>
      <c r="AE117" s="279">
        <v>4100</v>
      </c>
      <c r="AF117" s="279">
        <v>4100</v>
      </c>
      <c r="AG117" s="279">
        <v>4100</v>
      </c>
      <c r="AH117" s="279">
        <v>4100</v>
      </c>
      <c r="AI117" s="279">
        <v>4100</v>
      </c>
      <c r="AJ117" s="279">
        <v>4100</v>
      </c>
      <c r="AK117" s="279">
        <v>4100</v>
      </c>
      <c r="AL117" s="279">
        <v>4100</v>
      </c>
      <c r="AM117" s="279">
        <v>4100</v>
      </c>
      <c r="AN117" s="224" t="e">
        <f>SUM(#REF!)</f>
        <v>#REF!</v>
      </c>
      <c r="AO117" s="224">
        <f t="shared" si="9"/>
        <v>49200</v>
      </c>
      <c r="AP117" s="224" t="e">
        <f t="shared" si="15"/>
        <v>#REF!</v>
      </c>
      <c r="AQ117" s="224"/>
      <c r="AR117" s="224"/>
      <c r="AS117" s="224"/>
      <c r="AT117" s="224" t="str">
        <f>IFERROR(VLOOKUP($A117,'Constancias POA'!$A$2:$DH$9993,17,FALSE),"")</f>
        <v/>
      </c>
      <c r="AU117" s="224" t="str">
        <f t="shared" si="10"/>
        <v/>
      </c>
      <c r="AV117" s="224" t="str">
        <f>IFERROR(VLOOKUP($A117,CP!$A$1:$U$7992,18,FALSE),"")</f>
        <v/>
      </c>
      <c r="AW117" s="224" t="str">
        <f>IFERROR(VLOOKUP($A117,CP!$A$1:$U$7992,19,FALSE),"")</f>
        <v/>
      </c>
      <c r="AX117" s="224" t="str">
        <f>IFERROR(VLOOKUP($A117,CP!$A$1:$U$7992,20,FALSE),"")</f>
        <v/>
      </c>
      <c r="AY117" s="224" t="str">
        <f>IFERROR(VLOOKUP($A117,CP!$A$1:$U$1,21,FALSE),"")</f>
        <v/>
      </c>
      <c r="AZ117" s="224" t="str">
        <f>IFERROR(VLOOKUP(A117,Devengado!$A$1:AJ1,35,FALSE),"")</f>
        <v/>
      </c>
      <c r="BA117" s="224" t="str">
        <f t="shared" si="11"/>
        <v/>
      </c>
      <c r="BB117" s="224" t="str">
        <f>IFERROR(AZ117/#REF!,"")</f>
        <v/>
      </c>
      <c r="BC117" s="224" t="str">
        <f>IFERROR(VLOOKUP($A117,Devengado!$A$1:$AI$1,22,FALSE),"")</f>
        <v/>
      </c>
      <c r="BD117" s="224" t="str">
        <f>IFERROR(VLOOKUP($A117,Devengado!$A$1:$AI$1,23,FALSE),"")</f>
        <v/>
      </c>
      <c r="BE117" s="224" t="str">
        <f>IFERROR(VLOOKUP($A117,Devengado!$A$1:$AI$1,24,FALSE),"")</f>
        <v/>
      </c>
      <c r="BF117" s="224" t="str">
        <f>IFERROR(VLOOKUP($A117,Devengado!$A$1:$AI$1,25,FALSE),"")</f>
        <v/>
      </c>
      <c r="BG117" s="224" t="str">
        <f>IFERROR(VLOOKUP($A117,Devengado!$A$1:$AI$1,26,FALSE),"")</f>
        <v/>
      </c>
      <c r="BH117" s="224" t="str">
        <f>IFERROR(VLOOKUP($A117,Devengado!$A$1:$AI$1,27,FALSE),"")</f>
        <v/>
      </c>
      <c r="BI117" s="224" t="str">
        <f>IFERROR(VLOOKUP($A117,Devengado!$A$1:$AI$1,28,FALSE),"")</f>
        <v/>
      </c>
      <c r="BJ117" s="224" t="str">
        <f>IFERROR(VLOOKUP($A117,Devengado!$A$1:$AI$1,29,FALSE),"")</f>
        <v/>
      </c>
      <c r="BK117" s="224" t="str">
        <f>IFERROR(VLOOKUP($A117,Devengado!$A$1:$AI$1,30,FALSE),"")</f>
        <v/>
      </c>
      <c r="BL117" s="224" t="str">
        <f>IFERROR(VLOOKUP($A117,Devengado!$A$1:$AI$1,31,FALSE),"")</f>
        <v/>
      </c>
      <c r="BM117" s="224" t="str">
        <f>IFERROR(VLOOKUP($A117,Devengado!$A$1:$AI$1,32,FALSE),"")</f>
        <v/>
      </c>
      <c r="BN117" s="224" t="str">
        <f>IFERROR(VLOOKUP($A117,Devengado!$A$1:$AI$1,33,FALSE),"")</f>
        <v/>
      </c>
      <c r="BO117" s="224">
        <f t="shared" si="12"/>
        <v>0</v>
      </c>
      <c r="BP117" s="224" t="str">
        <f t="shared" si="13"/>
        <v/>
      </c>
      <c r="BQ117" s="207"/>
      <c r="BR117" s="207" t="str">
        <f t="shared" si="14"/>
        <v>51</v>
      </c>
    </row>
    <row r="118" spans="1:70" s="225" customFormat="1" ht="25.5" customHeight="1">
      <c r="A118" s="207">
        <v>114</v>
      </c>
      <c r="B118" s="112" t="s">
        <v>73</v>
      </c>
      <c r="C118" s="112" t="s">
        <v>187</v>
      </c>
      <c r="D118" s="112" t="s">
        <v>188</v>
      </c>
      <c r="E118" s="112" t="s">
        <v>76</v>
      </c>
      <c r="F118" s="112" t="s">
        <v>77</v>
      </c>
      <c r="G118" s="112" t="s">
        <v>77</v>
      </c>
      <c r="H118" s="112" t="s">
        <v>77</v>
      </c>
      <c r="I118" s="112" t="s">
        <v>77</v>
      </c>
      <c r="J118" s="112" t="s">
        <v>77</v>
      </c>
      <c r="K118" s="112" t="s">
        <v>77</v>
      </c>
      <c r="L118" s="112" t="s">
        <v>85</v>
      </c>
      <c r="M118" s="112" t="s">
        <v>189</v>
      </c>
      <c r="N118" s="112">
        <v>9999</v>
      </c>
      <c r="O118" s="114" t="s">
        <v>132</v>
      </c>
      <c r="P118" s="114" t="s">
        <v>81</v>
      </c>
      <c r="Q118" s="114" t="s">
        <v>82</v>
      </c>
      <c r="R118" s="115" t="str">
        <f t="shared" si="8"/>
        <v>51</v>
      </c>
      <c r="S118" s="122">
        <v>510203</v>
      </c>
      <c r="T118" s="122" t="str">
        <f>VLOOKUP(S118,ITEM!$C$1:$D$156,2,FALSE)</f>
        <v>Decimo Tercer Sueldo</v>
      </c>
      <c r="U118" s="112" t="s">
        <v>190</v>
      </c>
      <c r="V118" s="112" t="s">
        <v>82</v>
      </c>
      <c r="W118" s="112" t="s">
        <v>84</v>
      </c>
      <c r="X118" s="112" t="s">
        <v>84</v>
      </c>
      <c r="Y118" s="224" t="e">
        <f>'Matriz POA 2024-TRABAJO'!#REF!</f>
        <v>#REF!</v>
      </c>
      <c r="Z118" s="224" t="e">
        <f>'Matriz POA 2024-TRABAJO'!#REF!</f>
        <v>#REF!</v>
      </c>
      <c r="AA118" s="224" t="e">
        <f>'Matriz POA 2024-TRABAJO'!#REF!</f>
        <v>#REF!</v>
      </c>
      <c r="AB118" s="279">
        <v>381.26</v>
      </c>
      <c r="AC118" s="279">
        <v>381.26</v>
      </c>
      <c r="AD118" s="279">
        <v>381.26</v>
      </c>
      <c r="AE118" s="279">
        <v>381.26</v>
      </c>
      <c r="AF118" s="279">
        <v>381.26</v>
      </c>
      <c r="AG118" s="279">
        <v>381.26</v>
      </c>
      <c r="AH118" s="279">
        <v>381.26</v>
      </c>
      <c r="AI118" s="279">
        <v>381.26</v>
      </c>
      <c r="AJ118" s="279">
        <v>381.26</v>
      </c>
      <c r="AK118" s="279">
        <v>381.26</v>
      </c>
      <c r="AL118" s="279">
        <v>381.26</v>
      </c>
      <c r="AM118" s="279">
        <v>4025.22</v>
      </c>
      <c r="AN118" s="224" t="e">
        <f>SUM(#REF!)</f>
        <v>#REF!</v>
      </c>
      <c r="AO118" s="224">
        <f t="shared" si="9"/>
        <v>8219.08</v>
      </c>
      <c r="AP118" s="224" t="e">
        <f t="shared" si="15"/>
        <v>#REF!</v>
      </c>
      <c r="AQ118" s="224"/>
      <c r="AR118" s="224"/>
      <c r="AS118" s="224"/>
      <c r="AT118" s="224" t="str">
        <f>IFERROR(VLOOKUP($A118,'Constancias POA'!$A$2:$DH$9993,17,FALSE),"")</f>
        <v/>
      </c>
      <c r="AU118" s="224" t="str">
        <f t="shared" si="10"/>
        <v/>
      </c>
      <c r="AV118" s="224" t="str">
        <f>IFERROR(VLOOKUP($A118,CP!$A$1:$U$7992,18,FALSE),"")</f>
        <v/>
      </c>
      <c r="AW118" s="224" t="str">
        <f>IFERROR(VLOOKUP($A118,CP!$A$1:$U$7992,19,FALSE),"")</f>
        <v/>
      </c>
      <c r="AX118" s="224" t="str">
        <f>IFERROR(VLOOKUP($A118,CP!$A$1:$U$7992,20,FALSE),"")</f>
        <v/>
      </c>
      <c r="AY118" s="224" t="str">
        <f>IFERROR(VLOOKUP($A118,CP!$A$1:$U$1,21,FALSE),"")</f>
        <v/>
      </c>
      <c r="AZ118" s="224" t="str">
        <f>IFERROR(VLOOKUP(A118,Devengado!$A$1:AJ1,35,FALSE),"")</f>
        <v/>
      </c>
      <c r="BA118" s="224" t="str">
        <f t="shared" si="11"/>
        <v/>
      </c>
      <c r="BB118" s="224" t="str">
        <f>IFERROR(AZ118/#REF!,"")</f>
        <v/>
      </c>
      <c r="BC118" s="224" t="str">
        <f>IFERROR(VLOOKUP($A118,Devengado!$A$1:$AI$1,22,FALSE),"")</f>
        <v/>
      </c>
      <c r="BD118" s="224" t="str">
        <f>IFERROR(VLOOKUP($A118,Devengado!$A$1:$AI$1,23,FALSE),"")</f>
        <v/>
      </c>
      <c r="BE118" s="224" t="str">
        <f>IFERROR(VLOOKUP($A118,Devengado!$A$1:$AI$1,24,FALSE),"")</f>
        <v/>
      </c>
      <c r="BF118" s="224" t="str">
        <f>IFERROR(VLOOKUP($A118,Devengado!$A$1:$AI$1,25,FALSE),"")</f>
        <v/>
      </c>
      <c r="BG118" s="224" t="str">
        <f>IFERROR(VLOOKUP($A118,Devengado!$A$1:$AI$1,26,FALSE),"")</f>
        <v/>
      </c>
      <c r="BH118" s="224" t="str">
        <f>IFERROR(VLOOKUP($A118,Devengado!$A$1:$AI$1,27,FALSE),"")</f>
        <v/>
      </c>
      <c r="BI118" s="224" t="str">
        <f>IFERROR(VLOOKUP($A118,Devengado!$A$1:$AI$1,28,FALSE),"")</f>
        <v/>
      </c>
      <c r="BJ118" s="224" t="str">
        <f>IFERROR(VLOOKUP($A118,Devengado!$A$1:$AI$1,29,FALSE),"")</f>
        <v/>
      </c>
      <c r="BK118" s="224" t="str">
        <f>IFERROR(VLOOKUP($A118,Devengado!$A$1:$AI$1,30,FALSE),"")</f>
        <v/>
      </c>
      <c r="BL118" s="224" t="str">
        <f>IFERROR(VLOOKUP($A118,Devengado!$A$1:$AI$1,31,FALSE),"")</f>
        <v/>
      </c>
      <c r="BM118" s="224" t="str">
        <f>IFERROR(VLOOKUP($A118,Devengado!$A$1:$AI$1,32,FALSE),"")</f>
        <v/>
      </c>
      <c r="BN118" s="224" t="str">
        <f>IFERROR(VLOOKUP($A118,Devengado!$A$1:$AI$1,33,FALSE),"")</f>
        <v/>
      </c>
      <c r="BO118" s="224">
        <f t="shared" si="12"/>
        <v>0</v>
      </c>
      <c r="BP118" s="224" t="str">
        <f t="shared" si="13"/>
        <v/>
      </c>
      <c r="BQ118" s="207"/>
      <c r="BR118" s="207" t="str">
        <f t="shared" si="14"/>
        <v>51</v>
      </c>
    </row>
    <row r="119" spans="1:70" s="225" customFormat="1" ht="25.5" customHeight="1">
      <c r="A119" s="207">
        <v>115</v>
      </c>
      <c r="B119" s="112" t="s">
        <v>73</v>
      </c>
      <c r="C119" s="112" t="s">
        <v>187</v>
      </c>
      <c r="D119" s="112" t="s">
        <v>188</v>
      </c>
      <c r="E119" s="112" t="s">
        <v>76</v>
      </c>
      <c r="F119" s="112" t="s">
        <v>77</v>
      </c>
      <c r="G119" s="112" t="s">
        <v>77</v>
      </c>
      <c r="H119" s="112" t="s">
        <v>77</v>
      </c>
      <c r="I119" s="112" t="s">
        <v>77</v>
      </c>
      <c r="J119" s="112" t="s">
        <v>77</v>
      </c>
      <c r="K119" s="112" t="s">
        <v>77</v>
      </c>
      <c r="L119" s="112" t="s">
        <v>85</v>
      </c>
      <c r="M119" s="112" t="s">
        <v>189</v>
      </c>
      <c r="N119" s="112">
        <v>9999</v>
      </c>
      <c r="O119" s="114" t="s">
        <v>132</v>
      </c>
      <c r="P119" s="114" t="s">
        <v>81</v>
      </c>
      <c r="Q119" s="114" t="s">
        <v>82</v>
      </c>
      <c r="R119" s="115" t="str">
        <f t="shared" si="8"/>
        <v>51</v>
      </c>
      <c r="S119" s="122">
        <v>510204</v>
      </c>
      <c r="T119" s="122" t="str">
        <f>VLOOKUP(S119,ITEM!$C$1:$D$156,2,FALSE)</f>
        <v>Decimo Cuarto Sueldo</v>
      </c>
      <c r="U119" s="112" t="s">
        <v>190</v>
      </c>
      <c r="V119" s="112" t="s">
        <v>82</v>
      </c>
      <c r="W119" s="112" t="s">
        <v>84</v>
      </c>
      <c r="X119" s="112" t="s">
        <v>84</v>
      </c>
      <c r="Y119" s="224" t="e">
        <f>'Matriz POA 2024-TRABAJO'!#REF!</f>
        <v>#REF!</v>
      </c>
      <c r="Z119" s="224" t="e">
        <f>'Matriz POA 2024-TRABAJO'!#REF!</f>
        <v>#REF!</v>
      </c>
      <c r="AA119" s="224" t="e">
        <f>'Matriz POA 2024-TRABAJO'!#REF!</f>
        <v>#REF!</v>
      </c>
      <c r="AB119" s="279">
        <v>117.15</v>
      </c>
      <c r="AC119" s="279">
        <v>117.15</v>
      </c>
      <c r="AD119" s="279">
        <v>117.15</v>
      </c>
      <c r="AE119" s="279">
        <v>117.15</v>
      </c>
      <c r="AF119" s="279">
        <v>117.15</v>
      </c>
      <c r="AG119" s="279">
        <v>117.16</v>
      </c>
      <c r="AH119" s="279">
        <v>117.16</v>
      </c>
      <c r="AI119" s="279">
        <v>1380</v>
      </c>
      <c r="AJ119" s="279">
        <v>117.16</v>
      </c>
      <c r="AK119" s="279">
        <v>117.16</v>
      </c>
      <c r="AL119" s="279">
        <v>117.16</v>
      </c>
      <c r="AM119" s="279">
        <v>117.16</v>
      </c>
      <c r="AN119" s="224" t="e">
        <f>SUM(#REF!)</f>
        <v>#REF!</v>
      </c>
      <c r="AO119" s="224">
        <f t="shared" si="9"/>
        <v>2668.7099999999991</v>
      </c>
      <c r="AP119" s="224" t="e">
        <f t="shared" si="15"/>
        <v>#REF!</v>
      </c>
      <c r="AQ119" s="224"/>
      <c r="AR119" s="224"/>
      <c r="AS119" s="224"/>
      <c r="AT119" s="224" t="str">
        <f>IFERROR(VLOOKUP($A119,'Constancias POA'!$A$2:$DH$9993,17,FALSE),"")</f>
        <v/>
      </c>
      <c r="AU119" s="224" t="str">
        <f t="shared" si="10"/>
        <v/>
      </c>
      <c r="AV119" s="224" t="str">
        <f>IFERROR(VLOOKUP($A119,CP!$A$1:$U$7992,18,FALSE),"")</f>
        <v/>
      </c>
      <c r="AW119" s="224" t="str">
        <f>IFERROR(VLOOKUP($A119,CP!$A$1:$U$7992,19,FALSE),"")</f>
        <v/>
      </c>
      <c r="AX119" s="224" t="str">
        <f>IFERROR(VLOOKUP($A119,CP!$A$1:$U$7992,20,FALSE),"")</f>
        <v/>
      </c>
      <c r="AY119" s="224" t="str">
        <f>IFERROR(VLOOKUP($A119,CP!$A$1:$U$1,21,FALSE),"")</f>
        <v/>
      </c>
      <c r="AZ119" s="224" t="str">
        <f>IFERROR(VLOOKUP(A119,Devengado!$A$1:AJ1,35,FALSE),"")</f>
        <v/>
      </c>
      <c r="BA119" s="224" t="str">
        <f t="shared" si="11"/>
        <v/>
      </c>
      <c r="BB119" s="224" t="str">
        <f>IFERROR(AZ119/#REF!,"")</f>
        <v/>
      </c>
      <c r="BC119" s="224" t="str">
        <f>IFERROR(VLOOKUP($A119,Devengado!$A$1:$AI$1,22,FALSE),"")</f>
        <v/>
      </c>
      <c r="BD119" s="224" t="str">
        <f>IFERROR(VLOOKUP($A119,Devengado!$A$1:$AI$1,23,FALSE),"")</f>
        <v/>
      </c>
      <c r="BE119" s="224" t="str">
        <f>IFERROR(VLOOKUP($A119,Devengado!$A$1:$AI$1,24,FALSE),"")</f>
        <v/>
      </c>
      <c r="BF119" s="224" t="str">
        <f>IFERROR(VLOOKUP($A119,Devengado!$A$1:$AI$1,25,FALSE),"")</f>
        <v/>
      </c>
      <c r="BG119" s="224" t="str">
        <f>IFERROR(VLOOKUP($A119,Devengado!$A$1:$AI$1,26,FALSE),"")</f>
        <v/>
      </c>
      <c r="BH119" s="224" t="str">
        <f>IFERROR(VLOOKUP($A119,Devengado!$A$1:$AI$1,27,FALSE),"")</f>
        <v/>
      </c>
      <c r="BI119" s="224" t="str">
        <f>IFERROR(VLOOKUP($A119,Devengado!$A$1:$AI$1,28,FALSE),"")</f>
        <v/>
      </c>
      <c r="BJ119" s="224" t="str">
        <f>IFERROR(VLOOKUP($A119,Devengado!$A$1:$AI$1,29,FALSE),"")</f>
        <v/>
      </c>
      <c r="BK119" s="224" t="str">
        <f>IFERROR(VLOOKUP($A119,Devengado!$A$1:$AI$1,30,FALSE),"")</f>
        <v/>
      </c>
      <c r="BL119" s="224" t="str">
        <f>IFERROR(VLOOKUP($A119,Devengado!$A$1:$AI$1,31,FALSE),"")</f>
        <v/>
      </c>
      <c r="BM119" s="224" t="str">
        <f>IFERROR(VLOOKUP($A119,Devengado!$A$1:$AI$1,32,FALSE),"")</f>
        <v/>
      </c>
      <c r="BN119" s="224" t="str">
        <f>IFERROR(VLOOKUP($A119,Devengado!$A$1:$AI$1,33,FALSE),"")</f>
        <v/>
      </c>
      <c r="BO119" s="224">
        <f t="shared" si="12"/>
        <v>0</v>
      </c>
      <c r="BP119" s="224" t="str">
        <f t="shared" si="13"/>
        <v/>
      </c>
      <c r="BQ119" s="207"/>
      <c r="BR119" s="207" t="str">
        <f t="shared" si="14"/>
        <v>51</v>
      </c>
    </row>
    <row r="120" spans="1:70" s="225" customFormat="1" ht="25.5" customHeight="1">
      <c r="A120" s="207">
        <v>116</v>
      </c>
      <c r="B120" s="112" t="s">
        <v>73</v>
      </c>
      <c r="C120" s="112" t="s">
        <v>187</v>
      </c>
      <c r="D120" s="112" t="s">
        <v>188</v>
      </c>
      <c r="E120" s="112" t="s">
        <v>76</v>
      </c>
      <c r="F120" s="112" t="s">
        <v>77</v>
      </c>
      <c r="G120" s="112" t="s">
        <v>77</v>
      </c>
      <c r="H120" s="112" t="s">
        <v>77</v>
      </c>
      <c r="I120" s="112" t="s">
        <v>77</v>
      </c>
      <c r="J120" s="112" t="s">
        <v>77</v>
      </c>
      <c r="K120" s="112" t="s">
        <v>77</v>
      </c>
      <c r="L120" s="112" t="s">
        <v>85</v>
      </c>
      <c r="M120" s="112" t="s">
        <v>189</v>
      </c>
      <c r="N120" s="112">
        <v>9999</v>
      </c>
      <c r="O120" s="114" t="s">
        <v>132</v>
      </c>
      <c r="P120" s="114" t="s">
        <v>81</v>
      </c>
      <c r="Q120" s="114" t="s">
        <v>82</v>
      </c>
      <c r="R120" s="115" t="str">
        <f t="shared" si="8"/>
        <v>51</v>
      </c>
      <c r="S120" s="122">
        <v>510512</v>
      </c>
      <c r="T120" s="122" t="str">
        <f>VLOOKUP(S120,ITEM!$C$1:$D$156,2,FALSE)</f>
        <v>Subrogación</v>
      </c>
      <c r="U120" s="112" t="s">
        <v>190</v>
      </c>
      <c r="V120" s="112" t="s">
        <v>82</v>
      </c>
      <c r="W120" s="112" t="s">
        <v>84</v>
      </c>
      <c r="X120" s="112" t="s">
        <v>84</v>
      </c>
      <c r="Y120" s="224" t="e">
        <f>'Matriz POA 2024-TRABAJO'!#REF!</f>
        <v>#REF!</v>
      </c>
      <c r="Z120" s="224" t="e">
        <f>'Matriz POA 2024-TRABAJO'!#REF!</f>
        <v>#REF!</v>
      </c>
      <c r="AA120" s="224" t="e">
        <f>'Matriz POA 2024-TRABAJO'!#REF!</f>
        <v>#REF!</v>
      </c>
      <c r="AB120" s="279">
        <v>0</v>
      </c>
      <c r="AC120" s="279">
        <v>0</v>
      </c>
      <c r="AD120" s="279">
        <v>0</v>
      </c>
      <c r="AE120" s="279">
        <v>69.2</v>
      </c>
      <c r="AF120" s="279">
        <v>0</v>
      </c>
      <c r="AG120" s="279">
        <v>0</v>
      </c>
      <c r="AH120" s="279">
        <v>0</v>
      </c>
      <c r="AI120" s="279">
        <v>0</v>
      </c>
      <c r="AJ120" s="279">
        <v>0</v>
      </c>
      <c r="AK120" s="279">
        <v>0</v>
      </c>
      <c r="AL120" s="279">
        <v>0</v>
      </c>
      <c r="AM120" s="279">
        <v>0</v>
      </c>
      <c r="AN120" s="224" t="e">
        <f>SUM(#REF!)</f>
        <v>#REF!</v>
      </c>
      <c r="AO120" s="224">
        <f t="shared" si="9"/>
        <v>69.2</v>
      </c>
      <c r="AP120" s="224" t="e">
        <f t="shared" si="15"/>
        <v>#REF!</v>
      </c>
      <c r="AQ120" s="224"/>
      <c r="AR120" s="224"/>
      <c r="AS120" s="224"/>
      <c r="AT120" s="224" t="str">
        <f>IFERROR(VLOOKUP($A120,'Constancias POA'!$A$2:$DH$9993,17,FALSE),"")</f>
        <v/>
      </c>
      <c r="AU120" s="224" t="str">
        <f t="shared" si="10"/>
        <v/>
      </c>
      <c r="AV120" s="224" t="str">
        <f>IFERROR(VLOOKUP($A120,CP!$A$1:$U$7992,18,FALSE),"")</f>
        <v/>
      </c>
      <c r="AW120" s="224" t="str">
        <f>IFERROR(VLOOKUP($A120,CP!$A$1:$U$7992,19,FALSE),"")</f>
        <v/>
      </c>
      <c r="AX120" s="224" t="str">
        <f>IFERROR(VLOOKUP($A120,CP!$A$1:$U$7992,20,FALSE),"")</f>
        <v/>
      </c>
      <c r="AY120" s="224" t="str">
        <f>IFERROR(VLOOKUP($A120,CP!$A$1:$U$1,21,FALSE),"")</f>
        <v/>
      </c>
      <c r="AZ120" s="224" t="str">
        <f>IFERROR(VLOOKUP(A120,Devengado!$A$1:AJ1,35,FALSE),"")</f>
        <v/>
      </c>
      <c r="BA120" s="224" t="str">
        <f t="shared" si="11"/>
        <v/>
      </c>
      <c r="BB120" s="224" t="str">
        <f>IFERROR(AZ120/#REF!,"")</f>
        <v/>
      </c>
      <c r="BC120" s="224" t="str">
        <f>IFERROR(VLOOKUP($A120,Devengado!$A$1:$AI$1,22,FALSE),"")</f>
        <v/>
      </c>
      <c r="BD120" s="224" t="str">
        <f>IFERROR(VLOOKUP($A120,Devengado!$A$1:$AI$1,23,FALSE),"")</f>
        <v/>
      </c>
      <c r="BE120" s="224" t="str">
        <f>IFERROR(VLOOKUP($A120,Devengado!$A$1:$AI$1,24,FALSE),"")</f>
        <v/>
      </c>
      <c r="BF120" s="224" t="str">
        <f>IFERROR(VLOOKUP($A120,Devengado!$A$1:$AI$1,25,FALSE),"")</f>
        <v/>
      </c>
      <c r="BG120" s="224" t="str">
        <f>IFERROR(VLOOKUP($A120,Devengado!$A$1:$AI$1,26,FALSE),"")</f>
        <v/>
      </c>
      <c r="BH120" s="224" t="str">
        <f>IFERROR(VLOOKUP($A120,Devengado!$A$1:$AI$1,27,FALSE),"")</f>
        <v/>
      </c>
      <c r="BI120" s="224" t="str">
        <f>IFERROR(VLOOKUP($A120,Devengado!$A$1:$AI$1,28,FALSE),"")</f>
        <v/>
      </c>
      <c r="BJ120" s="224" t="str">
        <f>IFERROR(VLOOKUP($A120,Devengado!$A$1:$AI$1,29,FALSE),"")</f>
        <v/>
      </c>
      <c r="BK120" s="224" t="str">
        <f>IFERROR(VLOOKUP($A120,Devengado!$A$1:$AI$1,30,FALSE),"")</f>
        <v/>
      </c>
      <c r="BL120" s="224" t="str">
        <f>IFERROR(VLOOKUP($A120,Devengado!$A$1:$AI$1,31,FALSE),"")</f>
        <v/>
      </c>
      <c r="BM120" s="224" t="str">
        <f>IFERROR(VLOOKUP($A120,Devengado!$A$1:$AI$1,32,FALSE),"")</f>
        <v/>
      </c>
      <c r="BN120" s="224" t="str">
        <f>IFERROR(VLOOKUP($A120,Devengado!$A$1:$AI$1,33,FALSE),"")</f>
        <v/>
      </c>
      <c r="BO120" s="224">
        <f t="shared" si="12"/>
        <v>0</v>
      </c>
      <c r="BP120" s="224" t="str">
        <f t="shared" si="13"/>
        <v/>
      </c>
      <c r="BQ120" s="207"/>
      <c r="BR120" s="207" t="str">
        <f t="shared" si="14"/>
        <v>51</v>
      </c>
    </row>
    <row r="121" spans="1:70" s="225" customFormat="1" ht="25.5" customHeight="1">
      <c r="A121" s="207">
        <v>117</v>
      </c>
      <c r="B121" s="112" t="s">
        <v>73</v>
      </c>
      <c r="C121" s="112" t="s">
        <v>187</v>
      </c>
      <c r="D121" s="112" t="s">
        <v>188</v>
      </c>
      <c r="E121" s="112" t="s">
        <v>76</v>
      </c>
      <c r="F121" s="112" t="s">
        <v>77</v>
      </c>
      <c r="G121" s="112" t="s">
        <v>77</v>
      </c>
      <c r="H121" s="112" t="s">
        <v>77</v>
      </c>
      <c r="I121" s="112" t="s">
        <v>77</v>
      </c>
      <c r="J121" s="112" t="s">
        <v>77</v>
      </c>
      <c r="K121" s="112" t="s">
        <v>77</v>
      </c>
      <c r="L121" s="112" t="s">
        <v>85</v>
      </c>
      <c r="M121" s="112" t="s">
        <v>189</v>
      </c>
      <c r="N121" s="112">
        <v>9999</v>
      </c>
      <c r="O121" s="114" t="s">
        <v>132</v>
      </c>
      <c r="P121" s="114" t="s">
        <v>81</v>
      </c>
      <c r="Q121" s="114" t="s">
        <v>82</v>
      </c>
      <c r="R121" s="115" t="str">
        <f t="shared" si="8"/>
        <v>51</v>
      </c>
      <c r="S121" s="122">
        <v>510513</v>
      </c>
      <c r="T121" s="122" t="str">
        <f>VLOOKUP(S121,ITEM!$C$1:$D$156,2,FALSE)</f>
        <v>Encargos</v>
      </c>
      <c r="U121" s="112" t="s">
        <v>190</v>
      </c>
      <c r="V121" s="112" t="s">
        <v>82</v>
      </c>
      <c r="W121" s="112" t="s">
        <v>84</v>
      </c>
      <c r="X121" s="112" t="s">
        <v>84</v>
      </c>
      <c r="Y121" s="224" t="e">
        <f>'Matriz POA 2024-TRABAJO'!#REF!</f>
        <v>#REF!</v>
      </c>
      <c r="Z121" s="224" t="e">
        <f>'Matriz POA 2024-TRABAJO'!#REF!</f>
        <v>#REF!</v>
      </c>
      <c r="AA121" s="224" t="e">
        <f>'Matriz POA 2024-TRABAJO'!#REF!</f>
        <v>#REF!</v>
      </c>
      <c r="AB121" s="279">
        <v>0</v>
      </c>
      <c r="AC121" s="279">
        <v>100</v>
      </c>
      <c r="AD121" s="279">
        <v>0</v>
      </c>
      <c r="AE121" s="279">
        <v>0</v>
      </c>
      <c r="AF121" s="279">
        <v>0</v>
      </c>
      <c r="AG121" s="279">
        <v>100</v>
      </c>
      <c r="AH121" s="279">
        <v>0</v>
      </c>
      <c r="AI121" s="279">
        <v>0</v>
      </c>
      <c r="AJ121" s="279">
        <v>0</v>
      </c>
      <c r="AK121" s="279">
        <v>0</v>
      </c>
      <c r="AL121" s="279">
        <v>0</v>
      </c>
      <c r="AM121" s="279">
        <v>99.87</v>
      </c>
      <c r="AN121" s="224" t="e">
        <f>SUM(#REF!)</f>
        <v>#REF!</v>
      </c>
      <c r="AO121" s="224">
        <f t="shared" si="9"/>
        <v>299.87</v>
      </c>
      <c r="AP121" s="224" t="e">
        <f t="shared" si="15"/>
        <v>#REF!</v>
      </c>
      <c r="AQ121" s="224"/>
      <c r="AR121" s="224"/>
      <c r="AS121" s="224"/>
      <c r="AT121" s="224" t="str">
        <f>IFERROR(VLOOKUP($A121,'Constancias POA'!$A$2:$DH$9993,17,FALSE),"")</f>
        <v/>
      </c>
      <c r="AU121" s="224" t="str">
        <f t="shared" si="10"/>
        <v/>
      </c>
      <c r="AV121" s="224" t="str">
        <f>IFERROR(VLOOKUP($A121,CP!$A$1:$U$7992,18,FALSE),"")</f>
        <v/>
      </c>
      <c r="AW121" s="224" t="str">
        <f>IFERROR(VLOOKUP($A121,CP!$A$1:$U$7992,19,FALSE),"")</f>
        <v/>
      </c>
      <c r="AX121" s="224" t="str">
        <f>IFERROR(VLOOKUP($A121,CP!$A$1:$U$7992,20,FALSE),"")</f>
        <v/>
      </c>
      <c r="AY121" s="224" t="str">
        <f>IFERROR(VLOOKUP($A121,CP!$A$1:$U$1,21,FALSE),"")</f>
        <v/>
      </c>
      <c r="AZ121" s="224" t="str">
        <f>IFERROR(VLOOKUP(A121,Devengado!$A$1:AJ1,35,FALSE),"")</f>
        <v/>
      </c>
      <c r="BA121" s="224" t="str">
        <f t="shared" si="11"/>
        <v/>
      </c>
      <c r="BB121" s="224" t="str">
        <f>IFERROR(AZ121/#REF!,"")</f>
        <v/>
      </c>
      <c r="BC121" s="224" t="str">
        <f>IFERROR(VLOOKUP($A121,Devengado!$A$1:$AI$1,22,FALSE),"")</f>
        <v/>
      </c>
      <c r="BD121" s="224" t="str">
        <f>IFERROR(VLOOKUP($A121,Devengado!$A$1:$AI$1,23,FALSE),"")</f>
        <v/>
      </c>
      <c r="BE121" s="224" t="str">
        <f>IFERROR(VLOOKUP($A121,Devengado!$A$1:$AI$1,24,FALSE),"")</f>
        <v/>
      </c>
      <c r="BF121" s="224" t="str">
        <f>IFERROR(VLOOKUP($A121,Devengado!$A$1:$AI$1,25,FALSE),"")</f>
        <v/>
      </c>
      <c r="BG121" s="224" t="str">
        <f>IFERROR(VLOOKUP($A121,Devengado!$A$1:$AI$1,26,FALSE),"")</f>
        <v/>
      </c>
      <c r="BH121" s="224" t="str">
        <f>IFERROR(VLOOKUP($A121,Devengado!$A$1:$AI$1,27,FALSE),"")</f>
        <v/>
      </c>
      <c r="BI121" s="224" t="str">
        <f>IFERROR(VLOOKUP($A121,Devengado!$A$1:$AI$1,28,FALSE),"")</f>
        <v/>
      </c>
      <c r="BJ121" s="224" t="str">
        <f>IFERROR(VLOOKUP($A121,Devengado!$A$1:$AI$1,29,FALSE),"")</f>
        <v/>
      </c>
      <c r="BK121" s="224" t="str">
        <f>IFERROR(VLOOKUP($A121,Devengado!$A$1:$AI$1,30,FALSE),"")</f>
        <v/>
      </c>
      <c r="BL121" s="224" t="str">
        <f>IFERROR(VLOOKUP($A121,Devengado!$A$1:$AI$1,31,FALSE),"")</f>
        <v/>
      </c>
      <c r="BM121" s="224" t="str">
        <f>IFERROR(VLOOKUP($A121,Devengado!$A$1:$AI$1,32,FALSE),"")</f>
        <v/>
      </c>
      <c r="BN121" s="224" t="str">
        <f>IFERROR(VLOOKUP($A121,Devengado!$A$1:$AI$1,33,FALSE),"")</f>
        <v/>
      </c>
      <c r="BO121" s="224">
        <f t="shared" si="12"/>
        <v>0</v>
      </c>
      <c r="BP121" s="224" t="str">
        <f t="shared" si="13"/>
        <v/>
      </c>
      <c r="BQ121" s="207"/>
      <c r="BR121" s="207" t="str">
        <f t="shared" si="14"/>
        <v>51</v>
      </c>
    </row>
    <row r="122" spans="1:70" s="225" customFormat="1" ht="25.5" customHeight="1">
      <c r="A122" s="207">
        <v>118</v>
      </c>
      <c r="B122" s="112" t="s">
        <v>73</v>
      </c>
      <c r="C122" s="112" t="s">
        <v>187</v>
      </c>
      <c r="D122" s="112" t="s">
        <v>188</v>
      </c>
      <c r="E122" s="112" t="s">
        <v>76</v>
      </c>
      <c r="F122" s="112" t="s">
        <v>77</v>
      </c>
      <c r="G122" s="112" t="s">
        <v>77</v>
      </c>
      <c r="H122" s="112" t="s">
        <v>77</v>
      </c>
      <c r="I122" s="112" t="s">
        <v>77</v>
      </c>
      <c r="J122" s="112" t="s">
        <v>77</v>
      </c>
      <c r="K122" s="112" t="s">
        <v>77</v>
      </c>
      <c r="L122" s="112" t="s">
        <v>85</v>
      </c>
      <c r="M122" s="112" t="s">
        <v>189</v>
      </c>
      <c r="N122" s="112">
        <v>9999</v>
      </c>
      <c r="O122" s="114" t="s">
        <v>132</v>
      </c>
      <c r="P122" s="114" t="s">
        <v>81</v>
      </c>
      <c r="Q122" s="114" t="s">
        <v>82</v>
      </c>
      <c r="R122" s="115" t="str">
        <f t="shared" si="8"/>
        <v>51</v>
      </c>
      <c r="S122" s="122">
        <v>510601</v>
      </c>
      <c r="T122" s="122" t="str">
        <f>VLOOKUP(S122,ITEM!$C$1:$D$156,2,FALSE)</f>
        <v>Aporte Patronal</v>
      </c>
      <c r="U122" s="112" t="s">
        <v>190</v>
      </c>
      <c r="V122" s="112" t="s">
        <v>82</v>
      </c>
      <c r="W122" s="112" t="s">
        <v>84</v>
      </c>
      <c r="X122" s="112" t="s">
        <v>84</v>
      </c>
      <c r="Y122" s="224" t="e">
        <f>'Matriz POA 2024-TRABAJO'!#REF!</f>
        <v>#REF!</v>
      </c>
      <c r="Z122" s="224" t="e">
        <f>'Matriz POA 2024-TRABAJO'!#REF!</f>
        <v>#REF!</v>
      </c>
      <c r="AA122" s="224" t="e">
        <f>'Matriz POA 2024-TRABAJO'!#REF!</f>
        <v>#REF!</v>
      </c>
      <c r="AB122" s="279">
        <v>785.98</v>
      </c>
      <c r="AC122" s="279">
        <v>785.98</v>
      </c>
      <c r="AD122" s="279">
        <v>785.98</v>
      </c>
      <c r="AE122" s="279">
        <v>785.98</v>
      </c>
      <c r="AF122" s="279">
        <v>785.98</v>
      </c>
      <c r="AG122" s="279">
        <v>785.98</v>
      </c>
      <c r="AH122" s="279">
        <v>785.98</v>
      </c>
      <c r="AI122" s="279">
        <v>785.98</v>
      </c>
      <c r="AJ122" s="279">
        <v>785.98</v>
      </c>
      <c r="AK122" s="279">
        <v>785.98</v>
      </c>
      <c r="AL122" s="279">
        <v>785.98</v>
      </c>
      <c r="AM122" s="279">
        <v>786</v>
      </c>
      <c r="AN122" s="224" t="e">
        <f>SUM(#REF!)</f>
        <v>#REF!</v>
      </c>
      <c r="AO122" s="224">
        <f t="shared" si="9"/>
        <v>9431.7799999999988</v>
      </c>
      <c r="AP122" s="224" t="e">
        <f t="shared" si="15"/>
        <v>#REF!</v>
      </c>
      <c r="AQ122" s="224"/>
      <c r="AR122" s="224"/>
      <c r="AS122" s="224"/>
      <c r="AT122" s="224" t="str">
        <f>IFERROR(VLOOKUP($A122,'Constancias POA'!$A$2:$DH$9993,17,FALSE),"")</f>
        <v/>
      </c>
      <c r="AU122" s="224" t="str">
        <f t="shared" si="10"/>
        <v/>
      </c>
      <c r="AV122" s="224" t="str">
        <f>IFERROR(VLOOKUP($A122,CP!$A$1:$U$7992,18,FALSE),"")</f>
        <v/>
      </c>
      <c r="AW122" s="224" t="str">
        <f>IFERROR(VLOOKUP($A122,CP!$A$1:$U$7992,19,FALSE),"")</f>
        <v/>
      </c>
      <c r="AX122" s="224" t="str">
        <f>IFERROR(VLOOKUP($A122,CP!$A$1:$U$7992,20,FALSE),"")</f>
        <v/>
      </c>
      <c r="AY122" s="224" t="str">
        <f>IFERROR(VLOOKUP($A122,CP!$A$1:$U$1,21,FALSE),"")</f>
        <v/>
      </c>
      <c r="AZ122" s="224" t="str">
        <f>IFERROR(VLOOKUP(A122,Devengado!$A$1:AJ1,35,FALSE),"")</f>
        <v/>
      </c>
      <c r="BA122" s="224" t="str">
        <f t="shared" si="11"/>
        <v/>
      </c>
      <c r="BB122" s="224" t="str">
        <f>IFERROR(AZ122/#REF!,"")</f>
        <v/>
      </c>
      <c r="BC122" s="224" t="str">
        <f>IFERROR(VLOOKUP($A122,Devengado!$A$1:$AI$1,22,FALSE),"")</f>
        <v/>
      </c>
      <c r="BD122" s="224" t="str">
        <f>IFERROR(VLOOKUP($A122,Devengado!$A$1:$AI$1,23,FALSE),"")</f>
        <v/>
      </c>
      <c r="BE122" s="224" t="str">
        <f>IFERROR(VLOOKUP($A122,Devengado!$A$1:$AI$1,24,FALSE),"")</f>
        <v/>
      </c>
      <c r="BF122" s="224" t="str">
        <f>IFERROR(VLOOKUP($A122,Devengado!$A$1:$AI$1,25,FALSE),"")</f>
        <v/>
      </c>
      <c r="BG122" s="224" t="str">
        <f>IFERROR(VLOOKUP($A122,Devengado!$A$1:$AI$1,26,FALSE),"")</f>
        <v/>
      </c>
      <c r="BH122" s="224" t="str">
        <f>IFERROR(VLOOKUP($A122,Devengado!$A$1:$AI$1,27,FALSE),"")</f>
        <v/>
      </c>
      <c r="BI122" s="224" t="str">
        <f>IFERROR(VLOOKUP($A122,Devengado!$A$1:$AI$1,28,FALSE),"")</f>
        <v/>
      </c>
      <c r="BJ122" s="224" t="str">
        <f>IFERROR(VLOOKUP($A122,Devengado!$A$1:$AI$1,29,FALSE),"")</f>
        <v/>
      </c>
      <c r="BK122" s="224" t="str">
        <f>IFERROR(VLOOKUP($A122,Devengado!$A$1:$AI$1,30,FALSE),"")</f>
        <v/>
      </c>
      <c r="BL122" s="224" t="str">
        <f>IFERROR(VLOOKUP($A122,Devengado!$A$1:$AI$1,31,FALSE),"")</f>
        <v/>
      </c>
      <c r="BM122" s="224" t="str">
        <f>IFERROR(VLOOKUP($A122,Devengado!$A$1:$AI$1,32,FALSE),"")</f>
        <v/>
      </c>
      <c r="BN122" s="224" t="str">
        <f>IFERROR(VLOOKUP($A122,Devengado!$A$1:$AI$1,33,FALSE),"")</f>
        <v/>
      </c>
      <c r="BO122" s="224">
        <f t="shared" si="12"/>
        <v>0</v>
      </c>
      <c r="BP122" s="224" t="str">
        <f t="shared" si="13"/>
        <v/>
      </c>
      <c r="BQ122" s="207"/>
      <c r="BR122" s="207" t="str">
        <f t="shared" si="14"/>
        <v>51</v>
      </c>
    </row>
    <row r="123" spans="1:70" s="225" customFormat="1" ht="25.5" customHeight="1">
      <c r="A123" s="207">
        <v>119</v>
      </c>
      <c r="B123" s="112" t="s">
        <v>73</v>
      </c>
      <c r="C123" s="112" t="s">
        <v>187</v>
      </c>
      <c r="D123" s="112" t="s">
        <v>188</v>
      </c>
      <c r="E123" s="112" t="s">
        <v>76</v>
      </c>
      <c r="F123" s="112" t="s">
        <v>77</v>
      </c>
      <c r="G123" s="112" t="s">
        <v>77</v>
      </c>
      <c r="H123" s="112" t="s">
        <v>77</v>
      </c>
      <c r="I123" s="112" t="s">
        <v>77</v>
      </c>
      <c r="J123" s="112" t="s">
        <v>77</v>
      </c>
      <c r="K123" s="112" t="s">
        <v>77</v>
      </c>
      <c r="L123" s="112" t="s">
        <v>85</v>
      </c>
      <c r="M123" s="112" t="s">
        <v>189</v>
      </c>
      <c r="N123" s="112">
        <v>9999</v>
      </c>
      <c r="O123" s="114" t="s">
        <v>132</v>
      </c>
      <c r="P123" s="114" t="s">
        <v>81</v>
      </c>
      <c r="Q123" s="114" t="s">
        <v>82</v>
      </c>
      <c r="R123" s="115" t="str">
        <f t="shared" si="8"/>
        <v>51</v>
      </c>
      <c r="S123" s="122">
        <v>510602</v>
      </c>
      <c r="T123" s="122" t="str">
        <f>VLOOKUP(S123,ITEM!$C$1:$D$156,2,FALSE)</f>
        <v>Fondo de Reserva</v>
      </c>
      <c r="U123" s="112" t="s">
        <v>190</v>
      </c>
      <c r="V123" s="112" t="s">
        <v>82</v>
      </c>
      <c r="W123" s="112" t="s">
        <v>84</v>
      </c>
      <c r="X123" s="112" t="s">
        <v>84</v>
      </c>
      <c r="Y123" s="224" t="e">
        <f>'Matriz POA 2024-TRABAJO'!#REF!</f>
        <v>#REF!</v>
      </c>
      <c r="Z123" s="224" t="e">
        <f>'Matriz POA 2024-TRABAJO'!#REF!</f>
        <v>#REF!</v>
      </c>
      <c r="AA123" s="224" t="e">
        <f>'Matriz POA 2024-TRABAJO'!#REF!</f>
        <v>#REF!</v>
      </c>
      <c r="AB123" s="279">
        <v>460.79</v>
      </c>
      <c r="AC123" s="279">
        <v>460.79</v>
      </c>
      <c r="AD123" s="279">
        <v>460.79</v>
      </c>
      <c r="AE123" s="279">
        <v>460.79</v>
      </c>
      <c r="AF123" s="279">
        <v>460.79</v>
      </c>
      <c r="AG123" s="279">
        <v>460.79</v>
      </c>
      <c r="AH123" s="279">
        <v>460.79</v>
      </c>
      <c r="AI123" s="279">
        <v>460.79</v>
      </c>
      <c r="AJ123" s="279">
        <v>460.79</v>
      </c>
      <c r="AK123" s="279">
        <v>460.79</v>
      </c>
      <c r="AL123" s="279">
        <v>460.79</v>
      </c>
      <c r="AM123" s="279">
        <v>460.82</v>
      </c>
      <c r="AN123" s="224" t="e">
        <f>SUM(#REF!)</f>
        <v>#REF!</v>
      </c>
      <c r="AO123" s="224">
        <f t="shared" si="9"/>
        <v>5529.51</v>
      </c>
      <c r="AP123" s="224" t="e">
        <f t="shared" si="15"/>
        <v>#REF!</v>
      </c>
      <c r="AQ123" s="224"/>
      <c r="AR123" s="224"/>
      <c r="AS123" s="224"/>
      <c r="AT123" s="224" t="str">
        <f>IFERROR(VLOOKUP($A123,'Constancias POA'!$A$2:$DH$9993,17,FALSE),"")</f>
        <v/>
      </c>
      <c r="AU123" s="224" t="str">
        <f t="shared" si="10"/>
        <v/>
      </c>
      <c r="AV123" s="224" t="str">
        <f>IFERROR(VLOOKUP($A123,CP!$A$1:$U$7992,18,FALSE),"")</f>
        <v/>
      </c>
      <c r="AW123" s="224" t="str">
        <f>IFERROR(VLOOKUP($A123,CP!$A$1:$U$7992,19,FALSE),"")</f>
        <v/>
      </c>
      <c r="AX123" s="224" t="str">
        <f>IFERROR(VLOOKUP($A123,CP!$A$1:$U$7992,20,FALSE),"")</f>
        <v/>
      </c>
      <c r="AY123" s="224" t="str">
        <f>IFERROR(VLOOKUP($A123,CP!$A$1:$U$1,21,FALSE),"")</f>
        <v/>
      </c>
      <c r="AZ123" s="224" t="str">
        <f>IFERROR(VLOOKUP(A123,Devengado!$A$1:AJ1,35,FALSE),"")</f>
        <v/>
      </c>
      <c r="BA123" s="224" t="str">
        <f t="shared" si="11"/>
        <v/>
      </c>
      <c r="BB123" s="224" t="str">
        <f>IFERROR(AZ123/#REF!,"")</f>
        <v/>
      </c>
      <c r="BC123" s="224" t="str">
        <f>IFERROR(VLOOKUP($A123,Devengado!$A$1:$AI$1,22,FALSE),"")</f>
        <v/>
      </c>
      <c r="BD123" s="224" t="str">
        <f>IFERROR(VLOOKUP($A123,Devengado!$A$1:$AI$1,23,FALSE),"")</f>
        <v/>
      </c>
      <c r="BE123" s="224" t="str">
        <f>IFERROR(VLOOKUP($A123,Devengado!$A$1:$AI$1,24,FALSE),"")</f>
        <v/>
      </c>
      <c r="BF123" s="224" t="str">
        <f>IFERROR(VLOOKUP($A123,Devengado!$A$1:$AI$1,25,FALSE),"")</f>
        <v/>
      </c>
      <c r="BG123" s="224" t="str">
        <f>IFERROR(VLOOKUP($A123,Devengado!$A$1:$AI$1,26,FALSE),"")</f>
        <v/>
      </c>
      <c r="BH123" s="224" t="str">
        <f>IFERROR(VLOOKUP($A123,Devengado!$A$1:$AI$1,27,FALSE),"")</f>
        <v/>
      </c>
      <c r="BI123" s="224" t="str">
        <f>IFERROR(VLOOKUP($A123,Devengado!$A$1:$AI$1,28,FALSE),"")</f>
        <v/>
      </c>
      <c r="BJ123" s="224" t="str">
        <f>IFERROR(VLOOKUP($A123,Devengado!$A$1:$AI$1,29,FALSE),"")</f>
        <v/>
      </c>
      <c r="BK123" s="224" t="str">
        <f>IFERROR(VLOOKUP($A123,Devengado!$A$1:$AI$1,30,FALSE),"")</f>
        <v/>
      </c>
      <c r="BL123" s="224" t="str">
        <f>IFERROR(VLOOKUP($A123,Devengado!$A$1:$AI$1,31,FALSE),"")</f>
        <v/>
      </c>
      <c r="BM123" s="224" t="str">
        <f>IFERROR(VLOOKUP($A123,Devengado!$A$1:$AI$1,32,FALSE),"")</f>
        <v/>
      </c>
      <c r="BN123" s="224" t="str">
        <f>IFERROR(VLOOKUP($A123,Devengado!$A$1:$AI$1,33,FALSE),"")</f>
        <v/>
      </c>
      <c r="BO123" s="224">
        <f t="shared" si="12"/>
        <v>0</v>
      </c>
      <c r="BP123" s="224" t="str">
        <f t="shared" si="13"/>
        <v/>
      </c>
      <c r="BQ123" s="207"/>
      <c r="BR123" s="207" t="str">
        <f t="shared" si="14"/>
        <v>51</v>
      </c>
    </row>
    <row r="124" spans="1:70" s="225" customFormat="1" ht="25.5" customHeight="1">
      <c r="A124" s="207">
        <v>120</v>
      </c>
      <c r="B124" s="112" t="s">
        <v>73</v>
      </c>
      <c r="C124" s="112" t="s">
        <v>187</v>
      </c>
      <c r="D124" s="112" t="s">
        <v>188</v>
      </c>
      <c r="E124" s="112" t="s">
        <v>76</v>
      </c>
      <c r="F124" s="112" t="s">
        <v>77</v>
      </c>
      <c r="G124" s="112" t="s">
        <v>77</v>
      </c>
      <c r="H124" s="112" t="s">
        <v>77</v>
      </c>
      <c r="I124" s="112" t="s">
        <v>77</v>
      </c>
      <c r="J124" s="112" t="s">
        <v>77</v>
      </c>
      <c r="K124" s="112" t="s">
        <v>77</v>
      </c>
      <c r="L124" s="112" t="s">
        <v>85</v>
      </c>
      <c r="M124" s="112" t="s">
        <v>189</v>
      </c>
      <c r="N124" s="112">
        <v>9999</v>
      </c>
      <c r="O124" s="114" t="s">
        <v>132</v>
      </c>
      <c r="P124" s="114" t="s">
        <v>81</v>
      </c>
      <c r="Q124" s="114" t="s">
        <v>82</v>
      </c>
      <c r="R124" s="115" t="str">
        <f t="shared" si="8"/>
        <v>51</v>
      </c>
      <c r="S124" s="122">
        <v>510707</v>
      </c>
      <c r="T124" s="122" t="str">
        <f>VLOOKUP(S124,ITEM!$C$1:$D$156,2,FALSE)</f>
        <v>Compensación por Vacaciones no Gozadas por Cesación de Funciones</v>
      </c>
      <c r="U124" s="112" t="s">
        <v>190</v>
      </c>
      <c r="V124" s="112" t="s">
        <v>82</v>
      </c>
      <c r="W124" s="112" t="s">
        <v>84</v>
      </c>
      <c r="X124" s="112" t="s">
        <v>84</v>
      </c>
      <c r="Y124" s="224" t="e">
        <f>'Matriz POA 2024-TRABAJO'!#REF!</f>
        <v>#REF!</v>
      </c>
      <c r="Z124" s="224" t="e">
        <f>'Matriz POA 2024-TRABAJO'!#REF!</f>
        <v>#REF!</v>
      </c>
      <c r="AA124" s="224" t="e">
        <f>'Matriz POA 2024-TRABAJO'!#REF!</f>
        <v>#REF!</v>
      </c>
      <c r="AB124" s="279">
        <v>0</v>
      </c>
      <c r="AC124" s="279">
        <v>0</v>
      </c>
      <c r="AD124" s="279">
        <v>0</v>
      </c>
      <c r="AE124" s="279">
        <v>0</v>
      </c>
      <c r="AF124" s="279">
        <v>0</v>
      </c>
      <c r="AG124" s="279">
        <v>0</v>
      </c>
      <c r="AH124" s="279">
        <v>0</v>
      </c>
      <c r="AI124" s="279">
        <v>0</v>
      </c>
      <c r="AJ124" s="279">
        <v>0</v>
      </c>
      <c r="AK124" s="279">
        <v>0</v>
      </c>
      <c r="AL124" s="279">
        <v>0</v>
      </c>
      <c r="AM124" s="279">
        <v>0</v>
      </c>
      <c r="AN124" s="224" t="e">
        <f>SUM(#REF!)</f>
        <v>#REF!</v>
      </c>
      <c r="AO124" s="224">
        <f t="shared" si="9"/>
        <v>0</v>
      </c>
      <c r="AP124" s="224" t="e">
        <f t="shared" si="15"/>
        <v>#REF!</v>
      </c>
      <c r="AQ124" s="224"/>
      <c r="AR124" s="224"/>
      <c r="AS124" s="224"/>
      <c r="AT124" s="224" t="str">
        <f>IFERROR(VLOOKUP($A124,'Constancias POA'!$A$2:$DH$9993,17,FALSE),"")</f>
        <v/>
      </c>
      <c r="AU124" s="224" t="str">
        <f t="shared" si="10"/>
        <v/>
      </c>
      <c r="AV124" s="224" t="str">
        <f>IFERROR(VLOOKUP($A124,CP!$A$1:$U$7992,18,FALSE),"")</f>
        <v/>
      </c>
      <c r="AW124" s="224" t="str">
        <f>IFERROR(VLOOKUP($A124,CP!$A$1:$U$7992,19,FALSE),"")</f>
        <v/>
      </c>
      <c r="AX124" s="224" t="str">
        <f>IFERROR(VLOOKUP($A124,CP!$A$1:$U$7992,20,FALSE),"")</f>
        <v/>
      </c>
      <c r="AY124" s="224" t="str">
        <f>IFERROR(VLOOKUP($A124,CP!$A$1:$U$1,21,FALSE),"")</f>
        <v/>
      </c>
      <c r="AZ124" s="224" t="str">
        <f>IFERROR(VLOOKUP(A124,Devengado!$A$1:AJ1,35,FALSE),"")</f>
        <v/>
      </c>
      <c r="BA124" s="224" t="str">
        <f t="shared" si="11"/>
        <v/>
      </c>
      <c r="BB124" s="224" t="str">
        <f>IFERROR(AZ124/#REF!,"")</f>
        <v/>
      </c>
      <c r="BC124" s="224" t="str">
        <f>IFERROR(VLOOKUP($A124,Devengado!$A$1:$AI$1,22,FALSE),"")</f>
        <v/>
      </c>
      <c r="BD124" s="224" t="str">
        <f>IFERROR(VLOOKUP($A124,Devengado!$A$1:$AI$1,23,FALSE),"")</f>
        <v/>
      </c>
      <c r="BE124" s="224" t="str">
        <f>IFERROR(VLOOKUP($A124,Devengado!$A$1:$AI$1,24,FALSE),"")</f>
        <v/>
      </c>
      <c r="BF124" s="224" t="str">
        <f>IFERROR(VLOOKUP($A124,Devengado!$A$1:$AI$1,25,FALSE),"")</f>
        <v/>
      </c>
      <c r="BG124" s="224" t="str">
        <f>IFERROR(VLOOKUP($A124,Devengado!$A$1:$AI$1,26,FALSE),"")</f>
        <v/>
      </c>
      <c r="BH124" s="224" t="str">
        <f>IFERROR(VLOOKUP($A124,Devengado!$A$1:$AI$1,27,FALSE),"")</f>
        <v/>
      </c>
      <c r="BI124" s="224" t="str">
        <f>IFERROR(VLOOKUP($A124,Devengado!$A$1:$AI$1,28,FALSE),"")</f>
        <v/>
      </c>
      <c r="BJ124" s="224" t="str">
        <f>IFERROR(VLOOKUP($A124,Devengado!$A$1:$AI$1,29,FALSE),"")</f>
        <v/>
      </c>
      <c r="BK124" s="224" t="str">
        <f>IFERROR(VLOOKUP($A124,Devengado!$A$1:$AI$1,30,FALSE),"")</f>
        <v/>
      </c>
      <c r="BL124" s="224" t="str">
        <f>IFERROR(VLOOKUP($A124,Devengado!$A$1:$AI$1,31,FALSE),"")</f>
        <v/>
      </c>
      <c r="BM124" s="224" t="str">
        <f>IFERROR(VLOOKUP($A124,Devengado!$A$1:$AI$1,32,FALSE),"")</f>
        <v/>
      </c>
      <c r="BN124" s="224" t="str">
        <f>IFERROR(VLOOKUP($A124,Devengado!$A$1:$AI$1,33,FALSE),"")</f>
        <v/>
      </c>
      <c r="BO124" s="224">
        <f t="shared" si="12"/>
        <v>0</v>
      </c>
      <c r="BP124" s="224" t="str">
        <f t="shared" si="13"/>
        <v/>
      </c>
      <c r="BQ124" s="207"/>
      <c r="BR124" s="207" t="str">
        <f t="shared" si="14"/>
        <v>51</v>
      </c>
    </row>
    <row r="125" spans="1:70" s="225" customFormat="1" ht="25.5" customHeight="1">
      <c r="A125" s="207">
        <v>121</v>
      </c>
      <c r="B125" s="112" t="s">
        <v>73</v>
      </c>
      <c r="C125" s="112" t="s">
        <v>187</v>
      </c>
      <c r="D125" s="112" t="s">
        <v>188</v>
      </c>
      <c r="E125" s="112" t="s">
        <v>76</v>
      </c>
      <c r="F125" s="112" t="s">
        <v>77</v>
      </c>
      <c r="G125" s="112" t="s">
        <v>77</v>
      </c>
      <c r="H125" s="112" t="s">
        <v>77</v>
      </c>
      <c r="I125" s="112" t="s">
        <v>77</v>
      </c>
      <c r="J125" s="112" t="s">
        <v>77</v>
      </c>
      <c r="K125" s="112" t="s">
        <v>77</v>
      </c>
      <c r="L125" s="112" t="s">
        <v>85</v>
      </c>
      <c r="M125" s="112" t="s">
        <v>189</v>
      </c>
      <c r="N125" s="112">
        <v>9999</v>
      </c>
      <c r="O125" s="114" t="s">
        <v>111</v>
      </c>
      <c r="P125" s="114" t="s">
        <v>81</v>
      </c>
      <c r="Q125" s="114" t="s">
        <v>82</v>
      </c>
      <c r="R125" s="115" t="str">
        <f t="shared" si="8"/>
        <v>51</v>
      </c>
      <c r="S125" s="122">
        <v>510105</v>
      </c>
      <c r="T125" s="122" t="str">
        <f>VLOOKUP(S125,ITEM!$C$1:$D$156,2,FALSE)</f>
        <v>Remuneraciones Unificadas</v>
      </c>
      <c r="U125" s="112" t="s">
        <v>190</v>
      </c>
      <c r="V125" s="112" t="s">
        <v>82</v>
      </c>
      <c r="W125" s="112" t="s">
        <v>84</v>
      </c>
      <c r="X125" s="112" t="s">
        <v>84</v>
      </c>
      <c r="Y125" s="224" t="e">
        <f>'Matriz POA 2024-TRABAJO'!#REF!</f>
        <v>#REF!</v>
      </c>
      <c r="Z125" s="224" t="e">
        <f>'Matriz POA 2024-TRABAJO'!#REF!</f>
        <v>#REF!</v>
      </c>
      <c r="AA125" s="224" t="e">
        <f>'Matriz POA 2024-TRABAJO'!#REF!</f>
        <v>#REF!</v>
      </c>
      <c r="AB125" s="279">
        <v>17548.2</v>
      </c>
      <c r="AC125" s="279">
        <v>17548.2</v>
      </c>
      <c r="AD125" s="279">
        <v>17548.2</v>
      </c>
      <c r="AE125" s="279">
        <v>17548.2</v>
      </c>
      <c r="AF125" s="279">
        <v>17548.2</v>
      </c>
      <c r="AG125" s="279">
        <v>17548.2</v>
      </c>
      <c r="AH125" s="279">
        <v>17548.2</v>
      </c>
      <c r="AI125" s="279">
        <v>17548.2</v>
      </c>
      <c r="AJ125" s="279">
        <v>17548.2</v>
      </c>
      <c r="AK125" s="279">
        <v>17548.2</v>
      </c>
      <c r="AL125" s="279">
        <v>17548.2</v>
      </c>
      <c r="AM125" s="279">
        <v>17548.189999999999</v>
      </c>
      <c r="AN125" s="224" t="e">
        <f>SUM(#REF!)</f>
        <v>#REF!</v>
      </c>
      <c r="AO125" s="224">
        <f t="shared" si="9"/>
        <v>210578.39000000004</v>
      </c>
      <c r="AP125" s="224" t="e">
        <f t="shared" si="15"/>
        <v>#REF!</v>
      </c>
      <c r="AQ125" s="224"/>
      <c r="AR125" s="224"/>
      <c r="AS125" s="224"/>
      <c r="AT125" s="224" t="str">
        <f>IFERROR(VLOOKUP($A125,'Constancias POA'!$A$2:$DH$9993,17,FALSE),"")</f>
        <v/>
      </c>
      <c r="AU125" s="224" t="str">
        <f t="shared" si="10"/>
        <v/>
      </c>
      <c r="AV125" s="224" t="str">
        <f>IFERROR(VLOOKUP($A125,CP!$A$1:$U$7992,18,FALSE),"")</f>
        <v/>
      </c>
      <c r="AW125" s="224" t="str">
        <f>IFERROR(VLOOKUP($A125,CP!$A$1:$U$7992,19,FALSE),"")</f>
        <v/>
      </c>
      <c r="AX125" s="224" t="str">
        <f>IFERROR(VLOOKUP($A125,CP!$A$1:$U$7992,20,FALSE),"")</f>
        <v/>
      </c>
      <c r="AY125" s="224" t="str">
        <f>IFERROR(VLOOKUP($A125,CP!$A$1:$U$1,21,FALSE),"")</f>
        <v/>
      </c>
      <c r="AZ125" s="224" t="str">
        <f>IFERROR(VLOOKUP(A125,Devengado!$A$1:AJ1,35,FALSE),"")</f>
        <v/>
      </c>
      <c r="BA125" s="224" t="str">
        <f t="shared" si="11"/>
        <v/>
      </c>
      <c r="BB125" s="224" t="str">
        <f>IFERROR(AZ125/#REF!,"")</f>
        <v/>
      </c>
      <c r="BC125" s="224" t="str">
        <f>IFERROR(VLOOKUP($A125,Devengado!$A$1:$AI$1,22,FALSE),"")</f>
        <v/>
      </c>
      <c r="BD125" s="224" t="str">
        <f>IFERROR(VLOOKUP($A125,Devengado!$A$1:$AI$1,23,FALSE),"")</f>
        <v/>
      </c>
      <c r="BE125" s="224" t="str">
        <f>IFERROR(VLOOKUP($A125,Devengado!$A$1:$AI$1,24,FALSE),"")</f>
        <v/>
      </c>
      <c r="BF125" s="224" t="str">
        <f>IFERROR(VLOOKUP($A125,Devengado!$A$1:$AI$1,25,FALSE),"")</f>
        <v/>
      </c>
      <c r="BG125" s="224" t="str">
        <f>IFERROR(VLOOKUP($A125,Devengado!$A$1:$AI$1,26,FALSE),"")</f>
        <v/>
      </c>
      <c r="BH125" s="224" t="str">
        <f>IFERROR(VLOOKUP($A125,Devengado!$A$1:$AI$1,27,FALSE),"")</f>
        <v/>
      </c>
      <c r="BI125" s="224" t="str">
        <f>IFERROR(VLOOKUP($A125,Devengado!$A$1:$AI$1,28,FALSE),"")</f>
        <v/>
      </c>
      <c r="BJ125" s="224" t="str">
        <f>IFERROR(VLOOKUP($A125,Devengado!$A$1:$AI$1,29,FALSE),"")</f>
        <v/>
      </c>
      <c r="BK125" s="224" t="str">
        <f>IFERROR(VLOOKUP($A125,Devengado!$A$1:$AI$1,30,FALSE),"")</f>
        <v/>
      </c>
      <c r="BL125" s="224" t="str">
        <f>IFERROR(VLOOKUP($A125,Devengado!$A$1:$AI$1,31,FALSE),"")</f>
        <v/>
      </c>
      <c r="BM125" s="224" t="str">
        <f>IFERROR(VLOOKUP($A125,Devengado!$A$1:$AI$1,32,FALSE),"")</f>
        <v/>
      </c>
      <c r="BN125" s="224" t="str">
        <f>IFERROR(VLOOKUP($A125,Devengado!$A$1:$AI$1,33,FALSE),"")</f>
        <v/>
      </c>
      <c r="BO125" s="224">
        <f t="shared" si="12"/>
        <v>0</v>
      </c>
      <c r="BP125" s="224" t="str">
        <f t="shared" si="13"/>
        <v/>
      </c>
      <c r="BQ125" s="207"/>
      <c r="BR125" s="207" t="str">
        <f t="shared" si="14"/>
        <v>51</v>
      </c>
    </row>
    <row r="126" spans="1:70" s="225" customFormat="1" ht="25.5" customHeight="1">
      <c r="A126" s="207">
        <v>122</v>
      </c>
      <c r="B126" s="112" t="s">
        <v>73</v>
      </c>
      <c r="C126" s="112" t="s">
        <v>187</v>
      </c>
      <c r="D126" s="112" t="s">
        <v>188</v>
      </c>
      <c r="E126" s="112" t="s">
        <v>76</v>
      </c>
      <c r="F126" s="112" t="s">
        <v>77</v>
      </c>
      <c r="G126" s="112" t="s">
        <v>77</v>
      </c>
      <c r="H126" s="112" t="s">
        <v>77</v>
      </c>
      <c r="I126" s="112" t="s">
        <v>77</v>
      </c>
      <c r="J126" s="112" t="s">
        <v>77</v>
      </c>
      <c r="K126" s="112" t="s">
        <v>77</v>
      </c>
      <c r="L126" s="112" t="s">
        <v>85</v>
      </c>
      <c r="M126" s="112" t="s">
        <v>189</v>
      </c>
      <c r="N126" s="112">
        <v>9999</v>
      </c>
      <c r="O126" s="114" t="s">
        <v>111</v>
      </c>
      <c r="P126" s="114" t="s">
        <v>81</v>
      </c>
      <c r="Q126" s="114" t="s">
        <v>82</v>
      </c>
      <c r="R126" s="115" t="str">
        <f t="shared" si="8"/>
        <v>51</v>
      </c>
      <c r="S126" s="122">
        <v>510510</v>
      </c>
      <c r="T126" s="122" t="str">
        <f>VLOOKUP(S126,ITEM!$C$1:$D$156,2,FALSE)</f>
        <v>Servicios Personales por Contrato</v>
      </c>
      <c r="U126" s="112" t="s">
        <v>190</v>
      </c>
      <c r="V126" s="112" t="s">
        <v>82</v>
      </c>
      <c r="W126" s="112" t="s">
        <v>84</v>
      </c>
      <c r="X126" s="112" t="s">
        <v>84</v>
      </c>
      <c r="Y126" s="224" t="e">
        <f>'Matriz POA 2024-TRABAJO'!#REF!</f>
        <v>#REF!</v>
      </c>
      <c r="Z126" s="224" t="e">
        <f>'Matriz POA 2024-TRABAJO'!#REF!</f>
        <v>#REF!</v>
      </c>
      <c r="AA126" s="224" t="e">
        <f>'Matriz POA 2024-TRABAJO'!#REF!</f>
        <v>#REF!</v>
      </c>
      <c r="AB126" s="279">
        <v>1676</v>
      </c>
      <c r="AC126" s="279">
        <v>1676</v>
      </c>
      <c r="AD126" s="279">
        <v>1676</v>
      </c>
      <c r="AE126" s="279">
        <v>1676</v>
      </c>
      <c r="AF126" s="279">
        <v>1676</v>
      </c>
      <c r="AG126" s="279">
        <v>1676</v>
      </c>
      <c r="AH126" s="279">
        <v>1676</v>
      </c>
      <c r="AI126" s="279">
        <v>1676</v>
      </c>
      <c r="AJ126" s="279">
        <v>1676</v>
      </c>
      <c r="AK126" s="279">
        <v>1676</v>
      </c>
      <c r="AL126" s="279">
        <v>1676</v>
      </c>
      <c r="AM126" s="279">
        <v>1676</v>
      </c>
      <c r="AN126" s="224" t="e">
        <f>SUM(#REF!)</f>
        <v>#REF!</v>
      </c>
      <c r="AO126" s="224">
        <f t="shared" si="9"/>
        <v>20112</v>
      </c>
      <c r="AP126" s="224" t="e">
        <f t="shared" si="15"/>
        <v>#REF!</v>
      </c>
      <c r="AQ126" s="224"/>
      <c r="AR126" s="224"/>
      <c r="AS126" s="224"/>
      <c r="AT126" s="224" t="str">
        <f>IFERROR(VLOOKUP($A126,'Constancias POA'!$A$2:$DH$9993,17,FALSE),"")</f>
        <v/>
      </c>
      <c r="AU126" s="224" t="str">
        <f t="shared" si="10"/>
        <v/>
      </c>
      <c r="AV126" s="224" t="str">
        <f>IFERROR(VLOOKUP($A126,CP!$A$1:$U$7992,18,FALSE),"")</f>
        <v/>
      </c>
      <c r="AW126" s="224" t="str">
        <f>IFERROR(VLOOKUP($A126,CP!$A$1:$U$7992,19,FALSE),"")</f>
        <v/>
      </c>
      <c r="AX126" s="224" t="str">
        <f>IFERROR(VLOOKUP($A126,CP!$A$1:$U$7992,20,FALSE),"")</f>
        <v/>
      </c>
      <c r="AY126" s="224" t="str">
        <f>IFERROR(VLOOKUP($A126,CP!$A$1:$U$1,21,FALSE),"")</f>
        <v/>
      </c>
      <c r="AZ126" s="224" t="str">
        <f>IFERROR(VLOOKUP(A126,Devengado!$A$1:AJ1,35,FALSE),"")</f>
        <v/>
      </c>
      <c r="BA126" s="224" t="str">
        <f t="shared" si="11"/>
        <v/>
      </c>
      <c r="BB126" s="224" t="str">
        <f>IFERROR(AZ126/#REF!,"")</f>
        <v/>
      </c>
      <c r="BC126" s="224" t="str">
        <f>IFERROR(VLOOKUP($A126,Devengado!$A$1:$AI$1,22,FALSE),"")</f>
        <v/>
      </c>
      <c r="BD126" s="224" t="str">
        <f>IFERROR(VLOOKUP($A126,Devengado!$A$1:$AI$1,23,FALSE),"")</f>
        <v/>
      </c>
      <c r="BE126" s="224" t="str">
        <f>IFERROR(VLOOKUP($A126,Devengado!$A$1:$AI$1,24,FALSE),"")</f>
        <v/>
      </c>
      <c r="BF126" s="224" t="str">
        <f>IFERROR(VLOOKUP($A126,Devengado!$A$1:$AI$1,25,FALSE),"")</f>
        <v/>
      </c>
      <c r="BG126" s="224" t="str">
        <f>IFERROR(VLOOKUP($A126,Devengado!$A$1:$AI$1,26,FALSE),"")</f>
        <v/>
      </c>
      <c r="BH126" s="224" t="str">
        <f>IFERROR(VLOOKUP($A126,Devengado!$A$1:$AI$1,27,FALSE),"")</f>
        <v/>
      </c>
      <c r="BI126" s="224" t="str">
        <f>IFERROR(VLOOKUP($A126,Devengado!$A$1:$AI$1,28,FALSE),"")</f>
        <v/>
      </c>
      <c r="BJ126" s="224" t="str">
        <f>IFERROR(VLOOKUP($A126,Devengado!$A$1:$AI$1,29,FALSE),"")</f>
        <v/>
      </c>
      <c r="BK126" s="224" t="str">
        <f>IFERROR(VLOOKUP($A126,Devengado!$A$1:$AI$1,30,FALSE),"")</f>
        <v/>
      </c>
      <c r="BL126" s="224" t="str">
        <f>IFERROR(VLOOKUP($A126,Devengado!$A$1:$AI$1,31,FALSE),"")</f>
        <v/>
      </c>
      <c r="BM126" s="224" t="str">
        <f>IFERROR(VLOOKUP($A126,Devengado!$A$1:$AI$1,32,FALSE),"")</f>
        <v/>
      </c>
      <c r="BN126" s="224" t="str">
        <f>IFERROR(VLOOKUP($A126,Devengado!$A$1:$AI$1,33,FALSE),"")</f>
        <v/>
      </c>
      <c r="BO126" s="224">
        <f t="shared" si="12"/>
        <v>0</v>
      </c>
      <c r="BP126" s="224" t="str">
        <f t="shared" si="13"/>
        <v/>
      </c>
      <c r="BQ126" s="207"/>
      <c r="BR126" s="207" t="str">
        <f t="shared" si="14"/>
        <v>51</v>
      </c>
    </row>
    <row r="127" spans="1:70" s="225" customFormat="1" ht="25.5" customHeight="1">
      <c r="A127" s="207">
        <v>123</v>
      </c>
      <c r="B127" s="112" t="s">
        <v>73</v>
      </c>
      <c r="C127" s="112" t="s">
        <v>187</v>
      </c>
      <c r="D127" s="112" t="s">
        <v>188</v>
      </c>
      <c r="E127" s="112" t="s">
        <v>76</v>
      </c>
      <c r="F127" s="112" t="s">
        <v>77</v>
      </c>
      <c r="G127" s="112" t="s">
        <v>77</v>
      </c>
      <c r="H127" s="112" t="s">
        <v>77</v>
      </c>
      <c r="I127" s="112" t="s">
        <v>77</v>
      </c>
      <c r="J127" s="112" t="s">
        <v>77</v>
      </c>
      <c r="K127" s="112" t="s">
        <v>77</v>
      </c>
      <c r="L127" s="112" t="s">
        <v>85</v>
      </c>
      <c r="M127" s="112" t="s">
        <v>189</v>
      </c>
      <c r="N127" s="112">
        <v>9999</v>
      </c>
      <c r="O127" s="114" t="s">
        <v>111</v>
      </c>
      <c r="P127" s="114" t="s">
        <v>81</v>
      </c>
      <c r="Q127" s="114" t="s">
        <v>82</v>
      </c>
      <c r="R127" s="115" t="str">
        <f t="shared" si="8"/>
        <v>51</v>
      </c>
      <c r="S127" s="122">
        <v>510203</v>
      </c>
      <c r="T127" s="122" t="str">
        <f>VLOOKUP(S127,ITEM!$C$1:$D$156,2,FALSE)</f>
        <v>Decimo Tercer Sueldo</v>
      </c>
      <c r="U127" s="112" t="s">
        <v>190</v>
      </c>
      <c r="V127" s="112" t="s">
        <v>82</v>
      </c>
      <c r="W127" s="112" t="s">
        <v>84</v>
      </c>
      <c r="X127" s="112" t="s">
        <v>84</v>
      </c>
      <c r="Y127" s="224" t="e">
        <f>'Matriz POA 2024-TRABAJO'!#REF!</f>
        <v>#REF!</v>
      </c>
      <c r="Z127" s="224" t="e">
        <f>'Matriz POA 2024-TRABAJO'!#REF!</f>
        <v>#REF!</v>
      </c>
      <c r="AA127" s="224" t="e">
        <f>'Matriz POA 2024-TRABAJO'!#REF!</f>
        <v>#REF!</v>
      </c>
      <c r="AB127" s="279">
        <v>858.98</v>
      </c>
      <c r="AC127" s="279">
        <v>858.98</v>
      </c>
      <c r="AD127" s="279">
        <v>858.98</v>
      </c>
      <c r="AE127" s="279">
        <v>858.98</v>
      </c>
      <c r="AF127" s="279">
        <v>858.98</v>
      </c>
      <c r="AG127" s="279">
        <v>858.98</v>
      </c>
      <c r="AH127" s="279">
        <v>858.98</v>
      </c>
      <c r="AI127" s="279">
        <v>858.98</v>
      </c>
      <c r="AJ127" s="279">
        <v>858.98</v>
      </c>
      <c r="AK127" s="279">
        <v>858.98</v>
      </c>
      <c r="AL127" s="279">
        <v>858.98</v>
      </c>
      <c r="AM127" s="279">
        <v>9999.9699999999993</v>
      </c>
      <c r="AN127" s="224" t="e">
        <f>SUM(#REF!)</f>
        <v>#REF!</v>
      </c>
      <c r="AO127" s="224">
        <f t="shared" si="9"/>
        <v>19448.749999999996</v>
      </c>
      <c r="AP127" s="224" t="e">
        <f t="shared" si="15"/>
        <v>#REF!</v>
      </c>
      <c r="AQ127" s="224"/>
      <c r="AR127" s="224"/>
      <c r="AS127" s="224"/>
      <c r="AT127" s="224" t="str">
        <f>IFERROR(VLOOKUP($A127,'Constancias POA'!$A$2:$DH$9993,17,FALSE),"")</f>
        <v/>
      </c>
      <c r="AU127" s="224" t="str">
        <f t="shared" si="10"/>
        <v/>
      </c>
      <c r="AV127" s="224" t="str">
        <f>IFERROR(VLOOKUP($A127,CP!$A$1:$U$7992,18,FALSE),"")</f>
        <v/>
      </c>
      <c r="AW127" s="224" t="str">
        <f>IFERROR(VLOOKUP($A127,CP!$A$1:$U$7992,19,FALSE),"")</f>
        <v/>
      </c>
      <c r="AX127" s="224" t="str">
        <f>IFERROR(VLOOKUP($A127,CP!$A$1:$U$7992,20,FALSE),"")</f>
        <v/>
      </c>
      <c r="AY127" s="224" t="str">
        <f>IFERROR(VLOOKUP($A127,CP!$A$1:$U$1,21,FALSE),"")</f>
        <v/>
      </c>
      <c r="AZ127" s="224" t="str">
        <f>IFERROR(VLOOKUP(A127,Devengado!$A$1:AJ1,35,FALSE),"")</f>
        <v/>
      </c>
      <c r="BA127" s="224" t="str">
        <f t="shared" si="11"/>
        <v/>
      </c>
      <c r="BB127" s="224" t="str">
        <f>IFERROR(AZ127/#REF!,"")</f>
        <v/>
      </c>
      <c r="BC127" s="224" t="str">
        <f>IFERROR(VLOOKUP($A127,Devengado!$A$1:$AI$1,22,FALSE),"")</f>
        <v/>
      </c>
      <c r="BD127" s="224" t="str">
        <f>IFERROR(VLOOKUP($A127,Devengado!$A$1:$AI$1,23,FALSE),"")</f>
        <v/>
      </c>
      <c r="BE127" s="224" t="str">
        <f>IFERROR(VLOOKUP($A127,Devengado!$A$1:$AI$1,24,FALSE),"")</f>
        <v/>
      </c>
      <c r="BF127" s="224" t="str">
        <f>IFERROR(VLOOKUP($A127,Devengado!$A$1:$AI$1,25,FALSE),"")</f>
        <v/>
      </c>
      <c r="BG127" s="224" t="str">
        <f>IFERROR(VLOOKUP($A127,Devengado!$A$1:$AI$1,26,FALSE),"")</f>
        <v/>
      </c>
      <c r="BH127" s="224" t="str">
        <f>IFERROR(VLOOKUP($A127,Devengado!$A$1:$AI$1,27,FALSE),"")</f>
        <v/>
      </c>
      <c r="BI127" s="224" t="str">
        <f>IFERROR(VLOOKUP($A127,Devengado!$A$1:$AI$1,28,FALSE),"")</f>
        <v/>
      </c>
      <c r="BJ127" s="224" t="str">
        <f>IFERROR(VLOOKUP($A127,Devengado!$A$1:$AI$1,29,FALSE),"")</f>
        <v/>
      </c>
      <c r="BK127" s="224" t="str">
        <f>IFERROR(VLOOKUP($A127,Devengado!$A$1:$AI$1,30,FALSE),"")</f>
        <v/>
      </c>
      <c r="BL127" s="224" t="str">
        <f>IFERROR(VLOOKUP($A127,Devengado!$A$1:$AI$1,31,FALSE),"")</f>
        <v/>
      </c>
      <c r="BM127" s="224" t="str">
        <f>IFERROR(VLOOKUP($A127,Devengado!$A$1:$AI$1,32,FALSE),"")</f>
        <v/>
      </c>
      <c r="BN127" s="224" t="str">
        <f>IFERROR(VLOOKUP($A127,Devengado!$A$1:$AI$1,33,FALSE),"")</f>
        <v/>
      </c>
      <c r="BO127" s="224">
        <f t="shared" si="12"/>
        <v>0</v>
      </c>
      <c r="BP127" s="224" t="str">
        <f t="shared" si="13"/>
        <v/>
      </c>
      <c r="BQ127" s="207"/>
      <c r="BR127" s="207" t="str">
        <f t="shared" si="14"/>
        <v>51</v>
      </c>
    </row>
    <row r="128" spans="1:70" s="225" customFormat="1" ht="25.5" customHeight="1">
      <c r="A128" s="207">
        <v>124</v>
      </c>
      <c r="B128" s="112" t="s">
        <v>73</v>
      </c>
      <c r="C128" s="112" t="s">
        <v>187</v>
      </c>
      <c r="D128" s="112" t="s">
        <v>188</v>
      </c>
      <c r="E128" s="112" t="s">
        <v>76</v>
      </c>
      <c r="F128" s="112" t="s">
        <v>77</v>
      </c>
      <c r="G128" s="112" t="s">
        <v>77</v>
      </c>
      <c r="H128" s="112" t="s">
        <v>77</v>
      </c>
      <c r="I128" s="112" t="s">
        <v>77</v>
      </c>
      <c r="J128" s="112" t="s">
        <v>77</v>
      </c>
      <c r="K128" s="112" t="s">
        <v>77</v>
      </c>
      <c r="L128" s="112" t="s">
        <v>85</v>
      </c>
      <c r="M128" s="112" t="s">
        <v>189</v>
      </c>
      <c r="N128" s="112">
        <v>9999</v>
      </c>
      <c r="O128" s="114" t="s">
        <v>111</v>
      </c>
      <c r="P128" s="114" t="s">
        <v>81</v>
      </c>
      <c r="Q128" s="114" t="s">
        <v>82</v>
      </c>
      <c r="R128" s="115" t="str">
        <f t="shared" si="8"/>
        <v>51</v>
      </c>
      <c r="S128" s="122">
        <v>510204</v>
      </c>
      <c r="T128" s="122" t="str">
        <f>VLOOKUP(S128,ITEM!$C$1:$D$156,2,FALSE)</f>
        <v>Decimo Cuarto Sueldo</v>
      </c>
      <c r="U128" s="112" t="s">
        <v>190</v>
      </c>
      <c r="V128" s="112" t="s">
        <v>82</v>
      </c>
      <c r="W128" s="112" t="s">
        <v>84</v>
      </c>
      <c r="X128" s="112" t="s">
        <v>84</v>
      </c>
      <c r="Y128" s="224" t="e">
        <f>'Matriz POA 2024-TRABAJO'!#REF!</f>
        <v>#REF!</v>
      </c>
      <c r="Z128" s="224" t="e">
        <f>'Matriz POA 2024-TRABAJO'!#REF!</f>
        <v>#REF!</v>
      </c>
      <c r="AA128" s="224" t="e">
        <f>'Matriz POA 2024-TRABAJO'!#REF!</f>
        <v>#REF!</v>
      </c>
      <c r="AB128" s="279">
        <v>143.21</v>
      </c>
      <c r="AC128" s="279">
        <v>143.21</v>
      </c>
      <c r="AD128" s="279">
        <v>143.21</v>
      </c>
      <c r="AE128" s="279">
        <v>143.21</v>
      </c>
      <c r="AF128" s="279">
        <v>143.21</v>
      </c>
      <c r="AG128" s="279">
        <v>143.21</v>
      </c>
      <c r="AH128" s="279">
        <v>143.21</v>
      </c>
      <c r="AI128" s="279">
        <v>3600</v>
      </c>
      <c r="AJ128" s="279">
        <v>143.22</v>
      </c>
      <c r="AK128" s="279">
        <v>143.22</v>
      </c>
      <c r="AL128" s="279">
        <v>143.22</v>
      </c>
      <c r="AM128" s="279">
        <v>143.22</v>
      </c>
      <c r="AN128" s="224" t="e">
        <f>SUM(#REF!)</f>
        <v>#REF!</v>
      </c>
      <c r="AO128" s="224">
        <f t="shared" si="9"/>
        <v>5175.3500000000013</v>
      </c>
      <c r="AP128" s="224" t="e">
        <f t="shared" si="15"/>
        <v>#REF!</v>
      </c>
      <c r="AQ128" s="224"/>
      <c r="AR128" s="224"/>
      <c r="AS128" s="224"/>
      <c r="AT128" s="224" t="str">
        <f>IFERROR(VLOOKUP($A128,'Constancias POA'!$A$2:$DH$9993,17,FALSE),"")</f>
        <v/>
      </c>
      <c r="AU128" s="224" t="str">
        <f t="shared" si="10"/>
        <v/>
      </c>
      <c r="AV128" s="224" t="str">
        <f>IFERROR(VLOOKUP($A128,CP!$A$1:$U$7992,18,FALSE),"")</f>
        <v/>
      </c>
      <c r="AW128" s="224" t="str">
        <f>IFERROR(VLOOKUP($A128,CP!$A$1:$U$7992,19,FALSE),"")</f>
        <v/>
      </c>
      <c r="AX128" s="224" t="str">
        <f>IFERROR(VLOOKUP($A128,CP!$A$1:$U$7992,20,FALSE),"")</f>
        <v/>
      </c>
      <c r="AY128" s="224" t="str">
        <f>IFERROR(VLOOKUP($A128,CP!$A$1:$U$1,21,FALSE),"")</f>
        <v/>
      </c>
      <c r="AZ128" s="224" t="str">
        <f>IFERROR(VLOOKUP(A128,Devengado!$A$1:AJ1,35,FALSE),"")</f>
        <v/>
      </c>
      <c r="BA128" s="224" t="str">
        <f t="shared" si="11"/>
        <v/>
      </c>
      <c r="BB128" s="224" t="str">
        <f>IFERROR(AZ128/#REF!,"")</f>
        <v/>
      </c>
      <c r="BC128" s="224" t="str">
        <f>IFERROR(VLOOKUP($A128,Devengado!$A$1:$AI$1,22,FALSE),"")</f>
        <v/>
      </c>
      <c r="BD128" s="224" t="str">
        <f>IFERROR(VLOOKUP($A128,Devengado!$A$1:$AI$1,23,FALSE),"")</f>
        <v/>
      </c>
      <c r="BE128" s="224" t="str">
        <f>IFERROR(VLOOKUP($A128,Devengado!$A$1:$AI$1,24,FALSE),"")</f>
        <v/>
      </c>
      <c r="BF128" s="224" t="str">
        <f>IFERROR(VLOOKUP($A128,Devengado!$A$1:$AI$1,25,FALSE),"")</f>
        <v/>
      </c>
      <c r="BG128" s="224" t="str">
        <f>IFERROR(VLOOKUP($A128,Devengado!$A$1:$AI$1,26,FALSE),"")</f>
        <v/>
      </c>
      <c r="BH128" s="224" t="str">
        <f>IFERROR(VLOOKUP($A128,Devengado!$A$1:$AI$1,27,FALSE),"")</f>
        <v/>
      </c>
      <c r="BI128" s="224" t="str">
        <f>IFERROR(VLOOKUP($A128,Devengado!$A$1:$AI$1,28,FALSE),"")</f>
        <v/>
      </c>
      <c r="BJ128" s="224" t="str">
        <f>IFERROR(VLOOKUP($A128,Devengado!$A$1:$AI$1,29,FALSE),"")</f>
        <v/>
      </c>
      <c r="BK128" s="224" t="str">
        <f>IFERROR(VLOOKUP($A128,Devengado!$A$1:$AI$1,30,FALSE),"")</f>
        <v/>
      </c>
      <c r="BL128" s="224" t="str">
        <f>IFERROR(VLOOKUP($A128,Devengado!$A$1:$AI$1,31,FALSE),"")</f>
        <v/>
      </c>
      <c r="BM128" s="224" t="str">
        <f>IFERROR(VLOOKUP($A128,Devengado!$A$1:$AI$1,32,FALSE),"")</f>
        <v/>
      </c>
      <c r="BN128" s="224" t="str">
        <f>IFERROR(VLOOKUP($A128,Devengado!$A$1:$AI$1,33,FALSE),"")</f>
        <v/>
      </c>
      <c r="BO128" s="224">
        <f t="shared" si="12"/>
        <v>0</v>
      </c>
      <c r="BP128" s="224" t="str">
        <f t="shared" si="13"/>
        <v/>
      </c>
      <c r="BQ128" s="207"/>
      <c r="BR128" s="207" t="str">
        <f t="shared" si="14"/>
        <v>51</v>
      </c>
    </row>
    <row r="129" spans="1:70" s="225" customFormat="1" ht="25.5" customHeight="1">
      <c r="A129" s="207">
        <v>125</v>
      </c>
      <c r="B129" s="112" t="s">
        <v>73</v>
      </c>
      <c r="C129" s="112" t="s">
        <v>187</v>
      </c>
      <c r="D129" s="112" t="s">
        <v>188</v>
      </c>
      <c r="E129" s="112" t="s">
        <v>76</v>
      </c>
      <c r="F129" s="112" t="s">
        <v>77</v>
      </c>
      <c r="G129" s="112" t="s">
        <v>77</v>
      </c>
      <c r="H129" s="112" t="s">
        <v>77</v>
      </c>
      <c r="I129" s="112" t="s">
        <v>77</v>
      </c>
      <c r="J129" s="112" t="s">
        <v>77</v>
      </c>
      <c r="K129" s="112" t="s">
        <v>77</v>
      </c>
      <c r="L129" s="112" t="s">
        <v>85</v>
      </c>
      <c r="M129" s="112" t="s">
        <v>189</v>
      </c>
      <c r="N129" s="112">
        <v>9999</v>
      </c>
      <c r="O129" s="114" t="s">
        <v>111</v>
      </c>
      <c r="P129" s="114" t="s">
        <v>81</v>
      </c>
      <c r="Q129" s="114" t="s">
        <v>82</v>
      </c>
      <c r="R129" s="115" t="str">
        <f t="shared" si="8"/>
        <v>51</v>
      </c>
      <c r="S129" s="122">
        <v>510512</v>
      </c>
      <c r="T129" s="122" t="str">
        <f>VLOOKUP(S129,ITEM!$C$1:$D$156,2,FALSE)</f>
        <v>Subrogación</v>
      </c>
      <c r="U129" s="112" t="s">
        <v>190</v>
      </c>
      <c r="V129" s="112" t="s">
        <v>82</v>
      </c>
      <c r="W129" s="112" t="s">
        <v>84</v>
      </c>
      <c r="X129" s="112" t="s">
        <v>84</v>
      </c>
      <c r="Y129" s="224" t="e">
        <f>'Matriz POA 2024-TRABAJO'!#REF!</f>
        <v>#REF!</v>
      </c>
      <c r="Z129" s="224" t="e">
        <f>'Matriz POA 2024-TRABAJO'!#REF!</f>
        <v>#REF!</v>
      </c>
      <c r="AA129" s="224" t="e">
        <f>'Matriz POA 2024-TRABAJO'!#REF!</f>
        <v>#REF!</v>
      </c>
      <c r="AB129" s="279">
        <v>200</v>
      </c>
      <c r="AC129" s="279">
        <v>200</v>
      </c>
      <c r="AD129" s="279">
        <v>200</v>
      </c>
      <c r="AE129" s="279">
        <v>200</v>
      </c>
      <c r="AF129" s="279">
        <v>200</v>
      </c>
      <c r="AG129" s="279">
        <v>200</v>
      </c>
      <c r="AH129" s="279">
        <v>200</v>
      </c>
      <c r="AI129" s="279">
        <v>200</v>
      </c>
      <c r="AJ129" s="279">
        <v>200</v>
      </c>
      <c r="AK129" s="279">
        <v>200</v>
      </c>
      <c r="AL129" s="279">
        <v>0</v>
      </c>
      <c r="AM129" s="279">
        <v>694.29</v>
      </c>
      <c r="AN129" s="224" t="e">
        <f>SUM(#REF!)</f>
        <v>#REF!</v>
      </c>
      <c r="AO129" s="224">
        <f t="shared" si="9"/>
        <v>2694.29</v>
      </c>
      <c r="AP129" s="224" t="e">
        <f t="shared" si="15"/>
        <v>#REF!</v>
      </c>
      <c r="AQ129" s="224"/>
      <c r="AR129" s="224"/>
      <c r="AS129" s="224"/>
      <c r="AT129" s="224" t="str">
        <f>IFERROR(VLOOKUP($A129,'Constancias POA'!$A$2:$DH$9993,17,FALSE),"")</f>
        <v/>
      </c>
      <c r="AU129" s="224" t="str">
        <f t="shared" si="10"/>
        <v/>
      </c>
      <c r="AV129" s="224" t="str">
        <f>IFERROR(VLOOKUP($A129,CP!$A$1:$U$7992,18,FALSE),"")</f>
        <v/>
      </c>
      <c r="AW129" s="224" t="str">
        <f>IFERROR(VLOOKUP($A129,CP!$A$1:$U$7992,19,FALSE),"")</f>
        <v/>
      </c>
      <c r="AX129" s="224" t="str">
        <f>IFERROR(VLOOKUP($A129,CP!$A$1:$U$7992,20,FALSE),"")</f>
        <v/>
      </c>
      <c r="AY129" s="224" t="str">
        <f>IFERROR(VLOOKUP($A129,CP!$A$1:$U$1,21,FALSE),"")</f>
        <v/>
      </c>
      <c r="AZ129" s="224" t="str">
        <f>IFERROR(VLOOKUP(A129,Devengado!$A$1:AJ1,35,FALSE),"")</f>
        <v/>
      </c>
      <c r="BA129" s="224" t="str">
        <f t="shared" si="11"/>
        <v/>
      </c>
      <c r="BB129" s="224" t="str">
        <f>IFERROR(AZ129/#REF!,"")</f>
        <v/>
      </c>
      <c r="BC129" s="224" t="str">
        <f>IFERROR(VLOOKUP($A129,Devengado!$A$1:$AI$1,22,FALSE),"")</f>
        <v/>
      </c>
      <c r="BD129" s="224" t="str">
        <f>IFERROR(VLOOKUP($A129,Devengado!$A$1:$AI$1,23,FALSE),"")</f>
        <v/>
      </c>
      <c r="BE129" s="224" t="str">
        <f>IFERROR(VLOOKUP($A129,Devengado!$A$1:$AI$1,24,FALSE),"")</f>
        <v/>
      </c>
      <c r="BF129" s="224" t="str">
        <f>IFERROR(VLOOKUP($A129,Devengado!$A$1:$AI$1,25,FALSE),"")</f>
        <v/>
      </c>
      <c r="BG129" s="224" t="str">
        <f>IFERROR(VLOOKUP($A129,Devengado!$A$1:$AI$1,26,FALSE),"")</f>
        <v/>
      </c>
      <c r="BH129" s="224" t="str">
        <f>IFERROR(VLOOKUP($A129,Devengado!$A$1:$AI$1,27,FALSE),"")</f>
        <v/>
      </c>
      <c r="BI129" s="224" t="str">
        <f>IFERROR(VLOOKUP($A129,Devengado!$A$1:$AI$1,28,FALSE),"")</f>
        <v/>
      </c>
      <c r="BJ129" s="224" t="str">
        <f>IFERROR(VLOOKUP($A129,Devengado!$A$1:$AI$1,29,FALSE),"")</f>
        <v/>
      </c>
      <c r="BK129" s="224" t="str">
        <f>IFERROR(VLOOKUP($A129,Devengado!$A$1:$AI$1,30,FALSE),"")</f>
        <v/>
      </c>
      <c r="BL129" s="224" t="str">
        <f>IFERROR(VLOOKUP($A129,Devengado!$A$1:$AI$1,31,FALSE),"")</f>
        <v/>
      </c>
      <c r="BM129" s="224" t="str">
        <f>IFERROR(VLOOKUP($A129,Devengado!$A$1:$AI$1,32,FALSE),"")</f>
        <v/>
      </c>
      <c r="BN129" s="224" t="str">
        <f>IFERROR(VLOOKUP($A129,Devengado!$A$1:$AI$1,33,FALSE),"")</f>
        <v/>
      </c>
      <c r="BO129" s="224">
        <f t="shared" si="12"/>
        <v>0</v>
      </c>
      <c r="BP129" s="224" t="str">
        <f t="shared" si="13"/>
        <v/>
      </c>
      <c r="BQ129" s="207"/>
      <c r="BR129" s="207" t="str">
        <f t="shared" si="14"/>
        <v>51</v>
      </c>
    </row>
    <row r="130" spans="1:70" s="225" customFormat="1" ht="25.5" customHeight="1">
      <c r="A130" s="207">
        <v>126</v>
      </c>
      <c r="B130" s="112" t="s">
        <v>73</v>
      </c>
      <c r="C130" s="112" t="s">
        <v>187</v>
      </c>
      <c r="D130" s="112" t="s">
        <v>188</v>
      </c>
      <c r="E130" s="112" t="s">
        <v>76</v>
      </c>
      <c r="F130" s="112" t="s">
        <v>77</v>
      </c>
      <c r="G130" s="112" t="s">
        <v>77</v>
      </c>
      <c r="H130" s="112" t="s">
        <v>77</v>
      </c>
      <c r="I130" s="112" t="s">
        <v>77</v>
      </c>
      <c r="J130" s="112" t="s">
        <v>77</v>
      </c>
      <c r="K130" s="112" t="s">
        <v>77</v>
      </c>
      <c r="L130" s="112" t="s">
        <v>85</v>
      </c>
      <c r="M130" s="112" t="s">
        <v>189</v>
      </c>
      <c r="N130" s="112">
        <v>9999</v>
      </c>
      <c r="O130" s="114" t="s">
        <v>111</v>
      </c>
      <c r="P130" s="114" t="s">
        <v>81</v>
      </c>
      <c r="Q130" s="114" t="s">
        <v>82</v>
      </c>
      <c r="R130" s="115" t="str">
        <f t="shared" si="8"/>
        <v>51</v>
      </c>
      <c r="S130" s="122">
        <v>510513</v>
      </c>
      <c r="T130" s="122" t="str">
        <f>VLOOKUP(S130,ITEM!$C$1:$D$156,2,FALSE)</f>
        <v>Encargos</v>
      </c>
      <c r="U130" s="112" t="s">
        <v>190</v>
      </c>
      <c r="V130" s="112" t="s">
        <v>82</v>
      </c>
      <c r="W130" s="112" t="s">
        <v>84</v>
      </c>
      <c r="X130" s="112" t="s">
        <v>84</v>
      </c>
      <c r="Y130" s="224" t="e">
        <f>'Matriz POA 2024-TRABAJO'!#REF!</f>
        <v>#REF!</v>
      </c>
      <c r="Z130" s="224" t="e">
        <f>'Matriz POA 2024-TRABAJO'!#REF!</f>
        <v>#REF!</v>
      </c>
      <c r="AA130" s="224" t="e">
        <f>'Matriz POA 2024-TRABAJO'!#REF!</f>
        <v>#REF!</v>
      </c>
      <c r="AB130" s="279">
        <v>0</v>
      </c>
      <c r="AC130" s="279">
        <v>0</v>
      </c>
      <c r="AD130" s="279">
        <v>0</v>
      </c>
      <c r="AE130" s="279">
        <v>0</v>
      </c>
      <c r="AF130" s="279">
        <v>0</v>
      </c>
      <c r="AG130" s="279">
        <v>0</v>
      </c>
      <c r="AH130" s="279">
        <v>0</v>
      </c>
      <c r="AI130" s="279">
        <v>0</v>
      </c>
      <c r="AJ130" s="279">
        <v>0</v>
      </c>
      <c r="AK130" s="279">
        <v>0</v>
      </c>
      <c r="AL130" s="279">
        <v>0</v>
      </c>
      <c r="AM130" s="279">
        <v>0</v>
      </c>
      <c r="AN130" s="224" t="e">
        <f>SUM(#REF!)</f>
        <v>#REF!</v>
      </c>
      <c r="AO130" s="224">
        <f t="shared" si="9"/>
        <v>0</v>
      </c>
      <c r="AP130" s="224" t="e">
        <f t="shared" si="15"/>
        <v>#REF!</v>
      </c>
      <c r="AQ130" s="224"/>
      <c r="AR130" s="224"/>
      <c r="AS130" s="224"/>
      <c r="AT130" s="224" t="str">
        <f>IFERROR(VLOOKUP($A130,'Constancias POA'!$A$2:$DH$9993,17,FALSE),"")</f>
        <v/>
      </c>
      <c r="AU130" s="224" t="str">
        <f t="shared" si="10"/>
        <v/>
      </c>
      <c r="AV130" s="224" t="str">
        <f>IFERROR(VLOOKUP($A130,CP!$A$1:$U$7992,18,FALSE),"")</f>
        <v/>
      </c>
      <c r="AW130" s="224" t="str">
        <f>IFERROR(VLOOKUP($A130,CP!$A$1:$U$7992,19,FALSE),"")</f>
        <v/>
      </c>
      <c r="AX130" s="224" t="str">
        <f>IFERROR(VLOOKUP($A130,CP!$A$1:$U$7992,20,FALSE),"")</f>
        <v/>
      </c>
      <c r="AY130" s="224" t="str">
        <f>IFERROR(VLOOKUP($A130,CP!$A$1:$U$1,21,FALSE),"")</f>
        <v/>
      </c>
      <c r="AZ130" s="224" t="str">
        <f>IFERROR(VLOOKUP(A130,Devengado!$A$1:AJ1,35,FALSE),"")</f>
        <v/>
      </c>
      <c r="BA130" s="224" t="str">
        <f t="shared" si="11"/>
        <v/>
      </c>
      <c r="BB130" s="224" t="str">
        <f>IFERROR(AZ130/#REF!,"")</f>
        <v/>
      </c>
      <c r="BC130" s="224" t="str">
        <f>IFERROR(VLOOKUP($A130,Devengado!$A$1:$AI$1,22,FALSE),"")</f>
        <v/>
      </c>
      <c r="BD130" s="224" t="str">
        <f>IFERROR(VLOOKUP($A130,Devengado!$A$1:$AI$1,23,FALSE),"")</f>
        <v/>
      </c>
      <c r="BE130" s="224" t="str">
        <f>IFERROR(VLOOKUP($A130,Devengado!$A$1:$AI$1,24,FALSE),"")</f>
        <v/>
      </c>
      <c r="BF130" s="224" t="str">
        <f>IFERROR(VLOOKUP($A130,Devengado!$A$1:$AI$1,25,FALSE),"")</f>
        <v/>
      </c>
      <c r="BG130" s="224" t="str">
        <f>IFERROR(VLOOKUP($A130,Devengado!$A$1:$AI$1,26,FALSE),"")</f>
        <v/>
      </c>
      <c r="BH130" s="224" t="str">
        <f>IFERROR(VLOOKUP($A130,Devengado!$A$1:$AI$1,27,FALSE),"")</f>
        <v/>
      </c>
      <c r="BI130" s="224" t="str">
        <f>IFERROR(VLOOKUP($A130,Devengado!$A$1:$AI$1,28,FALSE),"")</f>
        <v/>
      </c>
      <c r="BJ130" s="224" t="str">
        <f>IFERROR(VLOOKUP($A130,Devengado!$A$1:$AI$1,29,FALSE),"")</f>
        <v/>
      </c>
      <c r="BK130" s="224" t="str">
        <f>IFERROR(VLOOKUP($A130,Devengado!$A$1:$AI$1,30,FALSE),"")</f>
        <v/>
      </c>
      <c r="BL130" s="224" t="str">
        <f>IFERROR(VLOOKUP($A130,Devengado!$A$1:$AI$1,31,FALSE),"")</f>
        <v/>
      </c>
      <c r="BM130" s="224" t="str">
        <f>IFERROR(VLOOKUP($A130,Devengado!$A$1:$AI$1,32,FALSE),"")</f>
        <v/>
      </c>
      <c r="BN130" s="224" t="str">
        <f>IFERROR(VLOOKUP($A130,Devengado!$A$1:$AI$1,33,FALSE),"")</f>
        <v/>
      </c>
      <c r="BO130" s="224">
        <f t="shared" si="12"/>
        <v>0</v>
      </c>
      <c r="BP130" s="224" t="str">
        <f t="shared" si="13"/>
        <v/>
      </c>
      <c r="BQ130" s="207"/>
      <c r="BR130" s="207" t="str">
        <f t="shared" si="14"/>
        <v>51</v>
      </c>
    </row>
    <row r="131" spans="1:70" s="225" customFormat="1" ht="25.5" customHeight="1">
      <c r="A131" s="207">
        <v>127</v>
      </c>
      <c r="B131" s="112" t="s">
        <v>73</v>
      </c>
      <c r="C131" s="112" t="s">
        <v>187</v>
      </c>
      <c r="D131" s="112" t="s">
        <v>188</v>
      </c>
      <c r="E131" s="112" t="s">
        <v>76</v>
      </c>
      <c r="F131" s="112" t="s">
        <v>77</v>
      </c>
      <c r="G131" s="112" t="s">
        <v>77</v>
      </c>
      <c r="H131" s="112" t="s">
        <v>77</v>
      </c>
      <c r="I131" s="112" t="s">
        <v>77</v>
      </c>
      <c r="J131" s="112" t="s">
        <v>77</v>
      </c>
      <c r="K131" s="112" t="s">
        <v>77</v>
      </c>
      <c r="L131" s="112" t="s">
        <v>85</v>
      </c>
      <c r="M131" s="112" t="s">
        <v>189</v>
      </c>
      <c r="N131" s="112">
        <v>9999</v>
      </c>
      <c r="O131" s="114" t="s">
        <v>111</v>
      </c>
      <c r="P131" s="114" t="s">
        <v>81</v>
      </c>
      <c r="Q131" s="114" t="s">
        <v>82</v>
      </c>
      <c r="R131" s="115" t="str">
        <f t="shared" si="8"/>
        <v>51</v>
      </c>
      <c r="S131" s="122">
        <v>510601</v>
      </c>
      <c r="T131" s="122" t="str">
        <f>VLOOKUP(S131,ITEM!$C$1:$D$156,2,FALSE)</f>
        <v>Aporte Patronal</v>
      </c>
      <c r="U131" s="112" t="s">
        <v>190</v>
      </c>
      <c r="V131" s="112" t="s">
        <v>82</v>
      </c>
      <c r="W131" s="112" t="s">
        <v>84</v>
      </c>
      <c r="X131" s="112" t="s">
        <v>84</v>
      </c>
      <c r="Y131" s="224" t="e">
        <f>'Matriz POA 2024-TRABAJO'!#REF!</f>
        <v>#REF!</v>
      </c>
      <c r="Z131" s="224" t="e">
        <f>'Matriz POA 2024-TRABAJO'!#REF!</f>
        <v>#REF!</v>
      </c>
      <c r="AA131" s="224" t="e">
        <f>'Matriz POA 2024-TRABAJO'!#REF!</f>
        <v>#REF!</v>
      </c>
      <c r="AB131" s="279">
        <v>1876.79</v>
      </c>
      <c r="AC131" s="279">
        <v>1876.79</v>
      </c>
      <c r="AD131" s="279">
        <v>1876.79</v>
      </c>
      <c r="AE131" s="279">
        <v>1876.79</v>
      </c>
      <c r="AF131" s="279">
        <v>1876.79</v>
      </c>
      <c r="AG131" s="279">
        <v>1876.79</v>
      </c>
      <c r="AH131" s="279">
        <v>1876.79</v>
      </c>
      <c r="AI131" s="279">
        <v>1876.79</v>
      </c>
      <c r="AJ131" s="279">
        <v>1876.79</v>
      </c>
      <c r="AK131" s="279">
        <v>1876.79</v>
      </c>
      <c r="AL131" s="279">
        <v>1876.79</v>
      </c>
      <c r="AM131" s="279">
        <v>1876.84</v>
      </c>
      <c r="AN131" s="224" t="e">
        <f>SUM(#REF!)</f>
        <v>#REF!</v>
      </c>
      <c r="AO131" s="224">
        <f t="shared" si="9"/>
        <v>22521.530000000006</v>
      </c>
      <c r="AP131" s="224" t="e">
        <f t="shared" si="15"/>
        <v>#REF!</v>
      </c>
      <c r="AQ131" s="224"/>
      <c r="AR131" s="224"/>
      <c r="AS131" s="224"/>
      <c r="AT131" s="224" t="str">
        <f>IFERROR(VLOOKUP($A131,'Constancias POA'!$A$2:$DH$9993,17,FALSE),"")</f>
        <v/>
      </c>
      <c r="AU131" s="224" t="str">
        <f t="shared" si="10"/>
        <v/>
      </c>
      <c r="AV131" s="224" t="str">
        <f>IFERROR(VLOOKUP($A131,CP!$A$1:$U$7992,18,FALSE),"")</f>
        <v/>
      </c>
      <c r="AW131" s="224" t="str">
        <f>IFERROR(VLOOKUP($A131,CP!$A$1:$U$7992,19,FALSE),"")</f>
        <v/>
      </c>
      <c r="AX131" s="224" t="str">
        <f>IFERROR(VLOOKUP($A131,CP!$A$1:$U$7992,20,FALSE),"")</f>
        <v/>
      </c>
      <c r="AY131" s="224" t="str">
        <f>IFERROR(VLOOKUP($A131,CP!$A$1:$U$1,21,FALSE),"")</f>
        <v/>
      </c>
      <c r="AZ131" s="224" t="str">
        <f>IFERROR(VLOOKUP(A131,Devengado!$A$1:AJ1,35,FALSE),"")</f>
        <v/>
      </c>
      <c r="BA131" s="224" t="str">
        <f t="shared" si="11"/>
        <v/>
      </c>
      <c r="BB131" s="224" t="str">
        <f>IFERROR(AZ131/#REF!,"")</f>
        <v/>
      </c>
      <c r="BC131" s="224" t="str">
        <f>IFERROR(VLOOKUP($A131,Devengado!$A$1:$AI$1,22,FALSE),"")</f>
        <v/>
      </c>
      <c r="BD131" s="224" t="str">
        <f>IFERROR(VLOOKUP($A131,Devengado!$A$1:$AI$1,23,FALSE),"")</f>
        <v/>
      </c>
      <c r="BE131" s="224" t="str">
        <f>IFERROR(VLOOKUP($A131,Devengado!$A$1:$AI$1,24,FALSE),"")</f>
        <v/>
      </c>
      <c r="BF131" s="224" t="str">
        <f>IFERROR(VLOOKUP($A131,Devengado!$A$1:$AI$1,25,FALSE),"")</f>
        <v/>
      </c>
      <c r="BG131" s="224" t="str">
        <f>IFERROR(VLOOKUP($A131,Devengado!$A$1:$AI$1,26,FALSE),"")</f>
        <v/>
      </c>
      <c r="BH131" s="224" t="str">
        <f>IFERROR(VLOOKUP($A131,Devengado!$A$1:$AI$1,27,FALSE),"")</f>
        <v/>
      </c>
      <c r="BI131" s="224" t="str">
        <f>IFERROR(VLOOKUP($A131,Devengado!$A$1:$AI$1,28,FALSE),"")</f>
        <v/>
      </c>
      <c r="BJ131" s="224" t="str">
        <f>IFERROR(VLOOKUP($A131,Devengado!$A$1:$AI$1,29,FALSE),"")</f>
        <v/>
      </c>
      <c r="BK131" s="224" t="str">
        <f>IFERROR(VLOOKUP($A131,Devengado!$A$1:$AI$1,30,FALSE),"")</f>
        <v/>
      </c>
      <c r="BL131" s="224" t="str">
        <f>IFERROR(VLOOKUP($A131,Devengado!$A$1:$AI$1,31,FALSE),"")</f>
        <v/>
      </c>
      <c r="BM131" s="224" t="str">
        <f>IFERROR(VLOOKUP($A131,Devengado!$A$1:$AI$1,32,FALSE),"")</f>
        <v/>
      </c>
      <c r="BN131" s="224" t="str">
        <f>IFERROR(VLOOKUP($A131,Devengado!$A$1:$AI$1,33,FALSE),"")</f>
        <v/>
      </c>
      <c r="BO131" s="224">
        <f t="shared" si="12"/>
        <v>0</v>
      </c>
      <c r="BP131" s="224" t="str">
        <f t="shared" si="13"/>
        <v/>
      </c>
      <c r="BQ131" s="207"/>
      <c r="BR131" s="207" t="str">
        <f t="shared" si="14"/>
        <v>51</v>
      </c>
    </row>
    <row r="132" spans="1:70" s="225" customFormat="1" ht="25.5" customHeight="1">
      <c r="A132" s="207">
        <v>128</v>
      </c>
      <c r="B132" s="112" t="s">
        <v>73</v>
      </c>
      <c r="C132" s="112" t="s">
        <v>187</v>
      </c>
      <c r="D132" s="112" t="s">
        <v>188</v>
      </c>
      <c r="E132" s="112" t="s">
        <v>76</v>
      </c>
      <c r="F132" s="112" t="s">
        <v>77</v>
      </c>
      <c r="G132" s="112" t="s">
        <v>77</v>
      </c>
      <c r="H132" s="112" t="s">
        <v>77</v>
      </c>
      <c r="I132" s="112" t="s">
        <v>77</v>
      </c>
      <c r="J132" s="112" t="s">
        <v>77</v>
      </c>
      <c r="K132" s="112" t="s">
        <v>77</v>
      </c>
      <c r="L132" s="112" t="s">
        <v>85</v>
      </c>
      <c r="M132" s="112" t="s">
        <v>189</v>
      </c>
      <c r="N132" s="112">
        <v>9999</v>
      </c>
      <c r="O132" s="114" t="s">
        <v>111</v>
      </c>
      <c r="P132" s="114" t="s">
        <v>81</v>
      </c>
      <c r="Q132" s="114" t="s">
        <v>82</v>
      </c>
      <c r="R132" s="115" t="str">
        <f t="shared" si="8"/>
        <v>51</v>
      </c>
      <c r="S132" s="122">
        <v>510602</v>
      </c>
      <c r="T132" s="122" t="str">
        <f>VLOOKUP(S132,ITEM!$C$1:$D$156,2,FALSE)</f>
        <v>Fondo de Reserva</v>
      </c>
      <c r="U132" s="112" t="s">
        <v>190</v>
      </c>
      <c r="V132" s="112" t="s">
        <v>82</v>
      </c>
      <c r="W132" s="112" t="s">
        <v>84</v>
      </c>
      <c r="X132" s="112" t="s">
        <v>84</v>
      </c>
      <c r="Y132" s="224" t="e">
        <f>'Matriz POA 2024-TRABAJO'!#REF!</f>
        <v>#REF!</v>
      </c>
      <c r="Z132" s="224" t="e">
        <f>'Matriz POA 2024-TRABAJO'!#REF!</f>
        <v>#REF!</v>
      </c>
      <c r="AA132" s="224" t="e">
        <f>'Matriz POA 2024-TRABAJO'!#REF!</f>
        <v>#REF!</v>
      </c>
      <c r="AB132" s="279">
        <v>1560.55</v>
      </c>
      <c r="AC132" s="279">
        <v>1560.55</v>
      </c>
      <c r="AD132" s="279">
        <v>1560.55</v>
      </c>
      <c r="AE132" s="279">
        <v>1560.55</v>
      </c>
      <c r="AF132" s="279">
        <v>1560.55</v>
      </c>
      <c r="AG132" s="279">
        <v>1560.55</v>
      </c>
      <c r="AH132" s="279">
        <v>1560.55</v>
      </c>
      <c r="AI132" s="279">
        <v>1560.55</v>
      </c>
      <c r="AJ132" s="279">
        <v>1560.55</v>
      </c>
      <c r="AK132" s="279">
        <v>1560.55</v>
      </c>
      <c r="AL132" s="279">
        <v>1560.55</v>
      </c>
      <c r="AM132" s="279">
        <v>1560.52</v>
      </c>
      <c r="AN132" s="224" t="e">
        <f>SUM(#REF!)</f>
        <v>#REF!</v>
      </c>
      <c r="AO132" s="224">
        <f t="shared" si="9"/>
        <v>18726.569999999996</v>
      </c>
      <c r="AP132" s="224" t="e">
        <f t="shared" si="15"/>
        <v>#REF!</v>
      </c>
      <c r="AQ132" s="224"/>
      <c r="AR132" s="224"/>
      <c r="AS132" s="224"/>
      <c r="AT132" s="224" t="str">
        <f>IFERROR(VLOOKUP($A132,'Constancias POA'!$A$2:$DH$9993,17,FALSE),"")</f>
        <v/>
      </c>
      <c r="AU132" s="224" t="str">
        <f t="shared" si="10"/>
        <v/>
      </c>
      <c r="AV132" s="224" t="str">
        <f>IFERROR(VLOOKUP($A132,CP!$A$1:$U$7992,18,FALSE),"")</f>
        <v/>
      </c>
      <c r="AW132" s="224" t="str">
        <f>IFERROR(VLOOKUP($A132,CP!$A$1:$U$7992,19,FALSE),"")</f>
        <v/>
      </c>
      <c r="AX132" s="224" t="str">
        <f>IFERROR(VLOOKUP($A132,CP!$A$1:$U$7992,20,FALSE),"")</f>
        <v/>
      </c>
      <c r="AY132" s="224" t="str">
        <f>IFERROR(VLOOKUP($A132,CP!$A$1:$U$1,21,FALSE),"")</f>
        <v/>
      </c>
      <c r="AZ132" s="224" t="str">
        <f>IFERROR(VLOOKUP(A132,Devengado!$A$1:AJ1,35,FALSE),"")</f>
        <v/>
      </c>
      <c r="BA132" s="224" t="str">
        <f t="shared" si="11"/>
        <v/>
      </c>
      <c r="BB132" s="224" t="str">
        <f>IFERROR(AZ132/#REF!,"")</f>
        <v/>
      </c>
      <c r="BC132" s="224" t="str">
        <f>IFERROR(VLOOKUP($A132,Devengado!$A$1:$AI$1,22,FALSE),"")</f>
        <v/>
      </c>
      <c r="BD132" s="224" t="str">
        <f>IFERROR(VLOOKUP($A132,Devengado!$A$1:$AI$1,23,FALSE),"")</f>
        <v/>
      </c>
      <c r="BE132" s="224" t="str">
        <f>IFERROR(VLOOKUP($A132,Devengado!$A$1:$AI$1,24,FALSE),"")</f>
        <v/>
      </c>
      <c r="BF132" s="224" t="str">
        <f>IFERROR(VLOOKUP($A132,Devengado!$A$1:$AI$1,25,FALSE),"")</f>
        <v/>
      </c>
      <c r="BG132" s="224" t="str">
        <f>IFERROR(VLOOKUP($A132,Devengado!$A$1:$AI$1,26,FALSE),"")</f>
        <v/>
      </c>
      <c r="BH132" s="224" t="str">
        <f>IFERROR(VLOOKUP($A132,Devengado!$A$1:$AI$1,27,FALSE),"")</f>
        <v/>
      </c>
      <c r="BI132" s="224" t="str">
        <f>IFERROR(VLOOKUP($A132,Devengado!$A$1:$AI$1,28,FALSE),"")</f>
        <v/>
      </c>
      <c r="BJ132" s="224" t="str">
        <f>IFERROR(VLOOKUP($A132,Devengado!$A$1:$AI$1,29,FALSE),"")</f>
        <v/>
      </c>
      <c r="BK132" s="224" t="str">
        <f>IFERROR(VLOOKUP($A132,Devengado!$A$1:$AI$1,30,FALSE),"")</f>
        <v/>
      </c>
      <c r="BL132" s="224" t="str">
        <f>IFERROR(VLOOKUP($A132,Devengado!$A$1:$AI$1,31,FALSE),"")</f>
        <v/>
      </c>
      <c r="BM132" s="224" t="str">
        <f>IFERROR(VLOOKUP($A132,Devengado!$A$1:$AI$1,32,FALSE),"")</f>
        <v/>
      </c>
      <c r="BN132" s="224" t="str">
        <f>IFERROR(VLOOKUP($A132,Devengado!$A$1:$AI$1,33,FALSE),"")</f>
        <v/>
      </c>
      <c r="BO132" s="224">
        <f t="shared" si="12"/>
        <v>0</v>
      </c>
      <c r="BP132" s="224" t="str">
        <f t="shared" si="13"/>
        <v/>
      </c>
      <c r="BQ132" s="207"/>
      <c r="BR132" s="207" t="str">
        <f t="shared" si="14"/>
        <v>51</v>
      </c>
    </row>
    <row r="133" spans="1:70" s="225" customFormat="1" ht="25.5" customHeight="1">
      <c r="A133" s="207">
        <v>129</v>
      </c>
      <c r="B133" s="112" t="s">
        <v>73</v>
      </c>
      <c r="C133" s="112" t="s">
        <v>187</v>
      </c>
      <c r="D133" s="112" t="s">
        <v>188</v>
      </c>
      <c r="E133" s="112" t="s">
        <v>76</v>
      </c>
      <c r="F133" s="112" t="s">
        <v>77</v>
      </c>
      <c r="G133" s="112" t="s">
        <v>77</v>
      </c>
      <c r="H133" s="112" t="s">
        <v>77</v>
      </c>
      <c r="I133" s="112" t="s">
        <v>77</v>
      </c>
      <c r="J133" s="112" t="s">
        <v>77</v>
      </c>
      <c r="K133" s="112" t="s">
        <v>77</v>
      </c>
      <c r="L133" s="112" t="s">
        <v>85</v>
      </c>
      <c r="M133" s="112" t="s">
        <v>189</v>
      </c>
      <c r="N133" s="112">
        <v>9999</v>
      </c>
      <c r="O133" s="114" t="s">
        <v>111</v>
      </c>
      <c r="P133" s="114" t="s">
        <v>81</v>
      </c>
      <c r="Q133" s="114" t="s">
        <v>82</v>
      </c>
      <c r="R133" s="115" t="str">
        <f t="shared" ref="R133:R196" si="16">LEFT(S133,2)</f>
        <v>51</v>
      </c>
      <c r="S133" s="122">
        <v>510707</v>
      </c>
      <c r="T133" s="122" t="str">
        <f>VLOOKUP(S133,ITEM!$C$1:$D$156,2,FALSE)</f>
        <v>Compensación por Vacaciones no Gozadas por Cesación de Funciones</v>
      </c>
      <c r="U133" s="112" t="s">
        <v>190</v>
      </c>
      <c r="V133" s="112" t="s">
        <v>82</v>
      </c>
      <c r="W133" s="112" t="s">
        <v>84</v>
      </c>
      <c r="X133" s="112" t="s">
        <v>84</v>
      </c>
      <c r="Y133" s="224" t="e">
        <f>'Matriz POA 2024-TRABAJO'!#REF!</f>
        <v>#REF!</v>
      </c>
      <c r="Z133" s="224" t="e">
        <f>'Matriz POA 2024-TRABAJO'!#REF!</f>
        <v>#REF!</v>
      </c>
      <c r="AA133" s="224" t="e">
        <f>'Matriz POA 2024-TRABAJO'!#REF!</f>
        <v>#REF!</v>
      </c>
      <c r="AB133" s="279">
        <v>0</v>
      </c>
      <c r="AC133" s="279">
        <v>0</v>
      </c>
      <c r="AD133" s="279">
        <v>0</v>
      </c>
      <c r="AE133" s="279">
        <v>0</v>
      </c>
      <c r="AF133" s="279">
        <v>0</v>
      </c>
      <c r="AG133" s="279">
        <v>0</v>
      </c>
      <c r="AH133" s="279">
        <v>0</v>
      </c>
      <c r="AI133" s="279">
        <v>0</v>
      </c>
      <c r="AJ133" s="279">
        <v>0</v>
      </c>
      <c r="AK133" s="279">
        <v>0</v>
      </c>
      <c r="AL133" s="279">
        <v>0</v>
      </c>
      <c r="AM133" s="279">
        <v>0</v>
      </c>
      <c r="AN133" s="224" t="e">
        <f>SUM(#REF!)</f>
        <v>#REF!</v>
      </c>
      <c r="AO133" s="224">
        <f t="shared" ref="AO133:AO196" si="17">SUM(AB133:AM133)</f>
        <v>0</v>
      </c>
      <c r="AP133" s="224" t="e">
        <f t="shared" si="15"/>
        <v>#REF!</v>
      </c>
      <c r="AQ133" s="224"/>
      <c r="AR133" s="224"/>
      <c r="AS133" s="224"/>
      <c r="AT133" s="224" t="str">
        <f>IFERROR(VLOOKUP($A133,'Constancias POA'!$A$2:$DH$9993,17,FALSE),"")</f>
        <v/>
      </c>
      <c r="AU133" s="224" t="str">
        <f t="shared" ref="AU133:AU196" si="18">IFERROR(AA133-AT133,"")</f>
        <v/>
      </c>
      <c r="AV133" s="224" t="str">
        <f>IFERROR(VLOOKUP($A133,CP!$A$1:$U$7992,18,FALSE),"")</f>
        <v/>
      </c>
      <c r="AW133" s="224" t="str">
        <f>IFERROR(VLOOKUP($A133,CP!$A$1:$U$7992,19,FALSE),"")</f>
        <v/>
      </c>
      <c r="AX133" s="224" t="str">
        <f>IFERROR(VLOOKUP($A133,CP!$A$1:$U$7992,20,FALSE),"")</f>
        <v/>
      </c>
      <c r="AY133" s="224" t="str">
        <f>IFERROR(VLOOKUP($A133,CP!$A$1:$U$1,21,FALSE),"")</f>
        <v/>
      </c>
      <c r="AZ133" s="224" t="str">
        <f>IFERROR(VLOOKUP(A133,Devengado!$A$1:AJ1,35,FALSE),"")</f>
        <v/>
      </c>
      <c r="BA133" s="224" t="str">
        <f t="shared" ref="BA133:BA196" si="19">IFERROR((AA133-AZ133),"")</f>
        <v/>
      </c>
      <c r="BB133" s="224" t="str">
        <f>IFERROR(AZ133/#REF!,"")</f>
        <v/>
      </c>
      <c r="BC133" s="224" t="str">
        <f>IFERROR(VLOOKUP($A133,Devengado!$A$1:$AI$1,22,FALSE),"")</f>
        <v/>
      </c>
      <c r="BD133" s="224" t="str">
        <f>IFERROR(VLOOKUP($A133,Devengado!$A$1:$AI$1,23,FALSE),"")</f>
        <v/>
      </c>
      <c r="BE133" s="224" t="str">
        <f>IFERROR(VLOOKUP($A133,Devengado!$A$1:$AI$1,24,FALSE),"")</f>
        <v/>
      </c>
      <c r="BF133" s="224" t="str">
        <f>IFERROR(VLOOKUP($A133,Devengado!$A$1:$AI$1,25,FALSE),"")</f>
        <v/>
      </c>
      <c r="BG133" s="224" t="str">
        <f>IFERROR(VLOOKUP($A133,Devengado!$A$1:$AI$1,26,FALSE),"")</f>
        <v/>
      </c>
      <c r="BH133" s="224" t="str">
        <f>IFERROR(VLOOKUP($A133,Devengado!$A$1:$AI$1,27,FALSE),"")</f>
        <v/>
      </c>
      <c r="BI133" s="224" t="str">
        <f>IFERROR(VLOOKUP($A133,Devengado!$A$1:$AI$1,28,FALSE),"")</f>
        <v/>
      </c>
      <c r="BJ133" s="224" t="str">
        <f>IFERROR(VLOOKUP($A133,Devengado!$A$1:$AI$1,29,FALSE),"")</f>
        <v/>
      </c>
      <c r="BK133" s="224" t="str">
        <f>IFERROR(VLOOKUP($A133,Devengado!$A$1:$AI$1,30,FALSE),"")</f>
        <v/>
      </c>
      <c r="BL133" s="224" t="str">
        <f>IFERROR(VLOOKUP($A133,Devengado!$A$1:$AI$1,31,FALSE),"")</f>
        <v/>
      </c>
      <c r="BM133" s="224" t="str">
        <f>IFERROR(VLOOKUP($A133,Devengado!$A$1:$AI$1,32,FALSE),"")</f>
        <v/>
      </c>
      <c r="BN133" s="224" t="str">
        <f>IFERROR(VLOOKUP($A133,Devengado!$A$1:$AI$1,33,FALSE),"")</f>
        <v/>
      </c>
      <c r="BO133" s="224">
        <f t="shared" ref="BO133:BO196" si="20">SUM(BC133:BN133)</f>
        <v>0</v>
      </c>
      <c r="BP133" s="224" t="str">
        <f t="shared" ref="BP133:BP196" si="21">IFERROR(((AB133+AC133)-AZ133),"")</f>
        <v/>
      </c>
      <c r="BQ133" s="207"/>
      <c r="BR133" s="207" t="str">
        <f t="shared" ref="BR133:BR196" si="22">LEFT(R133,4)</f>
        <v>51</v>
      </c>
    </row>
    <row r="134" spans="1:70" s="225" customFormat="1" ht="25.5" customHeight="1">
      <c r="A134" s="207">
        <v>130</v>
      </c>
      <c r="B134" s="112" t="s">
        <v>73</v>
      </c>
      <c r="C134" s="112" t="s">
        <v>187</v>
      </c>
      <c r="D134" s="112" t="s">
        <v>188</v>
      </c>
      <c r="E134" s="112" t="s">
        <v>76</v>
      </c>
      <c r="F134" s="112" t="s">
        <v>77</v>
      </c>
      <c r="G134" s="112" t="s">
        <v>77</v>
      </c>
      <c r="H134" s="112" t="s">
        <v>77</v>
      </c>
      <c r="I134" s="112" t="s">
        <v>77</v>
      </c>
      <c r="J134" s="112" t="s">
        <v>77</v>
      </c>
      <c r="K134" s="112" t="s">
        <v>77</v>
      </c>
      <c r="L134" s="112" t="s">
        <v>85</v>
      </c>
      <c r="M134" s="112" t="s">
        <v>189</v>
      </c>
      <c r="N134" s="112">
        <v>9999</v>
      </c>
      <c r="O134" s="114" t="s">
        <v>111</v>
      </c>
      <c r="P134" s="114" t="s">
        <v>81</v>
      </c>
      <c r="Q134" s="114" t="s">
        <v>112</v>
      </c>
      <c r="R134" s="115" t="str">
        <f t="shared" si="16"/>
        <v>51</v>
      </c>
      <c r="S134" s="122">
        <v>510105</v>
      </c>
      <c r="T134" s="122" t="str">
        <f>VLOOKUP(S134,ITEM!$C$1:$D$156,2,FALSE)</f>
        <v>Remuneraciones Unificadas</v>
      </c>
      <c r="U134" s="112" t="s">
        <v>190</v>
      </c>
      <c r="V134" s="112" t="s">
        <v>82</v>
      </c>
      <c r="W134" s="112" t="s">
        <v>84</v>
      </c>
      <c r="X134" s="112" t="s">
        <v>84</v>
      </c>
      <c r="Y134" s="224" t="e">
        <f>'Matriz POA 2024-TRABAJO'!#REF!</f>
        <v>#REF!</v>
      </c>
      <c r="Z134" s="224" t="e">
        <f>'Matriz POA 2024-TRABAJO'!#REF!</f>
        <v>#REF!</v>
      </c>
      <c r="AA134" s="224" t="e">
        <f>'Matriz POA 2024-TRABAJO'!#REF!</f>
        <v>#REF!</v>
      </c>
      <c r="AB134" s="279">
        <v>10999</v>
      </c>
      <c r="AC134" s="279">
        <v>10999</v>
      </c>
      <c r="AD134" s="279">
        <v>10999</v>
      </c>
      <c r="AE134" s="279">
        <v>10999</v>
      </c>
      <c r="AF134" s="279">
        <v>10999</v>
      </c>
      <c r="AG134" s="279">
        <v>10999</v>
      </c>
      <c r="AH134" s="279">
        <v>10999</v>
      </c>
      <c r="AI134" s="279">
        <v>10999</v>
      </c>
      <c r="AJ134" s="279">
        <v>10999</v>
      </c>
      <c r="AK134" s="279">
        <v>10999</v>
      </c>
      <c r="AL134" s="279">
        <v>10999</v>
      </c>
      <c r="AM134" s="279">
        <v>5713.32</v>
      </c>
      <c r="AN134" s="224" t="e">
        <f>SUM(#REF!)</f>
        <v>#REF!</v>
      </c>
      <c r="AO134" s="224">
        <f t="shared" si="17"/>
        <v>126702.32</v>
      </c>
      <c r="AP134" s="224" t="e">
        <f t="shared" ref="AP134:AP197" si="23">+AO134-AA134</f>
        <v>#REF!</v>
      </c>
      <c r="AQ134" s="224"/>
      <c r="AR134" s="224"/>
      <c r="AS134" s="224"/>
      <c r="AT134" s="224" t="str">
        <f>IFERROR(VLOOKUP($A134,'Constancias POA'!$A$2:$DH$9993,17,FALSE),"")</f>
        <v/>
      </c>
      <c r="AU134" s="224" t="str">
        <f t="shared" si="18"/>
        <v/>
      </c>
      <c r="AV134" s="224" t="str">
        <f>IFERROR(VLOOKUP($A134,CP!$A$1:$U$7992,18,FALSE),"")</f>
        <v/>
      </c>
      <c r="AW134" s="224" t="str">
        <f>IFERROR(VLOOKUP($A134,CP!$A$1:$U$7992,19,FALSE),"")</f>
        <v/>
      </c>
      <c r="AX134" s="224" t="str">
        <f>IFERROR(VLOOKUP($A134,CP!$A$1:$U$7992,20,FALSE),"")</f>
        <v/>
      </c>
      <c r="AY134" s="224" t="str">
        <f>IFERROR(VLOOKUP($A134,CP!$A$1:$U$1,21,FALSE),"")</f>
        <v/>
      </c>
      <c r="AZ134" s="224" t="str">
        <f>IFERROR(VLOOKUP(A134,Devengado!$A$1:AJ1,35,FALSE),"")</f>
        <v/>
      </c>
      <c r="BA134" s="224" t="str">
        <f t="shared" si="19"/>
        <v/>
      </c>
      <c r="BB134" s="224" t="str">
        <f>IFERROR(AZ134/#REF!,"")</f>
        <v/>
      </c>
      <c r="BC134" s="224" t="str">
        <f>IFERROR(VLOOKUP($A134,Devengado!$A$1:$AI$1,22,FALSE),"")</f>
        <v/>
      </c>
      <c r="BD134" s="224" t="str">
        <f>IFERROR(VLOOKUP($A134,Devengado!$A$1:$AI$1,23,FALSE),"")</f>
        <v/>
      </c>
      <c r="BE134" s="224" t="str">
        <f>IFERROR(VLOOKUP($A134,Devengado!$A$1:$AI$1,24,FALSE),"")</f>
        <v/>
      </c>
      <c r="BF134" s="224" t="str">
        <f>IFERROR(VLOOKUP($A134,Devengado!$A$1:$AI$1,25,FALSE),"")</f>
        <v/>
      </c>
      <c r="BG134" s="224" t="str">
        <f>IFERROR(VLOOKUP($A134,Devengado!$A$1:$AI$1,26,FALSE),"")</f>
        <v/>
      </c>
      <c r="BH134" s="224" t="str">
        <f>IFERROR(VLOOKUP($A134,Devengado!$A$1:$AI$1,27,FALSE),"")</f>
        <v/>
      </c>
      <c r="BI134" s="224" t="str">
        <f>IFERROR(VLOOKUP($A134,Devengado!$A$1:$AI$1,28,FALSE),"")</f>
        <v/>
      </c>
      <c r="BJ134" s="224" t="str">
        <f>IFERROR(VLOOKUP($A134,Devengado!$A$1:$AI$1,29,FALSE),"")</f>
        <v/>
      </c>
      <c r="BK134" s="224" t="str">
        <f>IFERROR(VLOOKUP($A134,Devengado!$A$1:$AI$1,30,FALSE),"")</f>
        <v/>
      </c>
      <c r="BL134" s="224" t="str">
        <f>IFERROR(VLOOKUP($A134,Devengado!$A$1:$AI$1,31,FALSE),"")</f>
        <v/>
      </c>
      <c r="BM134" s="224" t="str">
        <f>IFERROR(VLOOKUP($A134,Devengado!$A$1:$AI$1,32,FALSE),"")</f>
        <v/>
      </c>
      <c r="BN134" s="224" t="str">
        <f>IFERROR(VLOOKUP($A134,Devengado!$A$1:$AI$1,33,FALSE),"")</f>
        <v/>
      </c>
      <c r="BO134" s="224">
        <f t="shared" si="20"/>
        <v>0</v>
      </c>
      <c r="BP134" s="224" t="str">
        <f t="shared" si="21"/>
        <v/>
      </c>
      <c r="BQ134" s="207"/>
      <c r="BR134" s="207" t="str">
        <f t="shared" si="22"/>
        <v>51</v>
      </c>
    </row>
    <row r="135" spans="1:70" s="225" customFormat="1" ht="25.5" customHeight="1">
      <c r="A135" s="207">
        <v>131</v>
      </c>
      <c r="B135" s="112" t="s">
        <v>73</v>
      </c>
      <c r="C135" s="112" t="s">
        <v>187</v>
      </c>
      <c r="D135" s="112" t="s">
        <v>188</v>
      </c>
      <c r="E135" s="112" t="s">
        <v>76</v>
      </c>
      <c r="F135" s="112" t="s">
        <v>77</v>
      </c>
      <c r="G135" s="112" t="s">
        <v>77</v>
      </c>
      <c r="H135" s="112" t="s">
        <v>77</v>
      </c>
      <c r="I135" s="112" t="s">
        <v>77</v>
      </c>
      <c r="J135" s="112" t="s">
        <v>77</v>
      </c>
      <c r="K135" s="112" t="s">
        <v>77</v>
      </c>
      <c r="L135" s="112" t="s">
        <v>85</v>
      </c>
      <c r="M135" s="112" t="s">
        <v>189</v>
      </c>
      <c r="N135" s="112">
        <v>9999</v>
      </c>
      <c r="O135" s="114" t="s">
        <v>111</v>
      </c>
      <c r="P135" s="114" t="s">
        <v>81</v>
      </c>
      <c r="Q135" s="114" t="s">
        <v>112</v>
      </c>
      <c r="R135" s="115" t="str">
        <f t="shared" si="16"/>
        <v>51</v>
      </c>
      <c r="S135" s="122">
        <v>510510</v>
      </c>
      <c r="T135" s="122" t="str">
        <f>VLOOKUP(S135,ITEM!$C$1:$D$156,2,FALSE)</f>
        <v>Servicios Personales por Contrato</v>
      </c>
      <c r="U135" s="112" t="s">
        <v>190</v>
      </c>
      <c r="V135" s="112" t="s">
        <v>82</v>
      </c>
      <c r="W135" s="112" t="s">
        <v>84</v>
      </c>
      <c r="X135" s="112" t="s">
        <v>84</v>
      </c>
      <c r="Y135" s="224" t="e">
        <f>'Matriz POA 2024-TRABAJO'!#REF!</f>
        <v>#REF!</v>
      </c>
      <c r="Z135" s="224" t="e">
        <f>'Matriz POA 2024-TRABAJO'!#REF!</f>
        <v>#REF!</v>
      </c>
      <c r="AA135" s="224" t="e">
        <f>'Matriz POA 2024-TRABAJO'!#REF!</f>
        <v>#REF!</v>
      </c>
      <c r="AB135" s="279">
        <v>6820</v>
      </c>
      <c r="AC135" s="279">
        <v>6820</v>
      </c>
      <c r="AD135" s="279">
        <v>6820</v>
      </c>
      <c r="AE135" s="279">
        <v>6820</v>
      </c>
      <c r="AF135" s="279">
        <v>6820</v>
      </c>
      <c r="AG135" s="279">
        <v>6820</v>
      </c>
      <c r="AH135" s="279">
        <v>6820</v>
      </c>
      <c r="AI135" s="279">
        <v>6820</v>
      </c>
      <c r="AJ135" s="279">
        <v>6820</v>
      </c>
      <c r="AK135" s="279">
        <v>6820</v>
      </c>
      <c r="AL135" s="279">
        <v>6820</v>
      </c>
      <c r="AM135" s="279">
        <v>3308.66</v>
      </c>
      <c r="AN135" s="224" t="e">
        <f>SUM(#REF!)</f>
        <v>#REF!</v>
      </c>
      <c r="AO135" s="224">
        <f t="shared" si="17"/>
        <v>78328.66</v>
      </c>
      <c r="AP135" s="224" t="e">
        <f t="shared" si="23"/>
        <v>#REF!</v>
      </c>
      <c r="AQ135" s="224"/>
      <c r="AR135" s="224"/>
      <c r="AS135" s="224"/>
      <c r="AT135" s="224" t="str">
        <f>IFERROR(VLOOKUP($A135,'Constancias POA'!$A$2:$DH$9993,17,FALSE),"")</f>
        <v/>
      </c>
      <c r="AU135" s="224" t="str">
        <f t="shared" si="18"/>
        <v/>
      </c>
      <c r="AV135" s="224" t="str">
        <f>IFERROR(VLOOKUP($A135,CP!$A$1:$U$7992,18,FALSE),"")</f>
        <v/>
      </c>
      <c r="AW135" s="224" t="str">
        <f>IFERROR(VLOOKUP($A135,CP!$A$1:$U$7992,19,FALSE),"")</f>
        <v/>
      </c>
      <c r="AX135" s="224" t="str">
        <f>IFERROR(VLOOKUP($A135,CP!$A$1:$U$7992,20,FALSE),"")</f>
        <v/>
      </c>
      <c r="AY135" s="224" t="str">
        <f>IFERROR(VLOOKUP($A135,CP!$A$1:$U$1,21,FALSE),"")</f>
        <v/>
      </c>
      <c r="AZ135" s="224" t="str">
        <f>IFERROR(VLOOKUP(A135,Devengado!$A$1:AJ1,35,FALSE),"")</f>
        <v/>
      </c>
      <c r="BA135" s="224" t="str">
        <f t="shared" si="19"/>
        <v/>
      </c>
      <c r="BB135" s="224" t="str">
        <f>IFERROR(AZ135/#REF!,"")</f>
        <v/>
      </c>
      <c r="BC135" s="224" t="str">
        <f>IFERROR(VLOOKUP($A135,Devengado!$A$1:$AI$1,22,FALSE),"")</f>
        <v/>
      </c>
      <c r="BD135" s="224" t="str">
        <f>IFERROR(VLOOKUP($A135,Devengado!$A$1:$AI$1,23,FALSE),"")</f>
        <v/>
      </c>
      <c r="BE135" s="224" t="str">
        <f>IFERROR(VLOOKUP($A135,Devengado!$A$1:$AI$1,24,FALSE),"")</f>
        <v/>
      </c>
      <c r="BF135" s="224" t="str">
        <f>IFERROR(VLOOKUP($A135,Devengado!$A$1:$AI$1,25,FALSE),"")</f>
        <v/>
      </c>
      <c r="BG135" s="224" t="str">
        <f>IFERROR(VLOOKUP($A135,Devengado!$A$1:$AI$1,26,FALSE),"")</f>
        <v/>
      </c>
      <c r="BH135" s="224" t="str">
        <f>IFERROR(VLOOKUP($A135,Devengado!$A$1:$AI$1,27,FALSE),"")</f>
        <v/>
      </c>
      <c r="BI135" s="224" t="str">
        <f>IFERROR(VLOOKUP($A135,Devengado!$A$1:$AI$1,28,FALSE),"")</f>
        <v/>
      </c>
      <c r="BJ135" s="224" t="str">
        <f>IFERROR(VLOOKUP($A135,Devengado!$A$1:$AI$1,29,FALSE),"")</f>
        <v/>
      </c>
      <c r="BK135" s="224" t="str">
        <f>IFERROR(VLOOKUP($A135,Devengado!$A$1:$AI$1,30,FALSE),"")</f>
        <v/>
      </c>
      <c r="BL135" s="224" t="str">
        <f>IFERROR(VLOOKUP($A135,Devengado!$A$1:$AI$1,31,FALSE),"")</f>
        <v/>
      </c>
      <c r="BM135" s="224" t="str">
        <f>IFERROR(VLOOKUP($A135,Devengado!$A$1:$AI$1,32,FALSE),"")</f>
        <v/>
      </c>
      <c r="BN135" s="224" t="str">
        <f>IFERROR(VLOOKUP($A135,Devengado!$A$1:$AI$1,33,FALSE),"")</f>
        <v/>
      </c>
      <c r="BO135" s="224">
        <f t="shared" si="20"/>
        <v>0</v>
      </c>
      <c r="BP135" s="224" t="str">
        <f t="shared" si="21"/>
        <v/>
      </c>
      <c r="BQ135" s="207"/>
      <c r="BR135" s="207" t="str">
        <f t="shared" si="22"/>
        <v>51</v>
      </c>
    </row>
    <row r="136" spans="1:70" s="225" customFormat="1" ht="25.5" customHeight="1">
      <c r="A136" s="207">
        <v>132</v>
      </c>
      <c r="B136" s="112" t="s">
        <v>73</v>
      </c>
      <c r="C136" s="112" t="s">
        <v>187</v>
      </c>
      <c r="D136" s="112" t="s">
        <v>188</v>
      </c>
      <c r="E136" s="112" t="s">
        <v>76</v>
      </c>
      <c r="F136" s="112" t="s">
        <v>77</v>
      </c>
      <c r="G136" s="112" t="s">
        <v>77</v>
      </c>
      <c r="H136" s="112" t="s">
        <v>77</v>
      </c>
      <c r="I136" s="112" t="s">
        <v>77</v>
      </c>
      <c r="J136" s="112" t="s">
        <v>77</v>
      </c>
      <c r="K136" s="112" t="s">
        <v>77</v>
      </c>
      <c r="L136" s="112" t="s">
        <v>85</v>
      </c>
      <c r="M136" s="112" t="s">
        <v>189</v>
      </c>
      <c r="N136" s="112">
        <v>9999</v>
      </c>
      <c r="O136" s="114" t="s">
        <v>111</v>
      </c>
      <c r="P136" s="114" t="s">
        <v>81</v>
      </c>
      <c r="Q136" s="114" t="s">
        <v>112</v>
      </c>
      <c r="R136" s="115" t="str">
        <f t="shared" si="16"/>
        <v>51</v>
      </c>
      <c r="S136" s="122">
        <v>510203</v>
      </c>
      <c r="T136" s="122" t="str">
        <f>VLOOKUP(S136,ITEM!$C$1:$D$156,2,FALSE)</f>
        <v>Decimo Tercer Sueldo</v>
      </c>
      <c r="U136" s="112" t="s">
        <v>190</v>
      </c>
      <c r="V136" s="112" t="s">
        <v>82</v>
      </c>
      <c r="W136" s="112" t="s">
        <v>84</v>
      </c>
      <c r="X136" s="112" t="s">
        <v>84</v>
      </c>
      <c r="Y136" s="224" t="e">
        <f>'Matriz POA 2024-TRABAJO'!#REF!</f>
        <v>#REF!</v>
      </c>
      <c r="Z136" s="224" t="e">
        <f>'Matriz POA 2024-TRABAJO'!#REF!</f>
        <v>#REF!</v>
      </c>
      <c r="AA136" s="224" t="e">
        <f>'Matriz POA 2024-TRABAJO'!#REF!</f>
        <v>#REF!</v>
      </c>
      <c r="AB136" s="279">
        <v>1000</v>
      </c>
      <c r="AC136" s="279">
        <v>1000</v>
      </c>
      <c r="AD136" s="279">
        <v>1000</v>
      </c>
      <c r="AE136" s="279">
        <v>1000</v>
      </c>
      <c r="AF136" s="279">
        <v>1000</v>
      </c>
      <c r="AG136" s="279">
        <v>1000</v>
      </c>
      <c r="AH136" s="279">
        <v>1000</v>
      </c>
      <c r="AI136" s="279">
        <v>1000</v>
      </c>
      <c r="AJ136" s="279">
        <v>1000</v>
      </c>
      <c r="AK136" s="279">
        <v>1000</v>
      </c>
      <c r="AL136" s="279">
        <v>1000</v>
      </c>
      <c r="AM136" s="279">
        <v>4356.07</v>
      </c>
      <c r="AN136" s="224" t="e">
        <f>SUM(#REF!)</f>
        <v>#REF!</v>
      </c>
      <c r="AO136" s="224">
        <f t="shared" si="17"/>
        <v>15356.07</v>
      </c>
      <c r="AP136" s="224" t="e">
        <f t="shared" si="23"/>
        <v>#REF!</v>
      </c>
      <c r="AQ136" s="224"/>
      <c r="AR136" s="224"/>
      <c r="AS136" s="224"/>
      <c r="AT136" s="224" t="str">
        <f>IFERROR(VLOOKUP($A136,'Constancias POA'!$A$2:$DH$9993,17,FALSE),"")</f>
        <v/>
      </c>
      <c r="AU136" s="224" t="str">
        <f t="shared" si="18"/>
        <v/>
      </c>
      <c r="AV136" s="224" t="str">
        <f>IFERROR(VLOOKUP($A136,CP!$A$1:$U$7992,18,FALSE),"")</f>
        <v/>
      </c>
      <c r="AW136" s="224" t="str">
        <f>IFERROR(VLOOKUP($A136,CP!$A$1:$U$7992,19,FALSE),"")</f>
        <v/>
      </c>
      <c r="AX136" s="224" t="str">
        <f>IFERROR(VLOOKUP($A136,CP!$A$1:$U$7992,20,FALSE),"")</f>
        <v/>
      </c>
      <c r="AY136" s="224" t="str">
        <f>IFERROR(VLOOKUP($A136,CP!$A$1:$U$1,21,FALSE),"")</f>
        <v/>
      </c>
      <c r="AZ136" s="224" t="str">
        <f>IFERROR(VLOOKUP(A136,Devengado!$A$1:AJ1,35,FALSE),"")</f>
        <v/>
      </c>
      <c r="BA136" s="224" t="str">
        <f t="shared" si="19"/>
        <v/>
      </c>
      <c r="BB136" s="224" t="str">
        <f>IFERROR(AZ136/#REF!,"")</f>
        <v/>
      </c>
      <c r="BC136" s="224" t="str">
        <f>IFERROR(VLOOKUP($A136,Devengado!$A$1:$AI$1,22,FALSE),"")</f>
        <v/>
      </c>
      <c r="BD136" s="224" t="str">
        <f>IFERROR(VLOOKUP($A136,Devengado!$A$1:$AI$1,23,FALSE),"")</f>
        <v/>
      </c>
      <c r="BE136" s="224" t="str">
        <f>IFERROR(VLOOKUP($A136,Devengado!$A$1:$AI$1,24,FALSE),"")</f>
        <v/>
      </c>
      <c r="BF136" s="224" t="str">
        <f>IFERROR(VLOOKUP($A136,Devengado!$A$1:$AI$1,25,FALSE),"")</f>
        <v/>
      </c>
      <c r="BG136" s="224" t="str">
        <f>IFERROR(VLOOKUP($A136,Devengado!$A$1:$AI$1,26,FALSE),"")</f>
        <v/>
      </c>
      <c r="BH136" s="224" t="str">
        <f>IFERROR(VLOOKUP($A136,Devengado!$A$1:$AI$1,27,FALSE),"")</f>
        <v/>
      </c>
      <c r="BI136" s="224" t="str">
        <f>IFERROR(VLOOKUP($A136,Devengado!$A$1:$AI$1,28,FALSE),"")</f>
        <v/>
      </c>
      <c r="BJ136" s="224" t="str">
        <f>IFERROR(VLOOKUP($A136,Devengado!$A$1:$AI$1,29,FALSE),"")</f>
        <v/>
      </c>
      <c r="BK136" s="224" t="str">
        <f>IFERROR(VLOOKUP($A136,Devengado!$A$1:$AI$1,30,FALSE),"")</f>
        <v/>
      </c>
      <c r="BL136" s="224" t="str">
        <f>IFERROR(VLOOKUP($A136,Devengado!$A$1:$AI$1,31,FALSE),"")</f>
        <v/>
      </c>
      <c r="BM136" s="224" t="str">
        <f>IFERROR(VLOOKUP($A136,Devengado!$A$1:$AI$1,32,FALSE),"")</f>
        <v/>
      </c>
      <c r="BN136" s="224" t="str">
        <f>IFERROR(VLOOKUP($A136,Devengado!$A$1:$AI$1,33,FALSE),"")</f>
        <v/>
      </c>
      <c r="BO136" s="224">
        <f t="shared" si="20"/>
        <v>0</v>
      </c>
      <c r="BP136" s="224" t="str">
        <f t="shared" si="21"/>
        <v/>
      </c>
      <c r="BQ136" s="207"/>
      <c r="BR136" s="207" t="str">
        <f t="shared" si="22"/>
        <v>51</v>
      </c>
    </row>
    <row r="137" spans="1:70" s="225" customFormat="1" ht="25.5" customHeight="1">
      <c r="A137" s="207">
        <v>133</v>
      </c>
      <c r="B137" s="112" t="s">
        <v>73</v>
      </c>
      <c r="C137" s="112" t="s">
        <v>187</v>
      </c>
      <c r="D137" s="112" t="s">
        <v>188</v>
      </c>
      <c r="E137" s="112" t="s">
        <v>76</v>
      </c>
      <c r="F137" s="112" t="s">
        <v>77</v>
      </c>
      <c r="G137" s="112" t="s">
        <v>77</v>
      </c>
      <c r="H137" s="112" t="s">
        <v>77</v>
      </c>
      <c r="I137" s="112" t="s">
        <v>77</v>
      </c>
      <c r="J137" s="112" t="s">
        <v>77</v>
      </c>
      <c r="K137" s="112" t="s">
        <v>77</v>
      </c>
      <c r="L137" s="112" t="s">
        <v>85</v>
      </c>
      <c r="M137" s="112" t="s">
        <v>189</v>
      </c>
      <c r="N137" s="112">
        <v>9999</v>
      </c>
      <c r="O137" s="114" t="s">
        <v>111</v>
      </c>
      <c r="P137" s="114" t="s">
        <v>81</v>
      </c>
      <c r="Q137" s="114" t="s">
        <v>112</v>
      </c>
      <c r="R137" s="115" t="str">
        <f t="shared" si="16"/>
        <v>51</v>
      </c>
      <c r="S137" s="122">
        <v>510204</v>
      </c>
      <c r="T137" s="122" t="str">
        <f>VLOOKUP(S137,ITEM!$C$1:$D$156,2,FALSE)</f>
        <v>Decimo Cuarto Sueldo</v>
      </c>
      <c r="U137" s="112" t="s">
        <v>190</v>
      </c>
      <c r="V137" s="112" t="s">
        <v>82</v>
      </c>
      <c r="W137" s="112" t="s">
        <v>84</v>
      </c>
      <c r="X137" s="112" t="s">
        <v>84</v>
      </c>
      <c r="Y137" s="224" t="e">
        <f>'Matriz POA 2024-TRABAJO'!#REF!</f>
        <v>#REF!</v>
      </c>
      <c r="Z137" s="224" t="e">
        <f>'Matriz POA 2024-TRABAJO'!#REF!</f>
        <v>#REF!</v>
      </c>
      <c r="AA137" s="224" t="e">
        <f>'Matriz POA 2024-TRABAJO'!#REF!</f>
        <v>#REF!</v>
      </c>
      <c r="AB137" s="279">
        <v>200</v>
      </c>
      <c r="AC137" s="279">
        <v>200</v>
      </c>
      <c r="AD137" s="279">
        <v>200</v>
      </c>
      <c r="AE137" s="279">
        <v>200</v>
      </c>
      <c r="AF137" s="279">
        <v>200</v>
      </c>
      <c r="AG137" s="279">
        <v>200</v>
      </c>
      <c r="AH137" s="279">
        <v>200</v>
      </c>
      <c r="AI137" s="279">
        <v>2300</v>
      </c>
      <c r="AJ137" s="279">
        <v>200</v>
      </c>
      <c r="AK137" s="279">
        <v>200</v>
      </c>
      <c r="AL137" s="279">
        <v>200</v>
      </c>
      <c r="AM137" s="279">
        <v>29.94</v>
      </c>
      <c r="AN137" s="224" t="e">
        <f>SUM(#REF!)</f>
        <v>#REF!</v>
      </c>
      <c r="AO137" s="224">
        <f t="shared" si="17"/>
        <v>4329.9399999999996</v>
      </c>
      <c r="AP137" s="224" t="e">
        <f t="shared" si="23"/>
        <v>#REF!</v>
      </c>
      <c r="AQ137" s="224"/>
      <c r="AR137" s="224"/>
      <c r="AS137" s="224"/>
      <c r="AT137" s="224" t="str">
        <f>IFERROR(VLOOKUP($A137,'Constancias POA'!$A$2:$DH$9993,17,FALSE),"")</f>
        <v/>
      </c>
      <c r="AU137" s="224" t="str">
        <f t="shared" si="18"/>
        <v/>
      </c>
      <c r="AV137" s="224" t="str">
        <f>IFERROR(VLOOKUP($A137,CP!$A$1:$U$7992,18,FALSE),"")</f>
        <v/>
      </c>
      <c r="AW137" s="224" t="str">
        <f>IFERROR(VLOOKUP($A137,CP!$A$1:$U$7992,19,FALSE),"")</f>
        <v/>
      </c>
      <c r="AX137" s="224" t="str">
        <f>IFERROR(VLOOKUP($A137,CP!$A$1:$U$7992,20,FALSE),"")</f>
        <v/>
      </c>
      <c r="AY137" s="224" t="str">
        <f>IFERROR(VLOOKUP($A137,CP!$A$1:$U$1,21,FALSE),"")</f>
        <v/>
      </c>
      <c r="AZ137" s="224" t="str">
        <f>IFERROR(VLOOKUP(A137,Devengado!$A$1:AJ1,35,FALSE),"")</f>
        <v/>
      </c>
      <c r="BA137" s="224" t="str">
        <f t="shared" si="19"/>
        <v/>
      </c>
      <c r="BB137" s="224" t="str">
        <f>IFERROR(AZ137/#REF!,"")</f>
        <v/>
      </c>
      <c r="BC137" s="224" t="str">
        <f>IFERROR(VLOOKUP($A137,Devengado!$A$1:$AI$1,22,FALSE),"")</f>
        <v/>
      </c>
      <c r="BD137" s="224" t="str">
        <f>IFERROR(VLOOKUP($A137,Devengado!$A$1:$AI$1,23,FALSE),"")</f>
        <v/>
      </c>
      <c r="BE137" s="224" t="str">
        <f>IFERROR(VLOOKUP($A137,Devengado!$A$1:$AI$1,24,FALSE),"")</f>
        <v/>
      </c>
      <c r="BF137" s="224" t="str">
        <f>IFERROR(VLOOKUP($A137,Devengado!$A$1:$AI$1,25,FALSE),"")</f>
        <v/>
      </c>
      <c r="BG137" s="224" t="str">
        <f>IFERROR(VLOOKUP($A137,Devengado!$A$1:$AI$1,26,FALSE),"")</f>
        <v/>
      </c>
      <c r="BH137" s="224" t="str">
        <f>IFERROR(VLOOKUP($A137,Devengado!$A$1:$AI$1,27,FALSE),"")</f>
        <v/>
      </c>
      <c r="BI137" s="224" t="str">
        <f>IFERROR(VLOOKUP($A137,Devengado!$A$1:$AI$1,28,FALSE),"")</f>
        <v/>
      </c>
      <c r="BJ137" s="224" t="str">
        <f>IFERROR(VLOOKUP($A137,Devengado!$A$1:$AI$1,29,FALSE),"")</f>
        <v/>
      </c>
      <c r="BK137" s="224" t="str">
        <f>IFERROR(VLOOKUP($A137,Devengado!$A$1:$AI$1,30,FALSE),"")</f>
        <v/>
      </c>
      <c r="BL137" s="224" t="str">
        <f>IFERROR(VLOOKUP($A137,Devengado!$A$1:$AI$1,31,FALSE),"")</f>
        <v/>
      </c>
      <c r="BM137" s="224" t="str">
        <f>IFERROR(VLOOKUP($A137,Devengado!$A$1:$AI$1,32,FALSE),"")</f>
        <v/>
      </c>
      <c r="BN137" s="224" t="str">
        <f>IFERROR(VLOOKUP($A137,Devengado!$A$1:$AI$1,33,FALSE),"")</f>
        <v/>
      </c>
      <c r="BO137" s="224">
        <f t="shared" si="20"/>
        <v>0</v>
      </c>
      <c r="BP137" s="224" t="str">
        <f t="shared" si="21"/>
        <v/>
      </c>
      <c r="BQ137" s="207"/>
      <c r="BR137" s="207" t="str">
        <f t="shared" si="22"/>
        <v>51</v>
      </c>
    </row>
    <row r="138" spans="1:70" s="225" customFormat="1" ht="25.5" customHeight="1">
      <c r="A138" s="207">
        <v>134</v>
      </c>
      <c r="B138" s="112" t="s">
        <v>73</v>
      </c>
      <c r="C138" s="112" t="s">
        <v>187</v>
      </c>
      <c r="D138" s="112" t="s">
        <v>188</v>
      </c>
      <c r="E138" s="112" t="s">
        <v>76</v>
      </c>
      <c r="F138" s="112" t="s">
        <v>77</v>
      </c>
      <c r="G138" s="112" t="s">
        <v>77</v>
      </c>
      <c r="H138" s="112" t="s">
        <v>77</v>
      </c>
      <c r="I138" s="112" t="s">
        <v>77</v>
      </c>
      <c r="J138" s="112" t="s">
        <v>77</v>
      </c>
      <c r="K138" s="112" t="s">
        <v>77</v>
      </c>
      <c r="L138" s="112" t="s">
        <v>85</v>
      </c>
      <c r="M138" s="112" t="s">
        <v>189</v>
      </c>
      <c r="N138" s="112">
        <v>9999</v>
      </c>
      <c r="O138" s="114" t="s">
        <v>111</v>
      </c>
      <c r="P138" s="114" t="s">
        <v>81</v>
      </c>
      <c r="Q138" s="114" t="s">
        <v>112</v>
      </c>
      <c r="R138" s="115" t="str">
        <f t="shared" si="16"/>
        <v>51</v>
      </c>
      <c r="S138" s="122">
        <v>510512</v>
      </c>
      <c r="T138" s="122" t="str">
        <f>VLOOKUP(S138,ITEM!$C$1:$D$156,2,FALSE)</f>
        <v>Subrogación</v>
      </c>
      <c r="U138" s="112" t="s">
        <v>190</v>
      </c>
      <c r="V138" s="112" t="s">
        <v>82</v>
      </c>
      <c r="W138" s="112" t="s">
        <v>84</v>
      </c>
      <c r="X138" s="112" t="s">
        <v>84</v>
      </c>
      <c r="Y138" s="224" t="e">
        <f>'Matriz POA 2024-TRABAJO'!#REF!</f>
        <v>#REF!</v>
      </c>
      <c r="Z138" s="224" t="e">
        <f>'Matriz POA 2024-TRABAJO'!#REF!</f>
        <v>#REF!</v>
      </c>
      <c r="AA138" s="224" t="e">
        <f>'Matriz POA 2024-TRABAJO'!#REF!</f>
        <v>#REF!</v>
      </c>
      <c r="AB138" s="279">
        <v>0</v>
      </c>
      <c r="AC138" s="279">
        <v>0</v>
      </c>
      <c r="AD138" s="279">
        <v>0</v>
      </c>
      <c r="AE138" s="279">
        <v>0</v>
      </c>
      <c r="AF138" s="279">
        <v>0</v>
      </c>
      <c r="AG138" s="279">
        <v>0</v>
      </c>
      <c r="AH138" s="279">
        <v>0</v>
      </c>
      <c r="AI138" s="279">
        <v>0</v>
      </c>
      <c r="AJ138" s="279">
        <v>0</v>
      </c>
      <c r="AK138" s="279">
        <v>0</v>
      </c>
      <c r="AL138" s="279">
        <v>0</v>
      </c>
      <c r="AM138" s="279">
        <v>346</v>
      </c>
      <c r="AN138" s="224" t="e">
        <f>SUM(#REF!)</f>
        <v>#REF!</v>
      </c>
      <c r="AO138" s="224">
        <f t="shared" si="17"/>
        <v>346</v>
      </c>
      <c r="AP138" s="224" t="e">
        <f t="shared" si="23"/>
        <v>#REF!</v>
      </c>
      <c r="AQ138" s="224"/>
      <c r="AR138" s="224"/>
      <c r="AS138" s="224"/>
      <c r="AT138" s="224" t="str">
        <f>IFERROR(VLOOKUP($A138,'Constancias POA'!$A$2:$DH$9993,17,FALSE),"")</f>
        <v/>
      </c>
      <c r="AU138" s="224" t="str">
        <f t="shared" si="18"/>
        <v/>
      </c>
      <c r="AV138" s="224" t="str">
        <f>IFERROR(VLOOKUP($A138,CP!$A$1:$U$7992,18,FALSE),"")</f>
        <v/>
      </c>
      <c r="AW138" s="224" t="str">
        <f>IFERROR(VLOOKUP($A138,CP!$A$1:$U$7992,19,FALSE),"")</f>
        <v/>
      </c>
      <c r="AX138" s="224" t="str">
        <f>IFERROR(VLOOKUP($A138,CP!$A$1:$U$7992,20,FALSE),"")</f>
        <v/>
      </c>
      <c r="AY138" s="224" t="str">
        <f>IFERROR(VLOOKUP($A138,CP!$A$1:$U$1,21,FALSE),"")</f>
        <v/>
      </c>
      <c r="AZ138" s="224" t="str">
        <f>IFERROR(VLOOKUP(A138,Devengado!$A$1:AJ1,35,FALSE),"")</f>
        <v/>
      </c>
      <c r="BA138" s="224" t="str">
        <f t="shared" si="19"/>
        <v/>
      </c>
      <c r="BB138" s="224" t="str">
        <f>IFERROR(AZ138/#REF!,"")</f>
        <v/>
      </c>
      <c r="BC138" s="224" t="str">
        <f>IFERROR(VLOOKUP($A138,Devengado!$A$1:$AI$1,22,FALSE),"")</f>
        <v/>
      </c>
      <c r="BD138" s="224" t="str">
        <f>IFERROR(VLOOKUP($A138,Devengado!$A$1:$AI$1,23,FALSE),"")</f>
        <v/>
      </c>
      <c r="BE138" s="224" t="str">
        <f>IFERROR(VLOOKUP($A138,Devengado!$A$1:$AI$1,24,FALSE),"")</f>
        <v/>
      </c>
      <c r="BF138" s="224" t="str">
        <f>IFERROR(VLOOKUP($A138,Devengado!$A$1:$AI$1,25,FALSE),"")</f>
        <v/>
      </c>
      <c r="BG138" s="224" t="str">
        <f>IFERROR(VLOOKUP($A138,Devengado!$A$1:$AI$1,26,FALSE),"")</f>
        <v/>
      </c>
      <c r="BH138" s="224" t="str">
        <f>IFERROR(VLOOKUP($A138,Devengado!$A$1:$AI$1,27,FALSE),"")</f>
        <v/>
      </c>
      <c r="BI138" s="224" t="str">
        <f>IFERROR(VLOOKUP($A138,Devengado!$A$1:$AI$1,28,FALSE),"")</f>
        <v/>
      </c>
      <c r="BJ138" s="224" t="str">
        <f>IFERROR(VLOOKUP($A138,Devengado!$A$1:$AI$1,29,FALSE),"")</f>
        <v/>
      </c>
      <c r="BK138" s="224" t="str">
        <f>IFERROR(VLOOKUP($A138,Devengado!$A$1:$AI$1,30,FALSE),"")</f>
        <v/>
      </c>
      <c r="BL138" s="224" t="str">
        <f>IFERROR(VLOOKUP($A138,Devengado!$A$1:$AI$1,31,FALSE),"")</f>
        <v/>
      </c>
      <c r="BM138" s="224" t="str">
        <f>IFERROR(VLOOKUP($A138,Devengado!$A$1:$AI$1,32,FALSE),"")</f>
        <v/>
      </c>
      <c r="BN138" s="224" t="str">
        <f>IFERROR(VLOOKUP($A138,Devengado!$A$1:$AI$1,33,FALSE),"")</f>
        <v/>
      </c>
      <c r="BO138" s="224">
        <f t="shared" si="20"/>
        <v>0</v>
      </c>
      <c r="BP138" s="224" t="str">
        <f t="shared" si="21"/>
        <v/>
      </c>
      <c r="BQ138" s="207"/>
      <c r="BR138" s="207" t="str">
        <f t="shared" si="22"/>
        <v>51</v>
      </c>
    </row>
    <row r="139" spans="1:70" s="225" customFormat="1" ht="25.5" customHeight="1">
      <c r="A139" s="207">
        <v>135</v>
      </c>
      <c r="B139" s="112" t="s">
        <v>73</v>
      </c>
      <c r="C139" s="112" t="s">
        <v>187</v>
      </c>
      <c r="D139" s="112" t="s">
        <v>188</v>
      </c>
      <c r="E139" s="112" t="s">
        <v>76</v>
      </c>
      <c r="F139" s="112" t="s">
        <v>77</v>
      </c>
      <c r="G139" s="112" t="s">
        <v>77</v>
      </c>
      <c r="H139" s="112" t="s">
        <v>77</v>
      </c>
      <c r="I139" s="112" t="s">
        <v>77</v>
      </c>
      <c r="J139" s="112" t="s">
        <v>77</v>
      </c>
      <c r="K139" s="112" t="s">
        <v>77</v>
      </c>
      <c r="L139" s="112" t="s">
        <v>85</v>
      </c>
      <c r="M139" s="112" t="s">
        <v>189</v>
      </c>
      <c r="N139" s="112">
        <v>9999</v>
      </c>
      <c r="O139" s="114" t="s">
        <v>111</v>
      </c>
      <c r="P139" s="114" t="s">
        <v>81</v>
      </c>
      <c r="Q139" s="114" t="s">
        <v>112</v>
      </c>
      <c r="R139" s="115" t="str">
        <f t="shared" si="16"/>
        <v>51</v>
      </c>
      <c r="S139" s="122">
        <v>510513</v>
      </c>
      <c r="T139" s="122" t="str">
        <f>VLOOKUP(S139,ITEM!$C$1:$D$156,2,FALSE)</f>
        <v>Encargos</v>
      </c>
      <c r="U139" s="112" t="s">
        <v>190</v>
      </c>
      <c r="V139" s="112" t="s">
        <v>82</v>
      </c>
      <c r="W139" s="112" t="s">
        <v>84</v>
      </c>
      <c r="X139" s="112" t="s">
        <v>84</v>
      </c>
      <c r="Y139" s="224" t="e">
        <f>'Matriz POA 2024-TRABAJO'!#REF!</f>
        <v>#REF!</v>
      </c>
      <c r="Z139" s="224" t="e">
        <f>'Matriz POA 2024-TRABAJO'!#REF!</f>
        <v>#REF!</v>
      </c>
      <c r="AA139" s="224" t="e">
        <f>'Matriz POA 2024-TRABAJO'!#REF!</f>
        <v>#REF!</v>
      </c>
      <c r="AB139" s="279">
        <v>100</v>
      </c>
      <c r="AC139" s="279">
        <v>0</v>
      </c>
      <c r="AD139" s="279">
        <v>100</v>
      </c>
      <c r="AE139" s="279">
        <v>0</v>
      </c>
      <c r="AF139" s="279">
        <v>100</v>
      </c>
      <c r="AG139" s="279">
        <v>0</v>
      </c>
      <c r="AH139" s="279">
        <v>0</v>
      </c>
      <c r="AI139" s="279">
        <v>0</v>
      </c>
      <c r="AJ139" s="279">
        <v>200</v>
      </c>
      <c r="AK139" s="279">
        <v>0</v>
      </c>
      <c r="AL139" s="279">
        <v>200</v>
      </c>
      <c r="AM139" s="279">
        <v>303.52999999999997</v>
      </c>
      <c r="AN139" s="224" t="e">
        <f>SUM(#REF!)</f>
        <v>#REF!</v>
      </c>
      <c r="AO139" s="224">
        <f t="shared" si="17"/>
        <v>1003.53</v>
      </c>
      <c r="AP139" s="224" t="e">
        <f t="shared" si="23"/>
        <v>#REF!</v>
      </c>
      <c r="AQ139" s="224"/>
      <c r="AR139" s="224"/>
      <c r="AS139" s="224"/>
      <c r="AT139" s="224" t="str">
        <f>IFERROR(VLOOKUP($A139,'Constancias POA'!$A$2:$DH$9993,17,FALSE),"")</f>
        <v/>
      </c>
      <c r="AU139" s="224" t="str">
        <f t="shared" si="18"/>
        <v/>
      </c>
      <c r="AV139" s="224" t="str">
        <f>IFERROR(VLOOKUP($A139,CP!$A$1:$U$7992,18,FALSE),"")</f>
        <v/>
      </c>
      <c r="AW139" s="224" t="str">
        <f>IFERROR(VLOOKUP($A139,CP!$A$1:$U$7992,19,FALSE),"")</f>
        <v/>
      </c>
      <c r="AX139" s="224" t="str">
        <f>IFERROR(VLOOKUP($A139,CP!$A$1:$U$7992,20,FALSE),"")</f>
        <v/>
      </c>
      <c r="AY139" s="224" t="str">
        <f>IFERROR(VLOOKUP($A139,CP!$A$1:$U$1,21,FALSE),"")</f>
        <v/>
      </c>
      <c r="AZ139" s="224" t="str">
        <f>IFERROR(VLOOKUP(A139,Devengado!$A$1:AJ1,35,FALSE),"")</f>
        <v/>
      </c>
      <c r="BA139" s="224" t="str">
        <f t="shared" si="19"/>
        <v/>
      </c>
      <c r="BB139" s="224" t="str">
        <f>IFERROR(AZ139/#REF!,"")</f>
        <v/>
      </c>
      <c r="BC139" s="224" t="str">
        <f>IFERROR(VLOOKUP($A139,Devengado!$A$1:$AI$1,22,FALSE),"")</f>
        <v/>
      </c>
      <c r="BD139" s="224" t="str">
        <f>IFERROR(VLOOKUP($A139,Devengado!$A$1:$AI$1,23,FALSE),"")</f>
        <v/>
      </c>
      <c r="BE139" s="224" t="str">
        <f>IFERROR(VLOOKUP($A139,Devengado!$A$1:$AI$1,24,FALSE),"")</f>
        <v/>
      </c>
      <c r="BF139" s="224" t="str">
        <f>IFERROR(VLOOKUP($A139,Devengado!$A$1:$AI$1,25,FALSE),"")</f>
        <v/>
      </c>
      <c r="BG139" s="224" t="str">
        <f>IFERROR(VLOOKUP($A139,Devengado!$A$1:$AI$1,26,FALSE),"")</f>
        <v/>
      </c>
      <c r="BH139" s="224" t="str">
        <f>IFERROR(VLOOKUP($A139,Devengado!$A$1:$AI$1,27,FALSE),"")</f>
        <v/>
      </c>
      <c r="BI139" s="224" t="str">
        <f>IFERROR(VLOOKUP($A139,Devengado!$A$1:$AI$1,28,FALSE),"")</f>
        <v/>
      </c>
      <c r="BJ139" s="224" t="str">
        <f>IFERROR(VLOOKUP($A139,Devengado!$A$1:$AI$1,29,FALSE),"")</f>
        <v/>
      </c>
      <c r="BK139" s="224" t="str">
        <f>IFERROR(VLOOKUP($A139,Devengado!$A$1:$AI$1,30,FALSE),"")</f>
        <v/>
      </c>
      <c r="BL139" s="224" t="str">
        <f>IFERROR(VLOOKUP($A139,Devengado!$A$1:$AI$1,31,FALSE),"")</f>
        <v/>
      </c>
      <c r="BM139" s="224" t="str">
        <f>IFERROR(VLOOKUP($A139,Devengado!$A$1:$AI$1,32,FALSE),"")</f>
        <v/>
      </c>
      <c r="BN139" s="224" t="str">
        <f>IFERROR(VLOOKUP($A139,Devengado!$A$1:$AI$1,33,FALSE),"")</f>
        <v/>
      </c>
      <c r="BO139" s="224">
        <f t="shared" si="20"/>
        <v>0</v>
      </c>
      <c r="BP139" s="224" t="str">
        <f t="shared" si="21"/>
        <v/>
      </c>
      <c r="BQ139" s="207"/>
      <c r="BR139" s="207" t="str">
        <f t="shared" si="22"/>
        <v>51</v>
      </c>
    </row>
    <row r="140" spans="1:70" s="225" customFormat="1" ht="25.5" customHeight="1">
      <c r="A140" s="207">
        <v>136</v>
      </c>
      <c r="B140" s="112" t="s">
        <v>73</v>
      </c>
      <c r="C140" s="112" t="s">
        <v>187</v>
      </c>
      <c r="D140" s="112" t="s">
        <v>188</v>
      </c>
      <c r="E140" s="112" t="s">
        <v>76</v>
      </c>
      <c r="F140" s="112" t="s">
        <v>77</v>
      </c>
      <c r="G140" s="112" t="s">
        <v>77</v>
      </c>
      <c r="H140" s="112" t="s">
        <v>77</v>
      </c>
      <c r="I140" s="112" t="s">
        <v>77</v>
      </c>
      <c r="J140" s="112" t="s">
        <v>77</v>
      </c>
      <c r="K140" s="112" t="s">
        <v>77</v>
      </c>
      <c r="L140" s="112" t="s">
        <v>85</v>
      </c>
      <c r="M140" s="112" t="s">
        <v>189</v>
      </c>
      <c r="N140" s="112">
        <v>9999</v>
      </c>
      <c r="O140" s="114" t="s">
        <v>111</v>
      </c>
      <c r="P140" s="114" t="s">
        <v>81</v>
      </c>
      <c r="Q140" s="114" t="s">
        <v>112</v>
      </c>
      <c r="R140" s="115" t="str">
        <f t="shared" si="16"/>
        <v>51</v>
      </c>
      <c r="S140" s="122">
        <v>510601</v>
      </c>
      <c r="T140" s="122" t="str">
        <f>VLOOKUP(S140,ITEM!$C$1:$D$156,2,FALSE)</f>
        <v>Aporte Patronal</v>
      </c>
      <c r="U140" s="112" t="s">
        <v>190</v>
      </c>
      <c r="V140" s="112" t="s">
        <v>82</v>
      </c>
      <c r="W140" s="112" t="s">
        <v>84</v>
      </c>
      <c r="X140" s="112" t="s">
        <v>84</v>
      </c>
      <c r="Y140" s="224" t="e">
        <f>'Matriz POA 2024-TRABAJO'!#REF!</f>
        <v>#REF!</v>
      </c>
      <c r="Z140" s="224" t="e">
        <f>'Matriz POA 2024-TRABAJO'!#REF!</f>
        <v>#REF!</v>
      </c>
      <c r="AA140" s="224" t="e">
        <f>'Matriz POA 2024-TRABAJO'!#REF!</f>
        <v>#REF!</v>
      </c>
      <c r="AB140" s="279">
        <v>1744</v>
      </c>
      <c r="AC140" s="279">
        <v>1744</v>
      </c>
      <c r="AD140" s="279">
        <v>1744</v>
      </c>
      <c r="AE140" s="279">
        <v>1744</v>
      </c>
      <c r="AF140" s="279">
        <v>1744</v>
      </c>
      <c r="AG140" s="279">
        <v>1744</v>
      </c>
      <c r="AH140" s="279">
        <v>1744</v>
      </c>
      <c r="AI140" s="279">
        <v>1744</v>
      </c>
      <c r="AJ140" s="279">
        <v>1744</v>
      </c>
      <c r="AK140" s="279">
        <v>1744</v>
      </c>
      <c r="AL140" s="279">
        <v>1744</v>
      </c>
      <c r="AM140" s="279">
        <v>731.65</v>
      </c>
      <c r="AN140" s="224" t="e">
        <f>SUM(#REF!)</f>
        <v>#REF!</v>
      </c>
      <c r="AO140" s="224">
        <f t="shared" si="17"/>
        <v>19915.650000000001</v>
      </c>
      <c r="AP140" s="224" t="e">
        <f t="shared" si="23"/>
        <v>#REF!</v>
      </c>
      <c r="AQ140" s="224"/>
      <c r="AR140" s="224"/>
      <c r="AS140" s="224"/>
      <c r="AT140" s="224" t="str">
        <f>IFERROR(VLOOKUP($A140,'Constancias POA'!$A$2:$DH$9993,17,FALSE),"")</f>
        <v/>
      </c>
      <c r="AU140" s="224" t="str">
        <f t="shared" si="18"/>
        <v/>
      </c>
      <c r="AV140" s="224" t="str">
        <f>IFERROR(VLOOKUP($A140,CP!$A$1:$U$7992,18,FALSE),"")</f>
        <v/>
      </c>
      <c r="AW140" s="224" t="str">
        <f>IFERROR(VLOOKUP($A140,CP!$A$1:$U$7992,19,FALSE),"")</f>
        <v/>
      </c>
      <c r="AX140" s="224" t="str">
        <f>IFERROR(VLOOKUP($A140,CP!$A$1:$U$7992,20,FALSE),"")</f>
        <v/>
      </c>
      <c r="AY140" s="224" t="str">
        <f>IFERROR(VLOOKUP($A140,CP!$A$1:$U$1,21,FALSE),"")</f>
        <v/>
      </c>
      <c r="AZ140" s="224" t="str">
        <f>IFERROR(VLOOKUP(A140,Devengado!$A$1:AJ1,35,FALSE),"")</f>
        <v/>
      </c>
      <c r="BA140" s="224" t="str">
        <f t="shared" si="19"/>
        <v/>
      </c>
      <c r="BB140" s="224" t="str">
        <f>IFERROR(AZ140/#REF!,"")</f>
        <v/>
      </c>
      <c r="BC140" s="224" t="str">
        <f>IFERROR(VLOOKUP($A140,Devengado!$A$1:$AI$1,22,FALSE),"")</f>
        <v/>
      </c>
      <c r="BD140" s="224" t="str">
        <f>IFERROR(VLOOKUP($A140,Devengado!$A$1:$AI$1,23,FALSE),"")</f>
        <v/>
      </c>
      <c r="BE140" s="224" t="str">
        <f>IFERROR(VLOOKUP($A140,Devengado!$A$1:$AI$1,24,FALSE),"")</f>
        <v/>
      </c>
      <c r="BF140" s="224" t="str">
        <f>IFERROR(VLOOKUP($A140,Devengado!$A$1:$AI$1,25,FALSE),"")</f>
        <v/>
      </c>
      <c r="BG140" s="224" t="str">
        <f>IFERROR(VLOOKUP($A140,Devengado!$A$1:$AI$1,26,FALSE),"")</f>
        <v/>
      </c>
      <c r="BH140" s="224" t="str">
        <f>IFERROR(VLOOKUP($A140,Devengado!$A$1:$AI$1,27,FALSE),"")</f>
        <v/>
      </c>
      <c r="BI140" s="224" t="str">
        <f>IFERROR(VLOOKUP($A140,Devengado!$A$1:$AI$1,28,FALSE),"")</f>
        <v/>
      </c>
      <c r="BJ140" s="224" t="str">
        <f>IFERROR(VLOOKUP($A140,Devengado!$A$1:$AI$1,29,FALSE),"")</f>
        <v/>
      </c>
      <c r="BK140" s="224" t="str">
        <f>IFERROR(VLOOKUP($A140,Devengado!$A$1:$AI$1,30,FALSE),"")</f>
        <v/>
      </c>
      <c r="BL140" s="224" t="str">
        <f>IFERROR(VLOOKUP($A140,Devengado!$A$1:$AI$1,31,FALSE),"")</f>
        <v/>
      </c>
      <c r="BM140" s="224" t="str">
        <f>IFERROR(VLOOKUP($A140,Devengado!$A$1:$AI$1,32,FALSE),"")</f>
        <v/>
      </c>
      <c r="BN140" s="224" t="str">
        <f>IFERROR(VLOOKUP($A140,Devengado!$A$1:$AI$1,33,FALSE),"")</f>
        <v/>
      </c>
      <c r="BO140" s="224">
        <f t="shared" si="20"/>
        <v>0</v>
      </c>
      <c r="BP140" s="224" t="str">
        <f t="shared" si="21"/>
        <v/>
      </c>
      <c r="BQ140" s="207"/>
      <c r="BR140" s="207" t="str">
        <f t="shared" si="22"/>
        <v>51</v>
      </c>
    </row>
    <row r="141" spans="1:70" s="225" customFormat="1" ht="25.5" customHeight="1">
      <c r="A141" s="207">
        <v>137</v>
      </c>
      <c r="B141" s="112" t="s">
        <v>73</v>
      </c>
      <c r="C141" s="112" t="s">
        <v>187</v>
      </c>
      <c r="D141" s="112" t="s">
        <v>188</v>
      </c>
      <c r="E141" s="112" t="s">
        <v>76</v>
      </c>
      <c r="F141" s="112" t="s">
        <v>77</v>
      </c>
      <c r="G141" s="112" t="s">
        <v>77</v>
      </c>
      <c r="H141" s="112" t="s">
        <v>77</v>
      </c>
      <c r="I141" s="112" t="s">
        <v>77</v>
      </c>
      <c r="J141" s="112" t="s">
        <v>77</v>
      </c>
      <c r="K141" s="112" t="s">
        <v>77</v>
      </c>
      <c r="L141" s="112" t="s">
        <v>85</v>
      </c>
      <c r="M141" s="112" t="s">
        <v>189</v>
      </c>
      <c r="N141" s="112">
        <v>9999</v>
      </c>
      <c r="O141" s="114" t="s">
        <v>111</v>
      </c>
      <c r="P141" s="114" t="s">
        <v>81</v>
      </c>
      <c r="Q141" s="114" t="s">
        <v>112</v>
      </c>
      <c r="R141" s="115" t="str">
        <f t="shared" si="16"/>
        <v>51</v>
      </c>
      <c r="S141" s="122">
        <v>510602</v>
      </c>
      <c r="T141" s="122" t="str">
        <f>VLOOKUP(S141,ITEM!$C$1:$D$156,2,FALSE)</f>
        <v>Fondo de Reserva</v>
      </c>
      <c r="U141" s="112" t="s">
        <v>190</v>
      </c>
      <c r="V141" s="112" t="s">
        <v>82</v>
      </c>
      <c r="W141" s="112" t="s">
        <v>84</v>
      </c>
      <c r="X141" s="112" t="s">
        <v>84</v>
      </c>
      <c r="Y141" s="224" t="e">
        <f>'Matriz POA 2024-TRABAJO'!#REF!</f>
        <v>#REF!</v>
      </c>
      <c r="Z141" s="224" t="e">
        <f>'Matriz POA 2024-TRABAJO'!#REF!</f>
        <v>#REF!</v>
      </c>
      <c r="AA141" s="224" t="e">
        <f>'Matriz POA 2024-TRABAJO'!#REF!</f>
        <v>#REF!</v>
      </c>
      <c r="AB141" s="279">
        <v>1485</v>
      </c>
      <c r="AC141" s="279">
        <v>1485</v>
      </c>
      <c r="AD141" s="279">
        <v>1485</v>
      </c>
      <c r="AE141" s="279">
        <v>1485</v>
      </c>
      <c r="AF141" s="279">
        <v>1485</v>
      </c>
      <c r="AG141" s="279">
        <v>1485</v>
      </c>
      <c r="AH141" s="279">
        <v>1485</v>
      </c>
      <c r="AI141" s="279">
        <v>449.97</v>
      </c>
      <c r="AJ141" s="279">
        <v>0</v>
      </c>
      <c r="AK141" s="279">
        <v>0</v>
      </c>
      <c r="AL141" s="279">
        <v>0</v>
      </c>
      <c r="AM141" s="279">
        <v>0</v>
      </c>
      <c r="AN141" s="224" t="e">
        <f>SUM(#REF!)</f>
        <v>#REF!</v>
      </c>
      <c r="AO141" s="224">
        <f t="shared" si="17"/>
        <v>10844.97</v>
      </c>
      <c r="AP141" s="224" t="e">
        <f t="shared" si="23"/>
        <v>#REF!</v>
      </c>
      <c r="AQ141" s="224"/>
      <c r="AR141" s="224"/>
      <c r="AS141" s="224"/>
      <c r="AT141" s="224" t="str">
        <f>IFERROR(VLOOKUP($A141,'Constancias POA'!$A$2:$DH$9993,17,FALSE),"")</f>
        <v/>
      </c>
      <c r="AU141" s="224" t="str">
        <f t="shared" si="18"/>
        <v/>
      </c>
      <c r="AV141" s="224" t="str">
        <f>IFERROR(VLOOKUP($A141,CP!$A$1:$U$7992,18,FALSE),"")</f>
        <v/>
      </c>
      <c r="AW141" s="224" t="str">
        <f>IFERROR(VLOOKUP($A141,CP!$A$1:$U$7992,19,FALSE),"")</f>
        <v/>
      </c>
      <c r="AX141" s="224" t="str">
        <f>IFERROR(VLOOKUP($A141,CP!$A$1:$U$7992,20,FALSE),"")</f>
        <v/>
      </c>
      <c r="AY141" s="224" t="str">
        <f>IFERROR(VLOOKUP($A141,CP!$A$1:$U$1,21,FALSE),"")</f>
        <v/>
      </c>
      <c r="AZ141" s="224" t="str">
        <f>IFERROR(VLOOKUP(A141,Devengado!$A$1:AJ1,35,FALSE),"")</f>
        <v/>
      </c>
      <c r="BA141" s="224" t="str">
        <f t="shared" si="19"/>
        <v/>
      </c>
      <c r="BB141" s="224" t="str">
        <f>IFERROR(AZ141/#REF!,"")</f>
        <v/>
      </c>
      <c r="BC141" s="224" t="str">
        <f>IFERROR(VLOOKUP($A141,Devengado!$A$1:$AI$1,22,FALSE),"")</f>
        <v/>
      </c>
      <c r="BD141" s="224" t="str">
        <f>IFERROR(VLOOKUP($A141,Devengado!$A$1:$AI$1,23,FALSE),"")</f>
        <v/>
      </c>
      <c r="BE141" s="224" t="str">
        <f>IFERROR(VLOOKUP($A141,Devengado!$A$1:$AI$1,24,FALSE),"")</f>
        <v/>
      </c>
      <c r="BF141" s="224" t="str">
        <f>IFERROR(VLOOKUP($A141,Devengado!$A$1:$AI$1,25,FALSE),"")</f>
        <v/>
      </c>
      <c r="BG141" s="224" t="str">
        <f>IFERROR(VLOOKUP($A141,Devengado!$A$1:$AI$1,26,FALSE),"")</f>
        <v/>
      </c>
      <c r="BH141" s="224" t="str">
        <f>IFERROR(VLOOKUP($A141,Devengado!$A$1:$AI$1,27,FALSE),"")</f>
        <v/>
      </c>
      <c r="BI141" s="224" t="str">
        <f>IFERROR(VLOOKUP($A141,Devengado!$A$1:$AI$1,28,FALSE),"")</f>
        <v/>
      </c>
      <c r="BJ141" s="224" t="str">
        <f>IFERROR(VLOOKUP($A141,Devengado!$A$1:$AI$1,29,FALSE),"")</f>
        <v/>
      </c>
      <c r="BK141" s="224" t="str">
        <f>IFERROR(VLOOKUP($A141,Devengado!$A$1:$AI$1,30,FALSE),"")</f>
        <v/>
      </c>
      <c r="BL141" s="224" t="str">
        <f>IFERROR(VLOOKUP($A141,Devengado!$A$1:$AI$1,31,FALSE),"")</f>
        <v/>
      </c>
      <c r="BM141" s="224" t="str">
        <f>IFERROR(VLOOKUP($A141,Devengado!$A$1:$AI$1,32,FALSE),"")</f>
        <v/>
      </c>
      <c r="BN141" s="224" t="str">
        <f>IFERROR(VLOOKUP($A141,Devengado!$A$1:$AI$1,33,FALSE),"")</f>
        <v/>
      </c>
      <c r="BO141" s="224">
        <f t="shared" si="20"/>
        <v>0</v>
      </c>
      <c r="BP141" s="224" t="str">
        <f t="shared" si="21"/>
        <v/>
      </c>
      <c r="BQ141" s="207"/>
      <c r="BR141" s="207" t="str">
        <f t="shared" si="22"/>
        <v>51</v>
      </c>
    </row>
    <row r="142" spans="1:70" s="225" customFormat="1" ht="25.5" customHeight="1">
      <c r="A142" s="207">
        <v>138</v>
      </c>
      <c r="B142" s="112" t="s">
        <v>73</v>
      </c>
      <c r="C142" s="112" t="s">
        <v>187</v>
      </c>
      <c r="D142" s="112" t="s">
        <v>188</v>
      </c>
      <c r="E142" s="112" t="s">
        <v>76</v>
      </c>
      <c r="F142" s="112" t="s">
        <v>77</v>
      </c>
      <c r="G142" s="112" t="s">
        <v>77</v>
      </c>
      <c r="H142" s="112" t="s">
        <v>77</v>
      </c>
      <c r="I142" s="112" t="s">
        <v>77</v>
      </c>
      <c r="J142" s="112" t="s">
        <v>77</v>
      </c>
      <c r="K142" s="112" t="s">
        <v>77</v>
      </c>
      <c r="L142" s="112" t="s">
        <v>85</v>
      </c>
      <c r="M142" s="112" t="s">
        <v>189</v>
      </c>
      <c r="N142" s="112">
        <v>9999</v>
      </c>
      <c r="O142" s="114" t="s">
        <v>111</v>
      </c>
      <c r="P142" s="114" t="s">
        <v>81</v>
      </c>
      <c r="Q142" s="114" t="s">
        <v>112</v>
      </c>
      <c r="R142" s="115" t="str">
        <f t="shared" si="16"/>
        <v>51</v>
      </c>
      <c r="S142" s="122">
        <v>510707</v>
      </c>
      <c r="T142" s="122" t="str">
        <f>VLOOKUP(S142,ITEM!$C$1:$D$156,2,FALSE)</f>
        <v>Compensación por Vacaciones no Gozadas por Cesación de Funciones</v>
      </c>
      <c r="U142" s="112" t="s">
        <v>190</v>
      </c>
      <c r="V142" s="112" t="s">
        <v>82</v>
      </c>
      <c r="W142" s="112" t="s">
        <v>84</v>
      </c>
      <c r="X142" s="112" t="s">
        <v>84</v>
      </c>
      <c r="Y142" s="224" t="e">
        <f>'Matriz POA 2024-TRABAJO'!#REF!</f>
        <v>#REF!</v>
      </c>
      <c r="Z142" s="224" t="e">
        <f>'Matriz POA 2024-TRABAJO'!#REF!</f>
        <v>#REF!</v>
      </c>
      <c r="AA142" s="224" t="e">
        <f>'Matriz POA 2024-TRABAJO'!#REF!</f>
        <v>#REF!</v>
      </c>
      <c r="AB142" s="279">
        <v>0</v>
      </c>
      <c r="AC142" s="279">
        <v>0</v>
      </c>
      <c r="AD142" s="279">
        <v>0</v>
      </c>
      <c r="AE142" s="279">
        <v>0</v>
      </c>
      <c r="AF142" s="279">
        <v>0</v>
      </c>
      <c r="AG142" s="279">
        <v>0</v>
      </c>
      <c r="AH142" s="279">
        <v>0</v>
      </c>
      <c r="AI142" s="279">
        <v>0</v>
      </c>
      <c r="AJ142" s="279">
        <v>0</v>
      </c>
      <c r="AK142" s="279">
        <v>0</v>
      </c>
      <c r="AL142" s="279">
        <v>0</v>
      </c>
      <c r="AM142" s="279">
        <v>0</v>
      </c>
      <c r="AN142" s="224" t="e">
        <f>SUM(#REF!)</f>
        <v>#REF!</v>
      </c>
      <c r="AO142" s="224">
        <f t="shared" si="17"/>
        <v>0</v>
      </c>
      <c r="AP142" s="224" t="e">
        <f t="shared" si="23"/>
        <v>#REF!</v>
      </c>
      <c r="AQ142" s="224"/>
      <c r="AR142" s="224"/>
      <c r="AS142" s="224"/>
      <c r="AT142" s="224" t="str">
        <f>IFERROR(VLOOKUP($A142,'Constancias POA'!$A$2:$DH$9993,17,FALSE),"")</f>
        <v/>
      </c>
      <c r="AU142" s="224" t="str">
        <f t="shared" si="18"/>
        <v/>
      </c>
      <c r="AV142" s="224" t="str">
        <f>IFERROR(VLOOKUP($A142,CP!$A$1:$U$7992,18,FALSE),"")</f>
        <v/>
      </c>
      <c r="AW142" s="224" t="str">
        <f>IFERROR(VLOOKUP($A142,CP!$A$1:$U$7992,19,FALSE),"")</f>
        <v/>
      </c>
      <c r="AX142" s="224" t="str">
        <f>IFERROR(VLOOKUP($A142,CP!$A$1:$U$7992,20,FALSE),"")</f>
        <v/>
      </c>
      <c r="AY142" s="224" t="str">
        <f>IFERROR(VLOOKUP($A142,CP!$A$1:$U$1,21,FALSE),"")</f>
        <v/>
      </c>
      <c r="AZ142" s="224" t="str">
        <f>IFERROR(VLOOKUP(A142,Devengado!$A$1:AJ1,35,FALSE),"")</f>
        <v/>
      </c>
      <c r="BA142" s="224" t="str">
        <f t="shared" si="19"/>
        <v/>
      </c>
      <c r="BB142" s="224" t="str">
        <f>IFERROR(AZ142/#REF!,"")</f>
        <v/>
      </c>
      <c r="BC142" s="224" t="str">
        <f>IFERROR(VLOOKUP($A142,Devengado!$A$1:$AI$1,22,FALSE),"")</f>
        <v/>
      </c>
      <c r="BD142" s="224" t="str">
        <f>IFERROR(VLOOKUP($A142,Devengado!$A$1:$AI$1,23,FALSE),"")</f>
        <v/>
      </c>
      <c r="BE142" s="224" t="str">
        <f>IFERROR(VLOOKUP($A142,Devengado!$A$1:$AI$1,24,FALSE),"")</f>
        <v/>
      </c>
      <c r="BF142" s="224" t="str">
        <f>IFERROR(VLOOKUP($A142,Devengado!$A$1:$AI$1,25,FALSE),"")</f>
        <v/>
      </c>
      <c r="BG142" s="224" t="str">
        <f>IFERROR(VLOOKUP($A142,Devengado!$A$1:$AI$1,26,FALSE),"")</f>
        <v/>
      </c>
      <c r="BH142" s="224" t="str">
        <f>IFERROR(VLOOKUP($A142,Devengado!$A$1:$AI$1,27,FALSE),"")</f>
        <v/>
      </c>
      <c r="BI142" s="224" t="str">
        <f>IFERROR(VLOOKUP($A142,Devengado!$A$1:$AI$1,28,FALSE),"")</f>
        <v/>
      </c>
      <c r="BJ142" s="224" t="str">
        <f>IFERROR(VLOOKUP($A142,Devengado!$A$1:$AI$1,29,FALSE),"")</f>
        <v/>
      </c>
      <c r="BK142" s="224" t="str">
        <f>IFERROR(VLOOKUP($A142,Devengado!$A$1:$AI$1,30,FALSE),"")</f>
        <v/>
      </c>
      <c r="BL142" s="224" t="str">
        <f>IFERROR(VLOOKUP($A142,Devengado!$A$1:$AI$1,31,FALSE),"")</f>
        <v/>
      </c>
      <c r="BM142" s="224" t="str">
        <f>IFERROR(VLOOKUP($A142,Devengado!$A$1:$AI$1,32,FALSE),"")</f>
        <v/>
      </c>
      <c r="BN142" s="224" t="str">
        <f>IFERROR(VLOOKUP($A142,Devengado!$A$1:$AI$1,33,FALSE),"")</f>
        <v/>
      </c>
      <c r="BO142" s="224">
        <f t="shared" si="20"/>
        <v>0</v>
      </c>
      <c r="BP142" s="224" t="str">
        <f t="shared" si="21"/>
        <v/>
      </c>
      <c r="BQ142" s="207"/>
      <c r="BR142" s="207" t="str">
        <f t="shared" si="22"/>
        <v>51</v>
      </c>
    </row>
    <row r="143" spans="1:70" s="225" customFormat="1" ht="25.5" customHeight="1">
      <c r="A143" s="207">
        <v>139</v>
      </c>
      <c r="B143" s="112" t="s">
        <v>73</v>
      </c>
      <c r="C143" s="112" t="s">
        <v>187</v>
      </c>
      <c r="D143" s="112" t="s">
        <v>188</v>
      </c>
      <c r="E143" s="112" t="s">
        <v>76</v>
      </c>
      <c r="F143" s="112" t="s">
        <v>77</v>
      </c>
      <c r="G143" s="112" t="s">
        <v>77</v>
      </c>
      <c r="H143" s="112" t="s">
        <v>77</v>
      </c>
      <c r="I143" s="112" t="s">
        <v>77</v>
      </c>
      <c r="J143" s="112" t="s">
        <v>77</v>
      </c>
      <c r="K143" s="112" t="s">
        <v>77</v>
      </c>
      <c r="L143" s="112" t="s">
        <v>85</v>
      </c>
      <c r="M143" s="112" t="s">
        <v>191</v>
      </c>
      <c r="N143" s="112">
        <v>9999</v>
      </c>
      <c r="O143" s="114" t="s">
        <v>80</v>
      </c>
      <c r="P143" s="114" t="s">
        <v>81</v>
      </c>
      <c r="Q143" s="114" t="s">
        <v>82</v>
      </c>
      <c r="R143" s="115" t="str">
        <f t="shared" si="16"/>
        <v>58</v>
      </c>
      <c r="S143" s="122">
        <v>580209</v>
      </c>
      <c r="T143" s="122" t="e">
        <f>VLOOKUP(S143,ITEM!$C$1:$D$156,2,FALSE)</f>
        <v>#N/A</v>
      </c>
      <c r="U143" s="112">
        <v>1701</v>
      </c>
      <c r="V143" s="112" t="s">
        <v>82</v>
      </c>
      <c r="W143" s="112" t="s">
        <v>84</v>
      </c>
      <c r="X143" s="112" t="s">
        <v>84</v>
      </c>
      <c r="Y143" s="224" t="e">
        <f>'Matriz POA 2024-TRABAJO'!#REF!</f>
        <v>#REF!</v>
      </c>
      <c r="Z143" s="224" t="e">
        <f>'Matriz POA 2024-TRABAJO'!#REF!</f>
        <v>#REF!</v>
      </c>
      <c r="AA143" s="224" t="e">
        <f>'Matriz POA 2024-TRABAJO'!#REF!</f>
        <v>#REF!</v>
      </c>
      <c r="AB143" s="292">
        <v>498.05</v>
      </c>
      <c r="AC143" s="292">
        <v>498.05</v>
      </c>
      <c r="AD143" s="292">
        <v>498.05</v>
      </c>
      <c r="AE143" s="292">
        <v>948.05</v>
      </c>
      <c r="AF143" s="292">
        <v>498.05</v>
      </c>
      <c r="AG143" s="292">
        <v>498.05</v>
      </c>
      <c r="AH143" s="292">
        <v>498.05</v>
      </c>
      <c r="AI143" s="292">
        <v>948.05</v>
      </c>
      <c r="AJ143" s="292">
        <v>498.05</v>
      </c>
      <c r="AK143" s="292">
        <v>498.05</v>
      </c>
      <c r="AL143" s="292">
        <v>498.05</v>
      </c>
      <c r="AM143" s="292">
        <v>996.1</v>
      </c>
      <c r="AN143" s="290" t="e">
        <f>SUM(#REF!)</f>
        <v>#REF!</v>
      </c>
      <c r="AO143" s="224">
        <f t="shared" si="17"/>
        <v>7374.6500000000015</v>
      </c>
      <c r="AP143" s="224" t="e">
        <f t="shared" si="23"/>
        <v>#REF!</v>
      </c>
      <c r="AQ143" s="224"/>
      <c r="AR143" s="224"/>
      <c r="AS143" s="224"/>
      <c r="AT143" s="224" t="str">
        <f>IFERROR(VLOOKUP($A143,'Constancias POA'!$A$2:$DH$9993,17,FALSE),"")</f>
        <v/>
      </c>
      <c r="AU143" s="224" t="str">
        <f t="shared" si="18"/>
        <v/>
      </c>
      <c r="AV143" s="224" t="str">
        <f>IFERROR(VLOOKUP($A143,CP!$A$1:$U$7992,18,FALSE),"")</f>
        <v/>
      </c>
      <c r="AW143" s="224" t="str">
        <f>IFERROR(VLOOKUP($A143,CP!$A$1:$U$7992,19,FALSE),"")</f>
        <v/>
      </c>
      <c r="AX143" s="224" t="str">
        <f>IFERROR(VLOOKUP($A143,CP!$A$1:$U$7992,20,FALSE),"")</f>
        <v/>
      </c>
      <c r="AY143" s="224" t="str">
        <f>IFERROR(VLOOKUP($A143,CP!$A$1:$U$1,21,FALSE),"")</f>
        <v/>
      </c>
      <c r="AZ143" s="224" t="str">
        <f>IFERROR(VLOOKUP(A143,Devengado!$A$1:AJ1,35,FALSE),"")</f>
        <v/>
      </c>
      <c r="BA143" s="224" t="str">
        <f t="shared" si="19"/>
        <v/>
      </c>
      <c r="BB143" s="224" t="str">
        <f>IFERROR(AZ143/#REF!,"")</f>
        <v/>
      </c>
      <c r="BC143" s="224" t="str">
        <f>IFERROR(VLOOKUP($A143,Devengado!$A$1:$AI$1,22,FALSE),"")</f>
        <v/>
      </c>
      <c r="BD143" s="224" t="str">
        <f>IFERROR(VLOOKUP($A143,Devengado!$A$1:$AI$1,23,FALSE),"")</f>
        <v/>
      </c>
      <c r="BE143" s="224" t="str">
        <f>IFERROR(VLOOKUP($A143,Devengado!$A$1:$AI$1,24,FALSE),"")</f>
        <v/>
      </c>
      <c r="BF143" s="224" t="str">
        <f>IFERROR(VLOOKUP($A143,Devengado!$A$1:$AI$1,25,FALSE),"")</f>
        <v/>
      </c>
      <c r="BG143" s="224" t="str">
        <f>IFERROR(VLOOKUP($A143,Devengado!$A$1:$AI$1,26,FALSE),"")</f>
        <v/>
      </c>
      <c r="BH143" s="224" t="str">
        <f>IFERROR(VLOOKUP($A143,Devengado!$A$1:$AI$1,27,FALSE),"")</f>
        <v/>
      </c>
      <c r="BI143" s="224" t="str">
        <f>IFERROR(VLOOKUP($A143,Devengado!$A$1:$AI$1,28,FALSE),"")</f>
        <v/>
      </c>
      <c r="BJ143" s="224" t="str">
        <f>IFERROR(VLOOKUP($A143,Devengado!$A$1:$AI$1,29,FALSE),"")</f>
        <v/>
      </c>
      <c r="BK143" s="224" t="str">
        <f>IFERROR(VLOOKUP($A143,Devengado!$A$1:$AI$1,30,FALSE),"")</f>
        <v/>
      </c>
      <c r="BL143" s="224" t="str">
        <f>IFERROR(VLOOKUP($A143,Devengado!$A$1:$AI$1,31,FALSE),"")</f>
        <v/>
      </c>
      <c r="BM143" s="224" t="str">
        <f>IFERROR(VLOOKUP($A143,Devengado!$A$1:$AI$1,32,FALSE),"")</f>
        <v/>
      </c>
      <c r="BN143" s="224" t="str">
        <f>IFERROR(VLOOKUP($A143,Devengado!$A$1:$AI$1,33,FALSE),"")</f>
        <v/>
      </c>
      <c r="BO143" s="224">
        <f t="shared" si="20"/>
        <v>0</v>
      </c>
      <c r="BP143" s="224" t="str">
        <f t="shared" si="21"/>
        <v/>
      </c>
      <c r="BQ143" s="207"/>
      <c r="BR143" s="207" t="str">
        <f t="shared" si="22"/>
        <v>58</v>
      </c>
    </row>
    <row r="144" spans="1:70" s="225" customFormat="1" ht="25.5" customHeight="1">
      <c r="A144" s="207">
        <v>140</v>
      </c>
      <c r="B144" s="112" t="s">
        <v>73</v>
      </c>
      <c r="C144" s="112" t="s">
        <v>187</v>
      </c>
      <c r="D144" s="112" t="s">
        <v>188</v>
      </c>
      <c r="E144" s="112" t="s">
        <v>76</v>
      </c>
      <c r="F144" s="112" t="s">
        <v>77</v>
      </c>
      <c r="G144" s="112" t="s">
        <v>77</v>
      </c>
      <c r="H144" s="112" t="s">
        <v>77</v>
      </c>
      <c r="I144" s="112" t="s">
        <v>77</v>
      </c>
      <c r="J144" s="112" t="s">
        <v>77</v>
      </c>
      <c r="K144" s="112" t="s">
        <v>77</v>
      </c>
      <c r="L144" s="112" t="s">
        <v>85</v>
      </c>
      <c r="M144" s="112" t="s">
        <v>192</v>
      </c>
      <c r="N144" s="112">
        <v>9999</v>
      </c>
      <c r="O144" s="114" t="s">
        <v>80</v>
      </c>
      <c r="P144" s="114" t="s">
        <v>81</v>
      </c>
      <c r="Q144" s="114" t="s">
        <v>82</v>
      </c>
      <c r="R144" s="115" t="str">
        <f t="shared" si="16"/>
        <v>53</v>
      </c>
      <c r="S144" s="122">
        <v>530201</v>
      </c>
      <c r="T144" s="122" t="str">
        <f>VLOOKUP(S144,ITEM!$C$1:$D$156,2,FALSE)</f>
        <v>Transporte de Personal</v>
      </c>
      <c r="U144" s="112">
        <v>1701</v>
      </c>
      <c r="V144" s="112" t="s">
        <v>82</v>
      </c>
      <c r="W144" s="112" t="s">
        <v>84</v>
      </c>
      <c r="X144" s="112" t="s">
        <v>84</v>
      </c>
      <c r="Y144" s="224" t="e">
        <f>'Matriz POA 2024-TRABAJO'!#REF!</f>
        <v>#REF!</v>
      </c>
      <c r="Z144" s="224" t="e">
        <f>'Matriz POA 2024-TRABAJO'!#REF!</f>
        <v>#REF!</v>
      </c>
      <c r="AA144" s="224" t="e">
        <f>'Matriz POA 2024-TRABAJO'!#REF!</f>
        <v>#REF!</v>
      </c>
      <c r="AB144" s="279"/>
      <c r="AC144" s="279"/>
      <c r="AD144" s="279"/>
      <c r="AE144" s="279">
        <v>11926.78</v>
      </c>
      <c r="AF144" s="279">
        <v>11926.78</v>
      </c>
      <c r="AG144" s="279">
        <v>11926.78</v>
      </c>
      <c r="AH144" s="279">
        <v>11926.78</v>
      </c>
      <c r="AI144" s="279">
        <v>11926.78</v>
      </c>
      <c r="AJ144" s="279">
        <v>11926.78</v>
      </c>
      <c r="AK144" s="279">
        <v>11926.78</v>
      </c>
      <c r="AL144" s="279">
        <v>11926.78</v>
      </c>
      <c r="AM144" s="279">
        <v>7259.42</v>
      </c>
      <c r="AN144" s="224" t="e">
        <f>SUM(#REF!)</f>
        <v>#REF!</v>
      </c>
      <c r="AO144" s="224">
        <f t="shared" si="17"/>
        <v>102673.66</v>
      </c>
      <c r="AP144" s="224" t="e">
        <f>+AO144-AA144</f>
        <v>#REF!</v>
      </c>
      <c r="AQ144" s="224"/>
      <c r="AR144" s="224"/>
      <c r="AS144" s="224"/>
      <c r="AT144" s="224" t="str">
        <f>IFERROR(VLOOKUP($A144,'Constancias POA'!$A$2:$DH$9993,17,FALSE),"")</f>
        <v/>
      </c>
      <c r="AU144" s="224" t="str">
        <f t="shared" si="18"/>
        <v/>
      </c>
      <c r="AV144" s="224" t="str">
        <f>IFERROR(VLOOKUP($A144,CP!$A$1:$U$7992,18,FALSE),"")</f>
        <v/>
      </c>
      <c r="AW144" s="224" t="str">
        <f>IFERROR(VLOOKUP($A144,CP!$A$1:$U$7992,19,FALSE),"")</f>
        <v/>
      </c>
      <c r="AX144" s="224" t="str">
        <f>IFERROR(VLOOKUP($A144,CP!$A$1:$U$7992,20,FALSE),"")</f>
        <v/>
      </c>
      <c r="AY144" s="224" t="str">
        <f>IFERROR(VLOOKUP($A144,CP!$A$1:$U$1,21,FALSE),"")</f>
        <v/>
      </c>
      <c r="AZ144" s="224" t="str">
        <f>IFERROR(VLOOKUP(A144,Devengado!$A$1:AJ1,35,FALSE),"")</f>
        <v/>
      </c>
      <c r="BA144" s="224" t="str">
        <f t="shared" si="19"/>
        <v/>
      </c>
      <c r="BB144" s="224" t="str">
        <f>IFERROR(AZ144/#REF!,"")</f>
        <v/>
      </c>
      <c r="BC144" s="224" t="str">
        <f>IFERROR(VLOOKUP($A144,Devengado!$A$1:$AI$1,22,FALSE),"")</f>
        <v/>
      </c>
      <c r="BD144" s="224" t="str">
        <f>IFERROR(VLOOKUP($A144,Devengado!$A$1:$AI$1,23,FALSE),"")</f>
        <v/>
      </c>
      <c r="BE144" s="224" t="str">
        <f>IFERROR(VLOOKUP($A144,Devengado!$A$1:$AI$1,24,FALSE),"")</f>
        <v/>
      </c>
      <c r="BF144" s="224" t="str">
        <f>IFERROR(VLOOKUP($A144,Devengado!$A$1:$AI$1,25,FALSE),"")</f>
        <v/>
      </c>
      <c r="BG144" s="224" t="str">
        <f>IFERROR(VLOOKUP($A144,Devengado!$A$1:$AI$1,26,FALSE),"")</f>
        <v/>
      </c>
      <c r="BH144" s="224" t="str">
        <f>IFERROR(VLOOKUP($A144,Devengado!$A$1:$AI$1,27,FALSE),"")</f>
        <v/>
      </c>
      <c r="BI144" s="224" t="str">
        <f>IFERROR(VLOOKUP($A144,Devengado!$A$1:$AI$1,28,FALSE),"")</f>
        <v/>
      </c>
      <c r="BJ144" s="224" t="str">
        <f>IFERROR(VLOOKUP($A144,Devengado!$A$1:$AI$1,29,FALSE),"")</f>
        <v/>
      </c>
      <c r="BK144" s="224" t="str">
        <f>IFERROR(VLOOKUP($A144,Devengado!$A$1:$AI$1,30,FALSE),"")</f>
        <v/>
      </c>
      <c r="BL144" s="224" t="str">
        <f>IFERROR(VLOOKUP($A144,Devengado!$A$1:$AI$1,31,FALSE),"")</f>
        <v/>
      </c>
      <c r="BM144" s="224" t="str">
        <f>IFERROR(VLOOKUP($A144,Devengado!$A$1:$AI$1,32,FALSE),"")</f>
        <v/>
      </c>
      <c r="BN144" s="224" t="str">
        <f>IFERROR(VLOOKUP($A144,Devengado!$A$1:$AI$1,33,FALSE),"")</f>
        <v/>
      </c>
      <c r="BO144" s="224">
        <f t="shared" si="20"/>
        <v>0</v>
      </c>
      <c r="BP144" s="224" t="str">
        <f t="shared" si="21"/>
        <v/>
      </c>
      <c r="BQ144" s="207"/>
      <c r="BR144" s="207" t="str">
        <f t="shared" si="22"/>
        <v>53</v>
      </c>
    </row>
    <row r="145" spans="1:70" s="225" customFormat="1" ht="25.5" customHeight="1">
      <c r="A145" s="207">
        <v>141</v>
      </c>
      <c r="B145" s="112" t="s">
        <v>73</v>
      </c>
      <c r="C145" s="112" t="s">
        <v>187</v>
      </c>
      <c r="D145" s="112" t="s">
        <v>188</v>
      </c>
      <c r="E145" s="112" t="s">
        <v>76</v>
      </c>
      <c r="F145" s="112" t="s">
        <v>77</v>
      </c>
      <c r="G145" s="112" t="s">
        <v>77</v>
      </c>
      <c r="H145" s="112" t="s">
        <v>77</v>
      </c>
      <c r="I145" s="112" t="s">
        <v>77</v>
      </c>
      <c r="J145" s="112" t="s">
        <v>77</v>
      </c>
      <c r="K145" s="112" t="s">
        <v>77</v>
      </c>
      <c r="L145" s="112" t="s">
        <v>85</v>
      </c>
      <c r="M145" s="112" t="s">
        <v>193</v>
      </c>
      <c r="N145" s="112">
        <v>9999</v>
      </c>
      <c r="O145" s="114" t="s">
        <v>80</v>
      </c>
      <c r="P145" s="114" t="s">
        <v>81</v>
      </c>
      <c r="Q145" s="114" t="s">
        <v>82</v>
      </c>
      <c r="R145" s="115" t="str">
        <f t="shared" si="16"/>
        <v>53</v>
      </c>
      <c r="S145" s="122">
        <v>530210</v>
      </c>
      <c r="T145" s="122" t="str">
        <f>VLOOKUP(S145,ITEM!$C$1:$D$156,2,FALSE)</f>
        <v>Servicio de Guardería</v>
      </c>
      <c r="U145" s="112">
        <v>1701</v>
      </c>
      <c r="V145" s="112" t="s">
        <v>82</v>
      </c>
      <c r="W145" s="112" t="s">
        <v>84</v>
      </c>
      <c r="X145" s="112" t="s">
        <v>84</v>
      </c>
      <c r="Y145" s="224" t="e">
        <f>'Matriz POA 2024-TRABAJO'!#REF!</f>
        <v>#REF!</v>
      </c>
      <c r="Z145" s="224" t="e">
        <f>'Matriz POA 2024-TRABAJO'!#REF!</f>
        <v>#REF!</v>
      </c>
      <c r="AA145" s="224" t="e">
        <f>'Matriz POA 2024-TRABAJO'!#REF!</f>
        <v>#REF!</v>
      </c>
      <c r="AB145" s="282">
        <v>5833</v>
      </c>
      <c r="AC145" s="282">
        <v>5833</v>
      </c>
      <c r="AD145" s="282">
        <v>5833</v>
      </c>
      <c r="AE145" s="282">
        <v>5833</v>
      </c>
      <c r="AF145" s="282">
        <v>5833</v>
      </c>
      <c r="AG145" s="282">
        <v>5833</v>
      </c>
      <c r="AH145" s="282">
        <v>5833</v>
      </c>
      <c r="AI145" s="282">
        <v>5833</v>
      </c>
      <c r="AJ145" s="282">
        <v>5833</v>
      </c>
      <c r="AK145" s="282">
        <v>5833</v>
      </c>
      <c r="AL145" s="282">
        <v>5833</v>
      </c>
      <c r="AM145" s="282">
        <v>5837</v>
      </c>
      <c r="AN145" s="291" t="e">
        <f>SUM(#REF!)</f>
        <v>#REF!</v>
      </c>
      <c r="AO145" s="224">
        <f t="shared" si="17"/>
        <v>70000</v>
      </c>
      <c r="AP145" s="224" t="e">
        <f t="shared" si="23"/>
        <v>#REF!</v>
      </c>
      <c r="AQ145" s="224"/>
      <c r="AR145" s="224"/>
      <c r="AS145" s="224"/>
      <c r="AT145" s="224" t="str">
        <f>IFERROR(VLOOKUP($A145,'Constancias POA'!$A$2:$DH$9993,17,FALSE),"")</f>
        <v/>
      </c>
      <c r="AU145" s="224" t="str">
        <f t="shared" si="18"/>
        <v/>
      </c>
      <c r="AV145" s="224" t="str">
        <f>IFERROR(VLOOKUP($A145,CP!$A$1:$U$7992,18,FALSE),"")</f>
        <v/>
      </c>
      <c r="AW145" s="224" t="str">
        <f>IFERROR(VLOOKUP($A145,CP!$A$1:$U$7992,19,FALSE),"")</f>
        <v/>
      </c>
      <c r="AX145" s="224" t="str">
        <f>IFERROR(VLOOKUP($A145,CP!$A$1:$U$7992,20,FALSE),"")</f>
        <v/>
      </c>
      <c r="AY145" s="224" t="str">
        <f>IFERROR(VLOOKUP($A145,CP!$A$1:$U$1,21,FALSE),"")</f>
        <v/>
      </c>
      <c r="AZ145" s="224" t="str">
        <f>IFERROR(VLOOKUP(A145,Devengado!$A$1:AJ1,35,FALSE),"")</f>
        <v/>
      </c>
      <c r="BA145" s="224" t="str">
        <f t="shared" si="19"/>
        <v/>
      </c>
      <c r="BB145" s="224" t="str">
        <f>IFERROR(AZ145/#REF!,"")</f>
        <v/>
      </c>
      <c r="BC145" s="224" t="str">
        <f>IFERROR(VLOOKUP($A145,Devengado!$A$1:$AI$1,22,FALSE),"")</f>
        <v/>
      </c>
      <c r="BD145" s="224" t="str">
        <f>IFERROR(VLOOKUP($A145,Devengado!$A$1:$AI$1,23,FALSE),"")</f>
        <v/>
      </c>
      <c r="BE145" s="224" t="str">
        <f>IFERROR(VLOOKUP($A145,Devengado!$A$1:$AI$1,24,FALSE),"")</f>
        <v/>
      </c>
      <c r="BF145" s="224" t="str">
        <f>IFERROR(VLOOKUP($A145,Devengado!$A$1:$AI$1,25,FALSE),"")</f>
        <v/>
      </c>
      <c r="BG145" s="224" t="str">
        <f>IFERROR(VLOOKUP($A145,Devengado!$A$1:$AI$1,26,FALSE),"")</f>
        <v/>
      </c>
      <c r="BH145" s="224" t="str">
        <f>IFERROR(VLOOKUP($A145,Devengado!$A$1:$AI$1,27,FALSE),"")</f>
        <v/>
      </c>
      <c r="BI145" s="224" t="str">
        <f>IFERROR(VLOOKUP($A145,Devengado!$A$1:$AI$1,28,FALSE),"")</f>
        <v/>
      </c>
      <c r="BJ145" s="224" t="str">
        <f>IFERROR(VLOOKUP($A145,Devengado!$A$1:$AI$1,29,FALSE),"")</f>
        <v/>
      </c>
      <c r="BK145" s="224" t="str">
        <f>IFERROR(VLOOKUP($A145,Devengado!$A$1:$AI$1,30,FALSE),"")</f>
        <v/>
      </c>
      <c r="BL145" s="224" t="str">
        <f>IFERROR(VLOOKUP($A145,Devengado!$A$1:$AI$1,31,FALSE),"")</f>
        <v/>
      </c>
      <c r="BM145" s="224" t="str">
        <f>IFERROR(VLOOKUP($A145,Devengado!$A$1:$AI$1,32,FALSE),"")</f>
        <v/>
      </c>
      <c r="BN145" s="224" t="str">
        <f>IFERROR(VLOOKUP($A145,Devengado!$A$1:$AI$1,33,FALSE),"")</f>
        <v/>
      </c>
      <c r="BO145" s="224">
        <f t="shared" si="20"/>
        <v>0</v>
      </c>
      <c r="BP145" s="224" t="str">
        <f t="shared" si="21"/>
        <v/>
      </c>
      <c r="BQ145" s="207"/>
      <c r="BR145" s="207" t="str">
        <f t="shared" si="22"/>
        <v>53</v>
      </c>
    </row>
    <row r="146" spans="1:70" s="225" customFormat="1" ht="25.5" customHeight="1">
      <c r="A146" s="207">
        <v>142</v>
      </c>
      <c r="B146" s="112" t="s">
        <v>73</v>
      </c>
      <c r="C146" s="112" t="s">
        <v>187</v>
      </c>
      <c r="D146" s="112" t="s">
        <v>188</v>
      </c>
      <c r="E146" s="112" t="s">
        <v>76</v>
      </c>
      <c r="F146" s="112" t="s">
        <v>77</v>
      </c>
      <c r="G146" s="112" t="s">
        <v>77</v>
      </c>
      <c r="H146" s="112" t="s">
        <v>77</v>
      </c>
      <c r="I146" s="112" t="s">
        <v>77</v>
      </c>
      <c r="J146" s="112" t="s">
        <v>77</v>
      </c>
      <c r="K146" s="112" t="s">
        <v>77</v>
      </c>
      <c r="L146" s="112" t="s">
        <v>85</v>
      </c>
      <c r="M146" s="112" t="s">
        <v>194</v>
      </c>
      <c r="N146" s="112">
        <v>9999</v>
      </c>
      <c r="O146" s="114" t="s">
        <v>80</v>
      </c>
      <c r="P146" s="114" t="s">
        <v>81</v>
      </c>
      <c r="Q146" s="114" t="s">
        <v>82</v>
      </c>
      <c r="R146" s="115" t="str">
        <f t="shared" si="16"/>
        <v>53</v>
      </c>
      <c r="S146" s="122">
        <v>530804</v>
      </c>
      <c r="T146" s="122" t="e">
        <f>VLOOKUP(S146,ITEM!$C$1:$D$156,2,FALSE)</f>
        <v>#N/A</v>
      </c>
      <c r="U146" s="112">
        <v>1701</v>
      </c>
      <c r="V146" s="112" t="s">
        <v>82</v>
      </c>
      <c r="W146" s="112" t="s">
        <v>84</v>
      </c>
      <c r="X146" s="112" t="s">
        <v>84</v>
      </c>
      <c r="Y146" s="224" t="e">
        <f>'Matriz POA 2024-TRABAJO'!#REF!</f>
        <v>#REF!</v>
      </c>
      <c r="Z146" s="224" t="e">
        <f>'Matriz POA 2024-TRABAJO'!#REF!</f>
        <v>#REF!</v>
      </c>
      <c r="AA146" s="224" t="e">
        <f>'Matriz POA 2024-TRABAJO'!#REF!</f>
        <v>#REF!</v>
      </c>
      <c r="AB146" s="279">
        <v>0</v>
      </c>
      <c r="AC146" s="279">
        <v>0</v>
      </c>
      <c r="AD146" s="279">
        <v>0</v>
      </c>
      <c r="AE146" s="279">
        <v>2500</v>
      </c>
      <c r="AF146" s="279">
        <v>0</v>
      </c>
      <c r="AG146" s="279">
        <v>0</v>
      </c>
      <c r="AH146" s="279">
        <v>0</v>
      </c>
      <c r="AI146" s="279">
        <v>0</v>
      </c>
      <c r="AJ146" s="279">
        <v>0</v>
      </c>
      <c r="AK146" s="279">
        <v>0</v>
      </c>
      <c r="AL146" s="279">
        <v>0</v>
      </c>
      <c r="AM146" s="279">
        <v>0</v>
      </c>
      <c r="AN146" s="224" t="e">
        <f>SUM(#REF!)</f>
        <v>#REF!</v>
      </c>
      <c r="AO146" s="224">
        <f t="shared" si="17"/>
        <v>2500</v>
      </c>
      <c r="AP146" s="224" t="e">
        <f t="shared" si="23"/>
        <v>#REF!</v>
      </c>
      <c r="AQ146" s="224"/>
      <c r="AR146" s="224"/>
      <c r="AS146" s="224"/>
      <c r="AT146" s="224" t="str">
        <f>IFERROR(VLOOKUP($A146,'Constancias POA'!$A$2:$DH$9993,17,FALSE),"")</f>
        <v/>
      </c>
      <c r="AU146" s="224" t="str">
        <f t="shared" si="18"/>
        <v/>
      </c>
      <c r="AV146" s="224" t="str">
        <f>IFERROR(VLOOKUP($A146,CP!$A$1:$U$7992,18,FALSE),"")</f>
        <v/>
      </c>
      <c r="AW146" s="224" t="str">
        <f>IFERROR(VLOOKUP($A146,CP!$A$1:$U$7992,19,FALSE),"")</f>
        <v/>
      </c>
      <c r="AX146" s="224" t="str">
        <f>IFERROR(VLOOKUP($A146,CP!$A$1:$U$7992,20,FALSE),"")</f>
        <v/>
      </c>
      <c r="AY146" s="224" t="str">
        <f>IFERROR(VLOOKUP($A146,CP!$A$1:$U$1,21,FALSE),"")</f>
        <v/>
      </c>
      <c r="AZ146" s="224" t="str">
        <f>IFERROR(VLOOKUP(A146,Devengado!$A$1:AJ1,35,FALSE),"")</f>
        <v/>
      </c>
      <c r="BA146" s="224" t="str">
        <f t="shared" si="19"/>
        <v/>
      </c>
      <c r="BB146" s="224" t="str">
        <f>IFERROR(AZ146/#REF!,"")</f>
        <v/>
      </c>
      <c r="BC146" s="224" t="str">
        <f>IFERROR(VLOOKUP($A146,Devengado!$A$1:$AI$1,22,FALSE),"")</f>
        <v/>
      </c>
      <c r="BD146" s="224" t="str">
        <f>IFERROR(VLOOKUP($A146,Devengado!$A$1:$AI$1,23,FALSE),"")</f>
        <v/>
      </c>
      <c r="BE146" s="224" t="str">
        <f>IFERROR(VLOOKUP($A146,Devengado!$A$1:$AI$1,24,FALSE),"")</f>
        <v/>
      </c>
      <c r="BF146" s="224" t="str">
        <f>IFERROR(VLOOKUP($A146,Devengado!$A$1:$AI$1,25,FALSE),"")</f>
        <v/>
      </c>
      <c r="BG146" s="224" t="str">
        <f>IFERROR(VLOOKUP($A146,Devengado!$A$1:$AI$1,26,FALSE),"")</f>
        <v/>
      </c>
      <c r="BH146" s="224" t="str">
        <f>IFERROR(VLOOKUP($A146,Devengado!$A$1:$AI$1,27,FALSE),"")</f>
        <v/>
      </c>
      <c r="BI146" s="224" t="str">
        <f>IFERROR(VLOOKUP($A146,Devengado!$A$1:$AI$1,28,FALSE),"")</f>
        <v/>
      </c>
      <c r="BJ146" s="224" t="str">
        <f>IFERROR(VLOOKUP($A146,Devengado!$A$1:$AI$1,29,FALSE),"")</f>
        <v/>
      </c>
      <c r="BK146" s="224" t="str">
        <f>IFERROR(VLOOKUP($A146,Devengado!$A$1:$AI$1,30,FALSE),"")</f>
        <v/>
      </c>
      <c r="BL146" s="224" t="str">
        <f>IFERROR(VLOOKUP($A146,Devengado!$A$1:$AI$1,31,FALSE),"")</f>
        <v/>
      </c>
      <c r="BM146" s="224" t="str">
        <f>IFERROR(VLOOKUP($A146,Devengado!$A$1:$AI$1,32,FALSE),"")</f>
        <v/>
      </c>
      <c r="BN146" s="224" t="str">
        <f>IFERROR(VLOOKUP($A146,Devengado!$A$1:$AI$1,33,FALSE),"")</f>
        <v/>
      </c>
      <c r="BO146" s="224">
        <f t="shared" si="20"/>
        <v>0</v>
      </c>
      <c r="BP146" s="224" t="str">
        <f t="shared" si="21"/>
        <v/>
      </c>
      <c r="BQ146" s="207"/>
      <c r="BR146" s="207" t="str">
        <f t="shared" si="22"/>
        <v>53</v>
      </c>
    </row>
    <row r="147" spans="1:70" s="225" customFormat="1" ht="25.5" customHeight="1">
      <c r="A147" s="207">
        <v>143</v>
      </c>
      <c r="B147" s="112" t="s">
        <v>73</v>
      </c>
      <c r="C147" s="112" t="s">
        <v>187</v>
      </c>
      <c r="D147" s="112" t="s">
        <v>188</v>
      </c>
      <c r="E147" s="112" t="s">
        <v>76</v>
      </c>
      <c r="F147" s="112" t="s">
        <v>77</v>
      </c>
      <c r="G147" s="112" t="s">
        <v>77</v>
      </c>
      <c r="H147" s="112" t="s">
        <v>77</v>
      </c>
      <c r="I147" s="112" t="s">
        <v>77</v>
      </c>
      <c r="J147" s="112" t="s">
        <v>77</v>
      </c>
      <c r="K147" s="112" t="s">
        <v>77</v>
      </c>
      <c r="L147" s="112" t="s">
        <v>85</v>
      </c>
      <c r="M147" s="112" t="s">
        <v>195</v>
      </c>
      <c r="N147" s="112">
        <v>9999</v>
      </c>
      <c r="O147" s="114" t="s">
        <v>80</v>
      </c>
      <c r="P147" s="114" t="s">
        <v>81</v>
      </c>
      <c r="Q147" s="114" t="s">
        <v>82</v>
      </c>
      <c r="R147" s="115" t="str">
        <f t="shared" si="16"/>
        <v>53</v>
      </c>
      <c r="S147" s="122">
        <v>530802</v>
      </c>
      <c r="T147" s="122" t="e">
        <f>VLOOKUP(S147,ITEM!$C$1:$D$156,2,FALSE)</f>
        <v>#N/A</v>
      </c>
      <c r="U147" s="112">
        <v>1701</v>
      </c>
      <c r="V147" s="112" t="s">
        <v>82</v>
      </c>
      <c r="W147" s="112" t="s">
        <v>84</v>
      </c>
      <c r="X147" s="112" t="s">
        <v>84</v>
      </c>
      <c r="Y147" s="224" t="e">
        <f>'Matriz POA 2024-TRABAJO'!#REF!</f>
        <v>#REF!</v>
      </c>
      <c r="Z147" s="224" t="e">
        <f>'Matriz POA 2024-TRABAJO'!#REF!</f>
        <v>#REF!</v>
      </c>
      <c r="AA147" s="224" t="e">
        <f>'Matriz POA 2024-TRABAJO'!#REF!</f>
        <v>#REF!</v>
      </c>
      <c r="AB147" s="279">
        <v>0</v>
      </c>
      <c r="AC147" s="279">
        <v>0</v>
      </c>
      <c r="AD147" s="279">
        <v>24300</v>
      </c>
      <c r="AE147" s="279">
        <v>0</v>
      </c>
      <c r="AF147" s="279">
        <v>0</v>
      </c>
      <c r="AG147" s="279">
        <v>0</v>
      </c>
      <c r="AH147" s="279">
        <v>0</v>
      </c>
      <c r="AI147" s="279">
        <v>0</v>
      </c>
      <c r="AJ147" s="279">
        <v>0</v>
      </c>
      <c r="AK147" s="279">
        <v>0</v>
      </c>
      <c r="AL147" s="279">
        <v>0</v>
      </c>
      <c r="AM147" s="279">
        <v>0</v>
      </c>
      <c r="AN147" s="224" t="e">
        <f>SUM(#REF!)</f>
        <v>#REF!</v>
      </c>
      <c r="AO147" s="224">
        <f t="shared" si="17"/>
        <v>24300</v>
      </c>
      <c r="AP147" s="224" t="e">
        <f t="shared" si="23"/>
        <v>#REF!</v>
      </c>
      <c r="AQ147" s="224"/>
      <c r="AR147" s="224"/>
      <c r="AS147" s="224"/>
      <c r="AT147" s="224" t="str">
        <f>IFERROR(VLOOKUP($A147,'Constancias POA'!$A$2:$DH$9993,17,FALSE),"")</f>
        <v/>
      </c>
      <c r="AU147" s="224" t="str">
        <f t="shared" si="18"/>
        <v/>
      </c>
      <c r="AV147" s="224" t="str">
        <f>IFERROR(VLOOKUP($A147,CP!$A$1:$U$7992,18,FALSE),"")</f>
        <v/>
      </c>
      <c r="AW147" s="224" t="str">
        <f>IFERROR(VLOOKUP($A147,CP!$A$1:$U$7992,19,FALSE),"")</f>
        <v/>
      </c>
      <c r="AX147" s="224" t="str">
        <f>IFERROR(VLOOKUP($A147,CP!$A$1:$U$7992,20,FALSE),"")</f>
        <v/>
      </c>
      <c r="AY147" s="224" t="str">
        <f>IFERROR(VLOOKUP($A147,CP!$A$1:$U$1,21,FALSE),"")</f>
        <v/>
      </c>
      <c r="AZ147" s="224" t="str">
        <f>IFERROR(VLOOKUP(A147,Devengado!$A$1:AJ1,35,FALSE),"")</f>
        <v/>
      </c>
      <c r="BA147" s="224" t="str">
        <f t="shared" si="19"/>
        <v/>
      </c>
      <c r="BB147" s="224" t="str">
        <f>IFERROR(AZ147/#REF!,"")</f>
        <v/>
      </c>
      <c r="BC147" s="224" t="str">
        <f>IFERROR(VLOOKUP($A147,Devengado!$A$1:$AI$1,22,FALSE),"")</f>
        <v/>
      </c>
      <c r="BD147" s="224" t="str">
        <f>IFERROR(VLOOKUP($A147,Devengado!$A$1:$AI$1,23,FALSE),"")</f>
        <v/>
      </c>
      <c r="BE147" s="224" t="str">
        <f>IFERROR(VLOOKUP($A147,Devengado!$A$1:$AI$1,24,FALSE),"")</f>
        <v/>
      </c>
      <c r="BF147" s="224" t="str">
        <f>IFERROR(VLOOKUP($A147,Devengado!$A$1:$AI$1,25,FALSE),"")</f>
        <v/>
      </c>
      <c r="BG147" s="224" t="str">
        <f>IFERROR(VLOOKUP($A147,Devengado!$A$1:$AI$1,26,FALSE),"")</f>
        <v/>
      </c>
      <c r="BH147" s="224" t="str">
        <f>IFERROR(VLOOKUP($A147,Devengado!$A$1:$AI$1,27,FALSE),"")</f>
        <v/>
      </c>
      <c r="BI147" s="224" t="str">
        <f>IFERROR(VLOOKUP($A147,Devengado!$A$1:$AI$1,28,FALSE),"")</f>
        <v/>
      </c>
      <c r="BJ147" s="224" t="str">
        <f>IFERROR(VLOOKUP($A147,Devengado!$A$1:$AI$1,29,FALSE),"")</f>
        <v/>
      </c>
      <c r="BK147" s="224" t="str">
        <f>IFERROR(VLOOKUP($A147,Devengado!$A$1:$AI$1,30,FALSE),"")</f>
        <v/>
      </c>
      <c r="BL147" s="224" t="str">
        <f>IFERROR(VLOOKUP($A147,Devengado!$A$1:$AI$1,31,FALSE),"")</f>
        <v/>
      </c>
      <c r="BM147" s="224" t="str">
        <f>IFERROR(VLOOKUP($A147,Devengado!$A$1:$AI$1,32,FALSE),"")</f>
        <v/>
      </c>
      <c r="BN147" s="224" t="str">
        <f>IFERROR(VLOOKUP($A147,Devengado!$A$1:$AI$1,33,FALSE),"")</f>
        <v/>
      </c>
      <c r="BO147" s="224">
        <f t="shared" si="20"/>
        <v>0</v>
      </c>
      <c r="BP147" s="224" t="str">
        <f t="shared" si="21"/>
        <v/>
      </c>
      <c r="BQ147" s="207"/>
      <c r="BR147" s="207" t="str">
        <f t="shared" si="22"/>
        <v>53</v>
      </c>
    </row>
    <row r="148" spans="1:70" s="225" customFormat="1" ht="25.5" customHeight="1">
      <c r="A148" s="207">
        <v>144</v>
      </c>
      <c r="B148" s="112" t="s">
        <v>73</v>
      </c>
      <c r="C148" s="112" t="s">
        <v>187</v>
      </c>
      <c r="D148" s="112" t="s">
        <v>188</v>
      </c>
      <c r="E148" s="112" t="s">
        <v>196</v>
      </c>
      <c r="F148" s="112" t="s">
        <v>77</v>
      </c>
      <c r="G148" s="112" t="s">
        <v>77</v>
      </c>
      <c r="H148" s="112" t="s">
        <v>77</v>
      </c>
      <c r="I148" s="112" t="s">
        <v>77</v>
      </c>
      <c r="J148" s="112" t="s">
        <v>77</v>
      </c>
      <c r="K148" s="112" t="s">
        <v>77</v>
      </c>
      <c r="L148" s="112" t="s">
        <v>87</v>
      </c>
      <c r="M148" s="112" t="s">
        <v>197</v>
      </c>
      <c r="N148" s="112">
        <v>9999</v>
      </c>
      <c r="O148" s="114" t="s">
        <v>80</v>
      </c>
      <c r="P148" s="114" t="s">
        <v>81</v>
      </c>
      <c r="Q148" s="114" t="s">
        <v>82</v>
      </c>
      <c r="R148" s="115" t="str">
        <f t="shared" si="16"/>
        <v>53</v>
      </c>
      <c r="S148" s="122">
        <v>530802</v>
      </c>
      <c r="T148" s="122" t="e">
        <f>VLOOKUP(S148,ITEM!$C$1:$D$156,2,FALSE)</f>
        <v>#N/A</v>
      </c>
      <c r="U148" s="112">
        <v>1701</v>
      </c>
      <c r="V148" s="112" t="s">
        <v>82</v>
      </c>
      <c r="W148" s="112" t="s">
        <v>84</v>
      </c>
      <c r="X148" s="112" t="s">
        <v>84</v>
      </c>
      <c r="Y148" s="272" t="e">
        <f>'Matriz POA 2024-TRABAJO'!#REF!</f>
        <v>#REF!</v>
      </c>
      <c r="Z148" s="272" t="e">
        <f>'Matriz POA 2024-TRABAJO'!#REF!</f>
        <v>#REF!</v>
      </c>
      <c r="AA148" s="272" t="e">
        <f>'Matriz POA 2024-TRABAJO'!#REF!</f>
        <v>#REF!</v>
      </c>
      <c r="AB148" s="273"/>
      <c r="AC148" s="279"/>
      <c r="AD148" s="279"/>
      <c r="AE148" s="279"/>
      <c r="AF148" s="279"/>
      <c r="AG148" s="279"/>
      <c r="AH148" s="279"/>
      <c r="AI148" s="279"/>
      <c r="AJ148" s="279"/>
      <c r="AK148" s="279"/>
      <c r="AL148" s="279"/>
      <c r="AM148" s="279"/>
      <c r="AN148" s="224" t="e">
        <f>SUM(#REF!)</f>
        <v>#REF!</v>
      </c>
      <c r="AO148" s="224">
        <f t="shared" si="17"/>
        <v>0</v>
      </c>
      <c r="AP148" s="224" t="e">
        <f t="shared" si="23"/>
        <v>#REF!</v>
      </c>
      <c r="AQ148" s="224"/>
      <c r="AR148" s="224"/>
      <c r="AS148" s="224"/>
      <c r="AT148" s="224" t="str">
        <f>IFERROR(VLOOKUP($A148,'Constancias POA'!$A$2:$DH$9993,17,FALSE),"")</f>
        <v/>
      </c>
      <c r="AU148" s="224" t="str">
        <f t="shared" si="18"/>
        <v/>
      </c>
      <c r="AV148" s="224" t="str">
        <f>IFERROR(VLOOKUP($A148,CP!$A$1:$U$7992,18,FALSE),"")</f>
        <v/>
      </c>
      <c r="AW148" s="224" t="str">
        <f>IFERROR(VLOOKUP($A148,CP!$A$1:$U$7992,19,FALSE),"")</f>
        <v/>
      </c>
      <c r="AX148" s="224" t="str">
        <f>IFERROR(VLOOKUP($A148,CP!$A$1:$U$7992,20,FALSE),"")</f>
        <v/>
      </c>
      <c r="AY148" s="224" t="str">
        <f>IFERROR(VLOOKUP($A148,CP!$A$1:$U$1,21,FALSE),"")</f>
        <v/>
      </c>
      <c r="AZ148" s="224" t="str">
        <f>IFERROR(VLOOKUP(A148,Devengado!$A$1:AJ1,35,FALSE),"")</f>
        <v/>
      </c>
      <c r="BA148" s="224" t="str">
        <f t="shared" si="19"/>
        <v/>
      </c>
      <c r="BB148" s="224" t="str">
        <f>IFERROR(AZ148/#REF!,"")</f>
        <v/>
      </c>
      <c r="BC148" s="224" t="str">
        <f>IFERROR(VLOOKUP($A148,Devengado!$A$1:$AI$1,22,FALSE),"")</f>
        <v/>
      </c>
      <c r="BD148" s="224" t="str">
        <f>IFERROR(VLOOKUP($A148,Devengado!$A$1:$AI$1,23,FALSE),"")</f>
        <v/>
      </c>
      <c r="BE148" s="224" t="str">
        <f>IFERROR(VLOOKUP($A148,Devengado!$A$1:$AI$1,24,FALSE),"")</f>
        <v/>
      </c>
      <c r="BF148" s="224" t="str">
        <f>IFERROR(VLOOKUP($A148,Devengado!$A$1:$AI$1,25,FALSE),"")</f>
        <v/>
      </c>
      <c r="BG148" s="224" t="str">
        <f>IFERROR(VLOOKUP($A148,Devengado!$A$1:$AI$1,26,FALSE),"")</f>
        <v/>
      </c>
      <c r="BH148" s="224" t="str">
        <f>IFERROR(VLOOKUP($A148,Devengado!$A$1:$AI$1,27,FALSE),"")</f>
        <v/>
      </c>
      <c r="BI148" s="224" t="str">
        <f>IFERROR(VLOOKUP($A148,Devengado!$A$1:$AI$1,28,FALSE),"")</f>
        <v/>
      </c>
      <c r="BJ148" s="224" t="str">
        <f>IFERROR(VLOOKUP($A148,Devengado!$A$1:$AI$1,29,FALSE),"")</f>
        <v/>
      </c>
      <c r="BK148" s="224" t="str">
        <f>IFERROR(VLOOKUP($A148,Devengado!$A$1:$AI$1,30,FALSE),"")</f>
        <v/>
      </c>
      <c r="BL148" s="224" t="str">
        <f>IFERROR(VLOOKUP($A148,Devengado!$A$1:$AI$1,31,FALSE),"")</f>
        <v/>
      </c>
      <c r="BM148" s="224" t="str">
        <f>IFERROR(VLOOKUP($A148,Devengado!$A$1:$AI$1,32,FALSE),"")</f>
        <v/>
      </c>
      <c r="BN148" s="224" t="str">
        <f>IFERROR(VLOOKUP($A148,Devengado!$A$1:$AI$1,33,FALSE),"")</f>
        <v/>
      </c>
      <c r="BO148" s="224">
        <f t="shared" si="20"/>
        <v>0</v>
      </c>
      <c r="BP148" s="224" t="str">
        <f t="shared" si="21"/>
        <v/>
      </c>
      <c r="BQ148" s="207"/>
      <c r="BR148" s="207" t="str">
        <f t="shared" si="22"/>
        <v>53</v>
      </c>
    </row>
    <row r="149" spans="1:70" s="225" customFormat="1" ht="25.5" customHeight="1">
      <c r="A149" s="207">
        <v>145</v>
      </c>
      <c r="B149" s="112" t="s">
        <v>73</v>
      </c>
      <c r="C149" s="112" t="s">
        <v>187</v>
      </c>
      <c r="D149" s="112" t="s">
        <v>188</v>
      </c>
      <c r="E149" s="112" t="s">
        <v>76</v>
      </c>
      <c r="F149" s="112" t="s">
        <v>77</v>
      </c>
      <c r="G149" s="112" t="s">
        <v>77</v>
      </c>
      <c r="H149" s="112" t="s">
        <v>77</v>
      </c>
      <c r="I149" s="112" t="s">
        <v>77</v>
      </c>
      <c r="J149" s="112" t="s">
        <v>77</v>
      </c>
      <c r="K149" s="112" t="s">
        <v>77</v>
      </c>
      <c r="L149" s="112" t="s">
        <v>85</v>
      </c>
      <c r="M149" s="112" t="s">
        <v>198</v>
      </c>
      <c r="N149" s="112">
        <v>9999</v>
      </c>
      <c r="O149" s="114" t="s">
        <v>80</v>
      </c>
      <c r="P149" s="114" t="s">
        <v>81</v>
      </c>
      <c r="Q149" s="114" t="s">
        <v>82</v>
      </c>
      <c r="R149" s="115" t="str">
        <f t="shared" si="16"/>
        <v>53</v>
      </c>
      <c r="S149" s="122">
        <v>530802</v>
      </c>
      <c r="T149" s="122" t="e">
        <f>VLOOKUP(S149,ITEM!$C$1:$D$156,2,FALSE)</f>
        <v>#N/A</v>
      </c>
      <c r="U149" s="112">
        <v>1701</v>
      </c>
      <c r="V149" s="112" t="s">
        <v>82</v>
      </c>
      <c r="W149" s="112" t="s">
        <v>84</v>
      </c>
      <c r="X149" s="112" t="s">
        <v>84</v>
      </c>
      <c r="Y149" s="224" t="e">
        <f>'Matriz POA 2024-TRABAJO'!#REF!</f>
        <v>#REF!</v>
      </c>
      <c r="Z149" s="224" t="e">
        <f>'Matriz POA 2024-TRABAJO'!#REF!</f>
        <v>#REF!</v>
      </c>
      <c r="AA149" s="224" t="e">
        <f>'Matriz POA 2024-TRABAJO'!#REF!</f>
        <v>#REF!</v>
      </c>
      <c r="AB149" s="279">
        <v>0</v>
      </c>
      <c r="AC149" s="279">
        <v>0</v>
      </c>
      <c r="AD149" s="279">
        <v>0</v>
      </c>
      <c r="AE149" s="279">
        <v>2500</v>
      </c>
      <c r="AF149" s="279">
        <v>0</v>
      </c>
      <c r="AG149" s="279">
        <v>0</v>
      </c>
      <c r="AH149" s="279">
        <v>0</v>
      </c>
      <c r="AI149" s="279">
        <v>0</v>
      </c>
      <c r="AJ149" s="279">
        <v>0</v>
      </c>
      <c r="AK149" s="279">
        <v>0</v>
      </c>
      <c r="AL149" s="279">
        <v>0</v>
      </c>
      <c r="AM149" s="279">
        <v>0</v>
      </c>
      <c r="AN149" s="224" t="e">
        <f>SUM(#REF!)</f>
        <v>#REF!</v>
      </c>
      <c r="AO149" s="224">
        <f t="shared" si="17"/>
        <v>2500</v>
      </c>
      <c r="AP149" s="224" t="e">
        <f t="shared" si="23"/>
        <v>#REF!</v>
      </c>
      <c r="AQ149" s="224"/>
      <c r="AR149" s="224"/>
      <c r="AS149" s="224"/>
      <c r="AT149" s="224" t="str">
        <f>IFERROR(VLOOKUP($A149,'Constancias POA'!$A$2:$DH$9993,17,FALSE),"")</f>
        <v/>
      </c>
      <c r="AU149" s="224" t="str">
        <f t="shared" si="18"/>
        <v/>
      </c>
      <c r="AV149" s="224" t="str">
        <f>IFERROR(VLOOKUP($A149,CP!$A$1:$U$7992,18,FALSE),"")</f>
        <v/>
      </c>
      <c r="AW149" s="224" t="str">
        <f>IFERROR(VLOOKUP($A149,CP!$A$1:$U$7992,19,FALSE),"")</f>
        <v/>
      </c>
      <c r="AX149" s="224" t="str">
        <f>IFERROR(VLOOKUP($A149,CP!$A$1:$U$7992,20,FALSE),"")</f>
        <v/>
      </c>
      <c r="AY149" s="224" t="str">
        <f>IFERROR(VLOOKUP($A149,CP!$A$1:$U$1,21,FALSE),"")</f>
        <v/>
      </c>
      <c r="AZ149" s="224" t="str">
        <f>IFERROR(VLOOKUP(A149,Devengado!$A$1:AJ1,35,FALSE),"")</f>
        <v/>
      </c>
      <c r="BA149" s="224" t="str">
        <f t="shared" si="19"/>
        <v/>
      </c>
      <c r="BB149" s="224" t="str">
        <f>IFERROR(AZ149/#REF!,"")</f>
        <v/>
      </c>
      <c r="BC149" s="224" t="str">
        <f>IFERROR(VLOOKUP($A149,Devengado!$A$1:$AI$1,22,FALSE),"")</f>
        <v/>
      </c>
      <c r="BD149" s="224" t="str">
        <f>IFERROR(VLOOKUP($A149,Devengado!$A$1:$AI$1,23,FALSE),"")</f>
        <v/>
      </c>
      <c r="BE149" s="224" t="str">
        <f>IFERROR(VLOOKUP($A149,Devengado!$A$1:$AI$1,24,FALSE),"")</f>
        <v/>
      </c>
      <c r="BF149" s="224" t="str">
        <f>IFERROR(VLOOKUP($A149,Devengado!$A$1:$AI$1,25,FALSE),"")</f>
        <v/>
      </c>
      <c r="BG149" s="224" t="str">
        <f>IFERROR(VLOOKUP($A149,Devengado!$A$1:$AI$1,26,FALSE),"")</f>
        <v/>
      </c>
      <c r="BH149" s="224" t="str">
        <f>IFERROR(VLOOKUP($A149,Devengado!$A$1:$AI$1,27,FALSE),"")</f>
        <v/>
      </c>
      <c r="BI149" s="224" t="str">
        <f>IFERROR(VLOOKUP($A149,Devengado!$A$1:$AI$1,28,FALSE),"")</f>
        <v/>
      </c>
      <c r="BJ149" s="224" t="str">
        <f>IFERROR(VLOOKUP($A149,Devengado!$A$1:$AI$1,29,FALSE),"")</f>
        <v/>
      </c>
      <c r="BK149" s="224" t="str">
        <f>IFERROR(VLOOKUP($A149,Devengado!$A$1:$AI$1,30,FALSE),"")</f>
        <v/>
      </c>
      <c r="BL149" s="224" t="str">
        <f>IFERROR(VLOOKUP($A149,Devengado!$A$1:$AI$1,31,FALSE),"")</f>
        <v/>
      </c>
      <c r="BM149" s="224" t="str">
        <f>IFERROR(VLOOKUP($A149,Devengado!$A$1:$AI$1,32,FALSE),"")</f>
        <v/>
      </c>
      <c r="BN149" s="224" t="str">
        <f>IFERROR(VLOOKUP($A149,Devengado!$A$1:$AI$1,33,FALSE),"")</f>
        <v/>
      </c>
      <c r="BO149" s="224">
        <f t="shared" si="20"/>
        <v>0</v>
      </c>
      <c r="BP149" s="224" t="str">
        <f t="shared" si="21"/>
        <v/>
      </c>
      <c r="BQ149" s="207"/>
      <c r="BR149" s="207" t="str">
        <f t="shared" si="22"/>
        <v>53</v>
      </c>
    </row>
    <row r="150" spans="1:70" s="225" customFormat="1" ht="25.5" customHeight="1">
      <c r="A150" s="207">
        <v>146</v>
      </c>
      <c r="B150" s="112" t="s">
        <v>73</v>
      </c>
      <c r="C150" s="112" t="s">
        <v>187</v>
      </c>
      <c r="D150" s="112" t="s">
        <v>188</v>
      </c>
      <c r="E150" s="112" t="s">
        <v>76</v>
      </c>
      <c r="F150" s="112" t="s">
        <v>77</v>
      </c>
      <c r="G150" s="112" t="s">
        <v>77</v>
      </c>
      <c r="H150" s="112" t="s">
        <v>77</v>
      </c>
      <c r="I150" s="112" t="s">
        <v>77</v>
      </c>
      <c r="J150" s="112" t="s">
        <v>77</v>
      </c>
      <c r="K150" s="112" t="s">
        <v>77</v>
      </c>
      <c r="L150" s="112" t="s">
        <v>85</v>
      </c>
      <c r="M150" s="112" t="s">
        <v>199</v>
      </c>
      <c r="N150" s="112">
        <v>9999</v>
      </c>
      <c r="O150" s="114" t="s">
        <v>80</v>
      </c>
      <c r="P150" s="114" t="s">
        <v>81</v>
      </c>
      <c r="Q150" s="114" t="s">
        <v>82</v>
      </c>
      <c r="R150" s="115" t="str">
        <f t="shared" si="16"/>
        <v>53</v>
      </c>
      <c r="S150" s="122">
        <v>530802</v>
      </c>
      <c r="T150" s="122" t="e">
        <f>VLOOKUP(S150,ITEM!$C$1:$D$156,2,FALSE)</f>
        <v>#N/A</v>
      </c>
      <c r="U150" s="112">
        <v>1701</v>
      </c>
      <c r="V150" s="112" t="s">
        <v>82</v>
      </c>
      <c r="W150" s="112" t="s">
        <v>84</v>
      </c>
      <c r="X150" s="112" t="s">
        <v>84</v>
      </c>
      <c r="Y150" s="224" t="e">
        <f>'Matriz POA 2024-TRABAJO'!#REF!</f>
        <v>#REF!</v>
      </c>
      <c r="Z150" s="224" t="e">
        <f>'Matriz POA 2024-TRABAJO'!#REF!</f>
        <v>#REF!</v>
      </c>
      <c r="AA150" s="224" t="e">
        <f>'Matriz POA 2024-TRABAJO'!#REF!</f>
        <v>#REF!</v>
      </c>
      <c r="AB150" s="279">
        <v>0</v>
      </c>
      <c r="AC150" s="279">
        <v>0</v>
      </c>
      <c r="AD150" s="279">
        <v>0</v>
      </c>
      <c r="AE150" s="279">
        <v>1500</v>
      </c>
      <c r="AF150" s="279">
        <v>0</v>
      </c>
      <c r="AG150" s="279">
        <v>0</v>
      </c>
      <c r="AH150" s="279">
        <v>0</v>
      </c>
      <c r="AI150" s="279">
        <v>0</v>
      </c>
      <c r="AJ150" s="279">
        <v>0</v>
      </c>
      <c r="AK150" s="279">
        <v>0</v>
      </c>
      <c r="AL150" s="279">
        <v>0</v>
      </c>
      <c r="AM150" s="279">
        <v>0</v>
      </c>
      <c r="AN150" s="224" t="e">
        <f>SUM(#REF!)</f>
        <v>#REF!</v>
      </c>
      <c r="AO150" s="224">
        <f t="shared" si="17"/>
        <v>1500</v>
      </c>
      <c r="AP150" s="224" t="e">
        <f t="shared" si="23"/>
        <v>#REF!</v>
      </c>
      <c r="AQ150" s="224"/>
      <c r="AR150" s="224"/>
      <c r="AS150" s="224"/>
      <c r="AT150" s="224" t="str">
        <f>IFERROR(VLOOKUP($A150,'Constancias POA'!$A$2:$DH$9993,17,FALSE),"")</f>
        <v/>
      </c>
      <c r="AU150" s="224" t="str">
        <f t="shared" si="18"/>
        <v/>
      </c>
      <c r="AV150" s="224" t="str">
        <f>IFERROR(VLOOKUP($A150,CP!$A$1:$U$7992,18,FALSE),"")</f>
        <v/>
      </c>
      <c r="AW150" s="224" t="str">
        <f>IFERROR(VLOOKUP($A150,CP!$A$1:$U$7992,19,FALSE),"")</f>
        <v/>
      </c>
      <c r="AX150" s="224" t="str">
        <f>IFERROR(VLOOKUP($A150,CP!$A$1:$U$7992,20,FALSE),"")</f>
        <v/>
      </c>
      <c r="AY150" s="224" t="str">
        <f>IFERROR(VLOOKUP($A150,CP!$A$1:$U$1,21,FALSE),"")</f>
        <v/>
      </c>
      <c r="AZ150" s="224" t="str">
        <f>IFERROR(VLOOKUP(A150,Devengado!$A$1:AJ1,35,FALSE),"")</f>
        <v/>
      </c>
      <c r="BA150" s="224" t="str">
        <f t="shared" si="19"/>
        <v/>
      </c>
      <c r="BB150" s="224" t="str">
        <f>IFERROR(AZ150/#REF!,"")</f>
        <v/>
      </c>
      <c r="BC150" s="224" t="str">
        <f>IFERROR(VLOOKUP($A150,Devengado!$A$1:$AI$1,22,FALSE),"")</f>
        <v/>
      </c>
      <c r="BD150" s="224" t="str">
        <f>IFERROR(VLOOKUP($A150,Devengado!$A$1:$AI$1,23,FALSE),"")</f>
        <v/>
      </c>
      <c r="BE150" s="224" t="str">
        <f>IFERROR(VLOOKUP($A150,Devengado!$A$1:$AI$1,24,FALSE),"")</f>
        <v/>
      </c>
      <c r="BF150" s="224" t="str">
        <f>IFERROR(VLOOKUP($A150,Devengado!$A$1:$AI$1,25,FALSE),"")</f>
        <v/>
      </c>
      <c r="BG150" s="224" t="str">
        <f>IFERROR(VLOOKUP($A150,Devengado!$A$1:$AI$1,26,FALSE),"")</f>
        <v/>
      </c>
      <c r="BH150" s="224" t="str">
        <f>IFERROR(VLOOKUP($A150,Devengado!$A$1:$AI$1,27,FALSE),"")</f>
        <v/>
      </c>
      <c r="BI150" s="224" t="str">
        <f>IFERROR(VLOOKUP($A150,Devengado!$A$1:$AI$1,28,FALSE),"")</f>
        <v/>
      </c>
      <c r="BJ150" s="224" t="str">
        <f>IFERROR(VLOOKUP($A150,Devengado!$A$1:$AI$1,29,FALSE),"")</f>
        <v/>
      </c>
      <c r="BK150" s="224" t="str">
        <f>IFERROR(VLOOKUP($A150,Devengado!$A$1:$AI$1,30,FALSE),"")</f>
        <v/>
      </c>
      <c r="BL150" s="224" t="str">
        <f>IFERROR(VLOOKUP($A150,Devengado!$A$1:$AI$1,31,FALSE),"")</f>
        <v/>
      </c>
      <c r="BM150" s="224" t="str">
        <f>IFERROR(VLOOKUP($A150,Devengado!$A$1:$AI$1,32,FALSE),"")</f>
        <v/>
      </c>
      <c r="BN150" s="224" t="str">
        <f>IFERROR(VLOOKUP($A150,Devengado!$A$1:$AI$1,33,FALSE),"")</f>
        <v/>
      </c>
      <c r="BO150" s="224">
        <f t="shared" si="20"/>
        <v>0</v>
      </c>
      <c r="BP150" s="224" t="str">
        <f t="shared" si="21"/>
        <v/>
      </c>
      <c r="BQ150" s="207"/>
      <c r="BR150" s="207" t="str">
        <f t="shared" si="22"/>
        <v>53</v>
      </c>
    </row>
    <row r="151" spans="1:70" s="225" customFormat="1" ht="25.5" customHeight="1">
      <c r="A151" s="207">
        <v>147</v>
      </c>
      <c r="B151" s="112" t="s">
        <v>73</v>
      </c>
      <c r="C151" s="112" t="s">
        <v>187</v>
      </c>
      <c r="D151" s="112" t="s">
        <v>188</v>
      </c>
      <c r="E151" s="112" t="s">
        <v>76</v>
      </c>
      <c r="F151" s="112" t="s">
        <v>77</v>
      </c>
      <c r="G151" s="112" t="s">
        <v>77</v>
      </c>
      <c r="H151" s="112" t="s">
        <v>77</v>
      </c>
      <c r="I151" s="112" t="s">
        <v>77</v>
      </c>
      <c r="J151" s="112" t="s">
        <v>77</v>
      </c>
      <c r="K151" s="112" t="s">
        <v>77</v>
      </c>
      <c r="L151" s="112" t="s">
        <v>85</v>
      </c>
      <c r="M151" s="112" t="s">
        <v>200</v>
      </c>
      <c r="N151" s="112">
        <v>9999</v>
      </c>
      <c r="O151" s="114" t="s">
        <v>80</v>
      </c>
      <c r="P151" s="114" t="s">
        <v>81</v>
      </c>
      <c r="Q151" s="114" t="s">
        <v>82</v>
      </c>
      <c r="R151" s="115" t="str">
        <f t="shared" si="16"/>
        <v>53</v>
      </c>
      <c r="S151" s="122">
        <v>530804</v>
      </c>
      <c r="T151" s="122" t="e">
        <f>VLOOKUP(S151,ITEM!$C$1:$D$156,2,FALSE)</f>
        <v>#N/A</v>
      </c>
      <c r="U151" s="112">
        <v>1701</v>
      </c>
      <c r="V151" s="112" t="s">
        <v>82</v>
      </c>
      <c r="W151" s="112" t="s">
        <v>84</v>
      </c>
      <c r="X151" s="112" t="s">
        <v>84</v>
      </c>
      <c r="Y151" s="224" t="e">
        <f>'Matriz POA 2024-TRABAJO'!#REF!</f>
        <v>#REF!</v>
      </c>
      <c r="Z151" s="224" t="e">
        <f>'Matriz POA 2024-TRABAJO'!#REF!</f>
        <v>#REF!</v>
      </c>
      <c r="AA151" s="224" t="e">
        <f>'Matriz POA 2024-TRABAJO'!#REF!</f>
        <v>#REF!</v>
      </c>
      <c r="AB151" s="279">
        <v>0</v>
      </c>
      <c r="AC151" s="279">
        <v>0</v>
      </c>
      <c r="AD151" s="279">
        <v>0</v>
      </c>
      <c r="AE151" s="279">
        <v>0</v>
      </c>
      <c r="AF151" s="279">
        <v>0</v>
      </c>
      <c r="AG151" s="279">
        <v>0</v>
      </c>
      <c r="AH151" s="279">
        <v>1000</v>
      </c>
      <c r="AI151" s="279">
        <v>0</v>
      </c>
      <c r="AJ151" s="279">
        <v>0</v>
      </c>
      <c r="AK151" s="279">
        <v>0</v>
      </c>
      <c r="AL151" s="279">
        <v>0</v>
      </c>
      <c r="AM151" s="279">
        <v>0</v>
      </c>
      <c r="AN151" s="224" t="e">
        <f>SUM(#REF!)</f>
        <v>#REF!</v>
      </c>
      <c r="AO151" s="224">
        <f t="shared" si="17"/>
        <v>1000</v>
      </c>
      <c r="AP151" s="224" t="e">
        <f t="shared" si="23"/>
        <v>#REF!</v>
      </c>
      <c r="AQ151" s="224"/>
      <c r="AR151" s="224"/>
      <c r="AS151" s="224"/>
      <c r="AT151" s="224" t="str">
        <f>IFERROR(VLOOKUP($A151,'Constancias POA'!$A$2:$DH$9993,17,FALSE),"")</f>
        <v/>
      </c>
      <c r="AU151" s="224" t="str">
        <f t="shared" si="18"/>
        <v/>
      </c>
      <c r="AV151" s="224" t="str">
        <f>IFERROR(VLOOKUP($A151,CP!$A$1:$U$7992,18,FALSE),"")</f>
        <v/>
      </c>
      <c r="AW151" s="224" t="str">
        <f>IFERROR(VLOOKUP($A151,CP!$A$1:$U$7992,19,FALSE),"")</f>
        <v/>
      </c>
      <c r="AX151" s="224" t="str">
        <f>IFERROR(VLOOKUP($A151,CP!$A$1:$U$7992,20,FALSE),"")</f>
        <v/>
      </c>
      <c r="AY151" s="224" t="str">
        <f>IFERROR(VLOOKUP($A151,CP!$A$1:$U$1,21,FALSE),"")</f>
        <v/>
      </c>
      <c r="AZ151" s="224" t="str">
        <f>IFERROR(VLOOKUP(A151,Devengado!$A$1:AJ1,35,FALSE),"")</f>
        <v/>
      </c>
      <c r="BA151" s="224" t="str">
        <f t="shared" si="19"/>
        <v/>
      </c>
      <c r="BB151" s="224" t="str">
        <f>IFERROR(AZ151/#REF!,"")</f>
        <v/>
      </c>
      <c r="BC151" s="224" t="str">
        <f>IFERROR(VLOOKUP($A151,Devengado!$A$1:$AI$1,22,FALSE),"")</f>
        <v/>
      </c>
      <c r="BD151" s="224" t="str">
        <f>IFERROR(VLOOKUP($A151,Devengado!$A$1:$AI$1,23,FALSE),"")</f>
        <v/>
      </c>
      <c r="BE151" s="224" t="str">
        <f>IFERROR(VLOOKUP($A151,Devengado!$A$1:$AI$1,24,FALSE),"")</f>
        <v/>
      </c>
      <c r="BF151" s="224" t="str">
        <f>IFERROR(VLOOKUP($A151,Devengado!$A$1:$AI$1,25,FALSE),"")</f>
        <v/>
      </c>
      <c r="BG151" s="224" t="str">
        <f>IFERROR(VLOOKUP($A151,Devengado!$A$1:$AI$1,26,FALSE),"")</f>
        <v/>
      </c>
      <c r="BH151" s="224" t="str">
        <f>IFERROR(VLOOKUP($A151,Devengado!$A$1:$AI$1,27,FALSE),"")</f>
        <v/>
      </c>
      <c r="BI151" s="224" t="str">
        <f>IFERROR(VLOOKUP($A151,Devengado!$A$1:$AI$1,28,FALSE),"")</f>
        <v/>
      </c>
      <c r="BJ151" s="224" t="str">
        <f>IFERROR(VLOOKUP($A151,Devengado!$A$1:$AI$1,29,FALSE),"")</f>
        <v/>
      </c>
      <c r="BK151" s="224" t="str">
        <f>IFERROR(VLOOKUP($A151,Devengado!$A$1:$AI$1,30,FALSE),"")</f>
        <v/>
      </c>
      <c r="BL151" s="224" t="str">
        <f>IFERROR(VLOOKUP($A151,Devengado!$A$1:$AI$1,31,FALSE),"")</f>
        <v/>
      </c>
      <c r="BM151" s="224" t="str">
        <f>IFERROR(VLOOKUP($A151,Devengado!$A$1:$AI$1,32,FALSE),"")</f>
        <v/>
      </c>
      <c r="BN151" s="224" t="str">
        <f>IFERROR(VLOOKUP($A151,Devengado!$A$1:$AI$1,33,FALSE),"")</f>
        <v/>
      </c>
      <c r="BO151" s="224">
        <f t="shared" si="20"/>
        <v>0</v>
      </c>
      <c r="BP151" s="224" t="str">
        <f t="shared" si="21"/>
        <v/>
      </c>
      <c r="BQ151" s="207"/>
      <c r="BR151" s="207" t="str">
        <f t="shared" si="22"/>
        <v>53</v>
      </c>
    </row>
    <row r="152" spans="1:70" s="225" customFormat="1" ht="25.5" customHeight="1">
      <c r="A152" s="207">
        <v>148</v>
      </c>
      <c r="B152" s="112" t="s">
        <v>73</v>
      </c>
      <c r="C152" s="112" t="s">
        <v>187</v>
      </c>
      <c r="D152" s="112" t="s">
        <v>188</v>
      </c>
      <c r="E152" s="112" t="s">
        <v>76</v>
      </c>
      <c r="F152" s="112" t="s">
        <v>77</v>
      </c>
      <c r="G152" s="112" t="s">
        <v>77</v>
      </c>
      <c r="H152" s="112" t="s">
        <v>77</v>
      </c>
      <c r="I152" s="112" t="s">
        <v>77</v>
      </c>
      <c r="J152" s="112" t="s">
        <v>77</v>
      </c>
      <c r="K152" s="112" t="s">
        <v>77</v>
      </c>
      <c r="L152" s="112" t="s">
        <v>85</v>
      </c>
      <c r="M152" s="112" t="s">
        <v>201</v>
      </c>
      <c r="N152" s="112">
        <v>9999</v>
      </c>
      <c r="O152" s="114" t="s">
        <v>80</v>
      </c>
      <c r="P152" s="114" t="s">
        <v>81</v>
      </c>
      <c r="Q152" s="114" t="s">
        <v>82</v>
      </c>
      <c r="R152" s="115" t="str">
        <f t="shared" si="16"/>
        <v>53</v>
      </c>
      <c r="S152" s="122">
        <v>530802</v>
      </c>
      <c r="T152" s="122" t="e">
        <f>VLOOKUP(S152,ITEM!$C$1:$D$156,2,FALSE)</f>
        <v>#N/A</v>
      </c>
      <c r="U152" s="112">
        <v>1701</v>
      </c>
      <c r="V152" s="112" t="s">
        <v>82</v>
      </c>
      <c r="W152" s="112" t="s">
        <v>84</v>
      </c>
      <c r="X152" s="112" t="s">
        <v>84</v>
      </c>
      <c r="Y152" s="224" t="e">
        <f>'Matriz POA 2024-TRABAJO'!#REF!</f>
        <v>#REF!</v>
      </c>
      <c r="Z152" s="224" t="e">
        <f>'Matriz POA 2024-TRABAJO'!#REF!</f>
        <v>#REF!</v>
      </c>
      <c r="AA152" s="224" t="e">
        <f>'Matriz POA 2024-TRABAJO'!#REF!</f>
        <v>#REF!</v>
      </c>
      <c r="AB152" s="279">
        <v>0</v>
      </c>
      <c r="AC152" s="279">
        <v>0</v>
      </c>
      <c r="AD152" s="279">
        <v>0</v>
      </c>
      <c r="AE152" s="279">
        <v>1000</v>
      </c>
      <c r="AF152" s="279">
        <v>0</v>
      </c>
      <c r="AG152" s="279">
        <v>0</v>
      </c>
      <c r="AH152" s="279">
        <v>0</v>
      </c>
      <c r="AI152" s="279">
        <v>0</v>
      </c>
      <c r="AJ152" s="279">
        <v>0</v>
      </c>
      <c r="AK152" s="279">
        <v>0</v>
      </c>
      <c r="AL152" s="279">
        <v>0</v>
      </c>
      <c r="AM152" s="279">
        <v>0</v>
      </c>
      <c r="AN152" s="224" t="e">
        <f>SUM(#REF!)</f>
        <v>#REF!</v>
      </c>
      <c r="AO152" s="224">
        <f t="shared" si="17"/>
        <v>1000</v>
      </c>
      <c r="AP152" s="224" t="e">
        <f t="shared" si="23"/>
        <v>#REF!</v>
      </c>
      <c r="AQ152" s="224"/>
      <c r="AR152" s="224"/>
      <c r="AS152" s="224"/>
      <c r="AT152" s="224" t="str">
        <f>IFERROR(VLOOKUP($A152,'Constancias POA'!$A$2:$DH$9993,17,FALSE),"")</f>
        <v/>
      </c>
      <c r="AU152" s="224" t="str">
        <f t="shared" si="18"/>
        <v/>
      </c>
      <c r="AV152" s="224" t="str">
        <f>IFERROR(VLOOKUP($A152,CP!$A$1:$U$7992,18,FALSE),"")</f>
        <v/>
      </c>
      <c r="AW152" s="224" t="str">
        <f>IFERROR(VLOOKUP($A152,CP!$A$1:$U$7992,19,FALSE),"")</f>
        <v/>
      </c>
      <c r="AX152" s="224" t="str">
        <f>IFERROR(VLOOKUP($A152,CP!$A$1:$U$7992,20,FALSE),"")</f>
        <v/>
      </c>
      <c r="AY152" s="224" t="str">
        <f>IFERROR(VLOOKUP($A152,CP!$A$1:$U$1,21,FALSE),"")</f>
        <v/>
      </c>
      <c r="AZ152" s="224" t="str">
        <f>IFERROR(VLOOKUP(A152,Devengado!$A$1:AJ1,35,FALSE),"")</f>
        <v/>
      </c>
      <c r="BA152" s="224" t="str">
        <f t="shared" si="19"/>
        <v/>
      </c>
      <c r="BB152" s="224" t="str">
        <f>IFERROR(AZ152/#REF!,"")</f>
        <v/>
      </c>
      <c r="BC152" s="224" t="str">
        <f>IFERROR(VLOOKUP($A152,Devengado!$A$1:$AI$1,22,FALSE),"")</f>
        <v/>
      </c>
      <c r="BD152" s="224" t="str">
        <f>IFERROR(VLOOKUP($A152,Devengado!$A$1:$AI$1,23,FALSE),"")</f>
        <v/>
      </c>
      <c r="BE152" s="224" t="str">
        <f>IFERROR(VLOOKUP($A152,Devengado!$A$1:$AI$1,24,FALSE),"")</f>
        <v/>
      </c>
      <c r="BF152" s="224" t="str">
        <f>IFERROR(VLOOKUP($A152,Devengado!$A$1:$AI$1,25,FALSE),"")</f>
        <v/>
      </c>
      <c r="BG152" s="224" t="str">
        <f>IFERROR(VLOOKUP($A152,Devengado!$A$1:$AI$1,26,FALSE),"")</f>
        <v/>
      </c>
      <c r="BH152" s="224" t="str">
        <f>IFERROR(VLOOKUP($A152,Devengado!$A$1:$AI$1,27,FALSE),"")</f>
        <v/>
      </c>
      <c r="BI152" s="224" t="str">
        <f>IFERROR(VLOOKUP($A152,Devengado!$A$1:$AI$1,28,FALSE),"")</f>
        <v/>
      </c>
      <c r="BJ152" s="224" t="str">
        <f>IFERROR(VLOOKUP($A152,Devengado!$A$1:$AI$1,29,FALSE),"")</f>
        <v/>
      </c>
      <c r="BK152" s="224" t="str">
        <f>IFERROR(VLOOKUP($A152,Devengado!$A$1:$AI$1,30,FALSE),"")</f>
        <v/>
      </c>
      <c r="BL152" s="224" t="str">
        <f>IFERROR(VLOOKUP($A152,Devengado!$A$1:$AI$1,31,FALSE),"")</f>
        <v/>
      </c>
      <c r="BM152" s="224" t="str">
        <f>IFERROR(VLOOKUP($A152,Devengado!$A$1:$AI$1,32,FALSE),"")</f>
        <v/>
      </c>
      <c r="BN152" s="224" t="str">
        <f>IFERROR(VLOOKUP($A152,Devengado!$A$1:$AI$1,33,FALSE),"")</f>
        <v/>
      </c>
      <c r="BO152" s="224">
        <f t="shared" si="20"/>
        <v>0</v>
      </c>
      <c r="BP152" s="224" t="str">
        <f t="shared" si="21"/>
        <v/>
      </c>
      <c r="BQ152" s="207"/>
      <c r="BR152" s="207" t="str">
        <f t="shared" si="22"/>
        <v>53</v>
      </c>
    </row>
    <row r="153" spans="1:70" s="225" customFormat="1" ht="25.5" customHeight="1">
      <c r="A153" s="207">
        <v>149</v>
      </c>
      <c r="B153" s="112" t="s">
        <v>73</v>
      </c>
      <c r="C153" s="112" t="s">
        <v>187</v>
      </c>
      <c r="D153" s="112" t="s">
        <v>188</v>
      </c>
      <c r="E153" s="112" t="s">
        <v>76</v>
      </c>
      <c r="F153" s="112" t="s">
        <v>77</v>
      </c>
      <c r="G153" s="112" t="s">
        <v>77</v>
      </c>
      <c r="H153" s="112" t="s">
        <v>77</v>
      </c>
      <c r="I153" s="112" t="s">
        <v>77</v>
      </c>
      <c r="J153" s="112" t="s">
        <v>77</v>
      </c>
      <c r="K153" s="112" t="s">
        <v>77</v>
      </c>
      <c r="L153" s="112" t="s">
        <v>85</v>
      </c>
      <c r="M153" s="112" t="s">
        <v>202</v>
      </c>
      <c r="N153" s="112">
        <v>9999</v>
      </c>
      <c r="O153" s="114" t="s">
        <v>80</v>
      </c>
      <c r="P153" s="114" t="s">
        <v>81</v>
      </c>
      <c r="Q153" s="114" t="s">
        <v>82</v>
      </c>
      <c r="R153" s="115" t="str">
        <f t="shared" si="16"/>
        <v>53</v>
      </c>
      <c r="S153" s="122">
        <v>530702</v>
      </c>
      <c r="T153" s="122" t="e">
        <f>VLOOKUP(S153,ITEM!$C$1:$D$156,2,FALSE)</f>
        <v>#N/A</v>
      </c>
      <c r="U153" s="112">
        <v>1701</v>
      </c>
      <c r="V153" s="112" t="s">
        <v>82</v>
      </c>
      <c r="W153" s="112" t="s">
        <v>84</v>
      </c>
      <c r="X153" s="112" t="s">
        <v>84</v>
      </c>
      <c r="Y153" s="224" t="e">
        <f>'Matriz POA 2024-TRABAJO'!#REF!</f>
        <v>#REF!</v>
      </c>
      <c r="Z153" s="224" t="e">
        <f>'Matriz POA 2024-TRABAJO'!#REF!</f>
        <v>#REF!</v>
      </c>
      <c r="AA153" s="224" t="e">
        <f>'Matriz POA 2024-TRABAJO'!#REF!</f>
        <v>#REF!</v>
      </c>
      <c r="AB153" s="279">
        <v>0</v>
      </c>
      <c r="AC153" s="279">
        <v>0</v>
      </c>
      <c r="AD153" s="279">
        <v>0</v>
      </c>
      <c r="AE153" s="279">
        <v>0</v>
      </c>
      <c r="AF153" s="279">
        <v>3640</v>
      </c>
      <c r="AG153" s="279">
        <v>0</v>
      </c>
      <c r="AH153" s="279">
        <v>0</v>
      </c>
      <c r="AI153" s="279">
        <v>0</v>
      </c>
      <c r="AJ153" s="279">
        <v>0</v>
      </c>
      <c r="AK153" s="279">
        <v>0</v>
      </c>
      <c r="AL153" s="279">
        <v>0</v>
      </c>
      <c r="AM153" s="279">
        <v>0</v>
      </c>
      <c r="AN153" s="224" t="e">
        <f>SUM(#REF!)</f>
        <v>#REF!</v>
      </c>
      <c r="AO153" s="224">
        <f t="shared" si="17"/>
        <v>3640</v>
      </c>
      <c r="AP153" s="224" t="e">
        <f t="shared" si="23"/>
        <v>#REF!</v>
      </c>
      <c r="AQ153" s="224"/>
      <c r="AR153" s="224"/>
      <c r="AS153" s="224"/>
      <c r="AT153" s="224" t="str">
        <f>IFERROR(VLOOKUP($A153,'Constancias POA'!$A$2:$DH$9993,17,FALSE),"")</f>
        <v/>
      </c>
      <c r="AU153" s="224" t="str">
        <f t="shared" si="18"/>
        <v/>
      </c>
      <c r="AV153" s="224" t="str">
        <f>IFERROR(VLOOKUP($A153,CP!$A$1:$U$7992,18,FALSE),"")</f>
        <v/>
      </c>
      <c r="AW153" s="224" t="str">
        <f>IFERROR(VLOOKUP($A153,CP!$A$1:$U$7992,19,FALSE),"")</f>
        <v/>
      </c>
      <c r="AX153" s="224" t="str">
        <f>IFERROR(VLOOKUP($A153,CP!$A$1:$U$7992,20,FALSE),"")</f>
        <v/>
      </c>
      <c r="AY153" s="224" t="str">
        <f>IFERROR(VLOOKUP($A153,CP!$A$1:$U$1,21,FALSE),"")</f>
        <v/>
      </c>
      <c r="AZ153" s="224" t="str">
        <f>IFERROR(VLOOKUP(A153,Devengado!$A$1:AJ1,35,FALSE),"")</f>
        <v/>
      </c>
      <c r="BA153" s="224" t="str">
        <f t="shared" si="19"/>
        <v/>
      </c>
      <c r="BB153" s="224" t="str">
        <f>IFERROR(AZ153/#REF!,"")</f>
        <v/>
      </c>
      <c r="BC153" s="224" t="str">
        <f>IFERROR(VLOOKUP($A153,Devengado!$A$1:$AI$1,22,FALSE),"")</f>
        <v/>
      </c>
      <c r="BD153" s="224" t="str">
        <f>IFERROR(VLOOKUP($A153,Devengado!$A$1:$AI$1,23,FALSE),"")</f>
        <v/>
      </c>
      <c r="BE153" s="224" t="str">
        <f>IFERROR(VLOOKUP($A153,Devengado!$A$1:$AI$1,24,FALSE),"")</f>
        <v/>
      </c>
      <c r="BF153" s="224" t="str">
        <f>IFERROR(VLOOKUP($A153,Devengado!$A$1:$AI$1,25,FALSE),"")</f>
        <v/>
      </c>
      <c r="BG153" s="224" t="str">
        <f>IFERROR(VLOOKUP($A153,Devengado!$A$1:$AI$1,26,FALSE),"")</f>
        <v/>
      </c>
      <c r="BH153" s="224" t="str">
        <f>IFERROR(VLOOKUP($A153,Devengado!$A$1:$AI$1,27,FALSE),"")</f>
        <v/>
      </c>
      <c r="BI153" s="224" t="str">
        <f>IFERROR(VLOOKUP($A153,Devengado!$A$1:$AI$1,28,FALSE),"")</f>
        <v/>
      </c>
      <c r="BJ153" s="224" t="str">
        <f>IFERROR(VLOOKUP($A153,Devengado!$A$1:$AI$1,29,FALSE),"")</f>
        <v/>
      </c>
      <c r="BK153" s="224" t="str">
        <f>IFERROR(VLOOKUP($A153,Devengado!$A$1:$AI$1,30,FALSE),"")</f>
        <v/>
      </c>
      <c r="BL153" s="224" t="str">
        <f>IFERROR(VLOOKUP($A153,Devengado!$A$1:$AI$1,31,FALSE),"")</f>
        <v/>
      </c>
      <c r="BM153" s="224" t="str">
        <f>IFERROR(VLOOKUP($A153,Devengado!$A$1:$AI$1,32,FALSE),"")</f>
        <v/>
      </c>
      <c r="BN153" s="224" t="str">
        <f>IFERROR(VLOOKUP($A153,Devengado!$A$1:$AI$1,33,FALSE),"")</f>
        <v/>
      </c>
      <c r="BO153" s="224">
        <f t="shared" si="20"/>
        <v>0</v>
      </c>
      <c r="BP153" s="224" t="str">
        <f t="shared" si="21"/>
        <v/>
      </c>
      <c r="BQ153" s="207"/>
      <c r="BR153" s="207" t="str">
        <f t="shared" si="22"/>
        <v>53</v>
      </c>
    </row>
    <row r="154" spans="1:70" s="225" customFormat="1" ht="25.5" customHeight="1">
      <c r="A154" s="207">
        <v>150</v>
      </c>
      <c r="B154" s="112" t="s">
        <v>73</v>
      </c>
      <c r="C154" s="112" t="s">
        <v>187</v>
      </c>
      <c r="D154" s="112" t="s">
        <v>188</v>
      </c>
      <c r="E154" s="112" t="s">
        <v>76</v>
      </c>
      <c r="F154" s="112" t="s">
        <v>77</v>
      </c>
      <c r="G154" s="112" t="s">
        <v>77</v>
      </c>
      <c r="H154" s="112" t="s">
        <v>77</v>
      </c>
      <c r="I154" s="112" t="s">
        <v>77</v>
      </c>
      <c r="J154" s="112" t="s">
        <v>77</v>
      </c>
      <c r="K154" s="112" t="s">
        <v>77</v>
      </c>
      <c r="L154" s="112" t="s">
        <v>85</v>
      </c>
      <c r="M154" s="112" t="s">
        <v>203</v>
      </c>
      <c r="N154" s="112">
        <v>9999</v>
      </c>
      <c r="O154" s="114" t="s">
        <v>80</v>
      </c>
      <c r="P154" s="114" t="s">
        <v>81</v>
      </c>
      <c r="Q154" s="114" t="s">
        <v>82</v>
      </c>
      <c r="R154" s="115" t="str">
        <f t="shared" si="16"/>
        <v>58</v>
      </c>
      <c r="S154" s="122">
        <v>580211</v>
      </c>
      <c r="T154" s="122" t="e">
        <f>VLOOKUP(S154,ITEM!$C$1:$D$156,2,FALSE)</f>
        <v>#N/A</v>
      </c>
      <c r="U154" s="112">
        <v>1701</v>
      </c>
      <c r="V154" s="112" t="s">
        <v>82</v>
      </c>
      <c r="W154" s="112" t="s">
        <v>84</v>
      </c>
      <c r="X154" s="112" t="s">
        <v>84</v>
      </c>
      <c r="Y154" s="224" t="e">
        <f>'Matriz POA 2024-TRABAJO'!#REF!</f>
        <v>#REF!</v>
      </c>
      <c r="Z154" s="224" t="e">
        <f>'Matriz POA 2024-TRABAJO'!#REF!</f>
        <v>#REF!</v>
      </c>
      <c r="AA154" s="224" t="e">
        <f>'Matriz POA 2024-TRABAJO'!#REF!</f>
        <v>#REF!</v>
      </c>
      <c r="AB154" s="279">
        <v>123930</v>
      </c>
      <c r="AC154" s="279">
        <v>123930</v>
      </c>
      <c r="AD154" s="279">
        <v>123930</v>
      </c>
      <c r="AE154" s="279">
        <v>123930</v>
      </c>
      <c r="AF154" s="279">
        <v>123930</v>
      </c>
      <c r="AG154" s="279">
        <v>123930</v>
      </c>
      <c r="AH154" s="279">
        <v>123930</v>
      </c>
      <c r="AI154" s="279">
        <v>129720</v>
      </c>
      <c r="AJ154" s="279">
        <v>129720</v>
      </c>
      <c r="AK154" s="279">
        <v>129720</v>
      </c>
      <c r="AL154" s="279">
        <v>129720</v>
      </c>
      <c r="AM154" s="279">
        <v>129720</v>
      </c>
      <c r="AN154" s="224" t="e">
        <f>SUM(#REF!)</f>
        <v>#REF!</v>
      </c>
      <c r="AO154" s="224">
        <f t="shared" si="17"/>
        <v>1516110</v>
      </c>
      <c r="AP154" s="224" t="e">
        <f t="shared" si="23"/>
        <v>#REF!</v>
      </c>
      <c r="AQ154" s="224"/>
      <c r="AR154" s="224"/>
      <c r="AS154" s="224"/>
      <c r="AT154" s="224" t="str">
        <f>IFERROR(VLOOKUP($A154,'Constancias POA'!$A$2:$DH$9993,17,FALSE),"")</f>
        <v/>
      </c>
      <c r="AU154" s="224" t="str">
        <f t="shared" si="18"/>
        <v/>
      </c>
      <c r="AV154" s="224" t="str">
        <f>IFERROR(VLOOKUP($A154,CP!$A$1:$U$7992,18,FALSE),"")</f>
        <v/>
      </c>
      <c r="AW154" s="224" t="str">
        <f>IFERROR(VLOOKUP($A154,CP!$A$1:$U$7992,19,FALSE),"")</f>
        <v/>
      </c>
      <c r="AX154" s="224" t="str">
        <f>IFERROR(VLOOKUP($A154,CP!$A$1:$U$7992,20,FALSE),"")</f>
        <v/>
      </c>
      <c r="AY154" s="224" t="str">
        <f>IFERROR(VLOOKUP($A154,CP!$A$1:$U$1,21,FALSE),"")</f>
        <v/>
      </c>
      <c r="AZ154" s="224" t="str">
        <f>IFERROR(VLOOKUP(A154,Devengado!$A$1:AJ1,35,FALSE),"")</f>
        <v/>
      </c>
      <c r="BA154" s="224" t="str">
        <f t="shared" si="19"/>
        <v/>
      </c>
      <c r="BB154" s="224" t="str">
        <f>IFERROR(AZ154/#REF!,"")</f>
        <v/>
      </c>
      <c r="BC154" s="224" t="str">
        <f>IFERROR(VLOOKUP($A154,Devengado!$A$1:$AI$1,22,FALSE),"")</f>
        <v/>
      </c>
      <c r="BD154" s="224" t="str">
        <f>IFERROR(VLOOKUP($A154,Devengado!$A$1:$AI$1,23,FALSE),"")</f>
        <v/>
      </c>
      <c r="BE154" s="224" t="str">
        <f>IFERROR(VLOOKUP($A154,Devengado!$A$1:$AI$1,24,FALSE),"")</f>
        <v/>
      </c>
      <c r="BF154" s="224" t="str">
        <f>IFERROR(VLOOKUP($A154,Devengado!$A$1:$AI$1,25,FALSE),"")</f>
        <v/>
      </c>
      <c r="BG154" s="224" t="str">
        <f>IFERROR(VLOOKUP($A154,Devengado!$A$1:$AI$1,26,FALSE),"")</f>
        <v/>
      </c>
      <c r="BH154" s="224" t="str">
        <f>IFERROR(VLOOKUP($A154,Devengado!$A$1:$AI$1,27,FALSE),"")</f>
        <v/>
      </c>
      <c r="BI154" s="224" t="str">
        <f>IFERROR(VLOOKUP($A154,Devengado!$A$1:$AI$1,28,FALSE),"")</f>
        <v/>
      </c>
      <c r="BJ154" s="224" t="str">
        <f>IFERROR(VLOOKUP($A154,Devengado!$A$1:$AI$1,29,FALSE),"")</f>
        <v/>
      </c>
      <c r="BK154" s="224" t="str">
        <f>IFERROR(VLOOKUP($A154,Devengado!$A$1:$AI$1,30,FALSE),"")</f>
        <v/>
      </c>
      <c r="BL154" s="224" t="str">
        <f>IFERROR(VLOOKUP($A154,Devengado!$A$1:$AI$1,31,FALSE),"")</f>
        <v/>
      </c>
      <c r="BM154" s="224" t="str">
        <f>IFERROR(VLOOKUP($A154,Devengado!$A$1:$AI$1,32,FALSE),"")</f>
        <v/>
      </c>
      <c r="BN154" s="224" t="str">
        <f>IFERROR(VLOOKUP($A154,Devengado!$A$1:$AI$1,33,FALSE),"")</f>
        <v/>
      </c>
      <c r="BO154" s="224">
        <f t="shared" si="20"/>
        <v>0</v>
      </c>
      <c r="BP154" s="224" t="str">
        <f t="shared" si="21"/>
        <v/>
      </c>
      <c r="BQ154" s="207"/>
      <c r="BR154" s="207" t="str">
        <f t="shared" si="22"/>
        <v>58</v>
      </c>
    </row>
    <row r="155" spans="1:70" s="225" customFormat="1" ht="25.5" customHeight="1">
      <c r="A155" s="207">
        <v>151</v>
      </c>
      <c r="B155" s="112" t="s">
        <v>73</v>
      </c>
      <c r="C155" s="112" t="s">
        <v>187</v>
      </c>
      <c r="D155" s="117" t="s">
        <v>204</v>
      </c>
      <c r="E155" s="117" t="s">
        <v>76</v>
      </c>
      <c r="F155" s="112" t="s">
        <v>77</v>
      </c>
      <c r="G155" s="112" t="s">
        <v>77</v>
      </c>
      <c r="H155" s="112" t="s">
        <v>77</v>
      </c>
      <c r="I155" s="112" t="s">
        <v>77</v>
      </c>
      <c r="J155" s="112" t="s">
        <v>77</v>
      </c>
      <c r="K155" s="112" t="s">
        <v>77</v>
      </c>
      <c r="L155" s="112" t="s">
        <v>85</v>
      </c>
      <c r="M155" s="113" t="s">
        <v>205</v>
      </c>
      <c r="N155" s="113">
        <v>9999</v>
      </c>
      <c r="O155" s="118" t="s">
        <v>80</v>
      </c>
      <c r="P155" s="118" t="s">
        <v>81</v>
      </c>
      <c r="Q155" s="118" t="s">
        <v>82</v>
      </c>
      <c r="R155" s="115" t="str">
        <f t="shared" si="16"/>
        <v>58</v>
      </c>
      <c r="S155" s="112">
        <v>580204</v>
      </c>
      <c r="T155" s="122" t="e">
        <f>VLOOKUP(S155,ITEM!$C$1:$D$156,2,FALSE)</f>
        <v>#N/A</v>
      </c>
      <c r="U155" s="112">
        <v>1701</v>
      </c>
      <c r="V155" s="114" t="s">
        <v>82</v>
      </c>
      <c r="W155" s="114" t="s">
        <v>84</v>
      </c>
      <c r="X155" s="114" t="s">
        <v>84</v>
      </c>
      <c r="Y155" s="224" t="e">
        <f>'Matriz POA 2024-TRABAJO'!#REF!</f>
        <v>#REF!</v>
      </c>
      <c r="Z155" s="224" t="e">
        <f>'Matriz POA 2024-TRABAJO'!#REF!</f>
        <v>#REF!</v>
      </c>
      <c r="AA155" s="224" t="e">
        <f>'Matriz POA 2024-TRABAJO'!#REF!</f>
        <v>#REF!</v>
      </c>
      <c r="AB155" s="326">
        <v>19300</v>
      </c>
      <c r="AC155" s="326">
        <v>19300</v>
      </c>
      <c r="AD155" s="326">
        <v>19300</v>
      </c>
      <c r="AE155" s="326">
        <v>19300</v>
      </c>
      <c r="AF155" s="326">
        <v>19300</v>
      </c>
      <c r="AG155" s="326">
        <v>19300</v>
      </c>
      <c r="AH155" s="326">
        <v>19300</v>
      </c>
      <c r="AI155" s="326">
        <v>19300</v>
      </c>
      <c r="AJ155" s="326">
        <v>19300</v>
      </c>
      <c r="AK155" s="326">
        <v>19300</v>
      </c>
      <c r="AL155" s="326">
        <v>19300</v>
      </c>
      <c r="AM155" s="326">
        <v>23160</v>
      </c>
      <c r="AN155" s="224" t="e">
        <f>SUM(#REF!)</f>
        <v>#REF!</v>
      </c>
      <c r="AO155" s="224">
        <f t="shared" si="17"/>
        <v>235460</v>
      </c>
      <c r="AP155" s="224" t="e">
        <f t="shared" si="23"/>
        <v>#REF!</v>
      </c>
      <c r="AQ155" s="224"/>
      <c r="AR155" s="224"/>
      <c r="AS155" s="224"/>
      <c r="AT155" s="224" t="str">
        <f>IFERROR(VLOOKUP($A155,'Constancias POA'!$A$2:$DH$9993,17,FALSE),"")</f>
        <v/>
      </c>
      <c r="AU155" s="224" t="str">
        <f t="shared" si="18"/>
        <v/>
      </c>
      <c r="AV155" s="224" t="str">
        <f>IFERROR(VLOOKUP($A155,CP!$A$1:$U$7992,18,FALSE),"")</f>
        <v/>
      </c>
      <c r="AW155" s="224" t="str">
        <f>IFERROR(VLOOKUP($A155,CP!$A$1:$U$7992,19,FALSE),"")</f>
        <v/>
      </c>
      <c r="AX155" s="224" t="str">
        <f>IFERROR(VLOOKUP($A155,CP!$A$1:$U$7992,20,FALSE),"")</f>
        <v/>
      </c>
      <c r="AY155" s="224" t="str">
        <f>IFERROR(VLOOKUP($A155,CP!$A$1:$U$1,21,FALSE),"")</f>
        <v/>
      </c>
      <c r="AZ155" s="224" t="str">
        <f>IFERROR(VLOOKUP(A155,Devengado!$A$1:AJ1,35,FALSE),"")</f>
        <v/>
      </c>
      <c r="BA155" s="224" t="str">
        <f t="shared" si="19"/>
        <v/>
      </c>
      <c r="BB155" s="224" t="str">
        <f>IFERROR(AZ155/#REF!,"")</f>
        <v/>
      </c>
      <c r="BC155" s="224" t="str">
        <f>IFERROR(VLOOKUP($A155,Devengado!$A$1:$AI$1,22,FALSE),"")</f>
        <v/>
      </c>
      <c r="BD155" s="224" t="str">
        <f>IFERROR(VLOOKUP($A155,Devengado!$A$1:$AI$1,23,FALSE),"")</f>
        <v/>
      </c>
      <c r="BE155" s="224" t="str">
        <f>IFERROR(VLOOKUP($A155,Devengado!$A$1:$AI$1,24,FALSE),"")</f>
        <v/>
      </c>
      <c r="BF155" s="224" t="str">
        <f>IFERROR(VLOOKUP($A155,Devengado!$A$1:$AI$1,25,FALSE),"")</f>
        <v/>
      </c>
      <c r="BG155" s="224" t="str">
        <f>IFERROR(VLOOKUP($A155,Devengado!$A$1:$AI$1,26,FALSE),"")</f>
        <v/>
      </c>
      <c r="BH155" s="224" t="str">
        <f>IFERROR(VLOOKUP($A155,Devengado!$A$1:$AI$1,27,FALSE),"")</f>
        <v/>
      </c>
      <c r="BI155" s="224" t="str">
        <f>IFERROR(VLOOKUP($A155,Devengado!$A$1:$AI$1,28,FALSE),"")</f>
        <v/>
      </c>
      <c r="BJ155" s="224" t="str">
        <f>IFERROR(VLOOKUP($A155,Devengado!$A$1:$AI$1,29,FALSE),"")</f>
        <v/>
      </c>
      <c r="BK155" s="224" t="str">
        <f>IFERROR(VLOOKUP($A155,Devengado!$A$1:$AI$1,30,FALSE),"")</f>
        <v/>
      </c>
      <c r="BL155" s="224" t="str">
        <f>IFERROR(VLOOKUP($A155,Devengado!$A$1:$AI$1,31,FALSE),"")</f>
        <v/>
      </c>
      <c r="BM155" s="224" t="str">
        <f>IFERROR(VLOOKUP($A155,Devengado!$A$1:$AI$1,32,FALSE),"")</f>
        <v/>
      </c>
      <c r="BN155" s="224" t="str">
        <f>IFERROR(VLOOKUP($A155,Devengado!$A$1:$AI$1,33,FALSE),"")</f>
        <v/>
      </c>
      <c r="BO155" s="224">
        <f t="shared" si="20"/>
        <v>0</v>
      </c>
      <c r="BP155" s="224" t="str">
        <f t="shared" si="21"/>
        <v/>
      </c>
      <c r="BQ155" s="207"/>
      <c r="BR155" s="207" t="str">
        <f t="shared" si="22"/>
        <v>58</v>
      </c>
    </row>
    <row r="156" spans="1:70" ht="25.5" customHeight="1">
      <c r="A156" s="207">
        <v>152</v>
      </c>
      <c r="B156" s="207" t="s">
        <v>206</v>
      </c>
      <c r="C156" s="207" t="s">
        <v>77</v>
      </c>
      <c r="D156" s="207" t="s">
        <v>77</v>
      </c>
      <c r="E156" s="207" t="s">
        <v>76</v>
      </c>
      <c r="F156" s="207" t="s">
        <v>77</v>
      </c>
      <c r="G156" s="207" t="s">
        <v>77</v>
      </c>
      <c r="H156" s="207" t="s">
        <v>77</v>
      </c>
      <c r="I156" s="207" t="s">
        <v>77</v>
      </c>
      <c r="J156" s="207" t="s">
        <v>77</v>
      </c>
      <c r="K156" s="207" t="s">
        <v>77</v>
      </c>
      <c r="L156" s="207" t="s">
        <v>85</v>
      </c>
      <c r="M156" s="207" t="s">
        <v>207</v>
      </c>
      <c r="N156" s="208" t="s">
        <v>208</v>
      </c>
      <c r="O156" s="209">
        <v>80</v>
      </c>
      <c r="P156" s="208" t="s">
        <v>81</v>
      </c>
      <c r="Q156" s="208" t="s">
        <v>112</v>
      </c>
      <c r="R156" s="115" t="str">
        <f t="shared" si="16"/>
        <v>51</v>
      </c>
      <c r="S156" s="207">
        <v>510105</v>
      </c>
      <c r="T156" s="210" t="str">
        <f>VLOOKUP(S156,ITEM!$C$1:$D$156,2,FALSE)</f>
        <v>Remuneraciones Unificadas</v>
      </c>
      <c r="U156" s="208">
        <v>1700</v>
      </c>
      <c r="V156" s="208" t="s">
        <v>82</v>
      </c>
      <c r="W156" s="208" t="s">
        <v>84</v>
      </c>
      <c r="X156" s="208" t="s">
        <v>84</v>
      </c>
      <c r="Y156" s="272" t="e">
        <f>'Matriz POA 2024-TRABAJO'!#REF!</f>
        <v>#REF!</v>
      </c>
      <c r="Z156" s="272" t="e">
        <f>'Matriz POA 2024-TRABAJO'!#REF!</f>
        <v>#REF!</v>
      </c>
      <c r="AA156" s="272" t="e">
        <f>'Matriz POA 2024-TRABAJO'!#REF!</f>
        <v>#REF!</v>
      </c>
      <c r="AB156" s="272">
        <v>4738</v>
      </c>
      <c r="AC156" s="272">
        <v>4738</v>
      </c>
      <c r="AD156" s="272">
        <v>4738</v>
      </c>
      <c r="AE156" s="272">
        <v>4738</v>
      </c>
      <c r="AF156" s="272">
        <v>4738</v>
      </c>
      <c r="AG156" s="272">
        <v>4738</v>
      </c>
      <c r="AH156" s="272">
        <v>4738</v>
      </c>
      <c r="AI156" s="272">
        <v>4738</v>
      </c>
      <c r="AJ156" s="272">
        <v>4738</v>
      </c>
      <c r="AK156" s="272">
        <v>4738</v>
      </c>
      <c r="AL156" s="272">
        <v>4738</v>
      </c>
      <c r="AM156" s="272">
        <v>4783</v>
      </c>
      <c r="AN156" s="272" t="e">
        <f>SUM(#REF!)</f>
        <v>#REF!</v>
      </c>
      <c r="AO156" s="224">
        <f t="shared" si="17"/>
        <v>56901</v>
      </c>
      <c r="AP156" s="224" t="e">
        <f t="shared" si="23"/>
        <v>#REF!</v>
      </c>
      <c r="AQ156" s="272"/>
      <c r="AR156" s="272"/>
      <c r="AS156" s="272"/>
      <c r="AT156" s="272" t="str">
        <f>IFERROR(VLOOKUP($A156,'Constancias POA'!$A$2:$DH$9993,17,FALSE),"")</f>
        <v/>
      </c>
      <c r="AU156" s="272" t="str">
        <f t="shared" si="18"/>
        <v/>
      </c>
      <c r="AV156" s="224" t="str">
        <f>IFERROR(VLOOKUP($A156,CP!$A$1:$U$7992,18,FALSE),"")</f>
        <v/>
      </c>
      <c r="AW156" s="224" t="str">
        <f>IFERROR(VLOOKUP($A156,CP!$A$1:$U$7992,19,FALSE),"")</f>
        <v/>
      </c>
      <c r="AX156" s="224" t="str">
        <f>IFERROR(VLOOKUP($A156,CP!$A$1:$U$7992,20,FALSE),"")</f>
        <v/>
      </c>
      <c r="AY156" s="272" t="str">
        <f>IFERROR(VLOOKUP($A156,CP!$A$1:$U$1,21,FALSE),"")</f>
        <v/>
      </c>
      <c r="AZ156" s="224" t="str">
        <f>IFERROR(VLOOKUP(A156,Devengado!$A$1:AJ1,35,FALSE),"")</f>
        <v/>
      </c>
      <c r="BA156" s="224" t="str">
        <f t="shared" si="19"/>
        <v/>
      </c>
      <c r="BB156" s="224" t="str">
        <f>IFERROR(AZ156/#REF!,"")</f>
        <v/>
      </c>
      <c r="BC156" s="272" t="str">
        <f>IFERROR(VLOOKUP($A156,Devengado!$A$1:$AI$1,22,FALSE),"")</f>
        <v/>
      </c>
      <c r="BD156" s="272" t="str">
        <f>IFERROR(VLOOKUP($A156,Devengado!$A$1:$AI$1,23,FALSE),"")</f>
        <v/>
      </c>
      <c r="BE156" s="272" t="str">
        <f>IFERROR(VLOOKUP($A156,Devengado!$A$1:$AI$1,24,FALSE),"")</f>
        <v/>
      </c>
      <c r="BF156" s="272" t="str">
        <f>IFERROR(VLOOKUP($A156,Devengado!$A$1:$AI$1,25,FALSE),"")</f>
        <v/>
      </c>
      <c r="BG156" s="272" t="str">
        <f>IFERROR(VLOOKUP($A156,Devengado!$A$1:$AI$1,26,FALSE),"")</f>
        <v/>
      </c>
      <c r="BH156" s="272" t="str">
        <f>IFERROR(VLOOKUP($A156,Devengado!$A$1:$AI$1,27,FALSE),"")</f>
        <v/>
      </c>
      <c r="BI156" s="272" t="str">
        <f>IFERROR(VLOOKUP($A156,Devengado!$A$1:$AI$1,28,FALSE),"")</f>
        <v/>
      </c>
      <c r="BJ156" s="272" t="str">
        <f>IFERROR(VLOOKUP($A156,Devengado!$A$1:$AI$1,29,FALSE),"")</f>
        <v/>
      </c>
      <c r="BK156" s="272" t="str">
        <f>IFERROR(VLOOKUP($A156,Devengado!$A$1:$AI$1,30,FALSE),"")</f>
        <v/>
      </c>
      <c r="BL156" s="272" t="str">
        <f>IFERROR(VLOOKUP($A156,Devengado!$A$1:$AI$1,31,FALSE),"")</f>
        <v/>
      </c>
      <c r="BM156" s="272" t="str">
        <f>IFERROR(VLOOKUP($A156,Devengado!$A$1:$AI$1,32,FALSE),"")</f>
        <v/>
      </c>
      <c r="BN156" s="272" t="str">
        <f>IFERROR(VLOOKUP($A156,Devengado!$A$1:$AI$1,33,FALSE),"")</f>
        <v/>
      </c>
      <c r="BO156" s="272">
        <f t="shared" si="20"/>
        <v>0</v>
      </c>
      <c r="BP156" s="272" t="str">
        <f t="shared" si="21"/>
        <v/>
      </c>
      <c r="BQ156" s="272"/>
      <c r="BR156" s="207" t="str">
        <f t="shared" si="22"/>
        <v>51</v>
      </c>
    </row>
    <row r="157" spans="1:70" ht="25.5" customHeight="1">
      <c r="A157" s="207">
        <v>153</v>
      </c>
      <c r="B157" s="207" t="s">
        <v>206</v>
      </c>
      <c r="C157" s="207" t="s">
        <v>77</v>
      </c>
      <c r="D157" s="207" t="s">
        <v>77</v>
      </c>
      <c r="E157" s="207" t="s">
        <v>76</v>
      </c>
      <c r="F157" s="207" t="s">
        <v>77</v>
      </c>
      <c r="G157" s="207" t="s">
        <v>77</v>
      </c>
      <c r="H157" s="207" t="s">
        <v>77</v>
      </c>
      <c r="I157" s="207" t="s">
        <v>77</v>
      </c>
      <c r="J157" s="207" t="s">
        <v>77</v>
      </c>
      <c r="K157" s="207" t="s">
        <v>77</v>
      </c>
      <c r="L157" s="207" t="s">
        <v>85</v>
      </c>
      <c r="M157" s="207" t="s">
        <v>209</v>
      </c>
      <c r="N157" s="208" t="s">
        <v>208</v>
      </c>
      <c r="O157" s="209">
        <v>80</v>
      </c>
      <c r="P157" s="208" t="s">
        <v>81</v>
      </c>
      <c r="Q157" s="208" t="s">
        <v>112</v>
      </c>
      <c r="R157" s="115" t="str">
        <f t="shared" si="16"/>
        <v>51</v>
      </c>
      <c r="S157" s="207">
        <v>510106</v>
      </c>
      <c r="T157" s="210" t="str">
        <f>VLOOKUP(S157,ITEM!$C$1:$D$156,2,FALSE)</f>
        <v>Salarios Unificados</v>
      </c>
      <c r="U157" s="208">
        <v>1700</v>
      </c>
      <c r="V157" s="208" t="s">
        <v>82</v>
      </c>
      <c r="W157" s="208" t="s">
        <v>84</v>
      </c>
      <c r="X157" s="208" t="s">
        <v>84</v>
      </c>
      <c r="Y157" s="272" t="e">
        <f>'Matriz POA 2024-TRABAJO'!#REF!</f>
        <v>#REF!</v>
      </c>
      <c r="Z157" s="272" t="e">
        <f>'Matriz POA 2024-TRABAJO'!#REF!</f>
        <v>#REF!</v>
      </c>
      <c r="AA157" s="272" t="e">
        <f>'Matriz POA 2024-TRABAJO'!#REF!</f>
        <v>#REF!</v>
      </c>
      <c r="AB157" s="272">
        <v>500</v>
      </c>
      <c r="AC157" s="272">
        <v>500</v>
      </c>
      <c r="AD157" s="272">
        <v>500</v>
      </c>
      <c r="AE157" s="272">
        <v>500</v>
      </c>
      <c r="AF157" s="272">
        <v>500</v>
      </c>
      <c r="AG157" s="272">
        <v>500</v>
      </c>
      <c r="AH157" s="272">
        <v>500</v>
      </c>
      <c r="AI157" s="272">
        <v>500</v>
      </c>
      <c r="AJ157" s="272">
        <v>500</v>
      </c>
      <c r="AK157" s="272">
        <v>500</v>
      </c>
      <c r="AL157" s="272">
        <v>500</v>
      </c>
      <c r="AM157" s="272">
        <v>500</v>
      </c>
      <c r="AN157" s="272" t="e">
        <f>SUM(#REF!)</f>
        <v>#REF!</v>
      </c>
      <c r="AO157" s="224">
        <f t="shared" si="17"/>
        <v>6000</v>
      </c>
      <c r="AP157" s="224" t="e">
        <f t="shared" si="23"/>
        <v>#REF!</v>
      </c>
      <c r="AQ157" s="272"/>
      <c r="AR157" s="272"/>
      <c r="AS157" s="272"/>
      <c r="AT157" s="272" t="str">
        <f>IFERROR(VLOOKUP($A157,'Constancias POA'!$A$2:$DH$9993,17,FALSE),"")</f>
        <v/>
      </c>
      <c r="AU157" s="272" t="str">
        <f t="shared" si="18"/>
        <v/>
      </c>
      <c r="AV157" s="224" t="str">
        <f>IFERROR(VLOOKUP($A157,CP!$A$1:$U$7992,18,FALSE),"")</f>
        <v/>
      </c>
      <c r="AW157" s="224" t="str">
        <f>IFERROR(VLOOKUP($A157,CP!$A$1:$U$7992,19,FALSE),"")</f>
        <v/>
      </c>
      <c r="AX157" s="224" t="str">
        <f>IFERROR(VLOOKUP($A157,CP!$A$1:$U$7992,20,FALSE),"")</f>
        <v/>
      </c>
      <c r="AY157" s="272" t="str">
        <f>IFERROR(VLOOKUP($A157,CP!$A$1:$U$1,21,FALSE),"")</f>
        <v/>
      </c>
      <c r="AZ157" s="224" t="str">
        <f>IFERROR(VLOOKUP(A157,Devengado!$A$1:AJ1,35,FALSE),"")</f>
        <v/>
      </c>
      <c r="BA157" s="224" t="str">
        <f t="shared" si="19"/>
        <v/>
      </c>
      <c r="BB157" s="224" t="str">
        <f>IFERROR(AZ157/#REF!,"")</f>
        <v/>
      </c>
      <c r="BC157" s="272" t="str">
        <f>IFERROR(VLOOKUP($A157,Devengado!$A$1:$AI$1,22,FALSE),"")</f>
        <v/>
      </c>
      <c r="BD157" s="272" t="str">
        <f>IFERROR(VLOOKUP($A157,Devengado!$A$1:$AI$1,23,FALSE),"")</f>
        <v/>
      </c>
      <c r="BE157" s="272" t="str">
        <f>IFERROR(VLOOKUP($A157,Devengado!$A$1:$AI$1,24,FALSE),"")</f>
        <v/>
      </c>
      <c r="BF157" s="272" t="str">
        <f>IFERROR(VLOOKUP($A157,Devengado!$A$1:$AI$1,25,FALSE),"")</f>
        <v/>
      </c>
      <c r="BG157" s="272" t="str">
        <f>IFERROR(VLOOKUP($A157,Devengado!$A$1:$AI$1,26,FALSE),"")</f>
        <v/>
      </c>
      <c r="BH157" s="272" t="str">
        <f>IFERROR(VLOOKUP($A157,Devengado!$A$1:$AI$1,27,FALSE),"")</f>
        <v/>
      </c>
      <c r="BI157" s="272" t="str">
        <f>IFERROR(VLOOKUP($A157,Devengado!$A$1:$AI$1,28,FALSE),"")</f>
        <v/>
      </c>
      <c r="BJ157" s="272" t="str">
        <f>IFERROR(VLOOKUP($A157,Devengado!$A$1:$AI$1,29,FALSE),"")</f>
        <v/>
      </c>
      <c r="BK157" s="272" t="str">
        <f>IFERROR(VLOOKUP($A157,Devengado!$A$1:$AI$1,30,FALSE),"")</f>
        <v/>
      </c>
      <c r="BL157" s="272" t="str">
        <f>IFERROR(VLOOKUP($A157,Devengado!$A$1:$AI$1,31,FALSE),"")</f>
        <v/>
      </c>
      <c r="BM157" s="272" t="str">
        <f>IFERROR(VLOOKUP($A157,Devengado!$A$1:$AI$1,32,FALSE),"")</f>
        <v/>
      </c>
      <c r="BN157" s="272" t="str">
        <f>IFERROR(VLOOKUP($A157,Devengado!$A$1:$AI$1,33,FALSE),"")</f>
        <v/>
      </c>
      <c r="BO157" s="272">
        <f t="shared" si="20"/>
        <v>0</v>
      </c>
      <c r="BP157" s="272" t="str">
        <f t="shared" si="21"/>
        <v/>
      </c>
      <c r="BQ157" s="272"/>
      <c r="BR157" s="207" t="str">
        <f t="shared" si="22"/>
        <v>51</v>
      </c>
    </row>
    <row r="158" spans="1:70" ht="25.5" customHeight="1">
      <c r="A158" s="207">
        <v>154</v>
      </c>
      <c r="B158" s="207" t="s">
        <v>206</v>
      </c>
      <c r="C158" s="207" t="s">
        <v>77</v>
      </c>
      <c r="D158" s="207" t="s">
        <v>77</v>
      </c>
      <c r="E158" s="207" t="s">
        <v>76</v>
      </c>
      <c r="F158" s="207" t="s">
        <v>77</v>
      </c>
      <c r="G158" s="207" t="s">
        <v>77</v>
      </c>
      <c r="H158" s="207" t="s">
        <v>77</v>
      </c>
      <c r="I158" s="207" t="s">
        <v>77</v>
      </c>
      <c r="J158" s="207" t="s">
        <v>77</v>
      </c>
      <c r="K158" s="207" t="s">
        <v>77</v>
      </c>
      <c r="L158" s="207" t="s">
        <v>85</v>
      </c>
      <c r="M158" s="207" t="s">
        <v>210</v>
      </c>
      <c r="N158" s="208" t="s">
        <v>208</v>
      </c>
      <c r="O158" s="209">
        <v>80</v>
      </c>
      <c r="P158" s="208" t="s">
        <v>81</v>
      </c>
      <c r="Q158" s="208" t="s">
        <v>112</v>
      </c>
      <c r="R158" s="115" t="str">
        <f t="shared" si="16"/>
        <v>51</v>
      </c>
      <c r="S158" s="207">
        <v>510203</v>
      </c>
      <c r="T158" s="210" t="str">
        <f>VLOOKUP(S158,ITEM!$C$1:$D$156,2,FALSE)</f>
        <v>Decimo Tercer Sueldo</v>
      </c>
      <c r="U158" s="208">
        <v>1700</v>
      </c>
      <c r="V158" s="208" t="s">
        <v>82</v>
      </c>
      <c r="W158" s="208" t="s">
        <v>84</v>
      </c>
      <c r="X158" s="208" t="s">
        <v>84</v>
      </c>
      <c r="Y158" s="272" t="e">
        <f>'Matriz POA 2024-TRABAJO'!#REF!</f>
        <v>#REF!</v>
      </c>
      <c r="Z158" s="272" t="e">
        <f>'Matriz POA 2024-TRABAJO'!#REF!</f>
        <v>#REF!</v>
      </c>
      <c r="AA158" s="272" t="e">
        <f>'Matriz POA 2024-TRABAJO'!#REF!</f>
        <v>#REF!</v>
      </c>
      <c r="AB158" s="272">
        <v>0</v>
      </c>
      <c r="AC158" s="272">
        <v>0</v>
      </c>
      <c r="AD158" s="272">
        <v>0</v>
      </c>
      <c r="AE158" s="272">
        <v>0</v>
      </c>
      <c r="AF158" s="272">
        <v>0</v>
      </c>
      <c r="AG158" s="272">
        <v>0</v>
      </c>
      <c r="AH158" s="272">
        <v>0</v>
      </c>
      <c r="AI158" s="272">
        <v>0</v>
      </c>
      <c r="AJ158" s="272">
        <v>0</v>
      </c>
      <c r="AK158" s="272">
        <v>0</v>
      </c>
      <c r="AL158" s="272">
        <v>0</v>
      </c>
      <c r="AM158" s="272">
        <v>12385</v>
      </c>
      <c r="AN158" s="272" t="e">
        <f>SUM(#REF!)</f>
        <v>#REF!</v>
      </c>
      <c r="AO158" s="224">
        <f t="shared" si="17"/>
        <v>12385</v>
      </c>
      <c r="AP158" s="224" t="e">
        <f t="shared" si="23"/>
        <v>#REF!</v>
      </c>
      <c r="AQ158" s="272"/>
      <c r="AR158" s="272"/>
      <c r="AS158" s="272"/>
      <c r="AT158" s="272" t="str">
        <f>IFERROR(VLOOKUP($A158,'Constancias POA'!$A$2:$DH$9993,17,FALSE),"")</f>
        <v/>
      </c>
      <c r="AU158" s="272" t="str">
        <f t="shared" si="18"/>
        <v/>
      </c>
      <c r="AV158" s="224" t="str">
        <f>IFERROR(VLOOKUP($A158,CP!$A$1:$U$7992,18,FALSE),"")</f>
        <v/>
      </c>
      <c r="AW158" s="224" t="str">
        <f>IFERROR(VLOOKUP($A158,CP!$A$1:$U$7992,19,FALSE),"")</f>
        <v/>
      </c>
      <c r="AX158" s="224" t="str">
        <f>IFERROR(VLOOKUP($A158,CP!$A$1:$U$7992,20,FALSE),"")</f>
        <v/>
      </c>
      <c r="AY158" s="272" t="str">
        <f>IFERROR(VLOOKUP($A158,CP!$A$1:$U$1,21,FALSE),"")</f>
        <v/>
      </c>
      <c r="AZ158" s="224" t="str">
        <f>IFERROR(VLOOKUP(A158,Devengado!$A$1:AJ1,35,FALSE),"")</f>
        <v/>
      </c>
      <c r="BA158" s="224" t="str">
        <f t="shared" si="19"/>
        <v/>
      </c>
      <c r="BB158" s="224" t="str">
        <f>IFERROR(AZ158/#REF!,"")</f>
        <v/>
      </c>
      <c r="BC158" s="272" t="str">
        <f>IFERROR(VLOOKUP($A158,Devengado!$A$1:$AI$1,22,FALSE),"")</f>
        <v/>
      </c>
      <c r="BD158" s="272" t="str">
        <f>IFERROR(VLOOKUP($A158,Devengado!$A$1:$AI$1,23,FALSE),"")</f>
        <v/>
      </c>
      <c r="BE158" s="272" t="str">
        <f>IFERROR(VLOOKUP($A158,Devengado!$A$1:$AI$1,24,FALSE),"")</f>
        <v/>
      </c>
      <c r="BF158" s="272" t="str">
        <f>IFERROR(VLOOKUP($A158,Devengado!$A$1:$AI$1,25,FALSE),"")</f>
        <v/>
      </c>
      <c r="BG158" s="272" t="str">
        <f>IFERROR(VLOOKUP($A158,Devengado!$A$1:$AI$1,26,FALSE),"")</f>
        <v/>
      </c>
      <c r="BH158" s="272" t="str">
        <f>IFERROR(VLOOKUP($A158,Devengado!$A$1:$AI$1,27,FALSE),"")</f>
        <v/>
      </c>
      <c r="BI158" s="272" t="str">
        <f>IFERROR(VLOOKUP($A158,Devengado!$A$1:$AI$1,28,FALSE),"")</f>
        <v/>
      </c>
      <c r="BJ158" s="272" t="str">
        <f>IFERROR(VLOOKUP($A158,Devengado!$A$1:$AI$1,29,FALSE),"")</f>
        <v/>
      </c>
      <c r="BK158" s="272" t="str">
        <f>IFERROR(VLOOKUP($A158,Devengado!$A$1:$AI$1,30,FALSE),"")</f>
        <v/>
      </c>
      <c r="BL158" s="272" t="str">
        <f>IFERROR(VLOOKUP($A158,Devengado!$A$1:$AI$1,31,FALSE),"")</f>
        <v/>
      </c>
      <c r="BM158" s="272" t="str">
        <f>IFERROR(VLOOKUP($A158,Devengado!$A$1:$AI$1,32,FALSE),"")</f>
        <v/>
      </c>
      <c r="BN158" s="272" t="str">
        <f>IFERROR(VLOOKUP($A158,Devengado!$A$1:$AI$1,33,FALSE),"")</f>
        <v/>
      </c>
      <c r="BO158" s="272">
        <f t="shared" si="20"/>
        <v>0</v>
      </c>
      <c r="BP158" s="272" t="str">
        <f t="shared" si="21"/>
        <v/>
      </c>
      <c r="BQ158" s="272"/>
      <c r="BR158" s="207" t="str">
        <f t="shared" si="22"/>
        <v>51</v>
      </c>
    </row>
    <row r="159" spans="1:70" ht="25.5" customHeight="1">
      <c r="A159" s="207">
        <v>155</v>
      </c>
      <c r="B159" s="207" t="s">
        <v>206</v>
      </c>
      <c r="C159" s="207" t="s">
        <v>77</v>
      </c>
      <c r="D159" s="207" t="s">
        <v>77</v>
      </c>
      <c r="E159" s="207" t="s">
        <v>76</v>
      </c>
      <c r="F159" s="207" t="s">
        <v>77</v>
      </c>
      <c r="G159" s="207" t="s">
        <v>77</v>
      </c>
      <c r="H159" s="207" t="s">
        <v>77</v>
      </c>
      <c r="I159" s="207" t="s">
        <v>77</v>
      </c>
      <c r="J159" s="207" t="s">
        <v>77</v>
      </c>
      <c r="K159" s="207" t="s">
        <v>77</v>
      </c>
      <c r="L159" s="207" t="s">
        <v>85</v>
      </c>
      <c r="M159" s="207" t="s">
        <v>210</v>
      </c>
      <c r="N159" s="208" t="s">
        <v>208</v>
      </c>
      <c r="O159" s="209">
        <v>80</v>
      </c>
      <c r="P159" s="208" t="s">
        <v>81</v>
      </c>
      <c r="Q159" s="208" t="s">
        <v>112</v>
      </c>
      <c r="R159" s="115" t="str">
        <f t="shared" si="16"/>
        <v>51</v>
      </c>
      <c r="S159" s="207">
        <v>510204</v>
      </c>
      <c r="T159" s="210" t="str">
        <f>VLOOKUP(S159,ITEM!$C$1:$D$156,2,FALSE)</f>
        <v>Decimo Cuarto Sueldo</v>
      </c>
      <c r="U159" s="208">
        <v>1700</v>
      </c>
      <c r="V159" s="208" t="s">
        <v>82</v>
      </c>
      <c r="W159" s="208" t="s">
        <v>84</v>
      </c>
      <c r="X159" s="208" t="s">
        <v>84</v>
      </c>
      <c r="Y159" s="272" t="e">
        <f>'Matriz POA 2024-TRABAJO'!#REF!</f>
        <v>#REF!</v>
      </c>
      <c r="Z159" s="272" t="e">
        <f>'Matriz POA 2024-TRABAJO'!#REF!</f>
        <v>#REF!</v>
      </c>
      <c r="AA159" s="272" t="e">
        <f>'Matriz POA 2024-TRABAJO'!#REF!</f>
        <v>#REF!</v>
      </c>
      <c r="AB159" s="272">
        <v>0</v>
      </c>
      <c r="AC159" s="272">
        <v>0</v>
      </c>
      <c r="AD159" s="272">
        <v>0</v>
      </c>
      <c r="AE159" s="272">
        <v>0</v>
      </c>
      <c r="AF159" s="272">
        <v>0</v>
      </c>
      <c r="AG159" s="272">
        <v>0</v>
      </c>
      <c r="AH159" s="272">
        <v>0</v>
      </c>
      <c r="AI159" s="272">
        <v>6440</v>
      </c>
      <c r="AJ159" s="272">
        <v>0</v>
      </c>
      <c r="AK159" s="272">
        <v>0</v>
      </c>
      <c r="AL159" s="272">
        <v>0</v>
      </c>
      <c r="AM159" s="272">
        <v>0</v>
      </c>
      <c r="AN159" s="272" t="e">
        <f>SUM(#REF!)</f>
        <v>#REF!</v>
      </c>
      <c r="AO159" s="224">
        <f t="shared" si="17"/>
        <v>6440</v>
      </c>
      <c r="AP159" s="224" t="e">
        <f t="shared" si="23"/>
        <v>#REF!</v>
      </c>
      <c r="AQ159" s="272"/>
      <c r="AR159" s="272"/>
      <c r="AS159" s="272"/>
      <c r="AT159" s="272" t="str">
        <f>IFERROR(VLOOKUP($A159,'Constancias POA'!$A$2:$DH$9993,17,FALSE),"")</f>
        <v/>
      </c>
      <c r="AU159" s="272" t="str">
        <f t="shared" si="18"/>
        <v/>
      </c>
      <c r="AV159" s="224" t="str">
        <f>IFERROR(VLOOKUP($A159,CP!$A$1:$U$7992,18,FALSE),"")</f>
        <v/>
      </c>
      <c r="AW159" s="224" t="str">
        <f>IFERROR(VLOOKUP($A159,CP!$A$1:$U$7992,19,FALSE),"")</f>
        <v/>
      </c>
      <c r="AX159" s="224" t="str">
        <f>IFERROR(VLOOKUP($A159,CP!$A$1:$U$7992,20,FALSE),"")</f>
        <v/>
      </c>
      <c r="AY159" s="272" t="str">
        <f>IFERROR(VLOOKUP($A159,CP!$A$1:$U$1,21,FALSE),"")</f>
        <v/>
      </c>
      <c r="AZ159" s="224" t="str">
        <f>IFERROR(VLOOKUP(A159,Devengado!$A$1:AJ1,35,FALSE),"")</f>
        <v/>
      </c>
      <c r="BA159" s="224" t="str">
        <f t="shared" si="19"/>
        <v/>
      </c>
      <c r="BB159" s="224" t="str">
        <f>IFERROR(AZ159/#REF!,"")</f>
        <v/>
      </c>
      <c r="BC159" s="272" t="str">
        <f>IFERROR(VLOOKUP($A159,Devengado!$A$1:$AI$1,22,FALSE),"")</f>
        <v/>
      </c>
      <c r="BD159" s="272" t="str">
        <f>IFERROR(VLOOKUP($A159,Devengado!$A$1:$AI$1,23,FALSE),"")</f>
        <v/>
      </c>
      <c r="BE159" s="272" t="str">
        <f>IFERROR(VLOOKUP($A159,Devengado!$A$1:$AI$1,24,FALSE),"")</f>
        <v/>
      </c>
      <c r="BF159" s="272" t="str">
        <f>IFERROR(VLOOKUP($A159,Devengado!$A$1:$AI$1,25,FALSE),"")</f>
        <v/>
      </c>
      <c r="BG159" s="272" t="str">
        <f>IFERROR(VLOOKUP($A159,Devengado!$A$1:$AI$1,26,FALSE),"")</f>
        <v/>
      </c>
      <c r="BH159" s="272" t="str">
        <f>IFERROR(VLOOKUP($A159,Devengado!$A$1:$AI$1,27,FALSE),"")</f>
        <v/>
      </c>
      <c r="BI159" s="272" t="str">
        <f>IFERROR(VLOOKUP($A159,Devengado!$A$1:$AI$1,28,FALSE),"")</f>
        <v/>
      </c>
      <c r="BJ159" s="272" t="str">
        <f>IFERROR(VLOOKUP($A159,Devengado!$A$1:$AI$1,29,FALSE),"")</f>
        <v/>
      </c>
      <c r="BK159" s="272" t="str">
        <f>IFERROR(VLOOKUP($A159,Devengado!$A$1:$AI$1,30,FALSE),"")</f>
        <v/>
      </c>
      <c r="BL159" s="272" t="str">
        <f>IFERROR(VLOOKUP($A159,Devengado!$A$1:$AI$1,31,FALSE),"")</f>
        <v/>
      </c>
      <c r="BM159" s="272" t="str">
        <f>IFERROR(VLOOKUP($A159,Devengado!$A$1:$AI$1,32,FALSE),"")</f>
        <v/>
      </c>
      <c r="BN159" s="272" t="str">
        <f>IFERROR(VLOOKUP($A159,Devengado!$A$1:$AI$1,33,FALSE),"")</f>
        <v/>
      </c>
      <c r="BO159" s="272">
        <f t="shared" si="20"/>
        <v>0</v>
      </c>
      <c r="BP159" s="272" t="str">
        <f t="shared" si="21"/>
        <v/>
      </c>
      <c r="BQ159" s="272"/>
      <c r="BR159" s="207" t="str">
        <f t="shared" si="22"/>
        <v>51</v>
      </c>
    </row>
    <row r="160" spans="1:70" ht="25.5" customHeight="1">
      <c r="A160" s="207">
        <v>156</v>
      </c>
      <c r="B160" s="207" t="s">
        <v>206</v>
      </c>
      <c r="C160" s="207" t="s">
        <v>77</v>
      </c>
      <c r="D160" s="207" t="s">
        <v>77</v>
      </c>
      <c r="E160" s="207" t="s">
        <v>76</v>
      </c>
      <c r="F160" s="207" t="s">
        <v>77</v>
      </c>
      <c r="G160" s="207" t="s">
        <v>77</v>
      </c>
      <c r="H160" s="207" t="s">
        <v>77</v>
      </c>
      <c r="I160" s="207" t="s">
        <v>77</v>
      </c>
      <c r="J160" s="207" t="s">
        <v>77</v>
      </c>
      <c r="K160" s="207" t="s">
        <v>77</v>
      </c>
      <c r="L160" s="207" t="s">
        <v>85</v>
      </c>
      <c r="M160" s="207" t="s">
        <v>211</v>
      </c>
      <c r="N160" s="208" t="s">
        <v>208</v>
      </c>
      <c r="O160" s="209">
        <v>80</v>
      </c>
      <c r="P160" s="208" t="s">
        <v>81</v>
      </c>
      <c r="Q160" s="208" t="s">
        <v>112</v>
      </c>
      <c r="R160" s="115" t="str">
        <f t="shared" si="16"/>
        <v>51</v>
      </c>
      <c r="S160" s="207">
        <v>510304</v>
      </c>
      <c r="T160" s="210" t="str">
        <f>VLOOKUP(S160,ITEM!$C$1:$D$156,2,FALSE)</f>
        <v>Compensación por Transporte</v>
      </c>
      <c r="U160" s="208">
        <v>1700</v>
      </c>
      <c r="V160" s="208" t="s">
        <v>82</v>
      </c>
      <c r="W160" s="208" t="s">
        <v>84</v>
      </c>
      <c r="X160" s="208" t="s">
        <v>84</v>
      </c>
      <c r="Y160" s="272" t="e">
        <f>'Matriz POA 2024-TRABAJO'!#REF!</f>
        <v>#REF!</v>
      </c>
      <c r="Z160" s="272" t="e">
        <f>'Matriz POA 2024-TRABAJO'!#REF!</f>
        <v>#REF!</v>
      </c>
      <c r="AA160" s="272" t="e">
        <f>'Matriz POA 2024-TRABAJO'!#REF!</f>
        <v>#REF!</v>
      </c>
      <c r="AB160" s="272">
        <v>10.416666666666666</v>
      </c>
      <c r="AC160" s="272">
        <v>10.416666666666666</v>
      </c>
      <c r="AD160" s="272">
        <v>10.416666666666666</v>
      </c>
      <c r="AE160" s="272">
        <v>10.416666666666666</v>
      </c>
      <c r="AF160" s="272">
        <v>10.416666666666666</v>
      </c>
      <c r="AG160" s="272">
        <v>10.416666666666666</v>
      </c>
      <c r="AH160" s="272">
        <v>10.416666666666666</v>
      </c>
      <c r="AI160" s="272">
        <v>10.416666666666666</v>
      </c>
      <c r="AJ160" s="272">
        <v>10.416666666666666</v>
      </c>
      <c r="AK160" s="272">
        <v>10.416666666666666</v>
      </c>
      <c r="AL160" s="272">
        <v>10.416666666666666</v>
      </c>
      <c r="AM160" s="272">
        <v>10.416666666666666</v>
      </c>
      <c r="AN160" s="272" t="e">
        <f>SUM(#REF!)</f>
        <v>#REF!</v>
      </c>
      <c r="AO160" s="224">
        <f t="shared" si="17"/>
        <v>125.00000000000001</v>
      </c>
      <c r="AP160" s="224" t="e">
        <f t="shared" si="23"/>
        <v>#REF!</v>
      </c>
      <c r="AQ160" s="272"/>
      <c r="AR160" s="272"/>
      <c r="AS160" s="272"/>
      <c r="AT160" s="272" t="str">
        <f>IFERROR(VLOOKUP($A160,'Constancias POA'!$A$2:$DH$9993,17,FALSE),"")</f>
        <v/>
      </c>
      <c r="AU160" s="272" t="str">
        <f t="shared" si="18"/>
        <v/>
      </c>
      <c r="AV160" s="224" t="str">
        <f>IFERROR(VLOOKUP($A160,CP!$A$1:$U$7992,18,FALSE),"")</f>
        <v/>
      </c>
      <c r="AW160" s="224" t="str">
        <f>IFERROR(VLOOKUP($A160,CP!$A$1:$U$7992,19,FALSE),"")</f>
        <v/>
      </c>
      <c r="AX160" s="224" t="str">
        <f>IFERROR(VLOOKUP($A160,CP!$A$1:$U$7992,20,FALSE),"")</f>
        <v/>
      </c>
      <c r="AY160" s="272" t="str">
        <f>IFERROR(VLOOKUP($A160,CP!$A$1:$U$1,21,FALSE),"")</f>
        <v/>
      </c>
      <c r="AZ160" s="224" t="str">
        <f>IFERROR(VLOOKUP(A160,Devengado!$A$1:AJ1,35,FALSE),"")</f>
        <v/>
      </c>
      <c r="BA160" s="224" t="str">
        <f t="shared" si="19"/>
        <v/>
      </c>
      <c r="BB160" s="224" t="str">
        <f>IFERROR(AZ160/#REF!,"")</f>
        <v/>
      </c>
      <c r="BC160" s="272" t="str">
        <f>IFERROR(VLOOKUP($A160,Devengado!$A$1:$AI$1,22,FALSE),"")</f>
        <v/>
      </c>
      <c r="BD160" s="272" t="str">
        <f>IFERROR(VLOOKUP($A160,Devengado!$A$1:$AI$1,23,FALSE),"")</f>
        <v/>
      </c>
      <c r="BE160" s="272" t="str">
        <f>IFERROR(VLOOKUP($A160,Devengado!$A$1:$AI$1,24,FALSE),"")</f>
        <v/>
      </c>
      <c r="BF160" s="272" t="str">
        <f>IFERROR(VLOOKUP($A160,Devengado!$A$1:$AI$1,25,FALSE),"")</f>
        <v/>
      </c>
      <c r="BG160" s="272" t="str">
        <f>IFERROR(VLOOKUP($A160,Devengado!$A$1:$AI$1,26,FALSE),"")</f>
        <v/>
      </c>
      <c r="BH160" s="272" t="str">
        <f>IFERROR(VLOOKUP($A160,Devengado!$A$1:$AI$1,27,FALSE),"")</f>
        <v/>
      </c>
      <c r="BI160" s="272" t="str">
        <f>IFERROR(VLOOKUP($A160,Devengado!$A$1:$AI$1,28,FALSE),"")</f>
        <v/>
      </c>
      <c r="BJ160" s="272" t="str">
        <f>IFERROR(VLOOKUP($A160,Devengado!$A$1:$AI$1,29,FALSE),"")</f>
        <v/>
      </c>
      <c r="BK160" s="272" t="str">
        <f>IFERROR(VLOOKUP($A160,Devengado!$A$1:$AI$1,30,FALSE),"")</f>
        <v/>
      </c>
      <c r="BL160" s="272" t="str">
        <f>IFERROR(VLOOKUP($A160,Devengado!$A$1:$AI$1,31,FALSE),"")</f>
        <v/>
      </c>
      <c r="BM160" s="272" t="str">
        <f>IFERROR(VLOOKUP($A160,Devengado!$A$1:$AI$1,32,FALSE),"")</f>
        <v/>
      </c>
      <c r="BN160" s="272" t="str">
        <f>IFERROR(VLOOKUP($A160,Devengado!$A$1:$AI$1,33,FALSE),"")</f>
        <v/>
      </c>
      <c r="BO160" s="272">
        <f t="shared" si="20"/>
        <v>0</v>
      </c>
      <c r="BP160" s="272" t="str">
        <f t="shared" si="21"/>
        <v/>
      </c>
      <c r="BQ160" s="272"/>
      <c r="BR160" s="207" t="str">
        <f t="shared" si="22"/>
        <v>51</v>
      </c>
    </row>
    <row r="161" spans="1:70" ht="25.5" customHeight="1">
      <c r="A161" s="207">
        <v>157</v>
      </c>
      <c r="B161" s="207" t="s">
        <v>206</v>
      </c>
      <c r="C161" s="207" t="s">
        <v>77</v>
      </c>
      <c r="D161" s="207" t="s">
        <v>77</v>
      </c>
      <c r="E161" s="207" t="s">
        <v>76</v>
      </c>
      <c r="F161" s="207" t="s">
        <v>77</v>
      </c>
      <c r="G161" s="207" t="s">
        <v>77</v>
      </c>
      <c r="H161" s="207" t="s">
        <v>77</v>
      </c>
      <c r="I161" s="207" t="s">
        <v>77</v>
      </c>
      <c r="J161" s="207" t="s">
        <v>77</v>
      </c>
      <c r="K161" s="207" t="s">
        <v>77</v>
      </c>
      <c r="L161" s="207" t="s">
        <v>85</v>
      </c>
      <c r="M161" s="207" t="s">
        <v>211</v>
      </c>
      <c r="N161" s="208" t="s">
        <v>208</v>
      </c>
      <c r="O161" s="209">
        <v>80</v>
      </c>
      <c r="P161" s="208" t="s">
        <v>81</v>
      </c>
      <c r="Q161" s="208" t="s">
        <v>112</v>
      </c>
      <c r="R161" s="115" t="str">
        <f t="shared" si="16"/>
        <v>51</v>
      </c>
      <c r="S161" s="207">
        <v>510306</v>
      </c>
      <c r="T161" s="210" t="str">
        <f>VLOOKUP(S161,ITEM!$C$1:$D$156,2,FALSE)</f>
        <v>Alimentación</v>
      </c>
      <c r="U161" s="208">
        <v>1700</v>
      </c>
      <c r="V161" s="208" t="s">
        <v>82</v>
      </c>
      <c r="W161" s="208" t="s">
        <v>84</v>
      </c>
      <c r="X161" s="208" t="s">
        <v>84</v>
      </c>
      <c r="Y161" s="272" t="e">
        <f>'Matriz POA 2024-TRABAJO'!#REF!</f>
        <v>#REF!</v>
      </c>
      <c r="Z161" s="272" t="e">
        <f>'Matriz POA 2024-TRABAJO'!#REF!</f>
        <v>#REF!</v>
      </c>
      <c r="AA161" s="272" t="e">
        <f>'Matriz POA 2024-TRABAJO'!#REF!</f>
        <v>#REF!</v>
      </c>
      <c r="AB161" s="272">
        <v>72.916666666666671</v>
      </c>
      <c r="AC161" s="272">
        <v>72.916666666666671</v>
      </c>
      <c r="AD161" s="272">
        <v>72.916666666666671</v>
      </c>
      <c r="AE161" s="272">
        <v>72.916666666666671</v>
      </c>
      <c r="AF161" s="272">
        <v>72.916666666666671</v>
      </c>
      <c r="AG161" s="272">
        <v>72.916666666666671</v>
      </c>
      <c r="AH161" s="272">
        <v>72.916666666666671</v>
      </c>
      <c r="AI161" s="272">
        <v>72.916666666666671</v>
      </c>
      <c r="AJ161" s="272">
        <v>72.916666666666671</v>
      </c>
      <c r="AK161" s="272">
        <v>72.916666666666671</v>
      </c>
      <c r="AL161" s="272">
        <v>72.916666666666671</v>
      </c>
      <c r="AM161" s="272">
        <v>72.916666666666671</v>
      </c>
      <c r="AN161" s="272" t="e">
        <f>SUM(#REF!)</f>
        <v>#REF!</v>
      </c>
      <c r="AO161" s="224">
        <f t="shared" si="17"/>
        <v>874.99999999999989</v>
      </c>
      <c r="AP161" s="224" t="e">
        <f t="shared" si="23"/>
        <v>#REF!</v>
      </c>
      <c r="AQ161" s="272"/>
      <c r="AR161" s="272"/>
      <c r="AS161" s="272"/>
      <c r="AT161" s="272" t="str">
        <f>IFERROR(VLOOKUP($A161,'Constancias POA'!$A$2:$DH$9993,17,FALSE),"")</f>
        <v/>
      </c>
      <c r="AU161" s="272" t="str">
        <f t="shared" si="18"/>
        <v/>
      </c>
      <c r="AV161" s="224" t="str">
        <f>IFERROR(VLOOKUP($A161,CP!$A$1:$U$7992,18,FALSE),"")</f>
        <v/>
      </c>
      <c r="AW161" s="224" t="str">
        <f>IFERROR(VLOOKUP($A161,CP!$A$1:$U$7992,19,FALSE),"")</f>
        <v/>
      </c>
      <c r="AX161" s="224" t="str">
        <f>IFERROR(VLOOKUP($A161,CP!$A$1:$U$7992,20,FALSE),"")</f>
        <v/>
      </c>
      <c r="AY161" s="272" t="str">
        <f>IFERROR(VLOOKUP($A161,CP!$A$1:$U$1,21,FALSE),"")</f>
        <v/>
      </c>
      <c r="AZ161" s="224" t="str">
        <f>IFERROR(VLOOKUP(A161,Devengado!$A$1:AJ1,35,FALSE),"")</f>
        <v/>
      </c>
      <c r="BA161" s="224" t="str">
        <f t="shared" si="19"/>
        <v/>
      </c>
      <c r="BB161" s="224" t="str">
        <f>IFERROR(AZ161/#REF!,"")</f>
        <v/>
      </c>
      <c r="BC161" s="272" t="str">
        <f>IFERROR(VLOOKUP($A161,Devengado!$A$1:$AI$1,22,FALSE),"")</f>
        <v/>
      </c>
      <c r="BD161" s="272" t="str">
        <f>IFERROR(VLOOKUP($A161,Devengado!$A$1:$AI$1,23,FALSE),"")</f>
        <v/>
      </c>
      <c r="BE161" s="272" t="str">
        <f>IFERROR(VLOOKUP($A161,Devengado!$A$1:$AI$1,24,FALSE),"")</f>
        <v/>
      </c>
      <c r="BF161" s="272" t="str">
        <f>IFERROR(VLOOKUP($A161,Devengado!$A$1:$AI$1,25,FALSE),"")</f>
        <v/>
      </c>
      <c r="BG161" s="272" t="str">
        <f>IFERROR(VLOOKUP($A161,Devengado!$A$1:$AI$1,26,FALSE),"")</f>
        <v/>
      </c>
      <c r="BH161" s="272" t="str">
        <f>IFERROR(VLOOKUP($A161,Devengado!$A$1:$AI$1,27,FALSE),"")</f>
        <v/>
      </c>
      <c r="BI161" s="272" t="str">
        <f>IFERROR(VLOOKUP($A161,Devengado!$A$1:$AI$1,28,FALSE),"")</f>
        <v/>
      </c>
      <c r="BJ161" s="272" t="str">
        <f>IFERROR(VLOOKUP($A161,Devengado!$A$1:$AI$1,29,FALSE),"")</f>
        <v/>
      </c>
      <c r="BK161" s="272" t="str">
        <f>IFERROR(VLOOKUP($A161,Devengado!$A$1:$AI$1,30,FALSE),"")</f>
        <v/>
      </c>
      <c r="BL161" s="272" t="str">
        <f>IFERROR(VLOOKUP($A161,Devengado!$A$1:$AI$1,31,FALSE),"")</f>
        <v/>
      </c>
      <c r="BM161" s="272" t="str">
        <f>IFERROR(VLOOKUP($A161,Devengado!$A$1:$AI$1,32,FALSE),"")</f>
        <v/>
      </c>
      <c r="BN161" s="272" t="str">
        <f>IFERROR(VLOOKUP($A161,Devengado!$A$1:$AI$1,33,FALSE),"")</f>
        <v/>
      </c>
      <c r="BO161" s="272">
        <f t="shared" si="20"/>
        <v>0</v>
      </c>
      <c r="BP161" s="272" t="str">
        <f t="shared" si="21"/>
        <v/>
      </c>
      <c r="BQ161" s="272"/>
      <c r="BR161" s="207" t="str">
        <f t="shared" si="22"/>
        <v>51</v>
      </c>
    </row>
    <row r="162" spans="1:70" ht="25.5" customHeight="1">
      <c r="A162" s="207">
        <v>158</v>
      </c>
      <c r="B162" s="207" t="s">
        <v>206</v>
      </c>
      <c r="C162" s="207" t="s">
        <v>77</v>
      </c>
      <c r="D162" s="207" t="s">
        <v>77</v>
      </c>
      <c r="E162" s="207" t="s">
        <v>76</v>
      </c>
      <c r="F162" s="207" t="s">
        <v>77</v>
      </c>
      <c r="G162" s="207" t="s">
        <v>77</v>
      </c>
      <c r="H162" s="207" t="s">
        <v>77</v>
      </c>
      <c r="I162" s="207" t="s">
        <v>77</v>
      </c>
      <c r="J162" s="207" t="s">
        <v>77</v>
      </c>
      <c r="K162" s="207" t="s">
        <v>77</v>
      </c>
      <c r="L162" s="207" t="s">
        <v>85</v>
      </c>
      <c r="M162" s="207" t="s">
        <v>211</v>
      </c>
      <c r="N162" s="208" t="s">
        <v>208</v>
      </c>
      <c r="O162" s="209">
        <v>80</v>
      </c>
      <c r="P162" s="208" t="s">
        <v>81</v>
      </c>
      <c r="Q162" s="208" t="s">
        <v>112</v>
      </c>
      <c r="R162" s="115" t="str">
        <f t="shared" si="16"/>
        <v>51</v>
      </c>
      <c r="S162" s="207">
        <v>510408</v>
      </c>
      <c r="T162" s="210" t="str">
        <f>VLOOKUP(S162,ITEM!$C$1:$D$156,2,FALSE)</f>
        <v>Subsidio de Antigüedad</v>
      </c>
      <c r="U162" s="208">
        <v>1700</v>
      </c>
      <c r="V162" s="208" t="s">
        <v>82</v>
      </c>
      <c r="W162" s="208" t="s">
        <v>84</v>
      </c>
      <c r="X162" s="208" t="s">
        <v>84</v>
      </c>
      <c r="Y162" s="272" t="e">
        <f>'Matriz POA 2024-TRABAJO'!#REF!</f>
        <v>#REF!</v>
      </c>
      <c r="Z162" s="272" t="e">
        <f>'Matriz POA 2024-TRABAJO'!#REF!</f>
        <v>#REF!</v>
      </c>
      <c r="AA162" s="272" t="e">
        <f>'Matriz POA 2024-TRABAJO'!#REF!</f>
        <v>#REF!</v>
      </c>
      <c r="AB162" s="272">
        <v>3.8233333333333337</v>
      </c>
      <c r="AC162" s="272">
        <v>3.8233333333333337</v>
      </c>
      <c r="AD162" s="272">
        <v>3.8233333333333337</v>
      </c>
      <c r="AE162" s="272">
        <v>3.8233333333333337</v>
      </c>
      <c r="AF162" s="272">
        <v>3.8233333333333337</v>
      </c>
      <c r="AG162" s="272">
        <v>3.8233333333333337</v>
      </c>
      <c r="AH162" s="272">
        <v>3.8233333333333337</v>
      </c>
      <c r="AI162" s="272">
        <v>3.8233333333333337</v>
      </c>
      <c r="AJ162" s="272">
        <v>3.8233333333333337</v>
      </c>
      <c r="AK162" s="272">
        <v>3.8233333333333337</v>
      </c>
      <c r="AL162" s="272">
        <v>3.8233333333333337</v>
      </c>
      <c r="AM162" s="272">
        <v>3.8233333333333337</v>
      </c>
      <c r="AN162" s="272" t="e">
        <f>SUM(#REF!)</f>
        <v>#REF!</v>
      </c>
      <c r="AO162" s="224">
        <f t="shared" si="17"/>
        <v>45.879999999999995</v>
      </c>
      <c r="AP162" s="224" t="e">
        <f t="shared" si="23"/>
        <v>#REF!</v>
      </c>
      <c r="AQ162" s="272"/>
      <c r="AR162" s="272"/>
      <c r="AS162" s="272"/>
      <c r="AT162" s="272" t="str">
        <f>IFERROR(VLOOKUP($A162,'Constancias POA'!$A$2:$DH$9993,17,FALSE),"")</f>
        <v/>
      </c>
      <c r="AU162" s="272" t="str">
        <f t="shared" si="18"/>
        <v/>
      </c>
      <c r="AV162" s="224" t="str">
        <f>IFERROR(VLOOKUP($A162,CP!$A$1:$U$7992,18,FALSE),"")</f>
        <v/>
      </c>
      <c r="AW162" s="224" t="str">
        <f>IFERROR(VLOOKUP($A162,CP!$A$1:$U$7992,19,FALSE),"")</f>
        <v/>
      </c>
      <c r="AX162" s="224" t="str">
        <f>IFERROR(VLOOKUP($A162,CP!$A$1:$U$7992,20,FALSE),"")</f>
        <v/>
      </c>
      <c r="AY162" s="272" t="str">
        <f>IFERROR(VLOOKUP($A162,CP!$A$1:$U$1,21,FALSE),"")</f>
        <v/>
      </c>
      <c r="AZ162" s="224" t="str">
        <f>IFERROR(VLOOKUP(A162,Devengado!$A$1:AJ1,35,FALSE),"")</f>
        <v/>
      </c>
      <c r="BA162" s="224" t="str">
        <f t="shared" si="19"/>
        <v/>
      </c>
      <c r="BB162" s="224" t="str">
        <f>IFERROR(AZ162/#REF!,"")</f>
        <v/>
      </c>
      <c r="BC162" s="272" t="str">
        <f>IFERROR(VLOOKUP($A162,Devengado!$A$1:$AI$1,22,FALSE),"")</f>
        <v/>
      </c>
      <c r="BD162" s="272" t="str">
        <f>IFERROR(VLOOKUP($A162,Devengado!$A$1:$AI$1,23,FALSE),"")</f>
        <v/>
      </c>
      <c r="BE162" s="272" t="str">
        <f>IFERROR(VLOOKUP($A162,Devengado!$A$1:$AI$1,24,FALSE),"")</f>
        <v/>
      </c>
      <c r="BF162" s="272" t="str">
        <f>IFERROR(VLOOKUP($A162,Devengado!$A$1:$AI$1,25,FALSE),"")</f>
        <v/>
      </c>
      <c r="BG162" s="272" t="str">
        <f>IFERROR(VLOOKUP($A162,Devengado!$A$1:$AI$1,26,FALSE),"")</f>
        <v/>
      </c>
      <c r="BH162" s="272" t="str">
        <f>IFERROR(VLOOKUP($A162,Devengado!$A$1:$AI$1,27,FALSE),"")</f>
        <v/>
      </c>
      <c r="BI162" s="272" t="str">
        <f>IFERROR(VLOOKUP($A162,Devengado!$A$1:$AI$1,28,FALSE),"")</f>
        <v/>
      </c>
      <c r="BJ162" s="272" t="str">
        <f>IFERROR(VLOOKUP($A162,Devengado!$A$1:$AI$1,29,FALSE),"")</f>
        <v/>
      </c>
      <c r="BK162" s="272" t="str">
        <f>IFERROR(VLOOKUP($A162,Devengado!$A$1:$AI$1,30,FALSE),"")</f>
        <v/>
      </c>
      <c r="BL162" s="272" t="str">
        <f>IFERROR(VLOOKUP($A162,Devengado!$A$1:$AI$1,31,FALSE),"")</f>
        <v/>
      </c>
      <c r="BM162" s="272" t="str">
        <f>IFERROR(VLOOKUP($A162,Devengado!$A$1:$AI$1,32,FALSE),"")</f>
        <v/>
      </c>
      <c r="BN162" s="272" t="str">
        <f>IFERROR(VLOOKUP($A162,Devengado!$A$1:$AI$1,33,FALSE),"")</f>
        <v/>
      </c>
      <c r="BO162" s="272">
        <f t="shared" si="20"/>
        <v>0</v>
      </c>
      <c r="BP162" s="272" t="str">
        <f t="shared" si="21"/>
        <v/>
      </c>
      <c r="BQ162" s="272"/>
      <c r="BR162" s="207" t="str">
        <f t="shared" si="22"/>
        <v>51</v>
      </c>
    </row>
    <row r="163" spans="1:70" ht="25.5" customHeight="1">
      <c r="A163" s="207">
        <v>159</v>
      </c>
      <c r="B163" s="207" t="s">
        <v>206</v>
      </c>
      <c r="C163" s="207" t="s">
        <v>77</v>
      </c>
      <c r="D163" s="207" t="s">
        <v>77</v>
      </c>
      <c r="E163" s="207" t="s">
        <v>76</v>
      </c>
      <c r="F163" s="207" t="s">
        <v>77</v>
      </c>
      <c r="G163" s="207" t="s">
        <v>77</v>
      </c>
      <c r="H163" s="207" t="s">
        <v>77</v>
      </c>
      <c r="I163" s="207" t="s">
        <v>77</v>
      </c>
      <c r="J163" s="207" t="s">
        <v>77</v>
      </c>
      <c r="K163" s="207" t="s">
        <v>77</v>
      </c>
      <c r="L163" s="207" t="s">
        <v>85</v>
      </c>
      <c r="M163" s="207" t="s">
        <v>210</v>
      </c>
      <c r="N163" s="208" t="s">
        <v>208</v>
      </c>
      <c r="O163" s="209">
        <v>80</v>
      </c>
      <c r="P163" s="208" t="s">
        <v>81</v>
      </c>
      <c r="Q163" s="208" t="s">
        <v>112</v>
      </c>
      <c r="R163" s="115" t="str">
        <f t="shared" si="16"/>
        <v>51</v>
      </c>
      <c r="S163" s="207">
        <v>510510</v>
      </c>
      <c r="T163" s="210" t="str">
        <f>VLOOKUP(S163,ITEM!$C$1:$D$156,2,FALSE)</f>
        <v>Servicios Personales por Contrato</v>
      </c>
      <c r="U163" s="208">
        <v>1700</v>
      </c>
      <c r="V163" s="208" t="s">
        <v>82</v>
      </c>
      <c r="W163" s="208" t="s">
        <v>84</v>
      </c>
      <c r="X163" s="208" t="s">
        <v>84</v>
      </c>
      <c r="Y163" s="272" t="e">
        <f>'Matriz POA 2024-TRABAJO'!#REF!</f>
        <v>#REF!</v>
      </c>
      <c r="Z163" s="272" t="e">
        <f>'Matriz POA 2024-TRABAJO'!#REF!</f>
        <v>#REF!</v>
      </c>
      <c r="AA163" s="272" t="e">
        <f>'Matriz POA 2024-TRABAJO'!#REF!</f>
        <v>#REF!</v>
      </c>
      <c r="AB163" s="272">
        <v>7147</v>
      </c>
      <c r="AC163" s="272">
        <v>7147</v>
      </c>
      <c r="AD163" s="272">
        <v>7147</v>
      </c>
      <c r="AE163" s="272">
        <v>7147</v>
      </c>
      <c r="AF163" s="272">
        <v>7147</v>
      </c>
      <c r="AG163" s="272">
        <v>7147</v>
      </c>
      <c r="AH163" s="272">
        <v>7147</v>
      </c>
      <c r="AI163" s="272">
        <v>7147</v>
      </c>
      <c r="AJ163" s="272">
        <v>7147</v>
      </c>
      <c r="AK163" s="272">
        <v>7147</v>
      </c>
      <c r="AL163" s="272">
        <v>7147</v>
      </c>
      <c r="AM163" s="272">
        <v>7147</v>
      </c>
      <c r="AN163" s="272" t="e">
        <f>SUM(#REF!)</f>
        <v>#REF!</v>
      </c>
      <c r="AO163" s="224">
        <f t="shared" si="17"/>
        <v>85764</v>
      </c>
      <c r="AP163" s="224" t="e">
        <f t="shared" si="23"/>
        <v>#REF!</v>
      </c>
      <c r="AQ163" s="272"/>
      <c r="AR163" s="272"/>
      <c r="AS163" s="272"/>
      <c r="AT163" s="272" t="str">
        <f>IFERROR(VLOOKUP($A163,'Constancias POA'!$A$2:$DH$9993,17,FALSE),"")</f>
        <v/>
      </c>
      <c r="AU163" s="272" t="str">
        <f t="shared" si="18"/>
        <v/>
      </c>
      <c r="AV163" s="224" t="str">
        <f>IFERROR(VLOOKUP($A163,CP!$A$1:$U$7992,18,FALSE),"")</f>
        <v/>
      </c>
      <c r="AW163" s="224" t="str">
        <f>IFERROR(VLOOKUP($A163,CP!$A$1:$U$7992,19,FALSE),"")</f>
        <v/>
      </c>
      <c r="AX163" s="224" t="str">
        <f>IFERROR(VLOOKUP($A163,CP!$A$1:$U$7992,20,FALSE),"")</f>
        <v/>
      </c>
      <c r="AY163" s="272" t="str">
        <f>IFERROR(VLOOKUP($A163,CP!$A$1:$U$1,21,FALSE),"")</f>
        <v/>
      </c>
      <c r="AZ163" s="224" t="str">
        <f>IFERROR(VLOOKUP(A163,Devengado!$A$1:AJ1,35,FALSE),"")</f>
        <v/>
      </c>
      <c r="BA163" s="224" t="str">
        <f t="shared" si="19"/>
        <v/>
      </c>
      <c r="BB163" s="224" t="str">
        <f>IFERROR(AZ163/#REF!,"")</f>
        <v/>
      </c>
      <c r="BC163" s="272" t="str">
        <f>IFERROR(VLOOKUP($A163,Devengado!$A$1:$AI$1,22,FALSE),"")</f>
        <v/>
      </c>
      <c r="BD163" s="272" t="str">
        <f>IFERROR(VLOOKUP($A163,Devengado!$A$1:$AI$1,23,FALSE),"")</f>
        <v/>
      </c>
      <c r="BE163" s="272" t="str">
        <f>IFERROR(VLOOKUP($A163,Devengado!$A$1:$AI$1,24,FALSE),"")</f>
        <v/>
      </c>
      <c r="BF163" s="272" t="str">
        <f>IFERROR(VLOOKUP($A163,Devengado!$A$1:$AI$1,25,FALSE),"")</f>
        <v/>
      </c>
      <c r="BG163" s="272" t="str">
        <f>IFERROR(VLOOKUP($A163,Devengado!$A$1:$AI$1,26,FALSE),"")</f>
        <v/>
      </c>
      <c r="BH163" s="272" t="str">
        <f>IFERROR(VLOOKUP($A163,Devengado!$A$1:$AI$1,27,FALSE),"")</f>
        <v/>
      </c>
      <c r="BI163" s="272" t="str">
        <f>IFERROR(VLOOKUP($A163,Devengado!$A$1:$AI$1,28,FALSE),"")</f>
        <v/>
      </c>
      <c r="BJ163" s="272" t="str">
        <f>IFERROR(VLOOKUP($A163,Devengado!$A$1:$AI$1,29,FALSE),"")</f>
        <v/>
      </c>
      <c r="BK163" s="272" t="str">
        <f>IFERROR(VLOOKUP($A163,Devengado!$A$1:$AI$1,30,FALSE),"")</f>
        <v/>
      </c>
      <c r="BL163" s="272" t="str">
        <f>IFERROR(VLOOKUP($A163,Devengado!$A$1:$AI$1,31,FALSE),"")</f>
        <v/>
      </c>
      <c r="BM163" s="272" t="str">
        <f>IFERROR(VLOOKUP($A163,Devengado!$A$1:$AI$1,32,FALSE),"")</f>
        <v/>
      </c>
      <c r="BN163" s="272" t="str">
        <f>IFERROR(VLOOKUP($A163,Devengado!$A$1:$AI$1,33,FALSE),"")</f>
        <v/>
      </c>
      <c r="BO163" s="272">
        <f t="shared" si="20"/>
        <v>0</v>
      </c>
      <c r="BP163" s="272" t="str">
        <f t="shared" si="21"/>
        <v/>
      </c>
      <c r="BQ163" s="272"/>
      <c r="BR163" s="207" t="str">
        <f t="shared" si="22"/>
        <v>51</v>
      </c>
    </row>
    <row r="164" spans="1:70" ht="25.5" customHeight="1">
      <c r="A164" s="207">
        <v>160</v>
      </c>
      <c r="B164" s="207" t="s">
        <v>206</v>
      </c>
      <c r="C164" s="207" t="s">
        <v>77</v>
      </c>
      <c r="D164" s="207" t="s">
        <v>77</v>
      </c>
      <c r="E164" s="207" t="s">
        <v>76</v>
      </c>
      <c r="F164" s="207" t="s">
        <v>77</v>
      </c>
      <c r="G164" s="207" t="s">
        <v>77</v>
      </c>
      <c r="H164" s="207" t="s">
        <v>77</v>
      </c>
      <c r="I164" s="207" t="s">
        <v>77</v>
      </c>
      <c r="J164" s="207" t="s">
        <v>77</v>
      </c>
      <c r="K164" s="207" t="s">
        <v>77</v>
      </c>
      <c r="L164" s="207" t="s">
        <v>85</v>
      </c>
      <c r="M164" s="207" t="s">
        <v>212</v>
      </c>
      <c r="N164" s="208" t="s">
        <v>208</v>
      </c>
      <c r="O164" s="209" t="s">
        <v>111</v>
      </c>
      <c r="P164" s="208" t="s">
        <v>81</v>
      </c>
      <c r="Q164" s="208" t="s">
        <v>112</v>
      </c>
      <c r="R164" s="115" t="str">
        <f t="shared" si="16"/>
        <v>51</v>
      </c>
      <c r="S164" s="207">
        <v>510512</v>
      </c>
      <c r="T164" s="210" t="str">
        <f>VLOOKUP(S164,ITEM!$C$1:$D$156,2,FALSE)</f>
        <v>Subrogación</v>
      </c>
      <c r="U164" s="208">
        <v>1700</v>
      </c>
      <c r="V164" s="208" t="s">
        <v>82</v>
      </c>
      <c r="W164" s="208" t="s">
        <v>84</v>
      </c>
      <c r="X164" s="208" t="s">
        <v>84</v>
      </c>
      <c r="Y164" s="272" t="e">
        <f>'Matriz POA 2024-TRABAJO'!#REF!</f>
        <v>#REF!</v>
      </c>
      <c r="Z164" s="272" t="e">
        <f>'Matriz POA 2024-TRABAJO'!#REF!</f>
        <v>#REF!</v>
      </c>
      <c r="AA164" s="272" t="e">
        <f>'Matriz POA 2024-TRABAJO'!#REF!</f>
        <v>#REF!</v>
      </c>
      <c r="AB164" s="272">
        <v>0</v>
      </c>
      <c r="AC164" s="272">
        <v>0</v>
      </c>
      <c r="AD164" s="272">
        <v>0</v>
      </c>
      <c r="AE164" s="272">
        <v>0</v>
      </c>
      <c r="AF164" s="272">
        <v>0</v>
      </c>
      <c r="AG164" s="272">
        <v>0</v>
      </c>
      <c r="AH164" s="272">
        <v>0</v>
      </c>
      <c r="AI164" s="272">
        <v>0</v>
      </c>
      <c r="AJ164" s="272">
        <v>0</v>
      </c>
      <c r="AK164" s="272">
        <v>0</v>
      </c>
      <c r="AL164" s="272">
        <v>0</v>
      </c>
      <c r="AM164" s="272">
        <v>0</v>
      </c>
      <c r="AN164" s="272" t="e">
        <f>SUM(#REF!)</f>
        <v>#REF!</v>
      </c>
      <c r="AO164" s="224">
        <f t="shared" si="17"/>
        <v>0</v>
      </c>
      <c r="AP164" s="224" t="e">
        <f t="shared" si="23"/>
        <v>#REF!</v>
      </c>
      <c r="AQ164" s="272"/>
      <c r="AR164" s="272"/>
      <c r="AS164" s="272"/>
      <c r="AT164" s="272" t="str">
        <f>IFERROR(VLOOKUP($A164,'Constancias POA'!$A$2:$DH$9993,17,FALSE),"")</f>
        <v/>
      </c>
      <c r="AU164" s="272" t="str">
        <f t="shared" si="18"/>
        <v/>
      </c>
      <c r="AV164" s="224" t="str">
        <f>IFERROR(VLOOKUP($A164,CP!$A$1:$U$7992,18,FALSE),"")</f>
        <v/>
      </c>
      <c r="AW164" s="224" t="str">
        <f>IFERROR(VLOOKUP($A164,CP!$A$1:$U$7992,19,FALSE),"")</f>
        <v/>
      </c>
      <c r="AX164" s="224" t="str">
        <f>IFERROR(VLOOKUP($A164,CP!$A$1:$U$7992,20,FALSE),"")</f>
        <v/>
      </c>
      <c r="AY164" s="272" t="str">
        <f>IFERROR(VLOOKUP($A164,CP!$A$1:$U$1,21,FALSE),"")</f>
        <v/>
      </c>
      <c r="AZ164" s="224" t="str">
        <f>IFERROR(VLOOKUP(A164,Devengado!$A$1:AJ1,35,FALSE),"")</f>
        <v/>
      </c>
      <c r="BA164" s="224" t="str">
        <f t="shared" si="19"/>
        <v/>
      </c>
      <c r="BB164" s="224" t="str">
        <f>IFERROR(AZ164/#REF!,"")</f>
        <v/>
      </c>
      <c r="BC164" s="272" t="str">
        <f>IFERROR(VLOOKUP($A164,Devengado!$A$1:$AI$1,22,FALSE),"")</f>
        <v/>
      </c>
      <c r="BD164" s="272" t="str">
        <f>IFERROR(VLOOKUP($A164,Devengado!$A$1:$AI$1,23,FALSE),"")</f>
        <v/>
      </c>
      <c r="BE164" s="272" t="str">
        <f>IFERROR(VLOOKUP($A164,Devengado!$A$1:$AI$1,24,FALSE),"")</f>
        <v/>
      </c>
      <c r="BF164" s="272" t="str">
        <f>IFERROR(VLOOKUP($A164,Devengado!$A$1:$AI$1,25,FALSE),"")</f>
        <v/>
      </c>
      <c r="BG164" s="272" t="str">
        <f>IFERROR(VLOOKUP($A164,Devengado!$A$1:$AI$1,26,FALSE),"")</f>
        <v/>
      </c>
      <c r="BH164" s="272" t="str">
        <f>IFERROR(VLOOKUP($A164,Devengado!$A$1:$AI$1,27,FALSE),"")</f>
        <v/>
      </c>
      <c r="BI164" s="272" t="str">
        <f>IFERROR(VLOOKUP($A164,Devengado!$A$1:$AI$1,28,FALSE),"")</f>
        <v/>
      </c>
      <c r="BJ164" s="272" t="str">
        <f>IFERROR(VLOOKUP($A164,Devengado!$A$1:$AI$1,29,FALSE),"")</f>
        <v/>
      </c>
      <c r="BK164" s="272" t="str">
        <f>IFERROR(VLOOKUP($A164,Devengado!$A$1:$AI$1,30,FALSE),"")</f>
        <v/>
      </c>
      <c r="BL164" s="272" t="str">
        <f>IFERROR(VLOOKUP($A164,Devengado!$A$1:$AI$1,31,FALSE),"")</f>
        <v/>
      </c>
      <c r="BM164" s="272" t="str">
        <f>IFERROR(VLOOKUP($A164,Devengado!$A$1:$AI$1,32,FALSE),"")</f>
        <v/>
      </c>
      <c r="BN164" s="272" t="str">
        <f>IFERROR(VLOOKUP($A164,Devengado!$A$1:$AI$1,33,FALSE),"")</f>
        <v/>
      </c>
      <c r="BO164" s="272">
        <f t="shared" si="20"/>
        <v>0</v>
      </c>
      <c r="BP164" s="272" t="str">
        <f t="shared" si="21"/>
        <v/>
      </c>
      <c r="BQ164" s="272"/>
      <c r="BR164" s="207" t="str">
        <f t="shared" si="22"/>
        <v>51</v>
      </c>
    </row>
    <row r="165" spans="1:70" ht="25.5" customHeight="1">
      <c r="A165" s="207">
        <v>161</v>
      </c>
      <c r="B165" s="207" t="s">
        <v>206</v>
      </c>
      <c r="C165" s="207" t="s">
        <v>77</v>
      </c>
      <c r="D165" s="207" t="s">
        <v>77</v>
      </c>
      <c r="E165" s="207" t="s">
        <v>76</v>
      </c>
      <c r="F165" s="207" t="s">
        <v>77</v>
      </c>
      <c r="G165" s="207" t="s">
        <v>77</v>
      </c>
      <c r="H165" s="207" t="s">
        <v>77</v>
      </c>
      <c r="I165" s="207" t="s">
        <v>77</v>
      </c>
      <c r="J165" s="207" t="s">
        <v>77</v>
      </c>
      <c r="K165" s="207" t="s">
        <v>77</v>
      </c>
      <c r="L165" s="207" t="s">
        <v>85</v>
      </c>
      <c r="M165" s="207" t="s">
        <v>210</v>
      </c>
      <c r="N165" s="208" t="s">
        <v>208</v>
      </c>
      <c r="O165" s="209">
        <v>80</v>
      </c>
      <c r="P165" s="208" t="s">
        <v>81</v>
      </c>
      <c r="Q165" s="208" t="s">
        <v>112</v>
      </c>
      <c r="R165" s="115" t="str">
        <f t="shared" si="16"/>
        <v>51</v>
      </c>
      <c r="S165" s="207">
        <v>510601</v>
      </c>
      <c r="T165" s="210" t="str">
        <f>VLOOKUP(S165,ITEM!$C$1:$D$156,2,FALSE)</f>
        <v>Aporte Patronal</v>
      </c>
      <c r="U165" s="208">
        <v>1700</v>
      </c>
      <c r="V165" s="208" t="s">
        <v>82</v>
      </c>
      <c r="W165" s="208" t="s">
        <v>84</v>
      </c>
      <c r="X165" s="208" t="s">
        <v>84</v>
      </c>
      <c r="Y165" s="272" t="e">
        <f>'Matriz POA 2024-TRABAJO'!#REF!</f>
        <v>#REF!</v>
      </c>
      <c r="Z165" s="272" t="e">
        <f>'Matriz POA 2024-TRABAJO'!#REF!</f>
        <v>#REF!</v>
      </c>
      <c r="AA165" s="272" t="e">
        <f>'Matriz POA 2024-TRABAJO'!#REF!</f>
        <v>#REF!</v>
      </c>
      <c r="AB165" s="272">
        <v>1207.6600000000001</v>
      </c>
      <c r="AC165" s="272">
        <v>1207.6600000000001</v>
      </c>
      <c r="AD165" s="272">
        <v>1207.6600000000001</v>
      </c>
      <c r="AE165" s="272">
        <v>1207.6600000000001</v>
      </c>
      <c r="AF165" s="272">
        <v>1207.6600000000001</v>
      </c>
      <c r="AG165" s="272">
        <v>1207.6600000000001</v>
      </c>
      <c r="AH165" s="272">
        <v>1207.6600000000001</v>
      </c>
      <c r="AI165" s="272">
        <v>1207.6600000000001</v>
      </c>
      <c r="AJ165" s="272">
        <v>1207.6600000000001</v>
      </c>
      <c r="AK165" s="272">
        <v>1207.6600000000001</v>
      </c>
      <c r="AL165" s="272">
        <v>1207.6600000000001</v>
      </c>
      <c r="AM165" s="272">
        <v>1406.22</v>
      </c>
      <c r="AN165" s="272">
        <v>14492.209999999997</v>
      </c>
      <c r="AO165" s="224">
        <f t="shared" si="17"/>
        <v>14690.48</v>
      </c>
      <c r="AP165" s="224" t="e">
        <f t="shared" si="23"/>
        <v>#REF!</v>
      </c>
      <c r="AQ165" s="272"/>
      <c r="AR165" s="272"/>
      <c r="AS165" s="272"/>
      <c r="AT165" s="272" t="str">
        <f>IFERROR(VLOOKUP($A165,'Constancias POA'!$A$2:$DH$9993,17,FALSE),"")</f>
        <v/>
      </c>
      <c r="AU165" s="272" t="str">
        <f t="shared" si="18"/>
        <v/>
      </c>
      <c r="AV165" s="224" t="str">
        <f>IFERROR(VLOOKUP($A165,CP!$A$1:$U$7992,18,FALSE),"")</f>
        <v/>
      </c>
      <c r="AW165" s="224" t="str">
        <f>IFERROR(VLOOKUP($A165,CP!$A$1:$U$7992,19,FALSE),"")</f>
        <v/>
      </c>
      <c r="AX165" s="224" t="str">
        <f>IFERROR(VLOOKUP($A165,CP!$A$1:$U$7992,20,FALSE),"")</f>
        <v/>
      </c>
      <c r="AY165" s="272" t="str">
        <f>IFERROR(VLOOKUP($A165,CP!$A$1:$U$1,21,FALSE),"")</f>
        <v/>
      </c>
      <c r="AZ165" s="224" t="str">
        <f>IFERROR(VLOOKUP(A165,Devengado!$A$1:AJ1,35,FALSE),"")</f>
        <v/>
      </c>
      <c r="BA165" s="224" t="str">
        <f t="shared" si="19"/>
        <v/>
      </c>
      <c r="BB165" s="224" t="str">
        <f>IFERROR(AZ165/#REF!,"")</f>
        <v/>
      </c>
      <c r="BC165" s="272" t="str">
        <f>IFERROR(VLOOKUP($A165,Devengado!$A$1:$AI$1,22,FALSE),"")</f>
        <v/>
      </c>
      <c r="BD165" s="272" t="str">
        <f>IFERROR(VLOOKUP($A165,Devengado!$A$1:$AI$1,23,FALSE),"")</f>
        <v/>
      </c>
      <c r="BE165" s="272" t="str">
        <f>IFERROR(VLOOKUP($A165,Devengado!$A$1:$AI$1,24,FALSE),"")</f>
        <v/>
      </c>
      <c r="BF165" s="272" t="str">
        <f>IFERROR(VLOOKUP($A165,Devengado!$A$1:$AI$1,25,FALSE),"")</f>
        <v/>
      </c>
      <c r="BG165" s="272" t="str">
        <f>IFERROR(VLOOKUP($A165,Devengado!$A$1:$AI$1,26,FALSE),"")</f>
        <v/>
      </c>
      <c r="BH165" s="272" t="str">
        <f>IFERROR(VLOOKUP($A165,Devengado!$A$1:$AI$1,27,FALSE),"")</f>
        <v/>
      </c>
      <c r="BI165" s="272" t="str">
        <f>IFERROR(VLOOKUP($A165,Devengado!$A$1:$AI$1,28,FALSE),"")</f>
        <v/>
      </c>
      <c r="BJ165" s="272" t="str">
        <f>IFERROR(VLOOKUP($A165,Devengado!$A$1:$AI$1,29,FALSE),"")</f>
        <v/>
      </c>
      <c r="BK165" s="272" t="str">
        <f>IFERROR(VLOOKUP($A165,Devengado!$A$1:$AI$1,30,FALSE),"")</f>
        <v/>
      </c>
      <c r="BL165" s="272" t="str">
        <f>IFERROR(VLOOKUP($A165,Devengado!$A$1:$AI$1,31,FALSE),"")</f>
        <v/>
      </c>
      <c r="BM165" s="272" t="str">
        <f>IFERROR(VLOOKUP($A165,Devengado!$A$1:$AI$1,32,FALSE),"")</f>
        <v/>
      </c>
      <c r="BN165" s="272" t="str">
        <f>IFERROR(VLOOKUP($A165,Devengado!$A$1:$AI$1,33,FALSE),"")</f>
        <v/>
      </c>
      <c r="BO165" s="272">
        <f t="shared" si="20"/>
        <v>0</v>
      </c>
      <c r="BP165" s="272" t="str">
        <f t="shared" si="21"/>
        <v/>
      </c>
      <c r="BQ165" s="272"/>
      <c r="BR165" s="207" t="str">
        <f t="shared" si="22"/>
        <v>51</v>
      </c>
    </row>
    <row r="166" spans="1:70" ht="25.5" customHeight="1">
      <c r="A166" s="207">
        <v>162</v>
      </c>
      <c r="B166" s="207" t="s">
        <v>206</v>
      </c>
      <c r="C166" s="207" t="s">
        <v>77</v>
      </c>
      <c r="D166" s="207" t="s">
        <v>77</v>
      </c>
      <c r="E166" s="207" t="s">
        <v>76</v>
      </c>
      <c r="F166" s="207" t="s">
        <v>77</v>
      </c>
      <c r="G166" s="207" t="s">
        <v>77</v>
      </c>
      <c r="H166" s="207" t="s">
        <v>77</v>
      </c>
      <c r="I166" s="207" t="s">
        <v>77</v>
      </c>
      <c r="J166" s="207" t="s">
        <v>77</v>
      </c>
      <c r="K166" s="207" t="s">
        <v>77</v>
      </c>
      <c r="L166" s="207" t="s">
        <v>85</v>
      </c>
      <c r="M166" s="207" t="s">
        <v>210</v>
      </c>
      <c r="N166" s="208" t="s">
        <v>208</v>
      </c>
      <c r="O166" s="209">
        <v>80</v>
      </c>
      <c r="P166" s="208" t="s">
        <v>81</v>
      </c>
      <c r="Q166" s="208" t="s">
        <v>112</v>
      </c>
      <c r="R166" s="115" t="str">
        <f t="shared" si="16"/>
        <v>51</v>
      </c>
      <c r="S166" s="207">
        <v>510602</v>
      </c>
      <c r="T166" s="210" t="str">
        <f>VLOOKUP(S166,ITEM!$C$1:$D$156,2,FALSE)</f>
        <v>Fondo de Reserva</v>
      </c>
      <c r="U166" s="208">
        <v>1700</v>
      </c>
      <c r="V166" s="208" t="s">
        <v>82</v>
      </c>
      <c r="W166" s="208" t="s">
        <v>84</v>
      </c>
      <c r="X166" s="208" t="s">
        <v>84</v>
      </c>
      <c r="Y166" s="272" t="e">
        <f>'Matriz POA 2024-TRABAJO'!#REF!</f>
        <v>#REF!</v>
      </c>
      <c r="Z166" s="272" t="e">
        <f>'Matriz POA 2024-TRABAJO'!#REF!</f>
        <v>#REF!</v>
      </c>
      <c r="AA166" s="272" t="e">
        <f>'Matriz POA 2024-TRABAJO'!#REF!</f>
        <v>#REF!</v>
      </c>
      <c r="AB166" s="272">
        <v>922.25</v>
      </c>
      <c r="AC166" s="272">
        <v>922.25</v>
      </c>
      <c r="AD166" s="272">
        <v>922.25</v>
      </c>
      <c r="AE166" s="272">
        <v>922.25</v>
      </c>
      <c r="AF166" s="272">
        <v>922.25</v>
      </c>
      <c r="AG166" s="272">
        <v>922.25</v>
      </c>
      <c r="AH166" s="272">
        <v>922.25</v>
      </c>
      <c r="AI166" s="272">
        <v>922.25</v>
      </c>
      <c r="AJ166" s="272">
        <v>922.25</v>
      </c>
      <c r="AK166" s="272">
        <v>970.98</v>
      </c>
      <c r="AL166" s="272">
        <v>970.98</v>
      </c>
      <c r="AM166" s="272">
        <v>1149.49</v>
      </c>
      <c r="AN166" s="272">
        <v>10727.009999999997</v>
      </c>
      <c r="AO166" s="224">
        <f t="shared" si="17"/>
        <v>11391.699999999999</v>
      </c>
      <c r="AP166" s="224" t="e">
        <f t="shared" si="23"/>
        <v>#REF!</v>
      </c>
      <c r="AQ166" s="272"/>
      <c r="AR166" s="272"/>
      <c r="AS166" s="272"/>
      <c r="AT166" s="272" t="str">
        <f>IFERROR(VLOOKUP($A166,'Constancias POA'!$A$2:$DH$9993,17,FALSE),"")</f>
        <v/>
      </c>
      <c r="AU166" s="272" t="str">
        <f t="shared" si="18"/>
        <v/>
      </c>
      <c r="AV166" s="224" t="str">
        <f>IFERROR(VLOOKUP($A166,CP!$A$1:$U$7992,18,FALSE),"")</f>
        <v/>
      </c>
      <c r="AW166" s="224" t="str">
        <f>IFERROR(VLOOKUP($A166,CP!$A$1:$U$7992,19,FALSE),"")</f>
        <v/>
      </c>
      <c r="AX166" s="224" t="str">
        <f>IFERROR(VLOOKUP($A166,CP!$A$1:$U$7992,20,FALSE),"")</f>
        <v/>
      </c>
      <c r="AY166" s="272" t="str">
        <f>IFERROR(VLOOKUP($A166,CP!$A$1:$U$1,21,FALSE),"")</f>
        <v/>
      </c>
      <c r="AZ166" s="224" t="str">
        <f>IFERROR(VLOOKUP(A166,Devengado!$A$1:AJ1,35,FALSE),"")</f>
        <v/>
      </c>
      <c r="BA166" s="224" t="str">
        <f t="shared" si="19"/>
        <v/>
      </c>
      <c r="BB166" s="224" t="str">
        <f>IFERROR(AZ166/#REF!,"")</f>
        <v/>
      </c>
      <c r="BC166" s="272" t="str">
        <f>IFERROR(VLOOKUP($A166,Devengado!$A$1:$AI$1,22,FALSE),"")</f>
        <v/>
      </c>
      <c r="BD166" s="272" t="str">
        <f>IFERROR(VLOOKUP($A166,Devengado!$A$1:$AI$1,23,FALSE),"")</f>
        <v/>
      </c>
      <c r="BE166" s="272" t="str">
        <f>IFERROR(VLOOKUP($A166,Devengado!$A$1:$AI$1,24,FALSE),"")</f>
        <v/>
      </c>
      <c r="BF166" s="272" t="str">
        <f>IFERROR(VLOOKUP($A166,Devengado!$A$1:$AI$1,25,FALSE),"")</f>
        <v/>
      </c>
      <c r="BG166" s="272" t="str">
        <f>IFERROR(VLOOKUP($A166,Devengado!$A$1:$AI$1,26,FALSE),"")</f>
        <v/>
      </c>
      <c r="BH166" s="272" t="str">
        <f>IFERROR(VLOOKUP($A166,Devengado!$A$1:$AI$1,27,FALSE),"")</f>
        <v/>
      </c>
      <c r="BI166" s="272" t="str">
        <f>IFERROR(VLOOKUP($A166,Devengado!$A$1:$AI$1,28,FALSE),"")</f>
        <v/>
      </c>
      <c r="BJ166" s="272" t="str">
        <f>IFERROR(VLOOKUP($A166,Devengado!$A$1:$AI$1,29,FALSE),"")</f>
        <v/>
      </c>
      <c r="BK166" s="272" t="str">
        <f>IFERROR(VLOOKUP($A166,Devengado!$A$1:$AI$1,30,FALSE),"")</f>
        <v/>
      </c>
      <c r="BL166" s="272" t="str">
        <f>IFERROR(VLOOKUP($A166,Devengado!$A$1:$AI$1,31,FALSE),"")</f>
        <v/>
      </c>
      <c r="BM166" s="272" t="str">
        <f>IFERROR(VLOOKUP($A166,Devengado!$A$1:$AI$1,32,FALSE),"")</f>
        <v/>
      </c>
      <c r="BN166" s="272" t="str">
        <f>IFERROR(VLOOKUP($A166,Devengado!$A$1:$AI$1,33,FALSE),"")</f>
        <v/>
      </c>
      <c r="BO166" s="272">
        <f t="shared" si="20"/>
        <v>0</v>
      </c>
      <c r="BP166" s="272" t="str">
        <f t="shared" si="21"/>
        <v/>
      </c>
      <c r="BQ166" s="272"/>
      <c r="BR166" s="207" t="str">
        <f t="shared" si="22"/>
        <v>51</v>
      </c>
    </row>
    <row r="167" spans="1:70" ht="25.5" customHeight="1">
      <c r="A167" s="207">
        <v>163</v>
      </c>
      <c r="B167" s="207" t="s">
        <v>206</v>
      </c>
      <c r="C167" s="207" t="s">
        <v>77</v>
      </c>
      <c r="D167" s="207" t="s">
        <v>77</v>
      </c>
      <c r="E167" s="207" t="s">
        <v>76</v>
      </c>
      <c r="F167" s="207" t="s">
        <v>77</v>
      </c>
      <c r="G167" s="207" t="s">
        <v>77</v>
      </c>
      <c r="H167" s="207" t="s">
        <v>77</v>
      </c>
      <c r="I167" s="207" t="s">
        <v>77</v>
      </c>
      <c r="J167" s="207" t="s">
        <v>77</v>
      </c>
      <c r="K167" s="207" t="s">
        <v>77</v>
      </c>
      <c r="L167" s="207" t="s">
        <v>85</v>
      </c>
      <c r="M167" s="207" t="s">
        <v>213</v>
      </c>
      <c r="N167" s="208" t="s">
        <v>208</v>
      </c>
      <c r="O167" s="209" t="s">
        <v>111</v>
      </c>
      <c r="P167" s="208" t="s">
        <v>81</v>
      </c>
      <c r="Q167" s="208" t="s">
        <v>112</v>
      </c>
      <c r="R167" s="115" t="str">
        <f t="shared" si="16"/>
        <v>53</v>
      </c>
      <c r="S167" s="207">
        <v>530101</v>
      </c>
      <c r="T167" s="210" t="str">
        <f>VLOOKUP(S167,ITEM!$C$1:$D$156,2,FALSE)</f>
        <v>Agua Potable</v>
      </c>
      <c r="U167" s="208" t="s">
        <v>83</v>
      </c>
      <c r="V167" s="208" t="s">
        <v>82</v>
      </c>
      <c r="W167" s="208" t="s">
        <v>84</v>
      </c>
      <c r="X167" s="208" t="s">
        <v>84</v>
      </c>
      <c r="Y167" s="272" t="e">
        <f>'Matriz POA 2024-TRABAJO'!#REF!</f>
        <v>#REF!</v>
      </c>
      <c r="Z167" s="272" t="e">
        <f>'Matriz POA 2024-TRABAJO'!#REF!</f>
        <v>#REF!</v>
      </c>
      <c r="AA167" s="272" t="e">
        <f>'Matriz POA 2024-TRABAJO'!#REF!</f>
        <v>#REF!</v>
      </c>
      <c r="AB167" s="272">
        <v>98.75</v>
      </c>
      <c r="AC167" s="272">
        <v>21.15</v>
      </c>
      <c r="AD167" s="272">
        <v>39.6</v>
      </c>
      <c r="AE167" s="272">
        <v>3.48</v>
      </c>
      <c r="AF167" s="272">
        <v>40.79</v>
      </c>
      <c r="AG167" s="272">
        <v>3.48</v>
      </c>
      <c r="AH167" s="272">
        <v>78.03</v>
      </c>
      <c r="AI167" s="272">
        <v>0</v>
      </c>
      <c r="AJ167" s="272">
        <v>117.12</v>
      </c>
      <c r="AK167" s="272">
        <v>77.52</v>
      </c>
      <c r="AL167" s="272">
        <v>3.48</v>
      </c>
      <c r="AM167" s="272">
        <v>166.6</v>
      </c>
      <c r="AN167" s="272" t="e">
        <f>SUM(#REF!)</f>
        <v>#REF!</v>
      </c>
      <c r="AO167" s="224">
        <f t="shared" si="17"/>
        <v>650</v>
      </c>
      <c r="AP167" s="224" t="e">
        <f t="shared" si="23"/>
        <v>#REF!</v>
      </c>
      <c r="AQ167" s="272"/>
      <c r="AR167" s="272"/>
      <c r="AS167" s="272"/>
      <c r="AT167" s="272" t="str">
        <f>IFERROR(VLOOKUP($A167,'Constancias POA'!$A$2:$DH$9993,17,FALSE),"")</f>
        <v/>
      </c>
      <c r="AU167" s="272" t="str">
        <f t="shared" si="18"/>
        <v/>
      </c>
      <c r="AV167" s="224" t="str">
        <f>IFERROR(VLOOKUP($A167,CP!$A$1:$U$7992,18,FALSE),"")</f>
        <v/>
      </c>
      <c r="AW167" s="224" t="str">
        <f>IFERROR(VLOOKUP($A167,CP!$A$1:$U$7992,19,FALSE),"")</f>
        <v/>
      </c>
      <c r="AX167" s="224" t="str">
        <f>IFERROR(VLOOKUP($A167,CP!$A$1:$U$7992,20,FALSE),"")</f>
        <v/>
      </c>
      <c r="AY167" s="272" t="str">
        <f>IFERROR(VLOOKUP($A167,CP!$A$1:$U$1,21,FALSE),"")</f>
        <v/>
      </c>
      <c r="AZ167" s="224" t="str">
        <f>IFERROR(VLOOKUP(A167,Devengado!$A$1:AJ1,35,FALSE),"")</f>
        <v/>
      </c>
      <c r="BA167" s="224" t="str">
        <f t="shared" si="19"/>
        <v/>
      </c>
      <c r="BB167" s="224" t="str">
        <f>IFERROR(AZ167/#REF!,"")</f>
        <v/>
      </c>
      <c r="BC167" s="272" t="str">
        <f>IFERROR(VLOOKUP($A167,Devengado!$A$1:$AI$1,22,FALSE),"")</f>
        <v/>
      </c>
      <c r="BD167" s="272" t="str">
        <f>IFERROR(VLOOKUP($A167,Devengado!$A$1:$AI$1,23,FALSE),"")</f>
        <v/>
      </c>
      <c r="BE167" s="272" t="str">
        <f>IFERROR(VLOOKUP($A167,Devengado!$A$1:$AI$1,24,FALSE),"")</f>
        <v/>
      </c>
      <c r="BF167" s="272" t="str">
        <f>IFERROR(VLOOKUP($A167,Devengado!$A$1:$AI$1,25,FALSE),"")</f>
        <v/>
      </c>
      <c r="BG167" s="272" t="str">
        <f>IFERROR(VLOOKUP($A167,Devengado!$A$1:$AI$1,26,FALSE),"")</f>
        <v/>
      </c>
      <c r="BH167" s="272" t="str">
        <f>IFERROR(VLOOKUP($A167,Devengado!$A$1:$AI$1,27,FALSE),"")</f>
        <v/>
      </c>
      <c r="BI167" s="272" t="str">
        <f>IFERROR(VLOOKUP($A167,Devengado!$A$1:$AI$1,28,FALSE),"")</f>
        <v/>
      </c>
      <c r="BJ167" s="272" t="str">
        <f>IFERROR(VLOOKUP($A167,Devengado!$A$1:$AI$1,29,FALSE),"")</f>
        <v/>
      </c>
      <c r="BK167" s="272" t="str">
        <f>IFERROR(VLOOKUP($A167,Devengado!$A$1:$AI$1,30,FALSE),"")</f>
        <v/>
      </c>
      <c r="BL167" s="272" t="str">
        <f>IFERROR(VLOOKUP($A167,Devengado!$A$1:$AI$1,31,FALSE),"")</f>
        <v/>
      </c>
      <c r="BM167" s="272" t="str">
        <f>IFERROR(VLOOKUP($A167,Devengado!$A$1:$AI$1,32,FALSE),"")</f>
        <v/>
      </c>
      <c r="BN167" s="272" t="str">
        <f>IFERROR(VLOOKUP($A167,Devengado!$A$1:$AI$1,33,FALSE),"")</f>
        <v/>
      </c>
      <c r="BO167" s="272">
        <f t="shared" si="20"/>
        <v>0</v>
      </c>
      <c r="BP167" s="272" t="str">
        <f t="shared" si="21"/>
        <v/>
      </c>
      <c r="BQ167" s="272"/>
      <c r="BR167" s="207" t="str">
        <f t="shared" si="22"/>
        <v>53</v>
      </c>
    </row>
    <row r="168" spans="1:70" ht="25.5" customHeight="1">
      <c r="A168" s="207">
        <v>164</v>
      </c>
      <c r="B168" s="207" t="s">
        <v>206</v>
      </c>
      <c r="C168" s="207" t="s">
        <v>77</v>
      </c>
      <c r="D168" s="207" t="s">
        <v>77</v>
      </c>
      <c r="E168" s="207" t="s">
        <v>76</v>
      </c>
      <c r="F168" s="207" t="s">
        <v>77</v>
      </c>
      <c r="G168" s="207" t="s">
        <v>77</v>
      </c>
      <c r="H168" s="207" t="s">
        <v>77</v>
      </c>
      <c r="I168" s="207" t="s">
        <v>77</v>
      </c>
      <c r="J168" s="207" t="s">
        <v>77</v>
      </c>
      <c r="K168" s="207" t="s">
        <v>77</v>
      </c>
      <c r="L168" s="207" t="s">
        <v>85</v>
      </c>
      <c r="M168" s="207" t="s">
        <v>214</v>
      </c>
      <c r="N168" s="208" t="s">
        <v>208</v>
      </c>
      <c r="O168" s="209" t="s">
        <v>111</v>
      </c>
      <c r="P168" s="208" t="s">
        <v>81</v>
      </c>
      <c r="Q168" s="208" t="s">
        <v>112</v>
      </c>
      <c r="R168" s="115" t="str">
        <f t="shared" si="16"/>
        <v>53</v>
      </c>
      <c r="S168" s="207">
        <v>530104</v>
      </c>
      <c r="T168" s="210" t="str">
        <f>VLOOKUP(S168,ITEM!$C$1:$D$156,2,FALSE)</f>
        <v>Energía Eléctrica</v>
      </c>
      <c r="U168" s="208" t="s">
        <v>83</v>
      </c>
      <c r="V168" s="208" t="s">
        <v>82</v>
      </c>
      <c r="W168" s="208" t="s">
        <v>84</v>
      </c>
      <c r="X168" s="208" t="s">
        <v>84</v>
      </c>
      <c r="Y168" s="272" t="e">
        <f>'Matriz POA 2024-TRABAJO'!#REF!</f>
        <v>#REF!</v>
      </c>
      <c r="Z168" s="272" t="e">
        <f>'Matriz POA 2024-TRABAJO'!#REF!</f>
        <v>#REF!</v>
      </c>
      <c r="AA168" s="272" t="e">
        <f>'Matriz POA 2024-TRABAJO'!#REF!</f>
        <v>#REF!</v>
      </c>
      <c r="AB168" s="272">
        <v>299.22000000000003</v>
      </c>
      <c r="AC168" s="272">
        <v>196.25</v>
      </c>
      <c r="AD168" s="272">
        <v>150.41</v>
      </c>
      <c r="AE168" s="272">
        <v>162.65</v>
      </c>
      <c r="AF168" s="272">
        <v>183.92</v>
      </c>
      <c r="AG168" s="272">
        <v>13.19</v>
      </c>
      <c r="AH168" s="272">
        <v>64.27</v>
      </c>
      <c r="AI168" s="272">
        <v>1106.3800000000001</v>
      </c>
      <c r="AJ168" s="272">
        <v>167.71</v>
      </c>
      <c r="AK168" s="272">
        <v>165.65</v>
      </c>
      <c r="AL168" s="272">
        <v>242.75</v>
      </c>
      <c r="AM168" s="272">
        <v>227</v>
      </c>
      <c r="AN168" s="272" t="e">
        <f>SUM(#REF!)</f>
        <v>#REF!</v>
      </c>
      <c r="AO168" s="224">
        <f t="shared" si="17"/>
        <v>2979.4</v>
      </c>
      <c r="AP168" s="224" t="e">
        <f t="shared" si="23"/>
        <v>#REF!</v>
      </c>
      <c r="AQ168" s="272"/>
      <c r="AR168" s="272"/>
      <c r="AS168" s="272"/>
      <c r="AT168" s="272" t="str">
        <f>IFERROR(VLOOKUP($A168,'Constancias POA'!$A$2:$DH$9993,17,FALSE),"")</f>
        <v/>
      </c>
      <c r="AU168" s="272" t="str">
        <f t="shared" si="18"/>
        <v/>
      </c>
      <c r="AV168" s="224" t="str">
        <f>IFERROR(VLOOKUP($A168,CP!$A$1:$U$7992,18,FALSE),"")</f>
        <v/>
      </c>
      <c r="AW168" s="224" t="str">
        <f>IFERROR(VLOOKUP($A168,CP!$A$1:$U$7992,19,FALSE),"")</f>
        <v/>
      </c>
      <c r="AX168" s="224" t="str">
        <f>IFERROR(VLOOKUP($A168,CP!$A$1:$U$7992,20,FALSE),"")</f>
        <v/>
      </c>
      <c r="AY168" s="272" t="str">
        <f>IFERROR(VLOOKUP($A168,CP!$A$1:$U$1,21,FALSE),"")</f>
        <v/>
      </c>
      <c r="AZ168" s="224" t="str">
        <f>IFERROR(VLOOKUP(A168,Devengado!$A$1:AJ1,35,FALSE),"")</f>
        <v/>
      </c>
      <c r="BA168" s="224" t="str">
        <f t="shared" si="19"/>
        <v/>
      </c>
      <c r="BB168" s="224" t="str">
        <f>IFERROR(AZ168/#REF!,"")</f>
        <v/>
      </c>
      <c r="BC168" s="272" t="str">
        <f>IFERROR(VLOOKUP($A168,Devengado!$A$1:$AI$1,22,FALSE),"")</f>
        <v/>
      </c>
      <c r="BD168" s="272" t="str">
        <f>IFERROR(VLOOKUP($A168,Devengado!$A$1:$AI$1,23,FALSE),"")</f>
        <v/>
      </c>
      <c r="BE168" s="272" t="str">
        <f>IFERROR(VLOOKUP($A168,Devengado!$A$1:$AI$1,24,FALSE),"")</f>
        <v/>
      </c>
      <c r="BF168" s="272" t="str">
        <f>IFERROR(VLOOKUP($A168,Devengado!$A$1:$AI$1,25,FALSE),"")</f>
        <v/>
      </c>
      <c r="BG168" s="272" t="str">
        <f>IFERROR(VLOOKUP($A168,Devengado!$A$1:$AI$1,26,FALSE),"")</f>
        <v/>
      </c>
      <c r="BH168" s="272" t="str">
        <f>IFERROR(VLOOKUP($A168,Devengado!$A$1:$AI$1,27,FALSE),"")</f>
        <v/>
      </c>
      <c r="BI168" s="272" t="str">
        <f>IFERROR(VLOOKUP($A168,Devengado!$A$1:$AI$1,28,FALSE),"")</f>
        <v/>
      </c>
      <c r="BJ168" s="272" t="str">
        <f>IFERROR(VLOOKUP($A168,Devengado!$A$1:$AI$1,29,FALSE),"")</f>
        <v/>
      </c>
      <c r="BK168" s="272" t="str">
        <f>IFERROR(VLOOKUP($A168,Devengado!$A$1:$AI$1,30,FALSE),"")</f>
        <v/>
      </c>
      <c r="BL168" s="272" t="str">
        <f>IFERROR(VLOOKUP($A168,Devengado!$A$1:$AI$1,31,FALSE),"")</f>
        <v/>
      </c>
      <c r="BM168" s="272" t="str">
        <f>IFERROR(VLOOKUP($A168,Devengado!$A$1:$AI$1,32,FALSE),"")</f>
        <v/>
      </c>
      <c r="BN168" s="272" t="str">
        <f>IFERROR(VLOOKUP($A168,Devengado!$A$1:$AI$1,33,FALSE),"")</f>
        <v/>
      </c>
      <c r="BO168" s="272">
        <f t="shared" si="20"/>
        <v>0</v>
      </c>
      <c r="BP168" s="272" t="str">
        <f t="shared" si="21"/>
        <v/>
      </c>
      <c r="BQ168" s="272"/>
      <c r="BR168" s="207" t="str">
        <f t="shared" si="22"/>
        <v>53</v>
      </c>
    </row>
    <row r="169" spans="1:70" ht="25.5" customHeight="1">
      <c r="A169" s="207">
        <v>165</v>
      </c>
      <c r="B169" s="207" t="s">
        <v>206</v>
      </c>
      <c r="C169" s="207" t="s">
        <v>77</v>
      </c>
      <c r="D169" s="207" t="s">
        <v>77</v>
      </c>
      <c r="E169" s="207" t="s">
        <v>76</v>
      </c>
      <c r="F169" s="207" t="s">
        <v>77</v>
      </c>
      <c r="G169" s="207" t="s">
        <v>77</v>
      </c>
      <c r="H169" s="207" t="s">
        <v>77</v>
      </c>
      <c r="I169" s="207" t="s">
        <v>77</v>
      </c>
      <c r="J169" s="207" t="s">
        <v>77</v>
      </c>
      <c r="K169" s="207" t="s">
        <v>77</v>
      </c>
      <c r="L169" s="207" t="s">
        <v>85</v>
      </c>
      <c r="M169" s="207" t="s">
        <v>215</v>
      </c>
      <c r="N169" s="208" t="s">
        <v>208</v>
      </c>
      <c r="O169" s="209" t="s">
        <v>111</v>
      </c>
      <c r="P169" s="208" t="s">
        <v>81</v>
      </c>
      <c r="Q169" s="208" t="s">
        <v>112</v>
      </c>
      <c r="R169" s="115" t="str">
        <f t="shared" si="16"/>
        <v>53</v>
      </c>
      <c r="S169" s="207">
        <v>530105</v>
      </c>
      <c r="T169" s="210" t="str">
        <f>VLOOKUP(S169,ITEM!$C$1:$D$156,2,FALSE)</f>
        <v>Telecomunicaciones</v>
      </c>
      <c r="U169" s="208" t="s">
        <v>83</v>
      </c>
      <c r="V169" s="208" t="s">
        <v>82</v>
      </c>
      <c r="W169" s="208" t="s">
        <v>84</v>
      </c>
      <c r="X169" s="208" t="s">
        <v>84</v>
      </c>
      <c r="Y169" s="272" t="e">
        <f>'Matriz POA 2024-TRABAJO'!#REF!</f>
        <v>#REF!</v>
      </c>
      <c r="Z169" s="272" t="e">
        <f>'Matriz POA 2024-TRABAJO'!#REF!</f>
        <v>#REF!</v>
      </c>
      <c r="AA169" s="272" t="e">
        <f>'Matriz POA 2024-TRABAJO'!#REF!</f>
        <v>#REF!</v>
      </c>
      <c r="AB169" s="272">
        <v>38.950000000000003</v>
      </c>
      <c r="AC169" s="272">
        <v>35.130000000000003</v>
      </c>
      <c r="AD169" s="272">
        <v>35.19</v>
      </c>
      <c r="AE169" s="272">
        <v>34.56</v>
      </c>
      <c r="AF169" s="272">
        <v>37.61</v>
      </c>
      <c r="AG169" s="272">
        <v>35.130000000000003</v>
      </c>
      <c r="AH169" s="272">
        <v>44.09</v>
      </c>
      <c r="AI169" s="272">
        <v>33.33</v>
      </c>
      <c r="AJ169" s="272">
        <v>33.85</v>
      </c>
      <c r="AK169" s="272">
        <v>34.35</v>
      </c>
      <c r="AL169" s="272">
        <v>268.39</v>
      </c>
      <c r="AM169" s="272">
        <v>0</v>
      </c>
      <c r="AN169" s="272" t="e">
        <f>SUM(#REF!)</f>
        <v>#REF!</v>
      </c>
      <c r="AO169" s="224">
        <f t="shared" si="17"/>
        <v>630.57999999999993</v>
      </c>
      <c r="AP169" s="224" t="e">
        <f t="shared" si="23"/>
        <v>#REF!</v>
      </c>
      <c r="AQ169" s="272"/>
      <c r="AR169" s="272"/>
      <c r="AS169" s="272"/>
      <c r="AT169" s="272" t="str">
        <f>IFERROR(VLOOKUP($A169,'Constancias POA'!$A$2:$DH$9993,17,FALSE),"")</f>
        <v/>
      </c>
      <c r="AU169" s="272" t="str">
        <f t="shared" si="18"/>
        <v/>
      </c>
      <c r="AV169" s="224" t="str">
        <f>IFERROR(VLOOKUP($A169,CP!$A$1:$U$7992,18,FALSE),"")</f>
        <v/>
      </c>
      <c r="AW169" s="224" t="str">
        <f>IFERROR(VLOOKUP($A169,CP!$A$1:$U$7992,19,FALSE),"")</f>
        <v/>
      </c>
      <c r="AX169" s="224" t="str">
        <f>IFERROR(VLOOKUP($A169,CP!$A$1:$U$7992,20,FALSE),"")</f>
        <v/>
      </c>
      <c r="AY169" s="272" t="str">
        <f>IFERROR(VLOOKUP($A169,CP!$A$1:$U$1,21,FALSE),"")</f>
        <v/>
      </c>
      <c r="AZ169" s="224" t="str">
        <f>IFERROR(VLOOKUP(A169,Devengado!$A$1:AJ1,35,FALSE),"")</f>
        <v/>
      </c>
      <c r="BA169" s="224" t="str">
        <f t="shared" si="19"/>
        <v/>
      </c>
      <c r="BB169" s="224" t="str">
        <f>IFERROR(AZ169/#REF!,"")</f>
        <v/>
      </c>
      <c r="BC169" s="272" t="str">
        <f>IFERROR(VLOOKUP($A169,Devengado!$A$1:$AI$1,22,FALSE),"")</f>
        <v/>
      </c>
      <c r="BD169" s="272" t="str">
        <f>IFERROR(VLOOKUP($A169,Devengado!$A$1:$AI$1,23,FALSE),"")</f>
        <v/>
      </c>
      <c r="BE169" s="272" t="str">
        <f>IFERROR(VLOOKUP($A169,Devengado!$A$1:$AI$1,24,FALSE),"")</f>
        <v/>
      </c>
      <c r="BF169" s="272" t="str">
        <f>IFERROR(VLOOKUP($A169,Devengado!$A$1:$AI$1,25,FALSE),"")</f>
        <v/>
      </c>
      <c r="BG169" s="272" t="str">
        <f>IFERROR(VLOOKUP($A169,Devengado!$A$1:$AI$1,26,FALSE),"")</f>
        <v/>
      </c>
      <c r="BH169" s="272" t="str">
        <f>IFERROR(VLOOKUP($A169,Devengado!$A$1:$AI$1,27,FALSE),"")</f>
        <v/>
      </c>
      <c r="BI169" s="272" t="str">
        <f>IFERROR(VLOOKUP($A169,Devengado!$A$1:$AI$1,28,FALSE),"")</f>
        <v/>
      </c>
      <c r="BJ169" s="272" t="str">
        <f>IFERROR(VLOOKUP($A169,Devengado!$A$1:$AI$1,29,FALSE),"")</f>
        <v/>
      </c>
      <c r="BK169" s="272" t="str">
        <f>IFERROR(VLOOKUP($A169,Devengado!$A$1:$AI$1,30,FALSE),"")</f>
        <v/>
      </c>
      <c r="BL169" s="272" t="str">
        <f>IFERROR(VLOOKUP($A169,Devengado!$A$1:$AI$1,31,FALSE),"")</f>
        <v/>
      </c>
      <c r="BM169" s="272" t="str">
        <f>IFERROR(VLOOKUP($A169,Devengado!$A$1:$AI$1,32,FALSE),"")</f>
        <v/>
      </c>
      <c r="BN169" s="272" t="str">
        <f>IFERROR(VLOOKUP($A169,Devengado!$A$1:$AI$1,33,FALSE),"")</f>
        <v/>
      </c>
      <c r="BO169" s="272">
        <f t="shared" si="20"/>
        <v>0</v>
      </c>
      <c r="BP169" s="272" t="str">
        <f t="shared" si="21"/>
        <v/>
      </c>
      <c r="BQ169" s="272"/>
      <c r="BR169" s="207" t="str">
        <f t="shared" si="22"/>
        <v>53</v>
      </c>
    </row>
    <row r="170" spans="1:70" ht="25.5" customHeight="1">
      <c r="A170" s="207">
        <v>166</v>
      </c>
      <c r="B170" s="207" t="s">
        <v>206</v>
      </c>
      <c r="C170" s="207" t="s">
        <v>77</v>
      </c>
      <c r="D170" s="207" t="s">
        <v>77</v>
      </c>
      <c r="E170" s="207" t="s">
        <v>76</v>
      </c>
      <c r="F170" s="207" t="s">
        <v>77</v>
      </c>
      <c r="G170" s="207" t="s">
        <v>77</v>
      </c>
      <c r="H170" s="207" t="s">
        <v>77</v>
      </c>
      <c r="I170" s="207" t="s">
        <v>77</v>
      </c>
      <c r="J170" s="207" t="s">
        <v>77</v>
      </c>
      <c r="K170" s="207" t="s">
        <v>77</v>
      </c>
      <c r="L170" s="207" t="s">
        <v>85</v>
      </c>
      <c r="M170" s="207" t="s">
        <v>216</v>
      </c>
      <c r="N170" s="208" t="s">
        <v>208</v>
      </c>
      <c r="O170" s="209" t="s">
        <v>111</v>
      </c>
      <c r="P170" s="208" t="s">
        <v>81</v>
      </c>
      <c r="Q170" s="208" t="s">
        <v>112</v>
      </c>
      <c r="R170" s="115" t="str">
        <f t="shared" si="16"/>
        <v>53</v>
      </c>
      <c r="S170" s="207">
        <v>530106</v>
      </c>
      <c r="T170" s="210" t="str">
        <f>VLOOKUP(S170,ITEM!$C$1:$D$156,2,FALSE)</f>
        <v>Servicio de Correo</v>
      </c>
      <c r="U170" s="208" t="s">
        <v>83</v>
      </c>
      <c r="V170" s="208" t="s">
        <v>82</v>
      </c>
      <c r="W170" s="208" t="s">
        <v>84</v>
      </c>
      <c r="X170" s="208" t="s">
        <v>84</v>
      </c>
      <c r="Y170" s="272" t="e">
        <f>'Matriz POA 2024-TRABAJO'!#REF!</f>
        <v>#REF!</v>
      </c>
      <c r="Z170" s="272" t="e">
        <f>'Matriz POA 2024-TRABAJO'!#REF!</f>
        <v>#REF!</v>
      </c>
      <c r="AA170" s="272" t="e">
        <f>'Matriz POA 2024-TRABAJO'!#REF!</f>
        <v>#REF!</v>
      </c>
      <c r="AB170" s="272">
        <v>0</v>
      </c>
      <c r="AC170" s="272">
        <v>29.09</v>
      </c>
      <c r="AD170" s="272">
        <v>0</v>
      </c>
      <c r="AE170" s="272">
        <v>23.62</v>
      </c>
      <c r="AF170" s="272">
        <v>0</v>
      </c>
      <c r="AG170" s="272">
        <v>0</v>
      </c>
      <c r="AH170" s="272">
        <v>51.48</v>
      </c>
      <c r="AI170" s="272">
        <v>0</v>
      </c>
      <c r="AJ170" s="272">
        <v>0</v>
      </c>
      <c r="AK170" s="272">
        <v>0</v>
      </c>
      <c r="AL170" s="272">
        <v>0</v>
      </c>
      <c r="AM170" s="272">
        <v>0</v>
      </c>
      <c r="AN170" s="272" t="e">
        <f>SUM(#REF!)</f>
        <v>#REF!</v>
      </c>
      <c r="AO170" s="224">
        <f t="shared" si="17"/>
        <v>104.19</v>
      </c>
      <c r="AP170" s="224" t="e">
        <f t="shared" si="23"/>
        <v>#REF!</v>
      </c>
      <c r="AQ170" s="272"/>
      <c r="AR170" s="272"/>
      <c r="AS170" s="272"/>
      <c r="AT170" s="272" t="str">
        <f>IFERROR(VLOOKUP($A170,'Constancias POA'!$A$2:$DH$9993,17,FALSE),"")</f>
        <v/>
      </c>
      <c r="AU170" s="272" t="str">
        <f t="shared" si="18"/>
        <v/>
      </c>
      <c r="AV170" s="224" t="str">
        <f>IFERROR(VLOOKUP($A170,CP!$A$1:$U$7992,18,FALSE),"")</f>
        <v/>
      </c>
      <c r="AW170" s="224" t="str">
        <f>IFERROR(VLOOKUP($A170,CP!$A$1:$U$7992,19,FALSE),"")</f>
        <v/>
      </c>
      <c r="AX170" s="224" t="str">
        <f>IFERROR(VLOOKUP($A170,CP!$A$1:$U$7992,20,FALSE),"")</f>
        <v/>
      </c>
      <c r="AY170" s="272" t="str">
        <f>IFERROR(VLOOKUP($A170,CP!$A$1:$U$1,21,FALSE),"")</f>
        <v/>
      </c>
      <c r="AZ170" s="224" t="str">
        <f>IFERROR(VLOOKUP(A170,Devengado!$A$1:AJ1,35,FALSE),"")</f>
        <v/>
      </c>
      <c r="BA170" s="224" t="str">
        <f t="shared" si="19"/>
        <v/>
      </c>
      <c r="BB170" s="224" t="str">
        <f>IFERROR(AZ170/#REF!,"")</f>
        <v/>
      </c>
      <c r="BC170" s="272" t="str">
        <f>IFERROR(VLOOKUP($A170,Devengado!$A$1:$AI$1,22,FALSE),"")</f>
        <v/>
      </c>
      <c r="BD170" s="272" t="str">
        <f>IFERROR(VLOOKUP($A170,Devengado!$A$1:$AI$1,23,FALSE),"")</f>
        <v/>
      </c>
      <c r="BE170" s="272" t="str">
        <f>IFERROR(VLOOKUP($A170,Devengado!$A$1:$AI$1,24,FALSE),"")</f>
        <v/>
      </c>
      <c r="BF170" s="272" t="str">
        <f>IFERROR(VLOOKUP($A170,Devengado!$A$1:$AI$1,25,FALSE),"")</f>
        <v/>
      </c>
      <c r="BG170" s="272" t="str">
        <f>IFERROR(VLOOKUP($A170,Devengado!$A$1:$AI$1,26,FALSE),"")</f>
        <v/>
      </c>
      <c r="BH170" s="272" t="str">
        <f>IFERROR(VLOOKUP($A170,Devengado!$A$1:$AI$1,27,FALSE),"")</f>
        <v/>
      </c>
      <c r="BI170" s="272" t="str">
        <f>IFERROR(VLOOKUP($A170,Devengado!$A$1:$AI$1,28,FALSE),"")</f>
        <v/>
      </c>
      <c r="BJ170" s="272" t="str">
        <f>IFERROR(VLOOKUP($A170,Devengado!$A$1:$AI$1,29,FALSE),"")</f>
        <v/>
      </c>
      <c r="BK170" s="272" t="str">
        <f>IFERROR(VLOOKUP($A170,Devengado!$A$1:$AI$1,30,FALSE),"")</f>
        <v/>
      </c>
      <c r="BL170" s="272" t="str">
        <f>IFERROR(VLOOKUP($A170,Devengado!$A$1:$AI$1,31,FALSE),"")</f>
        <v/>
      </c>
      <c r="BM170" s="272" t="str">
        <f>IFERROR(VLOOKUP($A170,Devengado!$A$1:$AI$1,32,FALSE),"")</f>
        <v/>
      </c>
      <c r="BN170" s="272" t="str">
        <f>IFERROR(VLOOKUP($A170,Devengado!$A$1:$AI$1,33,FALSE),"")</f>
        <v/>
      </c>
      <c r="BO170" s="272">
        <f t="shared" si="20"/>
        <v>0</v>
      </c>
      <c r="BP170" s="272" t="str">
        <f t="shared" si="21"/>
        <v/>
      </c>
      <c r="BQ170" s="272"/>
      <c r="BR170" s="207" t="str">
        <f t="shared" si="22"/>
        <v>53</v>
      </c>
    </row>
    <row r="171" spans="1:70" ht="25.5" customHeight="1">
      <c r="A171" s="207">
        <v>167</v>
      </c>
      <c r="B171" s="207" t="s">
        <v>206</v>
      </c>
      <c r="C171" s="207" t="s">
        <v>77</v>
      </c>
      <c r="D171" s="207" t="s">
        <v>77</v>
      </c>
      <c r="E171" s="207" t="s">
        <v>76</v>
      </c>
      <c r="F171" s="207" t="s">
        <v>77</v>
      </c>
      <c r="G171" s="207" t="s">
        <v>77</v>
      </c>
      <c r="H171" s="207" t="s">
        <v>77</v>
      </c>
      <c r="I171" s="207" t="s">
        <v>77</v>
      </c>
      <c r="J171" s="207" t="s">
        <v>77</v>
      </c>
      <c r="K171" s="207" t="s">
        <v>77</v>
      </c>
      <c r="L171" s="207" t="s">
        <v>85</v>
      </c>
      <c r="M171" s="207" t="s">
        <v>217</v>
      </c>
      <c r="N171" s="208" t="s">
        <v>208</v>
      </c>
      <c r="O171" s="209" t="s">
        <v>111</v>
      </c>
      <c r="P171" s="208" t="s">
        <v>81</v>
      </c>
      <c r="Q171" s="208" t="s">
        <v>112</v>
      </c>
      <c r="R171" s="115" t="str">
        <f t="shared" si="16"/>
        <v>53</v>
      </c>
      <c r="S171" s="207">
        <v>530201</v>
      </c>
      <c r="T171" s="210" t="str">
        <f>VLOOKUP(S171,ITEM!$C$1:$D$156,2,FALSE)</f>
        <v>Transporte de Personal</v>
      </c>
      <c r="U171" s="208" t="s">
        <v>83</v>
      </c>
      <c r="V171" s="208" t="s">
        <v>82</v>
      </c>
      <c r="W171" s="208" t="s">
        <v>84</v>
      </c>
      <c r="X171" s="208" t="s">
        <v>84</v>
      </c>
      <c r="Y171" s="272" t="e">
        <f>'Matriz POA 2024-TRABAJO'!#REF!</f>
        <v>#REF!</v>
      </c>
      <c r="Z171" s="272" t="e">
        <f>'Matriz POA 2024-TRABAJO'!#REF!</f>
        <v>#REF!</v>
      </c>
      <c r="AA171" s="272" t="e">
        <f>'Matriz POA 2024-TRABAJO'!#REF!</f>
        <v>#REF!</v>
      </c>
      <c r="AB171" s="272">
        <v>0</v>
      </c>
      <c r="AC171" s="272">
        <v>83.8</v>
      </c>
      <c r="AD171" s="272">
        <v>0</v>
      </c>
      <c r="AE171" s="272">
        <v>30.84</v>
      </c>
      <c r="AF171" s="272">
        <v>12.05</v>
      </c>
      <c r="AG171" s="272">
        <v>0</v>
      </c>
      <c r="AH171" s="272">
        <v>53.7</v>
      </c>
      <c r="AI171" s="272">
        <v>0</v>
      </c>
      <c r="AJ171" s="272">
        <v>2.1</v>
      </c>
      <c r="AK171" s="272">
        <v>0</v>
      </c>
      <c r="AL171" s="272">
        <v>29.05</v>
      </c>
      <c r="AM171" s="272">
        <v>0</v>
      </c>
      <c r="AN171" s="272" t="e">
        <f>SUM(#REF!)</f>
        <v>#REF!</v>
      </c>
      <c r="AO171" s="224">
        <f t="shared" si="17"/>
        <v>211.54</v>
      </c>
      <c r="AP171" s="224" t="e">
        <f t="shared" si="23"/>
        <v>#REF!</v>
      </c>
      <c r="AQ171" s="272"/>
      <c r="AR171" s="272"/>
      <c r="AS171" s="272"/>
      <c r="AT171" s="272" t="str">
        <f>IFERROR(VLOOKUP($A171,'Constancias POA'!$A$2:$DH$9993,17,FALSE),"")</f>
        <v/>
      </c>
      <c r="AU171" s="272" t="str">
        <f t="shared" si="18"/>
        <v/>
      </c>
      <c r="AV171" s="224" t="str">
        <f>IFERROR(VLOOKUP($A171,CP!$A$1:$U$7992,18,FALSE),"")</f>
        <v/>
      </c>
      <c r="AW171" s="224" t="str">
        <f>IFERROR(VLOOKUP($A171,CP!$A$1:$U$7992,19,FALSE),"")</f>
        <v/>
      </c>
      <c r="AX171" s="224" t="str">
        <f>IFERROR(VLOOKUP($A171,CP!$A$1:$U$7992,20,FALSE),"")</f>
        <v/>
      </c>
      <c r="AY171" s="272" t="str">
        <f>IFERROR(VLOOKUP($A171,CP!$A$1:$U$1,21,FALSE),"")</f>
        <v/>
      </c>
      <c r="AZ171" s="224" t="str">
        <f>IFERROR(VLOOKUP(A171,Devengado!$A$1:AJ1,35,FALSE),"")</f>
        <v/>
      </c>
      <c r="BA171" s="224" t="str">
        <f t="shared" si="19"/>
        <v/>
      </c>
      <c r="BB171" s="224" t="str">
        <f>IFERROR(AZ171/#REF!,"")</f>
        <v/>
      </c>
      <c r="BC171" s="272" t="str">
        <f>IFERROR(VLOOKUP($A171,Devengado!$A$1:$AI$1,22,FALSE),"")</f>
        <v/>
      </c>
      <c r="BD171" s="272" t="str">
        <f>IFERROR(VLOOKUP($A171,Devengado!$A$1:$AI$1,23,FALSE),"")</f>
        <v/>
      </c>
      <c r="BE171" s="272" t="str">
        <f>IFERROR(VLOOKUP($A171,Devengado!$A$1:$AI$1,24,FALSE),"")</f>
        <v/>
      </c>
      <c r="BF171" s="272" t="str">
        <f>IFERROR(VLOOKUP($A171,Devengado!$A$1:$AI$1,25,FALSE),"")</f>
        <v/>
      </c>
      <c r="BG171" s="272" t="str">
        <f>IFERROR(VLOOKUP($A171,Devengado!$A$1:$AI$1,26,FALSE),"")</f>
        <v/>
      </c>
      <c r="BH171" s="272" t="str">
        <f>IFERROR(VLOOKUP($A171,Devengado!$A$1:$AI$1,27,FALSE),"")</f>
        <v/>
      </c>
      <c r="BI171" s="272" t="str">
        <f>IFERROR(VLOOKUP($A171,Devengado!$A$1:$AI$1,28,FALSE),"")</f>
        <v/>
      </c>
      <c r="BJ171" s="272" t="str">
        <f>IFERROR(VLOOKUP($A171,Devengado!$A$1:$AI$1,29,FALSE),"")</f>
        <v/>
      </c>
      <c r="BK171" s="272" t="str">
        <f>IFERROR(VLOOKUP($A171,Devengado!$A$1:$AI$1,30,FALSE),"")</f>
        <v/>
      </c>
      <c r="BL171" s="272" t="str">
        <f>IFERROR(VLOOKUP($A171,Devengado!$A$1:$AI$1,31,FALSE),"")</f>
        <v/>
      </c>
      <c r="BM171" s="272" t="str">
        <f>IFERROR(VLOOKUP($A171,Devengado!$A$1:$AI$1,32,FALSE),"")</f>
        <v/>
      </c>
      <c r="BN171" s="272" t="str">
        <f>IFERROR(VLOOKUP($A171,Devengado!$A$1:$AI$1,33,FALSE),"")</f>
        <v/>
      </c>
      <c r="BO171" s="272">
        <f t="shared" si="20"/>
        <v>0</v>
      </c>
      <c r="BP171" s="272" t="str">
        <f t="shared" si="21"/>
        <v/>
      </c>
      <c r="BQ171" s="272"/>
      <c r="BR171" s="207" t="str">
        <f t="shared" si="22"/>
        <v>53</v>
      </c>
    </row>
    <row r="172" spans="1:70" ht="25.5" customHeight="1">
      <c r="A172" s="207">
        <v>168</v>
      </c>
      <c r="B172" s="207" t="s">
        <v>206</v>
      </c>
      <c r="C172" s="207" t="s">
        <v>77</v>
      </c>
      <c r="D172" s="207" t="s">
        <v>77</v>
      </c>
      <c r="E172" s="207" t="s">
        <v>76</v>
      </c>
      <c r="F172" s="207" t="s">
        <v>77</v>
      </c>
      <c r="G172" s="207" t="s">
        <v>77</v>
      </c>
      <c r="H172" s="207" t="s">
        <v>77</v>
      </c>
      <c r="I172" s="207" t="s">
        <v>77</v>
      </c>
      <c r="J172" s="207" t="s">
        <v>77</v>
      </c>
      <c r="K172" s="207" t="s">
        <v>77</v>
      </c>
      <c r="L172" s="207" t="s">
        <v>85</v>
      </c>
      <c r="M172" s="207" t="s">
        <v>218</v>
      </c>
      <c r="N172" s="208" t="s">
        <v>208</v>
      </c>
      <c r="O172" s="209" t="s">
        <v>111</v>
      </c>
      <c r="P172" s="208" t="s">
        <v>81</v>
      </c>
      <c r="Q172" s="208" t="s">
        <v>112</v>
      </c>
      <c r="R172" s="115" t="str">
        <f t="shared" si="16"/>
        <v>53</v>
      </c>
      <c r="S172" s="207">
        <v>530202</v>
      </c>
      <c r="T172" s="210" t="str">
        <f>VLOOKUP(S172,ITEM!$C$1:$D$156,2,FALSE)</f>
        <v>Fletes y Maniobras</v>
      </c>
      <c r="U172" s="208" t="s">
        <v>83</v>
      </c>
      <c r="V172" s="208" t="s">
        <v>82</v>
      </c>
      <c r="W172" s="208" t="s">
        <v>84</v>
      </c>
      <c r="X172" s="208" t="s">
        <v>84</v>
      </c>
      <c r="Y172" s="272" t="e">
        <f>'Matriz POA 2024-TRABAJO'!#REF!</f>
        <v>#REF!</v>
      </c>
      <c r="Z172" s="272" t="e">
        <f>'Matriz POA 2024-TRABAJO'!#REF!</f>
        <v>#REF!</v>
      </c>
      <c r="AA172" s="272" t="e">
        <f>'Matriz POA 2024-TRABAJO'!#REF!</f>
        <v>#REF!</v>
      </c>
      <c r="AB172" s="272">
        <v>0</v>
      </c>
      <c r="AC172" s="272">
        <v>0</v>
      </c>
      <c r="AD172" s="272">
        <v>0</v>
      </c>
      <c r="AE172" s="272">
        <v>0</v>
      </c>
      <c r="AF172" s="272">
        <v>0</v>
      </c>
      <c r="AG172" s="272">
        <v>0</v>
      </c>
      <c r="AH172" s="272">
        <v>0</v>
      </c>
      <c r="AI172" s="272">
        <v>0</v>
      </c>
      <c r="AJ172" s="272">
        <v>0</v>
      </c>
      <c r="AK172" s="272">
        <v>0</v>
      </c>
      <c r="AL172" s="272">
        <v>0</v>
      </c>
      <c r="AM172" s="272">
        <v>0</v>
      </c>
      <c r="AN172" s="272" t="e">
        <f>SUM(#REF!)</f>
        <v>#REF!</v>
      </c>
      <c r="AO172" s="224">
        <f t="shared" si="17"/>
        <v>0</v>
      </c>
      <c r="AP172" s="224" t="e">
        <f t="shared" si="23"/>
        <v>#REF!</v>
      </c>
      <c r="AQ172" s="272"/>
      <c r="AR172" s="272"/>
      <c r="AS172" s="272"/>
      <c r="AT172" s="272" t="str">
        <f>IFERROR(VLOOKUP($A172,'Constancias POA'!$A$2:$DH$9993,17,FALSE),"")</f>
        <v/>
      </c>
      <c r="AU172" s="272" t="str">
        <f t="shared" si="18"/>
        <v/>
      </c>
      <c r="AV172" s="224" t="str">
        <f>IFERROR(VLOOKUP($A172,CP!$A$1:$U$7992,18,FALSE),"")</f>
        <v/>
      </c>
      <c r="AW172" s="224" t="str">
        <f>IFERROR(VLOOKUP($A172,CP!$A$1:$U$7992,19,FALSE),"")</f>
        <v/>
      </c>
      <c r="AX172" s="224" t="str">
        <f>IFERROR(VLOOKUP($A172,CP!$A$1:$U$7992,20,FALSE),"")</f>
        <v/>
      </c>
      <c r="AY172" s="272" t="str">
        <f>IFERROR(VLOOKUP($A172,CP!$A$1:$U$1,21,FALSE),"")</f>
        <v/>
      </c>
      <c r="AZ172" s="224" t="str">
        <f>IFERROR(VLOOKUP(A172,Devengado!$A$1:AJ1,35,FALSE),"")</f>
        <v/>
      </c>
      <c r="BA172" s="224" t="str">
        <f t="shared" si="19"/>
        <v/>
      </c>
      <c r="BB172" s="224" t="str">
        <f>IFERROR(AZ172/#REF!,"")</f>
        <v/>
      </c>
      <c r="BC172" s="272" t="str">
        <f>IFERROR(VLOOKUP($A172,Devengado!$A$1:$AI$1,22,FALSE),"")</f>
        <v/>
      </c>
      <c r="BD172" s="272" t="str">
        <f>IFERROR(VLOOKUP($A172,Devengado!$A$1:$AI$1,23,FALSE),"")</f>
        <v/>
      </c>
      <c r="BE172" s="272" t="str">
        <f>IFERROR(VLOOKUP($A172,Devengado!$A$1:$AI$1,24,FALSE),"")</f>
        <v/>
      </c>
      <c r="BF172" s="272" t="str">
        <f>IFERROR(VLOOKUP($A172,Devengado!$A$1:$AI$1,25,FALSE),"")</f>
        <v/>
      </c>
      <c r="BG172" s="272" t="str">
        <f>IFERROR(VLOOKUP($A172,Devengado!$A$1:$AI$1,26,FALSE),"")</f>
        <v/>
      </c>
      <c r="BH172" s="272" t="str">
        <f>IFERROR(VLOOKUP($A172,Devengado!$A$1:$AI$1,27,FALSE),"")</f>
        <v/>
      </c>
      <c r="BI172" s="272" t="str">
        <f>IFERROR(VLOOKUP($A172,Devengado!$A$1:$AI$1,28,FALSE),"")</f>
        <v/>
      </c>
      <c r="BJ172" s="272" t="str">
        <f>IFERROR(VLOOKUP($A172,Devengado!$A$1:$AI$1,29,FALSE),"")</f>
        <v/>
      </c>
      <c r="BK172" s="272" t="str">
        <f>IFERROR(VLOOKUP($A172,Devengado!$A$1:$AI$1,30,FALSE),"")</f>
        <v/>
      </c>
      <c r="BL172" s="272" t="str">
        <f>IFERROR(VLOOKUP($A172,Devengado!$A$1:$AI$1,31,FALSE),"")</f>
        <v/>
      </c>
      <c r="BM172" s="272" t="str">
        <f>IFERROR(VLOOKUP($A172,Devengado!$A$1:$AI$1,32,FALSE),"")</f>
        <v/>
      </c>
      <c r="BN172" s="272" t="str">
        <f>IFERROR(VLOOKUP($A172,Devengado!$A$1:$AI$1,33,FALSE),"")</f>
        <v/>
      </c>
      <c r="BO172" s="272">
        <f t="shared" si="20"/>
        <v>0</v>
      </c>
      <c r="BP172" s="272" t="str">
        <f t="shared" si="21"/>
        <v/>
      </c>
      <c r="BQ172" s="272"/>
      <c r="BR172" s="207" t="str">
        <f t="shared" si="22"/>
        <v>53</v>
      </c>
    </row>
    <row r="173" spans="1:70" ht="25.5" customHeight="1">
      <c r="A173" s="207">
        <v>169</v>
      </c>
      <c r="B173" s="207" t="s">
        <v>206</v>
      </c>
      <c r="C173" s="207" t="s">
        <v>77</v>
      </c>
      <c r="D173" s="207" t="s">
        <v>77</v>
      </c>
      <c r="E173" s="207" t="s">
        <v>76</v>
      </c>
      <c r="F173" s="207" t="s">
        <v>77</v>
      </c>
      <c r="G173" s="207" t="s">
        <v>77</v>
      </c>
      <c r="H173" s="207" t="s">
        <v>77</v>
      </c>
      <c r="I173" s="207" t="s">
        <v>77</v>
      </c>
      <c r="J173" s="207" t="s">
        <v>77</v>
      </c>
      <c r="K173" s="207" t="s">
        <v>77</v>
      </c>
      <c r="L173" s="207" t="s">
        <v>85</v>
      </c>
      <c r="M173" s="207" t="s">
        <v>219</v>
      </c>
      <c r="N173" s="208" t="s">
        <v>208</v>
      </c>
      <c r="O173" s="209" t="s">
        <v>111</v>
      </c>
      <c r="P173" s="208" t="s">
        <v>81</v>
      </c>
      <c r="Q173" s="208" t="s">
        <v>112</v>
      </c>
      <c r="R173" s="115" t="str">
        <f t="shared" si="16"/>
        <v>53</v>
      </c>
      <c r="S173" s="207">
        <v>530203</v>
      </c>
      <c r="T173" s="210" t="str">
        <f>VLOOKUP(S173,ITEM!$C$1:$D$156,2,FALSE)</f>
        <v>Almacenamiento, Embalaje, Desembalaje, Envase, Desenvase y Recarga de Extintores</v>
      </c>
      <c r="U173" s="208" t="s">
        <v>83</v>
      </c>
      <c r="V173" s="208" t="s">
        <v>82</v>
      </c>
      <c r="W173" s="208" t="s">
        <v>84</v>
      </c>
      <c r="X173" s="208" t="s">
        <v>84</v>
      </c>
      <c r="Y173" s="272" t="e">
        <f>'Matriz POA 2024-TRABAJO'!#REF!</f>
        <v>#REF!</v>
      </c>
      <c r="Z173" s="272" t="e">
        <f>'Matriz POA 2024-TRABAJO'!#REF!</f>
        <v>#REF!</v>
      </c>
      <c r="AA173" s="272" t="e">
        <f>'Matriz POA 2024-TRABAJO'!#REF!</f>
        <v>#REF!</v>
      </c>
      <c r="AB173" s="272">
        <v>0</v>
      </c>
      <c r="AC173" s="272">
        <v>0</v>
      </c>
      <c r="AD173" s="272">
        <v>0</v>
      </c>
      <c r="AE173" s="272">
        <v>0</v>
      </c>
      <c r="AF173" s="272">
        <v>0</v>
      </c>
      <c r="AG173" s="272">
        <v>50</v>
      </c>
      <c r="AH173" s="272">
        <v>0</v>
      </c>
      <c r="AI173" s="272">
        <v>0</v>
      </c>
      <c r="AJ173" s="272">
        <v>0</v>
      </c>
      <c r="AK173" s="272">
        <v>0</v>
      </c>
      <c r="AL173" s="272">
        <v>100</v>
      </c>
      <c r="AM173" s="272">
        <v>0</v>
      </c>
      <c r="AN173" s="272" t="e">
        <f>SUM(#REF!)</f>
        <v>#REF!</v>
      </c>
      <c r="AO173" s="224">
        <f t="shared" si="17"/>
        <v>150</v>
      </c>
      <c r="AP173" s="224" t="e">
        <f t="shared" si="23"/>
        <v>#REF!</v>
      </c>
      <c r="AQ173" s="272"/>
      <c r="AR173" s="272"/>
      <c r="AS173" s="272"/>
      <c r="AT173" s="272" t="str">
        <f>IFERROR(VLOOKUP($A173,'Constancias POA'!$A$2:$DH$9993,17,FALSE),"")</f>
        <v/>
      </c>
      <c r="AU173" s="272" t="str">
        <f t="shared" si="18"/>
        <v/>
      </c>
      <c r="AV173" s="224" t="str">
        <f>IFERROR(VLOOKUP($A173,CP!$A$1:$U$7992,18,FALSE),"")</f>
        <v/>
      </c>
      <c r="AW173" s="224" t="str">
        <f>IFERROR(VLOOKUP($A173,CP!$A$1:$U$7992,19,FALSE),"")</f>
        <v/>
      </c>
      <c r="AX173" s="224" t="str">
        <f>IFERROR(VLOOKUP($A173,CP!$A$1:$U$7992,20,FALSE),"")</f>
        <v/>
      </c>
      <c r="AY173" s="272" t="str">
        <f>IFERROR(VLOOKUP($A173,CP!$A$1:$U$1,21,FALSE),"")</f>
        <v/>
      </c>
      <c r="AZ173" s="224" t="str">
        <f>IFERROR(VLOOKUP(A173,Devengado!$A$1:AJ1,35,FALSE),"")</f>
        <v/>
      </c>
      <c r="BA173" s="224" t="str">
        <f t="shared" si="19"/>
        <v/>
      </c>
      <c r="BB173" s="224" t="str">
        <f>IFERROR(AZ173/#REF!,"")</f>
        <v/>
      </c>
      <c r="BC173" s="272" t="str">
        <f>IFERROR(VLOOKUP($A173,Devengado!$A$1:$AI$1,22,FALSE),"")</f>
        <v/>
      </c>
      <c r="BD173" s="272" t="str">
        <f>IFERROR(VLOOKUP($A173,Devengado!$A$1:$AI$1,23,FALSE),"")</f>
        <v/>
      </c>
      <c r="BE173" s="272" t="str">
        <f>IFERROR(VLOOKUP($A173,Devengado!$A$1:$AI$1,24,FALSE),"")</f>
        <v/>
      </c>
      <c r="BF173" s="272" t="str">
        <f>IFERROR(VLOOKUP($A173,Devengado!$A$1:$AI$1,25,FALSE),"")</f>
        <v/>
      </c>
      <c r="BG173" s="272" t="str">
        <f>IFERROR(VLOOKUP($A173,Devengado!$A$1:$AI$1,26,FALSE),"")</f>
        <v/>
      </c>
      <c r="BH173" s="272" t="str">
        <f>IFERROR(VLOOKUP($A173,Devengado!$A$1:$AI$1,27,FALSE),"")</f>
        <v/>
      </c>
      <c r="BI173" s="272" t="str">
        <f>IFERROR(VLOOKUP($A173,Devengado!$A$1:$AI$1,28,FALSE),"")</f>
        <v/>
      </c>
      <c r="BJ173" s="272" t="str">
        <f>IFERROR(VLOOKUP($A173,Devengado!$A$1:$AI$1,29,FALSE),"")</f>
        <v/>
      </c>
      <c r="BK173" s="272" t="str">
        <f>IFERROR(VLOOKUP($A173,Devengado!$A$1:$AI$1,30,FALSE),"")</f>
        <v/>
      </c>
      <c r="BL173" s="272" t="str">
        <f>IFERROR(VLOOKUP($A173,Devengado!$A$1:$AI$1,31,FALSE),"")</f>
        <v/>
      </c>
      <c r="BM173" s="272" t="str">
        <f>IFERROR(VLOOKUP($A173,Devengado!$A$1:$AI$1,32,FALSE),"")</f>
        <v/>
      </c>
      <c r="BN173" s="272" t="str">
        <f>IFERROR(VLOOKUP($A173,Devengado!$A$1:$AI$1,33,FALSE),"")</f>
        <v/>
      </c>
      <c r="BO173" s="272">
        <f t="shared" si="20"/>
        <v>0</v>
      </c>
      <c r="BP173" s="272" t="str">
        <f t="shared" si="21"/>
        <v/>
      </c>
      <c r="BQ173" s="272"/>
      <c r="BR173" s="207" t="str">
        <f t="shared" si="22"/>
        <v>53</v>
      </c>
    </row>
    <row r="174" spans="1:70" ht="25.5" customHeight="1">
      <c r="A174" s="207">
        <v>170</v>
      </c>
      <c r="B174" s="207" t="s">
        <v>206</v>
      </c>
      <c r="C174" s="207" t="s">
        <v>77</v>
      </c>
      <c r="D174" s="207" t="s">
        <v>77</v>
      </c>
      <c r="E174" s="207" t="s">
        <v>76</v>
      </c>
      <c r="F174" s="207" t="s">
        <v>77</v>
      </c>
      <c r="G174" s="207" t="s">
        <v>77</v>
      </c>
      <c r="H174" s="207" t="s">
        <v>77</v>
      </c>
      <c r="I174" s="207" t="s">
        <v>77</v>
      </c>
      <c r="J174" s="207" t="s">
        <v>77</v>
      </c>
      <c r="K174" s="207" t="s">
        <v>77</v>
      </c>
      <c r="L174" s="207" t="s">
        <v>85</v>
      </c>
      <c r="M174" s="207" t="s">
        <v>220</v>
      </c>
      <c r="N174" s="208" t="s">
        <v>208</v>
      </c>
      <c r="O174" s="209" t="s">
        <v>111</v>
      </c>
      <c r="P174" s="208" t="s">
        <v>81</v>
      </c>
      <c r="Q174" s="208" t="s">
        <v>112</v>
      </c>
      <c r="R174" s="115" t="str">
        <f t="shared" si="16"/>
        <v>53</v>
      </c>
      <c r="S174" s="207">
        <v>530204</v>
      </c>
      <c r="T174" s="210" t="str">
        <f>VLOOKUP(S174,ITEM!$C$1:$D$156,2,FALSE)</f>
        <v>Edición, Impresión, Reproducción, Publicaciones, Suscripciones, Fotocopiado, Traducción, Empastado, Enmarcación,
Serigrafía, Fotografía, Carnetización, Filmación e Imágenes Satelitales.</v>
      </c>
      <c r="U174" s="208" t="s">
        <v>83</v>
      </c>
      <c r="V174" s="208" t="s">
        <v>82</v>
      </c>
      <c r="W174" s="208" t="s">
        <v>84</v>
      </c>
      <c r="X174" s="208" t="s">
        <v>84</v>
      </c>
      <c r="Y174" s="272" t="e">
        <f>'Matriz POA 2024-TRABAJO'!#REF!</f>
        <v>#REF!</v>
      </c>
      <c r="Z174" s="272" t="e">
        <f>'Matriz POA 2024-TRABAJO'!#REF!</f>
        <v>#REF!</v>
      </c>
      <c r="AA174" s="272" t="e">
        <f>'Matriz POA 2024-TRABAJO'!#REF!</f>
        <v>#REF!</v>
      </c>
      <c r="AB174" s="272">
        <v>0</v>
      </c>
      <c r="AC174" s="272">
        <v>0</v>
      </c>
      <c r="AD174" s="272">
        <v>0</v>
      </c>
      <c r="AE174" s="272">
        <v>0</v>
      </c>
      <c r="AF174" s="272">
        <v>94.81</v>
      </c>
      <c r="AG174" s="272">
        <v>0</v>
      </c>
      <c r="AH174" s="272">
        <v>0</v>
      </c>
      <c r="AI174" s="272">
        <v>0</v>
      </c>
      <c r="AJ174" s="272">
        <v>0</v>
      </c>
      <c r="AK174" s="272">
        <v>0</v>
      </c>
      <c r="AL174" s="272">
        <v>0</v>
      </c>
      <c r="AM174" s="272">
        <v>0</v>
      </c>
      <c r="AN174" s="272" t="e">
        <f>SUM(#REF!)</f>
        <v>#REF!</v>
      </c>
      <c r="AO174" s="224">
        <f t="shared" si="17"/>
        <v>94.81</v>
      </c>
      <c r="AP174" s="224" t="e">
        <f t="shared" si="23"/>
        <v>#REF!</v>
      </c>
      <c r="AQ174" s="272"/>
      <c r="AR174" s="272"/>
      <c r="AS174" s="272"/>
      <c r="AT174" s="272" t="str">
        <f>IFERROR(VLOOKUP($A174,'Constancias POA'!$A$2:$DH$9993,17,FALSE),"")</f>
        <v/>
      </c>
      <c r="AU174" s="272" t="str">
        <f t="shared" si="18"/>
        <v/>
      </c>
      <c r="AV174" s="224" t="str">
        <f>IFERROR(VLOOKUP($A174,CP!$A$1:$U$7992,18,FALSE),"")</f>
        <v/>
      </c>
      <c r="AW174" s="224" t="str">
        <f>IFERROR(VLOOKUP($A174,CP!$A$1:$U$7992,19,FALSE),"")</f>
        <v/>
      </c>
      <c r="AX174" s="224" t="str">
        <f>IFERROR(VLOOKUP($A174,CP!$A$1:$U$7992,20,FALSE),"")</f>
        <v/>
      </c>
      <c r="AY174" s="272" t="str">
        <f>IFERROR(VLOOKUP($A174,CP!$A$1:$U$1,21,FALSE),"")</f>
        <v/>
      </c>
      <c r="AZ174" s="224" t="str">
        <f>IFERROR(VLOOKUP(A174,Devengado!$A$1:AJ1,35,FALSE),"")</f>
        <v/>
      </c>
      <c r="BA174" s="224" t="str">
        <f t="shared" si="19"/>
        <v/>
      </c>
      <c r="BB174" s="224" t="str">
        <f>IFERROR(AZ174/#REF!,"")</f>
        <v/>
      </c>
      <c r="BC174" s="272" t="str">
        <f>IFERROR(VLOOKUP($A174,Devengado!$A$1:$AI$1,22,FALSE),"")</f>
        <v/>
      </c>
      <c r="BD174" s="272" t="str">
        <f>IFERROR(VLOOKUP($A174,Devengado!$A$1:$AI$1,23,FALSE),"")</f>
        <v/>
      </c>
      <c r="BE174" s="272" t="str">
        <f>IFERROR(VLOOKUP($A174,Devengado!$A$1:$AI$1,24,FALSE),"")</f>
        <v/>
      </c>
      <c r="BF174" s="272" t="str">
        <f>IFERROR(VLOOKUP($A174,Devengado!$A$1:$AI$1,25,FALSE),"")</f>
        <v/>
      </c>
      <c r="BG174" s="272" t="str">
        <f>IFERROR(VLOOKUP($A174,Devengado!$A$1:$AI$1,26,FALSE),"")</f>
        <v/>
      </c>
      <c r="BH174" s="272" t="str">
        <f>IFERROR(VLOOKUP($A174,Devengado!$A$1:$AI$1,27,FALSE),"")</f>
        <v/>
      </c>
      <c r="BI174" s="272" t="str">
        <f>IFERROR(VLOOKUP($A174,Devengado!$A$1:$AI$1,28,FALSE),"")</f>
        <v/>
      </c>
      <c r="BJ174" s="272" t="str">
        <f>IFERROR(VLOOKUP($A174,Devengado!$A$1:$AI$1,29,FALSE),"")</f>
        <v/>
      </c>
      <c r="BK174" s="272" t="str">
        <f>IFERROR(VLOOKUP($A174,Devengado!$A$1:$AI$1,30,FALSE),"")</f>
        <v/>
      </c>
      <c r="BL174" s="272" t="str">
        <f>IFERROR(VLOOKUP($A174,Devengado!$A$1:$AI$1,31,FALSE),"")</f>
        <v/>
      </c>
      <c r="BM174" s="272" t="str">
        <f>IFERROR(VLOOKUP($A174,Devengado!$A$1:$AI$1,32,FALSE),"")</f>
        <v/>
      </c>
      <c r="BN174" s="272" t="str">
        <f>IFERROR(VLOOKUP($A174,Devengado!$A$1:$AI$1,33,FALSE),"")</f>
        <v/>
      </c>
      <c r="BO174" s="272">
        <f t="shared" si="20"/>
        <v>0</v>
      </c>
      <c r="BP174" s="272" t="str">
        <f t="shared" si="21"/>
        <v/>
      </c>
      <c r="BQ174" s="272"/>
      <c r="BR174" s="207" t="str">
        <f t="shared" si="22"/>
        <v>53</v>
      </c>
    </row>
    <row r="175" spans="1:70" ht="25.5" customHeight="1">
      <c r="A175" s="207">
        <v>171</v>
      </c>
      <c r="B175" s="207" t="s">
        <v>206</v>
      </c>
      <c r="C175" s="207" t="s">
        <v>77</v>
      </c>
      <c r="D175" s="207" t="s">
        <v>77</v>
      </c>
      <c r="E175" s="207" t="s">
        <v>76</v>
      </c>
      <c r="F175" s="207" t="s">
        <v>77</v>
      </c>
      <c r="G175" s="207" t="s">
        <v>77</v>
      </c>
      <c r="H175" s="207" t="s">
        <v>77</v>
      </c>
      <c r="I175" s="207" t="s">
        <v>77</v>
      </c>
      <c r="J175" s="207" t="s">
        <v>77</v>
      </c>
      <c r="K175" s="207" t="s">
        <v>77</v>
      </c>
      <c r="L175" s="207" t="s">
        <v>78</v>
      </c>
      <c r="M175" s="207" t="s">
        <v>221</v>
      </c>
      <c r="N175" s="208" t="s">
        <v>208</v>
      </c>
      <c r="O175" s="209" t="s">
        <v>111</v>
      </c>
      <c r="P175" s="208" t="s">
        <v>81</v>
      </c>
      <c r="Q175" s="208" t="s">
        <v>112</v>
      </c>
      <c r="R175" s="115" t="str">
        <f t="shared" si="16"/>
        <v>53</v>
      </c>
      <c r="S175" s="207">
        <v>530208</v>
      </c>
      <c r="T175" s="210" t="str">
        <f>VLOOKUP(S175,ITEM!$C$1:$D$156,2,FALSE)</f>
        <v>Servicio de Seguridad y Vigilancia</v>
      </c>
      <c r="U175" s="208" t="s">
        <v>83</v>
      </c>
      <c r="V175" s="208" t="s">
        <v>82</v>
      </c>
      <c r="W175" s="208" t="s">
        <v>84</v>
      </c>
      <c r="X175" s="208" t="s">
        <v>84</v>
      </c>
      <c r="Y175" s="272" t="e">
        <f>'Matriz POA 2024-TRABAJO'!#REF!</f>
        <v>#REF!</v>
      </c>
      <c r="Z175" s="272" t="e">
        <f>'Matriz POA 2024-TRABAJO'!#REF!</f>
        <v>#REF!</v>
      </c>
      <c r="AA175" s="272" t="e">
        <f>'Matriz POA 2024-TRABAJO'!#REF!</f>
        <v>#REF!</v>
      </c>
      <c r="AB175" s="272">
        <v>1772</v>
      </c>
      <c r="AC175" s="272">
        <v>1772</v>
      </c>
      <c r="AD175" s="272">
        <v>1772</v>
      </c>
      <c r="AE175" s="272">
        <v>1772</v>
      </c>
      <c r="AF175" s="272">
        <v>1771</v>
      </c>
      <c r="AG175" s="272">
        <v>1768.84</v>
      </c>
      <c r="AH175" s="272">
        <v>0</v>
      </c>
      <c r="AI175" s="272">
        <v>0</v>
      </c>
      <c r="AJ175" s="272">
        <v>0</v>
      </c>
      <c r="AK175" s="272">
        <v>0</v>
      </c>
      <c r="AL175" s="272">
        <v>0</v>
      </c>
      <c r="AM175" s="272">
        <v>0</v>
      </c>
      <c r="AN175" s="272" t="e">
        <f>SUM(#REF!)</f>
        <v>#REF!</v>
      </c>
      <c r="AO175" s="224">
        <f t="shared" si="17"/>
        <v>10627.84</v>
      </c>
      <c r="AP175" s="224" t="e">
        <f t="shared" si="23"/>
        <v>#REF!</v>
      </c>
      <c r="AQ175" s="272"/>
      <c r="AR175" s="272"/>
      <c r="AS175" s="272"/>
      <c r="AT175" s="272" t="str">
        <f>IFERROR(VLOOKUP($A175,'Constancias POA'!$A$2:$DH$9993,17,FALSE),"")</f>
        <v/>
      </c>
      <c r="AU175" s="272" t="str">
        <f t="shared" si="18"/>
        <v/>
      </c>
      <c r="AV175" s="224" t="str">
        <f>IFERROR(VLOOKUP($A175,CP!$A$1:$U$7992,18,FALSE),"")</f>
        <v/>
      </c>
      <c r="AW175" s="224" t="str">
        <f>IFERROR(VLOOKUP($A175,CP!$A$1:$U$7992,19,FALSE),"")</f>
        <v/>
      </c>
      <c r="AX175" s="224" t="str">
        <f>IFERROR(VLOOKUP($A175,CP!$A$1:$U$7992,20,FALSE),"")</f>
        <v/>
      </c>
      <c r="AY175" s="272" t="str">
        <f>IFERROR(VLOOKUP($A175,CP!$A$1:$U$1,21,FALSE),"")</f>
        <v/>
      </c>
      <c r="AZ175" s="224" t="str">
        <f>IFERROR(VLOOKUP(A175,Devengado!$A$1:AJ1,35,FALSE),"")</f>
        <v/>
      </c>
      <c r="BA175" s="224" t="str">
        <f t="shared" si="19"/>
        <v/>
      </c>
      <c r="BB175" s="224" t="str">
        <f>IFERROR(AZ175/#REF!,"")</f>
        <v/>
      </c>
      <c r="BC175" s="272" t="str">
        <f>IFERROR(VLOOKUP($A175,Devengado!$A$1:$AI$1,22,FALSE),"")</f>
        <v/>
      </c>
      <c r="BD175" s="272" t="str">
        <f>IFERROR(VLOOKUP($A175,Devengado!$A$1:$AI$1,23,FALSE),"")</f>
        <v/>
      </c>
      <c r="BE175" s="272" t="str">
        <f>IFERROR(VLOOKUP($A175,Devengado!$A$1:$AI$1,24,FALSE),"")</f>
        <v/>
      </c>
      <c r="BF175" s="272" t="str">
        <f>IFERROR(VLOOKUP($A175,Devengado!$A$1:$AI$1,25,FALSE),"")</f>
        <v/>
      </c>
      <c r="BG175" s="272" t="str">
        <f>IFERROR(VLOOKUP($A175,Devengado!$A$1:$AI$1,26,FALSE),"")</f>
        <v/>
      </c>
      <c r="BH175" s="272" t="str">
        <f>IFERROR(VLOOKUP($A175,Devengado!$A$1:$AI$1,27,FALSE),"")</f>
        <v/>
      </c>
      <c r="BI175" s="272" t="str">
        <f>IFERROR(VLOOKUP($A175,Devengado!$A$1:$AI$1,28,FALSE),"")</f>
        <v/>
      </c>
      <c r="BJ175" s="272" t="str">
        <f>IFERROR(VLOOKUP($A175,Devengado!$A$1:$AI$1,29,FALSE),"")</f>
        <v/>
      </c>
      <c r="BK175" s="272" t="str">
        <f>IFERROR(VLOOKUP($A175,Devengado!$A$1:$AI$1,30,FALSE),"")</f>
        <v/>
      </c>
      <c r="BL175" s="272" t="str">
        <f>IFERROR(VLOOKUP($A175,Devengado!$A$1:$AI$1,31,FALSE),"")</f>
        <v/>
      </c>
      <c r="BM175" s="272" t="str">
        <f>IFERROR(VLOOKUP($A175,Devengado!$A$1:$AI$1,32,FALSE),"")</f>
        <v/>
      </c>
      <c r="BN175" s="272" t="str">
        <f>IFERROR(VLOOKUP($A175,Devengado!$A$1:$AI$1,33,FALSE),"")</f>
        <v/>
      </c>
      <c r="BO175" s="272">
        <f t="shared" si="20"/>
        <v>0</v>
      </c>
      <c r="BP175" s="272" t="str">
        <f t="shared" si="21"/>
        <v/>
      </c>
      <c r="BQ175" s="272"/>
      <c r="BR175" s="207" t="str">
        <f t="shared" si="22"/>
        <v>53</v>
      </c>
    </row>
    <row r="176" spans="1:70" ht="25.5" customHeight="1">
      <c r="A176" s="207">
        <v>172</v>
      </c>
      <c r="B176" s="207" t="s">
        <v>206</v>
      </c>
      <c r="C176" s="207" t="s">
        <v>77</v>
      </c>
      <c r="D176" s="207" t="s">
        <v>77</v>
      </c>
      <c r="E176" s="207" t="s">
        <v>76</v>
      </c>
      <c r="F176" s="207" t="s">
        <v>77</v>
      </c>
      <c r="G176" s="207" t="s">
        <v>77</v>
      </c>
      <c r="H176" s="207" t="s">
        <v>77</v>
      </c>
      <c r="I176" s="207" t="s">
        <v>77</v>
      </c>
      <c r="J176" s="207" t="s">
        <v>77</v>
      </c>
      <c r="K176" s="207" t="s">
        <v>77</v>
      </c>
      <c r="L176" s="207" t="s">
        <v>85</v>
      </c>
      <c r="M176" s="207" t="s">
        <v>222</v>
      </c>
      <c r="N176" s="208" t="s">
        <v>208</v>
      </c>
      <c r="O176" s="209" t="s">
        <v>111</v>
      </c>
      <c r="P176" s="208" t="s">
        <v>81</v>
      </c>
      <c r="Q176" s="208" t="s">
        <v>112</v>
      </c>
      <c r="R176" s="115" t="str">
        <f t="shared" si="16"/>
        <v>53</v>
      </c>
      <c r="S176" s="207">
        <v>530208</v>
      </c>
      <c r="T176" s="210" t="str">
        <f>VLOOKUP(S176,ITEM!$C$1:$D$156,2,FALSE)</f>
        <v>Servicio de Seguridad y Vigilancia</v>
      </c>
      <c r="U176" s="208" t="s">
        <v>83</v>
      </c>
      <c r="V176" s="208" t="s">
        <v>82</v>
      </c>
      <c r="W176" s="208" t="s">
        <v>84</v>
      </c>
      <c r="X176" s="208" t="s">
        <v>84</v>
      </c>
      <c r="Y176" s="272" t="e">
        <f>'Matriz POA 2024-TRABAJO'!#REF!</f>
        <v>#REF!</v>
      </c>
      <c r="Z176" s="272" t="e">
        <f>'Matriz POA 2024-TRABAJO'!#REF!</f>
        <v>#REF!</v>
      </c>
      <c r="AA176" s="272" t="e">
        <f>'Matriz POA 2024-TRABAJO'!#REF!</f>
        <v>#REF!</v>
      </c>
      <c r="AB176" s="272">
        <v>0</v>
      </c>
      <c r="AC176" s="272">
        <v>0</v>
      </c>
      <c r="AD176" s="272">
        <v>0</v>
      </c>
      <c r="AE176" s="272">
        <v>0</v>
      </c>
      <c r="AF176" s="272">
        <v>0</v>
      </c>
      <c r="AG176" s="272">
        <v>0</v>
      </c>
      <c r="AH176" s="272">
        <v>1772</v>
      </c>
      <c r="AI176" s="272">
        <v>1772</v>
      </c>
      <c r="AJ176" s="272">
        <v>1772</v>
      </c>
      <c r="AK176" s="272">
        <v>1772</v>
      </c>
      <c r="AL176" s="272">
        <v>1771</v>
      </c>
      <c r="AM176" s="272">
        <v>1768.84</v>
      </c>
      <c r="AN176" s="272" t="e">
        <f>SUM(#REF!)</f>
        <v>#REF!</v>
      </c>
      <c r="AO176" s="224">
        <f t="shared" si="17"/>
        <v>10627.84</v>
      </c>
      <c r="AP176" s="224" t="e">
        <f t="shared" si="23"/>
        <v>#REF!</v>
      </c>
      <c r="AQ176" s="272"/>
      <c r="AR176" s="272"/>
      <c r="AS176" s="272"/>
      <c r="AT176" s="272" t="str">
        <f>IFERROR(VLOOKUP($A176,'Constancias POA'!$A$2:$DH$9993,17,FALSE),"")</f>
        <v/>
      </c>
      <c r="AU176" s="272" t="str">
        <f t="shared" si="18"/>
        <v/>
      </c>
      <c r="AV176" s="224" t="str">
        <f>IFERROR(VLOOKUP($A176,CP!$A$1:$U$7992,18,FALSE),"")</f>
        <v/>
      </c>
      <c r="AW176" s="224" t="str">
        <f>IFERROR(VLOOKUP($A176,CP!$A$1:$U$7992,19,FALSE),"")</f>
        <v/>
      </c>
      <c r="AX176" s="224" t="str">
        <f>IFERROR(VLOOKUP($A176,CP!$A$1:$U$7992,20,FALSE),"")</f>
        <v/>
      </c>
      <c r="AY176" s="272" t="str">
        <f>IFERROR(VLOOKUP($A176,CP!$A$1:$U$1,21,FALSE),"")</f>
        <v/>
      </c>
      <c r="AZ176" s="224" t="str">
        <f>IFERROR(VLOOKUP(A176,Devengado!$A$1:AJ1,35,FALSE),"")</f>
        <v/>
      </c>
      <c r="BA176" s="224" t="str">
        <f t="shared" si="19"/>
        <v/>
      </c>
      <c r="BB176" s="224" t="str">
        <f>IFERROR(AZ176/#REF!,"")</f>
        <v/>
      </c>
      <c r="BC176" s="272" t="str">
        <f>IFERROR(VLOOKUP($A176,Devengado!$A$1:$AI$1,22,FALSE),"")</f>
        <v/>
      </c>
      <c r="BD176" s="272" t="str">
        <f>IFERROR(VLOOKUP($A176,Devengado!$A$1:$AI$1,23,FALSE),"")</f>
        <v/>
      </c>
      <c r="BE176" s="272" t="str">
        <f>IFERROR(VLOOKUP($A176,Devengado!$A$1:$AI$1,24,FALSE),"")</f>
        <v/>
      </c>
      <c r="BF176" s="272" t="str">
        <f>IFERROR(VLOOKUP($A176,Devengado!$A$1:$AI$1,25,FALSE),"")</f>
        <v/>
      </c>
      <c r="BG176" s="272" t="str">
        <f>IFERROR(VLOOKUP($A176,Devengado!$A$1:$AI$1,26,FALSE),"")</f>
        <v/>
      </c>
      <c r="BH176" s="272" t="str">
        <f>IFERROR(VLOOKUP($A176,Devengado!$A$1:$AI$1,27,FALSE),"")</f>
        <v/>
      </c>
      <c r="BI176" s="272" t="str">
        <f>IFERROR(VLOOKUP($A176,Devengado!$A$1:$AI$1,28,FALSE),"")</f>
        <v/>
      </c>
      <c r="BJ176" s="272" t="str">
        <f>IFERROR(VLOOKUP($A176,Devengado!$A$1:$AI$1,29,FALSE),"")</f>
        <v/>
      </c>
      <c r="BK176" s="272" t="str">
        <f>IFERROR(VLOOKUP($A176,Devengado!$A$1:$AI$1,30,FALSE),"")</f>
        <v/>
      </c>
      <c r="BL176" s="272" t="str">
        <f>IFERROR(VLOOKUP($A176,Devengado!$A$1:$AI$1,31,FALSE),"")</f>
        <v/>
      </c>
      <c r="BM176" s="272" t="str">
        <f>IFERROR(VLOOKUP($A176,Devengado!$A$1:$AI$1,32,FALSE),"")</f>
        <v/>
      </c>
      <c r="BN176" s="272" t="str">
        <f>IFERROR(VLOOKUP($A176,Devengado!$A$1:$AI$1,33,FALSE),"")</f>
        <v/>
      </c>
      <c r="BO176" s="272">
        <f t="shared" si="20"/>
        <v>0</v>
      </c>
      <c r="BP176" s="272" t="str">
        <f t="shared" si="21"/>
        <v/>
      </c>
      <c r="BQ176" s="272"/>
      <c r="BR176" s="207" t="str">
        <f t="shared" si="22"/>
        <v>53</v>
      </c>
    </row>
    <row r="177" spans="1:70" ht="25.5" customHeight="1">
      <c r="A177" s="207">
        <v>173</v>
      </c>
      <c r="B177" s="207" t="s">
        <v>206</v>
      </c>
      <c r="C177" s="207" t="s">
        <v>77</v>
      </c>
      <c r="D177" s="207" t="s">
        <v>77</v>
      </c>
      <c r="E177" s="207" t="s">
        <v>76</v>
      </c>
      <c r="F177" s="207" t="s">
        <v>77</v>
      </c>
      <c r="G177" s="207" t="s">
        <v>77</v>
      </c>
      <c r="H177" s="207" t="s">
        <v>77</v>
      </c>
      <c r="I177" s="207" t="s">
        <v>77</v>
      </c>
      <c r="J177" s="207" t="s">
        <v>77</v>
      </c>
      <c r="K177" s="207" t="s">
        <v>77</v>
      </c>
      <c r="L177" s="207" t="s">
        <v>78</v>
      </c>
      <c r="M177" s="207" t="s">
        <v>223</v>
      </c>
      <c r="N177" s="208" t="s">
        <v>208</v>
      </c>
      <c r="O177" s="209" t="s">
        <v>111</v>
      </c>
      <c r="P177" s="208" t="s">
        <v>81</v>
      </c>
      <c r="Q177" s="208" t="s">
        <v>112</v>
      </c>
      <c r="R177" s="115" t="str">
        <f t="shared" si="16"/>
        <v>53</v>
      </c>
      <c r="S177" s="207">
        <v>530208</v>
      </c>
      <c r="T177" s="210" t="str">
        <f>VLOOKUP(S177,ITEM!$C$1:$D$156,2,FALSE)</f>
        <v>Servicio de Seguridad y Vigilancia</v>
      </c>
      <c r="U177" s="208" t="s">
        <v>83</v>
      </c>
      <c r="V177" s="208" t="s">
        <v>82</v>
      </c>
      <c r="W177" s="208" t="s">
        <v>84</v>
      </c>
      <c r="X177" s="208" t="s">
        <v>84</v>
      </c>
      <c r="Y177" s="272" t="e">
        <f>'Matriz POA 2024-TRABAJO'!#REF!</f>
        <v>#REF!</v>
      </c>
      <c r="Z177" s="272" t="e">
        <f>'Matriz POA 2024-TRABAJO'!#REF!</f>
        <v>#REF!</v>
      </c>
      <c r="AA177" s="272" t="e">
        <f>'Matriz POA 2024-TRABAJO'!#REF!</f>
        <v>#REF!</v>
      </c>
      <c r="AB177" s="272">
        <v>186</v>
      </c>
      <c r="AC177" s="272">
        <v>186</v>
      </c>
      <c r="AD177" s="272">
        <v>186</v>
      </c>
      <c r="AE177" s="272">
        <v>186</v>
      </c>
      <c r="AF177" s="272">
        <v>186</v>
      </c>
      <c r="AG177" s="272">
        <v>186</v>
      </c>
      <c r="AH177" s="272">
        <v>186</v>
      </c>
      <c r="AI177" s="272">
        <v>186</v>
      </c>
      <c r="AJ177" s="272">
        <v>186</v>
      </c>
      <c r="AK177" s="272">
        <v>186</v>
      </c>
      <c r="AL177" s="272">
        <v>0</v>
      </c>
      <c r="AM177" s="272">
        <v>0</v>
      </c>
      <c r="AN177" s="272" t="e">
        <f>SUM(#REF!)</f>
        <v>#REF!</v>
      </c>
      <c r="AO177" s="224">
        <f t="shared" si="17"/>
        <v>1860</v>
      </c>
      <c r="AP177" s="224" t="e">
        <f t="shared" si="23"/>
        <v>#REF!</v>
      </c>
      <c r="AQ177" s="272"/>
      <c r="AR177" s="272"/>
      <c r="AS177" s="272"/>
      <c r="AT177" s="272" t="str">
        <f>IFERROR(VLOOKUP($A177,'Constancias POA'!$A$2:$DH$9993,17,FALSE),"")</f>
        <v/>
      </c>
      <c r="AU177" s="272" t="str">
        <f t="shared" si="18"/>
        <v/>
      </c>
      <c r="AV177" s="224" t="str">
        <f>IFERROR(VLOOKUP($A177,CP!$A$1:$U$7992,18,FALSE),"")</f>
        <v/>
      </c>
      <c r="AW177" s="224" t="str">
        <f>IFERROR(VLOOKUP($A177,CP!$A$1:$U$7992,19,FALSE),"")</f>
        <v/>
      </c>
      <c r="AX177" s="224" t="str">
        <f>IFERROR(VLOOKUP($A177,CP!$A$1:$U$7992,20,FALSE),"")</f>
        <v/>
      </c>
      <c r="AY177" s="272" t="str">
        <f>IFERROR(VLOOKUP($A177,CP!$A$1:$U$1,21,FALSE),"")</f>
        <v/>
      </c>
      <c r="AZ177" s="224" t="str">
        <f>IFERROR(VLOOKUP(A177,Devengado!$A$1:AJ1,35,FALSE),"")</f>
        <v/>
      </c>
      <c r="BA177" s="224" t="str">
        <f t="shared" si="19"/>
        <v/>
      </c>
      <c r="BB177" s="224" t="str">
        <f>IFERROR(AZ177/#REF!,"")</f>
        <v/>
      </c>
      <c r="BC177" s="272" t="str">
        <f>IFERROR(VLOOKUP($A177,Devengado!$A$1:$AI$1,22,FALSE),"")</f>
        <v/>
      </c>
      <c r="BD177" s="272" t="str">
        <f>IFERROR(VLOOKUP($A177,Devengado!$A$1:$AI$1,23,FALSE),"")</f>
        <v/>
      </c>
      <c r="BE177" s="272" t="str">
        <f>IFERROR(VLOOKUP($A177,Devengado!$A$1:$AI$1,24,FALSE),"")</f>
        <v/>
      </c>
      <c r="BF177" s="272" t="str">
        <f>IFERROR(VLOOKUP($A177,Devengado!$A$1:$AI$1,25,FALSE),"")</f>
        <v/>
      </c>
      <c r="BG177" s="272" t="str">
        <f>IFERROR(VLOOKUP($A177,Devengado!$A$1:$AI$1,26,FALSE),"")</f>
        <v/>
      </c>
      <c r="BH177" s="272" t="str">
        <f>IFERROR(VLOOKUP($A177,Devengado!$A$1:$AI$1,27,FALSE),"")</f>
        <v/>
      </c>
      <c r="BI177" s="272" t="str">
        <f>IFERROR(VLOOKUP($A177,Devengado!$A$1:$AI$1,28,FALSE),"")</f>
        <v/>
      </c>
      <c r="BJ177" s="272" t="str">
        <f>IFERROR(VLOOKUP($A177,Devengado!$A$1:$AI$1,29,FALSE),"")</f>
        <v/>
      </c>
      <c r="BK177" s="272" t="str">
        <f>IFERROR(VLOOKUP($A177,Devengado!$A$1:$AI$1,30,FALSE),"")</f>
        <v/>
      </c>
      <c r="BL177" s="272" t="str">
        <f>IFERROR(VLOOKUP($A177,Devengado!$A$1:$AI$1,31,FALSE),"")</f>
        <v/>
      </c>
      <c r="BM177" s="272" t="str">
        <f>IFERROR(VLOOKUP($A177,Devengado!$A$1:$AI$1,32,FALSE),"")</f>
        <v/>
      </c>
      <c r="BN177" s="272" t="str">
        <f>IFERROR(VLOOKUP($A177,Devengado!$A$1:$AI$1,33,FALSE),"")</f>
        <v/>
      </c>
      <c r="BO177" s="272">
        <f t="shared" si="20"/>
        <v>0</v>
      </c>
      <c r="BP177" s="272" t="str">
        <f t="shared" si="21"/>
        <v/>
      </c>
      <c r="BQ177" s="272"/>
      <c r="BR177" s="207" t="str">
        <f t="shared" si="22"/>
        <v>53</v>
      </c>
    </row>
    <row r="178" spans="1:70" ht="25.5" customHeight="1">
      <c r="A178" s="207">
        <v>174</v>
      </c>
      <c r="B178" s="207" t="s">
        <v>206</v>
      </c>
      <c r="C178" s="207" t="s">
        <v>77</v>
      </c>
      <c r="D178" s="207" t="s">
        <v>77</v>
      </c>
      <c r="E178" s="207" t="s">
        <v>76</v>
      </c>
      <c r="F178" s="207" t="s">
        <v>77</v>
      </c>
      <c r="G178" s="207" t="s">
        <v>77</v>
      </c>
      <c r="H178" s="207" t="s">
        <v>77</v>
      </c>
      <c r="I178" s="207" t="s">
        <v>77</v>
      </c>
      <c r="J178" s="207" t="s">
        <v>77</v>
      </c>
      <c r="K178" s="207" t="s">
        <v>77</v>
      </c>
      <c r="L178" s="207" t="s">
        <v>85</v>
      </c>
      <c r="M178" s="207" t="s">
        <v>223</v>
      </c>
      <c r="N178" s="208" t="s">
        <v>208</v>
      </c>
      <c r="O178" s="209" t="s">
        <v>111</v>
      </c>
      <c r="P178" s="208" t="s">
        <v>81</v>
      </c>
      <c r="Q178" s="208" t="s">
        <v>112</v>
      </c>
      <c r="R178" s="115" t="str">
        <f t="shared" si="16"/>
        <v>53</v>
      </c>
      <c r="S178" s="207">
        <v>530208</v>
      </c>
      <c r="T178" s="210" t="str">
        <f>VLOOKUP(S178,ITEM!$C$1:$D$156,2,FALSE)</f>
        <v>Servicio de Seguridad y Vigilancia</v>
      </c>
      <c r="U178" s="208" t="s">
        <v>83</v>
      </c>
      <c r="V178" s="208" t="s">
        <v>82</v>
      </c>
      <c r="W178" s="208" t="s">
        <v>84</v>
      </c>
      <c r="X178" s="208" t="s">
        <v>84</v>
      </c>
      <c r="Y178" s="272" t="e">
        <f>'Matriz POA 2024-TRABAJO'!#REF!</f>
        <v>#REF!</v>
      </c>
      <c r="Z178" s="272" t="e">
        <f>'Matriz POA 2024-TRABAJO'!#REF!</f>
        <v>#REF!</v>
      </c>
      <c r="AA178" s="272" t="e">
        <f>'Matriz POA 2024-TRABAJO'!#REF!</f>
        <v>#REF!</v>
      </c>
      <c r="AB178" s="272">
        <v>0</v>
      </c>
      <c r="AC178" s="272">
        <v>0</v>
      </c>
      <c r="AD178" s="272">
        <v>0</v>
      </c>
      <c r="AE178" s="272">
        <v>0</v>
      </c>
      <c r="AF178" s="272">
        <v>0</v>
      </c>
      <c r="AG178" s="272">
        <v>0</v>
      </c>
      <c r="AH178" s="272">
        <v>0</v>
      </c>
      <c r="AI178" s="272">
        <v>0</v>
      </c>
      <c r="AJ178" s="272">
        <v>0</v>
      </c>
      <c r="AK178" s="272">
        <v>0</v>
      </c>
      <c r="AL178" s="272">
        <v>186</v>
      </c>
      <c r="AM178" s="272">
        <v>186</v>
      </c>
      <c r="AN178" s="272" t="e">
        <f>SUM(#REF!)</f>
        <v>#REF!</v>
      </c>
      <c r="AO178" s="224">
        <f t="shared" si="17"/>
        <v>372</v>
      </c>
      <c r="AP178" s="224" t="e">
        <f t="shared" si="23"/>
        <v>#REF!</v>
      </c>
      <c r="AQ178" s="272"/>
      <c r="AR178" s="272"/>
      <c r="AS178" s="272"/>
      <c r="AT178" s="272" t="str">
        <f>IFERROR(VLOOKUP($A178,'Constancias POA'!$A$2:$DH$9993,17,FALSE),"")</f>
        <v/>
      </c>
      <c r="AU178" s="272" t="str">
        <f t="shared" si="18"/>
        <v/>
      </c>
      <c r="AV178" s="224" t="str">
        <f>IFERROR(VLOOKUP($A178,CP!$A$1:$U$7992,18,FALSE),"")</f>
        <v/>
      </c>
      <c r="AW178" s="224" t="str">
        <f>IFERROR(VLOOKUP($A178,CP!$A$1:$U$7992,19,FALSE),"")</f>
        <v/>
      </c>
      <c r="AX178" s="224" t="str">
        <f>IFERROR(VLOOKUP($A178,CP!$A$1:$U$7992,20,FALSE),"")</f>
        <v/>
      </c>
      <c r="AY178" s="272" t="str">
        <f>IFERROR(VLOOKUP($A178,CP!$A$1:$U$1,21,FALSE),"")</f>
        <v/>
      </c>
      <c r="AZ178" s="224" t="str">
        <f>IFERROR(VLOOKUP(A178,Devengado!$A$1:AJ1,35,FALSE),"")</f>
        <v/>
      </c>
      <c r="BA178" s="224" t="str">
        <f t="shared" si="19"/>
        <v/>
      </c>
      <c r="BB178" s="224" t="str">
        <f>IFERROR(AZ178/#REF!,"")</f>
        <v/>
      </c>
      <c r="BC178" s="272" t="str">
        <f>IFERROR(VLOOKUP($A178,Devengado!$A$1:$AI$1,22,FALSE),"")</f>
        <v/>
      </c>
      <c r="BD178" s="272" t="str">
        <f>IFERROR(VLOOKUP($A178,Devengado!$A$1:$AI$1,23,FALSE),"")</f>
        <v/>
      </c>
      <c r="BE178" s="272" t="str">
        <f>IFERROR(VLOOKUP($A178,Devengado!$A$1:$AI$1,24,FALSE),"")</f>
        <v/>
      </c>
      <c r="BF178" s="272" t="str">
        <f>IFERROR(VLOOKUP($A178,Devengado!$A$1:$AI$1,25,FALSE),"")</f>
        <v/>
      </c>
      <c r="BG178" s="272" t="str">
        <f>IFERROR(VLOOKUP($A178,Devengado!$A$1:$AI$1,26,FALSE),"")</f>
        <v/>
      </c>
      <c r="BH178" s="272" t="str">
        <f>IFERROR(VLOOKUP($A178,Devengado!$A$1:$AI$1,27,FALSE),"")</f>
        <v/>
      </c>
      <c r="BI178" s="272" t="str">
        <f>IFERROR(VLOOKUP($A178,Devengado!$A$1:$AI$1,28,FALSE),"")</f>
        <v/>
      </c>
      <c r="BJ178" s="272" t="str">
        <f>IFERROR(VLOOKUP($A178,Devengado!$A$1:$AI$1,29,FALSE),"")</f>
        <v/>
      </c>
      <c r="BK178" s="272" t="str">
        <f>IFERROR(VLOOKUP($A178,Devengado!$A$1:$AI$1,30,FALSE),"")</f>
        <v/>
      </c>
      <c r="BL178" s="272" t="str">
        <f>IFERROR(VLOOKUP($A178,Devengado!$A$1:$AI$1,31,FALSE),"")</f>
        <v/>
      </c>
      <c r="BM178" s="272" t="str">
        <f>IFERROR(VLOOKUP($A178,Devengado!$A$1:$AI$1,32,FALSE),"")</f>
        <v/>
      </c>
      <c r="BN178" s="272" t="str">
        <f>IFERROR(VLOOKUP($A178,Devengado!$A$1:$AI$1,33,FALSE),"")</f>
        <v/>
      </c>
      <c r="BO178" s="272">
        <f t="shared" si="20"/>
        <v>0</v>
      </c>
      <c r="BP178" s="272" t="str">
        <f t="shared" si="21"/>
        <v/>
      </c>
      <c r="BQ178" s="272"/>
      <c r="BR178" s="207" t="str">
        <f t="shared" si="22"/>
        <v>53</v>
      </c>
    </row>
    <row r="179" spans="1:70" ht="25.5" customHeight="1">
      <c r="A179" s="207">
        <v>175</v>
      </c>
      <c r="B179" s="207" t="s">
        <v>206</v>
      </c>
      <c r="C179" s="207" t="s">
        <v>77</v>
      </c>
      <c r="D179" s="207" t="s">
        <v>77</v>
      </c>
      <c r="E179" s="207" t="s">
        <v>76</v>
      </c>
      <c r="F179" s="207" t="s">
        <v>77</v>
      </c>
      <c r="G179" s="207" t="s">
        <v>77</v>
      </c>
      <c r="H179" s="207" t="s">
        <v>77</v>
      </c>
      <c r="I179" s="207" t="s">
        <v>77</v>
      </c>
      <c r="J179" s="207" t="s">
        <v>77</v>
      </c>
      <c r="K179" s="207" t="s">
        <v>77</v>
      </c>
      <c r="L179" s="207" t="s">
        <v>78</v>
      </c>
      <c r="M179" s="207" t="s">
        <v>224</v>
      </c>
      <c r="N179" s="208" t="s">
        <v>208</v>
      </c>
      <c r="O179" s="209" t="s">
        <v>111</v>
      </c>
      <c r="P179" s="208" t="s">
        <v>81</v>
      </c>
      <c r="Q179" s="208" t="s">
        <v>112</v>
      </c>
      <c r="R179" s="115" t="str">
        <f t="shared" si="16"/>
        <v>53</v>
      </c>
      <c r="S179" s="207">
        <v>530209</v>
      </c>
      <c r="T179" s="210" t="str">
        <f>VLOOKUP(S179,ITEM!$C$1:$D$156,2,FALSE)</f>
        <v>Servicios de Aseo, Lavado de Vestimenta de Trabajo, Fumigación, Desinfección,  Limpieza de Instalaciones, manejo
de desechos contaminados, recuperación y clasificación de materiales reciclables.</v>
      </c>
      <c r="U179" s="208" t="s">
        <v>83</v>
      </c>
      <c r="V179" s="208" t="s">
        <v>82</v>
      </c>
      <c r="W179" s="208" t="s">
        <v>84</v>
      </c>
      <c r="X179" s="208" t="s">
        <v>84</v>
      </c>
      <c r="Y179" s="272" t="e">
        <f>'Matriz POA 2024-TRABAJO'!#REF!</f>
        <v>#REF!</v>
      </c>
      <c r="Z179" s="272" t="e">
        <f>'Matriz POA 2024-TRABAJO'!#REF!</f>
        <v>#REF!</v>
      </c>
      <c r="AA179" s="272" t="e">
        <f>'Matriz POA 2024-TRABAJO'!#REF!</f>
        <v>#REF!</v>
      </c>
      <c r="AB179" s="272">
        <v>2227.83</v>
      </c>
      <c r="AC179" s="272">
        <v>2227.83</v>
      </c>
      <c r="AD179" s="272">
        <v>2227.83</v>
      </c>
      <c r="AE179" s="272">
        <v>2227.83</v>
      </c>
      <c r="AF179" s="272">
        <v>2227.83</v>
      </c>
      <c r="AG179" s="272">
        <v>2227.83</v>
      </c>
      <c r="AH179" s="272">
        <v>0</v>
      </c>
      <c r="AI179" s="272">
        <v>0</v>
      </c>
      <c r="AJ179" s="272">
        <v>0</v>
      </c>
      <c r="AK179" s="272">
        <v>0</v>
      </c>
      <c r="AL179" s="272">
        <v>0</v>
      </c>
      <c r="AM179" s="272">
        <v>0</v>
      </c>
      <c r="AN179" s="272" t="e">
        <f>SUM(#REF!)</f>
        <v>#REF!</v>
      </c>
      <c r="AO179" s="224">
        <f t="shared" si="17"/>
        <v>13366.98</v>
      </c>
      <c r="AP179" s="224" t="e">
        <f t="shared" si="23"/>
        <v>#REF!</v>
      </c>
      <c r="AQ179" s="272"/>
      <c r="AR179" s="272"/>
      <c r="AS179" s="272"/>
      <c r="AT179" s="272" t="str">
        <f>IFERROR(VLOOKUP($A179,'Constancias POA'!$A$2:$DH$9993,17,FALSE),"")</f>
        <v/>
      </c>
      <c r="AU179" s="272" t="str">
        <f t="shared" si="18"/>
        <v/>
      </c>
      <c r="AV179" s="224" t="str">
        <f>IFERROR(VLOOKUP($A179,CP!$A$1:$U$7992,18,FALSE),"")</f>
        <v/>
      </c>
      <c r="AW179" s="224" t="str">
        <f>IFERROR(VLOOKUP($A179,CP!$A$1:$U$7992,19,FALSE),"")</f>
        <v/>
      </c>
      <c r="AX179" s="224" t="str">
        <f>IFERROR(VLOOKUP($A179,CP!$A$1:$U$7992,20,FALSE),"")</f>
        <v/>
      </c>
      <c r="AY179" s="272" t="str">
        <f>IFERROR(VLOOKUP($A179,CP!$A$1:$U$1,21,FALSE),"")</f>
        <v/>
      </c>
      <c r="AZ179" s="224" t="str">
        <f>IFERROR(VLOOKUP(A179,Devengado!$A$1:AJ1,35,FALSE),"")</f>
        <v/>
      </c>
      <c r="BA179" s="224" t="str">
        <f t="shared" si="19"/>
        <v/>
      </c>
      <c r="BB179" s="224" t="str">
        <f>IFERROR(AZ179/#REF!,"")</f>
        <v/>
      </c>
      <c r="BC179" s="272" t="str">
        <f>IFERROR(VLOOKUP($A179,Devengado!$A$1:$AI$1,22,FALSE),"")</f>
        <v/>
      </c>
      <c r="BD179" s="272" t="str">
        <f>IFERROR(VLOOKUP($A179,Devengado!$A$1:$AI$1,23,FALSE),"")</f>
        <v/>
      </c>
      <c r="BE179" s="272" t="str">
        <f>IFERROR(VLOOKUP($A179,Devengado!$A$1:$AI$1,24,FALSE),"")</f>
        <v/>
      </c>
      <c r="BF179" s="272" t="str">
        <f>IFERROR(VLOOKUP($A179,Devengado!$A$1:$AI$1,25,FALSE),"")</f>
        <v/>
      </c>
      <c r="BG179" s="272" t="str">
        <f>IFERROR(VLOOKUP($A179,Devengado!$A$1:$AI$1,26,FALSE),"")</f>
        <v/>
      </c>
      <c r="BH179" s="272" t="str">
        <f>IFERROR(VLOOKUP($A179,Devengado!$A$1:$AI$1,27,FALSE),"")</f>
        <v/>
      </c>
      <c r="BI179" s="272" t="str">
        <f>IFERROR(VLOOKUP($A179,Devengado!$A$1:$AI$1,28,FALSE),"")</f>
        <v/>
      </c>
      <c r="BJ179" s="272" t="str">
        <f>IFERROR(VLOOKUP($A179,Devengado!$A$1:$AI$1,29,FALSE),"")</f>
        <v/>
      </c>
      <c r="BK179" s="272" t="str">
        <f>IFERROR(VLOOKUP($A179,Devengado!$A$1:$AI$1,30,FALSE),"")</f>
        <v/>
      </c>
      <c r="BL179" s="272" t="str">
        <f>IFERROR(VLOOKUP($A179,Devengado!$A$1:$AI$1,31,FALSE),"")</f>
        <v/>
      </c>
      <c r="BM179" s="272" t="str">
        <f>IFERROR(VLOOKUP($A179,Devengado!$A$1:$AI$1,32,FALSE),"")</f>
        <v/>
      </c>
      <c r="BN179" s="272" t="str">
        <f>IFERROR(VLOOKUP($A179,Devengado!$A$1:$AI$1,33,FALSE),"")</f>
        <v/>
      </c>
      <c r="BO179" s="272">
        <f t="shared" si="20"/>
        <v>0</v>
      </c>
      <c r="BP179" s="272" t="str">
        <f t="shared" si="21"/>
        <v/>
      </c>
      <c r="BQ179" s="272"/>
      <c r="BR179" s="207" t="str">
        <f t="shared" si="22"/>
        <v>53</v>
      </c>
    </row>
    <row r="180" spans="1:70" ht="25.5" customHeight="1">
      <c r="A180" s="207">
        <v>176</v>
      </c>
      <c r="B180" s="207" t="s">
        <v>206</v>
      </c>
      <c r="C180" s="207" t="s">
        <v>77</v>
      </c>
      <c r="D180" s="207" t="s">
        <v>77</v>
      </c>
      <c r="E180" s="207" t="s">
        <v>76</v>
      </c>
      <c r="F180" s="207" t="s">
        <v>77</v>
      </c>
      <c r="G180" s="207" t="s">
        <v>77</v>
      </c>
      <c r="H180" s="207" t="s">
        <v>77</v>
      </c>
      <c r="I180" s="207" t="s">
        <v>77</v>
      </c>
      <c r="J180" s="207" t="s">
        <v>77</v>
      </c>
      <c r="K180" s="207" t="s">
        <v>77</v>
      </c>
      <c r="L180" s="207" t="s">
        <v>85</v>
      </c>
      <c r="M180" s="207" t="s">
        <v>225</v>
      </c>
      <c r="N180" s="208" t="s">
        <v>208</v>
      </c>
      <c r="O180" s="209" t="s">
        <v>111</v>
      </c>
      <c r="P180" s="208" t="s">
        <v>81</v>
      </c>
      <c r="Q180" s="208" t="s">
        <v>112</v>
      </c>
      <c r="R180" s="115" t="str">
        <f t="shared" si="16"/>
        <v>53</v>
      </c>
      <c r="S180" s="207">
        <v>530209</v>
      </c>
      <c r="T180" s="210" t="str">
        <f>VLOOKUP(S180,ITEM!$C$1:$D$156,2,FALSE)</f>
        <v>Servicios de Aseo, Lavado de Vestimenta de Trabajo, Fumigación, Desinfección,  Limpieza de Instalaciones, manejo
de desechos contaminados, recuperación y clasificación de materiales reciclables.</v>
      </c>
      <c r="U180" s="208" t="s">
        <v>83</v>
      </c>
      <c r="V180" s="208" t="s">
        <v>82</v>
      </c>
      <c r="W180" s="208" t="s">
        <v>84</v>
      </c>
      <c r="X180" s="208" t="s">
        <v>84</v>
      </c>
      <c r="Y180" s="272" t="e">
        <f>'Matriz POA 2024-TRABAJO'!#REF!</f>
        <v>#REF!</v>
      </c>
      <c r="Z180" s="272" t="e">
        <f>'Matriz POA 2024-TRABAJO'!#REF!</f>
        <v>#REF!</v>
      </c>
      <c r="AA180" s="272" t="e">
        <f>'Matriz POA 2024-TRABAJO'!#REF!</f>
        <v>#REF!</v>
      </c>
      <c r="AB180" s="272">
        <v>0</v>
      </c>
      <c r="AC180" s="272">
        <v>0</v>
      </c>
      <c r="AD180" s="272">
        <v>0</v>
      </c>
      <c r="AE180" s="272">
        <v>3660.28</v>
      </c>
      <c r="AF180" s="272">
        <v>0</v>
      </c>
      <c r="AG180" s="272">
        <v>0</v>
      </c>
      <c r="AH180" s="272">
        <v>0</v>
      </c>
      <c r="AI180" s="272">
        <v>0</v>
      </c>
      <c r="AJ180" s="272">
        <v>0</v>
      </c>
      <c r="AK180" s="272">
        <v>0</v>
      </c>
      <c r="AL180" s="272">
        <v>0</v>
      </c>
      <c r="AM180" s="272">
        <v>0</v>
      </c>
      <c r="AN180" s="272" t="e">
        <f>SUM(#REF!)</f>
        <v>#REF!</v>
      </c>
      <c r="AO180" s="224">
        <f t="shared" si="17"/>
        <v>3660.28</v>
      </c>
      <c r="AP180" s="224" t="e">
        <f t="shared" si="23"/>
        <v>#REF!</v>
      </c>
      <c r="AQ180" s="272"/>
      <c r="AR180" s="272"/>
      <c r="AS180" s="272"/>
      <c r="AT180" s="272" t="str">
        <f>IFERROR(VLOOKUP($A180,'Constancias POA'!$A$2:$DH$9993,17,FALSE),"")</f>
        <v/>
      </c>
      <c r="AU180" s="272" t="str">
        <f t="shared" si="18"/>
        <v/>
      </c>
      <c r="AV180" s="224" t="str">
        <f>IFERROR(VLOOKUP($A180,CP!$A$1:$U$7992,18,FALSE),"")</f>
        <v/>
      </c>
      <c r="AW180" s="224" t="str">
        <f>IFERROR(VLOOKUP($A180,CP!$A$1:$U$7992,19,FALSE),"")</f>
        <v/>
      </c>
      <c r="AX180" s="224" t="str">
        <f>IFERROR(VLOOKUP($A180,CP!$A$1:$U$7992,20,FALSE),"")</f>
        <v/>
      </c>
      <c r="AY180" s="272" t="str">
        <f>IFERROR(VLOOKUP($A180,CP!$A$1:$U$1,21,FALSE),"")</f>
        <v/>
      </c>
      <c r="AZ180" s="224" t="str">
        <f>IFERROR(VLOOKUP(A180,Devengado!$A$1:AJ1,35,FALSE),"")</f>
        <v/>
      </c>
      <c r="BA180" s="224" t="str">
        <f t="shared" si="19"/>
        <v/>
      </c>
      <c r="BB180" s="224" t="str">
        <f>IFERROR(AZ180/#REF!,"")</f>
        <v/>
      </c>
      <c r="BC180" s="272" t="str">
        <f>IFERROR(VLOOKUP($A180,Devengado!$A$1:$AI$1,22,FALSE),"")</f>
        <v/>
      </c>
      <c r="BD180" s="272" t="str">
        <f>IFERROR(VLOOKUP($A180,Devengado!$A$1:$AI$1,23,FALSE),"")</f>
        <v/>
      </c>
      <c r="BE180" s="272" t="str">
        <f>IFERROR(VLOOKUP($A180,Devengado!$A$1:$AI$1,24,FALSE),"")</f>
        <v/>
      </c>
      <c r="BF180" s="272" t="str">
        <f>IFERROR(VLOOKUP($A180,Devengado!$A$1:$AI$1,25,FALSE),"")</f>
        <v/>
      </c>
      <c r="BG180" s="272" t="str">
        <f>IFERROR(VLOOKUP($A180,Devengado!$A$1:$AI$1,26,FALSE),"")</f>
        <v/>
      </c>
      <c r="BH180" s="272" t="str">
        <f>IFERROR(VLOOKUP($A180,Devengado!$A$1:$AI$1,27,FALSE),"")</f>
        <v/>
      </c>
      <c r="BI180" s="272" t="str">
        <f>IFERROR(VLOOKUP($A180,Devengado!$A$1:$AI$1,28,FALSE),"")</f>
        <v/>
      </c>
      <c r="BJ180" s="272" t="str">
        <f>IFERROR(VLOOKUP($A180,Devengado!$A$1:$AI$1,29,FALSE),"")</f>
        <v/>
      </c>
      <c r="BK180" s="272" t="str">
        <f>IFERROR(VLOOKUP($A180,Devengado!$A$1:$AI$1,30,FALSE),"")</f>
        <v/>
      </c>
      <c r="BL180" s="272" t="str">
        <f>IFERROR(VLOOKUP($A180,Devengado!$A$1:$AI$1,31,FALSE),"")</f>
        <v/>
      </c>
      <c r="BM180" s="272" t="str">
        <f>IFERROR(VLOOKUP($A180,Devengado!$A$1:$AI$1,32,FALSE),"")</f>
        <v/>
      </c>
      <c r="BN180" s="272" t="str">
        <f>IFERROR(VLOOKUP($A180,Devengado!$A$1:$AI$1,33,FALSE),"")</f>
        <v/>
      </c>
      <c r="BO180" s="272">
        <f t="shared" si="20"/>
        <v>0</v>
      </c>
      <c r="BP180" s="272" t="str">
        <f t="shared" si="21"/>
        <v/>
      </c>
      <c r="BQ180" s="272"/>
      <c r="BR180" s="207" t="str">
        <f t="shared" si="22"/>
        <v>53</v>
      </c>
    </row>
    <row r="181" spans="1:70" ht="25.5" customHeight="1">
      <c r="A181" s="207">
        <v>177</v>
      </c>
      <c r="B181" s="207" t="s">
        <v>206</v>
      </c>
      <c r="C181" s="207" t="s">
        <v>77</v>
      </c>
      <c r="D181" s="207" t="s">
        <v>77</v>
      </c>
      <c r="E181" s="207" t="s">
        <v>76</v>
      </c>
      <c r="F181" s="207" t="s">
        <v>77</v>
      </c>
      <c r="G181" s="207" t="s">
        <v>77</v>
      </c>
      <c r="H181" s="207" t="s">
        <v>77</v>
      </c>
      <c r="I181" s="207" t="s">
        <v>77</v>
      </c>
      <c r="J181" s="207" t="s">
        <v>77</v>
      </c>
      <c r="K181" s="207" t="s">
        <v>77</v>
      </c>
      <c r="L181" s="207" t="s">
        <v>85</v>
      </c>
      <c r="M181" s="207" t="s">
        <v>226</v>
      </c>
      <c r="N181" s="208" t="s">
        <v>208</v>
      </c>
      <c r="O181" s="209" t="s">
        <v>111</v>
      </c>
      <c r="P181" s="208" t="s">
        <v>81</v>
      </c>
      <c r="Q181" s="208" t="s">
        <v>112</v>
      </c>
      <c r="R181" s="115" t="str">
        <f t="shared" si="16"/>
        <v>53</v>
      </c>
      <c r="S181" s="207">
        <v>530302</v>
      </c>
      <c r="T181" s="210" t="str">
        <f>VLOOKUP(S181,ITEM!$C$1:$D$156,2,FALSE)</f>
        <v>Pasajes al Exterior</v>
      </c>
      <c r="U181" s="208" t="s">
        <v>83</v>
      </c>
      <c r="V181" s="208" t="s">
        <v>82</v>
      </c>
      <c r="W181" s="208" t="s">
        <v>84</v>
      </c>
      <c r="X181" s="208" t="s">
        <v>84</v>
      </c>
      <c r="Y181" s="272" t="e">
        <f>'Matriz POA 2024-TRABAJO'!#REF!</f>
        <v>#REF!</v>
      </c>
      <c r="Z181" s="272" t="e">
        <f>'Matriz POA 2024-TRABAJO'!#REF!</f>
        <v>#REF!</v>
      </c>
      <c r="AA181" s="272" t="e">
        <f>'Matriz POA 2024-TRABAJO'!#REF!</f>
        <v>#REF!</v>
      </c>
      <c r="AB181" s="272">
        <v>0</v>
      </c>
      <c r="AC181" s="272">
        <v>0</v>
      </c>
      <c r="AD181" s="272">
        <v>500</v>
      </c>
      <c r="AE181" s="272">
        <v>0</v>
      </c>
      <c r="AF181" s="272">
        <v>0</v>
      </c>
      <c r="AG181" s="272">
        <v>300</v>
      </c>
      <c r="AH181" s="272">
        <v>400</v>
      </c>
      <c r="AI181" s="272">
        <v>0</v>
      </c>
      <c r="AJ181" s="272">
        <v>0</v>
      </c>
      <c r="AK181" s="272">
        <v>300</v>
      </c>
      <c r="AL181" s="272">
        <v>0</v>
      </c>
      <c r="AM181" s="272">
        <v>0</v>
      </c>
      <c r="AN181" s="272" t="e">
        <f>SUM(#REF!)</f>
        <v>#REF!</v>
      </c>
      <c r="AO181" s="224">
        <f t="shared" si="17"/>
        <v>1500</v>
      </c>
      <c r="AP181" s="224" t="e">
        <f t="shared" si="23"/>
        <v>#REF!</v>
      </c>
      <c r="AQ181" s="272"/>
      <c r="AR181" s="272"/>
      <c r="AS181" s="272"/>
      <c r="AT181" s="272" t="str">
        <f>IFERROR(VLOOKUP($A181,'Constancias POA'!$A$2:$DH$9993,17,FALSE),"")</f>
        <v/>
      </c>
      <c r="AU181" s="272" t="str">
        <f t="shared" si="18"/>
        <v/>
      </c>
      <c r="AV181" s="224" t="str">
        <f>IFERROR(VLOOKUP($A181,CP!$A$1:$U$7992,18,FALSE),"")</f>
        <v/>
      </c>
      <c r="AW181" s="224" t="str">
        <f>IFERROR(VLOOKUP($A181,CP!$A$1:$U$7992,19,FALSE),"")</f>
        <v/>
      </c>
      <c r="AX181" s="224" t="str">
        <f>IFERROR(VLOOKUP($A181,CP!$A$1:$U$7992,20,FALSE),"")</f>
        <v/>
      </c>
      <c r="AY181" s="272" t="str">
        <f>IFERROR(VLOOKUP($A181,CP!$A$1:$U$1,21,FALSE),"")</f>
        <v/>
      </c>
      <c r="AZ181" s="224" t="str">
        <f>IFERROR(VLOOKUP(A181,Devengado!$A$1:AJ1,35,FALSE),"")</f>
        <v/>
      </c>
      <c r="BA181" s="224" t="str">
        <f t="shared" si="19"/>
        <v/>
      </c>
      <c r="BB181" s="224" t="str">
        <f>IFERROR(AZ181/#REF!,"")</f>
        <v/>
      </c>
      <c r="BC181" s="272" t="str">
        <f>IFERROR(VLOOKUP($A181,Devengado!$A$1:$AI$1,22,FALSE),"")</f>
        <v/>
      </c>
      <c r="BD181" s="272" t="str">
        <f>IFERROR(VLOOKUP($A181,Devengado!$A$1:$AI$1,23,FALSE),"")</f>
        <v/>
      </c>
      <c r="BE181" s="272" t="str">
        <f>IFERROR(VLOOKUP($A181,Devengado!$A$1:$AI$1,24,FALSE),"")</f>
        <v/>
      </c>
      <c r="BF181" s="272" t="str">
        <f>IFERROR(VLOOKUP($A181,Devengado!$A$1:$AI$1,25,FALSE),"")</f>
        <v/>
      </c>
      <c r="BG181" s="272" t="str">
        <f>IFERROR(VLOOKUP($A181,Devengado!$A$1:$AI$1,26,FALSE),"")</f>
        <v/>
      </c>
      <c r="BH181" s="272" t="str">
        <f>IFERROR(VLOOKUP($A181,Devengado!$A$1:$AI$1,27,FALSE),"")</f>
        <v/>
      </c>
      <c r="BI181" s="272" t="str">
        <f>IFERROR(VLOOKUP($A181,Devengado!$A$1:$AI$1,28,FALSE),"")</f>
        <v/>
      </c>
      <c r="BJ181" s="272" t="str">
        <f>IFERROR(VLOOKUP($A181,Devengado!$A$1:$AI$1,29,FALSE),"")</f>
        <v/>
      </c>
      <c r="BK181" s="272" t="str">
        <f>IFERROR(VLOOKUP($A181,Devengado!$A$1:$AI$1,30,FALSE),"")</f>
        <v/>
      </c>
      <c r="BL181" s="272" t="str">
        <f>IFERROR(VLOOKUP($A181,Devengado!$A$1:$AI$1,31,FALSE),"")</f>
        <v/>
      </c>
      <c r="BM181" s="272" t="str">
        <f>IFERROR(VLOOKUP($A181,Devengado!$A$1:$AI$1,32,FALSE),"")</f>
        <v/>
      </c>
      <c r="BN181" s="272" t="str">
        <f>IFERROR(VLOOKUP($A181,Devengado!$A$1:$AI$1,33,FALSE),"")</f>
        <v/>
      </c>
      <c r="BO181" s="272">
        <f t="shared" si="20"/>
        <v>0</v>
      </c>
      <c r="BP181" s="272" t="str">
        <f t="shared" si="21"/>
        <v/>
      </c>
      <c r="BQ181" s="272"/>
      <c r="BR181" s="207" t="str">
        <f t="shared" si="22"/>
        <v>53</v>
      </c>
    </row>
    <row r="182" spans="1:70" ht="25.5" customHeight="1">
      <c r="A182" s="207">
        <v>178</v>
      </c>
      <c r="B182" s="207" t="s">
        <v>206</v>
      </c>
      <c r="C182" s="207" t="s">
        <v>77</v>
      </c>
      <c r="D182" s="207" t="s">
        <v>77</v>
      </c>
      <c r="E182" s="207" t="s">
        <v>76</v>
      </c>
      <c r="F182" s="207" t="s">
        <v>77</v>
      </c>
      <c r="G182" s="207" t="s">
        <v>77</v>
      </c>
      <c r="H182" s="207" t="s">
        <v>77</v>
      </c>
      <c r="I182" s="207" t="s">
        <v>77</v>
      </c>
      <c r="J182" s="207" t="s">
        <v>77</v>
      </c>
      <c r="K182" s="207" t="s">
        <v>77</v>
      </c>
      <c r="L182" s="207" t="s">
        <v>85</v>
      </c>
      <c r="M182" s="207" t="s">
        <v>227</v>
      </c>
      <c r="N182" s="208" t="s">
        <v>208</v>
      </c>
      <c r="O182" s="209" t="s">
        <v>111</v>
      </c>
      <c r="P182" s="208" t="s">
        <v>81</v>
      </c>
      <c r="Q182" s="208" t="s">
        <v>112</v>
      </c>
      <c r="R182" s="115" t="str">
        <f t="shared" si="16"/>
        <v>53</v>
      </c>
      <c r="S182" s="207">
        <v>530402</v>
      </c>
      <c r="T182" s="210" t="str">
        <f>VLOOKUP(S182,ITEM!$C$1:$D$156,2,FALSE)</f>
        <v>Edificios, Locales, Residencias y Cableado Estructurado (Instalación, Mantenimiento y Reparación)</v>
      </c>
      <c r="U182" s="208" t="s">
        <v>83</v>
      </c>
      <c r="V182" s="208" t="s">
        <v>82</v>
      </c>
      <c r="W182" s="208" t="s">
        <v>84</v>
      </c>
      <c r="X182" s="208" t="s">
        <v>84</v>
      </c>
      <c r="Y182" s="272" t="e">
        <f>'Matriz POA 2024-TRABAJO'!#REF!</f>
        <v>#REF!</v>
      </c>
      <c r="Z182" s="272" t="e">
        <f>'Matriz POA 2024-TRABAJO'!#REF!</f>
        <v>#REF!</v>
      </c>
      <c r="AA182" s="272" t="e">
        <f>'Matriz POA 2024-TRABAJO'!#REF!</f>
        <v>#REF!</v>
      </c>
      <c r="AB182" s="272">
        <v>0</v>
      </c>
      <c r="AC182" s="272">
        <v>0</v>
      </c>
      <c r="AD182" s="272">
        <v>0</v>
      </c>
      <c r="AE182" s="272">
        <v>5000</v>
      </c>
      <c r="AF182" s="272">
        <v>0</v>
      </c>
      <c r="AG182" s="272">
        <v>0</v>
      </c>
      <c r="AH182" s="272">
        <v>0</v>
      </c>
      <c r="AI182" s="272">
        <v>4720.33</v>
      </c>
      <c r="AJ182" s="272">
        <v>0</v>
      </c>
      <c r="AK182" s="272">
        <v>0</v>
      </c>
      <c r="AL182" s="272">
        <v>0</v>
      </c>
      <c r="AM182" s="272">
        <v>0</v>
      </c>
      <c r="AN182" s="272" t="e">
        <f>SUM(#REF!)</f>
        <v>#REF!</v>
      </c>
      <c r="AO182" s="224">
        <f t="shared" si="17"/>
        <v>9720.33</v>
      </c>
      <c r="AP182" s="224" t="e">
        <f t="shared" si="23"/>
        <v>#REF!</v>
      </c>
      <c r="AQ182" s="272"/>
      <c r="AR182" s="272"/>
      <c r="AS182" s="272"/>
      <c r="AT182" s="272" t="str">
        <f>IFERROR(VLOOKUP($A182,'Constancias POA'!$A$2:$DH$9993,17,FALSE),"")</f>
        <v/>
      </c>
      <c r="AU182" s="272" t="str">
        <f t="shared" si="18"/>
        <v/>
      </c>
      <c r="AV182" s="224" t="str">
        <f>IFERROR(VLOOKUP($A182,CP!$A$1:$U$7992,18,FALSE),"")</f>
        <v/>
      </c>
      <c r="AW182" s="224" t="str">
        <f>IFERROR(VLOOKUP($A182,CP!$A$1:$U$7992,19,FALSE),"")</f>
        <v/>
      </c>
      <c r="AX182" s="224" t="str">
        <f>IFERROR(VLOOKUP($A182,CP!$A$1:$U$7992,20,FALSE),"")</f>
        <v/>
      </c>
      <c r="AY182" s="272" t="str">
        <f>IFERROR(VLOOKUP($A182,CP!$A$1:$U$1,21,FALSE),"")</f>
        <v/>
      </c>
      <c r="AZ182" s="224" t="str">
        <f>IFERROR(VLOOKUP(A182,Devengado!$A$1:AJ1,35,FALSE),"")</f>
        <v/>
      </c>
      <c r="BA182" s="224" t="str">
        <f t="shared" si="19"/>
        <v/>
      </c>
      <c r="BB182" s="224" t="str">
        <f>IFERROR(AZ182/#REF!,"")</f>
        <v/>
      </c>
      <c r="BC182" s="272" t="str">
        <f>IFERROR(VLOOKUP($A182,Devengado!$A$1:$AI$1,22,FALSE),"")</f>
        <v/>
      </c>
      <c r="BD182" s="272" t="str">
        <f>IFERROR(VLOOKUP($A182,Devengado!$A$1:$AI$1,23,FALSE),"")</f>
        <v/>
      </c>
      <c r="BE182" s="272" t="str">
        <f>IFERROR(VLOOKUP($A182,Devengado!$A$1:$AI$1,24,FALSE),"")</f>
        <v/>
      </c>
      <c r="BF182" s="272" t="str">
        <f>IFERROR(VLOOKUP($A182,Devengado!$A$1:$AI$1,25,FALSE),"")</f>
        <v/>
      </c>
      <c r="BG182" s="272" t="str">
        <f>IFERROR(VLOOKUP($A182,Devengado!$A$1:$AI$1,26,FALSE),"")</f>
        <v/>
      </c>
      <c r="BH182" s="272" t="str">
        <f>IFERROR(VLOOKUP($A182,Devengado!$A$1:$AI$1,27,FALSE),"")</f>
        <v/>
      </c>
      <c r="BI182" s="272" t="str">
        <f>IFERROR(VLOOKUP($A182,Devengado!$A$1:$AI$1,28,FALSE),"")</f>
        <v/>
      </c>
      <c r="BJ182" s="272" t="str">
        <f>IFERROR(VLOOKUP($A182,Devengado!$A$1:$AI$1,29,FALSE),"")</f>
        <v/>
      </c>
      <c r="BK182" s="272" t="str">
        <f>IFERROR(VLOOKUP($A182,Devengado!$A$1:$AI$1,30,FALSE),"")</f>
        <v/>
      </c>
      <c r="BL182" s="272" t="str">
        <f>IFERROR(VLOOKUP($A182,Devengado!$A$1:$AI$1,31,FALSE),"")</f>
        <v/>
      </c>
      <c r="BM182" s="272" t="str">
        <f>IFERROR(VLOOKUP($A182,Devengado!$A$1:$AI$1,32,FALSE),"")</f>
        <v/>
      </c>
      <c r="BN182" s="272" t="str">
        <f>IFERROR(VLOOKUP($A182,Devengado!$A$1:$AI$1,33,FALSE),"")</f>
        <v/>
      </c>
      <c r="BO182" s="272">
        <f t="shared" si="20"/>
        <v>0</v>
      </c>
      <c r="BP182" s="272" t="str">
        <f t="shared" si="21"/>
        <v/>
      </c>
      <c r="BQ182" s="272"/>
      <c r="BR182" s="207" t="str">
        <f t="shared" si="22"/>
        <v>53</v>
      </c>
    </row>
    <row r="183" spans="1:70" ht="25.5" customHeight="1">
      <c r="A183" s="207">
        <v>179</v>
      </c>
      <c r="B183" s="207" t="s">
        <v>206</v>
      </c>
      <c r="C183" s="207" t="s">
        <v>77</v>
      </c>
      <c r="D183" s="207" t="s">
        <v>77</v>
      </c>
      <c r="E183" s="207" t="s">
        <v>76</v>
      </c>
      <c r="F183" s="207" t="s">
        <v>77</v>
      </c>
      <c r="G183" s="207" t="s">
        <v>77</v>
      </c>
      <c r="H183" s="207" t="s">
        <v>77</v>
      </c>
      <c r="I183" s="207" t="s">
        <v>77</v>
      </c>
      <c r="J183" s="207" t="s">
        <v>77</v>
      </c>
      <c r="K183" s="207" t="s">
        <v>77</v>
      </c>
      <c r="L183" s="207" t="s">
        <v>85</v>
      </c>
      <c r="M183" s="207" t="s">
        <v>228</v>
      </c>
      <c r="N183" s="208" t="s">
        <v>208</v>
      </c>
      <c r="O183" s="209" t="s">
        <v>111</v>
      </c>
      <c r="P183" s="208" t="s">
        <v>81</v>
      </c>
      <c r="Q183" s="208" t="s">
        <v>112</v>
      </c>
      <c r="R183" s="115" t="str">
        <f t="shared" si="16"/>
        <v>53</v>
      </c>
      <c r="S183" s="207">
        <v>530403</v>
      </c>
      <c r="T183" s="210" t="str">
        <f>VLOOKUP(S183,ITEM!$C$1:$D$156,2,FALSE)</f>
        <v>Mobiliarios  (Instalación, Mantenimiento y Reparación)</v>
      </c>
      <c r="U183" s="208" t="s">
        <v>83</v>
      </c>
      <c r="V183" s="208" t="s">
        <v>82</v>
      </c>
      <c r="W183" s="208" t="s">
        <v>84</v>
      </c>
      <c r="X183" s="208" t="s">
        <v>84</v>
      </c>
      <c r="Y183" s="272" t="e">
        <f>'Matriz POA 2024-TRABAJO'!#REF!</f>
        <v>#REF!</v>
      </c>
      <c r="Z183" s="272" t="e">
        <f>'Matriz POA 2024-TRABAJO'!#REF!</f>
        <v>#REF!</v>
      </c>
      <c r="AA183" s="272" t="e">
        <f>'Matriz POA 2024-TRABAJO'!#REF!</f>
        <v>#REF!</v>
      </c>
      <c r="AB183" s="272">
        <v>0</v>
      </c>
      <c r="AC183" s="272">
        <v>0</v>
      </c>
      <c r="AD183" s="272">
        <v>0</v>
      </c>
      <c r="AE183" s="272">
        <v>43.63</v>
      </c>
      <c r="AF183" s="272">
        <v>0</v>
      </c>
      <c r="AG183" s="272">
        <v>0</v>
      </c>
      <c r="AH183" s="272">
        <v>1540.49</v>
      </c>
      <c r="AI183" s="272">
        <v>0</v>
      </c>
      <c r="AJ183" s="272">
        <v>0</v>
      </c>
      <c r="AK183" s="272">
        <v>43.64</v>
      </c>
      <c r="AL183" s="272">
        <v>0</v>
      </c>
      <c r="AM183" s="272">
        <v>0</v>
      </c>
      <c r="AN183" s="272" t="e">
        <f>SUM(#REF!)</f>
        <v>#REF!</v>
      </c>
      <c r="AO183" s="224">
        <f t="shared" si="17"/>
        <v>1627.7600000000002</v>
      </c>
      <c r="AP183" s="224" t="e">
        <f t="shared" si="23"/>
        <v>#REF!</v>
      </c>
      <c r="AQ183" s="272"/>
      <c r="AR183" s="272"/>
      <c r="AS183" s="272"/>
      <c r="AT183" s="272" t="str">
        <f>IFERROR(VLOOKUP($A183,'Constancias POA'!$A$2:$DH$9993,17,FALSE),"")</f>
        <v/>
      </c>
      <c r="AU183" s="272" t="str">
        <f t="shared" si="18"/>
        <v/>
      </c>
      <c r="AV183" s="224" t="str">
        <f>IFERROR(VLOOKUP($A183,CP!$A$1:$U$7992,18,FALSE),"")</f>
        <v/>
      </c>
      <c r="AW183" s="224" t="str">
        <f>IFERROR(VLOOKUP($A183,CP!$A$1:$U$7992,19,FALSE),"")</f>
        <v/>
      </c>
      <c r="AX183" s="224" t="str">
        <f>IFERROR(VLOOKUP($A183,CP!$A$1:$U$7992,20,FALSE),"")</f>
        <v/>
      </c>
      <c r="AY183" s="272" t="str">
        <f>IFERROR(VLOOKUP($A183,CP!$A$1:$U$1,21,FALSE),"")</f>
        <v/>
      </c>
      <c r="AZ183" s="224" t="str">
        <f>IFERROR(VLOOKUP(A183,Devengado!$A$1:AJ1,35,FALSE),"")</f>
        <v/>
      </c>
      <c r="BA183" s="224" t="str">
        <f t="shared" si="19"/>
        <v/>
      </c>
      <c r="BB183" s="224" t="str">
        <f>IFERROR(AZ183/#REF!,"")</f>
        <v/>
      </c>
      <c r="BC183" s="272" t="str">
        <f>IFERROR(VLOOKUP($A183,Devengado!$A$1:$AI$1,22,FALSE),"")</f>
        <v/>
      </c>
      <c r="BD183" s="272" t="str">
        <f>IFERROR(VLOOKUP($A183,Devengado!$A$1:$AI$1,23,FALSE),"")</f>
        <v/>
      </c>
      <c r="BE183" s="272" t="str">
        <f>IFERROR(VLOOKUP($A183,Devengado!$A$1:$AI$1,24,FALSE),"")</f>
        <v/>
      </c>
      <c r="BF183" s="272" t="str">
        <f>IFERROR(VLOOKUP($A183,Devengado!$A$1:$AI$1,25,FALSE),"")</f>
        <v/>
      </c>
      <c r="BG183" s="272" t="str">
        <f>IFERROR(VLOOKUP($A183,Devengado!$A$1:$AI$1,26,FALSE),"")</f>
        <v/>
      </c>
      <c r="BH183" s="272" t="str">
        <f>IFERROR(VLOOKUP($A183,Devengado!$A$1:$AI$1,27,FALSE),"")</f>
        <v/>
      </c>
      <c r="BI183" s="272" t="str">
        <f>IFERROR(VLOOKUP($A183,Devengado!$A$1:$AI$1,28,FALSE),"")</f>
        <v/>
      </c>
      <c r="BJ183" s="272" t="str">
        <f>IFERROR(VLOOKUP($A183,Devengado!$A$1:$AI$1,29,FALSE),"")</f>
        <v/>
      </c>
      <c r="BK183" s="272" t="str">
        <f>IFERROR(VLOOKUP($A183,Devengado!$A$1:$AI$1,30,FALSE),"")</f>
        <v/>
      </c>
      <c r="BL183" s="272" t="str">
        <f>IFERROR(VLOOKUP($A183,Devengado!$A$1:$AI$1,31,FALSE),"")</f>
        <v/>
      </c>
      <c r="BM183" s="272" t="str">
        <f>IFERROR(VLOOKUP($A183,Devengado!$A$1:$AI$1,32,FALSE),"")</f>
        <v/>
      </c>
      <c r="BN183" s="272" t="str">
        <f>IFERROR(VLOOKUP($A183,Devengado!$A$1:$AI$1,33,FALSE),"")</f>
        <v/>
      </c>
      <c r="BO183" s="272">
        <f t="shared" si="20"/>
        <v>0</v>
      </c>
      <c r="BP183" s="272" t="str">
        <f t="shared" si="21"/>
        <v/>
      </c>
      <c r="BQ183" s="272"/>
      <c r="BR183" s="207" t="str">
        <f t="shared" si="22"/>
        <v>53</v>
      </c>
    </row>
    <row r="184" spans="1:70" ht="25.5" customHeight="1">
      <c r="A184" s="207">
        <v>180</v>
      </c>
      <c r="B184" s="207" t="s">
        <v>206</v>
      </c>
      <c r="C184" s="207" t="s">
        <v>77</v>
      </c>
      <c r="D184" s="207" t="s">
        <v>77</v>
      </c>
      <c r="E184" s="207" t="s">
        <v>76</v>
      </c>
      <c r="F184" s="207" t="s">
        <v>77</v>
      </c>
      <c r="G184" s="207" t="s">
        <v>77</v>
      </c>
      <c r="H184" s="207" t="s">
        <v>77</v>
      </c>
      <c r="I184" s="207" t="s">
        <v>77</v>
      </c>
      <c r="J184" s="207" t="s">
        <v>77</v>
      </c>
      <c r="K184" s="207" t="s">
        <v>77</v>
      </c>
      <c r="L184" s="207" t="s">
        <v>78</v>
      </c>
      <c r="M184" s="207" t="s">
        <v>229</v>
      </c>
      <c r="N184" s="208" t="s">
        <v>208</v>
      </c>
      <c r="O184" s="209" t="s">
        <v>111</v>
      </c>
      <c r="P184" s="208" t="s">
        <v>81</v>
      </c>
      <c r="Q184" s="208" t="s">
        <v>112</v>
      </c>
      <c r="R184" s="115" t="str">
        <f t="shared" si="16"/>
        <v>53</v>
      </c>
      <c r="S184" s="207">
        <v>530502</v>
      </c>
      <c r="T184" s="210" t="str">
        <f>VLOOKUP(S184,ITEM!$C$1:$D$156,2,FALSE)</f>
        <v>Edificios, Locales y Residencias, Parqueaderos, Casilleros Judiciales y Bancarios (Arrendamiento)</v>
      </c>
      <c r="U184" s="208" t="s">
        <v>83</v>
      </c>
      <c r="V184" s="208" t="s">
        <v>82</v>
      </c>
      <c r="W184" s="208" t="s">
        <v>84</v>
      </c>
      <c r="X184" s="208" t="s">
        <v>84</v>
      </c>
      <c r="Y184" s="272" t="e">
        <f>'Matriz POA 2024-TRABAJO'!#REF!</f>
        <v>#REF!</v>
      </c>
      <c r="Z184" s="272" t="e">
        <f>'Matriz POA 2024-TRABAJO'!#REF!</f>
        <v>#REF!</v>
      </c>
      <c r="AA184" s="272" t="e">
        <f>'Matriz POA 2024-TRABAJO'!#REF!</f>
        <v>#REF!</v>
      </c>
      <c r="AB184" s="272">
        <v>441</v>
      </c>
      <c r="AC184" s="272">
        <v>441</v>
      </c>
      <c r="AD184" s="272">
        <v>441</v>
      </c>
      <c r="AE184" s="272">
        <v>441</v>
      </c>
      <c r="AF184" s="272">
        <v>441</v>
      </c>
      <c r="AG184" s="272">
        <v>441</v>
      </c>
      <c r="AH184" s="272">
        <v>441</v>
      </c>
      <c r="AI184" s="272">
        <v>441</v>
      </c>
      <c r="AJ184" s="272">
        <v>441</v>
      </c>
      <c r="AK184" s="272">
        <v>441</v>
      </c>
      <c r="AL184" s="272">
        <v>441</v>
      </c>
      <c r="AM184" s="272">
        <v>441</v>
      </c>
      <c r="AN184" s="272" t="e">
        <f>SUM(#REF!)</f>
        <v>#REF!</v>
      </c>
      <c r="AO184" s="224">
        <f t="shared" si="17"/>
        <v>5292</v>
      </c>
      <c r="AP184" s="224" t="e">
        <f t="shared" si="23"/>
        <v>#REF!</v>
      </c>
      <c r="AQ184" s="272"/>
      <c r="AR184" s="272"/>
      <c r="AS184" s="272"/>
      <c r="AT184" s="272" t="str">
        <f>IFERROR(VLOOKUP($A184,'Constancias POA'!$A$2:$DH$9993,17,FALSE),"")</f>
        <v/>
      </c>
      <c r="AU184" s="272" t="str">
        <f t="shared" si="18"/>
        <v/>
      </c>
      <c r="AV184" s="224" t="str">
        <f>IFERROR(VLOOKUP($A184,CP!$A$1:$U$7992,18,FALSE),"")</f>
        <v/>
      </c>
      <c r="AW184" s="224" t="str">
        <f>IFERROR(VLOOKUP($A184,CP!$A$1:$U$7992,19,FALSE),"")</f>
        <v/>
      </c>
      <c r="AX184" s="224" t="str">
        <f>IFERROR(VLOOKUP($A184,CP!$A$1:$U$7992,20,FALSE),"")</f>
        <v/>
      </c>
      <c r="AY184" s="272" t="str">
        <f>IFERROR(VLOOKUP($A184,CP!$A$1:$U$1,21,FALSE),"")</f>
        <v/>
      </c>
      <c r="AZ184" s="224" t="str">
        <f>IFERROR(VLOOKUP(A184,Devengado!$A$1:AJ1,35,FALSE),"")</f>
        <v/>
      </c>
      <c r="BA184" s="224" t="str">
        <f t="shared" si="19"/>
        <v/>
      </c>
      <c r="BB184" s="224" t="str">
        <f>IFERROR(AZ184/#REF!,"")</f>
        <v/>
      </c>
      <c r="BC184" s="272" t="str">
        <f>IFERROR(VLOOKUP($A184,Devengado!$A$1:$AI$1,22,FALSE),"")</f>
        <v/>
      </c>
      <c r="BD184" s="272" t="str">
        <f>IFERROR(VLOOKUP($A184,Devengado!$A$1:$AI$1,23,FALSE),"")</f>
        <v/>
      </c>
      <c r="BE184" s="272" t="str">
        <f>IFERROR(VLOOKUP($A184,Devengado!$A$1:$AI$1,24,FALSE),"")</f>
        <v/>
      </c>
      <c r="BF184" s="272" t="str">
        <f>IFERROR(VLOOKUP($A184,Devengado!$A$1:$AI$1,25,FALSE),"")</f>
        <v/>
      </c>
      <c r="BG184" s="272" t="str">
        <f>IFERROR(VLOOKUP($A184,Devengado!$A$1:$AI$1,26,FALSE),"")</f>
        <v/>
      </c>
      <c r="BH184" s="272" t="str">
        <f>IFERROR(VLOOKUP($A184,Devengado!$A$1:$AI$1,27,FALSE),"")</f>
        <v/>
      </c>
      <c r="BI184" s="272" t="str">
        <f>IFERROR(VLOOKUP($A184,Devengado!$A$1:$AI$1,28,FALSE),"")</f>
        <v/>
      </c>
      <c r="BJ184" s="272" t="str">
        <f>IFERROR(VLOOKUP($A184,Devengado!$A$1:$AI$1,29,FALSE),"")</f>
        <v/>
      </c>
      <c r="BK184" s="272" t="str">
        <f>IFERROR(VLOOKUP($A184,Devengado!$A$1:$AI$1,30,FALSE),"")</f>
        <v/>
      </c>
      <c r="BL184" s="272" t="str">
        <f>IFERROR(VLOOKUP($A184,Devengado!$A$1:$AI$1,31,FALSE),"")</f>
        <v/>
      </c>
      <c r="BM184" s="272" t="str">
        <f>IFERROR(VLOOKUP($A184,Devengado!$A$1:$AI$1,32,FALSE),"")</f>
        <v/>
      </c>
      <c r="BN184" s="272" t="str">
        <f>IFERROR(VLOOKUP($A184,Devengado!$A$1:$AI$1,33,FALSE),"")</f>
        <v/>
      </c>
      <c r="BO184" s="272">
        <f t="shared" si="20"/>
        <v>0</v>
      </c>
      <c r="BP184" s="272" t="str">
        <f t="shared" si="21"/>
        <v/>
      </c>
      <c r="BQ184" s="272"/>
      <c r="BR184" s="207" t="str">
        <f t="shared" si="22"/>
        <v>53</v>
      </c>
    </row>
    <row r="185" spans="1:70" ht="25.5" customHeight="1">
      <c r="A185" s="207">
        <v>181</v>
      </c>
      <c r="B185" s="207" t="s">
        <v>206</v>
      </c>
      <c r="C185" s="207" t="s">
        <v>77</v>
      </c>
      <c r="D185" s="207" t="s">
        <v>77</v>
      </c>
      <c r="E185" s="207" t="s">
        <v>76</v>
      </c>
      <c r="F185" s="207" t="s">
        <v>77</v>
      </c>
      <c r="G185" s="207" t="s">
        <v>77</v>
      </c>
      <c r="H185" s="207" t="s">
        <v>77</v>
      </c>
      <c r="I185" s="207" t="s">
        <v>77</v>
      </c>
      <c r="J185" s="207" t="s">
        <v>77</v>
      </c>
      <c r="K185" s="207" t="s">
        <v>77</v>
      </c>
      <c r="L185" s="207" t="s">
        <v>85</v>
      </c>
      <c r="M185" s="207" t="s">
        <v>230</v>
      </c>
      <c r="N185" s="208" t="s">
        <v>208</v>
      </c>
      <c r="O185" s="209" t="s">
        <v>111</v>
      </c>
      <c r="P185" s="208" t="s">
        <v>81</v>
      </c>
      <c r="Q185" s="208" t="s">
        <v>112</v>
      </c>
      <c r="R185" s="115" t="str">
        <f t="shared" si="16"/>
        <v>53</v>
      </c>
      <c r="S185" s="207">
        <v>530606</v>
      </c>
      <c r="T185" s="210" t="str">
        <f>VLOOKUP(S185,ITEM!$C$1:$D$156,2,FALSE)</f>
        <v>Honorarios por Contratos Civiles de Servicios</v>
      </c>
      <c r="U185" s="208" t="s">
        <v>83</v>
      </c>
      <c r="V185" s="208" t="s">
        <v>82</v>
      </c>
      <c r="W185" s="208" t="s">
        <v>84</v>
      </c>
      <c r="X185" s="208" t="s">
        <v>84</v>
      </c>
      <c r="Y185" s="272" t="e">
        <f>'Matriz POA 2024-TRABAJO'!#REF!</f>
        <v>#REF!</v>
      </c>
      <c r="Z185" s="272" t="e">
        <f>'Matriz POA 2024-TRABAJO'!#REF!</f>
        <v>#REF!</v>
      </c>
      <c r="AA185" s="272" t="e">
        <f>'Matriz POA 2024-TRABAJO'!#REF!</f>
        <v>#REF!</v>
      </c>
      <c r="AB185" s="272">
        <v>2307.84</v>
      </c>
      <c r="AC185" s="272">
        <v>2307.84</v>
      </c>
      <c r="AD185" s="272">
        <v>2307.84</v>
      </c>
      <c r="AE185" s="272">
        <v>2307.84</v>
      </c>
      <c r="AF185" s="272">
        <v>2307.84</v>
      </c>
      <c r="AG185" s="272">
        <v>2307.84</v>
      </c>
      <c r="AH185" s="272">
        <v>2307.84</v>
      </c>
      <c r="AI185" s="272">
        <v>2307.84</v>
      </c>
      <c r="AJ185" s="272">
        <v>2307.84</v>
      </c>
      <c r="AK185" s="272">
        <v>2307.84</v>
      </c>
      <c r="AL185" s="272">
        <v>2307.84</v>
      </c>
      <c r="AM185" s="272">
        <v>2307.86</v>
      </c>
      <c r="AN185" s="272" t="e">
        <f>SUM(#REF!)</f>
        <v>#REF!</v>
      </c>
      <c r="AO185" s="224">
        <f t="shared" si="17"/>
        <v>27694.100000000002</v>
      </c>
      <c r="AP185" s="224" t="e">
        <f t="shared" si="23"/>
        <v>#REF!</v>
      </c>
      <c r="AQ185" s="272"/>
      <c r="AR185" s="272"/>
      <c r="AS185" s="272"/>
      <c r="AT185" s="272" t="str">
        <f>IFERROR(VLOOKUP($A185,'Constancias POA'!$A$2:$DH$9993,17,FALSE),"")</f>
        <v/>
      </c>
      <c r="AU185" s="272" t="str">
        <f t="shared" si="18"/>
        <v/>
      </c>
      <c r="AV185" s="224" t="str">
        <f>IFERROR(VLOOKUP($A185,CP!$A$1:$U$7992,18,FALSE),"")</f>
        <v/>
      </c>
      <c r="AW185" s="224" t="str">
        <f>IFERROR(VLOOKUP($A185,CP!$A$1:$U$7992,19,FALSE),"")</f>
        <v/>
      </c>
      <c r="AX185" s="224" t="str">
        <f>IFERROR(VLOOKUP($A185,CP!$A$1:$U$7992,20,FALSE),"")</f>
        <v/>
      </c>
      <c r="AY185" s="272" t="str">
        <f>IFERROR(VLOOKUP($A185,CP!$A$1:$U$1,21,FALSE),"")</f>
        <v/>
      </c>
      <c r="AZ185" s="224" t="str">
        <f>IFERROR(VLOOKUP(A185,Devengado!$A$1:AJ1,35,FALSE),"")</f>
        <v/>
      </c>
      <c r="BA185" s="224" t="str">
        <f t="shared" si="19"/>
        <v/>
      </c>
      <c r="BB185" s="224" t="str">
        <f>IFERROR(AZ185/#REF!,"")</f>
        <v/>
      </c>
      <c r="BC185" s="272" t="str">
        <f>IFERROR(VLOOKUP($A185,Devengado!$A$1:$AI$1,22,FALSE),"")</f>
        <v/>
      </c>
      <c r="BD185" s="272" t="str">
        <f>IFERROR(VLOOKUP($A185,Devengado!$A$1:$AI$1,23,FALSE),"")</f>
        <v/>
      </c>
      <c r="BE185" s="272" t="str">
        <f>IFERROR(VLOOKUP($A185,Devengado!$A$1:$AI$1,24,FALSE),"")</f>
        <v/>
      </c>
      <c r="BF185" s="272" t="str">
        <f>IFERROR(VLOOKUP($A185,Devengado!$A$1:$AI$1,25,FALSE),"")</f>
        <v/>
      </c>
      <c r="BG185" s="272" t="str">
        <f>IFERROR(VLOOKUP($A185,Devengado!$A$1:$AI$1,26,FALSE),"")</f>
        <v/>
      </c>
      <c r="BH185" s="272" t="str">
        <f>IFERROR(VLOOKUP($A185,Devengado!$A$1:$AI$1,27,FALSE),"")</f>
        <v/>
      </c>
      <c r="BI185" s="272" t="str">
        <f>IFERROR(VLOOKUP($A185,Devengado!$A$1:$AI$1,28,FALSE),"")</f>
        <v/>
      </c>
      <c r="BJ185" s="272" t="str">
        <f>IFERROR(VLOOKUP($A185,Devengado!$A$1:$AI$1,29,FALSE),"")</f>
        <v/>
      </c>
      <c r="BK185" s="272" t="str">
        <f>IFERROR(VLOOKUP($A185,Devengado!$A$1:$AI$1,30,FALSE),"")</f>
        <v/>
      </c>
      <c r="BL185" s="272" t="str">
        <f>IFERROR(VLOOKUP($A185,Devengado!$A$1:$AI$1,31,FALSE),"")</f>
        <v/>
      </c>
      <c r="BM185" s="272" t="str">
        <f>IFERROR(VLOOKUP($A185,Devengado!$A$1:$AI$1,32,FALSE),"")</f>
        <v/>
      </c>
      <c r="BN185" s="272" t="str">
        <f>IFERROR(VLOOKUP($A185,Devengado!$A$1:$AI$1,33,FALSE),"")</f>
        <v/>
      </c>
      <c r="BO185" s="272">
        <f t="shared" si="20"/>
        <v>0</v>
      </c>
      <c r="BP185" s="272" t="str">
        <f t="shared" si="21"/>
        <v/>
      </c>
      <c r="BQ185" s="272"/>
      <c r="BR185" s="207" t="str">
        <f t="shared" si="22"/>
        <v>53</v>
      </c>
    </row>
    <row r="186" spans="1:70" ht="25.5" customHeight="1">
      <c r="A186" s="207">
        <v>182</v>
      </c>
      <c r="B186" s="207" t="s">
        <v>206</v>
      </c>
      <c r="C186" s="207" t="s">
        <v>77</v>
      </c>
      <c r="D186" s="207" t="s">
        <v>77</v>
      </c>
      <c r="E186" s="207" t="s">
        <v>76</v>
      </c>
      <c r="F186" s="207" t="s">
        <v>77</v>
      </c>
      <c r="G186" s="207" t="s">
        <v>77</v>
      </c>
      <c r="H186" s="207" t="s">
        <v>77</v>
      </c>
      <c r="I186" s="207" t="s">
        <v>77</v>
      </c>
      <c r="J186" s="207" t="s">
        <v>77</v>
      </c>
      <c r="K186" s="207" t="s">
        <v>77</v>
      </c>
      <c r="L186" s="207" t="s">
        <v>85</v>
      </c>
      <c r="M186" s="211" t="s">
        <v>231</v>
      </c>
      <c r="N186" s="208" t="s">
        <v>208</v>
      </c>
      <c r="O186" s="209" t="s">
        <v>111</v>
      </c>
      <c r="P186" s="208" t="s">
        <v>81</v>
      </c>
      <c r="Q186" s="208" t="s">
        <v>112</v>
      </c>
      <c r="R186" s="115" t="str">
        <f t="shared" si="16"/>
        <v>53</v>
      </c>
      <c r="S186" s="207">
        <v>530612</v>
      </c>
      <c r="T186" s="210" t="e">
        <f>VLOOKUP(S186,ITEM!$C$1:$D$156,2,FALSE)</f>
        <v>#N/A</v>
      </c>
      <c r="U186" s="208" t="s">
        <v>83</v>
      </c>
      <c r="V186" s="208" t="s">
        <v>82</v>
      </c>
      <c r="W186" s="208" t="s">
        <v>84</v>
      </c>
      <c r="X186" s="208" t="s">
        <v>84</v>
      </c>
      <c r="Y186" s="272" t="e">
        <f>'Matriz POA 2024-TRABAJO'!#REF!</f>
        <v>#REF!</v>
      </c>
      <c r="Z186" s="272" t="e">
        <f>'Matriz POA 2024-TRABAJO'!#REF!</f>
        <v>#REF!</v>
      </c>
      <c r="AA186" s="272" t="e">
        <f>'Matriz POA 2024-TRABAJO'!#REF!</f>
        <v>#REF!</v>
      </c>
      <c r="AB186" s="272">
        <v>0</v>
      </c>
      <c r="AC186" s="272">
        <v>0</v>
      </c>
      <c r="AD186" s="272">
        <v>0</v>
      </c>
      <c r="AE186" s="272">
        <v>0</v>
      </c>
      <c r="AF186" s="272">
        <v>0</v>
      </c>
      <c r="AG186" s="272">
        <v>0</v>
      </c>
      <c r="AH186" s="272">
        <v>0</v>
      </c>
      <c r="AI186" s="272">
        <v>0</v>
      </c>
      <c r="AJ186" s="272">
        <v>0</v>
      </c>
      <c r="AK186" s="272">
        <v>0</v>
      </c>
      <c r="AL186" s="272">
        <v>0</v>
      </c>
      <c r="AM186" s="272">
        <v>0</v>
      </c>
      <c r="AN186" s="272" t="e">
        <f>SUM(#REF!)</f>
        <v>#REF!</v>
      </c>
      <c r="AO186" s="224">
        <f t="shared" si="17"/>
        <v>0</v>
      </c>
      <c r="AP186" s="224" t="e">
        <f t="shared" si="23"/>
        <v>#REF!</v>
      </c>
      <c r="AQ186" s="272"/>
      <c r="AR186" s="272"/>
      <c r="AS186" s="272"/>
      <c r="AT186" s="272" t="str">
        <f>IFERROR(VLOOKUP($A186,'Constancias POA'!$A$2:$DH$9993,17,FALSE),"")</f>
        <v/>
      </c>
      <c r="AU186" s="272" t="str">
        <f t="shared" si="18"/>
        <v/>
      </c>
      <c r="AV186" s="224" t="str">
        <f>IFERROR(VLOOKUP($A186,CP!$A$1:$U$7992,18,FALSE),"")</f>
        <v/>
      </c>
      <c r="AW186" s="224" t="str">
        <f>IFERROR(VLOOKUP($A186,CP!$A$1:$U$7992,19,FALSE),"")</f>
        <v/>
      </c>
      <c r="AX186" s="224" t="str">
        <f>IFERROR(VLOOKUP($A186,CP!$A$1:$U$7992,20,FALSE),"")</f>
        <v/>
      </c>
      <c r="AY186" s="272" t="str">
        <f>IFERROR(VLOOKUP($A186,CP!$A$1:$U$1,21,FALSE),"")</f>
        <v/>
      </c>
      <c r="AZ186" s="224" t="str">
        <f>IFERROR(VLOOKUP(A186,Devengado!$A$1:AJ1,35,FALSE),"")</f>
        <v/>
      </c>
      <c r="BA186" s="224" t="str">
        <f t="shared" si="19"/>
        <v/>
      </c>
      <c r="BB186" s="224" t="str">
        <f>IFERROR(AZ186/#REF!,"")</f>
        <v/>
      </c>
      <c r="BC186" s="272" t="str">
        <f>IFERROR(VLOOKUP($A186,Devengado!$A$1:$AI$1,22,FALSE),"")</f>
        <v/>
      </c>
      <c r="BD186" s="272" t="str">
        <f>IFERROR(VLOOKUP($A186,Devengado!$A$1:$AI$1,23,FALSE),"")</f>
        <v/>
      </c>
      <c r="BE186" s="272" t="str">
        <f>IFERROR(VLOOKUP($A186,Devengado!$A$1:$AI$1,24,FALSE),"")</f>
        <v/>
      </c>
      <c r="BF186" s="272" t="str">
        <f>IFERROR(VLOOKUP($A186,Devengado!$A$1:$AI$1,25,FALSE),"")</f>
        <v/>
      </c>
      <c r="BG186" s="272" t="str">
        <f>IFERROR(VLOOKUP($A186,Devengado!$A$1:$AI$1,26,FALSE),"")</f>
        <v/>
      </c>
      <c r="BH186" s="272" t="str">
        <f>IFERROR(VLOOKUP($A186,Devengado!$A$1:$AI$1,27,FALSE),"")</f>
        <v/>
      </c>
      <c r="BI186" s="272" t="str">
        <f>IFERROR(VLOOKUP($A186,Devengado!$A$1:$AI$1,28,FALSE),"")</f>
        <v/>
      </c>
      <c r="BJ186" s="272" t="str">
        <f>IFERROR(VLOOKUP($A186,Devengado!$A$1:$AI$1,29,FALSE),"")</f>
        <v/>
      </c>
      <c r="BK186" s="272" t="str">
        <f>IFERROR(VLOOKUP($A186,Devengado!$A$1:$AI$1,30,FALSE),"")</f>
        <v/>
      </c>
      <c r="BL186" s="272" t="str">
        <f>IFERROR(VLOOKUP($A186,Devengado!$A$1:$AI$1,31,FALSE),"")</f>
        <v/>
      </c>
      <c r="BM186" s="272" t="str">
        <f>IFERROR(VLOOKUP($A186,Devengado!$A$1:$AI$1,32,FALSE),"")</f>
        <v/>
      </c>
      <c r="BN186" s="272" t="str">
        <f>IFERROR(VLOOKUP($A186,Devengado!$A$1:$AI$1,33,FALSE),"")</f>
        <v/>
      </c>
      <c r="BO186" s="272">
        <f t="shared" si="20"/>
        <v>0</v>
      </c>
      <c r="BP186" s="272" t="str">
        <f t="shared" si="21"/>
        <v/>
      </c>
      <c r="BQ186" s="272"/>
      <c r="BR186" s="207" t="str">
        <f t="shared" si="22"/>
        <v>53</v>
      </c>
    </row>
    <row r="187" spans="1:70" ht="25.5" customHeight="1">
      <c r="A187" s="207">
        <v>183</v>
      </c>
      <c r="B187" s="207" t="s">
        <v>206</v>
      </c>
      <c r="C187" s="207" t="s">
        <v>77</v>
      </c>
      <c r="D187" s="207" t="s">
        <v>77</v>
      </c>
      <c r="E187" s="207" t="s">
        <v>76</v>
      </c>
      <c r="F187" s="207" t="s">
        <v>77</v>
      </c>
      <c r="G187" s="207" t="s">
        <v>77</v>
      </c>
      <c r="H187" s="207" t="s">
        <v>77</v>
      </c>
      <c r="I187" s="207" t="s">
        <v>77</v>
      </c>
      <c r="J187" s="207" t="s">
        <v>77</v>
      </c>
      <c r="K187" s="207" t="s">
        <v>77</v>
      </c>
      <c r="L187" s="207" t="s">
        <v>85</v>
      </c>
      <c r="M187" s="211" t="s">
        <v>232</v>
      </c>
      <c r="N187" s="208" t="s">
        <v>208</v>
      </c>
      <c r="O187" s="209" t="s">
        <v>111</v>
      </c>
      <c r="P187" s="208" t="s">
        <v>81</v>
      </c>
      <c r="Q187" s="208" t="s">
        <v>112</v>
      </c>
      <c r="R187" s="115" t="str">
        <f t="shared" si="16"/>
        <v>53</v>
      </c>
      <c r="S187" s="207">
        <v>530613</v>
      </c>
      <c r="T187" s="210" t="e">
        <f>VLOOKUP(S187,ITEM!$C$1:$D$156,2,FALSE)</f>
        <v>#N/A</v>
      </c>
      <c r="U187" s="208" t="s">
        <v>83</v>
      </c>
      <c r="V187" s="208" t="s">
        <v>82</v>
      </c>
      <c r="W187" s="208" t="s">
        <v>84</v>
      </c>
      <c r="X187" s="208" t="s">
        <v>84</v>
      </c>
      <c r="Y187" s="272" t="e">
        <f>'Matriz POA 2024-TRABAJO'!#REF!</f>
        <v>#REF!</v>
      </c>
      <c r="Z187" s="272" t="e">
        <f>'Matriz POA 2024-TRABAJO'!#REF!</f>
        <v>#REF!</v>
      </c>
      <c r="AA187" s="272" t="e">
        <f>'Matriz POA 2024-TRABAJO'!#REF!</f>
        <v>#REF!</v>
      </c>
      <c r="AB187" s="272">
        <v>0</v>
      </c>
      <c r="AC187" s="272">
        <v>0</v>
      </c>
      <c r="AD187" s="272">
        <v>0</v>
      </c>
      <c r="AE187" s="272">
        <v>0</v>
      </c>
      <c r="AF187" s="272">
        <v>0</v>
      </c>
      <c r="AG187" s="272">
        <v>0</v>
      </c>
      <c r="AH187" s="272">
        <v>0</v>
      </c>
      <c r="AI187" s="272">
        <v>0</v>
      </c>
      <c r="AJ187" s="272">
        <v>0</v>
      </c>
      <c r="AK187" s="272">
        <v>0</v>
      </c>
      <c r="AL187" s="272">
        <v>0</v>
      </c>
      <c r="AM187" s="272">
        <v>0</v>
      </c>
      <c r="AN187" s="272" t="e">
        <f>SUM(#REF!)</f>
        <v>#REF!</v>
      </c>
      <c r="AO187" s="224">
        <f t="shared" si="17"/>
        <v>0</v>
      </c>
      <c r="AP187" s="224" t="e">
        <f t="shared" si="23"/>
        <v>#REF!</v>
      </c>
      <c r="AQ187" s="272"/>
      <c r="AR187" s="272"/>
      <c r="AS187" s="272"/>
      <c r="AT187" s="272" t="str">
        <f>IFERROR(VLOOKUP($A187,'Constancias POA'!$A$2:$DH$9993,17,FALSE),"")</f>
        <v/>
      </c>
      <c r="AU187" s="272" t="str">
        <f t="shared" si="18"/>
        <v/>
      </c>
      <c r="AV187" s="224" t="str">
        <f>IFERROR(VLOOKUP($A187,CP!$A$1:$U$7992,18,FALSE),"")</f>
        <v/>
      </c>
      <c r="AW187" s="224" t="str">
        <f>IFERROR(VLOOKUP($A187,CP!$A$1:$U$7992,19,FALSE),"")</f>
        <v/>
      </c>
      <c r="AX187" s="224" t="str">
        <f>IFERROR(VLOOKUP($A187,CP!$A$1:$U$7992,20,FALSE),"")</f>
        <v/>
      </c>
      <c r="AY187" s="272" t="str">
        <f>IFERROR(VLOOKUP($A187,CP!$A$1:$U$1,21,FALSE),"")</f>
        <v/>
      </c>
      <c r="AZ187" s="224" t="str">
        <f>IFERROR(VLOOKUP(A187,Devengado!$A$1:AJ1,35,FALSE),"")</f>
        <v/>
      </c>
      <c r="BA187" s="224" t="str">
        <f t="shared" si="19"/>
        <v/>
      </c>
      <c r="BB187" s="224" t="str">
        <f>IFERROR(AZ187/#REF!,"")</f>
        <v/>
      </c>
      <c r="BC187" s="272" t="str">
        <f>IFERROR(VLOOKUP($A187,Devengado!$A$1:$AI$1,22,FALSE),"")</f>
        <v/>
      </c>
      <c r="BD187" s="272" t="str">
        <f>IFERROR(VLOOKUP($A187,Devengado!$A$1:$AI$1,23,FALSE),"")</f>
        <v/>
      </c>
      <c r="BE187" s="272" t="str">
        <f>IFERROR(VLOOKUP($A187,Devengado!$A$1:$AI$1,24,FALSE),"")</f>
        <v/>
      </c>
      <c r="BF187" s="272" t="str">
        <f>IFERROR(VLOOKUP($A187,Devengado!$A$1:$AI$1,25,FALSE),"")</f>
        <v/>
      </c>
      <c r="BG187" s="272" t="str">
        <f>IFERROR(VLOOKUP($A187,Devengado!$A$1:$AI$1,26,FALSE),"")</f>
        <v/>
      </c>
      <c r="BH187" s="272" t="str">
        <f>IFERROR(VLOOKUP($A187,Devengado!$A$1:$AI$1,27,FALSE),"")</f>
        <v/>
      </c>
      <c r="BI187" s="272" t="str">
        <f>IFERROR(VLOOKUP($A187,Devengado!$A$1:$AI$1,28,FALSE),"")</f>
        <v/>
      </c>
      <c r="BJ187" s="272" t="str">
        <f>IFERROR(VLOOKUP($A187,Devengado!$A$1:$AI$1,29,FALSE),"")</f>
        <v/>
      </c>
      <c r="BK187" s="272" t="str">
        <f>IFERROR(VLOOKUP($A187,Devengado!$A$1:$AI$1,30,FALSE),"")</f>
        <v/>
      </c>
      <c r="BL187" s="272" t="str">
        <f>IFERROR(VLOOKUP($A187,Devengado!$A$1:$AI$1,31,FALSE),"")</f>
        <v/>
      </c>
      <c r="BM187" s="272" t="str">
        <f>IFERROR(VLOOKUP($A187,Devengado!$A$1:$AI$1,32,FALSE),"")</f>
        <v/>
      </c>
      <c r="BN187" s="272" t="str">
        <f>IFERROR(VLOOKUP($A187,Devengado!$A$1:$AI$1,33,FALSE),"")</f>
        <v/>
      </c>
      <c r="BO187" s="272">
        <f t="shared" si="20"/>
        <v>0</v>
      </c>
      <c r="BP187" s="272" t="str">
        <f t="shared" si="21"/>
        <v/>
      </c>
      <c r="BQ187" s="272"/>
      <c r="BR187" s="207" t="str">
        <f t="shared" si="22"/>
        <v>53</v>
      </c>
    </row>
    <row r="188" spans="1:70" ht="25.5" customHeight="1">
      <c r="A188" s="207">
        <v>184</v>
      </c>
      <c r="B188" s="207" t="s">
        <v>206</v>
      </c>
      <c r="C188" s="207" t="s">
        <v>77</v>
      </c>
      <c r="D188" s="207" t="s">
        <v>77</v>
      </c>
      <c r="E188" s="207" t="s">
        <v>76</v>
      </c>
      <c r="F188" s="207" t="s">
        <v>77</v>
      </c>
      <c r="G188" s="207" t="s">
        <v>77</v>
      </c>
      <c r="H188" s="207" t="s">
        <v>77</v>
      </c>
      <c r="I188" s="207" t="s">
        <v>77</v>
      </c>
      <c r="J188" s="207" t="s">
        <v>77</v>
      </c>
      <c r="K188" s="207" t="s">
        <v>77</v>
      </c>
      <c r="L188" s="207" t="s">
        <v>85</v>
      </c>
      <c r="M188" s="207" t="s">
        <v>233</v>
      </c>
      <c r="N188" s="208" t="s">
        <v>208</v>
      </c>
      <c r="O188" s="209" t="s">
        <v>111</v>
      </c>
      <c r="P188" s="208" t="s">
        <v>81</v>
      </c>
      <c r="Q188" s="208" t="s">
        <v>112</v>
      </c>
      <c r="R188" s="115" t="str">
        <f t="shared" si="16"/>
        <v>53</v>
      </c>
      <c r="S188" s="207">
        <v>530704</v>
      </c>
      <c r="T188" s="210" t="e">
        <f>VLOOKUP(S188,ITEM!$C$1:$D$156,2,FALSE)</f>
        <v>#N/A</v>
      </c>
      <c r="U188" s="208" t="s">
        <v>83</v>
      </c>
      <c r="V188" s="208" t="s">
        <v>82</v>
      </c>
      <c r="W188" s="208" t="s">
        <v>84</v>
      </c>
      <c r="X188" s="208" t="s">
        <v>84</v>
      </c>
      <c r="Y188" s="272" t="e">
        <f>'Matriz POA 2024-TRABAJO'!#REF!</f>
        <v>#REF!</v>
      </c>
      <c r="Z188" s="272" t="e">
        <f>'Matriz POA 2024-TRABAJO'!#REF!</f>
        <v>#REF!</v>
      </c>
      <c r="AA188" s="272" t="e">
        <f>'Matriz POA 2024-TRABAJO'!#REF!</f>
        <v>#REF!</v>
      </c>
      <c r="AB188" s="272">
        <v>0</v>
      </c>
      <c r="AC188" s="272">
        <v>0</v>
      </c>
      <c r="AD188" s="272">
        <v>0</v>
      </c>
      <c r="AE188" s="272">
        <v>0</v>
      </c>
      <c r="AF188" s="272">
        <v>1000</v>
      </c>
      <c r="AG188" s="272">
        <v>0</v>
      </c>
      <c r="AH188" s="272">
        <v>0</v>
      </c>
      <c r="AI188" s="272">
        <v>1000</v>
      </c>
      <c r="AJ188" s="272">
        <v>0</v>
      </c>
      <c r="AK188" s="272">
        <v>0</v>
      </c>
      <c r="AL188" s="272">
        <v>500</v>
      </c>
      <c r="AM188" s="272">
        <v>0</v>
      </c>
      <c r="AN188" s="272" t="e">
        <f>SUM(#REF!)</f>
        <v>#REF!</v>
      </c>
      <c r="AO188" s="224">
        <f t="shared" si="17"/>
        <v>2500</v>
      </c>
      <c r="AP188" s="224" t="e">
        <f t="shared" si="23"/>
        <v>#REF!</v>
      </c>
      <c r="AQ188" s="272"/>
      <c r="AR188" s="272"/>
      <c r="AS188" s="272"/>
      <c r="AT188" s="272" t="str">
        <f>IFERROR(VLOOKUP($A188,'Constancias POA'!$A$2:$DH$9993,17,FALSE),"")</f>
        <v/>
      </c>
      <c r="AU188" s="272" t="str">
        <f t="shared" si="18"/>
        <v/>
      </c>
      <c r="AV188" s="224" t="str">
        <f>IFERROR(VLOOKUP($A188,CP!$A$1:$U$7992,18,FALSE),"")</f>
        <v/>
      </c>
      <c r="AW188" s="224" t="str">
        <f>IFERROR(VLOOKUP($A188,CP!$A$1:$U$7992,19,FALSE),"")</f>
        <v/>
      </c>
      <c r="AX188" s="224" t="str">
        <f>IFERROR(VLOOKUP($A188,CP!$A$1:$U$7992,20,FALSE),"")</f>
        <v/>
      </c>
      <c r="AY188" s="272" t="str">
        <f>IFERROR(VLOOKUP($A188,CP!$A$1:$U$1,21,FALSE),"")</f>
        <v/>
      </c>
      <c r="AZ188" s="224" t="str">
        <f>IFERROR(VLOOKUP(A188,Devengado!$A$1:AJ1,35,FALSE),"")</f>
        <v/>
      </c>
      <c r="BA188" s="224" t="str">
        <f t="shared" si="19"/>
        <v/>
      </c>
      <c r="BB188" s="224" t="str">
        <f>IFERROR(AZ188/#REF!,"")</f>
        <v/>
      </c>
      <c r="BC188" s="272" t="str">
        <f>IFERROR(VLOOKUP($A188,Devengado!$A$1:$AI$1,22,FALSE),"")</f>
        <v/>
      </c>
      <c r="BD188" s="272" t="str">
        <f>IFERROR(VLOOKUP($A188,Devengado!$A$1:$AI$1,23,FALSE),"")</f>
        <v/>
      </c>
      <c r="BE188" s="272" t="str">
        <f>IFERROR(VLOOKUP($A188,Devengado!$A$1:$AI$1,24,FALSE),"")</f>
        <v/>
      </c>
      <c r="BF188" s="272" t="str">
        <f>IFERROR(VLOOKUP($A188,Devengado!$A$1:$AI$1,25,FALSE),"")</f>
        <v/>
      </c>
      <c r="BG188" s="272" t="str">
        <f>IFERROR(VLOOKUP($A188,Devengado!$A$1:$AI$1,26,FALSE),"")</f>
        <v/>
      </c>
      <c r="BH188" s="272" t="str">
        <f>IFERROR(VLOOKUP($A188,Devengado!$A$1:$AI$1,27,FALSE),"")</f>
        <v/>
      </c>
      <c r="BI188" s="272" t="str">
        <f>IFERROR(VLOOKUP($A188,Devengado!$A$1:$AI$1,28,FALSE),"")</f>
        <v/>
      </c>
      <c r="BJ188" s="272" t="str">
        <f>IFERROR(VLOOKUP($A188,Devengado!$A$1:$AI$1,29,FALSE),"")</f>
        <v/>
      </c>
      <c r="BK188" s="272" t="str">
        <f>IFERROR(VLOOKUP($A188,Devengado!$A$1:$AI$1,30,FALSE),"")</f>
        <v/>
      </c>
      <c r="BL188" s="272" t="str">
        <f>IFERROR(VLOOKUP($A188,Devengado!$A$1:$AI$1,31,FALSE),"")</f>
        <v/>
      </c>
      <c r="BM188" s="272" t="str">
        <f>IFERROR(VLOOKUP($A188,Devengado!$A$1:$AI$1,32,FALSE),"")</f>
        <v/>
      </c>
      <c r="BN188" s="272" t="str">
        <f>IFERROR(VLOOKUP($A188,Devengado!$A$1:$AI$1,33,FALSE),"")</f>
        <v/>
      </c>
      <c r="BO188" s="272">
        <f t="shared" si="20"/>
        <v>0</v>
      </c>
      <c r="BP188" s="272" t="str">
        <f t="shared" si="21"/>
        <v/>
      </c>
      <c r="BQ188" s="272"/>
      <c r="BR188" s="207" t="str">
        <f t="shared" si="22"/>
        <v>53</v>
      </c>
    </row>
    <row r="189" spans="1:70" ht="25.5" customHeight="1">
      <c r="A189" s="207">
        <v>185</v>
      </c>
      <c r="B189" s="207" t="s">
        <v>206</v>
      </c>
      <c r="C189" s="207" t="s">
        <v>77</v>
      </c>
      <c r="D189" s="207" t="s">
        <v>77</v>
      </c>
      <c r="E189" s="207" t="s">
        <v>76</v>
      </c>
      <c r="F189" s="207" t="s">
        <v>77</v>
      </c>
      <c r="G189" s="207" t="s">
        <v>77</v>
      </c>
      <c r="H189" s="207" t="s">
        <v>77</v>
      </c>
      <c r="I189" s="207" t="s">
        <v>77</v>
      </c>
      <c r="J189" s="207" t="s">
        <v>77</v>
      </c>
      <c r="K189" s="207" t="s">
        <v>77</v>
      </c>
      <c r="L189" s="207" t="s">
        <v>85</v>
      </c>
      <c r="M189" s="207" t="s">
        <v>234</v>
      </c>
      <c r="N189" s="208" t="s">
        <v>208</v>
      </c>
      <c r="O189" s="209" t="s">
        <v>111</v>
      </c>
      <c r="P189" s="208" t="s">
        <v>81</v>
      </c>
      <c r="Q189" s="208" t="s">
        <v>112</v>
      </c>
      <c r="R189" s="115" t="str">
        <f t="shared" si="16"/>
        <v>53</v>
      </c>
      <c r="S189" s="207">
        <v>530807</v>
      </c>
      <c r="T189" s="210" t="e">
        <f>VLOOKUP(S189,ITEM!$C$1:$D$156,2,FALSE)</f>
        <v>#N/A</v>
      </c>
      <c r="U189" s="208" t="s">
        <v>83</v>
      </c>
      <c r="V189" s="208" t="s">
        <v>82</v>
      </c>
      <c r="W189" s="208" t="s">
        <v>84</v>
      </c>
      <c r="X189" s="208" t="s">
        <v>84</v>
      </c>
      <c r="Y189" s="272" t="e">
        <f>'Matriz POA 2024-TRABAJO'!#REF!</f>
        <v>#REF!</v>
      </c>
      <c r="Z189" s="272" t="e">
        <f>'Matriz POA 2024-TRABAJO'!#REF!</f>
        <v>#REF!</v>
      </c>
      <c r="AA189" s="272" t="e">
        <f>'Matriz POA 2024-TRABAJO'!#REF!</f>
        <v>#REF!</v>
      </c>
      <c r="AB189" s="272">
        <v>0</v>
      </c>
      <c r="AC189" s="272">
        <v>17.98</v>
      </c>
      <c r="AD189" s="272">
        <v>0</v>
      </c>
      <c r="AE189" s="272">
        <v>0</v>
      </c>
      <c r="AF189" s="272">
        <v>10.25</v>
      </c>
      <c r="AG189" s="272">
        <v>0</v>
      </c>
      <c r="AH189" s="272">
        <v>66.58</v>
      </c>
      <c r="AI189" s="272">
        <v>0</v>
      </c>
      <c r="AJ189" s="272">
        <v>0</v>
      </c>
      <c r="AK189" s="272">
        <v>0</v>
      </c>
      <c r="AL189" s="272">
        <v>0</v>
      </c>
      <c r="AM189" s="272">
        <v>0</v>
      </c>
      <c r="AN189" s="272" t="e">
        <f>SUM(#REF!)</f>
        <v>#REF!</v>
      </c>
      <c r="AO189" s="224">
        <f t="shared" si="17"/>
        <v>94.81</v>
      </c>
      <c r="AP189" s="224" t="e">
        <f t="shared" si="23"/>
        <v>#REF!</v>
      </c>
      <c r="AQ189" s="272"/>
      <c r="AR189" s="272"/>
      <c r="AS189" s="272"/>
      <c r="AT189" s="272" t="str">
        <f>IFERROR(VLOOKUP($A189,'Constancias POA'!$A$2:$DH$9993,17,FALSE),"")</f>
        <v/>
      </c>
      <c r="AU189" s="272" t="str">
        <f t="shared" si="18"/>
        <v/>
      </c>
      <c r="AV189" s="224" t="str">
        <f>IFERROR(VLOOKUP($A189,CP!$A$1:$U$7992,18,FALSE),"")</f>
        <v/>
      </c>
      <c r="AW189" s="224" t="str">
        <f>IFERROR(VLOOKUP($A189,CP!$A$1:$U$7992,19,FALSE),"")</f>
        <v/>
      </c>
      <c r="AX189" s="224" t="str">
        <f>IFERROR(VLOOKUP($A189,CP!$A$1:$U$7992,20,FALSE),"")</f>
        <v/>
      </c>
      <c r="AY189" s="272" t="str">
        <f>IFERROR(VLOOKUP($A189,CP!$A$1:$U$1,21,FALSE),"")</f>
        <v/>
      </c>
      <c r="AZ189" s="224" t="str">
        <f>IFERROR(VLOOKUP(A189,Devengado!$A$1:AJ1,35,FALSE),"")</f>
        <v/>
      </c>
      <c r="BA189" s="224" t="str">
        <f t="shared" si="19"/>
        <v/>
      </c>
      <c r="BB189" s="224" t="str">
        <f>IFERROR(AZ189/#REF!,"")</f>
        <v/>
      </c>
      <c r="BC189" s="272" t="str">
        <f>IFERROR(VLOOKUP($A189,Devengado!$A$1:$AI$1,22,FALSE),"")</f>
        <v/>
      </c>
      <c r="BD189" s="272" t="str">
        <f>IFERROR(VLOOKUP($A189,Devengado!$A$1:$AI$1,23,FALSE),"")</f>
        <v/>
      </c>
      <c r="BE189" s="272" t="str">
        <f>IFERROR(VLOOKUP($A189,Devengado!$A$1:$AI$1,24,FALSE),"")</f>
        <v/>
      </c>
      <c r="BF189" s="272" t="str">
        <f>IFERROR(VLOOKUP($A189,Devengado!$A$1:$AI$1,25,FALSE),"")</f>
        <v/>
      </c>
      <c r="BG189" s="272" t="str">
        <f>IFERROR(VLOOKUP($A189,Devengado!$A$1:$AI$1,26,FALSE),"")</f>
        <v/>
      </c>
      <c r="BH189" s="272" t="str">
        <f>IFERROR(VLOOKUP($A189,Devengado!$A$1:$AI$1,27,FALSE),"")</f>
        <v/>
      </c>
      <c r="BI189" s="272" t="str">
        <f>IFERROR(VLOOKUP($A189,Devengado!$A$1:$AI$1,28,FALSE),"")</f>
        <v/>
      </c>
      <c r="BJ189" s="272" t="str">
        <f>IFERROR(VLOOKUP($A189,Devengado!$A$1:$AI$1,29,FALSE),"")</f>
        <v/>
      </c>
      <c r="BK189" s="272" t="str">
        <f>IFERROR(VLOOKUP($A189,Devengado!$A$1:$AI$1,30,FALSE),"")</f>
        <v/>
      </c>
      <c r="BL189" s="272" t="str">
        <f>IFERROR(VLOOKUP($A189,Devengado!$A$1:$AI$1,31,FALSE),"")</f>
        <v/>
      </c>
      <c r="BM189" s="272" t="str">
        <f>IFERROR(VLOOKUP($A189,Devengado!$A$1:$AI$1,32,FALSE),"")</f>
        <v/>
      </c>
      <c r="BN189" s="272" t="str">
        <f>IFERROR(VLOOKUP($A189,Devengado!$A$1:$AI$1,33,FALSE),"")</f>
        <v/>
      </c>
      <c r="BO189" s="272">
        <f t="shared" si="20"/>
        <v>0</v>
      </c>
      <c r="BP189" s="272" t="str">
        <f t="shared" si="21"/>
        <v/>
      </c>
      <c r="BQ189" s="272"/>
      <c r="BR189" s="207" t="str">
        <f t="shared" si="22"/>
        <v>53</v>
      </c>
    </row>
    <row r="190" spans="1:70" ht="25.5" customHeight="1">
      <c r="A190" s="207">
        <v>186</v>
      </c>
      <c r="B190" s="207" t="s">
        <v>206</v>
      </c>
      <c r="C190" s="207" t="s">
        <v>77</v>
      </c>
      <c r="D190" s="207" t="s">
        <v>77</v>
      </c>
      <c r="E190" s="207" t="s">
        <v>76</v>
      </c>
      <c r="F190" s="207" t="s">
        <v>77</v>
      </c>
      <c r="G190" s="207" t="s">
        <v>77</v>
      </c>
      <c r="H190" s="207" t="s">
        <v>77</v>
      </c>
      <c r="I190" s="207" t="s">
        <v>77</v>
      </c>
      <c r="J190" s="207" t="s">
        <v>77</v>
      </c>
      <c r="K190" s="207" t="s">
        <v>77</v>
      </c>
      <c r="L190" s="207" t="s">
        <v>85</v>
      </c>
      <c r="M190" s="207" t="s">
        <v>235</v>
      </c>
      <c r="N190" s="208" t="s">
        <v>208</v>
      </c>
      <c r="O190" s="209" t="s">
        <v>111</v>
      </c>
      <c r="P190" s="208" t="s">
        <v>81</v>
      </c>
      <c r="Q190" s="208" t="s">
        <v>112</v>
      </c>
      <c r="R190" s="115" t="str">
        <f t="shared" si="16"/>
        <v>84</v>
      </c>
      <c r="S190" s="207">
        <v>840107</v>
      </c>
      <c r="T190" s="210" t="e">
        <f>VLOOKUP(S190,ITEM!$C$1:$D$156,2,FALSE)</f>
        <v>#N/A</v>
      </c>
      <c r="U190" s="208" t="s">
        <v>83</v>
      </c>
      <c r="V190" s="208" t="s">
        <v>82</v>
      </c>
      <c r="W190" s="208" t="s">
        <v>84</v>
      </c>
      <c r="X190" s="208" t="s">
        <v>84</v>
      </c>
      <c r="Y190" s="272" t="e">
        <f>'Matriz POA 2024-TRABAJO'!#REF!</f>
        <v>#REF!</v>
      </c>
      <c r="Z190" s="272" t="e">
        <f>'Matriz POA 2024-TRABAJO'!#REF!</f>
        <v>#REF!</v>
      </c>
      <c r="AA190" s="272" t="e">
        <f>'Matriz POA 2024-TRABAJO'!#REF!</f>
        <v>#REF!</v>
      </c>
      <c r="AB190" s="272">
        <v>0</v>
      </c>
      <c r="AC190" s="272">
        <v>0</v>
      </c>
      <c r="AD190" s="272">
        <v>0</v>
      </c>
      <c r="AE190" s="272">
        <v>0</v>
      </c>
      <c r="AF190" s="272">
        <v>0</v>
      </c>
      <c r="AG190" s="272">
        <v>0</v>
      </c>
      <c r="AH190" s="272">
        <v>0</v>
      </c>
      <c r="AI190" s="272">
        <v>0</v>
      </c>
      <c r="AJ190" s="272">
        <v>0</v>
      </c>
      <c r="AK190" s="272">
        <v>0</v>
      </c>
      <c r="AL190" s="272">
        <v>0</v>
      </c>
      <c r="AM190" s="272">
        <v>0</v>
      </c>
      <c r="AN190" s="272" t="e">
        <f>SUM(#REF!)</f>
        <v>#REF!</v>
      </c>
      <c r="AO190" s="224">
        <f t="shared" si="17"/>
        <v>0</v>
      </c>
      <c r="AP190" s="224" t="e">
        <f t="shared" si="23"/>
        <v>#REF!</v>
      </c>
      <c r="AQ190" s="272"/>
      <c r="AR190" s="272"/>
      <c r="AS190" s="272"/>
      <c r="AT190" s="272" t="str">
        <f>IFERROR(VLOOKUP($A190,'Constancias POA'!$A$2:$DH$9993,17,FALSE),"")</f>
        <v/>
      </c>
      <c r="AU190" s="272" t="str">
        <f t="shared" si="18"/>
        <v/>
      </c>
      <c r="AV190" s="224" t="str">
        <f>IFERROR(VLOOKUP($A190,CP!$A$1:$U$7992,18,FALSE),"")</f>
        <v/>
      </c>
      <c r="AW190" s="224" t="str">
        <f>IFERROR(VLOOKUP($A190,CP!$A$1:$U$7992,19,FALSE),"")</f>
        <v/>
      </c>
      <c r="AX190" s="224" t="str">
        <f>IFERROR(VLOOKUP($A190,CP!$A$1:$U$7992,20,FALSE),"")</f>
        <v/>
      </c>
      <c r="AY190" s="272" t="str">
        <f>IFERROR(VLOOKUP($A190,CP!$A$1:$U$1,21,FALSE),"")</f>
        <v/>
      </c>
      <c r="AZ190" s="224" t="str">
        <f>IFERROR(VLOOKUP(A190,Devengado!$A$1:AJ1,35,FALSE),"")</f>
        <v/>
      </c>
      <c r="BA190" s="224" t="str">
        <f t="shared" si="19"/>
        <v/>
      </c>
      <c r="BB190" s="224" t="str">
        <f>IFERROR(AZ190/#REF!,"")</f>
        <v/>
      </c>
      <c r="BC190" s="272" t="str">
        <f>IFERROR(VLOOKUP($A190,Devengado!$A$1:$AI$1,22,FALSE),"")</f>
        <v/>
      </c>
      <c r="BD190" s="272" t="str">
        <f>IFERROR(VLOOKUP($A190,Devengado!$A$1:$AI$1,23,FALSE),"")</f>
        <v/>
      </c>
      <c r="BE190" s="272" t="str">
        <f>IFERROR(VLOOKUP($A190,Devengado!$A$1:$AI$1,24,FALSE),"")</f>
        <v/>
      </c>
      <c r="BF190" s="272" t="str">
        <f>IFERROR(VLOOKUP($A190,Devengado!$A$1:$AI$1,25,FALSE),"")</f>
        <v/>
      </c>
      <c r="BG190" s="272" t="str">
        <f>IFERROR(VLOOKUP($A190,Devengado!$A$1:$AI$1,26,FALSE),"")</f>
        <v/>
      </c>
      <c r="BH190" s="272" t="str">
        <f>IFERROR(VLOOKUP($A190,Devengado!$A$1:$AI$1,27,FALSE),"")</f>
        <v/>
      </c>
      <c r="BI190" s="272" t="str">
        <f>IFERROR(VLOOKUP($A190,Devengado!$A$1:$AI$1,28,FALSE),"")</f>
        <v/>
      </c>
      <c r="BJ190" s="272" t="str">
        <f>IFERROR(VLOOKUP($A190,Devengado!$A$1:$AI$1,29,FALSE),"")</f>
        <v/>
      </c>
      <c r="BK190" s="272" t="str">
        <f>IFERROR(VLOOKUP($A190,Devengado!$A$1:$AI$1,30,FALSE),"")</f>
        <v/>
      </c>
      <c r="BL190" s="272" t="str">
        <f>IFERROR(VLOOKUP($A190,Devengado!$A$1:$AI$1,31,FALSE),"")</f>
        <v/>
      </c>
      <c r="BM190" s="272" t="str">
        <f>IFERROR(VLOOKUP($A190,Devengado!$A$1:$AI$1,32,FALSE),"")</f>
        <v/>
      </c>
      <c r="BN190" s="272" t="str">
        <f>IFERROR(VLOOKUP($A190,Devengado!$A$1:$AI$1,33,FALSE),"")</f>
        <v/>
      </c>
      <c r="BO190" s="272">
        <f t="shared" si="20"/>
        <v>0</v>
      </c>
      <c r="BP190" s="272" t="str">
        <f t="shared" si="21"/>
        <v/>
      </c>
      <c r="BQ190" s="272"/>
      <c r="BR190" s="207" t="str">
        <f t="shared" si="22"/>
        <v>84</v>
      </c>
    </row>
    <row r="191" spans="1:70" ht="25.5" customHeight="1">
      <c r="A191" s="207">
        <v>187</v>
      </c>
      <c r="B191" s="207" t="s">
        <v>206</v>
      </c>
      <c r="C191" s="207" t="s">
        <v>77</v>
      </c>
      <c r="D191" s="207" t="s">
        <v>77</v>
      </c>
      <c r="E191" s="207" t="s">
        <v>76</v>
      </c>
      <c r="F191" s="207" t="s">
        <v>77</v>
      </c>
      <c r="G191" s="207" t="s">
        <v>77</v>
      </c>
      <c r="H191" s="207" t="s">
        <v>77</v>
      </c>
      <c r="I191" s="207" t="s">
        <v>77</v>
      </c>
      <c r="J191" s="207" t="s">
        <v>77</v>
      </c>
      <c r="K191" s="207" t="s">
        <v>77</v>
      </c>
      <c r="L191" s="207" t="s">
        <v>85</v>
      </c>
      <c r="M191" s="207" t="s">
        <v>236</v>
      </c>
      <c r="N191" s="208" t="s">
        <v>208</v>
      </c>
      <c r="O191" s="209">
        <v>80</v>
      </c>
      <c r="P191" s="208" t="s">
        <v>81</v>
      </c>
      <c r="Q191" s="208" t="s">
        <v>112</v>
      </c>
      <c r="R191" s="115" t="str">
        <f t="shared" si="16"/>
        <v>53</v>
      </c>
      <c r="S191" s="207">
        <v>530207</v>
      </c>
      <c r="T191" s="210" t="str">
        <f>VLOOKUP(S191,ITEM!$C$1:$D$156,2,FALSE)</f>
        <v>Difusión, Información y Publicidad</v>
      </c>
      <c r="U191" s="208" t="s">
        <v>83</v>
      </c>
      <c r="V191" s="208" t="s">
        <v>112</v>
      </c>
      <c r="W191" s="208" t="s">
        <v>84</v>
      </c>
      <c r="X191" s="208" t="s">
        <v>84</v>
      </c>
      <c r="Y191" s="272" t="e">
        <f>'Matriz POA 2024-TRABAJO'!#REF!</f>
        <v>#REF!</v>
      </c>
      <c r="Z191" s="272" t="e">
        <f>'Matriz POA 2024-TRABAJO'!#REF!</f>
        <v>#REF!</v>
      </c>
      <c r="AA191" s="272" t="e">
        <f>'Matriz POA 2024-TRABAJO'!#REF!</f>
        <v>#REF!</v>
      </c>
      <c r="AB191" s="272">
        <v>0</v>
      </c>
      <c r="AC191" s="272">
        <v>0</v>
      </c>
      <c r="AD191" s="272">
        <v>0</v>
      </c>
      <c r="AE191" s="272">
        <v>0</v>
      </c>
      <c r="AF191" s="272">
        <v>0</v>
      </c>
      <c r="AG191" s="272">
        <v>600</v>
      </c>
      <c r="AH191" s="272">
        <v>0</v>
      </c>
      <c r="AI191" s="272">
        <v>0</v>
      </c>
      <c r="AJ191" s="272">
        <v>600</v>
      </c>
      <c r="AK191" s="272">
        <v>0</v>
      </c>
      <c r="AL191" s="272">
        <v>0</v>
      </c>
      <c r="AM191" s="272">
        <v>200</v>
      </c>
      <c r="AN191" s="272" t="e">
        <f>SUM(#REF!)</f>
        <v>#REF!</v>
      </c>
      <c r="AO191" s="224">
        <f t="shared" si="17"/>
        <v>1400</v>
      </c>
      <c r="AP191" s="224" t="e">
        <f t="shared" si="23"/>
        <v>#REF!</v>
      </c>
      <c r="AQ191" s="272"/>
      <c r="AR191" s="272"/>
      <c r="AS191" s="272"/>
      <c r="AT191" s="272" t="str">
        <f>IFERROR(VLOOKUP($A191,'Constancias POA'!$A$2:$DH$9993,17,FALSE),"")</f>
        <v/>
      </c>
      <c r="AU191" s="272" t="str">
        <f t="shared" si="18"/>
        <v/>
      </c>
      <c r="AV191" s="224" t="str">
        <f>IFERROR(VLOOKUP($A191,CP!$A$1:$U$7992,18,FALSE),"")</f>
        <v/>
      </c>
      <c r="AW191" s="224" t="str">
        <f>IFERROR(VLOOKUP($A191,CP!$A$1:$U$7992,19,FALSE),"")</f>
        <v/>
      </c>
      <c r="AX191" s="224" t="str">
        <f>IFERROR(VLOOKUP($A191,CP!$A$1:$U$7992,20,FALSE),"")</f>
        <v/>
      </c>
      <c r="AY191" s="272" t="str">
        <f>IFERROR(VLOOKUP($A191,CP!$A$1:$U$1,21,FALSE),"")</f>
        <v/>
      </c>
      <c r="AZ191" s="224" t="str">
        <f>IFERROR(VLOOKUP(A191,Devengado!$A$1:AJ1,35,FALSE),"")</f>
        <v/>
      </c>
      <c r="BA191" s="224" t="str">
        <f t="shared" si="19"/>
        <v/>
      </c>
      <c r="BB191" s="224" t="str">
        <f>IFERROR(AZ191/#REF!,"")</f>
        <v/>
      </c>
      <c r="BC191" s="272" t="str">
        <f>IFERROR(VLOOKUP($A191,Devengado!$A$1:$AI$1,22,FALSE),"")</f>
        <v/>
      </c>
      <c r="BD191" s="272" t="str">
        <f>IFERROR(VLOOKUP($A191,Devengado!$A$1:$AI$1,23,FALSE),"")</f>
        <v/>
      </c>
      <c r="BE191" s="272" t="str">
        <f>IFERROR(VLOOKUP($A191,Devengado!$A$1:$AI$1,24,FALSE),"")</f>
        <v/>
      </c>
      <c r="BF191" s="272" t="str">
        <f>IFERROR(VLOOKUP($A191,Devengado!$A$1:$AI$1,25,FALSE),"")</f>
        <v/>
      </c>
      <c r="BG191" s="272" t="str">
        <f>IFERROR(VLOOKUP($A191,Devengado!$A$1:$AI$1,26,FALSE),"")</f>
        <v/>
      </c>
      <c r="BH191" s="272" t="str">
        <f>IFERROR(VLOOKUP($A191,Devengado!$A$1:$AI$1,27,FALSE),"")</f>
        <v/>
      </c>
      <c r="BI191" s="272" t="str">
        <f>IFERROR(VLOOKUP($A191,Devengado!$A$1:$AI$1,28,FALSE),"")</f>
        <v/>
      </c>
      <c r="BJ191" s="272" t="str">
        <f>IFERROR(VLOOKUP($A191,Devengado!$A$1:$AI$1,29,FALSE),"")</f>
        <v/>
      </c>
      <c r="BK191" s="272" t="str">
        <f>IFERROR(VLOOKUP($A191,Devengado!$A$1:$AI$1,30,FALSE),"")</f>
        <v/>
      </c>
      <c r="BL191" s="272" t="str">
        <f>IFERROR(VLOOKUP($A191,Devengado!$A$1:$AI$1,31,FALSE),"")</f>
        <v/>
      </c>
      <c r="BM191" s="272" t="str">
        <f>IFERROR(VLOOKUP($A191,Devengado!$A$1:$AI$1,32,FALSE),"")</f>
        <v/>
      </c>
      <c r="BN191" s="272" t="str">
        <f>IFERROR(VLOOKUP($A191,Devengado!$A$1:$AI$1,33,FALSE),"")</f>
        <v/>
      </c>
      <c r="BO191" s="272">
        <f t="shared" si="20"/>
        <v>0</v>
      </c>
      <c r="BP191" s="272" t="str">
        <f t="shared" si="21"/>
        <v/>
      </c>
      <c r="BQ191" s="272"/>
      <c r="BR191" s="207" t="str">
        <f t="shared" si="22"/>
        <v>53</v>
      </c>
    </row>
    <row r="192" spans="1:70" ht="25.5" customHeight="1">
      <c r="A192" s="207">
        <v>188</v>
      </c>
      <c r="B192" s="207" t="s">
        <v>206</v>
      </c>
      <c r="C192" s="207" t="s">
        <v>77</v>
      </c>
      <c r="D192" s="207" t="s">
        <v>77</v>
      </c>
      <c r="E192" s="207" t="s">
        <v>76</v>
      </c>
      <c r="F192" s="207" t="s">
        <v>77</v>
      </c>
      <c r="G192" s="207" t="s">
        <v>77</v>
      </c>
      <c r="H192" s="207" t="s">
        <v>77</v>
      </c>
      <c r="I192" s="207" t="s">
        <v>77</v>
      </c>
      <c r="J192" s="207" t="s">
        <v>77</v>
      </c>
      <c r="K192" s="207" t="s">
        <v>77</v>
      </c>
      <c r="L192" s="207" t="s">
        <v>85</v>
      </c>
      <c r="M192" s="207" t="s">
        <v>237</v>
      </c>
      <c r="N192" s="208" t="s">
        <v>208</v>
      </c>
      <c r="O192" s="209">
        <v>80</v>
      </c>
      <c r="P192" s="208" t="s">
        <v>81</v>
      </c>
      <c r="Q192" s="208" t="s">
        <v>112</v>
      </c>
      <c r="R192" s="115" t="str">
        <f t="shared" si="16"/>
        <v>53</v>
      </c>
      <c r="S192" s="207">
        <v>530239</v>
      </c>
      <c r="T192" s="210" t="str">
        <f>VLOOKUP(S192,ITEM!$C$1:$D$156,2,FALSE)</f>
        <v>Membrecías</v>
      </c>
      <c r="U192" s="208" t="s">
        <v>83</v>
      </c>
      <c r="V192" s="208" t="s">
        <v>112</v>
      </c>
      <c r="W192" s="208" t="s">
        <v>84</v>
      </c>
      <c r="X192" s="208" t="s">
        <v>84</v>
      </c>
      <c r="Y192" s="272" t="e">
        <f>'Matriz POA 2024-TRABAJO'!#REF!</f>
        <v>#REF!</v>
      </c>
      <c r="Z192" s="272" t="e">
        <f>'Matriz POA 2024-TRABAJO'!#REF!</f>
        <v>#REF!</v>
      </c>
      <c r="AA192" s="272" t="e">
        <f>'Matriz POA 2024-TRABAJO'!#REF!</f>
        <v>#REF!</v>
      </c>
      <c r="AB192" s="272">
        <v>0</v>
      </c>
      <c r="AC192" s="272">
        <v>0</v>
      </c>
      <c r="AD192" s="272">
        <v>0</v>
      </c>
      <c r="AE192" s="272">
        <v>0</v>
      </c>
      <c r="AF192" s="272">
        <v>0</v>
      </c>
      <c r="AG192" s="272">
        <v>900</v>
      </c>
      <c r="AH192" s="272">
        <v>0</v>
      </c>
      <c r="AI192" s="272">
        <v>0</v>
      </c>
      <c r="AJ192" s="272">
        <v>0</v>
      </c>
      <c r="AK192" s="272">
        <v>0</v>
      </c>
      <c r="AL192" s="272">
        <v>0</v>
      </c>
      <c r="AM192" s="272">
        <v>0</v>
      </c>
      <c r="AN192" s="272" t="e">
        <f>SUM(#REF!)</f>
        <v>#REF!</v>
      </c>
      <c r="AO192" s="224">
        <f t="shared" si="17"/>
        <v>900</v>
      </c>
      <c r="AP192" s="224" t="e">
        <f t="shared" si="23"/>
        <v>#REF!</v>
      </c>
      <c r="AQ192" s="272"/>
      <c r="AR192" s="272"/>
      <c r="AS192" s="272"/>
      <c r="AT192" s="272" t="str">
        <f>IFERROR(VLOOKUP($A192,'Constancias POA'!$A$2:$DH$9993,17,FALSE),"")</f>
        <v/>
      </c>
      <c r="AU192" s="272" t="str">
        <f t="shared" si="18"/>
        <v/>
      </c>
      <c r="AV192" s="224" t="str">
        <f>IFERROR(VLOOKUP($A192,CP!$A$1:$U$7992,18,FALSE),"")</f>
        <v/>
      </c>
      <c r="AW192" s="224" t="str">
        <f>IFERROR(VLOOKUP($A192,CP!$A$1:$U$7992,19,FALSE),"")</f>
        <v/>
      </c>
      <c r="AX192" s="224" t="str">
        <f>IFERROR(VLOOKUP($A192,CP!$A$1:$U$7992,20,FALSE),"")</f>
        <v/>
      </c>
      <c r="AY192" s="272" t="str">
        <f>IFERROR(VLOOKUP($A192,CP!$A$1:$U$1,21,FALSE),"")</f>
        <v/>
      </c>
      <c r="AZ192" s="224" t="str">
        <f>IFERROR(VLOOKUP(A192,Devengado!$A$1:AJ1,35,FALSE),"")</f>
        <v/>
      </c>
      <c r="BA192" s="224" t="str">
        <f t="shared" si="19"/>
        <v/>
      </c>
      <c r="BB192" s="224" t="str">
        <f>IFERROR(AZ192/#REF!,"")</f>
        <v/>
      </c>
      <c r="BC192" s="272" t="str">
        <f>IFERROR(VLOOKUP($A192,Devengado!$A$1:$AI$1,22,FALSE),"")</f>
        <v/>
      </c>
      <c r="BD192" s="272" t="str">
        <f>IFERROR(VLOOKUP($A192,Devengado!$A$1:$AI$1,23,FALSE),"")</f>
        <v/>
      </c>
      <c r="BE192" s="272" t="str">
        <f>IFERROR(VLOOKUP($A192,Devengado!$A$1:$AI$1,24,FALSE),"")</f>
        <v/>
      </c>
      <c r="BF192" s="272" t="str">
        <f>IFERROR(VLOOKUP($A192,Devengado!$A$1:$AI$1,25,FALSE),"")</f>
        <v/>
      </c>
      <c r="BG192" s="272" t="str">
        <f>IFERROR(VLOOKUP($A192,Devengado!$A$1:$AI$1,26,FALSE),"")</f>
        <v/>
      </c>
      <c r="BH192" s="272" t="str">
        <f>IFERROR(VLOOKUP($A192,Devengado!$A$1:$AI$1,27,FALSE),"")</f>
        <v/>
      </c>
      <c r="BI192" s="272" t="str">
        <f>IFERROR(VLOOKUP($A192,Devengado!$A$1:$AI$1,28,FALSE),"")</f>
        <v/>
      </c>
      <c r="BJ192" s="272" t="str">
        <f>IFERROR(VLOOKUP($A192,Devengado!$A$1:$AI$1,29,FALSE),"")</f>
        <v/>
      </c>
      <c r="BK192" s="272" t="str">
        <f>IFERROR(VLOOKUP($A192,Devengado!$A$1:$AI$1,30,FALSE),"")</f>
        <v/>
      </c>
      <c r="BL192" s="272" t="str">
        <f>IFERROR(VLOOKUP($A192,Devengado!$A$1:$AI$1,31,FALSE),"")</f>
        <v/>
      </c>
      <c r="BM192" s="272" t="str">
        <f>IFERROR(VLOOKUP($A192,Devengado!$A$1:$AI$1,32,FALSE),"")</f>
        <v/>
      </c>
      <c r="BN192" s="272" t="str">
        <f>IFERROR(VLOOKUP($A192,Devengado!$A$1:$AI$1,33,FALSE),"")</f>
        <v/>
      </c>
      <c r="BO192" s="272">
        <f t="shared" si="20"/>
        <v>0</v>
      </c>
      <c r="BP192" s="272" t="str">
        <f t="shared" si="21"/>
        <v/>
      </c>
      <c r="BQ192" s="272"/>
      <c r="BR192" s="207" t="str">
        <f t="shared" si="22"/>
        <v>53</v>
      </c>
    </row>
    <row r="193" spans="1:70" ht="25.5" customHeight="1">
      <c r="A193" s="207">
        <v>189</v>
      </c>
      <c r="B193" s="207" t="s">
        <v>206</v>
      </c>
      <c r="C193" s="207" t="s">
        <v>77</v>
      </c>
      <c r="D193" s="207" t="s">
        <v>77</v>
      </c>
      <c r="E193" s="207" t="s">
        <v>76</v>
      </c>
      <c r="F193" s="207" t="s">
        <v>77</v>
      </c>
      <c r="G193" s="207" t="s">
        <v>77</v>
      </c>
      <c r="H193" s="207" t="s">
        <v>77</v>
      </c>
      <c r="I193" s="207" t="s">
        <v>77</v>
      </c>
      <c r="J193" s="207" t="s">
        <v>77</v>
      </c>
      <c r="K193" s="207" t="s">
        <v>77</v>
      </c>
      <c r="L193" s="207" t="s">
        <v>85</v>
      </c>
      <c r="M193" s="207" t="s">
        <v>238</v>
      </c>
      <c r="N193" s="208" t="s">
        <v>208</v>
      </c>
      <c r="O193" s="209" t="s">
        <v>111</v>
      </c>
      <c r="P193" s="208" t="s">
        <v>81</v>
      </c>
      <c r="Q193" s="208" t="s">
        <v>112</v>
      </c>
      <c r="R193" s="115" t="str">
        <f t="shared" si="16"/>
        <v>53</v>
      </c>
      <c r="S193" s="112">
        <v>530303</v>
      </c>
      <c r="T193" s="210" t="str">
        <f>VLOOKUP(S193,ITEM!$C$1:$D$156,2,FALSE)</f>
        <v>Viáticos y Subsistencias en el Interior</v>
      </c>
      <c r="U193" s="208" t="s">
        <v>83</v>
      </c>
      <c r="V193" s="208" t="s">
        <v>112</v>
      </c>
      <c r="W193" s="208" t="s">
        <v>84</v>
      </c>
      <c r="X193" s="208" t="s">
        <v>84</v>
      </c>
      <c r="Y193" s="272" t="e">
        <f>'Matriz POA 2024-TRABAJO'!#REF!</f>
        <v>#REF!</v>
      </c>
      <c r="Z193" s="272" t="e">
        <f>'Matriz POA 2024-TRABAJO'!#REF!</f>
        <v>#REF!</v>
      </c>
      <c r="AA193" s="272" t="e">
        <f>'Matriz POA 2024-TRABAJO'!#REF!</f>
        <v>#REF!</v>
      </c>
      <c r="AB193" s="272">
        <v>0</v>
      </c>
      <c r="AC193" s="272">
        <v>0</v>
      </c>
      <c r="AD193" s="272">
        <v>0</v>
      </c>
      <c r="AE193" s="272">
        <v>1000</v>
      </c>
      <c r="AF193" s="272">
        <v>0</v>
      </c>
      <c r="AG193" s="272">
        <v>0</v>
      </c>
      <c r="AH193" s="272">
        <v>0</v>
      </c>
      <c r="AI193" s="272">
        <v>0</v>
      </c>
      <c r="AJ193" s="272">
        <v>0</v>
      </c>
      <c r="AK193" s="272">
        <v>0</v>
      </c>
      <c r="AL193" s="272">
        <v>0</v>
      </c>
      <c r="AM193" s="272">
        <v>0</v>
      </c>
      <c r="AN193" s="272" t="e">
        <f>SUM(#REF!)</f>
        <v>#REF!</v>
      </c>
      <c r="AO193" s="224">
        <f t="shared" si="17"/>
        <v>1000</v>
      </c>
      <c r="AP193" s="224" t="e">
        <f t="shared" si="23"/>
        <v>#REF!</v>
      </c>
      <c r="AQ193" s="272"/>
      <c r="AR193" s="272"/>
      <c r="AS193" s="272"/>
      <c r="AT193" s="272" t="str">
        <f>IFERROR(VLOOKUP($A193,'Constancias POA'!$A$2:$DH$9993,17,FALSE),"")</f>
        <v/>
      </c>
      <c r="AU193" s="272" t="str">
        <f t="shared" si="18"/>
        <v/>
      </c>
      <c r="AV193" s="224" t="str">
        <f>IFERROR(VLOOKUP($A193,CP!$A$1:$U$7992,18,FALSE),"")</f>
        <v/>
      </c>
      <c r="AW193" s="224" t="str">
        <f>IFERROR(VLOOKUP($A193,CP!$A$1:$U$7992,19,FALSE),"")</f>
        <v/>
      </c>
      <c r="AX193" s="224" t="str">
        <f>IFERROR(VLOOKUP($A193,CP!$A$1:$U$7992,20,FALSE),"")</f>
        <v/>
      </c>
      <c r="AY193" s="272" t="str">
        <f>IFERROR(VLOOKUP($A193,CP!$A$1:$U$1,21,FALSE),"")</f>
        <v/>
      </c>
      <c r="AZ193" s="224" t="str">
        <f>IFERROR(VLOOKUP(A193,Devengado!$A$1:AJ1,35,FALSE),"")</f>
        <v/>
      </c>
      <c r="BA193" s="224" t="str">
        <f t="shared" si="19"/>
        <v/>
      </c>
      <c r="BB193" s="224" t="str">
        <f>IFERROR(AZ193/#REF!,"")</f>
        <v/>
      </c>
      <c r="BC193" s="272" t="str">
        <f>IFERROR(VLOOKUP($A193,Devengado!$A$1:$AI$1,22,FALSE),"")</f>
        <v/>
      </c>
      <c r="BD193" s="272" t="str">
        <f>IFERROR(VLOOKUP($A193,Devengado!$A$1:$AI$1,23,FALSE),"")</f>
        <v/>
      </c>
      <c r="BE193" s="272" t="str">
        <f>IFERROR(VLOOKUP($A193,Devengado!$A$1:$AI$1,24,FALSE),"")</f>
        <v/>
      </c>
      <c r="BF193" s="272" t="str">
        <f>IFERROR(VLOOKUP($A193,Devengado!$A$1:$AI$1,25,FALSE),"")</f>
        <v/>
      </c>
      <c r="BG193" s="272" t="str">
        <f>IFERROR(VLOOKUP($A193,Devengado!$A$1:$AI$1,26,FALSE),"")</f>
        <v/>
      </c>
      <c r="BH193" s="272" t="str">
        <f>IFERROR(VLOOKUP($A193,Devengado!$A$1:$AI$1,27,FALSE),"")</f>
        <v/>
      </c>
      <c r="BI193" s="272" t="str">
        <f>IFERROR(VLOOKUP($A193,Devengado!$A$1:$AI$1,28,FALSE),"")</f>
        <v/>
      </c>
      <c r="BJ193" s="272" t="str">
        <f>IFERROR(VLOOKUP($A193,Devengado!$A$1:$AI$1,29,FALSE),"")</f>
        <v/>
      </c>
      <c r="BK193" s="272" t="str">
        <f>IFERROR(VLOOKUP($A193,Devengado!$A$1:$AI$1,30,FALSE),"")</f>
        <v/>
      </c>
      <c r="BL193" s="272" t="str">
        <f>IFERROR(VLOOKUP($A193,Devengado!$A$1:$AI$1,31,FALSE),"")</f>
        <v/>
      </c>
      <c r="BM193" s="272" t="str">
        <f>IFERROR(VLOOKUP($A193,Devengado!$A$1:$AI$1,32,FALSE),"")</f>
        <v/>
      </c>
      <c r="BN193" s="272" t="str">
        <f>IFERROR(VLOOKUP($A193,Devengado!$A$1:$AI$1,33,FALSE),"")</f>
        <v/>
      </c>
      <c r="BO193" s="272">
        <f t="shared" si="20"/>
        <v>0</v>
      </c>
      <c r="BP193" s="272" t="str">
        <f t="shared" si="21"/>
        <v/>
      </c>
      <c r="BQ193" s="272"/>
      <c r="BR193" s="207" t="str">
        <f t="shared" si="22"/>
        <v>53</v>
      </c>
    </row>
    <row r="194" spans="1:70" ht="25.5" customHeight="1">
      <c r="A194" s="207">
        <v>190</v>
      </c>
      <c r="B194" s="207" t="s">
        <v>206</v>
      </c>
      <c r="C194" s="207" t="s">
        <v>77</v>
      </c>
      <c r="D194" s="207" t="s">
        <v>77</v>
      </c>
      <c r="E194" s="207" t="s">
        <v>76</v>
      </c>
      <c r="F194" s="207" t="s">
        <v>77</v>
      </c>
      <c r="G194" s="207" t="s">
        <v>77</v>
      </c>
      <c r="H194" s="207" t="s">
        <v>77</v>
      </c>
      <c r="I194" s="207" t="s">
        <v>77</v>
      </c>
      <c r="J194" s="207" t="s">
        <v>77</v>
      </c>
      <c r="K194" s="207" t="s">
        <v>77</v>
      </c>
      <c r="L194" s="207" t="s">
        <v>85</v>
      </c>
      <c r="M194" s="207" t="s">
        <v>239</v>
      </c>
      <c r="N194" s="208" t="s">
        <v>208</v>
      </c>
      <c r="O194" s="208" t="s">
        <v>111</v>
      </c>
      <c r="P194" s="209" t="s">
        <v>81</v>
      </c>
      <c r="Q194" s="208" t="s">
        <v>112</v>
      </c>
      <c r="R194" s="115" t="str">
        <f t="shared" si="16"/>
        <v>53</v>
      </c>
      <c r="S194" s="212">
        <v>530404</v>
      </c>
      <c r="T194" s="210" t="str">
        <f>VLOOKUP(S194,ITEM!$C$1:$D$156,2,FALSE)</f>
        <v>Maquinarias y Equipos (Instalación, Mantenimiento y Reparación)</v>
      </c>
      <c r="U194" s="208" t="s">
        <v>83</v>
      </c>
      <c r="V194" s="208" t="s">
        <v>112</v>
      </c>
      <c r="W194" s="208" t="s">
        <v>84</v>
      </c>
      <c r="X194" s="208" t="s">
        <v>84</v>
      </c>
      <c r="Y194" s="272" t="e">
        <f>'Matriz POA 2024-TRABAJO'!#REF!</f>
        <v>#REF!</v>
      </c>
      <c r="Z194" s="272" t="e">
        <f>'Matriz POA 2024-TRABAJO'!#REF!</f>
        <v>#REF!</v>
      </c>
      <c r="AA194" s="272" t="e">
        <f>'Matriz POA 2024-TRABAJO'!#REF!</f>
        <v>#REF!</v>
      </c>
      <c r="AB194" s="272">
        <v>0</v>
      </c>
      <c r="AC194" s="272">
        <v>0</v>
      </c>
      <c r="AD194" s="272">
        <v>0</v>
      </c>
      <c r="AE194" s="272">
        <v>1000</v>
      </c>
      <c r="AF194" s="272">
        <v>0</v>
      </c>
      <c r="AG194" s="272">
        <v>0</v>
      </c>
      <c r="AH194" s="272">
        <v>0</v>
      </c>
      <c r="AI194" s="272">
        <v>0</v>
      </c>
      <c r="AJ194" s="272">
        <v>0</v>
      </c>
      <c r="AK194" s="272">
        <v>1000</v>
      </c>
      <c r="AL194" s="272">
        <v>0</v>
      </c>
      <c r="AM194" s="272">
        <v>0</v>
      </c>
      <c r="AN194" s="272" t="e">
        <f>SUM(#REF!)</f>
        <v>#REF!</v>
      </c>
      <c r="AO194" s="224">
        <f t="shared" si="17"/>
        <v>2000</v>
      </c>
      <c r="AP194" s="224" t="e">
        <f t="shared" si="23"/>
        <v>#REF!</v>
      </c>
      <c r="AQ194" s="272"/>
      <c r="AR194" s="272"/>
      <c r="AS194" s="272"/>
      <c r="AT194" s="272" t="str">
        <f>IFERROR(VLOOKUP($A194,'Constancias POA'!$A$2:$DH$9993,17,FALSE),"")</f>
        <v/>
      </c>
      <c r="AU194" s="272" t="str">
        <f t="shared" si="18"/>
        <v/>
      </c>
      <c r="AV194" s="224" t="str">
        <f>IFERROR(VLOOKUP($A194,CP!$A$1:$U$7992,18,FALSE),"")</f>
        <v/>
      </c>
      <c r="AW194" s="224" t="str">
        <f>IFERROR(VLOOKUP($A194,CP!$A$1:$U$7992,19,FALSE),"")</f>
        <v/>
      </c>
      <c r="AX194" s="224" t="str">
        <f>IFERROR(VLOOKUP($A194,CP!$A$1:$U$7992,20,FALSE),"")</f>
        <v/>
      </c>
      <c r="AY194" s="272" t="str">
        <f>IFERROR(VLOOKUP($A194,CP!$A$1:$U$1,21,FALSE),"")</f>
        <v/>
      </c>
      <c r="AZ194" s="224" t="str">
        <f>IFERROR(VLOOKUP(A194,Devengado!$A$1:AJ1,35,FALSE),"")</f>
        <v/>
      </c>
      <c r="BA194" s="224" t="str">
        <f t="shared" si="19"/>
        <v/>
      </c>
      <c r="BB194" s="224" t="str">
        <f>IFERROR(AZ194/#REF!,"")</f>
        <v/>
      </c>
      <c r="BC194" s="272" t="str">
        <f>IFERROR(VLOOKUP($A194,Devengado!$A$1:$AI$1,22,FALSE),"")</f>
        <v/>
      </c>
      <c r="BD194" s="272" t="str">
        <f>IFERROR(VLOOKUP($A194,Devengado!$A$1:$AI$1,23,FALSE),"")</f>
        <v/>
      </c>
      <c r="BE194" s="272" t="str">
        <f>IFERROR(VLOOKUP($A194,Devengado!$A$1:$AI$1,24,FALSE),"")</f>
        <v/>
      </c>
      <c r="BF194" s="272" t="str">
        <f>IFERROR(VLOOKUP($A194,Devengado!$A$1:$AI$1,25,FALSE),"")</f>
        <v/>
      </c>
      <c r="BG194" s="272" t="str">
        <f>IFERROR(VLOOKUP($A194,Devengado!$A$1:$AI$1,26,FALSE),"")</f>
        <v/>
      </c>
      <c r="BH194" s="272" t="str">
        <f>IFERROR(VLOOKUP($A194,Devengado!$A$1:$AI$1,27,FALSE),"")</f>
        <v/>
      </c>
      <c r="BI194" s="272" t="str">
        <f>IFERROR(VLOOKUP($A194,Devengado!$A$1:$AI$1,28,FALSE),"")</f>
        <v/>
      </c>
      <c r="BJ194" s="272" t="str">
        <f>IFERROR(VLOOKUP($A194,Devengado!$A$1:$AI$1,29,FALSE),"")</f>
        <v/>
      </c>
      <c r="BK194" s="272" t="str">
        <f>IFERROR(VLOOKUP($A194,Devengado!$A$1:$AI$1,30,FALSE),"")</f>
        <v/>
      </c>
      <c r="BL194" s="272" t="str">
        <f>IFERROR(VLOOKUP($A194,Devengado!$A$1:$AI$1,31,FALSE),"")</f>
        <v/>
      </c>
      <c r="BM194" s="272" t="str">
        <f>IFERROR(VLOOKUP($A194,Devengado!$A$1:$AI$1,32,FALSE),"")</f>
        <v/>
      </c>
      <c r="BN194" s="272" t="str">
        <f>IFERROR(VLOOKUP($A194,Devengado!$A$1:$AI$1,33,FALSE),"")</f>
        <v/>
      </c>
      <c r="BO194" s="272">
        <f t="shared" si="20"/>
        <v>0</v>
      </c>
      <c r="BP194" s="272" t="str">
        <f t="shared" si="21"/>
        <v/>
      </c>
      <c r="BQ194" s="272"/>
      <c r="BR194" s="207" t="str">
        <f t="shared" si="22"/>
        <v>53</v>
      </c>
    </row>
    <row r="195" spans="1:70" ht="25.5" customHeight="1">
      <c r="A195" s="207">
        <v>191</v>
      </c>
      <c r="B195" s="207" t="s">
        <v>206</v>
      </c>
      <c r="C195" s="207" t="s">
        <v>77</v>
      </c>
      <c r="D195" s="207" t="s">
        <v>77</v>
      </c>
      <c r="E195" s="207" t="s">
        <v>76</v>
      </c>
      <c r="F195" s="207" t="s">
        <v>77</v>
      </c>
      <c r="G195" s="207" t="s">
        <v>77</v>
      </c>
      <c r="H195" s="207" t="s">
        <v>77</v>
      </c>
      <c r="I195" s="207" t="s">
        <v>77</v>
      </c>
      <c r="J195" s="207" t="s">
        <v>77</v>
      </c>
      <c r="K195" s="207" t="s">
        <v>77</v>
      </c>
      <c r="L195" s="207" t="s">
        <v>85</v>
      </c>
      <c r="M195" s="207" t="s">
        <v>240</v>
      </c>
      <c r="N195" s="208" t="s">
        <v>208</v>
      </c>
      <c r="O195" s="209" t="s">
        <v>111</v>
      </c>
      <c r="P195" s="208" t="s">
        <v>81</v>
      </c>
      <c r="Q195" s="208" t="s">
        <v>112</v>
      </c>
      <c r="R195" s="115" t="str">
        <f t="shared" si="16"/>
        <v>53</v>
      </c>
      <c r="S195" s="207">
        <v>530701</v>
      </c>
      <c r="T195" s="210" t="e">
        <f>VLOOKUP(S195,ITEM!$C$1:$D$156,2,FALSE)</f>
        <v>#N/A</v>
      </c>
      <c r="U195" s="208" t="s">
        <v>83</v>
      </c>
      <c r="V195" s="208" t="s">
        <v>112</v>
      </c>
      <c r="W195" s="208" t="s">
        <v>84</v>
      </c>
      <c r="X195" s="208" t="s">
        <v>84</v>
      </c>
      <c r="Y195" s="272" t="e">
        <f>'Matriz POA 2024-TRABAJO'!#REF!</f>
        <v>#REF!</v>
      </c>
      <c r="Z195" s="272" t="e">
        <f>'Matriz POA 2024-TRABAJO'!#REF!</f>
        <v>#REF!</v>
      </c>
      <c r="AA195" s="272" t="e">
        <f>'Matriz POA 2024-TRABAJO'!#REF!</f>
        <v>#REF!</v>
      </c>
      <c r="AB195" s="272">
        <v>0</v>
      </c>
      <c r="AC195" s="272">
        <v>0</v>
      </c>
      <c r="AD195" s="272">
        <v>0</v>
      </c>
      <c r="AE195" s="272">
        <v>1000</v>
      </c>
      <c r="AF195" s="272">
        <v>0</v>
      </c>
      <c r="AG195" s="272">
        <v>0</v>
      </c>
      <c r="AH195" s="272">
        <v>0</v>
      </c>
      <c r="AI195" s="272">
        <v>0</v>
      </c>
      <c r="AJ195" s="272">
        <v>0</v>
      </c>
      <c r="AK195" s="272">
        <v>0</v>
      </c>
      <c r="AL195" s="272">
        <v>0</v>
      </c>
      <c r="AM195" s="272">
        <v>0</v>
      </c>
      <c r="AN195" s="272" t="e">
        <f>SUM(#REF!)</f>
        <v>#REF!</v>
      </c>
      <c r="AO195" s="224">
        <f t="shared" si="17"/>
        <v>1000</v>
      </c>
      <c r="AP195" s="224" t="e">
        <f t="shared" si="23"/>
        <v>#REF!</v>
      </c>
      <c r="AQ195" s="272"/>
      <c r="AR195" s="272"/>
      <c r="AS195" s="272"/>
      <c r="AT195" s="272" t="str">
        <f>IFERROR(VLOOKUP($A195,'Constancias POA'!$A$2:$DH$9993,17,FALSE),"")</f>
        <v/>
      </c>
      <c r="AU195" s="272" t="str">
        <f t="shared" si="18"/>
        <v/>
      </c>
      <c r="AV195" s="224" t="str">
        <f>IFERROR(VLOOKUP($A195,CP!$A$1:$U$7992,18,FALSE),"")</f>
        <v/>
      </c>
      <c r="AW195" s="224" t="str">
        <f>IFERROR(VLOOKUP($A195,CP!$A$1:$U$7992,19,FALSE),"")</f>
        <v/>
      </c>
      <c r="AX195" s="224" t="str">
        <f>IFERROR(VLOOKUP($A195,CP!$A$1:$U$7992,20,FALSE),"")</f>
        <v/>
      </c>
      <c r="AY195" s="272" t="str">
        <f>IFERROR(VLOOKUP($A195,CP!$A$1:$U$1,21,FALSE),"")</f>
        <v/>
      </c>
      <c r="AZ195" s="224" t="str">
        <f>IFERROR(VLOOKUP(A195,Devengado!$A$1:AJ1,35,FALSE),"")</f>
        <v/>
      </c>
      <c r="BA195" s="224" t="str">
        <f t="shared" si="19"/>
        <v/>
      </c>
      <c r="BB195" s="224" t="str">
        <f>IFERROR(AZ195/#REF!,"")</f>
        <v/>
      </c>
      <c r="BC195" s="272" t="str">
        <f>IFERROR(VLOOKUP($A195,Devengado!$A$1:$AI$1,22,FALSE),"")</f>
        <v/>
      </c>
      <c r="BD195" s="272" t="str">
        <f>IFERROR(VLOOKUP($A195,Devengado!$A$1:$AI$1,23,FALSE),"")</f>
        <v/>
      </c>
      <c r="BE195" s="272" t="str">
        <f>IFERROR(VLOOKUP($A195,Devengado!$A$1:$AI$1,24,FALSE),"")</f>
        <v/>
      </c>
      <c r="BF195" s="272" t="str">
        <f>IFERROR(VLOOKUP($A195,Devengado!$A$1:$AI$1,25,FALSE),"")</f>
        <v/>
      </c>
      <c r="BG195" s="272" t="str">
        <f>IFERROR(VLOOKUP($A195,Devengado!$A$1:$AI$1,26,FALSE),"")</f>
        <v/>
      </c>
      <c r="BH195" s="272" t="str">
        <f>IFERROR(VLOOKUP($A195,Devengado!$A$1:$AI$1,27,FALSE),"")</f>
        <v/>
      </c>
      <c r="BI195" s="272" t="str">
        <f>IFERROR(VLOOKUP($A195,Devengado!$A$1:$AI$1,28,FALSE),"")</f>
        <v/>
      </c>
      <c r="BJ195" s="272" t="str">
        <f>IFERROR(VLOOKUP($A195,Devengado!$A$1:$AI$1,29,FALSE),"")</f>
        <v/>
      </c>
      <c r="BK195" s="272" t="str">
        <f>IFERROR(VLOOKUP($A195,Devengado!$A$1:$AI$1,30,FALSE),"")</f>
        <v/>
      </c>
      <c r="BL195" s="272" t="str">
        <f>IFERROR(VLOOKUP($A195,Devengado!$A$1:$AI$1,31,FALSE),"")</f>
        <v/>
      </c>
      <c r="BM195" s="272" t="str">
        <f>IFERROR(VLOOKUP($A195,Devengado!$A$1:$AI$1,32,FALSE),"")</f>
        <v/>
      </c>
      <c r="BN195" s="272" t="str">
        <f>IFERROR(VLOOKUP($A195,Devengado!$A$1:$AI$1,33,FALSE),"")</f>
        <v/>
      </c>
      <c r="BO195" s="272">
        <f t="shared" si="20"/>
        <v>0</v>
      </c>
      <c r="BP195" s="272" t="str">
        <f t="shared" si="21"/>
        <v/>
      </c>
      <c r="BQ195" s="272"/>
      <c r="BR195" s="207" t="str">
        <f t="shared" si="22"/>
        <v>53</v>
      </c>
    </row>
    <row r="196" spans="1:70" ht="25.5" customHeight="1">
      <c r="A196" s="207">
        <v>192</v>
      </c>
      <c r="B196" s="207" t="s">
        <v>206</v>
      </c>
      <c r="C196" s="207" t="s">
        <v>77</v>
      </c>
      <c r="D196" s="207" t="s">
        <v>77</v>
      </c>
      <c r="E196" s="207" t="s">
        <v>76</v>
      </c>
      <c r="F196" s="207" t="s">
        <v>77</v>
      </c>
      <c r="G196" s="207" t="s">
        <v>77</v>
      </c>
      <c r="H196" s="207" t="s">
        <v>77</v>
      </c>
      <c r="I196" s="207" t="s">
        <v>77</v>
      </c>
      <c r="J196" s="207" t="s">
        <v>77</v>
      </c>
      <c r="K196" s="207" t="s">
        <v>77</v>
      </c>
      <c r="L196" s="207" t="s">
        <v>85</v>
      </c>
      <c r="M196" s="207" t="s">
        <v>241</v>
      </c>
      <c r="N196" s="208" t="s">
        <v>208</v>
      </c>
      <c r="O196" s="209" t="s">
        <v>111</v>
      </c>
      <c r="P196" s="208" t="s">
        <v>81</v>
      </c>
      <c r="Q196" s="208" t="s">
        <v>112</v>
      </c>
      <c r="R196" s="115" t="str">
        <f t="shared" si="16"/>
        <v>53</v>
      </c>
      <c r="S196" s="207">
        <v>530804</v>
      </c>
      <c r="T196" s="210" t="e">
        <f>VLOOKUP(S196,ITEM!$C$1:$D$156,2,FALSE)</f>
        <v>#N/A</v>
      </c>
      <c r="U196" s="208" t="s">
        <v>83</v>
      </c>
      <c r="V196" s="208" t="s">
        <v>112</v>
      </c>
      <c r="W196" s="208" t="s">
        <v>84</v>
      </c>
      <c r="X196" s="208" t="s">
        <v>84</v>
      </c>
      <c r="Y196" s="272" t="e">
        <f>'Matriz POA 2024-TRABAJO'!#REF!</f>
        <v>#REF!</v>
      </c>
      <c r="Z196" s="272" t="e">
        <f>'Matriz POA 2024-TRABAJO'!#REF!</f>
        <v>#REF!</v>
      </c>
      <c r="AA196" s="272" t="e">
        <f>'Matriz POA 2024-TRABAJO'!#REF!</f>
        <v>#REF!</v>
      </c>
      <c r="AB196" s="272">
        <v>0</v>
      </c>
      <c r="AC196" s="272">
        <v>0</v>
      </c>
      <c r="AD196" s="272">
        <v>0</v>
      </c>
      <c r="AE196" s="272">
        <v>0</v>
      </c>
      <c r="AF196" s="272">
        <v>0</v>
      </c>
      <c r="AG196" s="272">
        <v>488.02</v>
      </c>
      <c r="AH196" s="272">
        <v>0</v>
      </c>
      <c r="AI196" s="272">
        <v>0</v>
      </c>
      <c r="AJ196" s="272">
        <v>0</v>
      </c>
      <c r="AK196" s="272">
        <v>0</v>
      </c>
      <c r="AL196" s="272">
        <v>0</v>
      </c>
      <c r="AM196" s="272">
        <v>0</v>
      </c>
      <c r="AN196" s="272" t="e">
        <f>SUM(#REF!)</f>
        <v>#REF!</v>
      </c>
      <c r="AO196" s="224">
        <f t="shared" si="17"/>
        <v>488.02</v>
      </c>
      <c r="AP196" s="224" t="e">
        <f t="shared" si="23"/>
        <v>#REF!</v>
      </c>
      <c r="AQ196" s="272"/>
      <c r="AR196" s="272"/>
      <c r="AS196" s="272"/>
      <c r="AT196" s="272" t="str">
        <f>IFERROR(VLOOKUP($A196,'Constancias POA'!$A$2:$DH$9993,17,FALSE),"")</f>
        <v/>
      </c>
      <c r="AU196" s="272" t="str">
        <f t="shared" si="18"/>
        <v/>
      </c>
      <c r="AV196" s="224" t="str">
        <f>IFERROR(VLOOKUP($A196,CP!$A$1:$U$7992,18,FALSE),"")</f>
        <v/>
      </c>
      <c r="AW196" s="224" t="str">
        <f>IFERROR(VLOOKUP($A196,CP!$A$1:$U$7992,19,FALSE),"")</f>
        <v/>
      </c>
      <c r="AX196" s="224" t="str">
        <f>IFERROR(VLOOKUP($A196,CP!$A$1:$U$7992,20,FALSE),"")</f>
        <v/>
      </c>
      <c r="AY196" s="272" t="str">
        <f>IFERROR(VLOOKUP($A196,CP!$A$1:$U$1,21,FALSE),"")</f>
        <v/>
      </c>
      <c r="AZ196" s="224" t="str">
        <f>IFERROR(VLOOKUP(A196,Devengado!$A$1:AJ1,35,FALSE),"")</f>
        <v/>
      </c>
      <c r="BA196" s="224" t="str">
        <f t="shared" si="19"/>
        <v/>
      </c>
      <c r="BB196" s="224" t="str">
        <f>IFERROR(AZ196/#REF!,"")</f>
        <v/>
      </c>
      <c r="BC196" s="272" t="str">
        <f>IFERROR(VLOOKUP($A196,Devengado!$A$1:$AI$1,22,FALSE),"")</f>
        <v/>
      </c>
      <c r="BD196" s="272" t="str">
        <f>IFERROR(VLOOKUP($A196,Devengado!$A$1:$AI$1,23,FALSE),"")</f>
        <v/>
      </c>
      <c r="BE196" s="272" t="str">
        <f>IFERROR(VLOOKUP($A196,Devengado!$A$1:$AI$1,24,FALSE),"")</f>
        <v/>
      </c>
      <c r="BF196" s="272" t="str">
        <f>IFERROR(VLOOKUP($A196,Devengado!$A$1:$AI$1,25,FALSE),"")</f>
        <v/>
      </c>
      <c r="BG196" s="272" t="str">
        <f>IFERROR(VLOOKUP($A196,Devengado!$A$1:$AI$1,26,FALSE),"")</f>
        <v/>
      </c>
      <c r="BH196" s="272" t="str">
        <f>IFERROR(VLOOKUP($A196,Devengado!$A$1:$AI$1,27,FALSE),"")</f>
        <v/>
      </c>
      <c r="BI196" s="272" t="str">
        <f>IFERROR(VLOOKUP($A196,Devengado!$A$1:$AI$1,28,FALSE),"")</f>
        <v/>
      </c>
      <c r="BJ196" s="272" t="str">
        <f>IFERROR(VLOOKUP($A196,Devengado!$A$1:$AI$1,29,FALSE),"")</f>
        <v/>
      </c>
      <c r="BK196" s="272" t="str">
        <f>IFERROR(VLOOKUP($A196,Devengado!$A$1:$AI$1,30,FALSE),"")</f>
        <v/>
      </c>
      <c r="BL196" s="272" t="str">
        <f>IFERROR(VLOOKUP($A196,Devengado!$A$1:$AI$1,31,FALSE),"")</f>
        <v/>
      </c>
      <c r="BM196" s="272" t="str">
        <f>IFERROR(VLOOKUP($A196,Devengado!$A$1:$AI$1,32,FALSE),"")</f>
        <v/>
      </c>
      <c r="BN196" s="272" t="str">
        <f>IFERROR(VLOOKUP($A196,Devengado!$A$1:$AI$1,33,FALSE),"")</f>
        <v/>
      </c>
      <c r="BO196" s="272">
        <f t="shared" si="20"/>
        <v>0</v>
      </c>
      <c r="BP196" s="272" t="str">
        <f t="shared" si="21"/>
        <v/>
      </c>
      <c r="BQ196" s="272"/>
      <c r="BR196" s="207" t="str">
        <f t="shared" si="22"/>
        <v>53</v>
      </c>
    </row>
    <row r="197" spans="1:70" ht="25.5" customHeight="1">
      <c r="A197" s="207">
        <v>193</v>
      </c>
      <c r="B197" s="207" t="s">
        <v>206</v>
      </c>
      <c r="C197" s="207" t="s">
        <v>77</v>
      </c>
      <c r="D197" s="207" t="s">
        <v>77</v>
      </c>
      <c r="E197" s="207" t="s">
        <v>76</v>
      </c>
      <c r="F197" s="207" t="s">
        <v>77</v>
      </c>
      <c r="G197" s="207" t="s">
        <v>77</v>
      </c>
      <c r="H197" s="207" t="s">
        <v>77</v>
      </c>
      <c r="I197" s="207" t="s">
        <v>77</v>
      </c>
      <c r="J197" s="207" t="s">
        <v>77</v>
      </c>
      <c r="K197" s="207" t="s">
        <v>77</v>
      </c>
      <c r="L197" s="207" t="s">
        <v>85</v>
      </c>
      <c r="M197" s="207" t="s">
        <v>242</v>
      </c>
      <c r="N197" s="208" t="s">
        <v>208</v>
      </c>
      <c r="O197" s="209" t="s">
        <v>111</v>
      </c>
      <c r="P197" s="208" t="s">
        <v>81</v>
      </c>
      <c r="Q197" s="208" t="s">
        <v>112</v>
      </c>
      <c r="R197" s="115" t="str">
        <f t="shared" ref="R197:R260" si="24">LEFT(S197,2)</f>
        <v>57</v>
      </c>
      <c r="S197" s="207">
        <v>570102</v>
      </c>
      <c r="T197" s="210" t="e">
        <f>VLOOKUP(S197,ITEM!$C$1:$D$156,2,FALSE)</f>
        <v>#N/A</v>
      </c>
      <c r="U197" s="208" t="s">
        <v>83</v>
      </c>
      <c r="V197" s="208" t="s">
        <v>112</v>
      </c>
      <c r="W197" s="208" t="s">
        <v>84</v>
      </c>
      <c r="X197" s="208" t="s">
        <v>84</v>
      </c>
      <c r="Y197" s="272" t="e">
        <f>'Matriz POA 2024-TRABAJO'!#REF!</f>
        <v>#REF!</v>
      </c>
      <c r="Z197" s="272" t="e">
        <f>'Matriz POA 2024-TRABAJO'!#REF!</f>
        <v>#REF!</v>
      </c>
      <c r="AA197" s="272" t="e">
        <f>'Matriz POA 2024-TRABAJO'!#REF!</f>
        <v>#REF!</v>
      </c>
      <c r="AB197" s="272">
        <v>0</v>
      </c>
      <c r="AC197" s="272">
        <v>0</v>
      </c>
      <c r="AD197" s="272">
        <v>0</v>
      </c>
      <c r="AE197" s="272">
        <v>0</v>
      </c>
      <c r="AF197" s="272">
        <v>600</v>
      </c>
      <c r="AG197" s="272">
        <v>0</v>
      </c>
      <c r="AH197" s="272">
        <v>0</v>
      </c>
      <c r="AI197" s="272">
        <v>0</v>
      </c>
      <c r="AJ197" s="272">
        <v>0</v>
      </c>
      <c r="AK197" s="272">
        <v>0</v>
      </c>
      <c r="AL197" s="272">
        <v>0</v>
      </c>
      <c r="AM197" s="272">
        <v>0</v>
      </c>
      <c r="AN197" s="272" t="e">
        <f>SUM(#REF!)</f>
        <v>#REF!</v>
      </c>
      <c r="AO197" s="224">
        <f t="shared" ref="AO197:AO260" si="25">SUM(AB197:AM197)</f>
        <v>600</v>
      </c>
      <c r="AP197" s="224" t="e">
        <f t="shared" si="23"/>
        <v>#REF!</v>
      </c>
      <c r="AQ197" s="272"/>
      <c r="AR197" s="272"/>
      <c r="AS197" s="272"/>
      <c r="AT197" s="272" t="str">
        <f>IFERROR(VLOOKUP($A197,'Constancias POA'!$A$2:$DH$9993,17,FALSE),"")</f>
        <v/>
      </c>
      <c r="AU197" s="272" t="str">
        <f t="shared" ref="AU197:AU260" si="26">IFERROR(AA197-AT197,"")</f>
        <v/>
      </c>
      <c r="AV197" s="224" t="str">
        <f>IFERROR(VLOOKUP($A197,CP!$A$1:$U$7992,18,FALSE),"")</f>
        <v/>
      </c>
      <c r="AW197" s="224" t="str">
        <f>IFERROR(VLOOKUP($A197,CP!$A$1:$U$7992,19,FALSE),"")</f>
        <v/>
      </c>
      <c r="AX197" s="224" t="str">
        <f>IFERROR(VLOOKUP($A197,CP!$A$1:$U$7992,20,FALSE),"")</f>
        <v/>
      </c>
      <c r="AY197" s="272" t="str">
        <f>IFERROR(VLOOKUP($A197,CP!$A$1:$U$1,21,FALSE),"")</f>
        <v/>
      </c>
      <c r="AZ197" s="224" t="str">
        <f>IFERROR(VLOOKUP(A197,Devengado!$A$1:AJ1,35,FALSE),"")</f>
        <v/>
      </c>
      <c r="BA197" s="224" t="str">
        <f t="shared" ref="BA197:BA260" si="27">IFERROR((AA197-AZ197),"")</f>
        <v/>
      </c>
      <c r="BB197" s="224" t="str">
        <f>IFERROR(AZ197/#REF!,"")</f>
        <v/>
      </c>
      <c r="BC197" s="272" t="str">
        <f>IFERROR(VLOOKUP($A197,Devengado!$A$1:$AI$1,22,FALSE),"")</f>
        <v/>
      </c>
      <c r="BD197" s="272" t="str">
        <f>IFERROR(VLOOKUP($A197,Devengado!$A$1:$AI$1,23,FALSE),"")</f>
        <v/>
      </c>
      <c r="BE197" s="272" t="str">
        <f>IFERROR(VLOOKUP($A197,Devengado!$A$1:$AI$1,24,FALSE),"")</f>
        <v/>
      </c>
      <c r="BF197" s="272" t="str">
        <f>IFERROR(VLOOKUP($A197,Devengado!$A$1:$AI$1,25,FALSE),"")</f>
        <v/>
      </c>
      <c r="BG197" s="272" t="str">
        <f>IFERROR(VLOOKUP($A197,Devengado!$A$1:$AI$1,26,FALSE),"")</f>
        <v/>
      </c>
      <c r="BH197" s="272" t="str">
        <f>IFERROR(VLOOKUP($A197,Devengado!$A$1:$AI$1,27,FALSE),"")</f>
        <v/>
      </c>
      <c r="BI197" s="272" t="str">
        <f>IFERROR(VLOOKUP($A197,Devengado!$A$1:$AI$1,28,FALSE),"")</f>
        <v/>
      </c>
      <c r="BJ197" s="272" t="str">
        <f>IFERROR(VLOOKUP($A197,Devengado!$A$1:$AI$1,29,FALSE),"")</f>
        <v/>
      </c>
      <c r="BK197" s="272" t="str">
        <f>IFERROR(VLOOKUP($A197,Devengado!$A$1:$AI$1,30,FALSE),"")</f>
        <v/>
      </c>
      <c r="BL197" s="272" t="str">
        <f>IFERROR(VLOOKUP($A197,Devengado!$A$1:$AI$1,31,FALSE),"")</f>
        <v/>
      </c>
      <c r="BM197" s="272" t="str">
        <f>IFERROR(VLOOKUP($A197,Devengado!$A$1:$AI$1,32,FALSE),"")</f>
        <v/>
      </c>
      <c r="BN197" s="272" t="str">
        <f>IFERROR(VLOOKUP($A197,Devengado!$A$1:$AI$1,33,FALSE),"")</f>
        <v/>
      </c>
      <c r="BO197" s="272">
        <f t="shared" ref="BO197:BO260" si="28">SUM(BC197:BN197)</f>
        <v>0</v>
      </c>
      <c r="BP197" s="272" t="str">
        <f t="shared" ref="BP197:BP260" si="29">IFERROR(((AB197+AC197)-AZ197),"")</f>
        <v/>
      </c>
      <c r="BQ197" s="272"/>
      <c r="BR197" s="207" t="str">
        <f t="shared" ref="BR197:BR260" si="30">LEFT(R197,4)</f>
        <v>57</v>
      </c>
    </row>
    <row r="198" spans="1:70" ht="25.5" customHeight="1">
      <c r="A198" s="207">
        <v>194</v>
      </c>
      <c r="B198" s="207" t="s">
        <v>206</v>
      </c>
      <c r="C198" s="207" t="s">
        <v>77</v>
      </c>
      <c r="D198" s="207" t="s">
        <v>77</v>
      </c>
      <c r="E198" s="207" t="s">
        <v>76</v>
      </c>
      <c r="F198" s="207" t="s">
        <v>77</v>
      </c>
      <c r="G198" s="207" t="s">
        <v>77</v>
      </c>
      <c r="H198" s="207" t="s">
        <v>77</v>
      </c>
      <c r="I198" s="207" t="s">
        <v>77</v>
      </c>
      <c r="J198" s="207" t="s">
        <v>77</v>
      </c>
      <c r="K198" s="207" t="s">
        <v>77</v>
      </c>
      <c r="L198" s="207" t="s">
        <v>85</v>
      </c>
      <c r="M198" s="207" t="s">
        <v>243</v>
      </c>
      <c r="N198" s="208" t="s">
        <v>208</v>
      </c>
      <c r="O198" s="209" t="s">
        <v>111</v>
      </c>
      <c r="P198" s="208" t="s">
        <v>81</v>
      </c>
      <c r="Q198" s="208" t="s">
        <v>112</v>
      </c>
      <c r="R198" s="115" t="str">
        <f t="shared" si="24"/>
        <v>57</v>
      </c>
      <c r="S198" s="207">
        <v>570201</v>
      </c>
      <c r="T198" s="210" t="e">
        <f>VLOOKUP(S198,ITEM!$C$1:$D$156,2,FALSE)</f>
        <v>#N/A</v>
      </c>
      <c r="U198" s="208" t="s">
        <v>83</v>
      </c>
      <c r="V198" s="208" t="s">
        <v>112</v>
      </c>
      <c r="W198" s="208" t="s">
        <v>84</v>
      </c>
      <c r="X198" s="208" t="s">
        <v>84</v>
      </c>
      <c r="Y198" s="272" t="e">
        <f>'Matriz POA 2024-TRABAJO'!#REF!</f>
        <v>#REF!</v>
      </c>
      <c r="Z198" s="272" t="e">
        <f>'Matriz POA 2024-TRABAJO'!#REF!</f>
        <v>#REF!</v>
      </c>
      <c r="AA198" s="272" t="e">
        <f>'Matriz POA 2024-TRABAJO'!#REF!</f>
        <v>#REF!</v>
      </c>
      <c r="AB198" s="272">
        <v>0</v>
      </c>
      <c r="AC198" s="272">
        <v>0</v>
      </c>
      <c r="AD198" s="272">
        <v>0</v>
      </c>
      <c r="AE198" s="272">
        <v>0</v>
      </c>
      <c r="AF198" s="272">
        <v>3524.34</v>
      </c>
      <c r="AG198" s="272">
        <v>0</v>
      </c>
      <c r="AH198" s="272">
        <v>0</v>
      </c>
      <c r="AI198" s="272">
        <v>0</v>
      </c>
      <c r="AJ198" s="272">
        <v>0</v>
      </c>
      <c r="AK198" s="272">
        <v>0</v>
      </c>
      <c r="AL198" s="272">
        <v>0</v>
      </c>
      <c r="AM198" s="272">
        <v>0</v>
      </c>
      <c r="AN198" s="272" t="e">
        <f>SUM(#REF!)</f>
        <v>#REF!</v>
      </c>
      <c r="AO198" s="224">
        <f t="shared" si="25"/>
        <v>3524.34</v>
      </c>
      <c r="AP198" s="224" t="e">
        <f t="shared" ref="AP198:AP261" si="31">+AO198-AA198</f>
        <v>#REF!</v>
      </c>
      <c r="AQ198" s="272"/>
      <c r="AR198" s="272"/>
      <c r="AS198" s="272"/>
      <c r="AT198" s="272" t="str">
        <f>IFERROR(VLOOKUP($A198,'Constancias POA'!$A$2:$DH$9993,17,FALSE),"")</f>
        <v/>
      </c>
      <c r="AU198" s="272" t="str">
        <f t="shared" si="26"/>
        <v/>
      </c>
      <c r="AV198" s="224" t="str">
        <f>IFERROR(VLOOKUP($A198,CP!$A$1:$U$7992,18,FALSE),"")</f>
        <v/>
      </c>
      <c r="AW198" s="224" t="str">
        <f>IFERROR(VLOOKUP($A198,CP!$A$1:$U$7992,19,FALSE),"")</f>
        <v/>
      </c>
      <c r="AX198" s="224" t="str">
        <f>IFERROR(VLOOKUP($A198,CP!$A$1:$U$7992,20,FALSE),"")</f>
        <v/>
      </c>
      <c r="AY198" s="272" t="str">
        <f>IFERROR(VLOOKUP($A198,CP!$A$1:$U$1,21,FALSE),"")</f>
        <v/>
      </c>
      <c r="AZ198" s="224" t="str">
        <f>IFERROR(VLOOKUP(A198,Devengado!$A$1:AJ1,35,FALSE),"")</f>
        <v/>
      </c>
      <c r="BA198" s="224" t="str">
        <f t="shared" si="27"/>
        <v/>
      </c>
      <c r="BB198" s="224" t="str">
        <f>IFERROR(AZ198/#REF!,"")</f>
        <v/>
      </c>
      <c r="BC198" s="272" t="str">
        <f>IFERROR(VLOOKUP($A198,Devengado!$A$1:$AI$1,22,FALSE),"")</f>
        <v/>
      </c>
      <c r="BD198" s="272" t="str">
        <f>IFERROR(VLOOKUP($A198,Devengado!$A$1:$AI$1,23,FALSE),"")</f>
        <v/>
      </c>
      <c r="BE198" s="272" t="str">
        <f>IFERROR(VLOOKUP($A198,Devengado!$A$1:$AI$1,24,FALSE),"")</f>
        <v/>
      </c>
      <c r="BF198" s="272" t="str">
        <f>IFERROR(VLOOKUP($A198,Devengado!$A$1:$AI$1,25,FALSE),"")</f>
        <v/>
      </c>
      <c r="BG198" s="272" t="str">
        <f>IFERROR(VLOOKUP($A198,Devengado!$A$1:$AI$1,26,FALSE),"")</f>
        <v/>
      </c>
      <c r="BH198" s="272" t="str">
        <f>IFERROR(VLOOKUP($A198,Devengado!$A$1:$AI$1,27,FALSE),"")</f>
        <v/>
      </c>
      <c r="BI198" s="272" t="str">
        <f>IFERROR(VLOOKUP($A198,Devengado!$A$1:$AI$1,28,FALSE),"")</f>
        <v/>
      </c>
      <c r="BJ198" s="272" t="str">
        <f>IFERROR(VLOOKUP($A198,Devengado!$A$1:$AI$1,29,FALSE),"")</f>
        <v/>
      </c>
      <c r="BK198" s="272" t="str">
        <f>IFERROR(VLOOKUP($A198,Devengado!$A$1:$AI$1,30,FALSE),"")</f>
        <v/>
      </c>
      <c r="BL198" s="272" t="str">
        <f>IFERROR(VLOOKUP($A198,Devengado!$A$1:$AI$1,31,FALSE),"")</f>
        <v/>
      </c>
      <c r="BM198" s="272" t="str">
        <f>IFERROR(VLOOKUP($A198,Devengado!$A$1:$AI$1,32,FALSE),"")</f>
        <v/>
      </c>
      <c r="BN198" s="272" t="str">
        <f>IFERROR(VLOOKUP($A198,Devengado!$A$1:$AI$1,33,FALSE),"")</f>
        <v/>
      </c>
      <c r="BO198" s="272">
        <f t="shared" si="28"/>
        <v>0</v>
      </c>
      <c r="BP198" s="272" t="str">
        <f t="shared" si="29"/>
        <v/>
      </c>
      <c r="BQ198" s="272"/>
      <c r="BR198" s="207" t="str">
        <f t="shared" si="30"/>
        <v>57</v>
      </c>
    </row>
    <row r="199" spans="1:70" s="225" customFormat="1" ht="25.5" customHeight="1">
      <c r="A199" s="207">
        <v>195</v>
      </c>
      <c r="B199" s="112" t="s">
        <v>244</v>
      </c>
      <c r="C199" s="112" t="s">
        <v>77</v>
      </c>
      <c r="D199" s="112" t="s">
        <v>77</v>
      </c>
      <c r="E199" s="112" t="s">
        <v>76</v>
      </c>
      <c r="F199" s="112" t="s">
        <v>77</v>
      </c>
      <c r="G199" s="112" t="s">
        <v>77</v>
      </c>
      <c r="H199" s="112" t="s">
        <v>77</v>
      </c>
      <c r="I199" s="112" t="s">
        <v>77</v>
      </c>
      <c r="J199" s="112" t="s">
        <v>77</v>
      </c>
      <c r="K199" s="112" t="s">
        <v>77</v>
      </c>
      <c r="L199" s="112" t="s">
        <v>85</v>
      </c>
      <c r="M199" s="112" t="s">
        <v>245</v>
      </c>
      <c r="N199" s="114" t="s">
        <v>246</v>
      </c>
      <c r="O199" s="118" t="s">
        <v>111</v>
      </c>
      <c r="P199" s="114" t="s">
        <v>81</v>
      </c>
      <c r="Q199" s="114" t="s">
        <v>112</v>
      </c>
      <c r="R199" s="115" t="str">
        <f t="shared" si="24"/>
        <v>51</v>
      </c>
      <c r="S199" s="130">
        <v>510105</v>
      </c>
      <c r="T199" s="122" t="str">
        <f>VLOOKUP(S199,ITEM!$C$1:$D$156,2,FALSE)</f>
        <v>Remuneraciones Unificadas</v>
      </c>
      <c r="U199" s="114">
        <v>1700</v>
      </c>
      <c r="V199" s="114" t="s">
        <v>82</v>
      </c>
      <c r="W199" s="114" t="s">
        <v>84</v>
      </c>
      <c r="X199" s="114" t="s">
        <v>84</v>
      </c>
      <c r="Y199" s="224" t="e">
        <f>'Matriz POA 2024-TRABAJO'!#REF!</f>
        <v>#REF!</v>
      </c>
      <c r="Z199" s="224" t="e">
        <f>'Matriz POA 2024-TRABAJO'!#REF!</f>
        <v>#REF!</v>
      </c>
      <c r="AA199" s="224" t="e">
        <f>'Matriz POA 2024-TRABAJO'!#REF!</f>
        <v>#REF!</v>
      </c>
      <c r="AB199" s="279">
        <v>2597</v>
      </c>
      <c r="AC199" s="279">
        <v>4321.6000000000004</v>
      </c>
      <c r="AD199" s="279">
        <v>4716.3</v>
      </c>
      <c r="AE199" s="279">
        <v>4716.3</v>
      </c>
      <c r="AF199" s="279">
        <v>4716.3</v>
      </c>
      <c r="AG199" s="279">
        <v>4716.3</v>
      </c>
      <c r="AH199" s="279">
        <v>4716.3</v>
      </c>
      <c r="AI199" s="279">
        <v>4716.3</v>
      </c>
      <c r="AJ199" s="279">
        <v>4716.3</v>
      </c>
      <c r="AK199" s="279">
        <v>4716.3</v>
      </c>
      <c r="AL199" s="279">
        <v>4716.3</v>
      </c>
      <c r="AM199" s="279">
        <v>4716.3</v>
      </c>
      <c r="AN199" s="224" t="e">
        <f>SUM(#REF!)</f>
        <v>#REF!</v>
      </c>
      <c r="AO199" s="224">
        <f t="shared" si="25"/>
        <v>54081.600000000013</v>
      </c>
      <c r="AP199" s="224" t="e">
        <f t="shared" si="31"/>
        <v>#REF!</v>
      </c>
      <c r="AQ199" s="224"/>
      <c r="AR199" s="224"/>
      <c r="AS199" s="224"/>
      <c r="AT199" s="224" t="str">
        <f>IFERROR(VLOOKUP($A199,'Constancias POA'!$A$2:$DH$9993,17,FALSE),"")</f>
        <v/>
      </c>
      <c r="AU199" s="224" t="str">
        <f t="shared" si="26"/>
        <v/>
      </c>
      <c r="AV199" s="224" t="str">
        <f>IFERROR(VLOOKUP($A199,CP!$A$1:$U$7992,18,FALSE),"")</f>
        <v/>
      </c>
      <c r="AW199" s="224" t="str">
        <f>IFERROR(VLOOKUP($A199,CP!$A$1:$U$7992,19,FALSE),"")</f>
        <v/>
      </c>
      <c r="AX199" s="224" t="str">
        <f>IFERROR(VLOOKUP($A199,CP!$A$1:$U$7992,20,FALSE),"")</f>
        <v/>
      </c>
      <c r="AY199" s="224" t="str">
        <f>IFERROR(VLOOKUP($A199,CP!$A$1:$U$1,21,FALSE),"")</f>
        <v/>
      </c>
      <c r="AZ199" s="224" t="str">
        <f>IFERROR(VLOOKUP(A199,Devengado!$A$1:AJ1,35,FALSE),"")</f>
        <v/>
      </c>
      <c r="BA199" s="224" t="str">
        <f t="shared" si="27"/>
        <v/>
      </c>
      <c r="BB199" s="224" t="str">
        <f>IFERROR(AZ199/#REF!,"")</f>
        <v/>
      </c>
      <c r="BC199" s="224" t="str">
        <f>IFERROR(VLOOKUP($A199,Devengado!$A$1:$AI$1,22,FALSE),"")</f>
        <v/>
      </c>
      <c r="BD199" s="224" t="str">
        <f>IFERROR(VLOOKUP($A199,Devengado!$A$1:$AI$1,23,FALSE),"")</f>
        <v/>
      </c>
      <c r="BE199" s="224" t="str">
        <f>IFERROR(VLOOKUP($A199,Devengado!$A$1:$AI$1,24,FALSE),"")</f>
        <v/>
      </c>
      <c r="BF199" s="224" t="str">
        <f>IFERROR(VLOOKUP($A199,Devengado!$A$1:$AI$1,25,FALSE),"")</f>
        <v/>
      </c>
      <c r="BG199" s="224" t="str">
        <f>IFERROR(VLOOKUP($A199,Devengado!$A$1:$AI$1,26,FALSE),"")</f>
        <v/>
      </c>
      <c r="BH199" s="224" t="str">
        <f>IFERROR(VLOOKUP($A199,Devengado!$A$1:$AI$1,27,FALSE),"")</f>
        <v/>
      </c>
      <c r="BI199" s="224" t="str">
        <f>IFERROR(VLOOKUP($A199,Devengado!$A$1:$AI$1,28,FALSE),"")</f>
        <v/>
      </c>
      <c r="BJ199" s="224" t="str">
        <f>IFERROR(VLOOKUP($A199,Devengado!$A$1:$AI$1,29,FALSE),"")</f>
        <v/>
      </c>
      <c r="BK199" s="224" t="str">
        <f>IFERROR(VLOOKUP($A199,Devengado!$A$1:$AI$1,30,FALSE),"")</f>
        <v/>
      </c>
      <c r="BL199" s="224" t="str">
        <f>IFERROR(VLOOKUP($A199,Devengado!$A$1:$AI$1,31,FALSE),"")</f>
        <v/>
      </c>
      <c r="BM199" s="224" t="str">
        <f>IFERROR(VLOOKUP($A199,Devengado!$A$1:$AI$1,32,FALSE),"")</f>
        <v/>
      </c>
      <c r="BN199" s="224" t="str">
        <f>IFERROR(VLOOKUP($A199,Devengado!$A$1:$AI$1,33,FALSE),"")</f>
        <v/>
      </c>
      <c r="BO199" s="224">
        <f t="shared" si="28"/>
        <v>0</v>
      </c>
      <c r="BP199" s="224" t="str">
        <f t="shared" si="29"/>
        <v/>
      </c>
      <c r="BQ199" s="207"/>
      <c r="BR199" s="207" t="str">
        <f t="shared" si="30"/>
        <v>51</v>
      </c>
    </row>
    <row r="200" spans="1:70" s="225" customFormat="1" ht="25.5" customHeight="1">
      <c r="A200" s="207">
        <v>196</v>
      </c>
      <c r="B200" s="112" t="s">
        <v>244</v>
      </c>
      <c r="C200" s="112" t="s">
        <v>77</v>
      </c>
      <c r="D200" s="112" t="s">
        <v>77</v>
      </c>
      <c r="E200" s="112" t="s">
        <v>76</v>
      </c>
      <c r="F200" s="112" t="s">
        <v>77</v>
      </c>
      <c r="G200" s="112" t="s">
        <v>77</v>
      </c>
      <c r="H200" s="112" t="s">
        <v>77</v>
      </c>
      <c r="I200" s="112" t="s">
        <v>77</v>
      </c>
      <c r="J200" s="112" t="s">
        <v>77</v>
      </c>
      <c r="K200" s="112" t="s">
        <v>77</v>
      </c>
      <c r="L200" s="112" t="s">
        <v>85</v>
      </c>
      <c r="M200" s="112" t="s">
        <v>247</v>
      </c>
      <c r="N200" s="114" t="s">
        <v>246</v>
      </c>
      <c r="O200" s="118" t="s">
        <v>111</v>
      </c>
      <c r="P200" s="114" t="s">
        <v>81</v>
      </c>
      <c r="Q200" s="114" t="s">
        <v>112</v>
      </c>
      <c r="R200" s="115" t="str">
        <f t="shared" si="24"/>
        <v>51</v>
      </c>
      <c r="S200" s="130">
        <v>510203</v>
      </c>
      <c r="T200" s="122" t="str">
        <f>VLOOKUP(S200,ITEM!$C$1:$D$156,2,FALSE)</f>
        <v>Decimo Tercer Sueldo</v>
      </c>
      <c r="U200" s="114">
        <v>1700</v>
      </c>
      <c r="V200" s="114" t="s">
        <v>82</v>
      </c>
      <c r="W200" s="114" t="s">
        <v>84</v>
      </c>
      <c r="X200" s="114" t="s">
        <v>84</v>
      </c>
      <c r="Y200" s="224" t="e">
        <f>'Matriz POA 2024-TRABAJO'!#REF!</f>
        <v>#REF!</v>
      </c>
      <c r="Z200" s="224" t="e">
        <f>'Matriz POA 2024-TRABAJO'!#REF!</f>
        <v>#REF!</v>
      </c>
      <c r="AA200" s="224" t="e">
        <f>'Matriz POA 2024-TRABAJO'!#REF!</f>
        <v>#REF!</v>
      </c>
      <c r="AB200" s="279">
        <v>657.49</v>
      </c>
      <c r="AC200" s="279">
        <v>2552.6999999999998</v>
      </c>
      <c r="AD200" s="279">
        <v>1182.3</v>
      </c>
      <c r="AE200" s="279">
        <v>1182.3</v>
      </c>
      <c r="AF200" s="279">
        <v>1182.3</v>
      </c>
      <c r="AG200" s="279">
        <v>1182.3</v>
      </c>
      <c r="AH200" s="279">
        <v>1182.3</v>
      </c>
      <c r="AI200" s="279">
        <v>1182.3</v>
      </c>
      <c r="AJ200" s="279">
        <v>1182.3</v>
      </c>
      <c r="AK200" s="279">
        <v>1182.3</v>
      </c>
      <c r="AL200" s="279">
        <v>1182.29</v>
      </c>
      <c r="AM200" s="279">
        <v>1182.3</v>
      </c>
      <c r="AN200" s="224" t="e">
        <f>SUM(#REF!)</f>
        <v>#REF!</v>
      </c>
      <c r="AO200" s="224">
        <f t="shared" si="25"/>
        <v>15033.179999999997</v>
      </c>
      <c r="AP200" s="224" t="e">
        <f t="shared" si="31"/>
        <v>#REF!</v>
      </c>
      <c r="AQ200" s="224"/>
      <c r="AR200" s="224"/>
      <c r="AS200" s="224"/>
      <c r="AT200" s="224" t="str">
        <f>IFERROR(VLOOKUP($A200,'Constancias POA'!$A$2:$DH$9993,17,FALSE),"")</f>
        <v/>
      </c>
      <c r="AU200" s="224" t="str">
        <f t="shared" si="26"/>
        <v/>
      </c>
      <c r="AV200" s="224" t="str">
        <f>IFERROR(VLOOKUP($A200,CP!$A$1:$U$7992,18,FALSE),"")</f>
        <v/>
      </c>
      <c r="AW200" s="224" t="str">
        <f>IFERROR(VLOOKUP($A200,CP!$A$1:$U$7992,19,FALSE),"")</f>
        <v/>
      </c>
      <c r="AX200" s="224" t="str">
        <f>IFERROR(VLOOKUP($A200,CP!$A$1:$U$7992,20,FALSE),"")</f>
        <v/>
      </c>
      <c r="AY200" s="224" t="str">
        <f>IFERROR(VLOOKUP($A200,CP!$A$1:$U$1,21,FALSE),"")</f>
        <v/>
      </c>
      <c r="AZ200" s="224" t="str">
        <f>IFERROR(VLOOKUP(A200,Devengado!$A$1:AJ1,35,FALSE),"")</f>
        <v/>
      </c>
      <c r="BA200" s="224" t="str">
        <f t="shared" si="27"/>
        <v/>
      </c>
      <c r="BB200" s="224" t="str">
        <f>IFERROR(AZ200/#REF!,"")</f>
        <v/>
      </c>
      <c r="BC200" s="224" t="str">
        <f>IFERROR(VLOOKUP($A200,Devengado!$A$1:$AI$1,22,FALSE),"")</f>
        <v/>
      </c>
      <c r="BD200" s="224" t="str">
        <f>IFERROR(VLOOKUP($A200,Devengado!$A$1:$AI$1,23,FALSE),"")</f>
        <v/>
      </c>
      <c r="BE200" s="224" t="str">
        <f>IFERROR(VLOOKUP($A200,Devengado!$A$1:$AI$1,24,FALSE),"")</f>
        <v/>
      </c>
      <c r="BF200" s="224" t="str">
        <f>IFERROR(VLOOKUP($A200,Devengado!$A$1:$AI$1,25,FALSE),"")</f>
        <v/>
      </c>
      <c r="BG200" s="224" t="str">
        <f>IFERROR(VLOOKUP($A200,Devengado!$A$1:$AI$1,26,FALSE),"")</f>
        <v/>
      </c>
      <c r="BH200" s="224" t="str">
        <f>IFERROR(VLOOKUP($A200,Devengado!$A$1:$AI$1,27,FALSE),"")</f>
        <v/>
      </c>
      <c r="BI200" s="224" t="str">
        <f>IFERROR(VLOOKUP($A200,Devengado!$A$1:$AI$1,28,FALSE),"")</f>
        <v/>
      </c>
      <c r="BJ200" s="224" t="str">
        <f>IFERROR(VLOOKUP($A200,Devengado!$A$1:$AI$1,29,FALSE),"")</f>
        <v/>
      </c>
      <c r="BK200" s="224" t="str">
        <f>IFERROR(VLOOKUP($A200,Devengado!$A$1:$AI$1,30,FALSE),"")</f>
        <v/>
      </c>
      <c r="BL200" s="224" t="str">
        <f>IFERROR(VLOOKUP($A200,Devengado!$A$1:$AI$1,31,FALSE),"")</f>
        <v/>
      </c>
      <c r="BM200" s="224" t="str">
        <f>IFERROR(VLOOKUP($A200,Devengado!$A$1:$AI$1,32,FALSE),"")</f>
        <v/>
      </c>
      <c r="BN200" s="224" t="str">
        <f>IFERROR(VLOOKUP($A200,Devengado!$A$1:$AI$1,33,FALSE),"")</f>
        <v/>
      </c>
      <c r="BO200" s="224">
        <f t="shared" si="28"/>
        <v>0</v>
      </c>
      <c r="BP200" s="224" t="str">
        <f t="shared" si="29"/>
        <v/>
      </c>
      <c r="BQ200" s="207"/>
      <c r="BR200" s="207" t="str">
        <f t="shared" si="30"/>
        <v>51</v>
      </c>
    </row>
    <row r="201" spans="1:70" s="225" customFormat="1" ht="25.5" customHeight="1">
      <c r="A201" s="207">
        <v>197</v>
      </c>
      <c r="B201" s="112" t="s">
        <v>244</v>
      </c>
      <c r="C201" s="112" t="s">
        <v>77</v>
      </c>
      <c r="D201" s="112" t="s">
        <v>77</v>
      </c>
      <c r="E201" s="112" t="s">
        <v>76</v>
      </c>
      <c r="F201" s="112" t="s">
        <v>77</v>
      </c>
      <c r="G201" s="112" t="s">
        <v>77</v>
      </c>
      <c r="H201" s="112" t="s">
        <v>77</v>
      </c>
      <c r="I201" s="112" t="s">
        <v>77</v>
      </c>
      <c r="J201" s="112" t="s">
        <v>77</v>
      </c>
      <c r="K201" s="112" t="s">
        <v>77</v>
      </c>
      <c r="L201" s="112" t="s">
        <v>85</v>
      </c>
      <c r="M201" s="112" t="s">
        <v>248</v>
      </c>
      <c r="N201" s="114" t="s">
        <v>246</v>
      </c>
      <c r="O201" s="118" t="s">
        <v>111</v>
      </c>
      <c r="P201" s="114" t="s">
        <v>81</v>
      </c>
      <c r="Q201" s="114" t="s">
        <v>112</v>
      </c>
      <c r="R201" s="115" t="str">
        <f t="shared" si="24"/>
        <v>51</v>
      </c>
      <c r="S201" s="130">
        <v>510204</v>
      </c>
      <c r="T201" s="122" t="str">
        <f>VLOOKUP(S201,ITEM!$C$1:$D$156,2,FALSE)</f>
        <v>Decimo Cuarto Sueldo</v>
      </c>
      <c r="U201" s="114">
        <v>1700</v>
      </c>
      <c r="V201" s="114" t="s">
        <v>82</v>
      </c>
      <c r="W201" s="114" t="s">
        <v>84</v>
      </c>
      <c r="X201" s="114" t="s">
        <v>84</v>
      </c>
      <c r="Y201" s="224" t="e">
        <f>'Matriz POA 2024-TRABAJO'!#REF!</f>
        <v>#REF!</v>
      </c>
      <c r="Z201" s="224" t="e">
        <f>'Matriz POA 2024-TRABAJO'!#REF!</f>
        <v>#REF!</v>
      </c>
      <c r="AA201" s="224" t="e">
        <f>'Matriz POA 2024-TRABAJO'!#REF!</f>
        <v>#REF!</v>
      </c>
      <c r="AB201" s="279">
        <v>306.64</v>
      </c>
      <c r="AC201" s="279">
        <v>537.77</v>
      </c>
      <c r="AD201" s="279">
        <v>537.77</v>
      </c>
      <c r="AE201" s="279">
        <v>537.77</v>
      </c>
      <c r="AF201" s="279">
        <v>537.77</v>
      </c>
      <c r="AG201" s="279">
        <v>537.77</v>
      </c>
      <c r="AH201" s="279">
        <v>537.77</v>
      </c>
      <c r="AI201" s="279">
        <v>711.31999999999994</v>
      </c>
      <c r="AJ201" s="279">
        <v>537.77</v>
      </c>
      <c r="AK201" s="279">
        <v>537.77</v>
      </c>
      <c r="AL201" s="279">
        <v>537.77</v>
      </c>
      <c r="AM201" s="279">
        <v>537.81000000000006</v>
      </c>
      <c r="AN201" s="224" t="e">
        <f>SUM(#REF!)</f>
        <v>#REF!</v>
      </c>
      <c r="AO201" s="224">
        <f t="shared" si="25"/>
        <v>6395.7000000000016</v>
      </c>
      <c r="AP201" s="224" t="e">
        <f t="shared" si="31"/>
        <v>#REF!</v>
      </c>
      <c r="AQ201" s="224"/>
      <c r="AR201" s="224"/>
      <c r="AS201" s="224"/>
      <c r="AT201" s="224" t="str">
        <f>IFERROR(VLOOKUP($A201,'Constancias POA'!$A$2:$DH$9993,17,FALSE),"")</f>
        <v/>
      </c>
      <c r="AU201" s="224" t="str">
        <f t="shared" si="26"/>
        <v/>
      </c>
      <c r="AV201" s="224" t="str">
        <f>IFERROR(VLOOKUP($A201,CP!$A$1:$U$7992,18,FALSE),"")</f>
        <v/>
      </c>
      <c r="AW201" s="224" t="str">
        <f>IFERROR(VLOOKUP($A201,CP!$A$1:$U$7992,19,FALSE),"")</f>
        <v/>
      </c>
      <c r="AX201" s="224" t="str">
        <f>IFERROR(VLOOKUP($A201,CP!$A$1:$U$7992,20,FALSE),"")</f>
        <v/>
      </c>
      <c r="AY201" s="224" t="str">
        <f>IFERROR(VLOOKUP($A201,CP!$A$1:$U$1,21,FALSE),"")</f>
        <v/>
      </c>
      <c r="AZ201" s="224" t="str">
        <f>IFERROR(VLOOKUP(A201,Devengado!$A$1:AJ1,35,FALSE),"")</f>
        <v/>
      </c>
      <c r="BA201" s="224" t="str">
        <f t="shared" si="27"/>
        <v/>
      </c>
      <c r="BB201" s="224" t="str">
        <f>IFERROR(AZ201/#REF!,"")</f>
        <v/>
      </c>
      <c r="BC201" s="224" t="str">
        <f>IFERROR(VLOOKUP($A201,Devengado!$A$1:$AI$1,22,FALSE),"")</f>
        <v/>
      </c>
      <c r="BD201" s="224" t="str">
        <f>IFERROR(VLOOKUP($A201,Devengado!$A$1:$AI$1,23,FALSE),"")</f>
        <v/>
      </c>
      <c r="BE201" s="224" t="str">
        <f>IFERROR(VLOOKUP($A201,Devengado!$A$1:$AI$1,24,FALSE),"")</f>
        <v/>
      </c>
      <c r="BF201" s="224" t="str">
        <f>IFERROR(VLOOKUP($A201,Devengado!$A$1:$AI$1,25,FALSE),"")</f>
        <v/>
      </c>
      <c r="BG201" s="224" t="str">
        <f>IFERROR(VLOOKUP($A201,Devengado!$A$1:$AI$1,26,FALSE),"")</f>
        <v/>
      </c>
      <c r="BH201" s="224" t="str">
        <f>IFERROR(VLOOKUP($A201,Devengado!$A$1:$AI$1,27,FALSE),"")</f>
        <v/>
      </c>
      <c r="BI201" s="224" t="str">
        <f>IFERROR(VLOOKUP($A201,Devengado!$A$1:$AI$1,28,FALSE),"")</f>
        <v/>
      </c>
      <c r="BJ201" s="224" t="str">
        <f>IFERROR(VLOOKUP($A201,Devengado!$A$1:$AI$1,29,FALSE),"")</f>
        <v/>
      </c>
      <c r="BK201" s="224" t="str">
        <f>IFERROR(VLOOKUP($A201,Devengado!$A$1:$AI$1,30,FALSE),"")</f>
        <v/>
      </c>
      <c r="BL201" s="224" t="str">
        <f>IFERROR(VLOOKUP($A201,Devengado!$A$1:$AI$1,31,FALSE),"")</f>
        <v/>
      </c>
      <c r="BM201" s="224" t="str">
        <f>IFERROR(VLOOKUP($A201,Devengado!$A$1:$AI$1,32,FALSE),"")</f>
        <v/>
      </c>
      <c r="BN201" s="224" t="str">
        <f>IFERROR(VLOOKUP($A201,Devengado!$A$1:$AI$1,33,FALSE),"")</f>
        <v/>
      </c>
      <c r="BO201" s="224">
        <f t="shared" si="28"/>
        <v>0</v>
      </c>
      <c r="BP201" s="224" t="str">
        <f t="shared" si="29"/>
        <v/>
      </c>
      <c r="BQ201" s="207"/>
      <c r="BR201" s="207" t="str">
        <f t="shared" si="30"/>
        <v>51</v>
      </c>
    </row>
    <row r="202" spans="1:70" s="225" customFormat="1" ht="25.5" customHeight="1">
      <c r="A202" s="207">
        <v>198</v>
      </c>
      <c r="B202" s="112" t="s">
        <v>244</v>
      </c>
      <c r="C202" s="112" t="s">
        <v>77</v>
      </c>
      <c r="D202" s="112" t="s">
        <v>77</v>
      </c>
      <c r="E202" s="112" t="s">
        <v>76</v>
      </c>
      <c r="F202" s="112" t="s">
        <v>77</v>
      </c>
      <c r="G202" s="112" t="s">
        <v>77</v>
      </c>
      <c r="H202" s="112" t="s">
        <v>77</v>
      </c>
      <c r="I202" s="112" t="s">
        <v>77</v>
      </c>
      <c r="J202" s="112" t="s">
        <v>77</v>
      </c>
      <c r="K202" s="112" t="s">
        <v>77</v>
      </c>
      <c r="L202" s="112" t="s">
        <v>85</v>
      </c>
      <c r="M202" s="112" t="s">
        <v>249</v>
      </c>
      <c r="N202" s="114" t="s">
        <v>246</v>
      </c>
      <c r="O202" s="118" t="s">
        <v>111</v>
      </c>
      <c r="P202" s="114" t="s">
        <v>81</v>
      </c>
      <c r="Q202" s="114" t="s">
        <v>112</v>
      </c>
      <c r="R202" s="115" t="str">
        <f t="shared" si="24"/>
        <v>51</v>
      </c>
      <c r="S202" s="130">
        <v>510510</v>
      </c>
      <c r="T202" s="122" t="str">
        <f>VLOOKUP(S202,ITEM!$C$1:$D$156,2,FALSE)</f>
        <v>Servicios Personales por Contrato</v>
      </c>
      <c r="U202" s="114">
        <v>1700</v>
      </c>
      <c r="V202" s="114" t="s">
        <v>82</v>
      </c>
      <c r="W202" s="114" t="s">
        <v>84</v>
      </c>
      <c r="X202" s="114" t="s">
        <v>84</v>
      </c>
      <c r="Y202" s="224" t="e">
        <f>'Matriz POA 2024-TRABAJO'!#REF!</f>
        <v>#REF!</v>
      </c>
      <c r="Z202" s="224" t="e">
        <f>'Matriz POA 2024-TRABAJO'!#REF!</f>
        <v>#REF!</v>
      </c>
      <c r="AA202" s="224" t="e">
        <f>'Matriz POA 2024-TRABAJO'!#REF!</f>
        <v>#REF!</v>
      </c>
      <c r="AB202" s="279">
        <v>10613.1</v>
      </c>
      <c r="AC202" s="279">
        <v>10613.1</v>
      </c>
      <c r="AD202" s="279">
        <v>10613.1</v>
      </c>
      <c r="AE202" s="279">
        <v>10613.1</v>
      </c>
      <c r="AF202" s="279">
        <v>10613.1</v>
      </c>
      <c r="AG202" s="279">
        <v>10613.1</v>
      </c>
      <c r="AH202" s="279">
        <v>10613.1</v>
      </c>
      <c r="AI202" s="279">
        <v>10613.1</v>
      </c>
      <c r="AJ202" s="279">
        <v>10613.1</v>
      </c>
      <c r="AK202" s="279">
        <v>10613.1</v>
      </c>
      <c r="AL202" s="279">
        <v>10613.1</v>
      </c>
      <c r="AM202" s="279">
        <v>10613.1</v>
      </c>
      <c r="AN202" s="224" t="e">
        <f>SUM(#REF!)</f>
        <v>#REF!</v>
      </c>
      <c r="AO202" s="224">
        <f t="shared" si="25"/>
        <v>127357.20000000003</v>
      </c>
      <c r="AP202" s="224" t="e">
        <f t="shared" si="31"/>
        <v>#REF!</v>
      </c>
      <c r="AQ202" s="224"/>
      <c r="AR202" s="224"/>
      <c r="AS202" s="224"/>
      <c r="AT202" s="224" t="str">
        <f>IFERROR(VLOOKUP($A202,'Constancias POA'!$A$2:$DH$9993,17,FALSE),"")</f>
        <v/>
      </c>
      <c r="AU202" s="224" t="str">
        <f t="shared" si="26"/>
        <v/>
      </c>
      <c r="AV202" s="224" t="str">
        <f>IFERROR(VLOOKUP($A202,CP!$A$1:$U$7992,18,FALSE),"")</f>
        <v/>
      </c>
      <c r="AW202" s="224" t="str">
        <f>IFERROR(VLOOKUP($A202,CP!$A$1:$U$7992,19,FALSE),"")</f>
        <v/>
      </c>
      <c r="AX202" s="224" t="str">
        <f>IFERROR(VLOOKUP($A202,CP!$A$1:$U$7992,20,FALSE),"")</f>
        <v/>
      </c>
      <c r="AY202" s="224" t="str">
        <f>IFERROR(VLOOKUP($A202,CP!$A$1:$U$1,21,FALSE),"")</f>
        <v/>
      </c>
      <c r="AZ202" s="224" t="str">
        <f>IFERROR(VLOOKUP(A202,Devengado!$A$1:AJ1,35,FALSE),"")</f>
        <v/>
      </c>
      <c r="BA202" s="224" t="str">
        <f t="shared" si="27"/>
        <v/>
      </c>
      <c r="BB202" s="224" t="str">
        <f>IFERROR(AZ202/#REF!,"")</f>
        <v/>
      </c>
      <c r="BC202" s="224" t="str">
        <f>IFERROR(VLOOKUP($A202,Devengado!$A$1:$AI$1,22,FALSE),"")</f>
        <v/>
      </c>
      <c r="BD202" s="224" t="str">
        <f>IFERROR(VLOOKUP($A202,Devengado!$A$1:$AI$1,23,FALSE),"")</f>
        <v/>
      </c>
      <c r="BE202" s="224" t="str">
        <f>IFERROR(VLOOKUP($A202,Devengado!$A$1:$AI$1,24,FALSE),"")</f>
        <v/>
      </c>
      <c r="BF202" s="224" t="str">
        <f>IFERROR(VLOOKUP($A202,Devengado!$A$1:$AI$1,25,FALSE),"")</f>
        <v/>
      </c>
      <c r="BG202" s="224" t="str">
        <f>IFERROR(VLOOKUP($A202,Devengado!$A$1:$AI$1,26,FALSE),"")</f>
        <v/>
      </c>
      <c r="BH202" s="224" t="str">
        <f>IFERROR(VLOOKUP($A202,Devengado!$A$1:$AI$1,27,FALSE),"")</f>
        <v/>
      </c>
      <c r="BI202" s="224" t="str">
        <f>IFERROR(VLOOKUP($A202,Devengado!$A$1:$AI$1,28,FALSE),"")</f>
        <v/>
      </c>
      <c r="BJ202" s="224" t="str">
        <f>IFERROR(VLOOKUP($A202,Devengado!$A$1:$AI$1,29,FALSE),"")</f>
        <v/>
      </c>
      <c r="BK202" s="224" t="str">
        <f>IFERROR(VLOOKUP($A202,Devengado!$A$1:$AI$1,30,FALSE),"")</f>
        <v/>
      </c>
      <c r="BL202" s="224" t="str">
        <f>IFERROR(VLOOKUP($A202,Devengado!$A$1:$AI$1,31,FALSE),"")</f>
        <v/>
      </c>
      <c r="BM202" s="224" t="str">
        <f>IFERROR(VLOOKUP($A202,Devengado!$A$1:$AI$1,32,FALSE),"")</f>
        <v/>
      </c>
      <c r="BN202" s="224" t="str">
        <f>IFERROR(VLOOKUP($A202,Devengado!$A$1:$AI$1,33,FALSE),"")</f>
        <v/>
      </c>
      <c r="BO202" s="224">
        <f t="shared" si="28"/>
        <v>0</v>
      </c>
      <c r="BP202" s="224" t="str">
        <f t="shared" si="29"/>
        <v/>
      </c>
      <c r="BQ202" s="207"/>
      <c r="BR202" s="207" t="str">
        <f t="shared" si="30"/>
        <v>51</v>
      </c>
    </row>
    <row r="203" spans="1:70" s="225" customFormat="1" ht="25.5" customHeight="1">
      <c r="A203" s="207">
        <v>199</v>
      </c>
      <c r="B203" s="112" t="s">
        <v>244</v>
      </c>
      <c r="C203" s="112" t="s">
        <v>77</v>
      </c>
      <c r="D203" s="112" t="s">
        <v>77</v>
      </c>
      <c r="E203" s="112" t="s">
        <v>76</v>
      </c>
      <c r="F203" s="112" t="s">
        <v>77</v>
      </c>
      <c r="G203" s="112" t="s">
        <v>77</v>
      </c>
      <c r="H203" s="112" t="s">
        <v>77</v>
      </c>
      <c r="I203" s="112" t="s">
        <v>77</v>
      </c>
      <c r="J203" s="112" t="s">
        <v>77</v>
      </c>
      <c r="K203" s="112" t="s">
        <v>77</v>
      </c>
      <c r="L203" s="112" t="s">
        <v>85</v>
      </c>
      <c r="M203" s="112" t="s">
        <v>250</v>
      </c>
      <c r="N203" s="114" t="s">
        <v>246</v>
      </c>
      <c r="O203" s="118" t="s">
        <v>111</v>
      </c>
      <c r="P203" s="114" t="s">
        <v>81</v>
      </c>
      <c r="Q203" s="114" t="s">
        <v>112</v>
      </c>
      <c r="R203" s="115" t="str">
        <f t="shared" si="24"/>
        <v>51</v>
      </c>
      <c r="S203" s="130">
        <v>510601</v>
      </c>
      <c r="T203" s="122" t="str">
        <f>VLOOKUP(S203,ITEM!$C$1:$D$156,2,FALSE)</f>
        <v>Aporte Patronal</v>
      </c>
      <c r="U203" s="114">
        <v>1700</v>
      </c>
      <c r="V203" s="114" t="s">
        <v>82</v>
      </c>
      <c r="W203" s="114" t="s">
        <v>84</v>
      </c>
      <c r="X203" s="114" t="s">
        <v>84</v>
      </c>
      <c r="Y203" s="224" t="e">
        <f>'Matriz POA 2024-TRABAJO'!#REF!</f>
        <v>#REF!</v>
      </c>
      <c r="Z203" s="224" t="e">
        <f>'Matriz POA 2024-TRABAJO'!#REF!</f>
        <v>#REF!</v>
      </c>
      <c r="AA203" s="224" t="e">
        <f>'Matriz POA 2024-TRABAJO'!#REF!</f>
        <v>#REF!</v>
      </c>
      <c r="AB203" s="279">
        <v>1278.5999999999999</v>
      </c>
      <c r="AC203" s="279">
        <v>1470.72</v>
      </c>
      <c r="AD203" s="279">
        <v>1470.72</v>
      </c>
      <c r="AE203" s="279">
        <v>1470.72</v>
      </c>
      <c r="AF203" s="279">
        <v>1470.72</v>
      </c>
      <c r="AG203" s="279">
        <v>1470.72</v>
      </c>
      <c r="AH203" s="279">
        <v>1470.72</v>
      </c>
      <c r="AI203" s="279">
        <v>1470.72</v>
      </c>
      <c r="AJ203" s="279">
        <v>1470.72</v>
      </c>
      <c r="AK203" s="279">
        <v>1470.72</v>
      </c>
      <c r="AL203" s="279">
        <v>1470.72</v>
      </c>
      <c r="AM203" s="279">
        <v>1470.73</v>
      </c>
      <c r="AN203" s="224" t="e">
        <f>SUM(#REF!)</f>
        <v>#REF!</v>
      </c>
      <c r="AO203" s="224">
        <f t="shared" si="25"/>
        <v>17456.53</v>
      </c>
      <c r="AP203" s="224" t="e">
        <f t="shared" si="31"/>
        <v>#REF!</v>
      </c>
      <c r="AQ203" s="224"/>
      <c r="AR203" s="224"/>
      <c r="AS203" s="224"/>
      <c r="AT203" s="224" t="str">
        <f>IFERROR(VLOOKUP($A203,'Constancias POA'!$A$2:$DH$9993,17,FALSE),"")</f>
        <v/>
      </c>
      <c r="AU203" s="224" t="str">
        <f t="shared" si="26"/>
        <v/>
      </c>
      <c r="AV203" s="224" t="str">
        <f>IFERROR(VLOOKUP($A203,CP!$A$1:$U$7992,18,FALSE),"")</f>
        <v/>
      </c>
      <c r="AW203" s="224" t="str">
        <f>IFERROR(VLOOKUP($A203,CP!$A$1:$U$7992,19,FALSE),"")</f>
        <v/>
      </c>
      <c r="AX203" s="224" t="str">
        <f>IFERROR(VLOOKUP($A203,CP!$A$1:$U$7992,20,FALSE),"")</f>
        <v/>
      </c>
      <c r="AY203" s="224" t="str">
        <f>IFERROR(VLOOKUP($A203,CP!$A$1:$U$1,21,FALSE),"")</f>
        <v/>
      </c>
      <c r="AZ203" s="224" t="str">
        <f>IFERROR(VLOOKUP(A203,Devengado!$A$1:AJ1,35,FALSE),"")</f>
        <v/>
      </c>
      <c r="BA203" s="224" t="str">
        <f t="shared" si="27"/>
        <v/>
      </c>
      <c r="BB203" s="224" t="str">
        <f>IFERROR(AZ203/#REF!,"")</f>
        <v/>
      </c>
      <c r="BC203" s="224" t="str">
        <f>IFERROR(VLOOKUP($A203,Devengado!$A$1:$AI$1,22,FALSE),"")</f>
        <v/>
      </c>
      <c r="BD203" s="224" t="str">
        <f>IFERROR(VLOOKUP($A203,Devengado!$A$1:$AI$1,23,FALSE),"")</f>
        <v/>
      </c>
      <c r="BE203" s="224" t="str">
        <f>IFERROR(VLOOKUP($A203,Devengado!$A$1:$AI$1,24,FALSE),"")</f>
        <v/>
      </c>
      <c r="BF203" s="224" t="str">
        <f>IFERROR(VLOOKUP($A203,Devengado!$A$1:$AI$1,25,FALSE),"")</f>
        <v/>
      </c>
      <c r="BG203" s="224" t="str">
        <f>IFERROR(VLOOKUP($A203,Devengado!$A$1:$AI$1,26,FALSE),"")</f>
        <v/>
      </c>
      <c r="BH203" s="224" t="str">
        <f>IFERROR(VLOOKUP($A203,Devengado!$A$1:$AI$1,27,FALSE),"")</f>
        <v/>
      </c>
      <c r="BI203" s="224" t="str">
        <f>IFERROR(VLOOKUP($A203,Devengado!$A$1:$AI$1,28,FALSE),"")</f>
        <v/>
      </c>
      <c r="BJ203" s="224" t="str">
        <f>IFERROR(VLOOKUP($A203,Devengado!$A$1:$AI$1,29,FALSE),"")</f>
        <v/>
      </c>
      <c r="BK203" s="224" t="str">
        <f>IFERROR(VLOOKUP($A203,Devengado!$A$1:$AI$1,30,FALSE),"")</f>
        <v/>
      </c>
      <c r="BL203" s="224" t="str">
        <f>IFERROR(VLOOKUP($A203,Devengado!$A$1:$AI$1,31,FALSE),"")</f>
        <v/>
      </c>
      <c r="BM203" s="224" t="str">
        <f>IFERROR(VLOOKUP($A203,Devengado!$A$1:$AI$1,32,FALSE),"")</f>
        <v/>
      </c>
      <c r="BN203" s="224" t="str">
        <f>IFERROR(VLOOKUP($A203,Devengado!$A$1:$AI$1,33,FALSE),"")</f>
        <v/>
      </c>
      <c r="BO203" s="224">
        <f t="shared" si="28"/>
        <v>0</v>
      </c>
      <c r="BP203" s="224" t="str">
        <f t="shared" si="29"/>
        <v/>
      </c>
      <c r="BQ203" s="207"/>
      <c r="BR203" s="207" t="str">
        <f t="shared" si="30"/>
        <v>51</v>
      </c>
    </row>
    <row r="204" spans="1:70" s="225" customFormat="1" ht="25.5" customHeight="1">
      <c r="A204" s="207">
        <v>200</v>
      </c>
      <c r="B204" s="112" t="s">
        <v>244</v>
      </c>
      <c r="C204" s="112" t="s">
        <v>77</v>
      </c>
      <c r="D204" s="112" t="s">
        <v>77</v>
      </c>
      <c r="E204" s="112" t="s">
        <v>76</v>
      </c>
      <c r="F204" s="112" t="s">
        <v>77</v>
      </c>
      <c r="G204" s="112" t="s">
        <v>77</v>
      </c>
      <c r="H204" s="112" t="s">
        <v>77</v>
      </c>
      <c r="I204" s="112" t="s">
        <v>77</v>
      </c>
      <c r="J204" s="112" t="s">
        <v>77</v>
      </c>
      <c r="K204" s="112" t="s">
        <v>77</v>
      </c>
      <c r="L204" s="112" t="s">
        <v>85</v>
      </c>
      <c r="M204" s="112" t="s">
        <v>251</v>
      </c>
      <c r="N204" s="114" t="s">
        <v>246</v>
      </c>
      <c r="O204" s="118" t="s">
        <v>111</v>
      </c>
      <c r="P204" s="114" t="s">
        <v>81</v>
      </c>
      <c r="Q204" s="114" t="s">
        <v>112</v>
      </c>
      <c r="R204" s="115" t="str">
        <f t="shared" si="24"/>
        <v>51</v>
      </c>
      <c r="S204" s="130">
        <v>510602</v>
      </c>
      <c r="T204" s="122" t="str">
        <f>VLOOKUP(S204,ITEM!$C$1:$D$156,2,FALSE)</f>
        <v>Fondo de Reserva</v>
      </c>
      <c r="U204" s="114">
        <v>1700</v>
      </c>
      <c r="V204" s="114" t="s">
        <v>82</v>
      </c>
      <c r="W204" s="114" t="s">
        <v>84</v>
      </c>
      <c r="X204" s="114" t="s">
        <v>84</v>
      </c>
      <c r="Y204" s="224" t="e">
        <f>'Matriz POA 2024-TRABAJO'!#REF!</f>
        <v>#REF!</v>
      </c>
      <c r="Z204" s="224" t="e">
        <f>'Matriz POA 2024-TRABAJO'!#REF!</f>
        <v>#REF!</v>
      </c>
      <c r="AA204" s="224" t="e">
        <f>'Matriz POA 2024-TRABAJO'!#REF!</f>
        <v>#REF!</v>
      </c>
      <c r="AB204" s="279">
        <v>0</v>
      </c>
      <c r="AC204" s="279">
        <v>2418.1</v>
      </c>
      <c r="AD204" s="279">
        <v>811.3</v>
      </c>
      <c r="AE204" s="279">
        <v>811.3</v>
      </c>
      <c r="AF204" s="279">
        <v>811.3</v>
      </c>
      <c r="AG204" s="279">
        <v>811.3</v>
      </c>
      <c r="AH204" s="279">
        <v>811.3</v>
      </c>
      <c r="AI204" s="279">
        <v>811.3</v>
      </c>
      <c r="AJ204" s="279">
        <v>811.3</v>
      </c>
      <c r="AK204" s="279">
        <v>811.3</v>
      </c>
      <c r="AL204" s="279">
        <v>811.26</v>
      </c>
      <c r="AM204" s="279">
        <v>811.25</v>
      </c>
      <c r="AN204" s="224" t="e">
        <f>SUM(#REF!)</f>
        <v>#REF!</v>
      </c>
      <c r="AO204" s="224">
        <f t="shared" si="25"/>
        <v>10531.01</v>
      </c>
      <c r="AP204" s="224" t="e">
        <f t="shared" si="31"/>
        <v>#REF!</v>
      </c>
      <c r="AQ204" s="224"/>
      <c r="AR204" s="224"/>
      <c r="AS204" s="224"/>
      <c r="AT204" s="224" t="str">
        <f>IFERROR(VLOOKUP($A204,'Constancias POA'!$A$2:$DH$9993,17,FALSE),"")</f>
        <v/>
      </c>
      <c r="AU204" s="224" t="str">
        <f t="shared" si="26"/>
        <v/>
      </c>
      <c r="AV204" s="224" t="str">
        <f>IFERROR(VLOOKUP($A204,CP!$A$1:$U$7992,18,FALSE),"")</f>
        <v/>
      </c>
      <c r="AW204" s="224" t="str">
        <f>IFERROR(VLOOKUP($A204,CP!$A$1:$U$7992,19,FALSE),"")</f>
        <v/>
      </c>
      <c r="AX204" s="224" t="str">
        <f>IFERROR(VLOOKUP($A204,CP!$A$1:$U$7992,20,FALSE),"")</f>
        <v/>
      </c>
      <c r="AY204" s="224" t="str">
        <f>IFERROR(VLOOKUP($A204,CP!$A$1:$U$1,21,FALSE),"")</f>
        <v/>
      </c>
      <c r="AZ204" s="224" t="str">
        <f>IFERROR(VLOOKUP(A204,Devengado!$A$1:AJ1,35,FALSE),"")</f>
        <v/>
      </c>
      <c r="BA204" s="224" t="str">
        <f t="shared" si="27"/>
        <v/>
      </c>
      <c r="BB204" s="224" t="str">
        <f>IFERROR(AZ204/#REF!,"")</f>
        <v/>
      </c>
      <c r="BC204" s="224" t="str">
        <f>IFERROR(VLOOKUP($A204,Devengado!$A$1:$AI$1,22,FALSE),"")</f>
        <v/>
      </c>
      <c r="BD204" s="224" t="str">
        <f>IFERROR(VLOOKUP($A204,Devengado!$A$1:$AI$1,23,FALSE),"")</f>
        <v/>
      </c>
      <c r="BE204" s="224" t="str">
        <f>IFERROR(VLOOKUP($A204,Devengado!$A$1:$AI$1,24,FALSE),"")</f>
        <v/>
      </c>
      <c r="BF204" s="224" t="str">
        <f>IFERROR(VLOOKUP($A204,Devengado!$A$1:$AI$1,25,FALSE),"")</f>
        <v/>
      </c>
      <c r="BG204" s="224" t="str">
        <f>IFERROR(VLOOKUP($A204,Devengado!$A$1:$AI$1,26,FALSE),"")</f>
        <v/>
      </c>
      <c r="BH204" s="224" t="str">
        <f>IFERROR(VLOOKUP($A204,Devengado!$A$1:$AI$1,27,FALSE),"")</f>
        <v/>
      </c>
      <c r="BI204" s="224" t="str">
        <f>IFERROR(VLOOKUP($A204,Devengado!$A$1:$AI$1,28,FALSE),"")</f>
        <v/>
      </c>
      <c r="BJ204" s="224" t="str">
        <f>IFERROR(VLOOKUP($A204,Devengado!$A$1:$AI$1,29,FALSE),"")</f>
        <v/>
      </c>
      <c r="BK204" s="224" t="str">
        <f>IFERROR(VLOOKUP($A204,Devengado!$A$1:$AI$1,30,FALSE),"")</f>
        <v/>
      </c>
      <c r="BL204" s="224" t="str">
        <f>IFERROR(VLOOKUP($A204,Devengado!$A$1:$AI$1,31,FALSE),"")</f>
        <v/>
      </c>
      <c r="BM204" s="224" t="str">
        <f>IFERROR(VLOOKUP($A204,Devengado!$A$1:$AI$1,32,FALSE),"")</f>
        <v/>
      </c>
      <c r="BN204" s="224" t="str">
        <f>IFERROR(VLOOKUP($A204,Devengado!$A$1:$AI$1,33,FALSE),"")</f>
        <v/>
      </c>
      <c r="BO204" s="224">
        <f t="shared" si="28"/>
        <v>0</v>
      </c>
      <c r="BP204" s="224" t="str">
        <f t="shared" si="29"/>
        <v/>
      </c>
      <c r="BQ204" s="207"/>
      <c r="BR204" s="207" t="str">
        <f t="shared" si="30"/>
        <v>51</v>
      </c>
    </row>
    <row r="205" spans="1:70" s="225" customFormat="1" ht="25.5" customHeight="1">
      <c r="A205" s="207">
        <v>201</v>
      </c>
      <c r="B205" s="112" t="s">
        <v>244</v>
      </c>
      <c r="C205" s="112" t="s">
        <v>77</v>
      </c>
      <c r="D205" s="112" t="s">
        <v>77</v>
      </c>
      <c r="E205" s="112" t="s">
        <v>76</v>
      </c>
      <c r="F205" s="112" t="s">
        <v>77</v>
      </c>
      <c r="G205" s="112" t="s">
        <v>77</v>
      </c>
      <c r="H205" s="112" t="s">
        <v>77</v>
      </c>
      <c r="I205" s="112" t="s">
        <v>77</v>
      </c>
      <c r="J205" s="112" t="s">
        <v>77</v>
      </c>
      <c r="K205" s="112" t="s">
        <v>77</v>
      </c>
      <c r="L205" s="112" t="s">
        <v>85</v>
      </c>
      <c r="M205" s="112" t="s">
        <v>252</v>
      </c>
      <c r="N205" s="114" t="s">
        <v>246</v>
      </c>
      <c r="O205" s="118" t="s">
        <v>111</v>
      </c>
      <c r="P205" s="114" t="s">
        <v>81</v>
      </c>
      <c r="Q205" s="114" t="s">
        <v>112</v>
      </c>
      <c r="R205" s="115" t="str">
        <f t="shared" si="24"/>
        <v>51</v>
      </c>
      <c r="S205" s="130">
        <v>510512</v>
      </c>
      <c r="T205" s="122" t="str">
        <f>VLOOKUP(S205,ITEM!$C$1:$D$156,2,FALSE)</f>
        <v>Subrogación</v>
      </c>
      <c r="U205" s="114">
        <v>1700</v>
      </c>
      <c r="V205" s="114" t="s">
        <v>82</v>
      </c>
      <c r="W205" s="114" t="s">
        <v>84</v>
      </c>
      <c r="X205" s="114" t="s">
        <v>84</v>
      </c>
      <c r="Y205" s="224" t="e">
        <f>'Matriz POA 2024-TRABAJO'!#REF!</f>
        <v>#REF!</v>
      </c>
      <c r="Z205" s="224" t="e">
        <f>'Matriz POA 2024-TRABAJO'!#REF!</f>
        <v>#REF!</v>
      </c>
      <c r="AA205" s="224" t="e">
        <f>'Matriz POA 2024-TRABAJO'!#REF!</f>
        <v>#REF!</v>
      </c>
      <c r="AB205" s="279">
        <v>0</v>
      </c>
      <c r="AC205" s="279">
        <v>0</v>
      </c>
      <c r="AD205" s="279">
        <v>0</v>
      </c>
      <c r="AE205" s="279">
        <v>0</v>
      </c>
      <c r="AF205" s="279">
        <v>0</v>
      </c>
      <c r="AG205" s="279">
        <v>0</v>
      </c>
      <c r="AH205" s="279">
        <v>0</v>
      </c>
      <c r="AI205" s="279">
        <v>0</v>
      </c>
      <c r="AJ205" s="279">
        <v>0</v>
      </c>
      <c r="AK205" s="279">
        <v>0</v>
      </c>
      <c r="AL205" s="279">
        <v>0</v>
      </c>
      <c r="AM205" s="279">
        <v>0</v>
      </c>
      <c r="AN205" s="224" t="e">
        <f>SUM(#REF!)</f>
        <v>#REF!</v>
      </c>
      <c r="AO205" s="224">
        <f t="shared" si="25"/>
        <v>0</v>
      </c>
      <c r="AP205" s="224" t="e">
        <f t="shared" si="31"/>
        <v>#REF!</v>
      </c>
      <c r="AQ205" s="224"/>
      <c r="AR205" s="224"/>
      <c r="AS205" s="224"/>
      <c r="AT205" s="224" t="str">
        <f>IFERROR(VLOOKUP($A205,'Constancias POA'!$A$2:$DH$9993,17,FALSE),"")</f>
        <v/>
      </c>
      <c r="AU205" s="224" t="str">
        <f t="shared" si="26"/>
        <v/>
      </c>
      <c r="AV205" s="224" t="str">
        <f>IFERROR(VLOOKUP($A205,CP!$A$1:$U$7992,18,FALSE),"")</f>
        <v/>
      </c>
      <c r="AW205" s="224" t="str">
        <f>IFERROR(VLOOKUP($A205,CP!$A$1:$U$7992,19,FALSE),"")</f>
        <v/>
      </c>
      <c r="AX205" s="224" t="str">
        <f>IFERROR(VLOOKUP($A205,CP!$A$1:$U$7992,20,FALSE),"")</f>
        <v/>
      </c>
      <c r="AY205" s="224" t="str">
        <f>IFERROR(VLOOKUP($A205,CP!$A$1:$U$1,21,FALSE),"")</f>
        <v/>
      </c>
      <c r="AZ205" s="224" t="str">
        <f>IFERROR(VLOOKUP(A205,Devengado!$A$1:AJ1,35,FALSE),"")</f>
        <v/>
      </c>
      <c r="BA205" s="224" t="str">
        <f t="shared" si="27"/>
        <v/>
      </c>
      <c r="BB205" s="224" t="str">
        <f>IFERROR(AZ205/#REF!,"")</f>
        <v/>
      </c>
      <c r="BC205" s="224" t="str">
        <f>IFERROR(VLOOKUP($A205,Devengado!$A$1:$AI$1,22,FALSE),"")</f>
        <v/>
      </c>
      <c r="BD205" s="224" t="str">
        <f>IFERROR(VLOOKUP($A205,Devengado!$A$1:$AI$1,23,FALSE),"")</f>
        <v/>
      </c>
      <c r="BE205" s="224" t="str">
        <f>IFERROR(VLOOKUP($A205,Devengado!$A$1:$AI$1,24,FALSE),"")</f>
        <v/>
      </c>
      <c r="BF205" s="224" t="str">
        <f>IFERROR(VLOOKUP($A205,Devengado!$A$1:$AI$1,25,FALSE),"")</f>
        <v/>
      </c>
      <c r="BG205" s="224" t="str">
        <f>IFERROR(VLOOKUP($A205,Devengado!$A$1:$AI$1,26,FALSE),"")</f>
        <v/>
      </c>
      <c r="BH205" s="224" t="str">
        <f>IFERROR(VLOOKUP($A205,Devengado!$A$1:$AI$1,27,FALSE),"")</f>
        <v/>
      </c>
      <c r="BI205" s="224" t="str">
        <f>IFERROR(VLOOKUP($A205,Devengado!$A$1:$AI$1,28,FALSE),"")</f>
        <v/>
      </c>
      <c r="BJ205" s="224" t="str">
        <f>IFERROR(VLOOKUP($A205,Devengado!$A$1:$AI$1,29,FALSE),"")</f>
        <v/>
      </c>
      <c r="BK205" s="224" t="str">
        <f>IFERROR(VLOOKUP($A205,Devengado!$A$1:$AI$1,30,FALSE),"")</f>
        <v/>
      </c>
      <c r="BL205" s="224" t="str">
        <f>IFERROR(VLOOKUP($A205,Devengado!$A$1:$AI$1,31,FALSE),"")</f>
        <v/>
      </c>
      <c r="BM205" s="224" t="str">
        <f>IFERROR(VLOOKUP($A205,Devengado!$A$1:$AI$1,32,FALSE),"")</f>
        <v/>
      </c>
      <c r="BN205" s="224" t="str">
        <f>IFERROR(VLOOKUP($A205,Devengado!$A$1:$AI$1,33,FALSE),"")</f>
        <v/>
      </c>
      <c r="BO205" s="224">
        <f t="shared" si="28"/>
        <v>0</v>
      </c>
      <c r="BP205" s="224" t="str">
        <f t="shared" si="29"/>
        <v/>
      </c>
      <c r="BQ205" s="207"/>
      <c r="BR205" s="207" t="str">
        <f t="shared" si="30"/>
        <v>51</v>
      </c>
    </row>
    <row r="206" spans="1:70" s="225" customFormat="1" ht="25.5" customHeight="1">
      <c r="A206" s="207">
        <v>202</v>
      </c>
      <c r="B206" s="112" t="s">
        <v>244</v>
      </c>
      <c r="C206" s="112" t="s">
        <v>77</v>
      </c>
      <c r="D206" s="112" t="s">
        <v>77</v>
      </c>
      <c r="E206" s="112" t="s">
        <v>76</v>
      </c>
      <c r="F206" s="112" t="s">
        <v>77</v>
      </c>
      <c r="G206" s="112" t="s">
        <v>77</v>
      </c>
      <c r="H206" s="112" t="s">
        <v>77</v>
      </c>
      <c r="I206" s="112" t="s">
        <v>77</v>
      </c>
      <c r="J206" s="112" t="s">
        <v>77</v>
      </c>
      <c r="K206" s="112" t="s">
        <v>77</v>
      </c>
      <c r="L206" s="112" t="s">
        <v>85</v>
      </c>
      <c r="M206" s="112" t="s">
        <v>253</v>
      </c>
      <c r="N206" s="114" t="s">
        <v>246</v>
      </c>
      <c r="O206" s="118" t="s">
        <v>111</v>
      </c>
      <c r="P206" s="114" t="s">
        <v>81</v>
      </c>
      <c r="Q206" s="114" t="s">
        <v>112</v>
      </c>
      <c r="R206" s="115" t="str">
        <f t="shared" si="24"/>
        <v>53</v>
      </c>
      <c r="S206" s="130">
        <v>530104</v>
      </c>
      <c r="T206" s="122" t="str">
        <f>VLOOKUP(S206,ITEM!$C$1:$D$156,2,FALSE)</f>
        <v>Energía Eléctrica</v>
      </c>
      <c r="U206" s="114" t="s">
        <v>83</v>
      </c>
      <c r="V206" s="114" t="s">
        <v>82</v>
      </c>
      <c r="W206" s="114" t="s">
        <v>84</v>
      </c>
      <c r="X206" s="114" t="s">
        <v>84</v>
      </c>
      <c r="Y206" s="224" t="e">
        <f>'Matriz POA 2024-TRABAJO'!#REF!</f>
        <v>#REF!</v>
      </c>
      <c r="Z206" s="224" t="e">
        <f>'Matriz POA 2024-TRABAJO'!#REF!</f>
        <v>#REF!</v>
      </c>
      <c r="AA206" s="224" t="e">
        <f>'Matriz POA 2024-TRABAJO'!#REF!</f>
        <v>#REF!</v>
      </c>
      <c r="AB206" s="279">
        <v>600</v>
      </c>
      <c r="AC206" s="279">
        <v>600</v>
      </c>
      <c r="AD206" s="279">
        <v>3600</v>
      </c>
      <c r="AE206" s="279">
        <v>600</v>
      </c>
      <c r="AF206" s="279">
        <v>2600</v>
      </c>
      <c r="AG206" s="279">
        <v>600</v>
      </c>
      <c r="AH206" s="279">
        <v>600</v>
      </c>
      <c r="AI206" s="279">
        <v>600</v>
      </c>
      <c r="AJ206" s="279">
        <v>600</v>
      </c>
      <c r="AK206" s="279">
        <v>600</v>
      </c>
      <c r="AL206" s="279">
        <v>600</v>
      </c>
      <c r="AM206" s="279">
        <v>350</v>
      </c>
      <c r="AN206" s="224" t="e">
        <f>SUM(#REF!)</f>
        <v>#REF!</v>
      </c>
      <c r="AO206" s="224">
        <f t="shared" si="25"/>
        <v>11950</v>
      </c>
      <c r="AP206" s="224" t="e">
        <f t="shared" si="31"/>
        <v>#REF!</v>
      </c>
      <c r="AQ206" s="224"/>
      <c r="AR206" s="224"/>
      <c r="AS206" s="224"/>
      <c r="AT206" s="224" t="str">
        <f>IFERROR(VLOOKUP($A206,'Constancias POA'!$A$2:$DH$9993,17,FALSE),"")</f>
        <v/>
      </c>
      <c r="AU206" s="224" t="str">
        <f t="shared" si="26"/>
        <v/>
      </c>
      <c r="AV206" s="224" t="str">
        <f>IFERROR(VLOOKUP($A206,CP!$A$1:$U$7992,18,FALSE),"")</f>
        <v/>
      </c>
      <c r="AW206" s="224" t="str">
        <f>IFERROR(VLOOKUP($A206,CP!$A$1:$U$7992,19,FALSE),"")</f>
        <v/>
      </c>
      <c r="AX206" s="224" t="str">
        <f>IFERROR(VLOOKUP($A206,CP!$A$1:$U$7992,20,FALSE),"")</f>
        <v/>
      </c>
      <c r="AY206" s="224" t="str">
        <f>IFERROR(VLOOKUP($A206,CP!$A$1:$U$1,21,FALSE),"")</f>
        <v/>
      </c>
      <c r="AZ206" s="224" t="str">
        <f>IFERROR(VLOOKUP(A206,Devengado!$A$1:AJ1,35,FALSE),"")</f>
        <v/>
      </c>
      <c r="BA206" s="224" t="str">
        <f t="shared" si="27"/>
        <v/>
      </c>
      <c r="BB206" s="224" t="str">
        <f>IFERROR(AZ206/#REF!,"")</f>
        <v/>
      </c>
      <c r="BC206" s="224" t="str">
        <f>IFERROR(VLOOKUP($A206,Devengado!$A$1:$AI$1,22,FALSE),"")</f>
        <v/>
      </c>
      <c r="BD206" s="224" t="str">
        <f>IFERROR(VLOOKUP($A206,Devengado!$A$1:$AI$1,23,FALSE),"")</f>
        <v/>
      </c>
      <c r="BE206" s="224" t="str">
        <f>IFERROR(VLOOKUP($A206,Devengado!$A$1:$AI$1,24,FALSE),"")</f>
        <v/>
      </c>
      <c r="BF206" s="224" t="str">
        <f>IFERROR(VLOOKUP($A206,Devengado!$A$1:$AI$1,25,FALSE),"")</f>
        <v/>
      </c>
      <c r="BG206" s="224" t="str">
        <f>IFERROR(VLOOKUP($A206,Devengado!$A$1:$AI$1,26,FALSE),"")</f>
        <v/>
      </c>
      <c r="BH206" s="224" t="str">
        <f>IFERROR(VLOOKUP($A206,Devengado!$A$1:$AI$1,27,FALSE),"")</f>
        <v/>
      </c>
      <c r="BI206" s="224" t="str">
        <f>IFERROR(VLOOKUP($A206,Devengado!$A$1:$AI$1,28,FALSE),"")</f>
        <v/>
      </c>
      <c r="BJ206" s="224" t="str">
        <f>IFERROR(VLOOKUP($A206,Devengado!$A$1:$AI$1,29,FALSE),"")</f>
        <v/>
      </c>
      <c r="BK206" s="224" t="str">
        <f>IFERROR(VLOOKUP($A206,Devengado!$A$1:$AI$1,30,FALSE),"")</f>
        <v/>
      </c>
      <c r="BL206" s="224" t="str">
        <f>IFERROR(VLOOKUP($A206,Devengado!$A$1:$AI$1,31,FALSE),"")</f>
        <v/>
      </c>
      <c r="BM206" s="224" t="str">
        <f>IFERROR(VLOOKUP($A206,Devengado!$A$1:$AI$1,32,FALSE),"")</f>
        <v/>
      </c>
      <c r="BN206" s="224" t="str">
        <f>IFERROR(VLOOKUP($A206,Devengado!$A$1:$AI$1,33,FALSE),"")</f>
        <v/>
      </c>
      <c r="BO206" s="224">
        <f t="shared" si="28"/>
        <v>0</v>
      </c>
      <c r="BP206" s="224" t="str">
        <f t="shared" si="29"/>
        <v/>
      </c>
      <c r="BQ206" s="207"/>
      <c r="BR206" s="207" t="str">
        <f t="shared" si="30"/>
        <v>53</v>
      </c>
    </row>
    <row r="207" spans="1:70" s="225" customFormat="1" ht="25.5" customHeight="1">
      <c r="A207" s="207">
        <v>203</v>
      </c>
      <c r="B207" s="112" t="s">
        <v>244</v>
      </c>
      <c r="C207" s="112" t="s">
        <v>77</v>
      </c>
      <c r="D207" s="112"/>
      <c r="E207" s="112" t="s">
        <v>76</v>
      </c>
      <c r="F207" s="112" t="s">
        <v>77</v>
      </c>
      <c r="G207" s="112" t="s">
        <v>77</v>
      </c>
      <c r="H207" s="112" t="s">
        <v>77</v>
      </c>
      <c r="I207" s="112" t="s">
        <v>77</v>
      </c>
      <c r="J207" s="112" t="s">
        <v>77</v>
      </c>
      <c r="K207" s="112" t="s">
        <v>77</v>
      </c>
      <c r="L207" s="112" t="s">
        <v>85</v>
      </c>
      <c r="M207" s="112" t="s">
        <v>254</v>
      </c>
      <c r="N207" s="114" t="s">
        <v>246</v>
      </c>
      <c r="O207" s="118" t="s">
        <v>111</v>
      </c>
      <c r="P207" s="114" t="s">
        <v>81</v>
      </c>
      <c r="Q207" s="114" t="s">
        <v>112</v>
      </c>
      <c r="R207" s="115" t="str">
        <f t="shared" si="24"/>
        <v>53</v>
      </c>
      <c r="S207" s="130">
        <v>530208</v>
      </c>
      <c r="T207" s="122" t="str">
        <f>VLOOKUP(S207,ITEM!$C$1:$D$156,2,FALSE)</f>
        <v>Servicio de Seguridad y Vigilancia</v>
      </c>
      <c r="U207" s="114" t="s">
        <v>83</v>
      </c>
      <c r="V207" s="114" t="s">
        <v>82</v>
      </c>
      <c r="W207" s="114" t="s">
        <v>84</v>
      </c>
      <c r="X207" s="114" t="s">
        <v>84</v>
      </c>
      <c r="Y207" s="224" t="e">
        <f>'Matriz POA 2024-TRABAJO'!#REF!</f>
        <v>#REF!</v>
      </c>
      <c r="Z207" s="224" t="e">
        <f>'Matriz POA 2024-TRABAJO'!#REF!</f>
        <v>#REF!</v>
      </c>
      <c r="AA207" s="224" t="e">
        <f>'Matriz POA 2024-TRABAJO'!#REF!</f>
        <v>#REF!</v>
      </c>
      <c r="AB207" s="279">
        <v>0</v>
      </c>
      <c r="AC207" s="279">
        <v>0</v>
      </c>
      <c r="AD207" s="279">
        <v>0</v>
      </c>
      <c r="AE207" s="279">
        <v>0</v>
      </c>
      <c r="AF207" s="279">
        <v>0</v>
      </c>
      <c r="AG207" s="279">
        <v>0</v>
      </c>
      <c r="AH207" s="279">
        <v>0</v>
      </c>
      <c r="AI207" s="279">
        <v>0</v>
      </c>
      <c r="AJ207" s="279">
        <v>34866.99</v>
      </c>
      <c r="AK207" s="279">
        <v>0</v>
      </c>
      <c r="AL207" s="279">
        <v>0</v>
      </c>
      <c r="AM207" s="279">
        <v>0</v>
      </c>
      <c r="AN207" s="224" t="e">
        <f>SUM(#REF!)</f>
        <v>#REF!</v>
      </c>
      <c r="AO207" s="224">
        <f t="shared" si="25"/>
        <v>34866.99</v>
      </c>
      <c r="AP207" s="224" t="e">
        <f t="shared" si="31"/>
        <v>#REF!</v>
      </c>
      <c r="AQ207" s="224"/>
      <c r="AR207" s="224"/>
      <c r="AS207" s="224"/>
      <c r="AT207" s="224" t="str">
        <f>IFERROR(VLOOKUP($A207,'Constancias POA'!$A$2:$DH$9993,17,FALSE),"")</f>
        <v/>
      </c>
      <c r="AU207" s="224" t="str">
        <f t="shared" si="26"/>
        <v/>
      </c>
      <c r="AV207" s="224" t="str">
        <f>IFERROR(VLOOKUP($A207,CP!$A$1:$U$7992,18,FALSE),"")</f>
        <v/>
      </c>
      <c r="AW207" s="224" t="str">
        <f>IFERROR(VLOOKUP($A207,CP!$A$1:$U$7992,19,FALSE),"")</f>
        <v/>
      </c>
      <c r="AX207" s="224" t="str">
        <f>IFERROR(VLOOKUP($A207,CP!$A$1:$U$7992,20,FALSE),"")</f>
        <v/>
      </c>
      <c r="AY207" s="224" t="str">
        <f>IFERROR(VLOOKUP($A207,CP!$A$1:$U$1,21,FALSE),"")</f>
        <v/>
      </c>
      <c r="AZ207" s="224" t="str">
        <f>IFERROR(VLOOKUP(A207,Devengado!$A$1:AJ1,35,FALSE),"")</f>
        <v/>
      </c>
      <c r="BA207" s="224" t="str">
        <f t="shared" si="27"/>
        <v/>
      </c>
      <c r="BB207" s="224" t="str">
        <f>IFERROR(AZ207/#REF!,"")</f>
        <v/>
      </c>
      <c r="BC207" s="224" t="str">
        <f>IFERROR(VLOOKUP($A207,Devengado!$A$1:$AI$1,22,FALSE),"")</f>
        <v/>
      </c>
      <c r="BD207" s="224" t="str">
        <f>IFERROR(VLOOKUP($A207,Devengado!$A$1:$AI$1,23,FALSE),"")</f>
        <v/>
      </c>
      <c r="BE207" s="224" t="str">
        <f>IFERROR(VLOOKUP($A207,Devengado!$A$1:$AI$1,24,FALSE),"")</f>
        <v/>
      </c>
      <c r="BF207" s="224" t="str">
        <f>IFERROR(VLOOKUP($A207,Devengado!$A$1:$AI$1,25,FALSE),"")</f>
        <v/>
      </c>
      <c r="BG207" s="224" t="str">
        <f>IFERROR(VLOOKUP($A207,Devengado!$A$1:$AI$1,26,FALSE),"")</f>
        <v/>
      </c>
      <c r="BH207" s="224" t="str">
        <f>IFERROR(VLOOKUP($A207,Devengado!$A$1:$AI$1,27,FALSE),"")</f>
        <v/>
      </c>
      <c r="BI207" s="224" t="str">
        <f>IFERROR(VLOOKUP($A207,Devengado!$A$1:$AI$1,28,FALSE),"")</f>
        <v/>
      </c>
      <c r="BJ207" s="224" t="str">
        <f>IFERROR(VLOOKUP($A207,Devengado!$A$1:$AI$1,29,FALSE),"")</f>
        <v/>
      </c>
      <c r="BK207" s="224" t="str">
        <f>IFERROR(VLOOKUP($A207,Devengado!$A$1:$AI$1,30,FALSE),"")</f>
        <v/>
      </c>
      <c r="BL207" s="224" t="str">
        <f>IFERROR(VLOOKUP($A207,Devengado!$A$1:$AI$1,31,FALSE),"")</f>
        <v/>
      </c>
      <c r="BM207" s="224" t="str">
        <f>IFERROR(VLOOKUP($A207,Devengado!$A$1:$AI$1,32,FALSE),"")</f>
        <v/>
      </c>
      <c r="BN207" s="224" t="str">
        <f>IFERROR(VLOOKUP($A207,Devengado!$A$1:$AI$1,33,FALSE),"")</f>
        <v/>
      </c>
      <c r="BO207" s="224">
        <f t="shared" si="28"/>
        <v>0</v>
      </c>
      <c r="BP207" s="224" t="str">
        <f t="shared" si="29"/>
        <v/>
      </c>
      <c r="BQ207" s="207"/>
      <c r="BR207" s="207" t="str">
        <f t="shared" si="30"/>
        <v>53</v>
      </c>
    </row>
    <row r="208" spans="1:70" s="225" customFormat="1" ht="25.5" customHeight="1">
      <c r="A208" s="207">
        <v>204</v>
      </c>
      <c r="B208" s="112" t="s">
        <v>244</v>
      </c>
      <c r="C208" s="112" t="s">
        <v>77</v>
      </c>
      <c r="D208" s="112" t="s">
        <v>77</v>
      </c>
      <c r="E208" s="112" t="s">
        <v>76</v>
      </c>
      <c r="F208" s="112" t="s">
        <v>77</v>
      </c>
      <c r="G208" s="112" t="s">
        <v>77</v>
      </c>
      <c r="H208" s="112" t="s">
        <v>77</v>
      </c>
      <c r="I208" s="112" t="s">
        <v>77</v>
      </c>
      <c r="J208" s="112" t="s">
        <v>77</v>
      </c>
      <c r="K208" s="112" t="s">
        <v>77</v>
      </c>
      <c r="L208" s="112" t="s">
        <v>78</v>
      </c>
      <c r="M208" s="112" t="s">
        <v>254</v>
      </c>
      <c r="N208" s="114" t="s">
        <v>246</v>
      </c>
      <c r="O208" s="118" t="s">
        <v>111</v>
      </c>
      <c r="P208" s="114" t="s">
        <v>81</v>
      </c>
      <c r="Q208" s="114" t="s">
        <v>112</v>
      </c>
      <c r="R208" s="115" t="str">
        <f t="shared" si="24"/>
        <v>53</v>
      </c>
      <c r="S208" s="130">
        <v>530208</v>
      </c>
      <c r="T208" s="122" t="str">
        <f>VLOOKUP(S208,ITEM!$C$1:$D$156,2,FALSE)</f>
        <v>Servicio de Seguridad y Vigilancia</v>
      </c>
      <c r="U208" s="114" t="s">
        <v>83</v>
      </c>
      <c r="V208" s="114" t="s">
        <v>82</v>
      </c>
      <c r="W208" s="114" t="s">
        <v>84</v>
      </c>
      <c r="X208" s="114" t="s">
        <v>84</v>
      </c>
      <c r="Y208" s="224" t="e">
        <f>'Matriz POA 2024-TRABAJO'!#REF!</f>
        <v>#REF!</v>
      </c>
      <c r="Z208" s="224" t="e">
        <f>'Matriz POA 2024-TRABAJO'!#REF!</f>
        <v>#REF!</v>
      </c>
      <c r="AA208" s="224" t="e">
        <f>'Matriz POA 2024-TRABAJO'!#REF!</f>
        <v>#REF!</v>
      </c>
      <c r="AB208" s="279">
        <v>14272.53</v>
      </c>
      <c r="AC208" s="279">
        <v>14272.53</v>
      </c>
      <c r="AD208" s="279">
        <v>14272.53</v>
      </c>
      <c r="AE208" s="279">
        <v>14272.53</v>
      </c>
      <c r="AF208" s="279">
        <v>14272.53</v>
      </c>
      <c r="AG208" s="279">
        <v>14272.53</v>
      </c>
      <c r="AH208" s="279">
        <v>14272.53</v>
      </c>
      <c r="AI208" s="279">
        <v>14272.53</v>
      </c>
      <c r="AJ208" s="279">
        <v>14272.53</v>
      </c>
      <c r="AK208" s="279">
        <v>14272.44</v>
      </c>
      <c r="AL208" s="279">
        <v>948.76</v>
      </c>
      <c r="AM208" s="279">
        <v>0</v>
      </c>
      <c r="AN208" s="224" t="e">
        <f>SUM(#REF!)</f>
        <v>#REF!</v>
      </c>
      <c r="AO208" s="224">
        <f t="shared" si="25"/>
        <v>143673.97</v>
      </c>
      <c r="AP208" s="224" t="e">
        <f t="shared" si="31"/>
        <v>#REF!</v>
      </c>
      <c r="AQ208" s="224"/>
      <c r="AR208" s="224"/>
      <c r="AS208" s="224"/>
      <c r="AT208" s="224" t="str">
        <f>IFERROR(VLOOKUP($A208,'Constancias POA'!$A$2:$DH$9993,17,FALSE),"")</f>
        <v/>
      </c>
      <c r="AU208" s="224" t="str">
        <f t="shared" si="26"/>
        <v/>
      </c>
      <c r="AV208" s="224" t="str">
        <f>IFERROR(VLOOKUP($A208,CP!$A$1:$U$7992,18,FALSE),"")</f>
        <v/>
      </c>
      <c r="AW208" s="224" t="str">
        <f>IFERROR(VLOOKUP($A208,CP!$A$1:$U$7992,19,FALSE),"")</f>
        <v/>
      </c>
      <c r="AX208" s="224" t="str">
        <f>IFERROR(VLOOKUP($A208,CP!$A$1:$U$7992,20,FALSE),"")</f>
        <v/>
      </c>
      <c r="AY208" s="224" t="str">
        <f>IFERROR(VLOOKUP($A208,CP!$A$1:$U$1,21,FALSE),"")</f>
        <v/>
      </c>
      <c r="AZ208" s="224" t="str">
        <f>IFERROR(VLOOKUP(A208,Devengado!$A$1:AJ1,35,FALSE),"")</f>
        <v/>
      </c>
      <c r="BA208" s="224" t="str">
        <f t="shared" si="27"/>
        <v/>
      </c>
      <c r="BB208" s="224" t="str">
        <f>IFERROR(AZ208/#REF!,"")</f>
        <v/>
      </c>
      <c r="BC208" s="224" t="str">
        <f>IFERROR(VLOOKUP($A208,Devengado!$A$1:$AI$1,22,FALSE),"")</f>
        <v/>
      </c>
      <c r="BD208" s="224" t="str">
        <f>IFERROR(VLOOKUP($A208,Devengado!$A$1:$AI$1,23,FALSE),"")</f>
        <v/>
      </c>
      <c r="BE208" s="224" t="str">
        <f>IFERROR(VLOOKUP($A208,Devengado!$A$1:$AI$1,24,FALSE),"")</f>
        <v/>
      </c>
      <c r="BF208" s="224" t="str">
        <f>IFERROR(VLOOKUP($A208,Devengado!$A$1:$AI$1,25,FALSE),"")</f>
        <v/>
      </c>
      <c r="BG208" s="224" t="str">
        <f>IFERROR(VLOOKUP($A208,Devengado!$A$1:$AI$1,26,FALSE),"")</f>
        <v/>
      </c>
      <c r="BH208" s="224" t="str">
        <f>IFERROR(VLOOKUP($A208,Devengado!$A$1:$AI$1,27,FALSE),"")</f>
        <v/>
      </c>
      <c r="BI208" s="224" t="str">
        <f>IFERROR(VLOOKUP($A208,Devengado!$A$1:$AI$1,28,FALSE),"")</f>
        <v/>
      </c>
      <c r="BJ208" s="224" t="str">
        <f>IFERROR(VLOOKUP($A208,Devengado!$A$1:$AI$1,29,FALSE),"")</f>
        <v/>
      </c>
      <c r="BK208" s="224" t="str">
        <f>IFERROR(VLOOKUP($A208,Devengado!$A$1:$AI$1,30,FALSE),"")</f>
        <v/>
      </c>
      <c r="BL208" s="224" t="str">
        <f>IFERROR(VLOOKUP($A208,Devengado!$A$1:$AI$1,31,FALSE),"")</f>
        <v/>
      </c>
      <c r="BM208" s="224" t="str">
        <f>IFERROR(VLOOKUP($A208,Devengado!$A$1:$AI$1,32,FALSE),"")</f>
        <v/>
      </c>
      <c r="BN208" s="224" t="str">
        <f>IFERROR(VLOOKUP($A208,Devengado!$A$1:$AI$1,33,FALSE),"")</f>
        <v/>
      </c>
      <c r="BO208" s="224">
        <f t="shared" si="28"/>
        <v>0</v>
      </c>
      <c r="BP208" s="224" t="str">
        <f t="shared" si="29"/>
        <v/>
      </c>
      <c r="BQ208" s="207"/>
      <c r="BR208" s="207" t="str">
        <f t="shared" si="30"/>
        <v>53</v>
      </c>
    </row>
    <row r="209" spans="1:70" s="225" customFormat="1" ht="25.5" customHeight="1">
      <c r="A209" s="207">
        <v>205</v>
      </c>
      <c r="B209" s="112" t="s">
        <v>244</v>
      </c>
      <c r="C209" s="112" t="s">
        <v>77</v>
      </c>
      <c r="D209" s="112"/>
      <c r="E209" s="112" t="s">
        <v>76</v>
      </c>
      <c r="F209" s="112" t="s">
        <v>77</v>
      </c>
      <c r="G209" s="112" t="s">
        <v>77</v>
      </c>
      <c r="H209" s="112" t="s">
        <v>77</v>
      </c>
      <c r="I209" s="112" t="s">
        <v>77</v>
      </c>
      <c r="J209" s="112" t="s">
        <v>77</v>
      </c>
      <c r="K209" s="112" t="s">
        <v>77</v>
      </c>
      <c r="L209" s="112" t="s">
        <v>85</v>
      </c>
      <c r="M209" s="112" t="s">
        <v>255</v>
      </c>
      <c r="N209" s="114" t="s">
        <v>246</v>
      </c>
      <c r="O209" s="118" t="s">
        <v>111</v>
      </c>
      <c r="P209" s="114" t="s">
        <v>81</v>
      </c>
      <c r="Q209" s="114" t="s">
        <v>112</v>
      </c>
      <c r="R209" s="115" t="str">
        <f t="shared" si="24"/>
        <v>53</v>
      </c>
      <c r="S209" s="130">
        <v>530209</v>
      </c>
      <c r="T209" s="122" t="str">
        <f>VLOOKUP(S209,ITEM!$C$1:$D$156,2,FALSE)</f>
        <v>Servicios de Aseo, Lavado de Vestimenta de Trabajo, Fumigación, Desinfección,  Limpieza de Instalaciones, manejo
de desechos contaminados, recuperación y clasificación de materiales reciclables.</v>
      </c>
      <c r="U209" s="114" t="s">
        <v>83</v>
      </c>
      <c r="V209" s="114" t="s">
        <v>82</v>
      </c>
      <c r="W209" s="114" t="s">
        <v>84</v>
      </c>
      <c r="X209" s="114" t="s">
        <v>84</v>
      </c>
      <c r="Y209" s="224" t="e">
        <f>'Matriz POA 2024-TRABAJO'!#REF!</f>
        <v>#REF!</v>
      </c>
      <c r="Z209" s="224" t="e">
        <f>'Matriz POA 2024-TRABAJO'!#REF!</f>
        <v>#REF!</v>
      </c>
      <c r="AA209" s="224" t="e">
        <f>'Matriz POA 2024-TRABAJO'!#REF!</f>
        <v>#REF!</v>
      </c>
      <c r="AB209" s="279">
        <v>0</v>
      </c>
      <c r="AC209" s="279">
        <v>0</v>
      </c>
      <c r="AD209" s="279">
        <v>0</v>
      </c>
      <c r="AE209" s="279">
        <v>0</v>
      </c>
      <c r="AF209" s="279">
        <v>0</v>
      </c>
      <c r="AG209" s="279">
        <v>0</v>
      </c>
      <c r="AH209" s="279">
        <v>0</v>
      </c>
      <c r="AI209" s="279">
        <v>0</v>
      </c>
      <c r="AJ209" s="279">
        <v>0</v>
      </c>
      <c r="AK209" s="279">
        <v>0</v>
      </c>
      <c r="AL209" s="279">
        <v>2640.74</v>
      </c>
      <c r="AM209" s="279">
        <v>2640.73</v>
      </c>
      <c r="AN209" s="224" t="e">
        <f>SUM(#REF!)</f>
        <v>#REF!</v>
      </c>
      <c r="AO209" s="224">
        <f t="shared" si="25"/>
        <v>5281.4699999999993</v>
      </c>
      <c r="AP209" s="224" t="e">
        <f t="shared" si="31"/>
        <v>#REF!</v>
      </c>
      <c r="AQ209" s="224"/>
      <c r="AR209" s="224"/>
      <c r="AS209" s="224"/>
      <c r="AT209" s="224" t="str">
        <f>IFERROR(VLOOKUP($A209,'Constancias POA'!$A$2:$DH$9993,17,FALSE),"")</f>
        <v/>
      </c>
      <c r="AU209" s="224" t="str">
        <f t="shared" si="26"/>
        <v/>
      </c>
      <c r="AV209" s="224" t="str">
        <f>IFERROR(VLOOKUP($A209,CP!$A$1:$U$7992,18,FALSE),"")</f>
        <v/>
      </c>
      <c r="AW209" s="224" t="str">
        <f>IFERROR(VLOOKUP($A209,CP!$A$1:$U$7992,19,FALSE),"")</f>
        <v/>
      </c>
      <c r="AX209" s="224" t="str">
        <f>IFERROR(VLOOKUP($A209,CP!$A$1:$U$7992,20,FALSE),"")</f>
        <v/>
      </c>
      <c r="AY209" s="224" t="str">
        <f>IFERROR(VLOOKUP($A209,CP!$A$1:$U$1,21,FALSE),"")</f>
        <v/>
      </c>
      <c r="AZ209" s="224" t="str">
        <f>IFERROR(VLOOKUP(A209,Devengado!$A$1:AJ1,35,FALSE),"")</f>
        <v/>
      </c>
      <c r="BA209" s="224" t="str">
        <f t="shared" si="27"/>
        <v/>
      </c>
      <c r="BB209" s="224" t="str">
        <f>IFERROR(AZ209/#REF!,"")</f>
        <v/>
      </c>
      <c r="BC209" s="224" t="str">
        <f>IFERROR(VLOOKUP($A209,Devengado!$A$1:$AI$1,22,FALSE),"")</f>
        <v/>
      </c>
      <c r="BD209" s="224" t="str">
        <f>IFERROR(VLOOKUP($A209,Devengado!$A$1:$AI$1,23,FALSE),"")</f>
        <v/>
      </c>
      <c r="BE209" s="224" t="str">
        <f>IFERROR(VLOOKUP($A209,Devengado!$A$1:$AI$1,24,FALSE),"")</f>
        <v/>
      </c>
      <c r="BF209" s="224" t="str">
        <f>IFERROR(VLOOKUP($A209,Devengado!$A$1:$AI$1,25,FALSE),"")</f>
        <v/>
      </c>
      <c r="BG209" s="224" t="str">
        <f>IFERROR(VLOOKUP($A209,Devengado!$A$1:$AI$1,26,FALSE),"")</f>
        <v/>
      </c>
      <c r="BH209" s="224" t="str">
        <f>IFERROR(VLOOKUP($A209,Devengado!$A$1:$AI$1,27,FALSE),"")</f>
        <v/>
      </c>
      <c r="BI209" s="224" t="str">
        <f>IFERROR(VLOOKUP($A209,Devengado!$A$1:$AI$1,28,FALSE),"")</f>
        <v/>
      </c>
      <c r="BJ209" s="224" t="str">
        <f>IFERROR(VLOOKUP($A209,Devengado!$A$1:$AI$1,29,FALSE),"")</f>
        <v/>
      </c>
      <c r="BK209" s="224" t="str">
        <f>IFERROR(VLOOKUP($A209,Devengado!$A$1:$AI$1,30,FALSE),"")</f>
        <v/>
      </c>
      <c r="BL209" s="224" t="str">
        <f>IFERROR(VLOOKUP($A209,Devengado!$A$1:$AI$1,31,FALSE),"")</f>
        <v/>
      </c>
      <c r="BM209" s="224" t="str">
        <f>IFERROR(VLOOKUP($A209,Devengado!$A$1:$AI$1,32,FALSE),"")</f>
        <v/>
      </c>
      <c r="BN209" s="224" t="str">
        <f>IFERROR(VLOOKUP($A209,Devengado!$A$1:$AI$1,33,FALSE),"")</f>
        <v/>
      </c>
      <c r="BO209" s="224">
        <f t="shared" si="28"/>
        <v>0</v>
      </c>
      <c r="BP209" s="224" t="str">
        <f t="shared" si="29"/>
        <v/>
      </c>
      <c r="BQ209" s="207"/>
      <c r="BR209" s="207" t="str">
        <f t="shared" si="30"/>
        <v>53</v>
      </c>
    </row>
    <row r="210" spans="1:70" s="225" customFormat="1" ht="25.5" customHeight="1">
      <c r="A210" s="207">
        <v>206</v>
      </c>
      <c r="B210" s="112" t="s">
        <v>244</v>
      </c>
      <c r="C210" s="112" t="s">
        <v>77</v>
      </c>
      <c r="D210" s="112" t="s">
        <v>77</v>
      </c>
      <c r="E210" s="112" t="s">
        <v>76</v>
      </c>
      <c r="F210" s="112" t="s">
        <v>77</v>
      </c>
      <c r="G210" s="112" t="s">
        <v>77</v>
      </c>
      <c r="H210" s="112" t="s">
        <v>77</v>
      </c>
      <c r="I210" s="112" t="s">
        <v>77</v>
      </c>
      <c r="J210" s="112" t="s">
        <v>77</v>
      </c>
      <c r="K210" s="112" t="s">
        <v>77</v>
      </c>
      <c r="L210" s="112" t="s">
        <v>78</v>
      </c>
      <c r="M210" s="112" t="s">
        <v>255</v>
      </c>
      <c r="N210" s="114" t="s">
        <v>246</v>
      </c>
      <c r="O210" s="118" t="s">
        <v>111</v>
      </c>
      <c r="P210" s="114" t="s">
        <v>81</v>
      </c>
      <c r="Q210" s="114" t="s">
        <v>112</v>
      </c>
      <c r="R210" s="115" t="str">
        <f t="shared" si="24"/>
        <v>53</v>
      </c>
      <c r="S210" s="130">
        <v>530209</v>
      </c>
      <c r="T210" s="122" t="str">
        <f>VLOOKUP(S210,ITEM!$C$1:$D$156,2,FALSE)</f>
        <v>Servicios de Aseo, Lavado de Vestimenta de Trabajo, Fumigación, Desinfección,  Limpieza de Instalaciones, manejo
de desechos contaminados, recuperación y clasificación de materiales reciclables.</v>
      </c>
      <c r="U210" s="114" t="s">
        <v>83</v>
      </c>
      <c r="V210" s="114" t="s">
        <v>82</v>
      </c>
      <c r="W210" s="114" t="s">
        <v>84</v>
      </c>
      <c r="X210" s="114" t="s">
        <v>84</v>
      </c>
      <c r="Y210" s="224" t="e">
        <f>'Matriz POA 2024-TRABAJO'!#REF!</f>
        <v>#REF!</v>
      </c>
      <c r="Z210" s="224" t="e">
        <f>'Matriz POA 2024-TRABAJO'!#REF!</f>
        <v>#REF!</v>
      </c>
      <c r="AA210" s="224" t="e">
        <f>'Matriz POA 2024-TRABAJO'!#REF!</f>
        <v>#REF!</v>
      </c>
      <c r="AB210" s="279">
        <v>8636.5499999999993</v>
      </c>
      <c r="AC210" s="279">
        <v>8636.5499999999993</v>
      </c>
      <c r="AD210" s="279">
        <v>8636.5499999999993</v>
      </c>
      <c r="AE210" s="279">
        <v>8636.5499999999993</v>
      </c>
      <c r="AF210" s="279">
        <v>8636.5499999999993</v>
      </c>
      <c r="AG210" s="279">
        <v>8636.5499999999993</v>
      </c>
      <c r="AH210" s="279">
        <v>8636.5499999999993</v>
      </c>
      <c r="AI210" s="279">
        <v>8636.5499999999993</v>
      </c>
      <c r="AJ210" s="279">
        <v>8636.5499999999993</v>
      </c>
      <c r="AK210" s="279">
        <v>8636.5499999999993</v>
      </c>
      <c r="AL210" s="279">
        <v>0</v>
      </c>
      <c r="AM210" s="279">
        <v>0</v>
      </c>
      <c r="AN210" s="224" t="e">
        <f>SUM(#REF!)</f>
        <v>#REF!</v>
      </c>
      <c r="AO210" s="224">
        <f t="shared" si="25"/>
        <v>86365.500000000015</v>
      </c>
      <c r="AP210" s="224" t="e">
        <f t="shared" si="31"/>
        <v>#REF!</v>
      </c>
      <c r="AQ210" s="224"/>
      <c r="AR210" s="224"/>
      <c r="AS210" s="224"/>
      <c r="AT210" s="224" t="str">
        <f>IFERROR(VLOOKUP($A210,'Constancias POA'!$A$2:$DH$9993,17,FALSE),"")</f>
        <v/>
      </c>
      <c r="AU210" s="224" t="str">
        <f t="shared" si="26"/>
        <v/>
      </c>
      <c r="AV210" s="224" t="str">
        <f>IFERROR(VLOOKUP($A210,CP!$A$1:$U$7992,18,FALSE),"")</f>
        <v/>
      </c>
      <c r="AW210" s="224" t="str">
        <f>IFERROR(VLOOKUP($A210,CP!$A$1:$U$7992,19,FALSE),"")</f>
        <v/>
      </c>
      <c r="AX210" s="224" t="str">
        <f>IFERROR(VLOOKUP($A210,CP!$A$1:$U$7992,20,FALSE),"")</f>
        <v/>
      </c>
      <c r="AY210" s="224" t="str">
        <f>IFERROR(VLOOKUP($A210,CP!$A$1:$U$1,21,FALSE),"")</f>
        <v/>
      </c>
      <c r="AZ210" s="224" t="str">
        <f>IFERROR(VLOOKUP(A210,Devengado!$A$1:AJ1,35,FALSE),"")</f>
        <v/>
      </c>
      <c r="BA210" s="224" t="str">
        <f t="shared" si="27"/>
        <v/>
      </c>
      <c r="BB210" s="224" t="str">
        <f>IFERROR(AZ210/#REF!,"")</f>
        <v/>
      </c>
      <c r="BC210" s="224" t="str">
        <f>IFERROR(VLOOKUP($A210,Devengado!$A$1:$AI$1,22,FALSE),"")</f>
        <v/>
      </c>
      <c r="BD210" s="224" t="str">
        <f>IFERROR(VLOOKUP($A210,Devengado!$A$1:$AI$1,23,FALSE),"")</f>
        <v/>
      </c>
      <c r="BE210" s="224" t="str">
        <f>IFERROR(VLOOKUP($A210,Devengado!$A$1:$AI$1,24,FALSE),"")</f>
        <v/>
      </c>
      <c r="BF210" s="224" t="str">
        <f>IFERROR(VLOOKUP($A210,Devengado!$A$1:$AI$1,25,FALSE),"")</f>
        <v/>
      </c>
      <c r="BG210" s="224" t="str">
        <f>IFERROR(VLOOKUP($A210,Devengado!$A$1:$AI$1,26,FALSE),"")</f>
        <v/>
      </c>
      <c r="BH210" s="224" t="str">
        <f>IFERROR(VLOOKUP($A210,Devengado!$A$1:$AI$1,27,FALSE),"")</f>
        <v/>
      </c>
      <c r="BI210" s="224" t="str">
        <f>IFERROR(VLOOKUP($A210,Devengado!$A$1:$AI$1,28,FALSE),"")</f>
        <v/>
      </c>
      <c r="BJ210" s="224" t="str">
        <f>IFERROR(VLOOKUP($A210,Devengado!$A$1:$AI$1,29,FALSE),"")</f>
        <v/>
      </c>
      <c r="BK210" s="224" t="str">
        <f>IFERROR(VLOOKUP($A210,Devengado!$A$1:$AI$1,30,FALSE),"")</f>
        <v/>
      </c>
      <c r="BL210" s="224" t="str">
        <f>IFERROR(VLOOKUP($A210,Devengado!$A$1:$AI$1,31,FALSE),"")</f>
        <v/>
      </c>
      <c r="BM210" s="224" t="str">
        <f>IFERROR(VLOOKUP($A210,Devengado!$A$1:$AI$1,32,FALSE),"")</f>
        <v/>
      </c>
      <c r="BN210" s="224" t="str">
        <f>IFERROR(VLOOKUP($A210,Devengado!$A$1:$AI$1,33,FALSE),"")</f>
        <v/>
      </c>
      <c r="BO210" s="224">
        <f t="shared" si="28"/>
        <v>0</v>
      </c>
      <c r="BP210" s="224" t="str">
        <f t="shared" si="29"/>
        <v/>
      </c>
      <c r="BQ210" s="207"/>
      <c r="BR210" s="207" t="str">
        <f t="shared" si="30"/>
        <v>53</v>
      </c>
    </row>
    <row r="211" spans="1:70" s="225" customFormat="1" ht="25.5" customHeight="1">
      <c r="A211" s="207">
        <v>207</v>
      </c>
      <c r="B211" s="112" t="s">
        <v>244</v>
      </c>
      <c r="C211" s="112" t="s">
        <v>77</v>
      </c>
      <c r="D211" s="112" t="s">
        <v>77</v>
      </c>
      <c r="E211" s="112" t="s">
        <v>76</v>
      </c>
      <c r="F211" s="112" t="s">
        <v>77</v>
      </c>
      <c r="G211" s="112" t="s">
        <v>77</v>
      </c>
      <c r="H211" s="112" t="s">
        <v>77</v>
      </c>
      <c r="I211" s="112" t="s">
        <v>77</v>
      </c>
      <c r="J211" s="112" t="s">
        <v>77</v>
      </c>
      <c r="K211" s="112" t="s">
        <v>77</v>
      </c>
      <c r="L211" s="112" t="s">
        <v>85</v>
      </c>
      <c r="M211" s="112" t="s">
        <v>256</v>
      </c>
      <c r="N211" s="114" t="s">
        <v>246</v>
      </c>
      <c r="O211" s="118" t="s">
        <v>111</v>
      </c>
      <c r="P211" s="114" t="s">
        <v>81</v>
      </c>
      <c r="Q211" s="114" t="s">
        <v>112</v>
      </c>
      <c r="R211" s="115" t="str">
        <f t="shared" si="24"/>
        <v>53</v>
      </c>
      <c r="S211" s="130">
        <v>530404</v>
      </c>
      <c r="T211" s="122" t="str">
        <f>VLOOKUP(S211,ITEM!$C$1:$D$156,2,FALSE)</f>
        <v>Maquinarias y Equipos (Instalación, Mantenimiento y Reparación)</v>
      </c>
      <c r="U211" s="114" t="s">
        <v>83</v>
      </c>
      <c r="V211" s="114" t="s">
        <v>82</v>
      </c>
      <c r="W211" s="114" t="s">
        <v>84</v>
      </c>
      <c r="X211" s="114" t="s">
        <v>84</v>
      </c>
      <c r="Y211" s="224" t="e">
        <f>'Matriz POA 2024-TRABAJO'!#REF!</f>
        <v>#REF!</v>
      </c>
      <c r="Z211" s="224" t="e">
        <f>'Matriz POA 2024-TRABAJO'!#REF!</f>
        <v>#REF!</v>
      </c>
      <c r="AA211" s="224" t="e">
        <f>'Matriz POA 2024-TRABAJO'!#REF!</f>
        <v>#REF!</v>
      </c>
      <c r="AB211" s="279">
        <v>0</v>
      </c>
      <c r="AC211" s="279">
        <v>0</v>
      </c>
      <c r="AD211" s="279">
        <v>1452</v>
      </c>
      <c r="AE211" s="279">
        <v>264</v>
      </c>
      <c r="AF211" s="279">
        <v>264</v>
      </c>
      <c r="AG211" s="279">
        <v>264</v>
      </c>
      <c r="AH211" s="279">
        <v>264</v>
      </c>
      <c r="AI211" s="279">
        <v>264</v>
      </c>
      <c r="AJ211" s="279">
        <v>264</v>
      </c>
      <c r="AK211" s="279">
        <v>264</v>
      </c>
      <c r="AL211" s="279">
        <v>264</v>
      </c>
      <c r="AM211" s="279">
        <v>265</v>
      </c>
      <c r="AN211" s="224" t="e">
        <f>SUM(#REF!)</f>
        <v>#REF!</v>
      </c>
      <c r="AO211" s="224">
        <f t="shared" si="25"/>
        <v>3829</v>
      </c>
      <c r="AP211" s="224" t="e">
        <f t="shared" si="31"/>
        <v>#REF!</v>
      </c>
      <c r="AQ211" s="224"/>
      <c r="AR211" s="224"/>
      <c r="AS211" s="224"/>
      <c r="AT211" s="224" t="str">
        <f>IFERROR(VLOOKUP($A211,'Constancias POA'!$A$2:$DH$9993,17,FALSE),"")</f>
        <v/>
      </c>
      <c r="AU211" s="224" t="str">
        <f t="shared" si="26"/>
        <v/>
      </c>
      <c r="AV211" s="224" t="str">
        <f>IFERROR(VLOOKUP($A211,CP!$A$1:$U$7992,18,FALSE),"")</f>
        <v/>
      </c>
      <c r="AW211" s="224" t="str">
        <f>IFERROR(VLOOKUP($A211,CP!$A$1:$U$7992,19,FALSE),"")</f>
        <v/>
      </c>
      <c r="AX211" s="224" t="str">
        <f>IFERROR(VLOOKUP($A211,CP!$A$1:$U$7992,20,FALSE),"")</f>
        <v/>
      </c>
      <c r="AY211" s="224" t="str">
        <f>IFERROR(VLOOKUP($A211,CP!$A$1:$U$1,21,FALSE),"")</f>
        <v/>
      </c>
      <c r="AZ211" s="224" t="str">
        <f>IFERROR(VLOOKUP(A211,Devengado!$A$1:AJ1,35,FALSE),"")</f>
        <v/>
      </c>
      <c r="BA211" s="224" t="str">
        <f t="shared" si="27"/>
        <v/>
      </c>
      <c r="BB211" s="224" t="str">
        <f>IFERROR(AZ211/#REF!,"")</f>
        <v/>
      </c>
      <c r="BC211" s="224" t="str">
        <f>IFERROR(VLOOKUP($A211,Devengado!$A$1:$AI$1,22,FALSE),"")</f>
        <v/>
      </c>
      <c r="BD211" s="224" t="str">
        <f>IFERROR(VLOOKUP($A211,Devengado!$A$1:$AI$1,23,FALSE),"")</f>
        <v/>
      </c>
      <c r="BE211" s="224" t="str">
        <f>IFERROR(VLOOKUP($A211,Devengado!$A$1:$AI$1,24,FALSE),"")</f>
        <v/>
      </c>
      <c r="BF211" s="224" t="str">
        <f>IFERROR(VLOOKUP($A211,Devengado!$A$1:$AI$1,25,FALSE),"")</f>
        <v/>
      </c>
      <c r="BG211" s="224" t="str">
        <f>IFERROR(VLOOKUP($A211,Devengado!$A$1:$AI$1,26,FALSE),"")</f>
        <v/>
      </c>
      <c r="BH211" s="224" t="str">
        <f>IFERROR(VLOOKUP($A211,Devengado!$A$1:$AI$1,27,FALSE),"")</f>
        <v/>
      </c>
      <c r="BI211" s="224" t="str">
        <f>IFERROR(VLOOKUP($A211,Devengado!$A$1:$AI$1,28,FALSE),"")</f>
        <v/>
      </c>
      <c r="BJ211" s="224" t="str">
        <f>IFERROR(VLOOKUP($A211,Devengado!$A$1:$AI$1,29,FALSE),"")</f>
        <v/>
      </c>
      <c r="BK211" s="224" t="str">
        <f>IFERROR(VLOOKUP($A211,Devengado!$A$1:$AI$1,30,FALSE),"")</f>
        <v/>
      </c>
      <c r="BL211" s="224" t="str">
        <f>IFERROR(VLOOKUP($A211,Devengado!$A$1:$AI$1,31,FALSE),"")</f>
        <v/>
      </c>
      <c r="BM211" s="224" t="str">
        <f>IFERROR(VLOOKUP($A211,Devengado!$A$1:$AI$1,32,FALSE),"")</f>
        <v/>
      </c>
      <c r="BN211" s="224" t="str">
        <f>IFERROR(VLOOKUP($A211,Devengado!$A$1:$AI$1,33,FALSE),"")</f>
        <v/>
      </c>
      <c r="BO211" s="224">
        <f t="shared" si="28"/>
        <v>0</v>
      </c>
      <c r="BP211" s="224" t="str">
        <f t="shared" si="29"/>
        <v/>
      </c>
      <c r="BQ211" s="207"/>
      <c r="BR211" s="207" t="str">
        <f t="shared" si="30"/>
        <v>53</v>
      </c>
    </row>
    <row r="212" spans="1:70" s="225" customFormat="1" ht="25.5" customHeight="1">
      <c r="A212" s="207">
        <v>208</v>
      </c>
      <c r="B212" s="112" t="s">
        <v>244</v>
      </c>
      <c r="C212" s="112" t="s">
        <v>77</v>
      </c>
      <c r="D212" s="112" t="s">
        <v>77</v>
      </c>
      <c r="E212" s="112" t="s">
        <v>76</v>
      </c>
      <c r="F212" s="112" t="s">
        <v>77</v>
      </c>
      <c r="G212" s="112" t="s">
        <v>77</v>
      </c>
      <c r="H212" s="112" t="s">
        <v>77</v>
      </c>
      <c r="I212" s="112" t="s">
        <v>77</v>
      </c>
      <c r="J212" s="112" t="s">
        <v>77</v>
      </c>
      <c r="K212" s="112" t="s">
        <v>77</v>
      </c>
      <c r="L212" s="112" t="s">
        <v>85</v>
      </c>
      <c r="M212" s="112" t="s">
        <v>257</v>
      </c>
      <c r="N212" s="114" t="s">
        <v>246</v>
      </c>
      <c r="O212" s="118" t="s">
        <v>111</v>
      </c>
      <c r="P212" s="114" t="s">
        <v>81</v>
      </c>
      <c r="Q212" s="114" t="s">
        <v>112</v>
      </c>
      <c r="R212" s="115" t="str">
        <f t="shared" si="24"/>
        <v>53</v>
      </c>
      <c r="S212" s="130">
        <v>530246</v>
      </c>
      <c r="T212" s="122" t="str">
        <f>VLOOKUP(S212,ITEM!$C$1:$D$156,2,FALSE)</f>
        <v>Servicios de Identificación, Marcación, Autentificación, Rastreo, Monitoreo, Seguimiento y/o Trazabilidad</v>
      </c>
      <c r="U212" s="114" t="s">
        <v>83</v>
      </c>
      <c r="V212" s="114" t="s">
        <v>82</v>
      </c>
      <c r="W212" s="114" t="s">
        <v>84</v>
      </c>
      <c r="X212" s="114" t="s">
        <v>84</v>
      </c>
      <c r="Y212" s="224" t="e">
        <f>'Matriz POA 2024-TRABAJO'!#REF!</f>
        <v>#REF!</v>
      </c>
      <c r="Z212" s="224" t="e">
        <f>'Matriz POA 2024-TRABAJO'!#REF!</f>
        <v>#REF!</v>
      </c>
      <c r="AA212" s="224" t="e">
        <f>'Matriz POA 2024-TRABAJO'!#REF!</f>
        <v>#REF!</v>
      </c>
      <c r="AB212" s="279">
        <v>0</v>
      </c>
      <c r="AC212" s="279">
        <v>0</v>
      </c>
      <c r="AD212" s="279">
        <v>16.68</v>
      </c>
      <c r="AE212" s="279">
        <v>8.34</v>
      </c>
      <c r="AF212" s="279">
        <v>8.34</v>
      </c>
      <c r="AG212" s="279">
        <v>8.33</v>
      </c>
      <c r="AH212" s="279">
        <v>8.33</v>
      </c>
      <c r="AI212" s="279">
        <v>8.33</v>
      </c>
      <c r="AJ212" s="279">
        <v>8.33</v>
      </c>
      <c r="AK212" s="279">
        <v>8.33</v>
      </c>
      <c r="AL212" s="279">
        <v>8.33</v>
      </c>
      <c r="AM212" s="279">
        <v>16.86</v>
      </c>
      <c r="AN212" s="224" t="e">
        <f>SUM(#REF!)</f>
        <v>#REF!</v>
      </c>
      <c r="AO212" s="224">
        <f t="shared" si="25"/>
        <v>100.19999999999999</v>
      </c>
      <c r="AP212" s="224" t="e">
        <f t="shared" si="31"/>
        <v>#REF!</v>
      </c>
      <c r="AQ212" s="224"/>
      <c r="AR212" s="224"/>
      <c r="AS212" s="224"/>
      <c r="AT212" s="224" t="str">
        <f>IFERROR(VLOOKUP($A212,'Constancias POA'!$A$2:$DH$9993,17,FALSE),"")</f>
        <v/>
      </c>
      <c r="AU212" s="224" t="str">
        <f t="shared" si="26"/>
        <v/>
      </c>
      <c r="AV212" s="224" t="str">
        <f>IFERROR(VLOOKUP($A212,CP!$A$1:$U$7992,18,FALSE),"")</f>
        <v/>
      </c>
      <c r="AW212" s="224" t="str">
        <f>IFERROR(VLOOKUP($A212,CP!$A$1:$U$7992,19,FALSE),"")</f>
        <v/>
      </c>
      <c r="AX212" s="224" t="str">
        <f>IFERROR(VLOOKUP($A212,CP!$A$1:$U$7992,20,FALSE),"")</f>
        <v/>
      </c>
      <c r="AY212" s="224" t="str">
        <f>IFERROR(VLOOKUP($A212,CP!$A$1:$U$1,21,FALSE),"")</f>
        <v/>
      </c>
      <c r="AZ212" s="224" t="str">
        <f>IFERROR(VLOOKUP(A212,Devengado!$A$1:AJ1,35,FALSE),"")</f>
        <v/>
      </c>
      <c r="BA212" s="224" t="str">
        <f t="shared" si="27"/>
        <v/>
      </c>
      <c r="BB212" s="224" t="str">
        <f>IFERROR(AZ212/#REF!,"")</f>
        <v/>
      </c>
      <c r="BC212" s="224" t="str">
        <f>IFERROR(VLOOKUP($A212,Devengado!$A$1:$AI$1,22,FALSE),"")</f>
        <v/>
      </c>
      <c r="BD212" s="224" t="str">
        <f>IFERROR(VLOOKUP($A212,Devengado!$A$1:$AI$1,23,FALSE),"")</f>
        <v/>
      </c>
      <c r="BE212" s="224" t="str">
        <f>IFERROR(VLOOKUP($A212,Devengado!$A$1:$AI$1,24,FALSE),"")</f>
        <v/>
      </c>
      <c r="BF212" s="224" t="str">
        <f>IFERROR(VLOOKUP($A212,Devengado!$A$1:$AI$1,25,FALSE),"")</f>
        <v/>
      </c>
      <c r="BG212" s="224" t="str">
        <f>IFERROR(VLOOKUP($A212,Devengado!$A$1:$AI$1,26,FALSE),"")</f>
        <v/>
      </c>
      <c r="BH212" s="224" t="str">
        <f>IFERROR(VLOOKUP($A212,Devengado!$A$1:$AI$1,27,FALSE),"")</f>
        <v/>
      </c>
      <c r="BI212" s="224" t="str">
        <f>IFERROR(VLOOKUP($A212,Devengado!$A$1:$AI$1,28,FALSE),"")</f>
        <v/>
      </c>
      <c r="BJ212" s="224" t="str">
        <f>IFERROR(VLOOKUP($A212,Devengado!$A$1:$AI$1,29,FALSE),"")</f>
        <v/>
      </c>
      <c r="BK212" s="224" t="str">
        <f>IFERROR(VLOOKUP($A212,Devengado!$A$1:$AI$1,30,FALSE),"")</f>
        <v/>
      </c>
      <c r="BL212" s="224" t="str">
        <f>IFERROR(VLOOKUP($A212,Devengado!$A$1:$AI$1,31,FALSE),"")</f>
        <v/>
      </c>
      <c r="BM212" s="224" t="str">
        <f>IFERROR(VLOOKUP($A212,Devengado!$A$1:$AI$1,32,FALSE),"")</f>
        <v/>
      </c>
      <c r="BN212" s="224" t="str">
        <f>IFERROR(VLOOKUP($A212,Devengado!$A$1:$AI$1,33,FALSE),"")</f>
        <v/>
      </c>
      <c r="BO212" s="224">
        <f t="shared" si="28"/>
        <v>0</v>
      </c>
      <c r="BP212" s="224" t="str">
        <f t="shared" si="29"/>
        <v/>
      </c>
      <c r="BQ212" s="207"/>
      <c r="BR212" s="207" t="str">
        <f t="shared" si="30"/>
        <v>53</v>
      </c>
    </row>
    <row r="213" spans="1:70" s="225" customFormat="1" ht="25.5" customHeight="1">
      <c r="A213" s="207">
        <v>209</v>
      </c>
      <c r="B213" s="112" t="s">
        <v>244</v>
      </c>
      <c r="C213" s="112" t="s">
        <v>77</v>
      </c>
      <c r="D213" s="112" t="s">
        <v>77</v>
      </c>
      <c r="E213" s="112" t="s">
        <v>76</v>
      </c>
      <c r="F213" s="112" t="s">
        <v>77</v>
      </c>
      <c r="G213" s="112" t="s">
        <v>77</v>
      </c>
      <c r="H213" s="112" t="s">
        <v>77</v>
      </c>
      <c r="I213" s="112" t="s">
        <v>77</v>
      </c>
      <c r="J213" s="112" t="s">
        <v>77</v>
      </c>
      <c r="K213" s="112" t="s">
        <v>77</v>
      </c>
      <c r="L213" s="112" t="s">
        <v>85</v>
      </c>
      <c r="M213" s="112" t="s">
        <v>258</v>
      </c>
      <c r="N213" s="114" t="s">
        <v>246</v>
      </c>
      <c r="O213" s="118" t="s">
        <v>111</v>
      </c>
      <c r="P213" s="114" t="s">
        <v>81</v>
      </c>
      <c r="Q213" s="114" t="s">
        <v>112</v>
      </c>
      <c r="R213" s="115" t="str">
        <f t="shared" si="24"/>
        <v>57</v>
      </c>
      <c r="S213" s="130">
        <v>570102</v>
      </c>
      <c r="T213" s="122" t="e">
        <f>VLOOKUP(S213,ITEM!$C$1:$D$156,2,FALSE)</f>
        <v>#N/A</v>
      </c>
      <c r="U213" s="114" t="s">
        <v>83</v>
      </c>
      <c r="V213" s="114" t="s">
        <v>82</v>
      </c>
      <c r="W213" s="114" t="s">
        <v>84</v>
      </c>
      <c r="X213" s="114" t="s">
        <v>84</v>
      </c>
      <c r="Y213" s="224" t="e">
        <f>'Matriz POA 2024-TRABAJO'!#REF!</f>
        <v>#REF!</v>
      </c>
      <c r="Z213" s="224" t="e">
        <f>'Matriz POA 2024-TRABAJO'!#REF!</f>
        <v>#REF!</v>
      </c>
      <c r="AA213" s="224" t="e">
        <f>'Matriz POA 2024-TRABAJO'!#REF!</f>
        <v>#REF!</v>
      </c>
      <c r="AB213" s="279">
        <v>0</v>
      </c>
      <c r="AC213" s="279">
        <v>0</v>
      </c>
      <c r="AD213" s="279">
        <v>0</v>
      </c>
      <c r="AE213" s="279">
        <v>0</v>
      </c>
      <c r="AF213" s="279">
        <v>200</v>
      </c>
      <c r="AG213" s="279">
        <v>0</v>
      </c>
      <c r="AH213" s="279">
        <v>0</v>
      </c>
      <c r="AI213" s="279">
        <v>0</v>
      </c>
      <c r="AJ213" s="279">
        <v>0</v>
      </c>
      <c r="AK213" s="279">
        <v>0</v>
      </c>
      <c r="AL213" s="279">
        <v>0</v>
      </c>
      <c r="AM213" s="279">
        <v>0</v>
      </c>
      <c r="AN213" s="224" t="e">
        <f>SUM(#REF!)</f>
        <v>#REF!</v>
      </c>
      <c r="AO213" s="224">
        <f t="shared" si="25"/>
        <v>200</v>
      </c>
      <c r="AP213" s="224" t="e">
        <f t="shared" si="31"/>
        <v>#REF!</v>
      </c>
      <c r="AQ213" s="224"/>
      <c r="AR213" s="224"/>
      <c r="AS213" s="224"/>
      <c r="AT213" s="224" t="str">
        <f>IFERROR(VLOOKUP($A213,'Constancias POA'!$A$2:$DH$9993,17,FALSE),"")</f>
        <v/>
      </c>
      <c r="AU213" s="224" t="str">
        <f t="shared" si="26"/>
        <v/>
      </c>
      <c r="AV213" s="224" t="str">
        <f>IFERROR(VLOOKUP($A213,CP!$A$1:$U$7992,18,FALSE),"")</f>
        <v/>
      </c>
      <c r="AW213" s="224" t="str">
        <f>IFERROR(VLOOKUP($A213,CP!$A$1:$U$7992,19,FALSE),"")</f>
        <v/>
      </c>
      <c r="AX213" s="224" t="str">
        <f>IFERROR(VLOOKUP($A213,CP!$A$1:$U$7992,20,FALSE),"")</f>
        <v/>
      </c>
      <c r="AY213" s="224" t="str">
        <f>IFERROR(VLOOKUP($A213,CP!$A$1:$U$1,21,FALSE),"")</f>
        <v/>
      </c>
      <c r="AZ213" s="224" t="str">
        <f>IFERROR(VLOOKUP(A213,Devengado!$A$1:AJ1,35,FALSE),"")</f>
        <v/>
      </c>
      <c r="BA213" s="224" t="str">
        <f t="shared" si="27"/>
        <v/>
      </c>
      <c r="BB213" s="224" t="str">
        <f>IFERROR(AZ213/#REF!,"")</f>
        <v/>
      </c>
      <c r="BC213" s="224" t="str">
        <f>IFERROR(VLOOKUP($A213,Devengado!$A$1:$AI$1,22,FALSE),"")</f>
        <v/>
      </c>
      <c r="BD213" s="224" t="str">
        <f>IFERROR(VLOOKUP($A213,Devengado!$A$1:$AI$1,23,FALSE),"")</f>
        <v/>
      </c>
      <c r="BE213" s="224" t="str">
        <f>IFERROR(VLOOKUP($A213,Devengado!$A$1:$AI$1,24,FALSE),"")</f>
        <v/>
      </c>
      <c r="BF213" s="224" t="str">
        <f>IFERROR(VLOOKUP($A213,Devengado!$A$1:$AI$1,25,FALSE),"")</f>
        <v/>
      </c>
      <c r="BG213" s="224" t="str">
        <f>IFERROR(VLOOKUP($A213,Devengado!$A$1:$AI$1,26,FALSE),"")</f>
        <v/>
      </c>
      <c r="BH213" s="224" t="str">
        <f>IFERROR(VLOOKUP($A213,Devengado!$A$1:$AI$1,27,FALSE),"")</f>
        <v/>
      </c>
      <c r="BI213" s="224" t="str">
        <f>IFERROR(VLOOKUP($A213,Devengado!$A$1:$AI$1,28,FALSE),"")</f>
        <v/>
      </c>
      <c r="BJ213" s="224" t="str">
        <f>IFERROR(VLOOKUP($A213,Devengado!$A$1:$AI$1,29,FALSE),"")</f>
        <v/>
      </c>
      <c r="BK213" s="224" t="str">
        <f>IFERROR(VLOOKUP($A213,Devengado!$A$1:$AI$1,30,FALSE),"")</f>
        <v/>
      </c>
      <c r="BL213" s="224" t="str">
        <f>IFERROR(VLOOKUP($A213,Devengado!$A$1:$AI$1,31,FALSE),"")</f>
        <v/>
      </c>
      <c r="BM213" s="224" t="str">
        <f>IFERROR(VLOOKUP($A213,Devengado!$A$1:$AI$1,32,FALSE),"")</f>
        <v/>
      </c>
      <c r="BN213" s="224" t="str">
        <f>IFERROR(VLOOKUP($A213,Devengado!$A$1:$AI$1,33,FALSE),"")</f>
        <v/>
      </c>
      <c r="BO213" s="224">
        <f t="shared" si="28"/>
        <v>0</v>
      </c>
      <c r="BP213" s="224" t="str">
        <f t="shared" si="29"/>
        <v/>
      </c>
      <c r="BQ213" s="207"/>
      <c r="BR213" s="207" t="str">
        <f t="shared" si="30"/>
        <v>57</v>
      </c>
    </row>
    <row r="214" spans="1:70" s="225" customFormat="1" ht="25.5" customHeight="1">
      <c r="A214" s="207">
        <v>210</v>
      </c>
      <c r="B214" s="112" t="s">
        <v>244</v>
      </c>
      <c r="C214" s="112" t="s">
        <v>77</v>
      </c>
      <c r="D214" s="112" t="s">
        <v>77</v>
      </c>
      <c r="E214" s="112" t="s">
        <v>76</v>
      </c>
      <c r="F214" s="112" t="s">
        <v>77</v>
      </c>
      <c r="G214" s="112" t="s">
        <v>77</v>
      </c>
      <c r="H214" s="112" t="s">
        <v>77</v>
      </c>
      <c r="I214" s="112" t="s">
        <v>77</v>
      </c>
      <c r="J214" s="112" t="s">
        <v>77</v>
      </c>
      <c r="K214" s="112" t="s">
        <v>77</v>
      </c>
      <c r="L214" s="112" t="s">
        <v>85</v>
      </c>
      <c r="M214" s="112" t="s">
        <v>259</v>
      </c>
      <c r="N214" s="114" t="s">
        <v>246</v>
      </c>
      <c r="O214" s="118" t="s">
        <v>111</v>
      </c>
      <c r="P214" s="114" t="s">
        <v>81</v>
      </c>
      <c r="Q214" s="114" t="s">
        <v>112</v>
      </c>
      <c r="R214" s="115" t="str">
        <f t="shared" si="24"/>
        <v>58</v>
      </c>
      <c r="S214" s="130">
        <v>580301</v>
      </c>
      <c r="T214" s="122" t="e">
        <f>VLOOKUP(S214,ITEM!$C$1:$D$156,2,FALSE)</f>
        <v>#N/A</v>
      </c>
      <c r="U214" s="114" t="s">
        <v>83</v>
      </c>
      <c r="V214" s="114" t="s">
        <v>82</v>
      </c>
      <c r="W214" s="114" t="s">
        <v>84</v>
      </c>
      <c r="X214" s="114" t="s">
        <v>84</v>
      </c>
      <c r="Y214" s="224" t="e">
        <f>'Matriz POA 2024-TRABAJO'!#REF!</f>
        <v>#REF!</v>
      </c>
      <c r="Z214" s="224" t="e">
        <f>'Matriz POA 2024-TRABAJO'!#REF!</f>
        <v>#REF!</v>
      </c>
      <c r="AA214" s="224" t="e">
        <f>'Matriz POA 2024-TRABAJO'!#REF!</f>
        <v>#REF!</v>
      </c>
      <c r="AB214" s="279">
        <v>0</v>
      </c>
      <c r="AC214" s="279">
        <v>0</v>
      </c>
      <c r="AD214" s="279">
        <v>4600</v>
      </c>
      <c r="AE214" s="279">
        <v>0</v>
      </c>
      <c r="AF214" s="279">
        <v>0</v>
      </c>
      <c r="AG214" s="279">
        <v>0</v>
      </c>
      <c r="AH214" s="279">
        <v>0</v>
      </c>
      <c r="AI214" s="279">
        <v>0</v>
      </c>
      <c r="AJ214" s="279">
        <v>0</v>
      </c>
      <c r="AK214" s="279">
        <v>0</v>
      </c>
      <c r="AL214" s="279">
        <v>0</v>
      </c>
      <c r="AM214" s="279">
        <v>0</v>
      </c>
      <c r="AN214" s="224" t="e">
        <f>SUM(#REF!)</f>
        <v>#REF!</v>
      </c>
      <c r="AO214" s="224">
        <f t="shared" si="25"/>
        <v>4600</v>
      </c>
      <c r="AP214" s="224" t="e">
        <f t="shared" si="31"/>
        <v>#REF!</v>
      </c>
      <c r="AQ214" s="224"/>
      <c r="AR214" s="224"/>
      <c r="AS214" s="224"/>
      <c r="AT214" s="224" t="str">
        <f>IFERROR(VLOOKUP($A214,'Constancias POA'!$A$2:$DH$9993,17,FALSE),"")</f>
        <v/>
      </c>
      <c r="AU214" s="224" t="str">
        <f t="shared" si="26"/>
        <v/>
      </c>
      <c r="AV214" s="224" t="str">
        <f>IFERROR(VLOOKUP($A214,CP!$A$1:$U$7992,18,FALSE),"")</f>
        <v/>
      </c>
      <c r="AW214" s="224" t="str">
        <f>IFERROR(VLOOKUP($A214,CP!$A$1:$U$7992,19,FALSE),"")</f>
        <v/>
      </c>
      <c r="AX214" s="224" t="str">
        <f>IFERROR(VLOOKUP($A214,CP!$A$1:$U$7992,20,FALSE),"")</f>
        <v/>
      </c>
      <c r="AY214" s="224" t="str">
        <f>IFERROR(VLOOKUP($A214,CP!$A$1:$U$1,21,FALSE),"")</f>
        <v/>
      </c>
      <c r="AZ214" s="224" t="str">
        <f>IFERROR(VLOOKUP(A214,Devengado!$A$1:AJ1,35,FALSE),"")</f>
        <v/>
      </c>
      <c r="BA214" s="224" t="str">
        <f t="shared" si="27"/>
        <v/>
      </c>
      <c r="BB214" s="224" t="str">
        <f>IFERROR(AZ214/#REF!,"")</f>
        <v/>
      </c>
      <c r="BC214" s="224" t="str">
        <f>IFERROR(VLOOKUP($A214,Devengado!$A$1:$AI$1,22,FALSE),"")</f>
        <v/>
      </c>
      <c r="BD214" s="224" t="str">
        <f>IFERROR(VLOOKUP($A214,Devengado!$A$1:$AI$1,23,FALSE),"")</f>
        <v/>
      </c>
      <c r="BE214" s="224" t="str">
        <f>IFERROR(VLOOKUP($A214,Devengado!$A$1:$AI$1,24,FALSE),"")</f>
        <v/>
      </c>
      <c r="BF214" s="224" t="str">
        <f>IFERROR(VLOOKUP($A214,Devengado!$A$1:$AI$1,25,FALSE),"")</f>
        <v/>
      </c>
      <c r="BG214" s="224" t="str">
        <f>IFERROR(VLOOKUP($A214,Devengado!$A$1:$AI$1,26,FALSE),"")</f>
        <v/>
      </c>
      <c r="BH214" s="224" t="str">
        <f>IFERROR(VLOOKUP($A214,Devengado!$A$1:$AI$1,27,FALSE),"")</f>
        <v/>
      </c>
      <c r="BI214" s="224" t="str">
        <f>IFERROR(VLOOKUP($A214,Devengado!$A$1:$AI$1,28,FALSE),"")</f>
        <v/>
      </c>
      <c r="BJ214" s="224" t="str">
        <f>IFERROR(VLOOKUP($A214,Devengado!$A$1:$AI$1,29,FALSE),"")</f>
        <v/>
      </c>
      <c r="BK214" s="224" t="str">
        <f>IFERROR(VLOOKUP($A214,Devengado!$A$1:$AI$1,30,FALSE),"")</f>
        <v/>
      </c>
      <c r="BL214" s="224" t="str">
        <f>IFERROR(VLOOKUP($A214,Devengado!$A$1:$AI$1,31,FALSE),"")</f>
        <v/>
      </c>
      <c r="BM214" s="224" t="str">
        <f>IFERROR(VLOOKUP($A214,Devengado!$A$1:$AI$1,32,FALSE),"")</f>
        <v/>
      </c>
      <c r="BN214" s="224" t="str">
        <f>IFERROR(VLOOKUP($A214,Devengado!$A$1:$AI$1,33,FALSE),"")</f>
        <v/>
      </c>
      <c r="BO214" s="224">
        <f t="shared" si="28"/>
        <v>0</v>
      </c>
      <c r="BP214" s="224" t="str">
        <f t="shared" si="29"/>
        <v/>
      </c>
      <c r="BQ214" s="207"/>
      <c r="BR214" s="207" t="str">
        <f t="shared" si="30"/>
        <v>58</v>
      </c>
    </row>
    <row r="215" spans="1:70" s="225" customFormat="1" ht="25.5" customHeight="1">
      <c r="A215" s="207">
        <v>211</v>
      </c>
      <c r="B215" s="112" t="s">
        <v>244</v>
      </c>
      <c r="C215" s="112" t="s">
        <v>77</v>
      </c>
      <c r="D215" s="112" t="s">
        <v>77</v>
      </c>
      <c r="E215" s="112" t="s">
        <v>76</v>
      </c>
      <c r="F215" s="112" t="s">
        <v>77</v>
      </c>
      <c r="G215" s="112" t="s">
        <v>77</v>
      </c>
      <c r="H215" s="112" t="s">
        <v>77</v>
      </c>
      <c r="I215" s="112" t="s">
        <v>77</v>
      </c>
      <c r="J215" s="112" t="s">
        <v>77</v>
      </c>
      <c r="K215" s="112" t="s">
        <v>77</v>
      </c>
      <c r="L215" s="112" t="s">
        <v>85</v>
      </c>
      <c r="M215" s="112" t="s">
        <v>260</v>
      </c>
      <c r="N215" s="114" t="s">
        <v>246</v>
      </c>
      <c r="O215" s="118" t="s">
        <v>111</v>
      </c>
      <c r="P215" s="114" t="s">
        <v>81</v>
      </c>
      <c r="Q215" s="114" t="s">
        <v>112</v>
      </c>
      <c r="R215" s="115" t="str">
        <f t="shared" si="24"/>
        <v>99</v>
      </c>
      <c r="S215" s="130">
        <v>990101</v>
      </c>
      <c r="T215" s="122" t="e">
        <f>VLOOKUP(S215,ITEM!$C$1:$D$156,2,FALSE)</f>
        <v>#N/A</v>
      </c>
      <c r="U215" s="114" t="s">
        <v>83</v>
      </c>
      <c r="V215" s="114" t="s">
        <v>82</v>
      </c>
      <c r="W215" s="114" t="s">
        <v>84</v>
      </c>
      <c r="X215" s="114" t="s">
        <v>84</v>
      </c>
      <c r="Y215" s="224" t="e">
        <f>'Matriz POA 2024-TRABAJO'!#REF!</f>
        <v>#REF!</v>
      </c>
      <c r="Z215" s="224" t="e">
        <f>'Matriz POA 2024-TRABAJO'!#REF!</f>
        <v>#REF!</v>
      </c>
      <c r="AA215" s="224" t="e">
        <f>'Matriz POA 2024-TRABAJO'!#REF!</f>
        <v>#REF!</v>
      </c>
      <c r="AB215" s="279">
        <v>0</v>
      </c>
      <c r="AC215" s="279">
        <v>0</v>
      </c>
      <c r="AD215" s="279">
        <v>0</v>
      </c>
      <c r="AE215" s="279">
        <v>0</v>
      </c>
      <c r="AF215" s="279">
        <v>0</v>
      </c>
      <c r="AG215" s="279">
        <v>0</v>
      </c>
      <c r="AH215" s="279">
        <v>0</v>
      </c>
      <c r="AI215" s="279">
        <v>500</v>
      </c>
      <c r="AJ215" s="279">
        <v>0</v>
      </c>
      <c r="AK215" s="279">
        <v>0</v>
      </c>
      <c r="AL215" s="279">
        <v>500</v>
      </c>
      <c r="AM215" s="279">
        <v>0</v>
      </c>
      <c r="AN215" s="224" t="e">
        <f>SUM(#REF!)</f>
        <v>#REF!</v>
      </c>
      <c r="AO215" s="224">
        <f t="shared" si="25"/>
        <v>1000</v>
      </c>
      <c r="AP215" s="224" t="e">
        <f t="shared" si="31"/>
        <v>#REF!</v>
      </c>
      <c r="AQ215" s="224"/>
      <c r="AR215" s="224"/>
      <c r="AS215" s="224"/>
      <c r="AT215" s="224" t="str">
        <f>IFERROR(VLOOKUP($A215,'Constancias POA'!$A$2:$DH$9993,17,FALSE),"")</f>
        <v/>
      </c>
      <c r="AU215" s="224" t="str">
        <f t="shared" si="26"/>
        <v/>
      </c>
      <c r="AV215" s="224" t="str">
        <f>IFERROR(VLOOKUP($A215,CP!$A$1:$U$7992,18,FALSE),"")</f>
        <v/>
      </c>
      <c r="AW215" s="224" t="str">
        <f>IFERROR(VLOOKUP($A215,CP!$A$1:$U$7992,19,FALSE),"")</f>
        <v/>
      </c>
      <c r="AX215" s="224" t="str">
        <f>IFERROR(VLOOKUP($A215,CP!$A$1:$U$7992,20,FALSE),"")</f>
        <v/>
      </c>
      <c r="AY215" s="224" t="str">
        <f>IFERROR(VLOOKUP($A215,CP!$A$1:$U$1,21,FALSE),"")</f>
        <v/>
      </c>
      <c r="AZ215" s="224" t="str">
        <f>IFERROR(VLOOKUP(A215,Devengado!$A$1:AJ1,35,FALSE),"")</f>
        <v/>
      </c>
      <c r="BA215" s="224" t="str">
        <f t="shared" si="27"/>
        <v/>
      </c>
      <c r="BB215" s="224" t="str">
        <f>IFERROR(AZ215/#REF!,"")</f>
        <v/>
      </c>
      <c r="BC215" s="224" t="str">
        <f>IFERROR(VLOOKUP($A215,Devengado!$A$1:$AI$1,22,FALSE),"")</f>
        <v/>
      </c>
      <c r="BD215" s="224" t="str">
        <f>IFERROR(VLOOKUP($A215,Devengado!$A$1:$AI$1,23,FALSE),"")</f>
        <v/>
      </c>
      <c r="BE215" s="224" t="str">
        <f>IFERROR(VLOOKUP($A215,Devengado!$A$1:$AI$1,24,FALSE),"")</f>
        <v/>
      </c>
      <c r="BF215" s="224" t="str">
        <f>IFERROR(VLOOKUP($A215,Devengado!$A$1:$AI$1,25,FALSE),"")</f>
        <v/>
      </c>
      <c r="BG215" s="224" t="str">
        <f>IFERROR(VLOOKUP($A215,Devengado!$A$1:$AI$1,26,FALSE),"")</f>
        <v/>
      </c>
      <c r="BH215" s="224" t="str">
        <f>IFERROR(VLOOKUP($A215,Devengado!$A$1:$AI$1,27,FALSE),"")</f>
        <v/>
      </c>
      <c r="BI215" s="224" t="str">
        <f>IFERROR(VLOOKUP($A215,Devengado!$A$1:$AI$1,28,FALSE),"")</f>
        <v/>
      </c>
      <c r="BJ215" s="224" t="str">
        <f>IFERROR(VLOOKUP($A215,Devengado!$A$1:$AI$1,29,FALSE),"")</f>
        <v/>
      </c>
      <c r="BK215" s="224" t="str">
        <f>IFERROR(VLOOKUP($A215,Devengado!$A$1:$AI$1,30,FALSE),"")</f>
        <v/>
      </c>
      <c r="BL215" s="224" t="str">
        <f>IFERROR(VLOOKUP($A215,Devengado!$A$1:$AI$1,31,FALSE),"")</f>
        <v/>
      </c>
      <c r="BM215" s="224" t="str">
        <f>IFERROR(VLOOKUP($A215,Devengado!$A$1:$AI$1,32,FALSE),"")</f>
        <v/>
      </c>
      <c r="BN215" s="224" t="str">
        <f>IFERROR(VLOOKUP($A215,Devengado!$A$1:$AI$1,33,FALSE),"")</f>
        <v/>
      </c>
      <c r="BO215" s="224">
        <f t="shared" si="28"/>
        <v>0</v>
      </c>
      <c r="BP215" s="224" t="str">
        <f t="shared" si="29"/>
        <v/>
      </c>
      <c r="BQ215" s="207"/>
      <c r="BR215" s="207" t="str">
        <f t="shared" si="30"/>
        <v>99</v>
      </c>
    </row>
    <row r="216" spans="1:70" s="225" customFormat="1" ht="25.5" customHeight="1">
      <c r="A216" s="207">
        <v>212</v>
      </c>
      <c r="B216" s="112" t="s">
        <v>244</v>
      </c>
      <c r="C216" s="112" t="s">
        <v>77</v>
      </c>
      <c r="D216" s="112" t="s">
        <v>77</v>
      </c>
      <c r="E216" s="112" t="s">
        <v>76</v>
      </c>
      <c r="F216" s="112" t="s">
        <v>77</v>
      </c>
      <c r="G216" s="112" t="s">
        <v>77</v>
      </c>
      <c r="H216" s="112" t="s">
        <v>77</v>
      </c>
      <c r="I216" s="112" t="s">
        <v>77</v>
      </c>
      <c r="J216" s="112" t="s">
        <v>77</v>
      </c>
      <c r="K216" s="112" t="s">
        <v>77</v>
      </c>
      <c r="L216" s="112" t="s">
        <v>85</v>
      </c>
      <c r="M216" s="112" t="s">
        <v>261</v>
      </c>
      <c r="N216" s="114" t="s">
        <v>246</v>
      </c>
      <c r="O216" s="118" t="s">
        <v>111</v>
      </c>
      <c r="P216" s="114" t="s">
        <v>81</v>
      </c>
      <c r="Q216" s="114" t="s">
        <v>112</v>
      </c>
      <c r="R216" s="115" t="str">
        <f t="shared" si="24"/>
        <v>53</v>
      </c>
      <c r="S216" s="130">
        <v>530204</v>
      </c>
      <c r="T216" s="122" t="str">
        <f>VLOOKUP(S216,ITEM!$C$1:$D$156,2,FALSE)</f>
        <v>Edición, Impresión, Reproducción, Publicaciones, Suscripciones, Fotocopiado, Traducción, Empastado, Enmarcación,
Serigrafía, Fotografía, Carnetización, Filmación e Imágenes Satelitales.</v>
      </c>
      <c r="U216" s="114" t="s">
        <v>83</v>
      </c>
      <c r="V216" s="114" t="s">
        <v>82</v>
      </c>
      <c r="W216" s="114" t="s">
        <v>84</v>
      </c>
      <c r="X216" s="114" t="s">
        <v>84</v>
      </c>
      <c r="Y216" s="224" t="e">
        <f>'Matriz POA 2024-TRABAJO'!#REF!</f>
        <v>#REF!</v>
      </c>
      <c r="Z216" s="224" t="e">
        <f>'Matriz POA 2024-TRABAJO'!#REF!</f>
        <v>#REF!</v>
      </c>
      <c r="AA216" s="224" t="e">
        <f>'Matriz POA 2024-TRABAJO'!#REF!</f>
        <v>#REF!</v>
      </c>
      <c r="AB216" s="279">
        <v>0</v>
      </c>
      <c r="AC216" s="279">
        <v>91</v>
      </c>
      <c r="AD216" s="279">
        <v>91</v>
      </c>
      <c r="AE216" s="279">
        <v>91</v>
      </c>
      <c r="AF216" s="279">
        <v>91</v>
      </c>
      <c r="AG216" s="279">
        <v>91</v>
      </c>
      <c r="AH216" s="279">
        <v>91</v>
      </c>
      <c r="AI216" s="279">
        <v>91</v>
      </c>
      <c r="AJ216" s="279">
        <v>91</v>
      </c>
      <c r="AK216" s="279">
        <v>91</v>
      </c>
      <c r="AL216" s="279">
        <v>91</v>
      </c>
      <c r="AM216" s="279">
        <v>91</v>
      </c>
      <c r="AN216" s="224" t="e">
        <f>SUM(#REF!)</f>
        <v>#REF!</v>
      </c>
      <c r="AO216" s="224">
        <f t="shared" si="25"/>
        <v>1001</v>
      </c>
      <c r="AP216" s="224" t="e">
        <f t="shared" si="31"/>
        <v>#REF!</v>
      </c>
      <c r="AQ216" s="224"/>
      <c r="AR216" s="224"/>
      <c r="AS216" s="224"/>
      <c r="AT216" s="224" t="str">
        <f>IFERROR(VLOOKUP($A216,'Constancias POA'!$A$2:$DH$9993,17,FALSE),"")</f>
        <v/>
      </c>
      <c r="AU216" s="224" t="str">
        <f t="shared" si="26"/>
        <v/>
      </c>
      <c r="AV216" s="224" t="str">
        <f>IFERROR(VLOOKUP($A216,CP!$A$1:$U$7992,18,FALSE),"")</f>
        <v/>
      </c>
      <c r="AW216" s="224" t="str">
        <f>IFERROR(VLOOKUP($A216,CP!$A$1:$U$7992,19,FALSE),"")</f>
        <v/>
      </c>
      <c r="AX216" s="224" t="str">
        <f>IFERROR(VLOOKUP($A216,CP!$A$1:$U$7992,20,FALSE),"")</f>
        <v/>
      </c>
      <c r="AY216" s="224" t="str">
        <f>IFERROR(VLOOKUP($A216,CP!$A$1:$U$1,21,FALSE),"")</f>
        <v/>
      </c>
      <c r="AZ216" s="224" t="str">
        <f>IFERROR(VLOOKUP(A216,Devengado!$A$1:AJ1,35,FALSE),"")</f>
        <v/>
      </c>
      <c r="BA216" s="224" t="str">
        <f t="shared" si="27"/>
        <v/>
      </c>
      <c r="BB216" s="224" t="str">
        <f>IFERROR(AZ216/#REF!,"")</f>
        <v/>
      </c>
      <c r="BC216" s="224" t="str">
        <f>IFERROR(VLOOKUP($A216,Devengado!$A$1:$AI$1,22,FALSE),"")</f>
        <v/>
      </c>
      <c r="BD216" s="224" t="str">
        <f>IFERROR(VLOOKUP($A216,Devengado!$A$1:$AI$1,23,FALSE),"")</f>
        <v/>
      </c>
      <c r="BE216" s="224" t="str">
        <f>IFERROR(VLOOKUP($A216,Devengado!$A$1:$AI$1,24,FALSE),"")</f>
        <v/>
      </c>
      <c r="BF216" s="224" t="str">
        <f>IFERROR(VLOOKUP($A216,Devengado!$A$1:$AI$1,25,FALSE),"")</f>
        <v/>
      </c>
      <c r="BG216" s="224" t="str">
        <f>IFERROR(VLOOKUP($A216,Devengado!$A$1:$AI$1,26,FALSE),"")</f>
        <v/>
      </c>
      <c r="BH216" s="224" t="str">
        <f>IFERROR(VLOOKUP($A216,Devengado!$A$1:$AI$1,27,FALSE),"")</f>
        <v/>
      </c>
      <c r="BI216" s="224" t="str">
        <f>IFERROR(VLOOKUP($A216,Devengado!$A$1:$AI$1,28,FALSE),"")</f>
        <v/>
      </c>
      <c r="BJ216" s="224" t="str">
        <f>IFERROR(VLOOKUP($A216,Devengado!$A$1:$AI$1,29,FALSE),"")</f>
        <v/>
      </c>
      <c r="BK216" s="224" t="str">
        <f>IFERROR(VLOOKUP($A216,Devengado!$A$1:$AI$1,30,FALSE),"")</f>
        <v/>
      </c>
      <c r="BL216" s="224" t="str">
        <f>IFERROR(VLOOKUP($A216,Devengado!$A$1:$AI$1,31,FALSE),"")</f>
        <v/>
      </c>
      <c r="BM216" s="224" t="str">
        <f>IFERROR(VLOOKUP($A216,Devengado!$A$1:$AI$1,32,FALSE),"")</f>
        <v/>
      </c>
      <c r="BN216" s="224" t="str">
        <f>IFERROR(VLOOKUP($A216,Devengado!$A$1:$AI$1,33,FALSE),"")</f>
        <v/>
      </c>
      <c r="BO216" s="224">
        <f t="shared" si="28"/>
        <v>0</v>
      </c>
      <c r="BP216" s="224" t="str">
        <f t="shared" si="29"/>
        <v/>
      </c>
      <c r="BQ216" s="207"/>
      <c r="BR216" s="207" t="str">
        <f t="shared" si="30"/>
        <v>53</v>
      </c>
    </row>
    <row r="217" spans="1:70" s="225" customFormat="1" ht="25.5" customHeight="1">
      <c r="A217" s="207">
        <v>213</v>
      </c>
      <c r="B217" s="112" t="s">
        <v>244</v>
      </c>
      <c r="C217" s="112" t="s">
        <v>77</v>
      </c>
      <c r="D217" s="112" t="s">
        <v>77</v>
      </c>
      <c r="E217" s="112" t="s">
        <v>76</v>
      </c>
      <c r="F217" s="112" t="s">
        <v>77</v>
      </c>
      <c r="G217" s="112" t="s">
        <v>77</v>
      </c>
      <c r="H217" s="112" t="s">
        <v>77</v>
      </c>
      <c r="I217" s="112" t="s">
        <v>77</v>
      </c>
      <c r="J217" s="112" t="s">
        <v>77</v>
      </c>
      <c r="K217" s="112" t="s">
        <v>77</v>
      </c>
      <c r="L217" s="112" t="s">
        <v>85</v>
      </c>
      <c r="M217" s="112" t="s">
        <v>262</v>
      </c>
      <c r="N217" s="114" t="s">
        <v>246</v>
      </c>
      <c r="O217" s="118" t="s">
        <v>111</v>
      </c>
      <c r="P217" s="114" t="s">
        <v>81</v>
      </c>
      <c r="Q217" s="114" t="s">
        <v>112</v>
      </c>
      <c r="R217" s="115" t="str">
        <f t="shared" si="24"/>
        <v>51</v>
      </c>
      <c r="S217" s="130">
        <v>510707</v>
      </c>
      <c r="T217" s="122" t="str">
        <f>VLOOKUP(S217,ITEM!$C$1:$D$156,2,FALSE)</f>
        <v>Compensación por Vacaciones no Gozadas por Cesación de Funciones</v>
      </c>
      <c r="U217" s="114">
        <v>1700</v>
      </c>
      <c r="V217" s="114" t="s">
        <v>82</v>
      </c>
      <c r="W217" s="114" t="s">
        <v>84</v>
      </c>
      <c r="X217" s="114" t="s">
        <v>84</v>
      </c>
      <c r="Y217" s="224" t="e">
        <f>'Matriz POA 2024-TRABAJO'!#REF!</f>
        <v>#REF!</v>
      </c>
      <c r="Z217" s="224" t="e">
        <f>'Matriz POA 2024-TRABAJO'!#REF!</f>
        <v>#REF!</v>
      </c>
      <c r="AA217" s="224" t="e">
        <f>'Matriz POA 2024-TRABAJO'!#REF!</f>
        <v>#REF!</v>
      </c>
      <c r="AB217" s="279">
        <v>0</v>
      </c>
      <c r="AC217" s="279">
        <v>0</v>
      </c>
      <c r="AD217" s="279">
        <v>0</v>
      </c>
      <c r="AE217" s="279">
        <v>0</v>
      </c>
      <c r="AF217" s="279">
        <v>0</v>
      </c>
      <c r="AG217" s="279">
        <v>0</v>
      </c>
      <c r="AH217" s="279">
        <v>0</v>
      </c>
      <c r="AI217" s="279">
        <v>0</v>
      </c>
      <c r="AJ217" s="279">
        <v>0</v>
      </c>
      <c r="AK217" s="279">
        <v>0</v>
      </c>
      <c r="AL217" s="279">
        <v>0</v>
      </c>
      <c r="AM217" s="279">
        <v>0</v>
      </c>
      <c r="AN217" s="224" t="e">
        <f>SUM(#REF!)</f>
        <v>#REF!</v>
      </c>
      <c r="AO217" s="224">
        <f t="shared" si="25"/>
        <v>0</v>
      </c>
      <c r="AP217" s="224" t="e">
        <f t="shared" si="31"/>
        <v>#REF!</v>
      </c>
      <c r="AQ217" s="224"/>
      <c r="AR217" s="224"/>
      <c r="AS217" s="224"/>
      <c r="AT217" s="224" t="str">
        <f>IFERROR(VLOOKUP($A217,'Constancias POA'!$A$2:$DH$9993,17,FALSE),"")</f>
        <v/>
      </c>
      <c r="AU217" s="224" t="str">
        <f t="shared" si="26"/>
        <v/>
      </c>
      <c r="AV217" s="224" t="str">
        <f>IFERROR(VLOOKUP($A217,CP!$A$1:$U$7992,18,FALSE),"")</f>
        <v/>
      </c>
      <c r="AW217" s="224" t="str">
        <f>IFERROR(VLOOKUP($A217,CP!$A$1:$U$7992,19,FALSE),"")</f>
        <v/>
      </c>
      <c r="AX217" s="224" t="str">
        <f>IFERROR(VLOOKUP($A217,CP!$A$1:$U$7992,20,FALSE),"")</f>
        <v/>
      </c>
      <c r="AY217" s="224" t="str">
        <f>IFERROR(VLOOKUP($A217,CP!$A$1:$U$1,21,FALSE),"")</f>
        <v/>
      </c>
      <c r="AZ217" s="224" t="str">
        <f>IFERROR(VLOOKUP(A217,Devengado!$A$1:AJ1,35,FALSE),"")</f>
        <v/>
      </c>
      <c r="BA217" s="224" t="str">
        <f t="shared" si="27"/>
        <v/>
      </c>
      <c r="BB217" s="224" t="str">
        <f>IFERROR(AZ217/#REF!,"")</f>
        <v/>
      </c>
      <c r="BC217" s="224" t="str">
        <f>IFERROR(VLOOKUP($A217,Devengado!$A$1:$AI$1,22,FALSE),"")</f>
        <v/>
      </c>
      <c r="BD217" s="224" t="str">
        <f>IFERROR(VLOOKUP($A217,Devengado!$A$1:$AI$1,23,FALSE),"")</f>
        <v/>
      </c>
      <c r="BE217" s="224" t="str">
        <f>IFERROR(VLOOKUP($A217,Devengado!$A$1:$AI$1,24,FALSE),"")</f>
        <v/>
      </c>
      <c r="BF217" s="224" t="str">
        <f>IFERROR(VLOOKUP($A217,Devengado!$A$1:$AI$1,25,FALSE),"")</f>
        <v/>
      </c>
      <c r="BG217" s="224" t="str">
        <f>IFERROR(VLOOKUP($A217,Devengado!$A$1:$AI$1,26,FALSE),"")</f>
        <v/>
      </c>
      <c r="BH217" s="224" t="str">
        <f>IFERROR(VLOOKUP($A217,Devengado!$A$1:$AI$1,27,FALSE),"")</f>
        <v/>
      </c>
      <c r="BI217" s="224" t="str">
        <f>IFERROR(VLOOKUP($A217,Devengado!$A$1:$AI$1,28,FALSE),"")</f>
        <v/>
      </c>
      <c r="BJ217" s="224" t="str">
        <f>IFERROR(VLOOKUP($A217,Devengado!$A$1:$AI$1,29,FALSE),"")</f>
        <v/>
      </c>
      <c r="BK217" s="224" t="str">
        <f>IFERROR(VLOOKUP($A217,Devengado!$A$1:$AI$1,30,FALSE),"")</f>
        <v/>
      </c>
      <c r="BL217" s="224" t="str">
        <f>IFERROR(VLOOKUP($A217,Devengado!$A$1:$AI$1,31,FALSE),"")</f>
        <v/>
      </c>
      <c r="BM217" s="224" t="str">
        <f>IFERROR(VLOOKUP($A217,Devengado!$A$1:$AI$1,32,FALSE),"")</f>
        <v/>
      </c>
      <c r="BN217" s="224" t="str">
        <f>IFERROR(VLOOKUP($A217,Devengado!$A$1:$AI$1,33,FALSE),"")</f>
        <v/>
      </c>
      <c r="BO217" s="224">
        <f t="shared" si="28"/>
        <v>0</v>
      </c>
      <c r="BP217" s="224" t="str">
        <f t="shared" si="29"/>
        <v/>
      </c>
      <c r="BQ217" s="207"/>
      <c r="BR217" s="207" t="str">
        <f t="shared" si="30"/>
        <v>51</v>
      </c>
    </row>
    <row r="218" spans="1:70" s="225" customFormat="1" ht="25.5" customHeight="1">
      <c r="A218" s="207">
        <v>214</v>
      </c>
      <c r="B218" s="112" t="s">
        <v>244</v>
      </c>
      <c r="C218" s="112" t="s">
        <v>77</v>
      </c>
      <c r="D218" s="112" t="s">
        <v>77</v>
      </c>
      <c r="E218" s="112" t="s">
        <v>76</v>
      </c>
      <c r="F218" s="112" t="s">
        <v>77</v>
      </c>
      <c r="G218" s="112" t="s">
        <v>77</v>
      </c>
      <c r="H218" s="112" t="s">
        <v>77</v>
      </c>
      <c r="I218" s="112" t="s">
        <v>77</v>
      </c>
      <c r="J218" s="112" t="s">
        <v>77</v>
      </c>
      <c r="K218" s="112" t="s">
        <v>77</v>
      </c>
      <c r="L218" s="112" t="s">
        <v>85</v>
      </c>
      <c r="M218" s="112" t="s">
        <v>263</v>
      </c>
      <c r="N218" s="114" t="s">
        <v>246</v>
      </c>
      <c r="O218" s="118" t="s">
        <v>111</v>
      </c>
      <c r="P218" s="114" t="s">
        <v>81</v>
      </c>
      <c r="Q218" s="114" t="s">
        <v>112</v>
      </c>
      <c r="R218" s="115" t="str">
        <f t="shared" si="24"/>
        <v>53</v>
      </c>
      <c r="S218" s="122">
        <v>530205</v>
      </c>
      <c r="T218" s="122" t="str">
        <f>VLOOKUP(S218,ITEM!$C$1:$D$156,2,FALSE)</f>
        <v>Espectáculos Culturales y Sociales</v>
      </c>
      <c r="U218" s="114" t="s">
        <v>83</v>
      </c>
      <c r="V218" s="114" t="s">
        <v>82</v>
      </c>
      <c r="W218" s="114" t="s">
        <v>84</v>
      </c>
      <c r="X218" s="114" t="s">
        <v>84</v>
      </c>
      <c r="Y218" s="224" t="e">
        <f>'Matriz POA 2024-TRABAJO'!#REF!</f>
        <v>#REF!</v>
      </c>
      <c r="Z218" s="224" t="e">
        <f>'Matriz POA 2024-TRABAJO'!#REF!</f>
        <v>#REF!</v>
      </c>
      <c r="AA218" s="224" t="e">
        <f>'Matriz POA 2024-TRABAJO'!#REF!</f>
        <v>#REF!</v>
      </c>
      <c r="AB218" s="279">
        <v>0</v>
      </c>
      <c r="AC218" s="279">
        <v>0</v>
      </c>
      <c r="AD218" s="279">
        <v>630</v>
      </c>
      <c r="AE218" s="279">
        <v>630</v>
      </c>
      <c r="AF218" s="279">
        <v>630</v>
      </c>
      <c r="AG218" s="279">
        <v>630</v>
      </c>
      <c r="AH218" s="279">
        <v>630</v>
      </c>
      <c r="AI218" s="279">
        <v>630</v>
      </c>
      <c r="AJ218" s="279">
        <v>630</v>
      </c>
      <c r="AK218" s="279">
        <v>630</v>
      </c>
      <c r="AL218" s="279">
        <v>630</v>
      </c>
      <c r="AM218" s="279">
        <v>630</v>
      </c>
      <c r="AN218" s="224" t="e">
        <f>SUM(#REF!)</f>
        <v>#REF!</v>
      </c>
      <c r="AO218" s="224">
        <f t="shared" si="25"/>
        <v>6300</v>
      </c>
      <c r="AP218" s="224" t="e">
        <f t="shared" si="31"/>
        <v>#REF!</v>
      </c>
      <c r="AQ218" s="224"/>
      <c r="AR218" s="224"/>
      <c r="AS218" s="224"/>
      <c r="AT218" s="224" t="str">
        <f>IFERROR(VLOOKUP($A218,'Constancias POA'!$A$2:$DH$9993,17,FALSE),"")</f>
        <v/>
      </c>
      <c r="AU218" s="224" t="str">
        <f t="shared" si="26"/>
        <v/>
      </c>
      <c r="AV218" s="224" t="str">
        <f>IFERROR(VLOOKUP($A218,CP!$A$1:$U$7992,18,FALSE),"")</f>
        <v/>
      </c>
      <c r="AW218" s="224" t="str">
        <f>IFERROR(VLOOKUP($A218,CP!$A$1:$U$7992,19,FALSE),"")</f>
        <v/>
      </c>
      <c r="AX218" s="224" t="str">
        <f>IFERROR(VLOOKUP($A218,CP!$A$1:$U$7992,20,FALSE),"")</f>
        <v/>
      </c>
      <c r="AY218" s="224" t="str">
        <f>IFERROR(VLOOKUP($A218,CP!$A$1:$U$1,21,FALSE),"")</f>
        <v/>
      </c>
      <c r="AZ218" s="224" t="str">
        <f>IFERROR(VLOOKUP(A218,Devengado!$A$1:AJ1,35,FALSE),"")</f>
        <v/>
      </c>
      <c r="BA218" s="224" t="str">
        <f t="shared" si="27"/>
        <v/>
      </c>
      <c r="BB218" s="224" t="str">
        <f>IFERROR(AZ218/#REF!,"")</f>
        <v/>
      </c>
      <c r="BC218" s="224" t="str">
        <f>IFERROR(VLOOKUP($A218,Devengado!$A$1:$AI$1,22,FALSE),"")</f>
        <v/>
      </c>
      <c r="BD218" s="224" t="str">
        <f>IFERROR(VLOOKUP($A218,Devengado!$A$1:$AI$1,23,FALSE),"")</f>
        <v/>
      </c>
      <c r="BE218" s="224" t="str">
        <f>IFERROR(VLOOKUP($A218,Devengado!$A$1:$AI$1,24,FALSE),"")</f>
        <v/>
      </c>
      <c r="BF218" s="224" t="str">
        <f>IFERROR(VLOOKUP($A218,Devengado!$A$1:$AI$1,25,FALSE),"")</f>
        <v/>
      </c>
      <c r="BG218" s="224" t="str">
        <f>IFERROR(VLOOKUP($A218,Devengado!$A$1:$AI$1,26,FALSE),"")</f>
        <v/>
      </c>
      <c r="BH218" s="224" t="str">
        <f>IFERROR(VLOOKUP($A218,Devengado!$A$1:$AI$1,27,FALSE),"")</f>
        <v/>
      </c>
      <c r="BI218" s="224" t="str">
        <f>IFERROR(VLOOKUP($A218,Devengado!$A$1:$AI$1,28,FALSE),"")</f>
        <v/>
      </c>
      <c r="BJ218" s="224" t="str">
        <f>IFERROR(VLOOKUP($A218,Devengado!$A$1:$AI$1,29,FALSE),"")</f>
        <v/>
      </c>
      <c r="BK218" s="224" t="str">
        <f>IFERROR(VLOOKUP($A218,Devengado!$A$1:$AI$1,30,FALSE),"")</f>
        <v/>
      </c>
      <c r="BL218" s="224" t="str">
        <f>IFERROR(VLOOKUP($A218,Devengado!$A$1:$AI$1,31,FALSE),"")</f>
        <v/>
      </c>
      <c r="BM218" s="224" t="str">
        <f>IFERROR(VLOOKUP($A218,Devengado!$A$1:$AI$1,32,FALSE),"")</f>
        <v/>
      </c>
      <c r="BN218" s="224" t="str">
        <f>IFERROR(VLOOKUP($A218,Devengado!$A$1:$AI$1,33,FALSE),"")</f>
        <v/>
      </c>
      <c r="BO218" s="224">
        <f t="shared" si="28"/>
        <v>0</v>
      </c>
      <c r="BP218" s="224" t="str">
        <f t="shared" si="29"/>
        <v/>
      </c>
      <c r="BQ218" s="207"/>
      <c r="BR218" s="207" t="str">
        <f t="shared" si="30"/>
        <v>53</v>
      </c>
    </row>
    <row r="219" spans="1:70" s="225" customFormat="1" ht="25.5" customHeight="1">
      <c r="A219" s="207">
        <v>215</v>
      </c>
      <c r="B219" s="112" t="s">
        <v>244</v>
      </c>
      <c r="C219" s="112" t="s">
        <v>77</v>
      </c>
      <c r="D219" s="112" t="s">
        <v>77</v>
      </c>
      <c r="E219" s="112" t="s">
        <v>76</v>
      </c>
      <c r="F219" s="112" t="s">
        <v>77</v>
      </c>
      <c r="G219" s="112" t="s">
        <v>77</v>
      </c>
      <c r="H219" s="112" t="s">
        <v>77</v>
      </c>
      <c r="I219" s="112" t="s">
        <v>77</v>
      </c>
      <c r="J219" s="112" t="s">
        <v>77</v>
      </c>
      <c r="K219" s="112" t="s">
        <v>77</v>
      </c>
      <c r="L219" s="112" t="s">
        <v>85</v>
      </c>
      <c r="M219" s="112" t="s">
        <v>264</v>
      </c>
      <c r="N219" s="114" t="s">
        <v>246</v>
      </c>
      <c r="O219" s="118" t="s">
        <v>111</v>
      </c>
      <c r="P219" s="114" t="s">
        <v>81</v>
      </c>
      <c r="Q219" s="114" t="s">
        <v>112</v>
      </c>
      <c r="R219" s="115" t="str">
        <f t="shared" si="24"/>
        <v>84</v>
      </c>
      <c r="S219" s="122">
        <v>840402</v>
      </c>
      <c r="T219" s="122" t="e">
        <f>VLOOKUP(S219,ITEM!$C$1:$D$156,2,FALSE)</f>
        <v>#N/A</v>
      </c>
      <c r="U219" s="114" t="s">
        <v>83</v>
      </c>
      <c r="V219" s="114" t="s">
        <v>82</v>
      </c>
      <c r="W219" s="114" t="s">
        <v>84</v>
      </c>
      <c r="X219" s="114" t="s">
        <v>84</v>
      </c>
      <c r="Y219" s="224" t="e">
        <f>'Matriz POA 2024-TRABAJO'!#REF!</f>
        <v>#REF!</v>
      </c>
      <c r="Z219" s="224" t="e">
        <f>'Matriz POA 2024-TRABAJO'!#REF!</f>
        <v>#REF!</v>
      </c>
      <c r="AA219" s="224" t="e">
        <f>'Matriz POA 2024-TRABAJO'!#REF!</f>
        <v>#REF!</v>
      </c>
      <c r="AB219" s="279">
        <v>0</v>
      </c>
      <c r="AC219" s="279">
        <v>0</v>
      </c>
      <c r="AD219" s="279">
        <v>0</v>
      </c>
      <c r="AE219" s="279">
        <v>0</v>
      </c>
      <c r="AF219" s="279">
        <v>0</v>
      </c>
      <c r="AG219" s="279">
        <v>0</v>
      </c>
      <c r="AH219" s="279">
        <v>0</v>
      </c>
      <c r="AI219" s="279">
        <v>0</v>
      </c>
      <c r="AJ219" s="279">
        <v>0</v>
      </c>
      <c r="AK219" s="279">
        <v>0</v>
      </c>
      <c r="AL219" s="279">
        <v>0</v>
      </c>
      <c r="AM219" s="279">
        <v>0</v>
      </c>
      <c r="AN219" s="224" t="e">
        <f>SUM(#REF!)</f>
        <v>#REF!</v>
      </c>
      <c r="AO219" s="224">
        <f t="shared" si="25"/>
        <v>0</v>
      </c>
      <c r="AP219" s="224" t="e">
        <f t="shared" si="31"/>
        <v>#REF!</v>
      </c>
      <c r="AQ219" s="224"/>
      <c r="AR219" s="224"/>
      <c r="AS219" s="224"/>
      <c r="AT219" s="224" t="str">
        <f>IFERROR(VLOOKUP($A219,'Constancias POA'!$A$2:$DH$9993,17,FALSE),"")</f>
        <v/>
      </c>
      <c r="AU219" s="224" t="str">
        <f t="shared" si="26"/>
        <v/>
      </c>
      <c r="AV219" s="224" t="str">
        <f>IFERROR(VLOOKUP($A219,CP!$A$1:$U$7992,18,FALSE),"")</f>
        <v/>
      </c>
      <c r="AW219" s="224" t="str">
        <f>IFERROR(VLOOKUP($A219,CP!$A$1:$U$7992,19,FALSE),"")</f>
        <v/>
      </c>
      <c r="AX219" s="224" t="str">
        <f>IFERROR(VLOOKUP($A219,CP!$A$1:$U$7992,20,FALSE),"")</f>
        <v/>
      </c>
      <c r="AY219" s="224" t="str">
        <f>IFERROR(VLOOKUP($A219,CP!$A$1:$U$1,21,FALSE),"")</f>
        <v/>
      </c>
      <c r="AZ219" s="224" t="str">
        <f>IFERROR(VLOOKUP(A219,Devengado!$A$1:AJ1,35,FALSE),"")</f>
        <v/>
      </c>
      <c r="BA219" s="224" t="str">
        <f t="shared" si="27"/>
        <v/>
      </c>
      <c r="BB219" s="224" t="str">
        <f>IFERROR(AZ219/#REF!,"")</f>
        <v/>
      </c>
      <c r="BC219" s="224" t="str">
        <f>IFERROR(VLOOKUP($A219,Devengado!$A$1:$AI$1,22,FALSE),"")</f>
        <v/>
      </c>
      <c r="BD219" s="224" t="str">
        <f>IFERROR(VLOOKUP($A219,Devengado!$A$1:$AI$1,23,FALSE),"")</f>
        <v/>
      </c>
      <c r="BE219" s="224" t="str">
        <f>IFERROR(VLOOKUP($A219,Devengado!$A$1:$AI$1,24,FALSE),"")</f>
        <v/>
      </c>
      <c r="BF219" s="224" t="str">
        <f>IFERROR(VLOOKUP($A219,Devengado!$A$1:$AI$1,25,FALSE),"")</f>
        <v/>
      </c>
      <c r="BG219" s="224" t="str">
        <f>IFERROR(VLOOKUP($A219,Devengado!$A$1:$AI$1,26,FALSE),"")</f>
        <v/>
      </c>
      <c r="BH219" s="224" t="str">
        <f>IFERROR(VLOOKUP($A219,Devengado!$A$1:$AI$1,27,FALSE),"")</f>
        <v/>
      </c>
      <c r="BI219" s="224" t="str">
        <f>IFERROR(VLOOKUP($A219,Devengado!$A$1:$AI$1,28,FALSE),"")</f>
        <v/>
      </c>
      <c r="BJ219" s="224" t="str">
        <f>IFERROR(VLOOKUP($A219,Devengado!$A$1:$AI$1,29,FALSE),"")</f>
        <v/>
      </c>
      <c r="BK219" s="224" t="str">
        <f>IFERROR(VLOOKUP($A219,Devengado!$A$1:$AI$1,30,FALSE),"")</f>
        <v/>
      </c>
      <c r="BL219" s="224" t="str">
        <f>IFERROR(VLOOKUP($A219,Devengado!$A$1:$AI$1,31,FALSE),"")</f>
        <v/>
      </c>
      <c r="BM219" s="224" t="str">
        <f>IFERROR(VLOOKUP($A219,Devengado!$A$1:$AI$1,32,FALSE),"")</f>
        <v/>
      </c>
      <c r="BN219" s="224" t="str">
        <f>IFERROR(VLOOKUP($A219,Devengado!$A$1:$AI$1,33,FALSE),"")</f>
        <v/>
      </c>
      <c r="BO219" s="224">
        <f t="shared" si="28"/>
        <v>0</v>
      </c>
      <c r="BP219" s="224" t="str">
        <f t="shared" si="29"/>
        <v/>
      </c>
      <c r="BQ219" s="207"/>
      <c r="BR219" s="207" t="str">
        <f t="shared" si="30"/>
        <v>84</v>
      </c>
    </row>
    <row r="220" spans="1:70" s="225" customFormat="1" ht="25.5" customHeight="1">
      <c r="A220" s="207">
        <v>216</v>
      </c>
      <c r="B220" s="112" t="s">
        <v>244</v>
      </c>
      <c r="C220" s="112" t="s">
        <v>77</v>
      </c>
      <c r="D220" s="112" t="s">
        <v>77</v>
      </c>
      <c r="E220" s="112" t="s">
        <v>76</v>
      </c>
      <c r="F220" s="112" t="s">
        <v>77</v>
      </c>
      <c r="G220" s="112" t="s">
        <v>77</v>
      </c>
      <c r="H220" s="112" t="s">
        <v>77</v>
      </c>
      <c r="I220" s="112" t="s">
        <v>77</v>
      </c>
      <c r="J220" s="112" t="s">
        <v>77</v>
      </c>
      <c r="K220" s="112" t="s">
        <v>77</v>
      </c>
      <c r="L220" s="112" t="s">
        <v>85</v>
      </c>
      <c r="M220" s="112" t="s">
        <v>265</v>
      </c>
      <c r="N220" s="114" t="s">
        <v>246</v>
      </c>
      <c r="O220" s="118" t="s">
        <v>111</v>
      </c>
      <c r="P220" s="114" t="s">
        <v>81</v>
      </c>
      <c r="Q220" s="114" t="s">
        <v>112</v>
      </c>
      <c r="R220" s="115" t="str">
        <f t="shared" si="24"/>
        <v>84</v>
      </c>
      <c r="S220" s="122">
        <v>840107</v>
      </c>
      <c r="T220" s="122" t="e">
        <f>VLOOKUP(S220,ITEM!$C$1:$D$156,2,FALSE)</f>
        <v>#N/A</v>
      </c>
      <c r="U220" s="114" t="s">
        <v>83</v>
      </c>
      <c r="V220" s="114" t="s">
        <v>82</v>
      </c>
      <c r="W220" s="114" t="s">
        <v>84</v>
      </c>
      <c r="X220" s="114" t="s">
        <v>84</v>
      </c>
      <c r="Y220" s="224" t="e">
        <f>'Matriz POA 2024-TRABAJO'!#REF!</f>
        <v>#REF!</v>
      </c>
      <c r="Z220" s="224" t="e">
        <f>'Matriz POA 2024-TRABAJO'!#REF!</f>
        <v>#REF!</v>
      </c>
      <c r="AA220" s="224" t="e">
        <f>'Matriz POA 2024-TRABAJO'!#REF!</f>
        <v>#REF!</v>
      </c>
      <c r="AB220" s="279">
        <v>0</v>
      </c>
      <c r="AC220" s="279">
        <v>0</v>
      </c>
      <c r="AD220" s="279">
        <v>0</v>
      </c>
      <c r="AE220" s="279">
        <v>0</v>
      </c>
      <c r="AF220" s="279">
        <v>0</v>
      </c>
      <c r="AG220" s="279">
        <v>0</v>
      </c>
      <c r="AH220" s="279">
        <v>0</v>
      </c>
      <c r="AI220" s="279">
        <v>0</v>
      </c>
      <c r="AJ220" s="279">
        <v>0</v>
      </c>
      <c r="AK220" s="279">
        <v>0</v>
      </c>
      <c r="AL220" s="279">
        <v>0</v>
      </c>
      <c r="AM220" s="279">
        <v>0</v>
      </c>
      <c r="AN220" s="224" t="e">
        <f>SUM(#REF!)</f>
        <v>#REF!</v>
      </c>
      <c r="AO220" s="224">
        <f t="shared" si="25"/>
        <v>0</v>
      </c>
      <c r="AP220" s="224" t="e">
        <f t="shared" si="31"/>
        <v>#REF!</v>
      </c>
      <c r="AQ220" s="224"/>
      <c r="AR220" s="224"/>
      <c r="AS220" s="224"/>
      <c r="AT220" s="224" t="str">
        <f>IFERROR(VLOOKUP($A220,'Constancias POA'!$A$2:$DH$9993,17,FALSE),"")</f>
        <v/>
      </c>
      <c r="AU220" s="224" t="str">
        <f t="shared" si="26"/>
        <v/>
      </c>
      <c r="AV220" s="224" t="str">
        <f>IFERROR(VLOOKUP($A220,CP!$A$1:$U$7992,18,FALSE),"")</f>
        <v/>
      </c>
      <c r="AW220" s="224" t="str">
        <f>IFERROR(VLOOKUP($A220,CP!$A$1:$U$7992,19,FALSE),"")</f>
        <v/>
      </c>
      <c r="AX220" s="224" t="str">
        <f>IFERROR(VLOOKUP($A220,CP!$A$1:$U$7992,20,FALSE),"")</f>
        <v/>
      </c>
      <c r="AY220" s="224" t="str">
        <f>IFERROR(VLOOKUP($A220,CP!$A$1:$U$1,21,FALSE),"")</f>
        <v/>
      </c>
      <c r="AZ220" s="224" t="str">
        <f>IFERROR(VLOOKUP(A220,Devengado!$A$1:AJ1,35,FALSE),"")</f>
        <v/>
      </c>
      <c r="BA220" s="224" t="str">
        <f t="shared" si="27"/>
        <v/>
      </c>
      <c r="BB220" s="224" t="str">
        <f>IFERROR(AZ220/#REF!,"")</f>
        <v/>
      </c>
      <c r="BC220" s="224" t="str">
        <f>IFERROR(VLOOKUP($A220,Devengado!$A$1:$AI$1,22,FALSE),"")</f>
        <v/>
      </c>
      <c r="BD220" s="224" t="str">
        <f>IFERROR(VLOOKUP($A220,Devengado!$A$1:$AI$1,23,FALSE),"")</f>
        <v/>
      </c>
      <c r="BE220" s="224" t="str">
        <f>IFERROR(VLOOKUP($A220,Devengado!$A$1:$AI$1,24,FALSE),"")</f>
        <v/>
      </c>
      <c r="BF220" s="224" t="str">
        <f>IFERROR(VLOOKUP($A220,Devengado!$A$1:$AI$1,25,FALSE),"")</f>
        <v/>
      </c>
      <c r="BG220" s="224" t="str">
        <f>IFERROR(VLOOKUP($A220,Devengado!$A$1:$AI$1,26,FALSE),"")</f>
        <v/>
      </c>
      <c r="BH220" s="224" t="str">
        <f>IFERROR(VLOOKUP($A220,Devengado!$A$1:$AI$1,27,FALSE),"")</f>
        <v/>
      </c>
      <c r="BI220" s="224" t="str">
        <f>IFERROR(VLOOKUP($A220,Devengado!$A$1:$AI$1,28,FALSE),"")</f>
        <v/>
      </c>
      <c r="BJ220" s="224" t="str">
        <f>IFERROR(VLOOKUP($A220,Devengado!$A$1:$AI$1,29,FALSE),"")</f>
        <v/>
      </c>
      <c r="BK220" s="224" t="str">
        <f>IFERROR(VLOOKUP($A220,Devengado!$A$1:$AI$1,30,FALSE),"")</f>
        <v/>
      </c>
      <c r="BL220" s="224" t="str">
        <f>IFERROR(VLOOKUP($A220,Devengado!$A$1:$AI$1,31,FALSE),"")</f>
        <v/>
      </c>
      <c r="BM220" s="224" t="str">
        <f>IFERROR(VLOOKUP($A220,Devengado!$A$1:$AI$1,32,FALSE),"")</f>
        <v/>
      </c>
      <c r="BN220" s="224" t="str">
        <f>IFERROR(VLOOKUP($A220,Devengado!$A$1:$AI$1,33,FALSE),"")</f>
        <v/>
      </c>
      <c r="BO220" s="224">
        <f t="shared" si="28"/>
        <v>0</v>
      </c>
      <c r="BP220" s="224" t="str">
        <f t="shared" si="29"/>
        <v/>
      </c>
      <c r="BQ220" s="207"/>
      <c r="BR220" s="207" t="str">
        <f t="shared" si="30"/>
        <v>84</v>
      </c>
    </row>
    <row r="221" spans="1:70" s="225" customFormat="1" ht="25.5" customHeight="1">
      <c r="A221" s="207">
        <v>217</v>
      </c>
      <c r="B221" s="112" t="s">
        <v>244</v>
      </c>
      <c r="C221" s="112" t="s">
        <v>77</v>
      </c>
      <c r="D221" s="112" t="s">
        <v>77</v>
      </c>
      <c r="E221" s="112" t="s">
        <v>76</v>
      </c>
      <c r="F221" s="112" t="s">
        <v>77</v>
      </c>
      <c r="G221" s="112" t="s">
        <v>77</v>
      </c>
      <c r="H221" s="112" t="s">
        <v>77</v>
      </c>
      <c r="I221" s="112" t="s">
        <v>77</v>
      </c>
      <c r="J221" s="112" t="s">
        <v>77</v>
      </c>
      <c r="K221" s="112" t="s">
        <v>77</v>
      </c>
      <c r="L221" s="112" t="s">
        <v>85</v>
      </c>
      <c r="M221" s="112" t="s">
        <v>266</v>
      </c>
      <c r="N221" s="114" t="s">
        <v>246</v>
      </c>
      <c r="O221" s="118" t="s">
        <v>111</v>
      </c>
      <c r="P221" s="114" t="s">
        <v>81</v>
      </c>
      <c r="Q221" s="114" t="s">
        <v>112</v>
      </c>
      <c r="R221" s="115" t="str">
        <f t="shared" si="24"/>
        <v>53</v>
      </c>
      <c r="S221" s="130">
        <v>531407</v>
      </c>
      <c r="T221" s="122" t="e">
        <f>VLOOKUP(S221,ITEM!$C$1:$D$156,2,FALSE)</f>
        <v>#N/A</v>
      </c>
      <c r="U221" s="114" t="s">
        <v>83</v>
      </c>
      <c r="V221" s="114" t="s">
        <v>82</v>
      </c>
      <c r="W221" s="114" t="s">
        <v>84</v>
      </c>
      <c r="X221" s="114" t="s">
        <v>84</v>
      </c>
      <c r="Y221" s="224" t="e">
        <f>'Matriz POA 2024-TRABAJO'!#REF!</f>
        <v>#REF!</v>
      </c>
      <c r="Z221" s="224" t="e">
        <f>'Matriz POA 2024-TRABAJO'!#REF!</f>
        <v>#REF!</v>
      </c>
      <c r="AA221" s="224" t="e">
        <f>'Matriz POA 2024-TRABAJO'!#REF!</f>
        <v>#REF!</v>
      </c>
      <c r="AB221" s="279">
        <v>0</v>
      </c>
      <c r="AC221" s="279">
        <v>0</v>
      </c>
      <c r="AD221" s="279">
        <v>0</v>
      </c>
      <c r="AE221" s="279">
        <v>0</v>
      </c>
      <c r="AF221" s="279">
        <v>0</v>
      </c>
      <c r="AG221" s="279">
        <v>0</v>
      </c>
      <c r="AH221" s="279">
        <v>0</v>
      </c>
      <c r="AI221" s="279">
        <v>0</v>
      </c>
      <c r="AJ221" s="279">
        <v>0</v>
      </c>
      <c r="AK221" s="279">
        <v>0</v>
      </c>
      <c r="AL221" s="279">
        <v>0</v>
      </c>
      <c r="AM221" s="279">
        <v>0</v>
      </c>
      <c r="AN221" s="224" t="e">
        <f>SUM(#REF!)</f>
        <v>#REF!</v>
      </c>
      <c r="AO221" s="224">
        <f t="shared" si="25"/>
        <v>0</v>
      </c>
      <c r="AP221" s="224" t="e">
        <f t="shared" si="31"/>
        <v>#REF!</v>
      </c>
      <c r="AQ221" s="224"/>
      <c r="AR221" s="224"/>
      <c r="AS221" s="224"/>
      <c r="AT221" s="224" t="str">
        <f>IFERROR(VLOOKUP($A221,'Constancias POA'!$A$2:$DH$9993,17,FALSE),"")</f>
        <v/>
      </c>
      <c r="AU221" s="224" t="str">
        <f t="shared" si="26"/>
        <v/>
      </c>
      <c r="AV221" s="224" t="str">
        <f>IFERROR(VLOOKUP($A221,CP!$A$1:$U$7992,18,FALSE),"")</f>
        <v/>
      </c>
      <c r="AW221" s="224" t="str">
        <f>IFERROR(VLOOKUP($A221,CP!$A$1:$U$7992,19,FALSE),"")</f>
        <v/>
      </c>
      <c r="AX221" s="224" t="str">
        <f>IFERROR(VLOOKUP($A221,CP!$A$1:$U$7992,20,FALSE),"")</f>
        <v/>
      </c>
      <c r="AY221" s="224" t="str">
        <f>IFERROR(VLOOKUP($A221,CP!$A$1:$U$1,21,FALSE),"")</f>
        <v/>
      </c>
      <c r="AZ221" s="224" t="str">
        <f>IFERROR(VLOOKUP(A221,Devengado!$A$1:AJ1,35,FALSE),"")</f>
        <v/>
      </c>
      <c r="BA221" s="224" t="str">
        <f t="shared" si="27"/>
        <v/>
      </c>
      <c r="BB221" s="224" t="str">
        <f>IFERROR(AZ221/#REF!,"")</f>
        <v/>
      </c>
      <c r="BC221" s="224" t="str">
        <f>IFERROR(VLOOKUP($A221,Devengado!$A$1:$AI$1,22,FALSE),"")</f>
        <v/>
      </c>
      <c r="BD221" s="224" t="str">
        <f>IFERROR(VLOOKUP($A221,Devengado!$A$1:$AI$1,23,FALSE),"")</f>
        <v/>
      </c>
      <c r="BE221" s="224" t="str">
        <f>IFERROR(VLOOKUP($A221,Devengado!$A$1:$AI$1,24,FALSE),"")</f>
        <v/>
      </c>
      <c r="BF221" s="224" t="str">
        <f>IFERROR(VLOOKUP($A221,Devengado!$A$1:$AI$1,25,FALSE),"")</f>
        <v/>
      </c>
      <c r="BG221" s="224" t="str">
        <f>IFERROR(VLOOKUP($A221,Devengado!$A$1:$AI$1,26,FALSE),"")</f>
        <v/>
      </c>
      <c r="BH221" s="224" t="str">
        <f>IFERROR(VLOOKUP($A221,Devengado!$A$1:$AI$1,27,FALSE),"")</f>
        <v/>
      </c>
      <c r="BI221" s="224" t="str">
        <f>IFERROR(VLOOKUP($A221,Devengado!$A$1:$AI$1,28,FALSE),"")</f>
        <v/>
      </c>
      <c r="BJ221" s="224" t="str">
        <f>IFERROR(VLOOKUP($A221,Devengado!$A$1:$AI$1,29,FALSE),"")</f>
        <v/>
      </c>
      <c r="BK221" s="224" t="str">
        <f>IFERROR(VLOOKUP($A221,Devengado!$A$1:$AI$1,30,FALSE),"")</f>
        <v/>
      </c>
      <c r="BL221" s="224" t="str">
        <f>IFERROR(VLOOKUP($A221,Devengado!$A$1:$AI$1,31,FALSE),"")</f>
        <v/>
      </c>
      <c r="BM221" s="224" t="str">
        <f>IFERROR(VLOOKUP($A221,Devengado!$A$1:$AI$1,32,FALSE),"")</f>
        <v/>
      </c>
      <c r="BN221" s="224" t="str">
        <f>IFERROR(VLOOKUP($A221,Devengado!$A$1:$AI$1,33,FALSE),"")</f>
        <v/>
      </c>
      <c r="BO221" s="224">
        <f t="shared" si="28"/>
        <v>0</v>
      </c>
      <c r="BP221" s="224" t="str">
        <f t="shared" si="29"/>
        <v/>
      </c>
      <c r="BQ221" s="207"/>
      <c r="BR221" s="207" t="str">
        <f t="shared" si="30"/>
        <v>53</v>
      </c>
    </row>
    <row r="222" spans="1:70" s="225" customFormat="1" ht="25.5" customHeight="1">
      <c r="A222" s="207">
        <v>218</v>
      </c>
      <c r="B222" s="112" t="s">
        <v>244</v>
      </c>
      <c r="C222" s="112" t="s">
        <v>77</v>
      </c>
      <c r="D222" s="112" t="s">
        <v>77</v>
      </c>
      <c r="E222" s="112" t="s">
        <v>76</v>
      </c>
      <c r="F222" s="112" t="s">
        <v>77</v>
      </c>
      <c r="G222" s="112" t="s">
        <v>77</v>
      </c>
      <c r="H222" s="112" t="s">
        <v>77</v>
      </c>
      <c r="I222" s="112" t="s">
        <v>77</v>
      </c>
      <c r="J222" s="112" t="s">
        <v>77</v>
      </c>
      <c r="K222" s="112" t="s">
        <v>77</v>
      </c>
      <c r="L222" s="112" t="s">
        <v>85</v>
      </c>
      <c r="M222" s="112" t="s">
        <v>267</v>
      </c>
      <c r="N222" s="114" t="s">
        <v>246</v>
      </c>
      <c r="O222" s="118" t="s">
        <v>111</v>
      </c>
      <c r="P222" s="114" t="s">
        <v>81</v>
      </c>
      <c r="Q222" s="114" t="s">
        <v>112</v>
      </c>
      <c r="R222" s="115" t="str">
        <f t="shared" si="24"/>
        <v>53</v>
      </c>
      <c r="S222" s="130">
        <v>530405</v>
      </c>
      <c r="T222" s="122" t="str">
        <f>VLOOKUP(S222,ITEM!$C$1:$D$156,2,FALSE)</f>
        <v>Vehículos (Servicio para Mantenimiento y Reparación)</v>
      </c>
      <c r="U222" s="114" t="s">
        <v>83</v>
      </c>
      <c r="V222" s="114" t="s">
        <v>82</v>
      </c>
      <c r="W222" s="114" t="s">
        <v>84</v>
      </c>
      <c r="X222" s="114" t="s">
        <v>84</v>
      </c>
      <c r="Y222" s="224" t="e">
        <f>'Matriz POA 2024-TRABAJO'!#REF!</f>
        <v>#REF!</v>
      </c>
      <c r="Z222" s="224" t="e">
        <f>'Matriz POA 2024-TRABAJO'!#REF!</f>
        <v>#REF!</v>
      </c>
      <c r="AA222" s="224" t="e">
        <f>'Matriz POA 2024-TRABAJO'!#REF!</f>
        <v>#REF!</v>
      </c>
      <c r="AB222" s="279">
        <v>0</v>
      </c>
      <c r="AC222" s="279">
        <v>0</v>
      </c>
      <c r="AD222" s="279">
        <v>0</v>
      </c>
      <c r="AE222" s="279">
        <v>0</v>
      </c>
      <c r="AF222" s="279">
        <v>0</v>
      </c>
      <c r="AG222" s="279">
        <v>0</v>
      </c>
      <c r="AH222" s="279">
        <v>0</v>
      </c>
      <c r="AI222" s="279">
        <v>0</v>
      </c>
      <c r="AJ222" s="279">
        <v>0</v>
      </c>
      <c r="AK222" s="279">
        <v>0</v>
      </c>
      <c r="AL222" s="279">
        <v>0</v>
      </c>
      <c r="AM222" s="279">
        <v>0</v>
      </c>
      <c r="AN222" s="224" t="e">
        <f>SUM(#REF!)</f>
        <v>#REF!</v>
      </c>
      <c r="AO222" s="224">
        <f t="shared" si="25"/>
        <v>0</v>
      </c>
      <c r="AP222" s="224" t="e">
        <f t="shared" si="31"/>
        <v>#REF!</v>
      </c>
      <c r="AQ222" s="224"/>
      <c r="AR222" s="224"/>
      <c r="AS222" s="224"/>
      <c r="AT222" s="224" t="str">
        <f>IFERROR(VLOOKUP($A222,'Constancias POA'!$A$2:$DH$9993,17,FALSE),"")</f>
        <v/>
      </c>
      <c r="AU222" s="224" t="str">
        <f t="shared" si="26"/>
        <v/>
      </c>
      <c r="AV222" s="224" t="str">
        <f>IFERROR(VLOOKUP($A222,CP!$A$1:$U$7992,18,FALSE),"")</f>
        <v/>
      </c>
      <c r="AW222" s="224" t="str">
        <f>IFERROR(VLOOKUP($A222,CP!$A$1:$U$7992,19,FALSE),"")</f>
        <v/>
      </c>
      <c r="AX222" s="224" t="str">
        <f>IFERROR(VLOOKUP($A222,CP!$A$1:$U$7992,20,FALSE),"")</f>
        <v/>
      </c>
      <c r="AY222" s="224" t="str">
        <f>IFERROR(VLOOKUP($A222,CP!$A$1:$U$1,21,FALSE),"")</f>
        <v/>
      </c>
      <c r="AZ222" s="224" t="str">
        <f>IFERROR(VLOOKUP(A222,Devengado!$A$1:AJ1,35,FALSE),"")</f>
        <v/>
      </c>
      <c r="BA222" s="224" t="str">
        <f t="shared" si="27"/>
        <v/>
      </c>
      <c r="BB222" s="224" t="str">
        <f>IFERROR(AZ222/#REF!,"")</f>
        <v/>
      </c>
      <c r="BC222" s="224" t="str">
        <f>IFERROR(VLOOKUP($A222,Devengado!$A$1:$AI$1,22,FALSE),"")</f>
        <v/>
      </c>
      <c r="BD222" s="224" t="str">
        <f>IFERROR(VLOOKUP($A222,Devengado!$A$1:$AI$1,23,FALSE),"")</f>
        <v/>
      </c>
      <c r="BE222" s="224" t="str">
        <f>IFERROR(VLOOKUP($A222,Devengado!$A$1:$AI$1,24,FALSE),"")</f>
        <v/>
      </c>
      <c r="BF222" s="224" t="str">
        <f>IFERROR(VLOOKUP($A222,Devengado!$A$1:$AI$1,25,FALSE),"")</f>
        <v/>
      </c>
      <c r="BG222" s="224" t="str">
        <f>IFERROR(VLOOKUP($A222,Devengado!$A$1:$AI$1,26,FALSE),"")</f>
        <v/>
      </c>
      <c r="BH222" s="224" t="str">
        <f>IFERROR(VLOOKUP($A222,Devengado!$A$1:$AI$1,27,FALSE),"")</f>
        <v/>
      </c>
      <c r="BI222" s="224" t="str">
        <f>IFERROR(VLOOKUP($A222,Devengado!$A$1:$AI$1,28,FALSE),"")</f>
        <v/>
      </c>
      <c r="BJ222" s="224" t="str">
        <f>IFERROR(VLOOKUP($A222,Devengado!$A$1:$AI$1,29,FALSE),"")</f>
        <v/>
      </c>
      <c r="BK222" s="224" t="str">
        <f>IFERROR(VLOOKUP($A222,Devengado!$A$1:$AI$1,30,FALSE),"")</f>
        <v/>
      </c>
      <c r="BL222" s="224" t="str">
        <f>IFERROR(VLOOKUP($A222,Devengado!$A$1:$AI$1,31,FALSE),"")</f>
        <v/>
      </c>
      <c r="BM222" s="224" t="str">
        <f>IFERROR(VLOOKUP($A222,Devengado!$A$1:$AI$1,32,FALSE),"")</f>
        <v/>
      </c>
      <c r="BN222" s="224" t="str">
        <f>IFERROR(VLOOKUP($A222,Devengado!$A$1:$AI$1,33,FALSE),"")</f>
        <v/>
      </c>
      <c r="BO222" s="224">
        <f t="shared" si="28"/>
        <v>0</v>
      </c>
      <c r="BP222" s="224" t="str">
        <f t="shared" si="29"/>
        <v/>
      </c>
      <c r="BQ222" s="207"/>
      <c r="BR222" s="207" t="str">
        <f t="shared" si="30"/>
        <v>53</v>
      </c>
    </row>
    <row r="223" spans="1:70" s="225" customFormat="1" ht="25.5" customHeight="1">
      <c r="A223" s="207">
        <v>219</v>
      </c>
      <c r="B223" s="112" t="s">
        <v>244</v>
      </c>
      <c r="C223" s="112" t="s">
        <v>77</v>
      </c>
      <c r="D223" s="112" t="s">
        <v>77</v>
      </c>
      <c r="E223" s="112" t="s">
        <v>76</v>
      </c>
      <c r="F223" s="112" t="s">
        <v>77</v>
      </c>
      <c r="G223" s="112" t="s">
        <v>77</v>
      </c>
      <c r="H223" s="112" t="s">
        <v>77</v>
      </c>
      <c r="I223" s="112" t="s">
        <v>77</v>
      </c>
      <c r="J223" s="112" t="s">
        <v>77</v>
      </c>
      <c r="K223" s="112" t="s">
        <v>77</v>
      </c>
      <c r="L223" s="112" t="s">
        <v>85</v>
      </c>
      <c r="M223" s="112" t="s">
        <v>267</v>
      </c>
      <c r="N223" s="114" t="s">
        <v>246</v>
      </c>
      <c r="O223" s="118" t="s">
        <v>111</v>
      </c>
      <c r="P223" s="114" t="s">
        <v>81</v>
      </c>
      <c r="Q223" s="114" t="s">
        <v>112</v>
      </c>
      <c r="R223" s="115" t="str">
        <f t="shared" si="24"/>
        <v>53</v>
      </c>
      <c r="S223" s="130">
        <v>530813</v>
      </c>
      <c r="T223" s="122" t="e">
        <f>VLOOKUP(S223,ITEM!$C$1:$D$156,2,FALSE)</f>
        <v>#N/A</v>
      </c>
      <c r="U223" s="114" t="s">
        <v>83</v>
      </c>
      <c r="V223" s="114" t="s">
        <v>82</v>
      </c>
      <c r="W223" s="114" t="s">
        <v>84</v>
      </c>
      <c r="X223" s="114" t="s">
        <v>84</v>
      </c>
      <c r="Y223" s="224" t="e">
        <f>'Matriz POA 2024-TRABAJO'!#REF!</f>
        <v>#REF!</v>
      </c>
      <c r="Z223" s="224" t="e">
        <f>'Matriz POA 2024-TRABAJO'!#REF!</f>
        <v>#REF!</v>
      </c>
      <c r="AA223" s="224" t="e">
        <f>'Matriz POA 2024-TRABAJO'!#REF!</f>
        <v>#REF!</v>
      </c>
      <c r="AB223" s="279">
        <v>0</v>
      </c>
      <c r="AC223" s="279">
        <v>0</v>
      </c>
      <c r="AD223" s="279">
        <v>0</v>
      </c>
      <c r="AE223" s="279">
        <v>0</v>
      </c>
      <c r="AF223" s="279">
        <v>0</v>
      </c>
      <c r="AG223" s="279">
        <v>0</v>
      </c>
      <c r="AH223" s="279">
        <v>0</v>
      </c>
      <c r="AI223" s="279">
        <v>0</v>
      </c>
      <c r="AJ223" s="279">
        <v>0</v>
      </c>
      <c r="AK223" s="279">
        <v>0</v>
      </c>
      <c r="AL223" s="279">
        <v>0</v>
      </c>
      <c r="AM223" s="279">
        <v>0</v>
      </c>
      <c r="AN223" s="224" t="e">
        <f>SUM(#REF!)</f>
        <v>#REF!</v>
      </c>
      <c r="AO223" s="224">
        <f t="shared" si="25"/>
        <v>0</v>
      </c>
      <c r="AP223" s="224" t="e">
        <f t="shared" si="31"/>
        <v>#REF!</v>
      </c>
      <c r="AQ223" s="224"/>
      <c r="AR223" s="224"/>
      <c r="AS223" s="224"/>
      <c r="AT223" s="224" t="str">
        <f>IFERROR(VLOOKUP($A223,'Constancias POA'!$A$2:$DH$9993,17,FALSE),"")</f>
        <v/>
      </c>
      <c r="AU223" s="224" t="str">
        <f t="shared" si="26"/>
        <v/>
      </c>
      <c r="AV223" s="224" t="str">
        <f>IFERROR(VLOOKUP($A223,CP!$A$1:$U$7992,18,FALSE),"")</f>
        <v/>
      </c>
      <c r="AW223" s="224" t="str">
        <f>IFERROR(VLOOKUP($A223,CP!$A$1:$U$7992,19,FALSE),"")</f>
        <v/>
      </c>
      <c r="AX223" s="224" t="str">
        <f>IFERROR(VLOOKUP($A223,CP!$A$1:$U$7992,20,FALSE),"")</f>
        <v/>
      </c>
      <c r="AY223" s="224" t="str">
        <f>IFERROR(VLOOKUP($A223,CP!$A$1:$U$1,21,FALSE),"")</f>
        <v/>
      </c>
      <c r="AZ223" s="224" t="str">
        <f>IFERROR(VLOOKUP(A223,Devengado!$A$1:AJ1,35,FALSE),"")</f>
        <v/>
      </c>
      <c r="BA223" s="224" t="str">
        <f t="shared" si="27"/>
        <v/>
      </c>
      <c r="BB223" s="224" t="str">
        <f>IFERROR(AZ223/#REF!,"")</f>
        <v/>
      </c>
      <c r="BC223" s="224" t="str">
        <f>IFERROR(VLOOKUP($A223,Devengado!$A$1:$AI$1,22,FALSE),"")</f>
        <v/>
      </c>
      <c r="BD223" s="224" t="str">
        <f>IFERROR(VLOOKUP($A223,Devengado!$A$1:$AI$1,23,FALSE),"")</f>
        <v/>
      </c>
      <c r="BE223" s="224" t="str">
        <f>IFERROR(VLOOKUP($A223,Devengado!$A$1:$AI$1,24,FALSE),"")</f>
        <v/>
      </c>
      <c r="BF223" s="224" t="str">
        <f>IFERROR(VLOOKUP($A223,Devengado!$A$1:$AI$1,25,FALSE),"")</f>
        <v/>
      </c>
      <c r="BG223" s="224" t="str">
        <f>IFERROR(VLOOKUP($A223,Devengado!$A$1:$AI$1,26,FALSE),"")</f>
        <v/>
      </c>
      <c r="BH223" s="224" t="str">
        <f>IFERROR(VLOOKUP($A223,Devengado!$A$1:$AI$1,27,FALSE),"")</f>
        <v/>
      </c>
      <c r="BI223" s="224" t="str">
        <f>IFERROR(VLOOKUP($A223,Devengado!$A$1:$AI$1,28,FALSE),"")</f>
        <v/>
      </c>
      <c r="BJ223" s="224" t="str">
        <f>IFERROR(VLOOKUP($A223,Devengado!$A$1:$AI$1,29,FALSE),"")</f>
        <v/>
      </c>
      <c r="BK223" s="224" t="str">
        <f>IFERROR(VLOOKUP($A223,Devengado!$A$1:$AI$1,30,FALSE),"")</f>
        <v/>
      </c>
      <c r="BL223" s="224" t="str">
        <f>IFERROR(VLOOKUP($A223,Devengado!$A$1:$AI$1,31,FALSE),"")</f>
        <v/>
      </c>
      <c r="BM223" s="224" t="str">
        <f>IFERROR(VLOOKUP($A223,Devengado!$A$1:$AI$1,32,FALSE),"")</f>
        <v/>
      </c>
      <c r="BN223" s="224" t="str">
        <f>IFERROR(VLOOKUP($A223,Devengado!$A$1:$AI$1,33,FALSE),"")</f>
        <v/>
      </c>
      <c r="BO223" s="224">
        <f t="shared" si="28"/>
        <v>0</v>
      </c>
      <c r="BP223" s="224" t="str">
        <f t="shared" si="29"/>
        <v/>
      </c>
      <c r="BQ223" s="207"/>
      <c r="BR223" s="207" t="str">
        <f t="shared" si="30"/>
        <v>53</v>
      </c>
    </row>
    <row r="224" spans="1:70" s="225" customFormat="1" ht="25.5" customHeight="1">
      <c r="A224" s="207">
        <v>220</v>
      </c>
      <c r="B224" s="112" t="s">
        <v>244</v>
      </c>
      <c r="C224" s="112" t="s">
        <v>77</v>
      </c>
      <c r="D224" s="112" t="s">
        <v>77</v>
      </c>
      <c r="E224" s="112" t="s">
        <v>76</v>
      </c>
      <c r="F224" s="112" t="s">
        <v>77</v>
      </c>
      <c r="G224" s="112" t="s">
        <v>77</v>
      </c>
      <c r="H224" s="112" t="s">
        <v>77</v>
      </c>
      <c r="I224" s="112" t="s">
        <v>77</v>
      </c>
      <c r="J224" s="112" t="s">
        <v>77</v>
      </c>
      <c r="K224" s="112" t="s">
        <v>77</v>
      </c>
      <c r="L224" s="112" t="s">
        <v>85</v>
      </c>
      <c r="M224" s="112" t="s">
        <v>267</v>
      </c>
      <c r="N224" s="114" t="s">
        <v>246</v>
      </c>
      <c r="O224" s="118" t="s">
        <v>111</v>
      </c>
      <c r="P224" s="114" t="s">
        <v>81</v>
      </c>
      <c r="Q224" s="114" t="s">
        <v>112</v>
      </c>
      <c r="R224" s="115" t="str">
        <f t="shared" si="24"/>
        <v>53</v>
      </c>
      <c r="S224" s="130">
        <v>530803</v>
      </c>
      <c r="T224" s="122" t="e">
        <f>VLOOKUP(S224,ITEM!$C$1:$D$156,2,FALSE)</f>
        <v>#N/A</v>
      </c>
      <c r="U224" s="114" t="s">
        <v>83</v>
      </c>
      <c r="V224" s="114" t="s">
        <v>82</v>
      </c>
      <c r="W224" s="114" t="s">
        <v>84</v>
      </c>
      <c r="X224" s="114" t="s">
        <v>84</v>
      </c>
      <c r="Y224" s="224" t="e">
        <f>'Matriz POA 2024-TRABAJO'!#REF!</f>
        <v>#REF!</v>
      </c>
      <c r="Z224" s="224" t="e">
        <f>'Matriz POA 2024-TRABAJO'!#REF!</f>
        <v>#REF!</v>
      </c>
      <c r="AA224" s="224" t="e">
        <f>'Matriz POA 2024-TRABAJO'!#REF!</f>
        <v>#REF!</v>
      </c>
      <c r="AB224" s="279">
        <v>0</v>
      </c>
      <c r="AC224" s="279">
        <v>0</v>
      </c>
      <c r="AD224" s="279">
        <v>0</v>
      </c>
      <c r="AE224" s="279">
        <v>0</v>
      </c>
      <c r="AF224" s="279">
        <v>0</v>
      </c>
      <c r="AG224" s="279">
        <v>0</v>
      </c>
      <c r="AH224" s="279">
        <v>0</v>
      </c>
      <c r="AI224" s="279">
        <v>0</v>
      </c>
      <c r="AJ224" s="279">
        <v>0</v>
      </c>
      <c r="AK224" s="279">
        <v>0</v>
      </c>
      <c r="AL224" s="279">
        <v>0</v>
      </c>
      <c r="AM224" s="279">
        <v>0</v>
      </c>
      <c r="AN224" s="224" t="e">
        <f>SUM(#REF!)</f>
        <v>#REF!</v>
      </c>
      <c r="AO224" s="224">
        <f t="shared" si="25"/>
        <v>0</v>
      </c>
      <c r="AP224" s="224" t="e">
        <f t="shared" si="31"/>
        <v>#REF!</v>
      </c>
      <c r="AQ224" s="224"/>
      <c r="AR224" s="224"/>
      <c r="AS224" s="224"/>
      <c r="AT224" s="224" t="str">
        <f>IFERROR(VLOOKUP($A224,'Constancias POA'!$A$2:$DH$9993,17,FALSE),"")</f>
        <v/>
      </c>
      <c r="AU224" s="224" t="str">
        <f t="shared" si="26"/>
        <v/>
      </c>
      <c r="AV224" s="224" t="str">
        <f>IFERROR(VLOOKUP($A224,CP!$A$1:$U$7992,18,FALSE),"")</f>
        <v/>
      </c>
      <c r="AW224" s="224" t="str">
        <f>IFERROR(VLOOKUP($A224,CP!$A$1:$U$7992,19,FALSE),"")</f>
        <v/>
      </c>
      <c r="AX224" s="224" t="str">
        <f>IFERROR(VLOOKUP($A224,CP!$A$1:$U$7992,20,FALSE),"")</f>
        <v/>
      </c>
      <c r="AY224" s="224" t="str">
        <f>IFERROR(VLOOKUP($A224,CP!$A$1:$U$1,21,FALSE),"")</f>
        <v/>
      </c>
      <c r="AZ224" s="224" t="str">
        <f>IFERROR(VLOOKUP(A224,Devengado!$A$1:AJ1,35,FALSE),"")</f>
        <v/>
      </c>
      <c r="BA224" s="224" t="str">
        <f t="shared" si="27"/>
        <v/>
      </c>
      <c r="BB224" s="224" t="str">
        <f>IFERROR(AZ224/#REF!,"")</f>
        <v/>
      </c>
      <c r="BC224" s="224" t="str">
        <f>IFERROR(VLOOKUP($A224,Devengado!$A$1:$AI$1,22,FALSE),"")</f>
        <v/>
      </c>
      <c r="BD224" s="224" t="str">
        <f>IFERROR(VLOOKUP($A224,Devengado!$A$1:$AI$1,23,FALSE),"")</f>
        <v/>
      </c>
      <c r="BE224" s="224" t="str">
        <f>IFERROR(VLOOKUP($A224,Devengado!$A$1:$AI$1,24,FALSE),"")</f>
        <v/>
      </c>
      <c r="BF224" s="224" t="str">
        <f>IFERROR(VLOOKUP($A224,Devengado!$A$1:$AI$1,25,FALSE),"")</f>
        <v/>
      </c>
      <c r="BG224" s="224" t="str">
        <f>IFERROR(VLOOKUP($A224,Devengado!$A$1:$AI$1,26,FALSE),"")</f>
        <v/>
      </c>
      <c r="BH224" s="224" t="str">
        <f>IFERROR(VLOOKUP($A224,Devengado!$A$1:$AI$1,27,FALSE),"")</f>
        <v/>
      </c>
      <c r="BI224" s="224" t="str">
        <f>IFERROR(VLOOKUP($A224,Devengado!$A$1:$AI$1,28,FALSE),"")</f>
        <v/>
      </c>
      <c r="BJ224" s="224" t="str">
        <f>IFERROR(VLOOKUP($A224,Devengado!$A$1:$AI$1,29,FALSE),"")</f>
        <v/>
      </c>
      <c r="BK224" s="224" t="str">
        <f>IFERROR(VLOOKUP($A224,Devengado!$A$1:$AI$1,30,FALSE),"")</f>
        <v/>
      </c>
      <c r="BL224" s="224" t="str">
        <f>IFERROR(VLOOKUP($A224,Devengado!$A$1:$AI$1,31,FALSE),"")</f>
        <v/>
      </c>
      <c r="BM224" s="224" t="str">
        <f>IFERROR(VLOOKUP($A224,Devengado!$A$1:$AI$1,32,FALSE),"")</f>
        <v/>
      </c>
      <c r="BN224" s="224" t="str">
        <f>IFERROR(VLOOKUP($A224,Devengado!$A$1:$AI$1,33,FALSE),"")</f>
        <v/>
      </c>
      <c r="BO224" s="224">
        <f t="shared" si="28"/>
        <v>0</v>
      </c>
      <c r="BP224" s="224" t="str">
        <f t="shared" si="29"/>
        <v/>
      </c>
      <c r="BQ224" s="207"/>
      <c r="BR224" s="207" t="str">
        <f t="shared" si="30"/>
        <v>53</v>
      </c>
    </row>
    <row r="225" spans="1:70" s="225" customFormat="1" ht="25.5" customHeight="1">
      <c r="A225" s="207">
        <v>221</v>
      </c>
      <c r="B225" s="112" t="s">
        <v>244</v>
      </c>
      <c r="C225" s="112" t="s">
        <v>77</v>
      </c>
      <c r="D225" s="112" t="s">
        <v>77</v>
      </c>
      <c r="E225" s="112" t="s">
        <v>76</v>
      </c>
      <c r="F225" s="112" t="s">
        <v>77</v>
      </c>
      <c r="G225" s="112" t="s">
        <v>77</v>
      </c>
      <c r="H225" s="112" t="s">
        <v>77</v>
      </c>
      <c r="I225" s="112" t="s">
        <v>77</v>
      </c>
      <c r="J225" s="112" t="s">
        <v>77</v>
      </c>
      <c r="K225" s="112" t="s">
        <v>77</v>
      </c>
      <c r="L225" s="112" t="s">
        <v>85</v>
      </c>
      <c r="M225" s="112" t="s">
        <v>268</v>
      </c>
      <c r="N225" s="114" t="s">
        <v>246</v>
      </c>
      <c r="O225" s="118" t="s">
        <v>111</v>
      </c>
      <c r="P225" s="114" t="s">
        <v>81</v>
      </c>
      <c r="Q225" s="114" t="s">
        <v>112</v>
      </c>
      <c r="R225" s="115" t="str">
        <f t="shared" si="24"/>
        <v>53</v>
      </c>
      <c r="S225" s="130">
        <v>530803</v>
      </c>
      <c r="T225" s="122" t="e">
        <f>VLOOKUP(S225,ITEM!$C$1:$D$156,2,FALSE)</f>
        <v>#N/A</v>
      </c>
      <c r="U225" s="114" t="s">
        <v>83</v>
      </c>
      <c r="V225" s="114" t="s">
        <v>82</v>
      </c>
      <c r="W225" s="114" t="s">
        <v>84</v>
      </c>
      <c r="X225" s="114" t="s">
        <v>84</v>
      </c>
      <c r="Y225" s="224" t="e">
        <f>'Matriz POA 2024-TRABAJO'!#REF!</f>
        <v>#REF!</v>
      </c>
      <c r="Z225" s="224" t="e">
        <f>'Matriz POA 2024-TRABAJO'!#REF!</f>
        <v>#REF!</v>
      </c>
      <c r="AA225" s="224" t="e">
        <f>'Matriz POA 2024-TRABAJO'!#REF!</f>
        <v>#REF!</v>
      </c>
      <c r="AB225" s="279">
        <v>0</v>
      </c>
      <c r="AC225" s="279">
        <v>0</v>
      </c>
      <c r="AD225" s="279">
        <v>0</v>
      </c>
      <c r="AE225" s="279">
        <v>0</v>
      </c>
      <c r="AF225" s="279">
        <v>0</v>
      </c>
      <c r="AG225" s="279">
        <v>0</v>
      </c>
      <c r="AH225" s="279">
        <v>0</v>
      </c>
      <c r="AI225" s="279">
        <v>0</v>
      </c>
      <c r="AJ225" s="279">
        <v>0</v>
      </c>
      <c r="AK225" s="279">
        <v>0</v>
      </c>
      <c r="AL225" s="279">
        <v>0</v>
      </c>
      <c r="AM225" s="279">
        <v>0</v>
      </c>
      <c r="AN225" s="224" t="e">
        <f>SUM(#REF!)</f>
        <v>#REF!</v>
      </c>
      <c r="AO225" s="224">
        <f t="shared" si="25"/>
        <v>0</v>
      </c>
      <c r="AP225" s="224" t="e">
        <f t="shared" si="31"/>
        <v>#REF!</v>
      </c>
      <c r="AQ225" s="224"/>
      <c r="AR225" s="224"/>
      <c r="AS225" s="224"/>
      <c r="AT225" s="224" t="str">
        <f>IFERROR(VLOOKUP($A225,'Constancias POA'!$A$2:$DH$9993,17,FALSE),"")</f>
        <v/>
      </c>
      <c r="AU225" s="224" t="str">
        <f t="shared" si="26"/>
        <v/>
      </c>
      <c r="AV225" s="224" t="str">
        <f>IFERROR(VLOOKUP($A225,CP!$A$1:$U$7992,18,FALSE),"")</f>
        <v/>
      </c>
      <c r="AW225" s="224" t="str">
        <f>IFERROR(VLOOKUP($A225,CP!$A$1:$U$7992,19,FALSE),"")</f>
        <v/>
      </c>
      <c r="AX225" s="224" t="str">
        <f>IFERROR(VLOOKUP($A225,CP!$A$1:$U$7992,20,FALSE),"")</f>
        <v/>
      </c>
      <c r="AY225" s="224" t="str">
        <f>IFERROR(VLOOKUP($A225,CP!$A$1:$U$1,21,FALSE),"")</f>
        <v/>
      </c>
      <c r="AZ225" s="224" t="str">
        <f>IFERROR(VLOOKUP(A225,Devengado!$A$1:AJ1,35,FALSE),"")</f>
        <v/>
      </c>
      <c r="BA225" s="224" t="str">
        <f t="shared" si="27"/>
        <v/>
      </c>
      <c r="BB225" s="224" t="str">
        <f>IFERROR(AZ225/#REF!,"")</f>
        <v/>
      </c>
      <c r="BC225" s="224" t="str">
        <f>IFERROR(VLOOKUP($A225,Devengado!$A$1:$AI$1,22,FALSE),"")</f>
        <v/>
      </c>
      <c r="BD225" s="224" t="str">
        <f>IFERROR(VLOOKUP($A225,Devengado!$A$1:$AI$1,23,FALSE),"")</f>
        <v/>
      </c>
      <c r="BE225" s="224" t="str">
        <f>IFERROR(VLOOKUP($A225,Devengado!$A$1:$AI$1,24,FALSE),"")</f>
        <v/>
      </c>
      <c r="BF225" s="224" t="str">
        <f>IFERROR(VLOOKUP($A225,Devengado!$A$1:$AI$1,25,FALSE),"")</f>
        <v/>
      </c>
      <c r="BG225" s="224" t="str">
        <f>IFERROR(VLOOKUP($A225,Devengado!$A$1:$AI$1,26,FALSE),"")</f>
        <v/>
      </c>
      <c r="BH225" s="224" t="str">
        <f>IFERROR(VLOOKUP($A225,Devengado!$A$1:$AI$1,27,FALSE),"")</f>
        <v/>
      </c>
      <c r="BI225" s="224" t="str">
        <f>IFERROR(VLOOKUP($A225,Devengado!$A$1:$AI$1,28,FALSE),"")</f>
        <v/>
      </c>
      <c r="BJ225" s="224" t="str">
        <f>IFERROR(VLOOKUP($A225,Devengado!$A$1:$AI$1,29,FALSE),"")</f>
        <v/>
      </c>
      <c r="BK225" s="224" t="str">
        <f>IFERROR(VLOOKUP($A225,Devengado!$A$1:$AI$1,30,FALSE),"")</f>
        <v/>
      </c>
      <c r="BL225" s="224" t="str">
        <f>IFERROR(VLOOKUP($A225,Devengado!$A$1:$AI$1,31,FALSE),"")</f>
        <v/>
      </c>
      <c r="BM225" s="224" t="str">
        <f>IFERROR(VLOOKUP($A225,Devengado!$A$1:$AI$1,32,FALSE),"")</f>
        <v/>
      </c>
      <c r="BN225" s="224" t="str">
        <f>IFERROR(VLOOKUP($A225,Devengado!$A$1:$AI$1,33,FALSE),"")</f>
        <v/>
      </c>
      <c r="BO225" s="224">
        <f t="shared" si="28"/>
        <v>0</v>
      </c>
      <c r="BP225" s="224" t="str">
        <f t="shared" si="29"/>
        <v/>
      </c>
      <c r="BQ225" s="207"/>
      <c r="BR225" s="207" t="str">
        <f t="shared" si="30"/>
        <v>53</v>
      </c>
    </row>
    <row r="226" spans="1:70" s="225" customFormat="1" ht="25.5" customHeight="1">
      <c r="A226" s="207">
        <v>222</v>
      </c>
      <c r="B226" s="112" t="s">
        <v>244</v>
      </c>
      <c r="C226" s="112" t="s">
        <v>77</v>
      </c>
      <c r="D226" s="112" t="s">
        <v>77</v>
      </c>
      <c r="E226" s="112" t="s">
        <v>76</v>
      </c>
      <c r="F226" s="112" t="s">
        <v>77</v>
      </c>
      <c r="G226" s="112" t="s">
        <v>77</v>
      </c>
      <c r="H226" s="112" t="s">
        <v>77</v>
      </c>
      <c r="I226" s="112" t="s">
        <v>77</v>
      </c>
      <c r="J226" s="112" t="s">
        <v>77</v>
      </c>
      <c r="K226" s="112" t="s">
        <v>77</v>
      </c>
      <c r="L226" s="112" t="s">
        <v>85</v>
      </c>
      <c r="M226" s="112" t="s">
        <v>269</v>
      </c>
      <c r="N226" s="114" t="s">
        <v>246</v>
      </c>
      <c r="O226" s="118" t="s">
        <v>111</v>
      </c>
      <c r="P226" s="114" t="s">
        <v>81</v>
      </c>
      <c r="Q226" s="114" t="s">
        <v>112</v>
      </c>
      <c r="R226" s="115" t="str">
        <f t="shared" si="24"/>
        <v>53</v>
      </c>
      <c r="S226" s="130">
        <v>530402</v>
      </c>
      <c r="T226" s="122" t="str">
        <f>VLOOKUP(S226,ITEM!$C$1:$D$156,2,FALSE)</f>
        <v>Edificios, Locales, Residencias y Cableado Estructurado (Instalación, Mantenimiento y Reparación)</v>
      </c>
      <c r="U226" s="114" t="s">
        <v>83</v>
      </c>
      <c r="V226" s="114" t="s">
        <v>82</v>
      </c>
      <c r="W226" s="114" t="s">
        <v>84</v>
      </c>
      <c r="X226" s="114" t="s">
        <v>84</v>
      </c>
      <c r="Y226" s="224" t="e">
        <f>'Matriz POA 2024-TRABAJO'!#REF!</f>
        <v>#REF!</v>
      </c>
      <c r="Z226" s="224" t="e">
        <f>'Matriz POA 2024-TRABAJO'!#REF!</f>
        <v>#REF!</v>
      </c>
      <c r="AA226" s="224" t="e">
        <f>'Matriz POA 2024-TRABAJO'!#REF!</f>
        <v>#REF!</v>
      </c>
      <c r="AB226" s="279">
        <v>0</v>
      </c>
      <c r="AC226" s="279">
        <v>0</v>
      </c>
      <c r="AD226" s="279">
        <v>0</v>
      </c>
      <c r="AE226" s="279">
        <v>0</v>
      </c>
      <c r="AF226" s="279">
        <v>0</v>
      </c>
      <c r="AG226" s="279">
        <v>0</v>
      </c>
      <c r="AH226" s="279">
        <v>0</v>
      </c>
      <c r="AI226" s="279">
        <v>0</v>
      </c>
      <c r="AJ226" s="279">
        <v>0</v>
      </c>
      <c r="AK226" s="279">
        <v>0</v>
      </c>
      <c r="AL226" s="279">
        <v>0</v>
      </c>
      <c r="AM226" s="279">
        <v>0</v>
      </c>
      <c r="AN226" s="224" t="e">
        <f>SUM(#REF!)</f>
        <v>#REF!</v>
      </c>
      <c r="AO226" s="224">
        <f t="shared" si="25"/>
        <v>0</v>
      </c>
      <c r="AP226" s="224" t="e">
        <f t="shared" si="31"/>
        <v>#REF!</v>
      </c>
      <c r="AQ226" s="224"/>
      <c r="AR226" s="224"/>
      <c r="AS226" s="224"/>
      <c r="AT226" s="224" t="str">
        <f>IFERROR(VLOOKUP($A226,'Constancias POA'!$A$2:$DH$9993,17,FALSE),"")</f>
        <v/>
      </c>
      <c r="AU226" s="224" t="str">
        <f t="shared" si="26"/>
        <v/>
      </c>
      <c r="AV226" s="224" t="str">
        <f>IFERROR(VLOOKUP($A226,CP!$A$1:$U$7992,18,FALSE),"")</f>
        <v/>
      </c>
      <c r="AW226" s="224" t="str">
        <f>IFERROR(VLOOKUP($A226,CP!$A$1:$U$7992,19,FALSE),"")</f>
        <v/>
      </c>
      <c r="AX226" s="224" t="str">
        <f>IFERROR(VLOOKUP($A226,CP!$A$1:$U$7992,20,FALSE),"")</f>
        <v/>
      </c>
      <c r="AY226" s="224" t="str">
        <f>IFERROR(VLOOKUP($A226,CP!$A$1:$U$1,21,FALSE),"")</f>
        <v/>
      </c>
      <c r="AZ226" s="224" t="str">
        <f>IFERROR(VLOOKUP(A226,Devengado!$A$1:AJ1,35,FALSE),"")</f>
        <v/>
      </c>
      <c r="BA226" s="224" t="str">
        <f t="shared" si="27"/>
        <v/>
      </c>
      <c r="BB226" s="224" t="str">
        <f>IFERROR(AZ226/#REF!,"")</f>
        <v/>
      </c>
      <c r="BC226" s="224" t="str">
        <f>IFERROR(VLOOKUP($A226,Devengado!$A$1:$AI$1,22,FALSE),"")</f>
        <v/>
      </c>
      <c r="BD226" s="224" t="str">
        <f>IFERROR(VLOOKUP($A226,Devengado!$A$1:$AI$1,23,FALSE),"")</f>
        <v/>
      </c>
      <c r="BE226" s="224" t="str">
        <f>IFERROR(VLOOKUP($A226,Devengado!$A$1:$AI$1,24,FALSE),"")</f>
        <v/>
      </c>
      <c r="BF226" s="224" t="str">
        <f>IFERROR(VLOOKUP($A226,Devengado!$A$1:$AI$1,25,FALSE),"")</f>
        <v/>
      </c>
      <c r="BG226" s="224" t="str">
        <f>IFERROR(VLOOKUP($A226,Devengado!$A$1:$AI$1,26,FALSE),"")</f>
        <v/>
      </c>
      <c r="BH226" s="224" t="str">
        <f>IFERROR(VLOOKUP($A226,Devengado!$A$1:$AI$1,27,FALSE),"")</f>
        <v/>
      </c>
      <c r="BI226" s="224" t="str">
        <f>IFERROR(VLOOKUP($A226,Devengado!$A$1:$AI$1,28,FALSE),"")</f>
        <v/>
      </c>
      <c r="BJ226" s="224" t="str">
        <f>IFERROR(VLOOKUP($A226,Devengado!$A$1:$AI$1,29,FALSE),"")</f>
        <v/>
      </c>
      <c r="BK226" s="224" t="str">
        <f>IFERROR(VLOOKUP($A226,Devengado!$A$1:$AI$1,30,FALSE),"")</f>
        <v/>
      </c>
      <c r="BL226" s="224" t="str">
        <f>IFERROR(VLOOKUP($A226,Devengado!$A$1:$AI$1,31,FALSE),"")</f>
        <v/>
      </c>
      <c r="BM226" s="224" t="str">
        <f>IFERROR(VLOOKUP($A226,Devengado!$A$1:$AI$1,32,FALSE),"")</f>
        <v/>
      </c>
      <c r="BN226" s="224" t="str">
        <f>IFERROR(VLOOKUP($A226,Devengado!$A$1:$AI$1,33,FALSE),"")</f>
        <v/>
      </c>
      <c r="BO226" s="224">
        <f t="shared" si="28"/>
        <v>0</v>
      </c>
      <c r="BP226" s="224" t="str">
        <f t="shared" si="29"/>
        <v/>
      </c>
      <c r="BQ226" s="207"/>
      <c r="BR226" s="207" t="str">
        <f t="shared" si="30"/>
        <v>53</v>
      </c>
    </row>
    <row r="227" spans="1:70" s="225" customFormat="1" ht="25.5" customHeight="1">
      <c r="A227" s="207">
        <v>223</v>
      </c>
      <c r="B227" s="112" t="s">
        <v>244</v>
      </c>
      <c r="C227" s="112" t="s">
        <v>77</v>
      </c>
      <c r="D227" s="112" t="s">
        <v>77</v>
      </c>
      <c r="E227" s="112" t="s">
        <v>76</v>
      </c>
      <c r="F227" s="112" t="s">
        <v>77</v>
      </c>
      <c r="G227" s="112" t="s">
        <v>77</v>
      </c>
      <c r="H227" s="112" t="s">
        <v>77</v>
      </c>
      <c r="I227" s="112" t="s">
        <v>77</v>
      </c>
      <c r="J227" s="112" t="s">
        <v>77</v>
      </c>
      <c r="K227" s="112" t="s">
        <v>77</v>
      </c>
      <c r="L227" s="112" t="s">
        <v>85</v>
      </c>
      <c r="M227" s="112" t="s">
        <v>270</v>
      </c>
      <c r="N227" s="114" t="s">
        <v>246</v>
      </c>
      <c r="O227" s="118" t="s">
        <v>111</v>
      </c>
      <c r="P227" s="114" t="s">
        <v>81</v>
      </c>
      <c r="Q227" s="114" t="s">
        <v>112</v>
      </c>
      <c r="R227" s="115" t="str">
        <f t="shared" si="24"/>
        <v>84</v>
      </c>
      <c r="S227" s="130">
        <v>840103</v>
      </c>
      <c r="T227" s="122" t="e">
        <f>VLOOKUP(S227,ITEM!$C$1:$D$156,2,FALSE)</f>
        <v>#N/A</v>
      </c>
      <c r="U227" s="114" t="s">
        <v>83</v>
      </c>
      <c r="V227" s="114" t="s">
        <v>82</v>
      </c>
      <c r="W227" s="114" t="s">
        <v>84</v>
      </c>
      <c r="X227" s="114" t="s">
        <v>84</v>
      </c>
      <c r="Y227" s="224" t="e">
        <f>'Matriz POA 2024-TRABAJO'!#REF!</f>
        <v>#REF!</v>
      </c>
      <c r="Z227" s="224" t="e">
        <f>'Matriz POA 2024-TRABAJO'!#REF!</f>
        <v>#REF!</v>
      </c>
      <c r="AA227" s="224" t="e">
        <f>'Matriz POA 2024-TRABAJO'!#REF!</f>
        <v>#REF!</v>
      </c>
      <c r="AB227" s="279">
        <v>0</v>
      </c>
      <c r="AC227" s="279">
        <v>0</v>
      </c>
      <c r="AD227" s="279">
        <v>0</v>
      </c>
      <c r="AE227" s="279">
        <v>0</v>
      </c>
      <c r="AF227" s="279">
        <v>0</v>
      </c>
      <c r="AG227" s="279">
        <v>0</v>
      </c>
      <c r="AH227" s="279">
        <v>0</v>
      </c>
      <c r="AI227" s="279">
        <v>0</v>
      </c>
      <c r="AJ227" s="279">
        <v>0</v>
      </c>
      <c r="AK227" s="279">
        <v>0</v>
      </c>
      <c r="AL227" s="279">
        <v>0</v>
      </c>
      <c r="AM227" s="279">
        <v>0</v>
      </c>
      <c r="AN227" s="224" t="e">
        <f>SUM(#REF!)</f>
        <v>#REF!</v>
      </c>
      <c r="AO227" s="224">
        <f t="shared" si="25"/>
        <v>0</v>
      </c>
      <c r="AP227" s="224" t="e">
        <f t="shared" si="31"/>
        <v>#REF!</v>
      </c>
      <c r="AQ227" s="224"/>
      <c r="AR227" s="224"/>
      <c r="AS227" s="224"/>
      <c r="AT227" s="224" t="str">
        <f>IFERROR(VLOOKUP($A227,'Constancias POA'!$A$2:$DH$9993,17,FALSE),"")</f>
        <v/>
      </c>
      <c r="AU227" s="224" t="str">
        <f t="shared" si="26"/>
        <v/>
      </c>
      <c r="AV227" s="224" t="str">
        <f>IFERROR(VLOOKUP($A227,CP!$A$1:$U$7992,18,FALSE),"")</f>
        <v/>
      </c>
      <c r="AW227" s="224" t="str">
        <f>IFERROR(VLOOKUP($A227,CP!$A$1:$U$7992,19,FALSE),"")</f>
        <v/>
      </c>
      <c r="AX227" s="224" t="str">
        <f>IFERROR(VLOOKUP($A227,CP!$A$1:$U$7992,20,FALSE),"")</f>
        <v/>
      </c>
      <c r="AY227" s="224" t="str">
        <f>IFERROR(VLOOKUP($A227,CP!$A$1:$U$1,21,FALSE),"")</f>
        <v/>
      </c>
      <c r="AZ227" s="224" t="str">
        <f>IFERROR(VLOOKUP(A227,Devengado!$A$1:AJ1,35,FALSE),"")</f>
        <v/>
      </c>
      <c r="BA227" s="224" t="str">
        <f t="shared" si="27"/>
        <v/>
      </c>
      <c r="BB227" s="224" t="str">
        <f>IFERROR(AZ227/#REF!,"")</f>
        <v/>
      </c>
      <c r="BC227" s="224" t="str">
        <f>IFERROR(VLOOKUP($A227,Devengado!$A$1:$AI$1,22,FALSE),"")</f>
        <v/>
      </c>
      <c r="BD227" s="224" t="str">
        <f>IFERROR(VLOOKUP($A227,Devengado!$A$1:$AI$1,23,FALSE),"")</f>
        <v/>
      </c>
      <c r="BE227" s="224" t="str">
        <f>IFERROR(VLOOKUP($A227,Devengado!$A$1:$AI$1,24,FALSE),"")</f>
        <v/>
      </c>
      <c r="BF227" s="224" t="str">
        <f>IFERROR(VLOOKUP($A227,Devengado!$A$1:$AI$1,25,FALSE),"")</f>
        <v/>
      </c>
      <c r="BG227" s="224" t="str">
        <f>IFERROR(VLOOKUP($A227,Devengado!$A$1:$AI$1,26,FALSE),"")</f>
        <v/>
      </c>
      <c r="BH227" s="224" t="str">
        <f>IFERROR(VLOOKUP($A227,Devengado!$A$1:$AI$1,27,FALSE),"")</f>
        <v/>
      </c>
      <c r="BI227" s="224" t="str">
        <f>IFERROR(VLOOKUP($A227,Devengado!$A$1:$AI$1,28,FALSE),"")</f>
        <v/>
      </c>
      <c r="BJ227" s="224" t="str">
        <f>IFERROR(VLOOKUP($A227,Devengado!$A$1:$AI$1,29,FALSE),"")</f>
        <v/>
      </c>
      <c r="BK227" s="224" t="str">
        <f>IFERROR(VLOOKUP($A227,Devengado!$A$1:$AI$1,30,FALSE),"")</f>
        <v/>
      </c>
      <c r="BL227" s="224" t="str">
        <f>IFERROR(VLOOKUP($A227,Devengado!$A$1:$AI$1,31,FALSE),"")</f>
        <v/>
      </c>
      <c r="BM227" s="224" t="str">
        <f>IFERROR(VLOOKUP($A227,Devengado!$A$1:$AI$1,32,FALSE),"")</f>
        <v/>
      </c>
      <c r="BN227" s="224" t="str">
        <f>IFERROR(VLOOKUP($A227,Devengado!$A$1:$AI$1,33,FALSE),"")</f>
        <v/>
      </c>
      <c r="BO227" s="224">
        <f t="shared" si="28"/>
        <v>0</v>
      </c>
      <c r="BP227" s="224" t="str">
        <f t="shared" si="29"/>
        <v/>
      </c>
      <c r="BQ227" s="207"/>
      <c r="BR227" s="207" t="str">
        <f t="shared" si="30"/>
        <v>84</v>
      </c>
    </row>
    <row r="228" spans="1:70" s="225" customFormat="1" ht="25.5" customHeight="1">
      <c r="A228" s="207">
        <v>224</v>
      </c>
      <c r="B228" s="112" t="s">
        <v>244</v>
      </c>
      <c r="C228" s="112" t="s">
        <v>77</v>
      </c>
      <c r="D228" s="112" t="s">
        <v>77</v>
      </c>
      <c r="E228" s="112" t="s">
        <v>76</v>
      </c>
      <c r="F228" s="112" t="s">
        <v>77</v>
      </c>
      <c r="G228" s="112" t="s">
        <v>77</v>
      </c>
      <c r="H228" s="112" t="s">
        <v>77</v>
      </c>
      <c r="I228" s="112" t="s">
        <v>77</v>
      </c>
      <c r="J228" s="112" t="s">
        <v>77</v>
      </c>
      <c r="K228" s="112" t="s">
        <v>77</v>
      </c>
      <c r="L228" s="112" t="s">
        <v>85</v>
      </c>
      <c r="M228" s="112" t="s">
        <v>271</v>
      </c>
      <c r="N228" s="114" t="s">
        <v>246</v>
      </c>
      <c r="O228" s="118" t="s">
        <v>111</v>
      </c>
      <c r="P228" s="114" t="s">
        <v>81</v>
      </c>
      <c r="Q228" s="114" t="s">
        <v>112</v>
      </c>
      <c r="R228" s="115" t="str">
        <f t="shared" si="24"/>
        <v>84</v>
      </c>
      <c r="S228" s="130">
        <v>840107</v>
      </c>
      <c r="T228" s="122" t="e">
        <f>VLOOKUP(S228,ITEM!$C$1:$D$156,2,FALSE)</f>
        <v>#N/A</v>
      </c>
      <c r="U228" s="114" t="s">
        <v>83</v>
      </c>
      <c r="V228" s="114" t="s">
        <v>82</v>
      </c>
      <c r="W228" s="114" t="s">
        <v>84</v>
      </c>
      <c r="X228" s="114" t="s">
        <v>84</v>
      </c>
      <c r="Y228" s="224" t="e">
        <f>'Matriz POA 2024-TRABAJO'!#REF!</f>
        <v>#REF!</v>
      </c>
      <c r="Z228" s="224" t="e">
        <f>'Matriz POA 2024-TRABAJO'!#REF!</f>
        <v>#REF!</v>
      </c>
      <c r="AA228" s="224" t="e">
        <f>'Matriz POA 2024-TRABAJO'!#REF!</f>
        <v>#REF!</v>
      </c>
      <c r="AB228" s="279">
        <v>0</v>
      </c>
      <c r="AC228" s="279">
        <v>0</v>
      </c>
      <c r="AD228" s="279">
        <v>0</v>
      </c>
      <c r="AE228" s="279">
        <v>0</v>
      </c>
      <c r="AF228" s="279">
        <v>0</v>
      </c>
      <c r="AG228" s="279">
        <v>0</v>
      </c>
      <c r="AH228" s="279">
        <v>0</v>
      </c>
      <c r="AI228" s="279">
        <v>0</v>
      </c>
      <c r="AJ228" s="279">
        <v>0</v>
      </c>
      <c r="AK228" s="279">
        <v>0</v>
      </c>
      <c r="AL228" s="279">
        <v>0</v>
      </c>
      <c r="AM228" s="279">
        <v>0</v>
      </c>
      <c r="AN228" s="224" t="e">
        <f>SUM(#REF!)</f>
        <v>#REF!</v>
      </c>
      <c r="AO228" s="224">
        <f t="shared" si="25"/>
        <v>0</v>
      </c>
      <c r="AP228" s="224" t="e">
        <f t="shared" si="31"/>
        <v>#REF!</v>
      </c>
      <c r="AQ228" s="224"/>
      <c r="AR228" s="224"/>
      <c r="AS228" s="224"/>
      <c r="AT228" s="224" t="str">
        <f>IFERROR(VLOOKUP($A228,'Constancias POA'!$A$2:$DH$9993,17,FALSE),"")</f>
        <v/>
      </c>
      <c r="AU228" s="224" t="str">
        <f t="shared" si="26"/>
        <v/>
      </c>
      <c r="AV228" s="224" t="str">
        <f>IFERROR(VLOOKUP($A228,CP!$A$1:$U$7992,18,FALSE),"")</f>
        <v/>
      </c>
      <c r="AW228" s="224" t="str">
        <f>IFERROR(VLOOKUP($A228,CP!$A$1:$U$7992,19,FALSE),"")</f>
        <v/>
      </c>
      <c r="AX228" s="224" t="str">
        <f>IFERROR(VLOOKUP($A228,CP!$A$1:$U$7992,20,FALSE),"")</f>
        <v/>
      </c>
      <c r="AY228" s="224" t="str">
        <f>IFERROR(VLOOKUP($A228,CP!$A$1:$U$1,21,FALSE),"")</f>
        <v/>
      </c>
      <c r="AZ228" s="224" t="str">
        <f>IFERROR(VLOOKUP(A228,Devengado!$A$1:AJ1,35,FALSE),"")</f>
        <v/>
      </c>
      <c r="BA228" s="224" t="str">
        <f t="shared" si="27"/>
        <v/>
      </c>
      <c r="BB228" s="224" t="str">
        <f>IFERROR(AZ228/#REF!,"")</f>
        <v/>
      </c>
      <c r="BC228" s="224" t="str">
        <f>IFERROR(VLOOKUP($A228,Devengado!$A$1:$AI$1,22,FALSE),"")</f>
        <v/>
      </c>
      <c r="BD228" s="224" t="str">
        <f>IFERROR(VLOOKUP($A228,Devengado!$A$1:$AI$1,23,FALSE),"")</f>
        <v/>
      </c>
      <c r="BE228" s="224" t="str">
        <f>IFERROR(VLOOKUP($A228,Devengado!$A$1:$AI$1,24,FALSE),"")</f>
        <v/>
      </c>
      <c r="BF228" s="224" t="str">
        <f>IFERROR(VLOOKUP($A228,Devengado!$A$1:$AI$1,25,FALSE),"")</f>
        <v/>
      </c>
      <c r="BG228" s="224" t="str">
        <f>IFERROR(VLOOKUP($A228,Devengado!$A$1:$AI$1,26,FALSE),"")</f>
        <v/>
      </c>
      <c r="BH228" s="224" t="str">
        <f>IFERROR(VLOOKUP($A228,Devengado!$A$1:$AI$1,27,FALSE),"")</f>
        <v/>
      </c>
      <c r="BI228" s="224" t="str">
        <f>IFERROR(VLOOKUP($A228,Devengado!$A$1:$AI$1,28,FALSE),"")</f>
        <v/>
      </c>
      <c r="BJ228" s="224" t="str">
        <f>IFERROR(VLOOKUP($A228,Devengado!$A$1:$AI$1,29,FALSE),"")</f>
        <v/>
      </c>
      <c r="BK228" s="224" t="str">
        <f>IFERROR(VLOOKUP($A228,Devengado!$A$1:$AI$1,30,FALSE),"")</f>
        <v/>
      </c>
      <c r="BL228" s="224" t="str">
        <f>IFERROR(VLOOKUP($A228,Devengado!$A$1:$AI$1,31,FALSE),"")</f>
        <v/>
      </c>
      <c r="BM228" s="224" t="str">
        <f>IFERROR(VLOOKUP($A228,Devengado!$A$1:$AI$1,32,FALSE),"")</f>
        <v/>
      </c>
      <c r="BN228" s="224" t="str">
        <f>IFERROR(VLOOKUP($A228,Devengado!$A$1:$AI$1,33,FALSE),"")</f>
        <v/>
      </c>
      <c r="BO228" s="224">
        <f t="shared" si="28"/>
        <v>0</v>
      </c>
      <c r="BP228" s="224" t="str">
        <f t="shared" si="29"/>
        <v/>
      </c>
      <c r="BQ228" s="207"/>
      <c r="BR228" s="207" t="str">
        <f t="shared" si="30"/>
        <v>84</v>
      </c>
    </row>
    <row r="229" spans="1:70" s="225" customFormat="1" ht="25.5" customHeight="1">
      <c r="A229" s="207">
        <v>225</v>
      </c>
      <c r="B229" s="112" t="s">
        <v>244</v>
      </c>
      <c r="C229" s="112" t="s">
        <v>77</v>
      </c>
      <c r="D229" s="112" t="s">
        <v>77</v>
      </c>
      <c r="E229" s="112" t="s">
        <v>76</v>
      </c>
      <c r="F229" s="112" t="s">
        <v>77</v>
      </c>
      <c r="G229" s="112" t="s">
        <v>77</v>
      </c>
      <c r="H229" s="112" t="s">
        <v>77</v>
      </c>
      <c r="I229" s="112" t="s">
        <v>77</v>
      </c>
      <c r="J229" s="112" t="s">
        <v>77</v>
      </c>
      <c r="K229" s="112" t="s">
        <v>77</v>
      </c>
      <c r="L229" s="112" t="s">
        <v>85</v>
      </c>
      <c r="M229" s="112" t="s">
        <v>272</v>
      </c>
      <c r="N229" s="114" t="s">
        <v>246</v>
      </c>
      <c r="O229" s="118" t="s">
        <v>111</v>
      </c>
      <c r="P229" s="114" t="s">
        <v>81</v>
      </c>
      <c r="Q229" s="114" t="s">
        <v>112</v>
      </c>
      <c r="R229" s="115" t="str">
        <f t="shared" si="24"/>
        <v>53</v>
      </c>
      <c r="S229" s="130">
        <v>530209</v>
      </c>
      <c r="T229" s="122" t="str">
        <f>VLOOKUP(S229,ITEM!$C$1:$D$156,2,FALSE)</f>
        <v>Servicios de Aseo, Lavado de Vestimenta de Trabajo, Fumigación, Desinfección,  Limpieza de Instalaciones, manejo
de desechos contaminados, recuperación y clasificación de materiales reciclables.</v>
      </c>
      <c r="U229" s="114" t="s">
        <v>83</v>
      </c>
      <c r="V229" s="114" t="s">
        <v>82</v>
      </c>
      <c r="W229" s="114" t="s">
        <v>84</v>
      </c>
      <c r="X229" s="114" t="s">
        <v>84</v>
      </c>
      <c r="Y229" s="224" t="e">
        <f>'Matriz POA 2024-TRABAJO'!#REF!</f>
        <v>#REF!</v>
      </c>
      <c r="Z229" s="224" t="e">
        <f>'Matriz POA 2024-TRABAJO'!#REF!</f>
        <v>#REF!</v>
      </c>
      <c r="AA229" s="224" t="e">
        <f>'Matriz POA 2024-TRABAJO'!#REF!</f>
        <v>#REF!</v>
      </c>
      <c r="AB229" s="279">
        <v>0</v>
      </c>
      <c r="AC229" s="279">
        <v>0</v>
      </c>
      <c r="AD229" s="279">
        <v>0</v>
      </c>
      <c r="AE229" s="279">
        <v>0</v>
      </c>
      <c r="AF229" s="279">
        <v>0</v>
      </c>
      <c r="AG229" s="279">
        <v>0</v>
      </c>
      <c r="AH229" s="279">
        <v>0</v>
      </c>
      <c r="AI229" s="279">
        <v>0</v>
      </c>
      <c r="AJ229" s="279">
        <v>0</v>
      </c>
      <c r="AK229" s="279">
        <v>0</v>
      </c>
      <c r="AL229" s="279">
        <v>0</v>
      </c>
      <c r="AM229" s="279">
        <v>0</v>
      </c>
      <c r="AN229" s="224" t="e">
        <f>SUM(#REF!)</f>
        <v>#REF!</v>
      </c>
      <c r="AO229" s="224">
        <f t="shared" si="25"/>
        <v>0</v>
      </c>
      <c r="AP229" s="224" t="e">
        <f t="shared" si="31"/>
        <v>#REF!</v>
      </c>
      <c r="AQ229" s="224"/>
      <c r="AR229" s="224"/>
      <c r="AS229" s="224"/>
      <c r="AT229" s="224" t="str">
        <f>IFERROR(VLOOKUP($A229,'Constancias POA'!$A$2:$DH$9993,17,FALSE),"")</f>
        <v/>
      </c>
      <c r="AU229" s="224" t="str">
        <f t="shared" si="26"/>
        <v/>
      </c>
      <c r="AV229" s="224" t="str">
        <f>IFERROR(VLOOKUP($A229,CP!$A$1:$U$7992,18,FALSE),"")</f>
        <v/>
      </c>
      <c r="AW229" s="224" t="str">
        <f>IFERROR(VLOOKUP($A229,CP!$A$1:$U$7992,19,FALSE),"")</f>
        <v/>
      </c>
      <c r="AX229" s="224" t="str">
        <f>IFERROR(VLOOKUP($A229,CP!$A$1:$U$7992,20,FALSE),"")</f>
        <v/>
      </c>
      <c r="AY229" s="224" t="str">
        <f>IFERROR(VLOOKUP($A229,CP!$A$1:$U$1,21,FALSE),"")</f>
        <v/>
      </c>
      <c r="AZ229" s="224" t="str">
        <f>IFERROR(VLOOKUP(A229,Devengado!$A$1:AJ1,35,FALSE),"")</f>
        <v/>
      </c>
      <c r="BA229" s="224" t="str">
        <f t="shared" si="27"/>
        <v/>
      </c>
      <c r="BB229" s="224" t="str">
        <f>IFERROR(AZ229/#REF!,"")</f>
        <v/>
      </c>
      <c r="BC229" s="224" t="str">
        <f>IFERROR(VLOOKUP($A229,Devengado!$A$1:$AI$1,22,FALSE),"")</f>
        <v/>
      </c>
      <c r="BD229" s="224" t="str">
        <f>IFERROR(VLOOKUP($A229,Devengado!$A$1:$AI$1,23,FALSE),"")</f>
        <v/>
      </c>
      <c r="BE229" s="224" t="str">
        <f>IFERROR(VLOOKUP($A229,Devengado!$A$1:$AI$1,24,FALSE),"")</f>
        <v/>
      </c>
      <c r="BF229" s="224" t="str">
        <f>IFERROR(VLOOKUP($A229,Devengado!$A$1:$AI$1,25,FALSE),"")</f>
        <v/>
      </c>
      <c r="BG229" s="224" t="str">
        <f>IFERROR(VLOOKUP($A229,Devengado!$A$1:$AI$1,26,FALSE),"")</f>
        <v/>
      </c>
      <c r="BH229" s="224" t="str">
        <f>IFERROR(VLOOKUP($A229,Devengado!$A$1:$AI$1,27,FALSE),"")</f>
        <v/>
      </c>
      <c r="BI229" s="224" t="str">
        <f>IFERROR(VLOOKUP($A229,Devengado!$A$1:$AI$1,28,FALSE),"")</f>
        <v/>
      </c>
      <c r="BJ229" s="224" t="str">
        <f>IFERROR(VLOOKUP($A229,Devengado!$A$1:$AI$1,29,FALSE),"")</f>
        <v/>
      </c>
      <c r="BK229" s="224" t="str">
        <f>IFERROR(VLOOKUP($A229,Devengado!$A$1:$AI$1,30,FALSE),"")</f>
        <v/>
      </c>
      <c r="BL229" s="224" t="str">
        <f>IFERROR(VLOOKUP($A229,Devengado!$A$1:$AI$1,31,FALSE),"")</f>
        <v/>
      </c>
      <c r="BM229" s="224" t="str">
        <f>IFERROR(VLOOKUP($A229,Devengado!$A$1:$AI$1,32,FALSE),"")</f>
        <v/>
      </c>
      <c r="BN229" s="224" t="str">
        <f>IFERROR(VLOOKUP($A229,Devengado!$A$1:$AI$1,33,FALSE),"")</f>
        <v/>
      </c>
      <c r="BO229" s="224">
        <f t="shared" si="28"/>
        <v>0</v>
      </c>
      <c r="BP229" s="224" t="str">
        <f t="shared" si="29"/>
        <v/>
      </c>
      <c r="BQ229" s="207"/>
      <c r="BR229" s="207" t="str">
        <f t="shared" si="30"/>
        <v>53</v>
      </c>
    </row>
    <row r="230" spans="1:70" s="225" customFormat="1" ht="25.5" customHeight="1">
      <c r="A230" s="207">
        <v>226</v>
      </c>
      <c r="B230" s="112" t="s">
        <v>244</v>
      </c>
      <c r="C230" s="112" t="s">
        <v>77</v>
      </c>
      <c r="D230" s="112" t="s">
        <v>77</v>
      </c>
      <c r="E230" s="112" t="s">
        <v>76</v>
      </c>
      <c r="F230" s="112" t="s">
        <v>77</v>
      </c>
      <c r="G230" s="112" t="s">
        <v>77</v>
      </c>
      <c r="H230" s="112" t="s">
        <v>77</v>
      </c>
      <c r="I230" s="112" t="s">
        <v>77</v>
      </c>
      <c r="J230" s="112" t="s">
        <v>77</v>
      </c>
      <c r="K230" s="112" t="s">
        <v>77</v>
      </c>
      <c r="L230" s="112" t="s">
        <v>85</v>
      </c>
      <c r="M230" s="112" t="s">
        <v>273</v>
      </c>
      <c r="N230" s="114" t="s">
        <v>246</v>
      </c>
      <c r="O230" s="118" t="s">
        <v>111</v>
      </c>
      <c r="P230" s="114" t="s">
        <v>81</v>
      </c>
      <c r="Q230" s="114" t="s">
        <v>112</v>
      </c>
      <c r="R230" s="115" t="str">
        <f t="shared" si="24"/>
        <v>53</v>
      </c>
      <c r="S230" s="130">
        <v>530106</v>
      </c>
      <c r="T230" s="122" t="str">
        <f>VLOOKUP(S230,ITEM!$C$1:$D$156,2,FALSE)</f>
        <v>Servicio de Correo</v>
      </c>
      <c r="U230" s="114" t="s">
        <v>83</v>
      </c>
      <c r="V230" s="114" t="s">
        <v>82</v>
      </c>
      <c r="W230" s="114" t="s">
        <v>84</v>
      </c>
      <c r="X230" s="114" t="s">
        <v>84</v>
      </c>
      <c r="Y230" s="224" t="e">
        <f>'Matriz POA 2024-TRABAJO'!#REF!</f>
        <v>#REF!</v>
      </c>
      <c r="Z230" s="224" t="e">
        <f>'Matriz POA 2024-TRABAJO'!#REF!</f>
        <v>#REF!</v>
      </c>
      <c r="AA230" s="224" t="e">
        <f>'Matriz POA 2024-TRABAJO'!#REF!</f>
        <v>#REF!</v>
      </c>
      <c r="AB230" s="279">
        <v>0</v>
      </c>
      <c r="AC230" s="279">
        <v>0</v>
      </c>
      <c r="AD230" s="279">
        <v>0</v>
      </c>
      <c r="AE230" s="279">
        <v>0</v>
      </c>
      <c r="AF230" s="279">
        <v>0</v>
      </c>
      <c r="AG230" s="279">
        <v>0</v>
      </c>
      <c r="AH230" s="279">
        <v>0</v>
      </c>
      <c r="AI230" s="279">
        <v>0</v>
      </c>
      <c r="AJ230" s="279">
        <v>0</v>
      </c>
      <c r="AK230" s="279">
        <v>0</v>
      </c>
      <c r="AL230" s="279">
        <v>0</v>
      </c>
      <c r="AM230" s="279">
        <v>0</v>
      </c>
      <c r="AN230" s="224" t="e">
        <f>SUM(#REF!)</f>
        <v>#REF!</v>
      </c>
      <c r="AO230" s="224">
        <f t="shared" si="25"/>
        <v>0</v>
      </c>
      <c r="AP230" s="224" t="e">
        <f t="shared" si="31"/>
        <v>#REF!</v>
      </c>
      <c r="AQ230" s="224"/>
      <c r="AR230" s="224"/>
      <c r="AS230" s="224"/>
      <c r="AT230" s="224" t="str">
        <f>IFERROR(VLOOKUP($A230,'Constancias POA'!$A$2:$DH$9993,17,FALSE),"")</f>
        <v/>
      </c>
      <c r="AU230" s="224" t="str">
        <f t="shared" si="26"/>
        <v/>
      </c>
      <c r="AV230" s="224" t="str">
        <f>IFERROR(VLOOKUP($A230,CP!$A$1:$U$7992,18,FALSE),"")</f>
        <v/>
      </c>
      <c r="AW230" s="224" t="str">
        <f>IFERROR(VLOOKUP($A230,CP!$A$1:$U$7992,19,FALSE),"")</f>
        <v/>
      </c>
      <c r="AX230" s="224" t="str">
        <f>IFERROR(VLOOKUP($A230,CP!$A$1:$U$7992,20,FALSE),"")</f>
        <v/>
      </c>
      <c r="AY230" s="224" t="str">
        <f>IFERROR(VLOOKUP($A230,CP!$A$1:$U$1,21,FALSE),"")</f>
        <v/>
      </c>
      <c r="AZ230" s="224" t="str">
        <f>IFERROR(VLOOKUP(A230,Devengado!$A$1:AJ1,35,FALSE),"")</f>
        <v/>
      </c>
      <c r="BA230" s="224" t="str">
        <f t="shared" si="27"/>
        <v/>
      </c>
      <c r="BB230" s="224" t="str">
        <f>IFERROR(AZ230/#REF!,"")</f>
        <v/>
      </c>
      <c r="BC230" s="224" t="str">
        <f>IFERROR(VLOOKUP($A230,Devengado!$A$1:$AI$1,22,FALSE),"")</f>
        <v/>
      </c>
      <c r="BD230" s="224" t="str">
        <f>IFERROR(VLOOKUP($A230,Devengado!$A$1:$AI$1,23,FALSE),"")</f>
        <v/>
      </c>
      <c r="BE230" s="224" t="str">
        <f>IFERROR(VLOOKUP($A230,Devengado!$A$1:$AI$1,24,FALSE),"")</f>
        <v/>
      </c>
      <c r="BF230" s="224" t="str">
        <f>IFERROR(VLOOKUP($A230,Devengado!$A$1:$AI$1,25,FALSE),"")</f>
        <v/>
      </c>
      <c r="BG230" s="224" t="str">
        <f>IFERROR(VLOOKUP($A230,Devengado!$A$1:$AI$1,26,FALSE),"")</f>
        <v/>
      </c>
      <c r="BH230" s="224" t="str">
        <f>IFERROR(VLOOKUP($A230,Devengado!$A$1:$AI$1,27,FALSE),"")</f>
        <v/>
      </c>
      <c r="BI230" s="224" t="str">
        <f>IFERROR(VLOOKUP($A230,Devengado!$A$1:$AI$1,28,FALSE),"")</f>
        <v/>
      </c>
      <c r="BJ230" s="224" t="str">
        <f>IFERROR(VLOOKUP($A230,Devengado!$A$1:$AI$1,29,FALSE),"")</f>
        <v/>
      </c>
      <c r="BK230" s="224" t="str">
        <f>IFERROR(VLOOKUP($A230,Devengado!$A$1:$AI$1,30,FALSE),"")</f>
        <v/>
      </c>
      <c r="BL230" s="224" t="str">
        <f>IFERROR(VLOOKUP($A230,Devengado!$A$1:$AI$1,31,FALSE),"")</f>
        <v/>
      </c>
      <c r="BM230" s="224" t="str">
        <f>IFERROR(VLOOKUP($A230,Devengado!$A$1:$AI$1,32,FALSE),"")</f>
        <v/>
      </c>
      <c r="BN230" s="224" t="str">
        <f>IFERROR(VLOOKUP($A230,Devengado!$A$1:$AI$1,33,FALSE),"")</f>
        <v/>
      </c>
      <c r="BO230" s="224">
        <f t="shared" si="28"/>
        <v>0</v>
      </c>
      <c r="BP230" s="224" t="str">
        <f t="shared" si="29"/>
        <v/>
      </c>
      <c r="BQ230" s="207"/>
      <c r="BR230" s="207" t="str">
        <f t="shared" si="30"/>
        <v>53</v>
      </c>
    </row>
    <row r="231" spans="1:70" s="225" customFormat="1" ht="25.5" customHeight="1">
      <c r="A231" s="207">
        <v>227</v>
      </c>
      <c r="B231" s="112" t="s">
        <v>244</v>
      </c>
      <c r="C231" s="112" t="s">
        <v>77</v>
      </c>
      <c r="D231" s="112" t="s">
        <v>77</v>
      </c>
      <c r="E231" s="112" t="s">
        <v>76</v>
      </c>
      <c r="F231" s="112" t="s">
        <v>77</v>
      </c>
      <c r="G231" s="112" t="s">
        <v>77</v>
      </c>
      <c r="H231" s="112" t="s">
        <v>77</v>
      </c>
      <c r="I231" s="112" t="s">
        <v>77</v>
      </c>
      <c r="J231" s="112" t="s">
        <v>77</v>
      </c>
      <c r="K231" s="112" t="s">
        <v>77</v>
      </c>
      <c r="L231" s="112" t="s">
        <v>85</v>
      </c>
      <c r="M231" s="112" t="s">
        <v>274</v>
      </c>
      <c r="N231" s="114" t="s">
        <v>246</v>
      </c>
      <c r="O231" s="118" t="s">
        <v>111</v>
      </c>
      <c r="P231" s="114" t="s">
        <v>81</v>
      </c>
      <c r="Q231" s="114" t="s">
        <v>112</v>
      </c>
      <c r="R231" s="115" t="str">
        <f t="shared" si="24"/>
        <v>53</v>
      </c>
      <c r="S231" s="130">
        <v>530804</v>
      </c>
      <c r="T231" s="122" t="e">
        <f>VLOOKUP(S231,ITEM!$C$1:$D$156,2,FALSE)</f>
        <v>#N/A</v>
      </c>
      <c r="U231" s="114" t="s">
        <v>83</v>
      </c>
      <c r="V231" s="114" t="s">
        <v>82</v>
      </c>
      <c r="W231" s="114" t="s">
        <v>84</v>
      </c>
      <c r="X231" s="114" t="s">
        <v>84</v>
      </c>
      <c r="Y231" s="224" t="e">
        <f>'Matriz POA 2024-TRABAJO'!#REF!</f>
        <v>#REF!</v>
      </c>
      <c r="Z231" s="224" t="e">
        <f>'Matriz POA 2024-TRABAJO'!#REF!</f>
        <v>#REF!</v>
      </c>
      <c r="AA231" s="224" t="e">
        <f>'Matriz POA 2024-TRABAJO'!#REF!</f>
        <v>#REF!</v>
      </c>
      <c r="AB231" s="279">
        <v>0</v>
      </c>
      <c r="AC231" s="279">
        <v>0</v>
      </c>
      <c r="AD231" s="279">
        <v>0</v>
      </c>
      <c r="AE231" s="279">
        <v>0</v>
      </c>
      <c r="AF231" s="279">
        <v>0</v>
      </c>
      <c r="AG231" s="279">
        <v>0</v>
      </c>
      <c r="AH231" s="279">
        <v>0</v>
      </c>
      <c r="AI231" s="279">
        <v>0</v>
      </c>
      <c r="AJ231" s="279">
        <v>0</v>
      </c>
      <c r="AK231" s="279">
        <v>0</v>
      </c>
      <c r="AL231" s="279">
        <v>0</v>
      </c>
      <c r="AM231" s="279">
        <v>0</v>
      </c>
      <c r="AN231" s="224" t="e">
        <f>SUM(#REF!)</f>
        <v>#REF!</v>
      </c>
      <c r="AO231" s="224">
        <f t="shared" si="25"/>
        <v>0</v>
      </c>
      <c r="AP231" s="224" t="e">
        <f t="shared" si="31"/>
        <v>#REF!</v>
      </c>
      <c r="AQ231" s="224"/>
      <c r="AR231" s="224"/>
      <c r="AS231" s="224"/>
      <c r="AT231" s="224" t="str">
        <f>IFERROR(VLOOKUP($A231,'Constancias POA'!$A$2:$DH$9993,17,FALSE),"")</f>
        <v/>
      </c>
      <c r="AU231" s="224" t="str">
        <f t="shared" si="26"/>
        <v/>
      </c>
      <c r="AV231" s="224" t="str">
        <f>IFERROR(VLOOKUP($A231,CP!$A$1:$U$7992,18,FALSE),"")</f>
        <v/>
      </c>
      <c r="AW231" s="224" t="str">
        <f>IFERROR(VLOOKUP($A231,CP!$A$1:$U$7992,19,FALSE),"")</f>
        <v/>
      </c>
      <c r="AX231" s="224" t="str">
        <f>IFERROR(VLOOKUP($A231,CP!$A$1:$U$7992,20,FALSE),"")</f>
        <v/>
      </c>
      <c r="AY231" s="224" t="str">
        <f>IFERROR(VLOOKUP($A231,CP!$A$1:$U$1,21,FALSE),"")</f>
        <v/>
      </c>
      <c r="AZ231" s="224" t="str">
        <f>IFERROR(VLOOKUP(A231,Devengado!$A$1:AJ1,35,FALSE),"")</f>
        <v/>
      </c>
      <c r="BA231" s="224" t="str">
        <f t="shared" si="27"/>
        <v/>
      </c>
      <c r="BB231" s="224" t="str">
        <f>IFERROR(AZ231/#REF!,"")</f>
        <v/>
      </c>
      <c r="BC231" s="224" t="str">
        <f>IFERROR(VLOOKUP($A231,Devengado!$A$1:$AI$1,22,FALSE),"")</f>
        <v/>
      </c>
      <c r="BD231" s="224" t="str">
        <f>IFERROR(VLOOKUP($A231,Devengado!$A$1:$AI$1,23,FALSE),"")</f>
        <v/>
      </c>
      <c r="BE231" s="224" t="str">
        <f>IFERROR(VLOOKUP($A231,Devengado!$A$1:$AI$1,24,FALSE),"")</f>
        <v/>
      </c>
      <c r="BF231" s="224" t="str">
        <f>IFERROR(VLOOKUP($A231,Devengado!$A$1:$AI$1,25,FALSE),"")</f>
        <v/>
      </c>
      <c r="BG231" s="224" t="str">
        <f>IFERROR(VLOOKUP($A231,Devengado!$A$1:$AI$1,26,FALSE),"")</f>
        <v/>
      </c>
      <c r="BH231" s="224" t="str">
        <f>IFERROR(VLOOKUP($A231,Devengado!$A$1:$AI$1,27,FALSE),"")</f>
        <v/>
      </c>
      <c r="BI231" s="224" t="str">
        <f>IFERROR(VLOOKUP($A231,Devengado!$A$1:$AI$1,28,FALSE),"")</f>
        <v/>
      </c>
      <c r="BJ231" s="224" t="str">
        <f>IFERROR(VLOOKUP($A231,Devengado!$A$1:$AI$1,29,FALSE),"")</f>
        <v/>
      </c>
      <c r="BK231" s="224" t="str">
        <f>IFERROR(VLOOKUP($A231,Devengado!$A$1:$AI$1,30,FALSE),"")</f>
        <v/>
      </c>
      <c r="BL231" s="224" t="str">
        <f>IFERROR(VLOOKUP($A231,Devengado!$A$1:$AI$1,31,FALSE),"")</f>
        <v/>
      </c>
      <c r="BM231" s="224" t="str">
        <f>IFERROR(VLOOKUP($A231,Devengado!$A$1:$AI$1,32,FALSE),"")</f>
        <v/>
      </c>
      <c r="BN231" s="224" t="str">
        <f>IFERROR(VLOOKUP($A231,Devengado!$A$1:$AI$1,33,FALSE),"")</f>
        <v/>
      </c>
      <c r="BO231" s="224">
        <f t="shared" si="28"/>
        <v>0</v>
      </c>
      <c r="BP231" s="224" t="str">
        <f t="shared" si="29"/>
        <v/>
      </c>
      <c r="BQ231" s="207"/>
      <c r="BR231" s="207" t="str">
        <f t="shared" si="30"/>
        <v>53</v>
      </c>
    </row>
    <row r="232" spans="1:70" s="225" customFormat="1" ht="25.5" customHeight="1">
      <c r="A232" s="207">
        <v>228</v>
      </c>
      <c r="B232" s="112" t="s">
        <v>244</v>
      </c>
      <c r="C232" s="112" t="s">
        <v>77</v>
      </c>
      <c r="D232" s="112" t="s">
        <v>77</v>
      </c>
      <c r="E232" s="112" t="s">
        <v>76</v>
      </c>
      <c r="F232" s="112" t="s">
        <v>77</v>
      </c>
      <c r="G232" s="112" t="s">
        <v>77</v>
      </c>
      <c r="H232" s="112" t="s">
        <v>77</v>
      </c>
      <c r="I232" s="112" t="s">
        <v>77</v>
      </c>
      <c r="J232" s="112" t="s">
        <v>77</v>
      </c>
      <c r="K232" s="112" t="s">
        <v>77</v>
      </c>
      <c r="L232" s="112" t="s">
        <v>85</v>
      </c>
      <c r="M232" s="112" t="s">
        <v>275</v>
      </c>
      <c r="N232" s="114" t="s">
        <v>246</v>
      </c>
      <c r="O232" s="118" t="s">
        <v>111</v>
      </c>
      <c r="P232" s="114" t="s">
        <v>81</v>
      </c>
      <c r="Q232" s="114" t="s">
        <v>112</v>
      </c>
      <c r="R232" s="115" t="str">
        <f t="shared" si="24"/>
        <v>53</v>
      </c>
      <c r="S232" s="130">
        <v>530202</v>
      </c>
      <c r="T232" s="122" t="str">
        <f>VLOOKUP(S232,ITEM!$C$1:$D$156,2,FALSE)</f>
        <v>Fletes y Maniobras</v>
      </c>
      <c r="U232" s="114" t="s">
        <v>83</v>
      </c>
      <c r="V232" s="114" t="s">
        <v>82</v>
      </c>
      <c r="W232" s="114" t="s">
        <v>84</v>
      </c>
      <c r="X232" s="114" t="s">
        <v>84</v>
      </c>
      <c r="Y232" s="224" t="e">
        <f>'Matriz POA 2024-TRABAJO'!#REF!</f>
        <v>#REF!</v>
      </c>
      <c r="Z232" s="224" t="e">
        <f>'Matriz POA 2024-TRABAJO'!#REF!</f>
        <v>#REF!</v>
      </c>
      <c r="AA232" s="224" t="e">
        <f>'Matriz POA 2024-TRABAJO'!#REF!</f>
        <v>#REF!</v>
      </c>
      <c r="AB232" s="279">
        <v>0</v>
      </c>
      <c r="AC232" s="279">
        <v>0</v>
      </c>
      <c r="AD232" s="279">
        <v>0</v>
      </c>
      <c r="AE232" s="279">
        <v>0</v>
      </c>
      <c r="AF232" s="279">
        <v>0</v>
      </c>
      <c r="AG232" s="279">
        <v>0</v>
      </c>
      <c r="AH232" s="279">
        <v>0</v>
      </c>
      <c r="AI232" s="279">
        <v>0</v>
      </c>
      <c r="AJ232" s="279">
        <v>0</v>
      </c>
      <c r="AK232" s="279">
        <v>0</v>
      </c>
      <c r="AL232" s="279">
        <v>0</v>
      </c>
      <c r="AM232" s="279">
        <v>0</v>
      </c>
      <c r="AN232" s="224" t="e">
        <f>SUM(#REF!)</f>
        <v>#REF!</v>
      </c>
      <c r="AO232" s="224">
        <f t="shared" si="25"/>
        <v>0</v>
      </c>
      <c r="AP232" s="224" t="e">
        <f t="shared" si="31"/>
        <v>#REF!</v>
      </c>
      <c r="AQ232" s="224"/>
      <c r="AR232" s="224"/>
      <c r="AS232" s="224"/>
      <c r="AT232" s="224" t="str">
        <f>IFERROR(VLOOKUP($A232,'Constancias POA'!$A$2:$DH$9993,17,FALSE),"")</f>
        <v/>
      </c>
      <c r="AU232" s="224" t="str">
        <f t="shared" si="26"/>
        <v/>
      </c>
      <c r="AV232" s="224" t="str">
        <f>IFERROR(VLOOKUP($A232,CP!$A$1:$U$7992,18,FALSE),"")</f>
        <v/>
      </c>
      <c r="AW232" s="224" t="str">
        <f>IFERROR(VLOOKUP($A232,CP!$A$1:$U$7992,19,FALSE),"")</f>
        <v/>
      </c>
      <c r="AX232" s="224" t="str">
        <f>IFERROR(VLOOKUP($A232,CP!$A$1:$U$7992,20,FALSE),"")</f>
        <v/>
      </c>
      <c r="AY232" s="224" t="str">
        <f>IFERROR(VLOOKUP($A232,CP!$A$1:$U$1,21,FALSE),"")</f>
        <v/>
      </c>
      <c r="AZ232" s="224" t="str">
        <f>IFERROR(VLOOKUP(A232,Devengado!$A$1:AJ1,35,FALSE),"")</f>
        <v/>
      </c>
      <c r="BA232" s="224" t="str">
        <f t="shared" si="27"/>
        <v/>
      </c>
      <c r="BB232" s="224" t="str">
        <f>IFERROR(AZ232/#REF!,"")</f>
        <v/>
      </c>
      <c r="BC232" s="224" t="str">
        <f>IFERROR(VLOOKUP($A232,Devengado!$A$1:$AI$1,22,FALSE),"")</f>
        <v/>
      </c>
      <c r="BD232" s="224" t="str">
        <f>IFERROR(VLOOKUP($A232,Devengado!$A$1:$AI$1,23,FALSE),"")</f>
        <v/>
      </c>
      <c r="BE232" s="224" t="str">
        <f>IFERROR(VLOOKUP($A232,Devengado!$A$1:$AI$1,24,FALSE),"")</f>
        <v/>
      </c>
      <c r="BF232" s="224" t="str">
        <f>IFERROR(VLOOKUP($A232,Devengado!$A$1:$AI$1,25,FALSE),"")</f>
        <v/>
      </c>
      <c r="BG232" s="224" t="str">
        <f>IFERROR(VLOOKUP($A232,Devengado!$A$1:$AI$1,26,FALSE),"")</f>
        <v/>
      </c>
      <c r="BH232" s="224" t="str">
        <f>IFERROR(VLOOKUP($A232,Devengado!$A$1:$AI$1,27,FALSE),"")</f>
        <v/>
      </c>
      <c r="BI232" s="224" t="str">
        <f>IFERROR(VLOOKUP($A232,Devengado!$A$1:$AI$1,28,FALSE),"")</f>
        <v/>
      </c>
      <c r="BJ232" s="224" t="str">
        <f>IFERROR(VLOOKUP($A232,Devengado!$A$1:$AI$1,29,FALSE),"")</f>
        <v/>
      </c>
      <c r="BK232" s="224" t="str">
        <f>IFERROR(VLOOKUP($A232,Devengado!$A$1:$AI$1,30,FALSE),"")</f>
        <v/>
      </c>
      <c r="BL232" s="224" t="str">
        <f>IFERROR(VLOOKUP($A232,Devengado!$A$1:$AI$1,31,FALSE),"")</f>
        <v/>
      </c>
      <c r="BM232" s="224" t="str">
        <f>IFERROR(VLOOKUP($A232,Devengado!$A$1:$AI$1,32,FALSE),"")</f>
        <v/>
      </c>
      <c r="BN232" s="224" t="str">
        <f>IFERROR(VLOOKUP($A232,Devengado!$A$1:$AI$1,33,FALSE),"")</f>
        <v/>
      </c>
      <c r="BO232" s="224">
        <f t="shared" si="28"/>
        <v>0</v>
      </c>
      <c r="BP232" s="224" t="str">
        <f t="shared" si="29"/>
        <v/>
      </c>
      <c r="BQ232" s="207"/>
      <c r="BR232" s="207" t="str">
        <f t="shared" si="30"/>
        <v>53</v>
      </c>
    </row>
    <row r="233" spans="1:70" s="225" customFormat="1" ht="25.5" customHeight="1">
      <c r="A233" s="207">
        <v>229</v>
      </c>
      <c r="B233" s="112" t="s">
        <v>244</v>
      </c>
      <c r="C233" s="112" t="s">
        <v>77</v>
      </c>
      <c r="D233" s="112" t="s">
        <v>77</v>
      </c>
      <c r="E233" s="112" t="s">
        <v>76</v>
      </c>
      <c r="F233" s="112" t="s">
        <v>77</v>
      </c>
      <c r="G233" s="112" t="s">
        <v>77</v>
      </c>
      <c r="H233" s="112" t="s">
        <v>77</v>
      </c>
      <c r="I233" s="112" t="s">
        <v>77</v>
      </c>
      <c r="J233" s="112" t="s">
        <v>77</v>
      </c>
      <c r="K233" s="112" t="s">
        <v>77</v>
      </c>
      <c r="L233" s="112" t="s">
        <v>85</v>
      </c>
      <c r="M233" s="112" t="s">
        <v>276</v>
      </c>
      <c r="N233" s="114" t="s">
        <v>246</v>
      </c>
      <c r="O233" s="118" t="s">
        <v>111</v>
      </c>
      <c r="P233" s="114" t="s">
        <v>81</v>
      </c>
      <c r="Q233" s="114" t="s">
        <v>112</v>
      </c>
      <c r="R233" s="115" t="str">
        <f t="shared" si="24"/>
        <v>53</v>
      </c>
      <c r="S233" s="130">
        <v>530418</v>
      </c>
      <c r="T233" s="122" t="str">
        <f>VLOOKUP(S233,ITEM!$C$1:$D$156,2,FALSE)</f>
        <v>Mantenimiento de Áreas Verdes y Arreglo de Vías Internas</v>
      </c>
      <c r="U233" s="114" t="s">
        <v>83</v>
      </c>
      <c r="V233" s="114" t="s">
        <v>82</v>
      </c>
      <c r="W233" s="114" t="s">
        <v>84</v>
      </c>
      <c r="X233" s="114" t="s">
        <v>84</v>
      </c>
      <c r="Y233" s="224" t="e">
        <f>'Matriz POA 2024-TRABAJO'!#REF!</f>
        <v>#REF!</v>
      </c>
      <c r="Z233" s="224" t="e">
        <f>'Matriz POA 2024-TRABAJO'!#REF!</f>
        <v>#REF!</v>
      </c>
      <c r="AA233" s="224" t="e">
        <f>'Matriz POA 2024-TRABAJO'!#REF!</f>
        <v>#REF!</v>
      </c>
      <c r="AB233" s="279">
        <v>0</v>
      </c>
      <c r="AC233" s="279">
        <v>0</v>
      </c>
      <c r="AD233" s="279">
        <v>0</v>
      </c>
      <c r="AE233" s="279">
        <v>0</v>
      </c>
      <c r="AF233" s="279">
        <v>0</v>
      </c>
      <c r="AG233" s="279">
        <v>0</v>
      </c>
      <c r="AH233" s="279">
        <v>0</v>
      </c>
      <c r="AI233" s="279">
        <v>0</v>
      </c>
      <c r="AJ233" s="279">
        <v>0</v>
      </c>
      <c r="AK233" s="279">
        <v>0</v>
      </c>
      <c r="AL233" s="279">
        <v>0</v>
      </c>
      <c r="AM233" s="279">
        <v>0</v>
      </c>
      <c r="AN233" s="224" t="e">
        <f>SUM(#REF!)</f>
        <v>#REF!</v>
      </c>
      <c r="AO233" s="224">
        <f t="shared" si="25"/>
        <v>0</v>
      </c>
      <c r="AP233" s="224" t="e">
        <f t="shared" si="31"/>
        <v>#REF!</v>
      </c>
      <c r="AQ233" s="224"/>
      <c r="AR233" s="224"/>
      <c r="AS233" s="224"/>
      <c r="AT233" s="224" t="str">
        <f>IFERROR(VLOOKUP($A233,'Constancias POA'!$A$2:$DH$9993,17,FALSE),"")</f>
        <v/>
      </c>
      <c r="AU233" s="224" t="str">
        <f t="shared" si="26"/>
        <v/>
      </c>
      <c r="AV233" s="224" t="str">
        <f>IFERROR(VLOOKUP($A233,CP!$A$1:$U$7992,18,FALSE),"")</f>
        <v/>
      </c>
      <c r="AW233" s="224" t="str">
        <f>IFERROR(VLOOKUP($A233,CP!$A$1:$U$7992,19,FALSE),"")</f>
        <v/>
      </c>
      <c r="AX233" s="224" t="str">
        <f>IFERROR(VLOOKUP($A233,CP!$A$1:$U$7992,20,FALSE),"")</f>
        <v/>
      </c>
      <c r="AY233" s="224" t="str">
        <f>IFERROR(VLOOKUP($A233,CP!$A$1:$U$1,21,FALSE),"")</f>
        <v/>
      </c>
      <c r="AZ233" s="224" t="str">
        <f>IFERROR(VLOOKUP(A233,Devengado!$A$1:AJ1,35,FALSE),"")</f>
        <v/>
      </c>
      <c r="BA233" s="224" t="str">
        <f t="shared" si="27"/>
        <v/>
      </c>
      <c r="BB233" s="224" t="str">
        <f>IFERROR(AZ233/#REF!,"")</f>
        <v/>
      </c>
      <c r="BC233" s="224" t="str">
        <f>IFERROR(VLOOKUP($A233,Devengado!$A$1:$AI$1,22,FALSE),"")</f>
        <v/>
      </c>
      <c r="BD233" s="224" t="str">
        <f>IFERROR(VLOOKUP($A233,Devengado!$A$1:$AI$1,23,FALSE),"")</f>
        <v/>
      </c>
      <c r="BE233" s="224" t="str">
        <f>IFERROR(VLOOKUP($A233,Devengado!$A$1:$AI$1,24,FALSE),"")</f>
        <v/>
      </c>
      <c r="BF233" s="224" t="str">
        <f>IFERROR(VLOOKUP($A233,Devengado!$A$1:$AI$1,25,FALSE),"")</f>
        <v/>
      </c>
      <c r="BG233" s="224" t="str">
        <f>IFERROR(VLOOKUP($A233,Devengado!$A$1:$AI$1,26,FALSE),"")</f>
        <v/>
      </c>
      <c r="BH233" s="224" t="str">
        <f>IFERROR(VLOOKUP($A233,Devengado!$A$1:$AI$1,27,FALSE),"")</f>
        <v/>
      </c>
      <c r="BI233" s="224" t="str">
        <f>IFERROR(VLOOKUP($A233,Devengado!$A$1:$AI$1,28,FALSE),"")</f>
        <v/>
      </c>
      <c r="BJ233" s="224" t="str">
        <f>IFERROR(VLOOKUP($A233,Devengado!$A$1:$AI$1,29,FALSE),"")</f>
        <v/>
      </c>
      <c r="BK233" s="224" t="str">
        <f>IFERROR(VLOOKUP($A233,Devengado!$A$1:$AI$1,30,FALSE),"")</f>
        <v/>
      </c>
      <c r="BL233" s="224" t="str">
        <f>IFERROR(VLOOKUP($A233,Devengado!$A$1:$AI$1,31,FALSE),"")</f>
        <v/>
      </c>
      <c r="BM233" s="224" t="str">
        <f>IFERROR(VLOOKUP($A233,Devengado!$A$1:$AI$1,32,FALSE),"")</f>
        <v/>
      </c>
      <c r="BN233" s="224" t="str">
        <f>IFERROR(VLOOKUP($A233,Devengado!$A$1:$AI$1,33,FALSE),"")</f>
        <v/>
      </c>
      <c r="BO233" s="224">
        <f t="shared" si="28"/>
        <v>0</v>
      </c>
      <c r="BP233" s="224" t="str">
        <f t="shared" si="29"/>
        <v/>
      </c>
      <c r="BQ233" s="207"/>
      <c r="BR233" s="207" t="str">
        <f t="shared" si="30"/>
        <v>53</v>
      </c>
    </row>
    <row r="234" spans="1:70" s="225" customFormat="1" ht="25.5" customHeight="1">
      <c r="A234" s="207">
        <v>230</v>
      </c>
      <c r="B234" s="112" t="s">
        <v>244</v>
      </c>
      <c r="C234" s="112" t="s">
        <v>77</v>
      </c>
      <c r="D234" s="112" t="s">
        <v>77</v>
      </c>
      <c r="E234" s="112" t="s">
        <v>76</v>
      </c>
      <c r="F234" s="112" t="s">
        <v>77</v>
      </c>
      <c r="G234" s="112" t="s">
        <v>77</v>
      </c>
      <c r="H234" s="112" t="s">
        <v>77</v>
      </c>
      <c r="I234" s="112" t="s">
        <v>77</v>
      </c>
      <c r="J234" s="112" t="s">
        <v>77</v>
      </c>
      <c r="K234" s="112" t="s">
        <v>77</v>
      </c>
      <c r="L234" s="112" t="s">
        <v>85</v>
      </c>
      <c r="M234" s="112" t="s">
        <v>277</v>
      </c>
      <c r="N234" s="114" t="s">
        <v>246</v>
      </c>
      <c r="O234" s="118" t="s">
        <v>111</v>
      </c>
      <c r="P234" s="114" t="s">
        <v>81</v>
      </c>
      <c r="Q234" s="114" t="s">
        <v>112</v>
      </c>
      <c r="R234" s="115" t="str">
        <f t="shared" si="24"/>
        <v>53</v>
      </c>
      <c r="S234" s="130">
        <v>530203</v>
      </c>
      <c r="T234" s="122" t="str">
        <f>VLOOKUP(S234,ITEM!$C$1:$D$156,2,FALSE)</f>
        <v>Almacenamiento, Embalaje, Desembalaje, Envase, Desenvase y Recarga de Extintores</v>
      </c>
      <c r="U234" s="114" t="s">
        <v>83</v>
      </c>
      <c r="V234" s="114" t="s">
        <v>82</v>
      </c>
      <c r="W234" s="114" t="s">
        <v>84</v>
      </c>
      <c r="X234" s="114" t="s">
        <v>84</v>
      </c>
      <c r="Y234" s="224" t="e">
        <f>'Matriz POA 2024-TRABAJO'!#REF!</f>
        <v>#REF!</v>
      </c>
      <c r="Z234" s="224" t="e">
        <f>'Matriz POA 2024-TRABAJO'!#REF!</f>
        <v>#REF!</v>
      </c>
      <c r="AA234" s="224" t="e">
        <f>'Matriz POA 2024-TRABAJO'!#REF!</f>
        <v>#REF!</v>
      </c>
      <c r="AB234" s="279">
        <v>0</v>
      </c>
      <c r="AC234" s="279">
        <v>0</v>
      </c>
      <c r="AD234" s="279">
        <v>0</v>
      </c>
      <c r="AE234" s="279">
        <v>0</v>
      </c>
      <c r="AF234" s="279">
        <v>0</v>
      </c>
      <c r="AG234" s="279">
        <v>0</v>
      </c>
      <c r="AH234" s="279">
        <v>0</v>
      </c>
      <c r="AI234" s="279">
        <v>0</v>
      </c>
      <c r="AJ234" s="279">
        <v>0</v>
      </c>
      <c r="AK234" s="279">
        <v>0</v>
      </c>
      <c r="AL234" s="279">
        <v>0</v>
      </c>
      <c r="AM234" s="279">
        <v>0</v>
      </c>
      <c r="AN234" s="224" t="e">
        <f>SUM(#REF!)</f>
        <v>#REF!</v>
      </c>
      <c r="AO234" s="224">
        <f t="shared" si="25"/>
        <v>0</v>
      </c>
      <c r="AP234" s="224" t="e">
        <f t="shared" si="31"/>
        <v>#REF!</v>
      </c>
      <c r="AQ234" s="224"/>
      <c r="AR234" s="224"/>
      <c r="AS234" s="224"/>
      <c r="AT234" s="224" t="str">
        <f>IFERROR(VLOOKUP($A234,'Constancias POA'!$A$2:$DH$9993,17,FALSE),"")</f>
        <v/>
      </c>
      <c r="AU234" s="224" t="str">
        <f t="shared" si="26"/>
        <v/>
      </c>
      <c r="AV234" s="224" t="str">
        <f>IFERROR(VLOOKUP($A234,CP!$A$1:$U$7992,18,FALSE),"")</f>
        <v/>
      </c>
      <c r="AW234" s="224" t="str">
        <f>IFERROR(VLOOKUP($A234,CP!$A$1:$U$7992,19,FALSE),"")</f>
        <v/>
      </c>
      <c r="AX234" s="224" t="str">
        <f>IFERROR(VLOOKUP($A234,CP!$A$1:$U$7992,20,FALSE),"")</f>
        <v/>
      </c>
      <c r="AY234" s="224" t="str">
        <f>IFERROR(VLOOKUP($A234,CP!$A$1:$U$1,21,FALSE),"")</f>
        <v/>
      </c>
      <c r="AZ234" s="224" t="str">
        <f>IFERROR(VLOOKUP(A234,Devengado!$A$1:AJ1,35,FALSE),"")</f>
        <v/>
      </c>
      <c r="BA234" s="224" t="str">
        <f t="shared" si="27"/>
        <v/>
      </c>
      <c r="BB234" s="224" t="str">
        <f>IFERROR(AZ234/#REF!,"")</f>
        <v/>
      </c>
      <c r="BC234" s="224" t="str">
        <f>IFERROR(VLOOKUP($A234,Devengado!$A$1:$AI$1,22,FALSE),"")</f>
        <v/>
      </c>
      <c r="BD234" s="224" t="str">
        <f>IFERROR(VLOOKUP($A234,Devengado!$A$1:$AI$1,23,FALSE),"")</f>
        <v/>
      </c>
      <c r="BE234" s="224" t="str">
        <f>IFERROR(VLOOKUP($A234,Devengado!$A$1:$AI$1,24,FALSE),"")</f>
        <v/>
      </c>
      <c r="BF234" s="224" t="str">
        <f>IFERROR(VLOOKUP($A234,Devengado!$A$1:$AI$1,25,FALSE),"")</f>
        <v/>
      </c>
      <c r="BG234" s="224" t="str">
        <f>IFERROR(VLOOKUP($A234,Devengado!$A$1:$AI$1,26,FALSE),"")</f>
        <v/>
      </c>
      <c r="BH234" s="224" t="str">
        <f>IFERROR(VLOOKUP($A234,Devengado!$A$1:$AI$1,27,FALSE),"")</f>
        <v/>
      </c>
      <c r="BI234" s="224" t="str">
        <f>IFERROR(VLOOKUP($A234,Devengado!$A$1:$AI$1,28,FALSE),"")</f>
        <v/>
      </c>
      <c r="BJ234" s="224" t="str">
        <f>IFERROR(VLOOKUP($A234,Devengado!$A$1:$AI$1,29,FALSE),"")</f>
        <v/>
      </c>
      <c r="BK234" s="224" t="str">
        <f>IFERROR(VLOOKUP($A234,Devengado!$A$1:$AI$1,30,FALSE),"")</f>
        <v/>
      </c>
      <c r="BL234" s="224" t="str">
        <f>IFERROR(VLOOKUP($A234,Devengado!$A$1:$AI$1,31,FALSE),"")</f>
        <v/>
      </c>
      <c r="BM234" s="224" t="str">
        <f>IFERROR(VLOOKUP($A234,Devengado!$A$1:$AI$1,32,FALSE),"")</f>
        <v/>
      </c>
      <c r="BN234" s="224" t="str">
        <f>IFERROR(VLOOKUP($A234,Devengado!$A$1:$AI$1,33,FALSE),"")</f>
        <v/>
      </c>
      <c r="BO234" s="224">
        <f t="shared" si="28"/>
        <v>0</v>
      </c>
      <c r="BP234" s="224" t="str">
        <f t="shared" si="29"/>
        <v/>
      </c>
      <c r="BQ234" s="207"/>
      <c r="BR234" s="207" t="str">
        <f t="shared" si="30"/>
        <v>53</v>
      </c>
    </row>
    <row r="235" spans="1:70" s="225" customFormat="1" ht="25.5" customHeight="1">
      <c r="A235" s="207">
        <v>231</v>
      </c>
      <c r="B235" s="112" t="s">
        <v>244</v>
      </c>
      <c r="C235" s="112" t="s">
        <v>77</v>
      </c>
      <c r="D235" s="112" t="s">
        <v>77</v>
      </c>
      <c r="E235" s="112" t="s">
        <v>76</v>
      </c>
      <c r="F235" s="112" t="s">
        <v>77</v>
      </c>
      <c r="G235" s="112" t="s">
        <v>77</v>
      </c>
      <c r="H235" s="112" t="s">
        <v>77</v>
      </c>
      <c r="I235" s="112" t="s">
        <v>77</v>
      </c>
      <c r="J235" s="112" t="s">
        <v>77</v>
      </c>
      <c r="K235" s="112" t="s">
        <v>77</v>
      </c>
      <c r="L235" s="112" t="s">
        <v>85</v>
      </c>
      <c r="M235" s="112" t="s">
        <v>278</v>
      </c>
      <c r="N235" s="114" t="s">
        <v>246</v>
      </c>
      <c r="O235" s="118" t="s">
        <v>111</v>
      </c>
      <c r="P235" s="114" t="s">
        <v>81</v>
      </c>
      <c r="Q235" s="114" t="s">
        <v>112</v>
      </c>
      <c r="R235" s="115" t="str">
        <f t="shared" si="24"/>
        <v>53</v>
      </c>
      <c r="S235" s="130">
        <v>530402</v>
      </c>
      <c r="T235" s="122" t="str">
        <f>VLOOKUP(S235,ITEM!$C$1:$D$156,2,FALSE)</f>
        <v>Edificios, Locales, Residencias y Cableado Estructurado (Instalación, Mantenimiento y Reparación)</v>
      </c>
      <c r="U235" s="114" t="s">
        <v>83</v>
      </c>
      <c r="V235" s="114" t="s">
        <v>82</v>
      </c>
      <c r="W235" s="114" t="s">
        <v>84</v>
      </c>
      <c r="X235" s="114" t="s">
        <v>84</v>
      </c>
      <c r="Y235" s="224" t="e">
        <f>'Matriz POA 2024-TRABAJO'!#REF!</f>
        <v>#REF!</v>
      </c>
      <c r="Z235" s="224" t="e">
        <f>'Matriz POA 2024-TRABAJO'!#REF!</f>
        <v>#REF!</v>
      </c>
      <c r="AA235" s="224" t="e">
        <f>'Matriz POA 2024-TRABAJO'!#REF!</f>
        <v>#REF!</v>
      </c>
      <c r="AB235" s="279">
        <v>0</v>
      </c>
      <c r="AC235" s="279">
        <v>0</v>
      </c>
      <c r="AD235" s="279">
        <v>0</v>
      </c>
      <c r="AE235" s="279">
        <v>0</v>
      </c>
      <c r="AF235" s="279">
        <v>0</v>
      </c>
      <c r="AG235" s="279">
        <v>0</v>
      </c>
      <c r="AH235" s="279">
        <v>0</v>
      </c>
      <c r="AI235" s="279">
        <v>0</v>
      </c>
      <c r="AJ235" s="279">
        <v>0</v>
      </c>
      <c r="AK235" s="279">
        <v>0</v>
      </c>
      <c r="AL235" s="279">
        <v>0</v>
      </c>
      <c r="AM235" s="279">
        <v>0</v>
      </c>
      <c r="AN235" s="224" t="e">
        <f>SUM(#REF!)</f>
        <v>#REF!</v>
      </c>
      <c r="AO235" s="224">
        <f t="shared" si="25"/>
        <v>0</v>
      </c>
      <c r="AP235" s="224" t="e">
        <f t="shared" si="31"/>
        <v>#REF!</v>
      </c>
      <c r="AQ235" s="224"/>
      <c r="AR235" s="224"/>
      <c r="AS235" s="224"/>
      <c r="AT235" s="224" t="str">
        <f>IFERROR(VLOOKUP($A235,'Constancias POA'!$A$2:$DH$9993,17,FALSE),"")</f>
        <v/>
      </c>
      <c r="AU235" s="224" t="str">
        <f t="shared" si="26"/>
        <v/>
      </c>
      <c r="AV235" s="224" t="str">
        <f>IFERROR(VLOOKUP($A235,CP!$A$1:$U$7992,18,FALSE),"")</f>
        <v/>
      </c>
      <c r="AW235" s="224" t="str">
        <f>IFERROR(VLOOKUP($A235,CP!$A$1:$U$7992,19,FALSE),"")</f>
        <v/>
      </c>
      <c r="AX235" s="224" t="str">
        <f>IFERROR(VLOOKUP($A235,CP!$A$1:$U$7992,20,FALSE),"")</f>
        <v/>
      </c>
      <c r="AY235" s="224" t="str">
        <f>IFERROR(VLOOKUP($A235,CP!$A$1:$U$1,21,FALSE),"")</f>
        <v/>
      </c>
      <c r="AZ235" s="224" t="str">
        <f>IFERROR(VLOOKUP(A235,Devengado!$A$1:AJ1,35,FALSE),"")</f>
        <v/>
      </c>
      <c r="BA235" s="224" t="str">
        <f t="shared" si="27"/>
        <v/>
      </c>
      <c r="BB235" s="224" t="str">
        <f>IFERROR(AZ235/#REF!,"")</f>
        <v/>
      </c>
      <c r="BC235" s="224" t="str">
        <f>IFERROR(VLOOKUP($A235,Devengado!$A$1:$AI$1,22,FALSE),"")</f>
        <v/>
      </c>
      <c r="BD235" s="224" t="str">
        <f>IFERROR(VLOOKUP($A235,Devengado!$A$1:$AI$1,23,FALSE),"")</f>
        <v/>
      </c>
      <c r="BE235" s="224" t="str">
        <f>IFERROR(VLOOKUP($A235,Devengado!$A$1:$AI$1,24,FALSE),"")</f>
        <v/>
      </c>
      <c r="BF235" s="224" t="str">
        <f>IFERROR(VLOOKUP($A235,Devengado!$A$1:$AI$1,25,FALSE),"")</f>
        <v/>
      </c>
      <c r="BG235" s="224" t="str">
        <f>IFERROR(VLOOKUP($A235,Devengado!$A$1:$AI$1,26,FALSE),"")</f>
        <v/>
      </c>
      <c r="BH235" s="224" t="str">
        <f>IFERROR(VLOOKUP($A235,Devengado!$A$1:$AI$1,27,FALSE),"")</f>
        <v/>
      </c>
      <c r="BI235" s="224" t="str">
        <f>IFERROR(VLOOKUP($A235,Devengado!$A$1:$AI$1,28,FALSE),"")</f>
        <v/>
      </c>
      <c r="BJ235" s="224" t="str">
        <f>IFERROR(VLOOKUP($A235,Devengado!$A$1:$AI$1,29,FALSE),"")</f>
        <v/>
      </c>
      <c r="BK235" s="224" t="str">
        <f>IFERROR(VLOOKUP($A235,Devengado!$A$1:$AI$1,30,FALSE),"")</f>
        <v/>
      </c>
      <c r="BL235" s="224" t="str">
        <f>IFERROR(VLOOKUP($A235,Devengado!$A$1:$AI$1,31,FALSE),"")</f>
        <v/>
      </c>
      <c r="BM235" s="224" t="str">
        <f>IFERROR(VLOOKUP($A235,Devengado!$A$1:$AI$1,32,FALSE),"")</f>
        <v/>
      </c>
      <c r="BN235" s="224" t="str">
        <f>IFERROR(VLOOKUP($A235,Devengado!$A$1:$AI$1,33,FALSE),"")</f>
        <v/>
      </c>
      <c r="BO235" s="224">
        <f t="shared" si="28"/>
        <v>0</v>
      </c>
      <c r="BP235" s="224" t="str">
        <f t="shared" si="29"/>
        <v/>
      </c>
      <c r="BQ235" s="207"/>
      <c r="BR235" s="207" t="str">
        <f t="shared" si="30"/>
        <v>53</v>
      </c>
    </row>
    <row r="236" spans="1:70" s="225" customFormat="1" ht="25.5" customHeight="1">
      <c r="A236" s="207">
        <v>232</v>
      </c>
      <c r="B236" s="112" t="s">
        <v>244</v>
      </c>
      <c r="C236" s="112" t="s">
        <v>77</v>
      </c>
      <c r="D236" s="112" t="s">
        <v>77</v>
      </c>
      <c r="E236" s="112" t="s">
        <v>76</v>
      </c>
      <c r="F236" s="112" t="s">
        <v>77</v>
      </c>
      <c r="G236" s="112" t="s">
        <v>77</v>
      </c>
      <c r="H236" s="112" t="s">
        <v>77</v>
      </c>
      <c r="I236" s="112" t="s">
        <v>77</v>
      </c>
      <c r="J236" s="112" t="s">
        <v>77</v>
      </c>
      <c r="K236" s="112" t="s">
        <v>77</v>
      </c>
      <c r="L236" s="112" t="s">
        <v>85</v>
      </c>
      <c r="M236" s="112" t="s">
        <v>279</v>
      </c>
      <c r="N236" s="114" t="s">
        <v>246</v>
      </c>
      <c r="O236" s="118" t="s">
        <v>111</v>
      </c>
      <c r="P236" s="114" t="s">
        <v>81</v>
      </c>
      <c r="Q236" s="114" t="s">
        <v>112</v>
      </c>
      <c r="R236" s="115" t="str">
        <f t="shared" si="24"/>
        <v>53</v>
      </c>
      <c r="S236" s="130">
        <v>530402</v>
      </c>
      <c r="T236" s="122" t="str">
        <f>VLOOKUP(S236,ITEM!$C$1:$D$156,2,FALSE)</f>
        <v>Edificios, Locales, Residencias y Cableado Estructurado (Instalación, Mantenimiento y Reparación)</v>
      </c>
      <c r="U236" s="114" t="s">
        <v>83</v>
      </c>
      <c r="V236" s="114" t="s">
        <v>82</v>
      </c>
      <c r="W236" s="114" t="s">
        <v>84</v>
      </c>
      <c r="X236" s="114" t="s">
        <v>84</v>
      </c>
      <c r="Y236" s="224" t="e">
        <f>'Matriz POA 2024-TRABAJO'!#REF!</f>
        <v>#REF!</v>
      </c>
      <c r="Z236" s="224" t="e">
        <f>'Matriz POA 2024-TRABAJO'!#REF!</f>
        <v>#REF!</v>
      </c>
      <c r="AA236" s="224" t="e">
        <f>'Matriz POA 2024-TRABAJO'!#REF!</f>
        <v>#REF!</v>
      </c>
      <c r="AB236" s="279">
        <v>0</v>
      </c>
      <c r="AC236" s="279">
        <v>0</v>
      </c>
      <c r="AD236" s="279">
        <v>0</v>
      </c>
      <c r="AE236" s="279">
        <v>0</v>
      </c>
      <c r="AF236" s="279">
        <v>0</v>
      </c>
      <c r="AG236" s="279">
        <v>0</v>
      </c>
      <c r="AH236" s="279">
        <v>0</v>
      </c>
      <c r="AI236" s="279">
        <v>0</v>
      </c>
      <c r="AJ236" s="279">
        <v>0</v>
      </c>
      <c r="AK236" s="279">
        <v>0</v>
      </c>
      <c r="AL236" s="279">
        <v>0</v>
      </c>
      <c r="AM236" s="279">
        <v>0</v>
      </c>
      <c r="AN236" s="224" t="e">
        <f>SUM(#REF!)</f>
        <v>#REF!</v>
      </c>
      <c r="AO236" s="224">
        <f t="shared" si="25"/>
        <v>0</v>
      </c>
      <c r="AP236" s="224" t="e">
        <f t="shared" si="31"/>
        <v>#REF!</v>
      </c>
      <c r="AQ236" s="224"/>
      <c r="AR236" s="224"/>
      <c r="AS236" s="224"/>
      <c r="AT236" s="224" t="str">
        <f>IFERROR(VLOOKUP($A236,'Constancias POA'!$A$2:$DH$9993,17,FALSE),"")</f>
        <v/>
      </c>
      <c r="AU236" s="224" t="str">
        <f t="shared" si="26"/>
        <v/>
      </c>
      <c r="AV236" s="224" t="str">
        <f>IFERROR(VLOOKUP($A236,CP!$A$1:$U$7992,18,FALSE),"")</f>
        <v/>
      </c>
      <c r="AW236" s="224" t="str">
        <f>IFERROR(VLOOKUP($A236,CP!$A$1:$U$7992,19,FALSE),"")</f>
        <v/>
      </c>
      <c r="AX236" s="224" t="str">
        <f>IFERROR(VLOOKUP($A236,CP!$A$1:$U$7992,20,FALSE),"")</f>
        <v/>
      </c>
      <c r="AY236" s="224" t="str">
        <f>IFERROR(VLOOKUP($A236,CP!$A$1:$U$1,21,FALSE),"")</f>
        <v/>
      </c>
      <c r="AZ236" s="224" t="str">
        <f>IFERROR(VLOOKUP(A236,Devengado!$A$1:AJ1,35,FALSE),"")</f>
        <v/>
      </c>
      <c r="BA236" s="224" t="str">
        <f t="shared" si="27"/>
        <v/>
      </c>
      <c r="BB236" s="224" t="str">
        <f>IFERROR(AZ236/#REF!,"")</f>
        <v/>
      </c>
      <c r="BC236" s="224" t="str">
        <f>IFERROR(VLOOKUP($A236,Devengado!$A$1:$AI$1,22,FALSE),"")</f>
        <v/>
      </c>
      <c r="BD236" s="224" t="str">
        <f>IFERROR(VLOOKUP($A236,Devengado!$A$1:$AI$1,23,FALSE),"")</f>
        <v/>
      </c>
      <c r="BE236" s="224" t="str">
        <f>IFERROR(VLOOKUP($A236,Devengado!$A$1:$AI$1,24,FALSE),"")</f>
        <v/>
      </c>
      <c r="BF236" s="224" t="str">
        <f>IFERROR(VLOOKUP($A236,Devengado!$A$1:$AI$1,25,FALSE),"")</f>
        <v/>
      </c>
      <c r="BG236" s="224" t="str">
        <f>IFERROR(VLOOKUP($A236,Devengado!$A$1:$AI$1,26,FALSE),"")</f>
        <v/>
      </c>
      <c r="BH236" s="224" t="str">
        <f>IFERROR(VLOOKUP($A236,Devengado!$A$1:$AI$1,27,FALSE),"")</f>
        <v/>
      </c>
      <c r="BI236" s="224" t="str">
        <f>IFERROR(VLOOKUP($A236,Devengado!$A$1:$AI$1,28,FALSE),"")</f>
        <v/>
      </c>
      <c r="BJ236" s="224" t="str">
        <f>IFERROR(VLOOKUP($A236,Devengado!$A$1:$AI$1,29,FALSE),"")</f>
        <v/>
      </c>
      <c r="BK236" s="224" t="str">
        <f>IFERROR(VLOOKUP($A236,Devengado!$A$1:$AI$1,30,FALSE),"")</f>
        <v/>
      </c>
      <c r="BL236" s="224" t="str">
        <f>IFERROR(VLOOKUP($A236,Devengado!$A$1:$AI$1,31,FALSE),"")</f>
        <v/>
      </c>
      <c r="BM236" s="224" t="str">
        <f>IFERROR(VLOOKUP($A236,Devengado!$A$1:$AI$1,32,FALSE),"")</f>
        <v/>
      </c>
      <c r="BN236" s="224" t="str">
        <f>IFERROR(VLOOKUP($A236,Devengado!$A$1:$AI$1,33,FALSE),"")</f>
        <v/>
      </c>
      <c r="BO236" s="224">
        <f t="shared" si="28"/>
        <v>0</v>
      </c>
      <c r="BP236" s="224" t="str">
        <f t="shared" si="29"/>
        <v/>
      </c>
      <c r="BQ236" s="207"/>
      <c r="BR236" s="207" t="str">
        <f t="shared" si="30"/>
        <v>53</v>
      </c>
    </row>
    <row r="237" spans="1:70" s="225" customFormat="1" ht="25.5" customHeight="1">
      <c r="A237" s="207">
        <v>233</v>
      </c>
      <c r="B237" s="112" t="s">
        <v>244</v>
      </c>
      <c r="C237" s="112" t="s">
        <v>77</v>
      </c>
      <c r="D237" s="112" t="s">
        <v>77</v>
      </c>
      <c r="E237" s="112" t="s">
        <v>76</v>
      </c>
      <c r="F237" s="112" t="s">
        <v>77</v>
      </c>
      <c r="G237" s="112" t="s">
        <v>77</v>
      </c>
      <c r="H237" s="112" t="s">
        <v>77</v>
      </c>
      <c r="I237" s="112" t="s">
        <v>77</v>
      </c>
      <c r="J237" s="112" t="s">
        <v>77</v>
      </c>
      <c r="K237" s="112" t="s">
        <v>77</v>
      </c>
      <c r="L237" s="112" t="s">
        <v>85</v>
      </c>
      <c r="M237" s="112" t="s">
        <v>280</v>
      </c>
      <c r="N237" s="114" t="s">
        <v>246</v>
      </c>
      <c r="O237" s="118" t="s">
        <v>111</v>
      </c>
      <c r="P237" s="114" t="s">
        <v>81</v>
      </c>
      <c r="Q237" s="114" t="s">
        <v>112</v>
      </c>
      <c r="R237" s="115" t="str">
        <f t="shared" si="24"/>
        <v>53</v>
      </c>
      <c r="S237" s="112">
        <v>530204</v>
      </c>
      <c r="T237" s="122" t="str">
        <f>VLOOKUP(S237,ITEM!$C$1:$D$156,2,FALSE)</f>
        <v>Edición, Impresión, Reproducción, Publicaciones, Suscripciones, Fotocopiado, Traducción, Empastado, Enmarcación,
Serigrafía, Fotografía, Carnetización, Filmación e Imágenes Satelitales.</v>
      </c>
      <c r="U237" s="114" t="s">
        <v>83</v>
      </c>
      <c r="V237" s="114" t="s">
        <v>82</v>
      </c>
      <c r="W237" s="114" t="s">
        <v>84</v>
      </c>
      <c r="X237" s="114" t="s">
        <v>84</v>
      </c>
      <c r="Y237" s="272" t="e">
        <f>'Matriz POA 2024-TRABAJO'!#REF!</f>
        <v>#REF!</v>
      </c>
      <c r="Z237" s="272" t="e">
        <f>'Matriz POA 2024-TRABAJO'!#REF!</f>
        <v>#REF!</v>
      </c>
      <c r="AA237" s="272" t="e">
        <f>'Matriz POA 2024-TRABAJO'!#REF!</f>
        <v>#REF!</v>
      </c>
      <c r="AB237" s="279">
        <v>0</v>
      </c>
      <c r="AC237" s="279">
        <v>0</v>
      </c>
      <c r="AD237" s="279">
        <v>0</v>
      </c>
      <c r="AE237" s="279">
        <v>0</v>
      </c>
      <c r="AF237" s="279">
        <v>0</v>
      </c>
      <c r="AG237" s="279">
        <v>0</v>
      </c>
      <c r="AH237" s="279">
        <v>0</v>
      </c>
      <c r="AI237" s="279">
        <v>0</v>
      </c>
      <c r="AJ237" s="279">
        <v>0</v>
      </c>
      <c r="AK237" s="279">
        <v>0</v>
      </c>
      <c r="AL237" s="279">
        <v>0</v>
      </c>
      <c r="AM237" s="279">
        <v>0</v>
      </c>
      <c r="AN237" s="224" t="e">
        <f>SUM(#REF!)</f>
        <v>#REF!</v>
      </c>
      <c r="AO237" s="224">
        <f t="shared" si="25"/>
        <v>0</v>
      </c>
      <c r="AP237" s="224" t="e">
        <f t="shared" si="31"/>
        <v>#REF!</v>
      </c>
      <c r="AQ237" s="224"/>
      <c r="AR237" s="224"/>
      <c r="AS237" s="224"/>
      <c r="AT237" s="224" t="str">
        <f>IFERROR(VLOOKUP($A237,'Constancias POA'!$A$2:$DH$9993,17,FALSE),"")</f>
        <v/>
      </c>
      <c r="AU237" s="224" t="str">
        <f t="shared" si="26"/>
        <v/>
      </c>
      <c r="AV237" s="224" t="str">
        <f>IFERROR(VLOOKUP($A237,CP!$A$1:$U$7992,18,FALSE),"")</f>
        <v/>
      </c>
      <c r="AW237" s="224" t="str">
        <f>IFERROR(VLOOKUP($A237,CP!$A$1:$U$7992,19,FALSE),"")</f>
        <v/>
      </c>
      <c r="AX237" s="224" t="str">
        <f>IFERROR(VLOOKUP($A237,CP!$A$1:$U$7992,20,FALSE),"")</f>
        <v/>
      </c>
      <c r="AY237" s="224" t="str">
        <f>IFERROR(VLOOKUP($A237,CP!$A$1:$U$1,21,FALSE),"")</f>
        <v/>
      </c>
      <c r="AZ237" s="224" t="str">
        <f>IFERROR(VLOOKUP(A237,Devengado!$A$1:AJ1,35,FALSE),"")</f>
        <v/>
      </c>
      <c r="BA237" s="224" t="str">
        <f t="shared" si="27"/>
        <v/>
      </c>
      <c r="BB237" s="224" t="str">
        <f>IFERROR(AZ237/#REF!,"")</f>
        <v/>
      </c>
      <c r="BC237" s="224" t="str">
        <f>IFERROR(VLOOKUP($A237,Devengado!$A$1:$AI$1,22,FALSE),"")</f>
        <v/>
      </c>
      <c r="BD237" s="224" t="str">
        <f>IFERROR(VLOOKUP($A237,Devengado!$A$1:$AI$1,23,FALSE),"")</f>
        <v/>
      </c>
      <c r="BE237" s="224" t="str">
        <f>IFERROR(VLOOKUP($A237,Devengado!$A$1:$AI$1,24,FALSE),"")</f>
        <v/>
      </c>
      <c r="BF237" s="224" t="str">
        <f>IFERROR(VLOOKUP($A237,Devengado!$A$1:$AI$1,25,FALSE),"")</f>
        <v/>
      </c>
      <c r="BG237" s="224" t="str">
        <f>IFERROR(VLOOKUP($A237,Devengado!$A$1:$AI$1,26,FALSE),"")</f>
        <v/>
      </c>
      <c r="BH237" s="224" t="str">
        <f>IFERROR(VLOOKUP($A237,Devengado!$A$1:$AI$1,27,FALSE),"")</f>
        <v/>
      </c>
      <c r="BI237" s="224" t="str">
        <f>IFERROR(VLOOKUP($A237,Devengado!$A$1:$AI$1,28,FALSE),"")</f>
        <v/>
      </c>
      <c r="BJ237" s="224" t="str">
        <f>IFERROR(VLOOKUP($A237,Devengado!$A$1:$AI$1,29,FALSE),"")</f>
        <v/>
      </c>
      <c r="BK237" s="224" t="str">
        <f>IFERROR(VLOOKUP($A237,Devengado!$A$1:$AI$1,30,FALSE),"")</f>
        <v/>
      </c>
      <c r="BL237" s="224" t="str">
        <f>IFERROR(VLOOKUP($A237,Devengado!$A$1:$AI$1,31,FALSE),"")</f>
        <v/>
      </c>
      <c r="BM237" s="224" t="str">
        <f>IFERROR(VLOOKUP($A237,Devengado!$A$1:$AI$1,32,FALSE),"")</f>
        <v/>
      </c>
      <c r="BN237" s="224" t="str">
        <f>IFERROR(VLOOKUP($A237,Devengado!$A$1:$AI$1,33,FALSE),"")</f>
        <v/>
      </c>
      <c r="BO237" s="224">
        <f t="shared" si="28"/>
        <v>0</v>
      </c>
      <c r="BP237" s="224" t="str">
        <f t="shared" si="29"/>
        <v/>
      </c>
      <c r="BQ237" s="207"/>
      <c r="BR237" s="207" t="str">
        <f t="shared" si="30"/>
        <v>53</v>
      </c>
    </row>
    <row r="238" spans="1:70" s="225" customFormat="1" ht="25.5" customHeight="1">
      <c r="A238" s="207">
        <v>234</v>
      </c>
      <c r="B238" s="112" t="s">
        <v>244</v>
      </c>
      <c r="C238" s="112" t="s">
        <v>77</v>
      </c>
      <c r="D238" s="112" t="s">
        <v>77</v>
      </c>
      <c r="E238" s="112" t="s">
        <v>76</v>
      </c>
      <c r="F238" s="112" t="s">
        <v>77</v>
      </c>
      <c r="G238" s="112" t="s">
        <v>77</v>
      </c>
      <c r="H238" s="112" t="s">
        <v>77</v>
      </c>
      <c r="I238" s="112" t="s">
        <v>77</v>
      </c>
      <c r="J238" s="112" t="s">
        <v>77</v>
      </c>
      <c r="K238" s="112" t="s">
        <v>77</v>
      </c>
      <c r="L238" s="112" t="s">
        <v>85</v>
      </c>
      <c r="M238" s="112" t="s">
        <v>280</v>
      </c>
      <c r="N238" s="114" t="s">
        <v>246</v>
      </c>
      <c r="O238" s="118" t="s">
        <v>111</v>
      </c>
      <c r="P238" s="114" t="s">
        <v>81</v>
      </c>
      <c r="Q238" s="114" t="s">
        <v>112</v>
      </c>
      <c r="R238" s="115" t="str">
        <f t="shared" si="24"/>
        <v>53</v>
      </c>
      <c r="S238" s="112">
        <v>530811</v>
      </c>
      <c r="T238" s="122" t="e">
        <f>VLOOKUP(S238,ITEM!$C$1:$D$156,2,FALSE)</f>
        <v>#N/A</v>
      </c>
      <c r="U238" s="114" t="s">
        <v>83</v>
      </c>
      <c r="V238" s="114" t="s">
        <v>82</v>
      </c>
      <c r="W238" s="114" t="s">
        <v>84</v>
      </c>
      <c r="X238" s="114" t="s">
        <v>84</v>
      </c>
      <c r="Y238" s="272" t="e">
        <f>'Matriz POA 2024-TRABAJO'!#REF!</f>
        <v>#REF!</v>
      </c>
      <c r="Z238" s="272" t="e">
        <f>'Matriz POA 2024-TRABAJO'!#REF!</f>
        <v>#REF!</v>
      </c>
      <c r="AA238" s="272" t="e">
        <f>'Matriz POA 2024-TRABAJO'!#REF!</f>
        <v>#REF!</v>
      </c>
      <c r="AB238" s="279">
        <v>0</v>
      </c>
      <c r="AC238" s="279">
        <v>0</v>
      </c>
      <c r="AD238" s="279">
        <v>0</v>
      </c>
      <c r="AE238" s="279">
        <v>0</v>
      </c>
      <c r="AF238" s="279">
        <v>0</v>
      </c>
      <c r="AG238" s="279">
        <v>0</v>
      </c>
      <c r="AH238" s="279">
        <v>0</v>
      </c>
      <c r="AI238" s="279">
        <v>0</v>
      </c>
      <c r="AJ238" s="279">
        <v>0</v>
      </c>
      <c r="AK238" s="279">
        <v>0</v>
      </c>
      <c r="AL238" s="279">
        <v>0</v>
      </c>
      <c r="AM238" s="279">
        <v>0</v>
      </c>
      <c r="AN238" s="224" t="e">
        <f>SUM(#REF!)</f>
        <v>#REF!</v>
      </c>
      <c r="AO238" s="224">
        <f t="shared" si="25"/>
        <v>0</v>
      </c>
      <c r="AP238" s="224" t="e">
        <f t="shared" si="31"/>
        <v>#REF!</v>
      </c>
      <c r="AQ238" s="224"/>
      <c r="AR238" s="224"/>
      <c r="AS238" s="224"/>
      <c r="AT238" s="224" t="str">
        <f>IFERROR(VLOOKUP($A238,'Constancias POA'!$A$2:$DH$9993,17,FALSE),"")</f>
        <v/>
      </c>
      <c r="AU238" s="224" t="str">
        <f t="shared" si="26"/>
        <v/>
      </c>
      <c r="AV238" s="224" t="str">
        <f>IFERROR(VLOOKUP($A238,CP!$A$1:$U$7992,18,FALSE),"")</f>
        <v/>
      </c>
      <c r="AW238" s="224" t="str">
        <f>IFERROR(VLOOKUP($A238,CP!$A$1:$U$7992,19,FALSE),"")</f>
        <v/>
      </c>
      <c r="AX238" s="224" t="str">
        <f>IFERROR(VLOOKUP($A238,CP!$A$1:$U$7992,20,FALSE),"")</f>
        <v/>
      </c>
      <c r="AY238" s="224" t="str">
        <f>IFERROR(VLOOKUP($A238,CP!$A$1:$U$1,21,FALSE),"")</f>
        <v/>
      </c>
      <c r="AZ238" s="224" t="str">
        <f>IFERROR(VLOOKUP(A238,Devengado!$A$1:AJ1,35,FALSE),"")</f>
        <v/>
      </c>
      <c r="BA238" s="224" t="str">
        <f t="shared" si="27"/>
        <v/>
      </c>
      <c r="BB238" s="224" t="str">
        <f>IFERROR(AZ238/#REF!,"")</f>
        <v/>
      </c>
      <c r="BC238" s="224" t="str">
        <f>IFERROR(VLOOKUP($A238,Devengado!$A$1:$AI$1,22,FALSE),"")</f>
        <v/>
      </c>
      <c r="BD238" s="224" t="str">
        <f>IFERROR(VLOOKUP($A238,Devengado!$A$1:$AI$1,23,FALSE),"")</f>
        <v/>
      </c>
      <c r="BE238" s="224" t="str">
        <f>IFERROR(VLOOKUP($A238,Devengado!$A$1:$AI$1,24,FALSE),"")</f>
        <v/>
      </c>
      <c r="BF238" s="224" t="str">
        <f>IFERROR(VLOOKUP($A238,Devengado!$A$1:$AI$1,25,FALSE),"")</f>
        <v/>
      </c>
      <c r="BG238" s="224" t="str">
        <f>IFERROR(VLOOKUP($A238,Devengado!$A$1:$AI$1,26,FALSE),"")</f>
        <v/>
      </c>
      <c r="BH238" s="224" t="str">
        <f>IFERROR(VLOOKUP($A238,Devengado!$A$1:$AI$1,27,FALSE),"")</f>
        <v/>
      </c>
      <c r="BI238" s="224" t="str">
        <f>IFERROR(VLOOKUP($A238,Devengado!$A$1:$AI$1,28,FALSE),"")</f>
        <v/>
      </c>
      <c r="BJ238" s="224" t="str">
        <f>IFERROR(VLOOKUP($A238,Devengado!$A$1:$AI$1,29,FALSE),"")</f>
        <v/>
      </c>
      <c r="BK238" s="224" t="str">
        <f>IFERROR(VLOOKUP($A238,Devengado!$A$1:$AI$1,30,FALSE),"")</f>
        <v/>
      </c>
      <c r="BL238" s="224" t="str">
        <f>IFERROR(VLOOKUP($A238,Devengado!$A$1:$AI$1,31,FALSE),"")</f>
        <v/>
      </c>
      <c r="BM238" s="224" t="str">
        <f>IFERROR(VLOOKUP($A238,Devengado!$A$1:$AI$1,32,FALSE),"")</f>
        <v/>
      </c>
      <c r="BN238" s="224" t="str">
        <f>IFERROR(VLOOKUP($A238,Devengado!$A$1:$AI$1,33,FALSE),"")</f>
        <v/>
      </c>
      <c r="BO238" s="224">
        <f t="shared" si="28"/>
        <v>0</v>
      </c>
      <c r="BP238" s="224" t="str">
        <f t="shared" si="29"/>
        <v/>
      </c>
      <c r="BQ238" s="207"/>
      <c r="BR238" s="207" t="str">
        <f t="shared" si="30"/>
        <v>53</v>
      </c>
    </row>
    <row r="239" spans="1:70" s="225" customFormat="1" ht="25.5" customHeight="1">
      <c r="A239" s="207">
        <v>235</v>
      </c>
      <c r="B239" s="112" t="s">
        <v>244</v>
      </c>
      <c r="C239" s="112" t="s">
        <v>77</v>
      </c>
      <c r="D239" s="112" t="s">
        <v>77</v>
      </c>
      <c r="E239" s="112" t="s">
        <v>76</v>
      </c>
      <c r="F239" s="112" t="s">
        <v>77</v>
      </c>
      <c r="G239" s="112" t="s">
        <v>77</v>
      </c>
      <c r="H239" s="112" t="s">
        <v>77</v>
      </c>
      <c r="I239" s="112" t="s">
        <v>77</v>
      </c>
      <c r="J239" s="112" t="s">
        <v>77</v>
      </c>
      <c r="K239" s="112" t="s">
        <v>77</v>
      </c>
      <c r="L239" s="112" t="s">
        <v>85</v>
      </c>
      <c r="M239" s="112" t="s">
        <v>280</v>
      </c>
      <c r="N239" s="114" t="s">
        <v>246</v>
      </c>
      <c r="O239" s="118" t="s">
        <v>111</v>
      </c>
      <c r="P239" s="114" t="s">
        <v>81</v>
      </c>
      <c r="Q239" s="114" t="s">
        <v>112</v>
      </c>
      <c r="R239" s="115" t="str">
        <f t="shared" si="24"/>
        <v>53</v>
      </c>
      <c r="S239" s="112">
        <v>530813</v>
      </c>
      <c r="T239" s="122" t="e">
        <f>VLOOKUP(S239,ITEM!$C$1:$D$156,2,FALSE)</f>
        <v>#N/A</v>
      </c>
      <c r="U239" s="114" t="s">
        <v>83</v>
      </c>
      <c r="V239" s="114" t="s">
        <v>82</v>
      </c>
      <c r="W239" s="114" t="s">
        <v>84</v>
      </c>
      <c r="X239" s="114" t="s">
        <v>84</v>
      </c>
      <c r="Y239" s="272" t="e">
        <f>'Matriz POA 2024-TRABAJO'!#REF!</f>
        <v>#REF!</v>
      </c>
      <c r="Z239" s="272" t="e">
        <f>'Matriz POA 2024-TRABAJO'!#REF!</f>
        <v>#REF!</v>
      </c>
      <c r="AA239" s="272" t="e">
        <f>'Matriz POA 2024-TRABAJO'!#REF!</f>
        <v>#REF!</v>
      </c>
      <c r="AB239" s="279">
        <v>0</v>
      </c>
      <c r="AC239" s="279">
        <v>0</v>
      </c>
      <c r="AD239" s="279">
        <v>0</v>
      </c>
      <c r="AE239" s="279">
        <v>0</v>
      </c>
      <c r="AF239" s="279">
        <v>0</v>
      </c>
      <c r="AG239" s="279">
        <v>0</v>
      </c>
      <c r="AH239" s="279">
        <v>0</v>
      </c>
      <c r="AI239" s="279">
        <v>0</v>
      </c>
      <c r="AJ239" s="279">
        <v>0</v>
      </c>
      <c r="AK239" s="279">
        <v>0</v>
      </c>
      <c r="AL239" s="279">
        <v>0</v>
      </c>
      <c r="AM239" s="279">
        <v>0</v>
      </c>
      <c r="AN239" s="224" t="e">
        <f>SUM(#REF!)</f>
        <v>#REF!</v>
      </c>
      <c r="AO239" s="224">
        <f t="shared" si="25"/>
        <v>0</v>
      </c>
      <c r="AP239" s="224" t="e">
        <f t="shared" si="31"/>
        <v>#REF!</v>
      </c>
      <c r="AQ239" s="224"/>
      <c r="AR239" s="224"/>
      <c r="AS239" s="224"/>
      <c r="AT239" s="224" t="str">
        <f>IFERROR(VLOOKUP($A239,'Constancias POA'!$A$2:$DH$9993,17,FALSE),"")</f>
        <v/>
      </c>
      <c r="AU239" s="224" t="str">
        <f t="shared" si="26"/>
        <v/>
      </c>
      <c r="AV239" s="224" t="str">
        <f>IFERROR(VLOOKUP($A239,CP!$A$1:$U$7992,18,FALSE),"")</f>
        <v/>
      </c>
      <c r="AW239" s="224" t="str">
        <f>IFERROR(VLOOKUP($A239,CP!$A$1:$U$7992,19,FALSE),"")</f>
        <v/>
      </c>
      <c r="AX239" s="224" t="str">
        <f>IFERROR(VLOOKUP($A239,CP!$A$1:$U$7992,20,FALSE),"")</f>
        <v/>
      </c>
      <c r="AY239" s="224" t="str">
        <f>IFERROR(VLOOKUP($A239,CP!$A$1:$U$1,21,FALSE),"")</f>
        <v/>
      </c>
      <c r="AZ239" s="224" t="str">
        <f>IFERROR(VLOOKUP(A239,Devengado!$A$1:AJ1,35,FALSE),"")</f>
        <v/>
      </c>
      <c r="BA239" s="224" t="str">
        <f t="shared" si="27"/>
        <v/>
      </c>
      <c r="BB239" s="224" t="str">
        <f>IFERROR(AZ239/#REF!,"")</f>
        <v/>
      </c>
      <c r="BC239" s="224" t="str">
        <f>IFERROR(VLOOKUP($A239,Devengado!$A$1:$AI$1,22,FALSE),"")</f>
        <v/>
      </c>
      <c r="BD239" s="224" t="str">
        <f>IFERROR(VLOOKUP($A239,Devengado!$A$1:$AI$1,23,FALSE),"")</f>
        <v/>
      </c>
      <c r="BE239" s="224" t="str">
        <f>IFERROR(VLOOKUP($A239,Devengado!$A$1:$AI$1,24,FALSE),"")</f>
        <v/>
      </c>
      <c r="BF239" s="224" t="str">
        <f>IFERROR(VLOOKUP($A239,Devengado!$A$1:$AI$1,25,FALSE),"")</f>
        <v/>
      </c>
      <c r="BG239" s="224" t="str">
        <f>IFERROR(VLOOKUP($A239,Devengado!$A$1:$AI$1,26,FALSE),"")</f>
        <v/>
      </c>
      <c r="BH239" s="224" t="str">
        <f>IFERROR(VLOOKUP($A239,Devengado!$A$1:$AI$1,27,FALSE),"")</f>
        <v/>
      </c>
      <c r="BI239" s="224" t="str">
        <f>IFERROR(VLOOKUP($A239,Devengado!$A$1:$AI$1,28,FALSE),"")</f>
        <v/>
      </c>
      <c r="BJ239" s="224" t="str">
        <f>IFERROR(VLOOKUP($A239,Devengado!$A$1:$AI$1,29,FALSE),"")</f>
        <v/>
      </c>
      <c r="BK239" s="224" t="str">
        <f>IFERROR(VLOOKUP($A239,Devengado!$A$1:$AI$1,30,FALSE),"")</f>
        <v/>
      </c>
      <c r="BL239" s="224" t="str">
        <f>IFERROR(VLOOKUP($A239,Devengado!$A$1:$AI$1,31,FALSE),"")</f>
        <v/>
      </c>
      <c r="BM239" s="224" t="str">
        <f>IFERROR(VLOOKUP($A239,Devengado!$A$1:$AI$1,32,FALSE),"")</f>
        <v/>
      </c>
      <c r="BN239" s="224" t="str">
        <f>IFERROR(VLOOKUP($A239,Devengado!$A$1:$AI$1,33,FALSE),"")</f>
        <v/>
      </c>
      <c r="BO239" s="224">
        <f t="shared" si="28"/>
        <v>0</v>
      </c>
      <c r="BP239" s="224" t="str">
        <f t="shared" si="29"/>
        <v/>
      </c>
      <c r="BQ239" s="207"/>
      <c r="BR239" s="207" t="str">
        <f t="shared" si="30"/>
        <v>53</v>
      </c>
    </row>
    <row r="240" spans="1:70" s="225" customFormat="1" ht="25.5" customHeight="1">
      <c r="A240" s="207">
        <v>236</v>
      </c>
      <c r="B240" s="112" t="s">
        <v>244</v>
      </c>
      <c r="C240" s="112" t="s">
        <v>77</v>
      </c>
      <c r="D240" s="112" t="s">
        <v>77</v>
      </c>
      <c r="E240" s="112" t="s">
        <v>76</v>
      </c>
      <c r="F240" s="112" t="s">
        <v>77</v>
      </c>
      <c r="G240" s="112" t="s">
        <v>77</v>
      </c>
      <c r="H240" s="112" t="s">
        <v>77</v>
      </c>
      <c r="I240" s="112" t="s">
        <v>77</v>
      </c>
      <c r="J240" s="112" t="s">
        <v>77</v>
      </c>
      <c r="K240" s="112" t="s">
        <v>77</v>
      </c>
      <c r="L240" s="112" t="s">
        <v>85</v>
      </c>
      <c r="M240" s="112" t="s">
        <v>281</v>
      </c>
      <c r="N240" s="114" t="s">
        <v>246</v>
      </c>
      <c r="O240" s="118" t="s">
        <v>111</v>
      </c>
      <c r="P240" s="114" t="s">
        <v>81</v>
      </c>
      <c r="Q240" s="114" t="s">
        <v>112</v>
      </c>
      <c r="R240" s="115" t="str">
        <f t="shared" si="24"/>
        <v>53</v>
      </c>
      <c r="S240" s="124">
        <v>530246</v>
      </c>
      <c r="T240" s="122" t="str">
        <f>VLOOKUP(S240,ITEM!$C$1:$D$156,2,FALSE)</f>
        <v>Servicios de Identificación, Marcación, Autentificación, Rastreo, Monitoreo, Seguimiento y/o Trazabilidad</v>
      </c>
      <c r="U240" s="114" t="s">
        <v>83</v>
      </c>
      <c r="V240" s="114" t="s">
        <v>82</v>
      </c>
      <c r="W240" s="114" t="s">
        <v>84</v>
      </c>
      <c r="X240" s="114" t="s">
        <v>84</v>
      </c>
      <c r="Y240" s="272" t="e">
        <f>'Matriz POA 2024-TRABAJO'!#REF!</f>
        <v>#REF!</v>
      </c>
      <c r="Z240" s="272" t="e">
        <f>'Matriz POA 2024-TRABAJO'!#REF!</f>
        <v>#REF!</v>
      </c>
      <c r="AA240" s="272" t="e">
        <f>'Matriz POA 2024-TRABAJO'!#REF!</f>
        <v>#REF!</v>
      </c>
      <c r="AB240" s="279">
        <v>0</v>
      </c>
      <c r="AC240" s="279">
        <v>0</v>
      </c>
      <c r="AD240" s="279">
        <v>0</v>
      </c>
      <c r="AE240" s="279">
        <v>0</v>
      </c>
      <c r="AF240" s="279">
        <v>0</v>
      </c>
      <c r="AG240" s="279">
        <v>0</v>
      </c>
      <c r="AH240" s="279">
        <v>0</v>
      </c>
      <c r="AI240" s="279">
        <v>0</v>
      </c>
      <c r="AJ240" s="279">
        <v>0</v>
      </c>
      <c r="AK240" s="279">
        <v>0</v>
      </c>
      <c r="AL240" s="279">
        <v>0</v>
      </c>
      <c r="AM240" s="279">
        <v>0</v>
      </c>
      <c r="AN240" s="224" t="e">
        <f>SUM(#REF!)</f>
        <v>#REF!</v>
      </c>
      <c r="AO240" s="224">
        <f t="shared" si="25"/>
        <v>0</v>
      </c>
      <c r="AP240" s="224" t="e">
        <f t="shared" si="31"/>
        <v>#REF!</v>
      </c>
      <c r="AQ240" s="224"/>
      <c r="AR240" s="224"/>
      <c r="AS240" s="224"/>
      <c r="AT240" s="224" t="str">
        <f>IFERROR(VLOOKUP($A240,'Constancias POA'!$A$2:$DH$9993,17,FALSE),"")</f>
        <v/>
      </c>
      <c r="AU240" s="224" t="str">
        <f t="shared" si="26"/>
        <v/>
      </c>
      <c r="AV240" s="224" t="str">
        <f>IFERROR(VLOOKUP($A240,CP!$A$1:$U$7992,18,FALSE),"")</f>
        <v/>
      </c>
      <c r="AW240" s="224" t="str">
        <f>IFERROR(VLOOKUP($A240,CP!$A$1:$U$7992,19,FALSE),"")</f>
        <v/>
      </c>
      <c r="AX240" s="224" t="str">
        <f>IFERROR(VLOOKUP($A240,CP!$A$1:$U$7992,20,FALSE),"")</f>
        <v/>
      </c>
      <c r="AY240" s="224" t="str">
        <f>IFERROR(VLOOKUP($A240,CP!$A$1:$U$1,21,FALSE),"")</f>
        <v/>
      </c>
      <c r="AZ240" s="224" t="str">
        <f>IFERROR(VLOOKUP(A240,Devengado!$A$1:AJ1,35,FALSE),"")</f>
        <v/>
      </c>
      <c r="BA240" s="224" t="str">
        <f t="shared" si="27"/>
        <v/>
      </c>
      <c r="BB240" s="224" t="str">
        <f>IFERROR(AZ240/#REF!,"")</f>
        <v/>
      </c>
      <c r="BC240" s="224" t="str">
        <f>IFERROR(VLOOKUP($A240,Devengado!$A$1:$AI$1,22,FALSE),"")</f>
        <v/>
      </c>
      <c r="BD240" s="224" t="str">
        <f>IFERROR(VLOOKUP($A240,Devengado!$A$1:$AI$1,23,FALSE),"")</f>
        <v/>
      </c>
      <c r="BE240" s="224" t="str">
        <f>IFERROR(VLOOKUP($A240,Devengado!$A$1:$AI$1,24,FALSE),"")</f>
        <v/>
      </c>
      <c r="BF240" s="224" t="str">
        <f>IFERROR(VLOOKUP($A240,Devengado!$A$1:$AI$1,25,FALSE),"")</f>
        <v/>
      </c>
      <c r="BG240" s="224" t="str">
        <f>IFERROR(VLOOKUP($A240,Devengado!$A$1:$AI$1,26,FALSE),"")</f>
        <v/>
      </c>
      <c r="BH240" s="224" t="str">
        <f>IFERROR(VLOOKUP($A240,Devengado!$A$1:$AI$1,27,FALSE),"")</f>
        <v/>
      </c>
      <c r="BI240" s="224" t="str">
        <f>IFERROR(VLOOKUP($A240,Devengado!$A$1:$AI$1,28,FALSE),"")</f>
        <v/>
      </c>
      <c r="BJ240" s="224" t="str">
        <f>IFERROR(VLOOKUP($A240,Devengado!$A$1:$AI$1,29,FALSE),"")</f>
        <v/>
      </c>
      <c r="BK240" s="224" t="str">
        <f>IFERROR(VLOOKUP($A240,Devengado!$A$1:$AI$1,30,FALSE),"")</f>
        <v/>
      </c>
      <c r="BL240" s="224" t="str">
        <f>IFERROR(VLOOKUP($A240,Devengado!$A$1:$AI$1,31,FALSE),"")</f>
        <v/>
      </c>
      <c r="BM240" s="224" t="str">
        <f>IFERROR(VLOOKUP($A240,Devengado!$A$1:$AI$1,32,FALSE),"")</f>
        <v/>
      </c>
      <c r="BN240" s="224" t="str">
        <f>IFERROR(VLOOKUP($A240,Devengado!$A$1:$AI$1,33,FALSE),"")</f>
        <v/>
      </c>
      <c r="BO240" s="224">
        <f t="shared" si="28"/>
        <v>0</v>
      </c>
      <c r="BP240" s="224" t="str">
        <f t="shared" si="29"/>
        <v/>
      </c>
      <c r="BQ240" s="207"/>
      <c r="BR240" s="207" t="str">
        <f t="shared" si="30"/>
        <v>53</v>
      </c>
    </row>
    <row r="241" spans="1:70" s="225" customFormat="1" ht="25.5" customHeight="1">
      <c r="A241" s="207">
        <v>237</v>
      </c>
      <c r="B241" s="112" t="s">
        <v>244</v>
      </c>
      <c r="C241" s="112" t="s">
        <v>77</v>
      </c>
      <c r="D241" s="112" t="s">
        <v>77</v>
      </c>
      <c r="E241" s="112" t="s">
        <v>76</v>
      </c>
      <c r="F241" s="112" t="s">
        <v>77</v>
      </c>
      <c r="G241" s="112" t="s">
        <v>77</v>
      </c>
      <c r="H241" s="112" t="s">
        <v>77</v>
      </c>
      <c r="I241" s="112" t="s">
        <v>77</v>
      </c>
      <c r="J241" s="112" t="s">
        <v>77</v>
      </c>
      <c r="K241" s="112" t="s">
        <v>77</v>
      </c>
      <c r="L241" s="112" t="s">
        <v>85</v>
      </c>
      <c r="M241" s="112" t="s">
        <v>282</v>
      </c>
      <c r="N241" s="114" t="s">
        <v>246</v>
      </c>
      <c r="O241" s="118" t="s">
        <v>111</v>
      </c>
      <c r="P241" s="114" t="s">
        <v>81</v>
      </c>
      <c r="Q241" s="114" t="s">
        <v>112</v>
      </c>
      <c r="R241" s="115" t="str">
        <f t="shared" si="24"/>
        <v>84</v>
      </c>
      <c r="S241" s="124">
        <v>840104</v>
      </c>
      <c r="T241" s="122" t="e">
        <f>VLOOKUP(S241,ITEM!$C$1:$D$156,2,FALSE)</f>
        <v>#N/A</v>
      </c>
      <c r="U241" s="114" t="s">
        <v>83</v>
      </c>
      <c r="V241" s="114" t="s">
        <v>82</v>
      </c>
      <c r="W241" s="114" t="s">
        <v>84</v>
      </c>
      <c r="X241" s="114" t="s">
        <v>84</v>
      </c>
      <c r="Y241" s="272" t="e">
        <f>'Matriz POA 2024-TRABAJO'!#REF!</f>
        <v>#REF!</v>
      </c>
      <c r="Z241" s="272" t="e">
        <f>'Matriz POA 2024-TRABAJO'!#REF!</f>
        <v>#REF!</v>
      </c>
      <c r="AA241" s="272" t="e">
        <f>'Matriz POA 2024-TRABAJO'!#REF!</f>
        <v>#REF!</v>
      </c>
      <c r="AB241" s="279">
        <v>0</v>
      </c>
      <c r="AC241" s="279">
        <v>0</v>
      </c>
      <c r="AD241" s="279">
        <v>0</v>
      </c>
      <c r="AE241" s="279">
        <v>0</v>
      </c>
      <c r="AF241" s="279">
        <v>0</v>
      </c>
      <c r="AG241" s="279">
        <v>0</v>
      </c>
      <c r="AH241" s="279">
        <v>0</v>
      </c>
      <c r="AI241" s="279">
        <v>0</v>
      </c>
      <c r="AJ241" s="279">
        <v>0</v>
      </c>
      <c r="AK241" s="279">
        <v>0</v>
      </c>
      <c r="AL241" s="279">
        <v>0</v>
      </c>
      <c r="AM241" s="279">
        <v>0</v>
      </c>
      <c r="AN241" s="224" t="e">
        <f>SUM(#REF!)</f>
        <v>#REF!</v>
      </c>
      <c r="AO241" s="224">
        <f t="shared" si="25"/>
        <v>0</v>
      </c>
      <c r="AP241" s="224" t="e">
        <f t="shared" si="31"/>
        <v>#REF!</v>
      </c>
      <c r="AQ241" s="224"/>
      <c r="AR241" s="224"/>
      <c r="AS241" s="224"/>
      <c r="AT241" s="224" t="str">
        <f>IFERROR(VLOOKUP($A241,'Constancias POA'!$A$2:$DH$9993,17,FALSE),"")</f>
        <v/>
      </c>
      <c r="AU241" s="224" t="str">
        <f t="shared" si="26"/>
        <v/>
      </c>
      <c r="AV241" s="224" t="str">
        <f>IFERROR(VLOOKUP($A241,CP!$A$1:$U$7992,18,FALSE),"")</f>
        <v/>
      </c>
      <c r="AW241" s="224" t="str">
        <f>IFERROR(VLOOKUP($A241,CP!$A$1:$U$7992,19,FALSE),"")</f>
        <v/>
      </c>
      <c r="AX241" s="224" t="str">
        <f>IFERROR(VLOOKUP($A241,CP!$A$1:$U$7992,20,FALSE),"")</f>
        <v/>
      </c>
      <c r="AY241" s="224" t="str">
        <f>IFERROR(VLOOKUP($A241,CP!$A$1:$U$1,21,FALSE),"")</f>
        <v/>
      </c>
      <c r="AZ241" s="224" t="str">
        <f>IFERROR(VLOOKUP(A241,Devengado!$A$1:AJ1,35,FALSE),"")</f>
        <v/>
      </c>
      <c r="BA241" s="224" t="str">
        <f t="shared" si="27"/>
        <v/>
      </c>
      <c r="BB241" s="224" t="str">
        <f>IFERROR(AZ241/#REF!,"")</f>
        <v/>
      </c>
      <c r="BC241" s="224" t="str">
        <f>IFERROR(VLOOKUP($A241,Devengado!$A$1:$AI$1,22,FALSE),"")</f>
        <v/>
      </c>
      <c r="BD241" s="224" t="str">
        <f>IFERROR(VLOOKUP($A241,Devengado!$A$1:$AI$1,23,FALSE),"")</f>
        <v/>
      </c>
      <c r="BE241" s="224" t="str">
        <f>IFERROR(VLOOKUP($A241,Devengado!$A$1:$AI$1,24,FALSE),"")</f>
        <v/>
      </c>
      <c r="BF241" s="224" t="str">
        <f>IFERROR(VLOOKUP($A241,Devengado!$A$1:$AI$1,25,FALSE),"")</f>
        <v/>
      </c>
      <c r="BG241" s="224" t="str">
        <f>IFERROR(VLOOKUP($A241,Devengado!$A$1:$AI$1,26,FALSE),"")</f>
        <v/>
      </c>
      <c r="BH241" s="224" t="str">
        <f>IFERROR(VLOOKUP($A241,Devengado!$A$1:$AI$1,27,FALSE),"")</f>
        <v/>
      </c>
      <c r="BI241" s="224" t="str">
        <f>IFERROR(VLOOKUP($A241,Devengado!$A$1:$AI$1,28,FALSE),"")</f>
        <v/>
      </c>
      <c r="BJ241" s="224" t="str">
        <f>IFERROR(VLOOKUP($A241,Devengado!$A$1:$AI$1,29,FALSE),"")</f>
        <v/>
      </c>
      <c r="BK241" s="224" t="str">
        <f>IFERROR(VLOOKUP($A241,Devengado!$A$1:$AI$1,30,FALSE),"")</f>
        <v/>
      </c>
      <c r="BL241" s="224" t="str">
        <f>IFERROR(VLOOKUP($A241,Devengado!$A$1:$AI$1,31,FALSE),"")</f>
        <v/>
      </c>
      <c r="BM241" s="224" t="str">
        <f>IFERROR(VLOOKUP($A241,Devengado!$A$1:$AI$1,32,FALSE),"")</f>
        <v/>
      </c>
      <c r="BN241" s="224" t="str">
        <f>IFERROR(VLOOKUP($A241,Devengado!$A$1:$AI$1,33,FALSE),"")</f>
        <v/>
      </c>
      <c r="BO241" s="224">
        <f t="shared" si="28"/>
        <v>0</v>
      </c>
      <c r="BP241" s="224" t="str">
        <f t="shared" si="29"/>
        <v/>
      </c>
      <c r="BQ241" s="207"/>
      <c r="BR241" s="207" t="str">
        <f t="shared" si="30"/>
        <v>84</v>
      </c>
    </row>
    <row r="242" spans="1:70" s="225" customFormat="1" ht="25.5" customHeight="1">
      <c r="A242" s="207">
        <v>238</v>
      </c>
      <c r="B242" s="112" t="s">
        <v>244</v>
      </c>
      <c r="C242" s="112" t="s">
        <v>77</v>
      </c>
      <c r="D242" s="112" t="s">
        <v>77</v>
      </c>
      <c r="E242" s="112" t="s">
        <v>76</v>
      </c>
      <c r="F242" s="112" t="s">
        <v>77</v>
      </c>
      <c r="G242" s="112" t="s">
        <v>77</v>
      </c>
      <c r="H242" s="112" t="s">
        <v>77</v>
      </c>
      <c r="I242" s="112" t="s">
        <v>77</v>
      </c>
      <c r="J242" s="112" t="s">
        <v>77</v>
      </c>
      <c r="K242" s="112" t="s">
        <v>77</v>
      </c>
      <c r="L242" s="112" t="s">
        <v>85</v>
      </c>
      <c r="M242" s="112" t="s">
        <v>283</v>
      </c>
      <c r="N242" s="114" t="s">
        <v>246</v>
      </c>
      <c r="O242" s="118" t="s">
        <v>111</v>
      </c>
      <c r="P242" s="114" t="s">
        <v>81</v>
      </c>
      <c r="Q242" s="114" t="s">
        <v>112</v>
      </c>
      <c r="R242" s="115" t="str">
        <f t="shared" si="24"/>
        <v>53</v>
      </c>
      <c r="S242" s="133">
        <v>530409</v>
      </c>
      <c r="T242" s="122" t="str">
        <f>VLOOKUP(S242,ITEM!$C$1:$D$156,2,FALSE)</f>
        <v>Libros y Colecciones</v>
      </c>
      <c r="U242" s="114" t="s">
        <v>83</v>
      </c>
      <c r="V242" s="114" t="s">
        <v>82</v>
      </c>
      <c r="W242" s="114" t="s">
        <v>84</v>
      </c>
      <c r="X242" s="114" t="s">
        <v>84</v>
      </c>
      <c r="Y242" s="272" t="e">
        <f>'Matriz POA 2024-TRABAJO'!#REF!</f>
        <v>#REF!</v>
      </c>
      <c r="Z242" s="272" t="e">
        <f>'Matriz POA 2024-TRABAJO'!#REF!</f>
        <v>#REF!</v>
      </c>
      <c r="AA242" s="272" t="e">
        <f>'Matriz POA 2024-TRABAJO'!#REF!</f>
        <v>#REF!</v>
      </c>
      <c r="AB242" s="279">
        <v>0</v>
      </c>
      <c r="AC242" s="279">
        <v>0</v>
      </c>
      <c r="AD242" s="279">
        <v>0</v>
      </c>
      <c r="AE242" s="279">
        <v>0</v>
      </c>
      <c r="AF242" s="279">
        <v>0</v>
      </c>
      <c r="AG242" s="279">
        <v>0</v>
      </c>
      <c r="AH242" s="279">
        <v>0</v>
      </c>
      <c r="AI242" s="279">
        <v>0</v>
      </c>
      <c r="AJ242" s="279">
        <v>0</v>
      </c>
      <c r="AK242" s="279">
        <v>0</v>
      </c>
      <c r="AL242" s="279">
        <v>0</v>
      </c>
      <c r="AM242" s="279">
        <v>0</v>
      </c>
      <c r="AN242" s="224" t="e">
        <f>SUM(#REF!)</f>
        <v>#REF!</v>
      </c>
      <c r="AO242" s="224">
        <f t="shared" si="25"/>
        <v>0</v>
      </c>
      <c r="AP242" s="224" t="e">
        <f t="shared" si="31"/>
        <v>#REF!</v>
      </c>
      <c r="AQ242" s="224"/>
      <c r="AR242" s="224"/>
      <c r="AS242" s="224"/>
      <c r="AT242" s="224" t="str">
        <f>IFERROR(VLOOKUP($A242,'Constancias POA'!$A$2:$DH$9993,17,FALSE),"")</f>
        <v/>
      </c>
      <c r="AU242" s="224" t="str">
        <f t="shared" si="26"/>
        <v/>
      </c>
      <c r="AV242" s="224" t="str">
        <f>IFERROR(VLOOKUP($A242,CP!$A$1:$U$7992,18,FALSE),"")</f>
        <v/>
      </c>
      <c r="AW242" s="224" t="str">
        <f>IFERROR(VLOOKUP($A242,CP!$A$1:$U$7992,19,FALSE),"")</f>
        <v/>
      </c>
      <c r="AX242" s="224" t="str">
        <f>IFERROR(VLOOKUP($A242,CP!$A$1:$U$7992,20,FALSE),"")</f>
        <v/>
      </c>
      <c r="AY242" s="224" t="str">
        <f>IFERROR(VLOOKUP($A242,CP!$A$1:$U$1,21,FALSE),"")</f>
        <v/>
      </c>
      <c r="AZ242" s="224" t="str">
        <f>IFERROR(VLOOKUP(A242,Devengado!$A$1:AJ1,35,FALSE),"")</f>
        <v/>
      </c>
      <c r="BA242" s="224" t="str">
        <f t="shared" si="27"/>
        <v/>
      </c>
      <c r="BB242" s="224" t="str">
        <f>IFERROR(AZ242/#REF!,"")</f>
        <v/>
      </c>
      <c r="BC242" s="224" t="str">
        <f>IFERROR(VLOOKUP($A242,Devengado!$A$1:$AI$1,22,FALSE),"")</f>
        <v/>
      </c>
      <c r="BD242" s="224" t="str">
        <f>IFERROR(VLOOKUP($A242,Devengado!$A$1:$AI$1,23,FALSE),"")</f>
        <v/>
      </c>
      <c r="BE242" s="224" t="str">
        <f>IFERROR(VLOOKUP($A242,Devengado!$A$1:$AI$1,24,FALSE),"")</f>
        <v/>
      </c>
      <c r="BF242" s="224" t="str">
        <f>IFERROR(VLOOKUP($A242,Devengado!$A$1:$AI$1,25,FALSE),"")</f>
        <v/>
      </c>
      <c r="BG242" s="224" t="str">
        <f>IFERROR(VLOOKUP($A242,Devengado!$A$1:$AI$1,26,FALSE),"")</f>
        <v/>
      </c>
      <c r="BH242" s="224" t="str">
        <f>IFERROR(VLOOKUP($A242,Devengado!$A$1:$AI$1,27,FALSE),"")</f>
        <v/>
      </c>
      <c r="BI242" s="224" t="str">
        <f>IFERROR(VLOOKUP($A242,Devengado!$A$1:$AI$1,28,FALSE),"")</f>
        <v/>
      </c>
      <c r="BJ242" s="224" t="str">
        <f>IFERROR(VLOOKUP($A242,Devengado!$A$1:$AI$1,29,FALSE),"")</f>
        <v/>
      </c>
      <c r="BK242" s="224" t="str">
        <f>IFERROR(VLOOKUP($A242,Devengado!$A$1:$AI$1,30,FALSE),"")</f>
        <v/>
      </c>
      <c r="BL242" s="224" t="str">
        <f>IFERROR(VLOOKUP($A242,Devengado!$A$1:$AI$1,31,FALSE),"")</f>
        <v/>
      </c>
      <c r="BM242" s="224" t="str">
        <f>IFERROR(VLOOKUP($A242,Devengado!$A$1:$AI$1,32,FALSE),"")</f>
        <v/>
      </c>
      <c r="BN242" s="224" t="str">
        <f>IFERROR(VLOOKUP($A242,Devengado!$A$1:$AI$1,33,FALSE),"")</f>
        <v/>
      </c>
      <c r="BO242" s="224">
        <f t="shared" si="28"/>
        <v>0</v>
      </c>
      <c r="BP242" s="224" t="str">
        <f t="shared" si="29"/>
        <v/>
      </c>
      <c r="BQ242" s="207"/>
      <c r="BR242" s="207" t="str">
        <f t="shared" si="30"/>
        <v>53</v>
      </c>
    </row>
    <row r="243" spans="1:70" s="225" customFormat="1" ht="25.5" customHeight="1">
      <c r="A243" s="207">
        <v>239</v>
      </c>
      <c r="B243" s="112" t="s">
        <v>244</v>
      </c>
      <c r="C243" s="112" t="s">
        <v>77</v>
      </c>
      <c r="D243" s="112" t="s">
        <v>77</v>
      </c>
      <c r="E243" s="112" t="s">
        <v>76</v>
      </c>
      <c r="F243" s="112" t="s">
        <v>77</v>
      </c>
      <c r="G243" s="112" t="s">
        <v>77</v>
      </c>
      <c r="H243" s="112" t="s">
        <v>77</v>
      </c>
      <c r="I243" s="112" t="s">
        <v>77</v>
      </c>
      <c r="J243" s="112" t="s">
        <v>77</v>
      </c>
      <c r="K243" s="112" t="s">
        <v>77</v>
      </c>
      <c r="L243" s="112" t="s">
        <v>85</v>
      </c>
      <c r="M243" s="112" t="s">
        <v>284</v>
      </c>
      <c r="N243" s="114" t="s">
        <v>246</v>
      </c>
      <c r="O243" s="118" t="s">
        <v>111</v>
      </c>
      <c r="P243" s="114" t="s">
        <v>81</v>
      </c>
      <c r="Q243" s="114" t="s">
        <v>112</v>
      </c>
      <c r="R243" s="115" t="str">
        <f t="shared" si="24"/>
        <v>53</v>
      </c>
      <c r="S243" s="124">
        <v>530807</v>
      </c>
      <c r="T243" s="122" t="e">
        <f>VLOOKUP(S243,ITEM!$C$1:$D$156,2,FALSE)</f>
        <v>#N/A</v>
      </c>
      <c r="U243" s="114" t="s">
        <v>83</v>
      </c>
      <c r="V243" s="114" t="s">
        <v>82</v>
      </c>
      <c r="W243" s="114" t="s">
        <v>84</v>
      </c>
      <c r="X243" s="114" t="s">
        <v>84</v>
      </c>
      <c r="Y243" s="272" t="e">
        <f>'Matriz POA 2024-TRABAJO'!#REF!</f>
        <v>#REF!</v>
      </c>
      <c r="Z243" s="272" t="e">
        <f>'Matriz POA 2024-TRABAJO'!#REF!</f>
        <v>#REF!</v>
      </c>
      <c r="AA243" s="272" t="e">
        <f>'Matriz POA 2024-TRABAJO'!#REF!</f>
        <v>#REF!</v>
      </c>
      <c r="AB243" s="279">
        <v>0</v>
      </c>
      <c r="AC243" s="279">
        <v>0</v>
      </c>
      <c r="AD243" s="279">
        <v>0</v>
      </c>
      <c r="AE243" s="279">
        <v>0</v>
      </c>
      <c r="AF243" s="279">
        <v>0</v>
      </c>
      <c r="AG243" s="279">
        <v>0</v>
      </c>
      <c r="AH243" s="279">
        <v>0</v>
      </c>
      <c r="AI243" s="279">
        <v>0</v>
      </c>
      <c r="AJ243" s="279">
        <v>0</v>
      </c>
      <c r="AK243" s="279">
        <v>0</v>
      </c>
      <c r="AL243" s="279">
        <v>0</v>
      </c>
      <c r="AM243" s="279">
        <v>0</v>
      </c>
      <c r="AN243" s="224" t="e">
        <f>SUM(#REF!)</f>
        <v>#REF!</v>
      </c>
      <c r="AO243" s="224">
        <f t="shared" si="25"/>
        <v>0</v>
      </c>
      <c r="AP243" s="224" t="e">
        <f t="shared" si="31"/>
        <v>#REF!</v>
      </c>
      <c r="AQ243" s="224"/>
      <c r="AR243" s="224"/>
      <c r="AS243" s="224"/>
      <c r="AT243" s="224" t="str">
        <f>IFERROR(VLOOKUP($A243,'Constancias POA'!$A$2:$DH$9993,17,FALSE),"")</f>
        <v/>
      </c>
      <c r="AU243" s="224" t="str">
        <f t="shared" si="26"/>
        <v/>
      </c>
      <c r="AV243" s="224" t="str">
        <f>IFERROR(VLOOKUP($A243,CP!$A$1:$U$7992,18,FALSE),"")</f>
        <v/>
      </c>
      <c r="AW243" s="224" t="str">
        <f>IFERROR(VLOOKUP($A243,CP!$A$1:$U$7992,19,FALSE),"")</f>
        <v/>
      </c>
      <c r="AX243" s="224" t="str">
        <f>IFERROR(VLOOKUP($A243,CP!$A$1:$U$7992,20,FALSE),"")</f>
        <v/>
      </c>
      <c r="AY243" s="224" t="str">
        <f>IFERROR(VLOOKUP($A243,CP!$A$1:$U$1,21,FALSE),"")</f>
        <v/>
      </c>
      <c r="AZ243" s="224" t="str">
        <f>IFERROR(VLOOKUP(A243,Devengado!$A$1:AJ1,35,FALSE),"")</f>
        <v/>
      </c>
      <c r="BA243" s="224" t="str">
        <f t="shared" si="27"/>
        <v/>
      </c>
      <c r="BB243" s="224" t="str">
        <f>IFERROR(AZ243/#REF!,"")</f>
        <v/>
      </c>
      <c r="BC243" s="224" t="str">
        <f>IFERROR(VLOOKUP($A243,Devengado!$A$1:$AI$1,22,FALSE),"")</f>
        <v/>
      </c>
      <c r="BD243" s="224" t="str">
        <f>IFERROR(VLOOKUP($A243,Devengado!$A$1:$AI$1,23,FALSE),"")</f>
        <v/>
      </c>
      <c r="BE243" s="224" t="str">
        <f>IFERROR(VLOOKUP($A243,Devengado!$A$1:$AI$1,24,FALSE),"")</f>
        <v/>
      </c>
      <c r="BF243" s="224" t="str">
        <f>IFERROR(VLOOKUP($A243,Devengado!$A$1:$AI$1,25,FALSE),"")</f>
        <v/>
      </c>
      <c r="BG243" s="224" t="str">
        <f>IFERROR(VLOOKUP($A243,Devengado!$A$1:$AI$1,26,FALSE),"")</f>
        <v/>
      </c>
      <c r="BH243" s="224" t="str">
        <f>IFERROR(VLOOKUP($A243,Devengado!$A$1:$AI$1,27,FALSE),"")</f>
        <v/>
      </c>
      <c r="BI243" s="224" t="str">
        <f>IFERROR(VLOOKUP($A243,Devengado!$A$1:$AI$1,28,FALSE),"")</f>
        <v/>
      </c>
      <c r="BJ243" s="224" t="str">
        <f>IFERROR(VLOOKUP($A243,Devengado!$A$1:$AI$1,29,FALSE),"")</f>
        <v/>
      </c>
      <c r="BK243" s="224" t="str">
        <f>IFERROR(VLOOKUP($A243,Devengado!$A$1:$AI$1,30,FALSE),"")</f>
        <v/>
      </c>
      <c r="BL243" s="224" t="str">
        <f>IFERROR(VLOOKUP($A243,Devengado!$A$1:$AI$1,31,FALSE),"")</f>
        <v/>
      </c>
      <c r="BM243" s="224" t="str">
        <f>IFERROR(VLOOKUP($A243,Devengado!$A$1:$AI$1,32,FALSE),"")</f>
        <v/>
      </c>
      <c r="BN243" s="224" t="str">
        <f>IFERROR(VLOOKUP($A243,Devengado!$A$1:$AI$1,33,FALSE),"")</f>
        <v/>
      </c>
      <c r="BO243" s="224">
        <f t="shared" si="28"/>
        <v>0</v>
      </c>
      <c r="BP243" s="224" t="str">
        <f t="shared" si="29"/>
        <v/>
      </c>
      <c r="BQ243" s="207"/>
      <c r="BR243" s="207" t="str">
        <f t="shared" si="30"/>
        <v>53</v>
      </c>
    </row>
    <row r="244" spans="1:70" s="225" customFormat="1" ht="25.5" customHeight="1">
      <c r="A244" s="207">
        <v>240</v>
      </c>
      <c r="B244" s="112" t="s">
        <v>244</v>
      </c>
      <c r="C244" s="112" t="s">
        <v>77</v>
      </c>
      <c r="D244" s="112" t="s">
        <v>77</v>
      </c>
      <c r="E244" s="112" t="s">
        <v>76</v>
      </c>
      <c r="F244" s="112" t="s">
        <v>77</v>
      </c>
      <c r="G244" s="112" t="s">
        <v>77</v>
      </c>
      <c r="H244" s="112" t="s">
        <v>77</v>
      </c>
      <c r="I244" s="112" t="s">
        <v>77</v>
      </c>
      <c r="J244" s="112" t="s">
        <v>77</v>
      </c>
      <c r="K244" s="112" t="s">
        <v>77</v>
      </c>
      <c r="L244" s="112" t="s">
        <v>85</v>
      </c>
      <c r="M244" s="112" t="s">
        <v>285</v>
      </c>
      <c r="N244" s="114" t="s">
        <v>246</v>
      </c>
      <c r="O244" s="118" t="s">
        <v>111</v>
      </c>
      <c r="P244" s="114" t="s">
        <v>81</v>
      </c>
      <c r="Q244" s="114" t="s">
        <v>112</v>
      </c>
      <c r="R244" s="115" t="str">
        <f t="shared" si="24"/>
        <v>53</v>
      </c>
      <c r="S244" s="124">
        <v>530204</v>
      </c>
      <c r="T244" s="122" t="str">
        <f>VLOOKUP(S244,ITEM!$C$1:$D$156,2,FALSE)</f>
        <v>Edición, Impresión, Reproducción, Publicaciones, Suscripciones, Fotocopiado, Traducción, Empastado, Enmarcación,
Serigrafía, Fotografía, Carnetización, Filmación e Imágenes Satelitales.</v>
      </c>
      <c r="U244" s="114" t="s">
        <v>83</v>
      </c>
      <c r="V244" s="114" t="s">
        <v>82</v>
      </c>
      <c r="W244" s="114" t="s">
        <v>84</v>
      </c>
      <c r="X244" s="114" t="s">
        <v>84</v>
      </c>
      <c r="Y244" s="272" t="e">
        <f>'Matriz POA 2024-TRABAJO'!#REF!</f>
        <v>#REF!</v>
      </c>
      <c r="Z244" s="272" t="e">
        <f>'Matriz POA 2024-TRABAJO'!#REF!</f>
        <v>#REF!</v>
      </c>
      <c r="AA244" s="272" t="e">
        <f>'Matriz POA 2024-TRABAJO'!#REF!</f>
        <v>#REF!</v>
      </c>
      <c r="AB244" s="273">
        <v>0</v>
      </c>
      <c r="AC244" s="273">
        <v>0</v>
      </c>
      <c r="AD244" s="273">
        <v>0</v>
      </c>
      <c r="AE244" s="273">
        <v>0</v>
      </c>
      <c r="AF244" s="273">
        <v>0</v>
      </c>
      <c r="AG244" s="273">
        <v>0</v>
      </c>
      <c r="AH244" s="273">
        <v>0</v>
      </c>
      <c r="AI244" s="273">
        <v>0</v>
      </c>
      <c r="AJ244" s="273">
        <v>0</v>
      </c>
      <c r="AK244" s="273">
        <v>0</v>
      </c>
      <c r="AL244" s="273">
        <v>0</v>
      </c>
      <c r="AM244" s="273">
        <v>0</v>
      </c>
      <c r="AN244" s="272" t="e">
        <f>SUM(#REF!)</f>
        <v>#REF!</v>
      </c>
      <c r="AO244" s="224">
        <f t="shared" si="25"/>
        <v>0</v>
      </c>
      <c r="AP244" s="224" t="e">
        <f t="shared" si="31"/>
        <v>#REF!</v>
      </c>
      <c r="AQ244" s="224"/>
      <c r="AR244" s="224"/>
      <c r="AS244" s="224"/>
      <c r="AT244" s="224" t="str">
        <f>IFERROR(VLOOKUP($A244,'Constancias POA'!$A$2:$DH$9993,17,FALSE),"")</f>
        <v/>
      </c>
      <c r="AU244" s="224" t="str">
        <f t="shared" si="26"/>
        <v/>
      </c>
      <c r="AV244" s="224" t="str">
        <f>IFERROR(VLOOKUP($A244,CP!$A$1:$U$7992,18,FALSE),"")</f>
        <v/>
      </c>
      <c r="AW244" s="224" t="str">
        <f>IFERROR(VLOOKUP($A244,CP!$A$1:$U$7992,19,FALSE),"")</f>
        <v/>
      </c>
      <c r="AX244" s="224" t="str">
        <f>IFERROR(VLOOKUP($A244,CP!$A$1:$U$7992,20,FALSE),"")</f>
        <v/>
      </c>
      <c r="AY244" s="224" t="str">
        <f>IFERROR(VLOOKUP($A244,CP!$A$1:$U$1,21,FALSE),"")</f>
        <v/>
      </c>
      <c r="AZ244" s="224" t="str">
        <f>IFERROR(VLOOKUP(A244,Devengado!$A$1:AJ1,35,FALSE),"")</f>
        <v/>
      </c>
      <c r="BA244" s="224" t="str">
        <f t="shared" si="27"/>
        <v/>
      </c>
      <c r="BB244" s="224" t="str">
        <f>IFERROR(AZ244/#REF!,"")</f>
        <v/>
      </c>
      <c r="BC244" s="224" t="str">
        <f>IFERROR(VLOOKUP($A244,Devengado!$A$1:$AI$1,22,FALSE),"")</f>
        <v/>
      </c>
      <c r="BD244" s="224" t="str">
        <f>IFERROR(VLOOKUP($A244,Devengado!$A$1:$AI$1,23,FALSE),"")</f>
        <v/>
      </c>
      <c r="BE244" s="224" t="str">
        <f>IFERROR(VLOOKUP($A244,Devengado!$A$1:$AI$1,24,FALSE),"")</f>
        <v/>
      </c>
      <c r="BF244" s="224" t="str">
        <f>IFERROR(VLOOKUP($A244,Devengado!$A$1:$AI$1,25,FALSE),"")</f>
        <v/>
      </c>
      <c r="BG244" s="224" t="str">
        <f>IFERROR(VLOOKUP($A244,Devengado!$A$1:$AI$1,26,FALSE),"")</f>
        <v/>
      </c>
      <c r="BH244" s="224" t="str">
        <f>IFERROR(VLOOKUP($A244,Devengado!$A$1:$AI$1,27,FALSE),"")</f>
        <v/>
      </c>
      <c r="BI244" s="224" t="str">
        <f>IFERROR(VLOOKUP($A244,Devengado!$A$1:$AI$1,28,FALSE),"")</f>
        <v/>
      </c>
      <c r="BJ244" s="224" t="str">
        <f>IFERROR(VLOOKUP($A244,Devengado!$A$1:$AI$1,29,FALSE),"")</f>
        <v/>
      </c>
      <c r="BK244" s="224" t="str">
        <f>IFERROR(VLOOKUP($A244,Devengado!$A$1:$AI$1,30,FALSE),"")</f>
        <v/>
      </c>
      <c r="BL244" s="224" t="str">
        <f>IFERROR(VLOOKUP($A244,Devengado!$A$1:$AI$1,31,FALSE),"")</f>
        <v/>
      </c>
      <c r="BM244" s="224" t="str">
        <f>IFERROR(VLOOKUP($A244,Devengado!$A$1:$AI$1,32,FALSE),"")</f>
        <v/>
      </c>
      <c r="BN244" s="224" t="str">
        <f>IFERROR(VLOOKUP($A244,Devengado!$A$1:$AI$1,33,FALSE),"")</f>
        <v/>
      </c>
      <c r="BO244" s="224">
        <f t="shared" si="28"/>
        <v>0</v>
      </c>
      <c r="BP244" s="224" t="str">
        <f t="shared" si="29"/>
        <v/>
      </c>
      <c r="BQ244" s="207"/>
      <c r="BR244" s="207" t="str">
        <f t="shared" si="30"/>
        <v>53</v>
      </c>
    </row>
    <row r="245" spans="1:70" s="225" customFormat="1" ht="25.5" customHeight="1">
      <c r="A245" s="207">
        <v>241</v>
      </c>
      <c r="B245" s="112" t="s">
        <v>244</v>
      </c>
      <c r="C245" s="112" t="s">
        <v>77</v>
      </c>
      <c r="D245" s="112" t="s">
        <v>77</v>
      </c>
      <c r="E245" s="112" t="s">
        <v>76</v>
      </c>
      <c r="F245" s="112" t="s">
        <v>77</v>
      </c>
      <c r="G245" s="112" t="s">
        <v>77</v>
      </c>
      <c r="H245" s="112" t="s">
        <v>77</v>
      </c>
      <c r="I245" s="112" t="s">
        <v>77</v>
      </c>
      <c r="J245" s="112" t="s">
        <v>77</v>
      </c>
      <c r="K245" s="112" t="s">
        <v>77</v>
      </c>
      <c r="L245" s="112" t="s">
        <v>85</v>
      </c>
      <c r="M245" s="112" t="s">
        <v>286</v>
      </c>
      <c r="N245" s="114" t="s">
        <v>246</v>
      </c>
      <c r="O245" s="118" t="s">
        <v>111</v>
      </c>
      <c r="P245" s="114" t="s">
        <v>81</v>
      </c>
      <c r="Q245" s="114" t="s">
        <v>112</v>
      </c>
      <c r="R245" s="115" t="str">
        <f t="shared" si="24"/>
        <v>84</v>
      </c>
      <c r="S245" s="133">
        <v>840404</v>
      </c>
      <c r="T245" s="122" t="e">
        <f>VLOOKUP(S245,ITEM!$C$1:$D$156,2,FALSE)</f>
        <v>#N/A</v>
      </c>
      <c r="U245" s="114" t="s">
        <v>83</v>
      </c>
      <c r="V245" s="114" t="s">
        <v>82</v>
      </c>
      <c r="W245" s="114" t="s">
        <v>84</v>
      </c>
      <c r="X245" s="114" t="s">
        <v>84</v>
      </c>
      <c r="Y245" s="272" t="e">
        <f>'Matriz POA 2024-TRABAJO'!#REF!</f>
        <v>#REF!</v>
      </c>
      <c r="Z245" s="272" t="e">
        <f>'Matriz POA 2024-TRABAJO'!#REF!</f>
        <v>#REF!</v>
      </c>
      <c r="AA245" s="272" t="e">
        <f>'Matriz POA 2024-TRABAJO'!#REF!</f>
        <v>#REF!</v>
      </c>
      <c r="AB245" s="273">
        <v>0</v>
      </c>
      <c r="AC245" s="273">
        <v>0</v>
      </c>
      <c r="AD245" s="273">
        <v>0</v>
      </c>
      <c r="AE245" s="273">
        <v>0</v>
      </c>
      <c r="AF245" s="273">
        <v>0</v>
      </c>
      <c r="AG245" s="273">
        <v>0</v>
      </c>
      <c r="AH245" s="273">
        <v>0</v>
      </c>
      <c r="AI245" s="273">
        <v>0</v>
      </c>
      <c r="AJ245" s="273">
        <v>0</v>
      </c>
      <c r="AK245" s="273">
        <v>0</v>
      </c>
      <c r="AL245" s="273">
        <v>0</v>
      </c>
      <c r="AM245" s="273">
        <v>0</v>
      </c>
      <c r="AN245" s="272" t="e">
        <f>SUM(#REF!)</f>
        <v>#REF!</v>
      </c>
      <c r="AO245" s="224">
        <f t="shared" si="25"/>
        <v>0</v>
      </c>
      <c r="AP245" s="224" t="e">
        <f t="shared" si="31"/>
        <v>#REF!</v>
      </c>
      <c r="AQ245" s="224"/>
      <c r="AR245" s="224"/>
      <c r="AS245" s="224"/>
      <c r="AT245" s="224" t="str">
        <f>IFERROR(VLOOKUP($A245,'Constancias POA'!$A$2:$DH$9993,17,FALSE),"")</f>
        <v/>
      </c>
      <c r="AU245" s="224" t="str">
        <f t="shared" si="26"/>
        <v/>
      </c>
      <c r="AV245" s="224" t="str">
        <f>IFERROR(VLOOKUP($A245,CP!$A$1:$U$7992,18,FALSE),"")</f>
        <v/>
      </c>
      <c r="AW245" s="224" t="str">
        <f>IFERROR(VLOOKUP($A245,CP!$A$1:$U$7992,19,FALSE),"")</f>
        <v/>
      </c>
      <c r="AX245" s="224" t="str">
        <f>IFERROR(VLOOKUP($A245,CP!$A$1:$U$7992,20,FALSE),"")</f>
        <v/>
      </c>
      <c r="AY245" s="224" t="str">
        <f>IFERROR(VLOOKUP($A245,CP!$A$1:$U$1,21,FALSE),"")</f>
        <v/>
      </c>
      <c r="AZ245" s="224" t="str">
        <f>IFERROR(VLOOKUP(A245,Devengado!$A$1:AJ1,35,FALSE),"")</f>
        <v/>
      </c>
      <c r="BA245" s="224" t="str">
        <f t="shared" si="27"/>
        <v/>
      </c>
      <c r="BB245" s="224" t="str">
        <f>IFERROR(AZ245/#REF!,"")</f>
        <v/>
      </c>
      <c r="BC245" s="224" t="str">
        <f>IFERROR(VLOOKUP($A245,Devengado!$A$1:$AI$1,22,FALSE),"")</f>
        <v/>
      </c>
      <c r="BD245" s="224" t="str">
        <f>IFERROR(VLOOKUP($A245,Devengado!$A$1:$AI$1,23,FALSE),"")</f>
        <v/>
      </c>
      <c r="BE245" s="224" t="str">
        <f>IFERROR(VLOOKUP($A245,Devengado!$A$1:$AI$1,24,FALSE),"")</f>
        <v/>
      </c>
      <c r="BF245" s="224" t="str">
        <f>IFERROR(VLOOKUP($A245,Devengado!$A$1:$AI$1,25,FALSE),"")</f>
        <v/>
      </c>
      <c r="BG245" s="224" t="str">
        <f>IFERROR(VLOOKUP($A245,Devengado!$A$1:$AI$1,26,FALSE),"")</f>
        <v/>
      </c>
      <c r="BH245" s="224" t="str">
        <f>IFERROR(VLOOKUP($A245,Devengado!$A$1:$AI$1,27,FALSE),"")</f>
        <v/>
      </c>
      <c r="BI245" s="224" t="str">
        <f>IFERROR(VLOOKUP($A245,Devengado!$A$1:$AI$1,28,FALSE),"")</f>
        <v/>
      </c>
      <c r="BJ245" s="224" t="str">
        <f>IFERROR(VLOOKUP($A245,Devengado!$A$1:$AI$1,29,FALSE),"")</f>
        <v/>
      </c>
      <c r="BK245" s="224" t="str">
        <f>IFERROR(VLOOKUP($A245,Devengado!$A$1:$AI$1,30,FALSE),"")</f>
        <v/>
      </c>
      <c r="BL245" s="224" t="str">
        <f>IFERROR(VLOOKUP($A245,Devengado!$A$1:$AI$1,31,FALSE),"")</f>
        <v/>
      </c>
      <c r="BM245" s="224" t="str">
        <f>IFERROR(VLOOKUP($A245,Devengado!$A$1:$AI$1,32,FALSE),"")</f>
        <v/>
      </c>
      <c r="BN245" s="224" t="str">
        <f>IFERROR(VLOOKUP($A245,Devengado!$A$1:$AI$1,33,FALSE),"")</f>
        <v/>
      </c>
      <c r="BO245" s="224">
        <f t="shared" si="28"/>
        <v>0</v>
      </c>
      <c r="BP245" s="224" t="str">
        <f t="shared" si="29"/>
        <v/>
      </c>
      <c r="BQ245" s="207"/>
      <c r="BR245" s="207" t="str">
        <f t="shared" si="30"/>
        <v>84</v>
      </c>
    </row>
    <row r="246" spans="1:70" s="225" customFormat="1" ht="15.75" customHeight="1">
      <c r="A246" s="207">
        <v>242</v>
      </c>
      <c r="B246" s="112" t="s">
        <v>287</v>
      </c>
      <c r="C246" s="112" t="s">
        <v>77</v>
      </c>
      <c r="D246" s="112" t="s">
        <v>77</v>
      </c>
      <c r="E246" s="112" t="s">
        <v>76</v>
      </c>
      <c r="F246" s="112" t="s">
        <v>77</v>
      </c>
      <c r="G246" s="112" t="s">
        <v>77</v>
      </c>
      <c r="H246" s="112" t="s">
        <v>77</v>
      </c>
      <c r="I246" s="112" t="s">
        <v>77</v>
      </c>
      <c r="J246" s="112" t="s">
        <v>77</v>
      </c>
      <c r="K246" s="112" t="s">
        <v>77</v>
      </c>
      <c r="L246" s="112" t="s">
        <v>85</v>
      </c>
      <c r="M246" s="114" t="s">
        <v>288</v>
      </c>
      <c r="N246" s="114" t="s">
        <v>289</v>
      </c>
      <c r="O246" s="123">
        <v>80</v>
      </c>
      <c r="P246" s="114" t="s">
        <v>81</v>
      </c>
      <c r="Q246" s="114" t="s">
        <v>112</v>
      </c>
      <c r="R246" s="115" t="str">
        <f t="shared" si="24"/>
        <v>51</v>
      </c>
      <c r="S246" s="112">
        <v>510105</v>
      </c>
      <c r="T246" s="122" t="str">
        <f>VLOOKUP(S246,ITEM!$C$1:$D$156,2,FALSE)</f>
        <v>Remuneraciones Unificadas</v>
      </c>
      <c r="U246" s="112">
        <v>900</v>
      </c>
      <c r="V246" s="114" t="s">
        <v>82</v>
      </c>
      <c r="W246" s="114" t="s">
        <v>84</v>
      </c>
      <c r="X246" s="114" t="s">
        <v>84</v>
      </c>
      <c r="Y246" s="224" t="e">
        <f>'Matriz POA 2024-TRABAJO'!#REF!</f>
        <v>#REF!</v>
      </c>
      <c r="Z246" s="224" t="e">
        <f>'Matriz POA 2024-TRABAJO'!#REF!</f>
        <v>#REF!</v>
      </c>
      <c r="AA246" s="224" t="e">
        <f>'Matriz POA 2024-TRABAJO'!#REF!</f>
        <v>#REF!</v>
      </c>
      <c r="AB246" s="279">
        <v>36547.85</v>
      </c>
      <c r="AC246" s="279">
        <v>36547.85</v>
      </c>
      <c r="AD246" s="279">
        <v>36547.85</v>
      </c>
      <c r="AE246" s="279">
        <v>36547.85</v>
      </c>
      <c r="AF246" s="279">
        <v>36547.85</v>
      </c>
      <c r="AG246" s="279">
        <v>36547.85</v>
      </c>
      <c r="AH246" s="279">
        <v>36547.85</v>
      </c>
      <c r="AI246" s="279">
        <v>36547.85</v>
      </c>
      <c r="AJ246" s="279">
        <v>36547.86</v>
      </c>
      <c r="AK246" s="279">
        <v>38165.67</v>
      </c>
      <c r="AL246" s="279">
        <v>36547.86</v>
      </c>
      <c r="AM246" s="279">
        <v>36549.440000000002</v>
      </c>
      <c r="AN246" s="224" t="e">
        <f>SUM(#REF!)</f>
        <v>#REF!</v>
      </c>
      <c r="AO246" s="224">
        <f t="shared" si="25"/>
        <v>440193.62999999995</v>
      </c>
      <c r="AP246" s="224" t="e">
        <f>+AO246-AA246</f>
        <v>#REF!</v>
      </c>
      <c r="AQ246" s="224"/>
      <c r="AR246" s="224"/>
      <c r="AS246" s="224"/>
      <c r="AT246" s="224" t="str">
        <f>IFERROR(VLOOKUP($A246,'Constancias POA'!$A$2:$DH$9993,17,FALSE),"")</f>
        <v/>
      </c>
      <c r="AU246" s="224" t="str">
        <f t="shared" si="26"/>
        <v/>
      </c>
      <c r="AV246" s="224" t="str">
        <f>IFERROR(VLOOKUP($A246,CP!$A$1:$U$7992,18,FALSE),"")</f>
        <v/>
      </c>
      <c r="AW246" s="224" t="str">
        <f>IFERROR(VLOOKUP($A246,CP!$A$1:$U$7992,19,FALSE),"")</f>
        <v/>
      </c>
      <c r="AX246" s="224" t="str">
        <f>IFERROR(VLOOKUP($A246,CP!$A$1:$U$7992,20,FALSE),"")</f>
        <v/>
      </c>
      <c r="AY246" s="224" t="str">
        <f>IFERROR(VLOOKUP($A246,CP!$A$1:$U$1,21,FALSE),"")</f>
        <v/>
      </c>
      <c r="AZ246" s="224" t="str">
        <f>IFERROR(VLOOKUP(A246,Devengado!$A$1:AJ1,35,FALSE),"")</f>
        <v/>
      </c>
      <c r="BA246" s="224" t="str">
        <f t="shared" si="27"/>
        <v/>
      </c>
      <c r="BB246" s="224" t="str">
        <f>IFERROR(AZ246/#REF!,"")</f>
        <v/>
      </c>
      <c r="BC246" s="224" t="str">
        <f>IFERROR(VLOOKUP($A246,Devengado!$A$1:$AI$1,22,FALSE),"")</f>
        <v/>
      </c>
      <c r="BD246" s="224" t="str">
        <f>IFERROR(VLOOKUP($A246,Devengado!$A$1:$AI$1,23,FALSE),"")</f>
        <v/>
      </c>
      <c r="BE246" s="224" t="str">
        <f>IFERROR(VLOOKUP($A246,Devengado!$A$1:$AI$1,24,FALSE),"")</f>
        <v/>
      </c>
      <c r="BF246" s="224" t="str">
        <f>IFERROR(VLOOKUP($A246,Devengado!$A$1:$AI$1,25,FALSE),"")</f>
        <v/>
      </c>
      <c r="BG246" s="224" t="str">
        <f>IFERROR(VLOOKUP($A246,Devengado!$A$1:$AI$1,26,FALSE),"")</f>
        <v/>
      </c>
      <c r="BH246" s="224" t="str">
        <f>IFERROR(VLOOKUP($A246,Devengado!$A$1:$AI$1,27,FALSE),"")</f>
        <v/>
      </c>
      <c r="BI246" s="224" t="str">
        <f>IFERROR(VLOOKUP($A246,Devengado!$A$1:$AI$1,28,FALSE),"")</f>
        <v/>
      </c>
      <c r="BJ246" s="224" t="str">
        <f>IFERROR(VLOOKUP($A246,Devengado!$A$1:$AI$1,29,FALSE),"")</f>
        <v/>
      </c>
      <c r="BK246" s="224" t="str">
        <f>IFERROR(VLOOKUP($A246,Devengado!$A$1:$AI$1,30,FALSE),"")</f>
        <v/>
      </c>
      <c r="BL246" s="224" t="str">
        <f>IFERROR(VLOOKUP($A246,Devengado!$A$1:$AI$1,31,FALSE),"")</f>
        <v/>
      </c>
      <c r="BM246" s="224" t="str">
        <f>IFERROR(VLOOKUP($A246,Devengado!$A$1:$AI$1,32,FALSE),"")</f>
        <v/>
      </c>
      <c r="BN246" s="224" t="str">
        <f>IFERROR(VLOOKUP($A246,Devengado!$A$1:$AI$1,33,FALSE),"")</f>
        <v/>
      </c>
      <c r="BO246" s="224">
        <f t="shared" si="28"/>
        <v>0</v>
      </c>
      <c r="BP246" s="224" t="str">
        <f t="shared" si="29"/>
        <v/>
      </c>
      <c r="BQ246" s="207"/>
      <c r="BR246" s="207" t="str">
        <f t="shared" si="30"/>
        <v>51</v>
      </c>
    </row>
    <row r="247" spans="1:70" s="225" customFormat="1" ht="25.5" customHeight="1">
      <c r="A247" s="207">
        <v>243</v>
      </c>
      <c r="B247" s="112" t="s">
        <v>287</v>
      </c>
      <c r="C247" s="112" t="s">
        <v>77</v>
      </c>
      <c r="D247" s="112" t="s">
        <v>77</v>
      </c>
      <c r="E247" s="112" t="s">
        <v>76</v>
      </c>
      <c r="F247" s="112" t="s">
        <v>77</v>
      </c>
      <c r="G247" s="112" t="s">
        <v>77</v>
      </c>
      <c r="H247" s="112" t="s">
        <v>77</v>
      </c>
      <c r="I247" s="112" t="s">
        <v>77</v>
      </c>
      <c r="J247" s="112" t="s">
        <v>77</v>
      </c>
      <c r="K247" s="112" t="s">
        <v>77</v>
      </c>
      <c r="L247" s="112" t="s">
        <v>85</v>
      </c>
      <c r="M247" s="114" t="s">
        <v>288</v>
      </c>
      <c r="N247" s="114" t="s">
        <v>289</v>
      </c>
      <c r="O247" s="123">
        <v>80</v>
      </c>
      <c r="P247" s="114" t="s">
        <v>81</v>
      </c>
      <c r="Q247" s="114" t="s">
        <v>112</v>
      </c>
      <c r="R247" s="115" t="str">
        <f t="shared" si="24"/>
        <v>51</v>
      </c>
      <c r="S247" s="112">
        <v>510510</v>
      </c>
      <c r="T247" s="122" t="str">
        <f>VLOOKUP(S247,ITEM!$C$1:$D$156,2,FALSE)</f>
        <v>Servicios Personales por Contrato</v>
      </c>
      <c r="U247" s="112">
        <v>900</v>
      </c>
      <c r="V247" s="114" t="s">
        <v>82</v>
      </c>
      <c r="W247" s="114" t="s">
        <v>84</v>
      </c>
      <c r="X247" s="114" t="s">
        <v>84</v>
      </c>
      <c r="Y247" s="224" t="e">
        <f>'Matriz POA 2024-TRABAJO'!#REF!</f>
        <v>#REF!</v>
      </c>
      <c r="Z247" s="224" t="e">
        <f>'Matriz POA 2024-TRABAJO'!#REF!</f>
        <v>#REF!</v>
      </c>
      <c r="AA247" s="224" t="e">
        <f>'Matriz POA 2024-TRABAJO'!#REF!</f>
        <v>#REF!</v>
      </c>
      <c r="AB247" s="279">
        <v>6932</v>
      </c>
      <c r="AC247" s="279">
        <v>6932</v>
      </c>
      <c r="AD247" s="279">
        <v>6932</v>
      </c>
      <c r="AE247" s="279">
        <v>6932</v>
      </c>
      <c r="AF247" s="279">
        <v>6932</v>
      </c>
      <c r="AG247" s="279">
        <v>6932</v>
      </c>
      <c r="AH247" s="279">
        <v>6932</v>
      </c>
      <c r="AI247" s="279">
        <v>6932</v>
      </c>
      <c r="AJ247" s="279">
        <v>6932</v>
      </c>
      <c r="AK247" s="279">
        <v>6932</v>
      </c>
      <c r="AL247" s="279">
        <v>6932</v>
      </c>
      <c r="AM247" s="279">
        <v>6932</v>
      </c>
      <c r="AN247" s="224" t="e">
        <f>SUM(#REF!)</f>
        <v>#REF!</v>
      </c>
      <c r="AO247" s="224">
        <f t="shared" si="25"/>
        <v>83184</v>
      </c>
      <c r="AP247" s="224" t="e">
        <f t="shared" si="31"/>
        <v>#REF!</v>
      </c>
      <c r="AQ247" s="224"/>
      <c r="AR247" s="224"/>
      <c r="AS247" s="224"/>
      <c r="AT247" s="224" t="str">
        <f>IFERROR(VLOOKUP($A247,'Constancias POA'!$A$2:$DH$9993,17,FALSE),"")</f>
        <v/>
      </c>
      <c r="AU247" s="224" t="str">
        <f t="shared" si="26"/>
        <v/>
      </c>
      <c r="AV247" s="224" t="str">
        <f>IFERROR(VLOOKUP($A247,CP!$A$1:$U$7992,18,FALSE),"")</f>
        <v/>
      </c>
      <c r="AW247" s="224" t="str">
        <f>IFERROR(VLOOKUP($A247,CP!$A$1:$U$7992,19,FALSE),"")</f>
        <v/>
      </c>
      <c r="AX247" s="224" t="str">
        <f>IFERROR(VLOOKUP($A247,CP!$A$1:$U$7992,20,FALSE),"")</f>
        <v/>
      </c>
      <c r="AY247" s="224" t="str">
        <f>IFERROR(VLOOKUP($A247,CP!$A$1:$U$1,21,FALSE),"")</f>
        <v/>
      </c>
      <c r="AZ247" s="224" t="str">
        <f>IFERROR(VLOOKUP(A247,Devengado!$A$1:AJ1,35,FALSE),"")</f>
        <v/>
      </c>
      <c r="BA247" s="224" t="str">
        <f t="shared" si="27"/>
        <v/>
      </c>
      <c r="BB247" s="224" t="str">
        <f>IFERROR(AZ247/#REF!,"")</f>
        <v/>
      </c>
      <c r="BC247" s="224" t="str">
        <f>IFERROR(VLOOKUP($A247,Devengado!$A$1:$AI$1,22,FALSE),"")</f>
        <v/>
      </c>
      <c r="BD247" s="224" t="str">
        <f>IFERROR(VLOOKUP($A247,Devengado!$A$1:$AI$1,23,FALSE),"")</f>
        <v/>
      </c>
      <c r="BE247" s="224" t="str">
        <f>IFERROR(VLOOKUP($A247,Devengado!$A$1:$AI$1,24,FALSE),"")</f>
        <v/>
      </c>
      <c r="BF247" s="224" t="str">
        <f>IFERROR(VLOOKUP($A247,Devengado!$A$1:$AI$1,25,FALSE),"")</f>
        <v/>
      </c>
      <c r="BG247" s="224" t="str">
        <f>IFERROR(VLOOKUP($A247,Devengado!$A$1:$AI$1,26,FALSE),"")</f>
        <v/>
      </c>
      <c r="BH247" s="224" t="str">
        <f>IFERROR(VLOOKUP($A247,Devengado!$A$1:$AI$1,27,FALSE),"")</f>
        <v/>
      </c>
      <c r="BI247" s="224" t="str">
        <f>IFERROR(VLOOKUP($A247,Devengado!$A$1:$AI$1,28,FALSE),"")</f>
        <v/>
      </c>
      <c r="BJ247" s="224" t="str">
        <f>IFERROR(VLOOKUP($A247,Devengado!$A$1:$AI$1,29,FALSE),"")</f>
        <v/>
      </c>
      <c r="BK247" s="224" t="str">
        <f>IFERROR(VLOOKUP($A247,Devengado!$A$1:$AI$1,30,FALSE),"")</f>
        <v/>
      </c>
      <c r="BL247" s="224" t="str">
        <f>IFERROR(VLOOKUP($A247,Devengado!$A$1:$AI$1,31,FALSE),"")</f>
        <v/>
      </c>
      <c r="BM247" s="224" t="str">
        <f>IFERROR(VLOOKUP($A247,Devengado!$A$1:$AI$1,32,FALSE),"")</f>
        <v/>
      </c>
      <c r="BN247" s="224" t="str">
        <f>IFERROR(VLOOKUP($A247,Devengado!$A$1:$AI$1,33,FALSE),"")</f>
        <v/>
      </c>
      <c r="BO247" s="224">
        <f t="shared" si="28"/>
        <v>0</v>
      </c>
      <c r="BP247" s="224" t="str">
        <f t="shared" si="29"/>
        <v/>
      </c>
      <c r="BQ247" s="207"/>
      <c r="BR247" s="207" t="str">
        <f t="shared" si="30"/>
        <v>51</v>
      </c>
    </row>
    <row r="248" spans="1:70" s="225" customFormat="1" ht="25.5" customHeight="1">
      <c r="A248" s="207">
        <v>244</v>
      </c>
      <c r="B248" s="112" t="s">
        <v>287</v>
      </c>
      <c r="C248" s="112" t="s">
        <v>77</v>
      </c>
      <c r="D248" s="112" t="s">
        <v>77</v>
      </c>
      <c r="E248" s="112" t="s">
        <v>76</v>
      </c>
      <c r="F248" s="112" t="s">
        <v>77</v>
      </c>
      <c r="G248" s="112" t="s">
        <v>77</v>
      </c>
      <c r="H248" s="112" t="s">
        <v>77</v>
      </c>
      <c r="I248" s="112" t="s">
        <v>77</v>
      </c>
      <c r="J248" s="112" t="s">
        <v>77</v>
      </c>
      <c r="K248" s="112" t="s">
        <v>77</v>
      </c>
      <c r="L248" s="112" t="s">
        <v>85</v>
      </c>
      <c r="M248" s="114" t="s">
        <v>288</v>
      </c>
      <c r="N248" s="114" t="s">
        <v>289</v>
      </c>
      <c r="O248" s="123">
        <v>80</v>
      </c>
      <c r="P248" s="114" t="s">
        <v>81</v>
      </c>
      <c r="Q248" s="114" t="s">
        <v>112</v>
      </c>
      <c r="R248" s="115" t="str">
        <f t="shared" si="24"/>
        <v>51</v>
      </c>
      <c r="S248" s="112">
        <v>510601</v>
      </c>
      <c r="T248" s="122" t="str">
        <f>VLOOKUP(S248,ITEM!$C$1:$D$156,2,FALSE)</f>
        <v>Aporte Patronal</v>
      </c>
      <c r="U248" s="112">
        <v>900</v>
      </c>
      <c r="V248" s="114" t="s">
        <v>82</v>
      </c>
      <c r="W248" s="114" t="s">
        <v>84</v>
      </c>
      <c r="X248" s="114" t="s">
        <v>84</v>
      </c>
      <c r="Y248" s="224" t="e">
        <f>'Matriz POA 2024-TRABAJO'!#REF!</f>
        <v>#REF!</v>
      </c>
      <c r="Z248" s="224" t="e">
        <f>'Matriz POA 2024-TRABAJO'!#REF!</f>
        <v>#REF!</v>
      </c>
      <c r="AA248" s="224" t="e">
        <f>'Matriz POA 2024-TRABAJO'!#REF!</f>
        <v>#REF!</v>
      </c>
      <c r="AB248" s="279">
        <v>5582.96</v>
      </c>
      <c r="AC248" s="279">
        <v>5582.96</v>
      </c>
      <c r="AD248" s="279">
        <v>5582.96</v>
      </c>
      <c r="AE248" s="279">
        <v>5582.96</v>
      </c>
      <c r="AF248" s="279">
        <v>5582.96</v>
      </c>
      <c r="AG248" s="279">
        <v>5582.96</v>
      </c>
      <c r="AH248" s="279">
        <v>5582.96</v>
      </c>
      <c r="AI248" s="279">
        <v>5582.96</v>
      </c>
      <c r="AJ248" s="279">
        <v>5582.96</v>
      </c>
      <c r="AK248" s="279">
        <v>5582.96</v>
      </c>
      <c r="AL248" s="279">
        <v>5582.96</v>
      </c>
      <c r="AM248" s="279">
        <v>5582.91</v>
      </c>
      <c r="AN248" s="224" t="e">
        <f>SUM(#REF!)</f>
        <v>#REF!</v>
      </c>
      <c r="AO248" s="224">
        <f t="shared" si="25"/>
        <v>66995.47</v>
      </c>
      <c r="AP248" s="224" t="e">
        <f t="shared" si="31"/>
        <v>#REF!</v>
      </c>
      <c r="AQ248" s="224"/>
      <c r="AR248" s="224"/>
      <c r="AS248" s="224"/>
      <c r="AT248" s="224" t="str">
        <f>IFERROR(VLOOKUP($A248,'Constancias POA'!$A$2:$DH$9993,17,FALSE),"")</f>
        <v/>
      </c>
      <c r="AU248" s="224" t="str">
        <f t="shared" si="26"/>
        <v/>
      </c>
      <c r="AV248" s="224" t="str">
        <f>IFERROR(VLOOKUP($A248,CP!$A$1:$U$7992,18,FALSE),"")</f>
        <v/>
      </c>
      <c r="AW248" s="224" t="str">
        <f>IFERROR(VLOOKUP($A248,CP!$A$1:$U$7992,19,FALSE),"")</f>
        <v/>
      </c>
      <c r="AX248" s="224" t="str">
        <f>IFERROR(VLOOKUP($A248,CP!$A$1:$U$7992,20,FALSE),"")</f>
        <v/>
      </c>
      <c r="AY248" s="224" t="str">
        <f>IFERROR(VLOOKUP($A248,CP!$A$1:$U$1,21,FALSE),"")</f>
        <v/>
      </c>
      <c r="AZ248" s="224" t="str">
        <f>IFERROR(VLOOKUP(A248,Devengado!$A$1:AJ1,35,FALSE),"")</f>
        <v/>
      </c>
      <c r="BA248" s="224" t="str">
        <f t="shared" si="27"/>
        <v/>
      </c>
      <c r="BB248" s="224" t="str">
        <f>IFERROR(AZ248/#REF!,"")</f>
        <v/>
      </c>
      <c r="BC248" s="224" t="str">
        <f>IFERROR(VLOOKUP($A248,Devengado!$A$1:$AI$1,22,FALSE),"")</f>
        <v/>
      </c>
      <c r="BD248" s="224" t="str">
        <f>IFERROR(VLOOKUP($A248,Devengado!$A$1:$AI$1,23,FALSE),"")</f>
        <v/>
      </c>
      <c r="BE248" s="224" t="str">
        <f>IFERROR(VLOOKUP($A248,Devengado!$A$1:$AI$1,24,FALSE),"")</f>
        <v/>
      </c>
      <c r="BF248" s="224" t="str">
        <f>IFERROR(VLOOKUP($A248,Devengado!$A$1:$AI$1,25,FALSE),"")</f>
        <v/>
      </c>
      <c r="BG248" s="224" t="str">
        <f>IFERROR(VLOOKUP($A248,Devengado!$A$1:$AI$1,26,FALSE),"")</f>
        <v/>
      </c>
      <c r="BH248" s="224" t="str">
        <f>IFERROR(VLOOKUP($A248,Devengado!$A$1:$AI$1,27,FALSE),"")</f>
        <v/>
      </c>
      <c r="BI248" s="224" t="str">
        <f>IFERROR(VLOOKUP($A248,Devengado!$A$1:$AI$1,28,FALSE),"")</f>
        <v/>
      </c>
      <c r="BJ248" s="224" t="str">
        <f>IFERROR(VLOOKUP($A248,Devengado!$A$1:$AI$1,29,FALSE),"")</f>
        <v/>
      </c>
      <c r="BK248" s="224" t="str">
        <f>IFERROR(VLOOKUP($A248,Devengado!$A$1:$AI$1,30,FALSE),"")</f>
        <v/>
      </c>
      <c r="BL248" s="224" t="str">
        <f>IFERROR(VLOOKUP($A248,Devengado!$A$1:$AI$1,31,FALSE),"")</f>
        <v/>
      </c>
      <c r="BM248" s="224" t="str">
        <f>IFERROR(VLOOKUP($A248,Devengado!$A$1:$AI$1,32,FALSE),"")</f>
        <v/>
      </c>
      <c r="BN248" s="224" t="str">
        <f>IFERROR(VLOOKUP($A248,Devengado!$A$1:$AI$1,33,FALSE),"")</f>
        <v/>
      </c>
      <c r="BO248" s="224">
        <f t="shared" si="28"/>
        <v>0</v>
      </c>
      <c r="BP248" s="224" t="str">
        <f t="shared" si="29"/>
        <v/>
      </c>
      <c r="BQ248" s="207"/>
      <c r="BR248" s="207" t="str">
        <f t="shared" si="30"/>
        <v>51</v>
      </c>
    </row>
    <row r="249" spans="1:70" s="225" customFormat="1" ht="25.5" customHeight="1">
      <c r="A249" s="207">
        <v>245</v>
      </c>
      <c r="B249" s="112" t="s">
        <v>287</v>
      </c>
      <c r="C249" s="112" t="s">
        <v>77</v>
      </c>
      <c r="D249" s="112" t="s">
        <v>77</v>
      </c>
      <c r="E249" s="112" t="s">
        <v>76</v>
      </c>
      <c r="F249" s="112" t="s">
        <v>77</v>
      </c>
      <c r="G249" s="112" t="s">
        <v>77</v>
      </c>
      <c r="H249" s="112" t="s">
        <v>77</v>
      </c>
      <c r="I249" s="112" t="s">
        <v>77</v>
      </c>
      <c r="J249" s="112" t="s">
        <v>77</v>
      </c>
      <c r="K249" s="112" t="s">
        <v>77</v>
      </c>
      <c r="L249" s="112" t="s">
        <v>85</v>
      </c>
      <c r="M249" s="114" t="s">
        <v>288</v>
      </c>
      <c r="N249" s="114" t="s">
        <v>289</v>
      </c>
      <c r="O249" s="123">
        <v>80</v>
      </c>
      <c r="P249" s="114" t="s">
        <v>81</v>
      </c>
      <c r="Q249" s="114" t="s">
        <v>112</v>
      </c>
      <c r="R249" s="115" t="str">
        <f t="shared" si="24"/>
        <v>51</v>
      </c>
      <c r="S249" s="112">
        <v>510106</v>
      </c>
      <c r="T249" s="122" t="str">
        <f>VLOOKUP(S249,ITEM!$C$1:$D$156,2,FALSE)</f>
        <v>Salarios Unificados</v>
      </c>
      <c r="U249" s="112">
        <v>900</v>
      </c>
      <c r="V249" s="114" t="s">
        <v>82</v>
      </c>
      <c r="W249" s="114" t="s">
        <v>84</v>
      </c>
      <c r="X249" s="114" t="s">
        <v>84</v>
      </c>
      <c r="Y249" s="224" t="e">
        <f>'Matriz POA 2024-TRABAJO'!#REF!</f>
        <v>#REF!</v>
      </c>
      <c r="Z249" s="224" t="e">
        <f>'Matriz POA 2024-TRABAJO'!#REF!</f>
        <v>#REF!</v>
      </c>
      <c r="AA249" s="224" t="e">
        <f>'Matriz POA 2024-TRABAJO'!#REF!</f>
        <v>#REF!</v>
      </c>
      <c r="AB249" s="279">
        <v>11090</v>
      </c>
      <c r="AC249" s="279">
        <v>11090</v>
      </c>
      <c r="AD249" s="279">
        <v>11090</v>
      </c>
      <c r="AE249" s="279">
        <v>11090</v>
      </c>
      <c r="AF249" s="279">
        <v>11090</v>
      </c>
      <c r="AG249" s="279">
        <v>11090</v>
      </c>
      <c r="AH249" s="279">
        <v>11090</v>
      </c>
      <c r="AI249" s="279">
        <v>11090</v>
      </c>
      <c r="AJ249" s="279">
        <v>11090</v>
      </c>
      <c r="AK249" s="279">
        <v>11090</v>
      </c>
      <c r="AL249" s="279">
        <v>11090</v>
      </c>
      <c r="AM249" s="279">
        <v>11090</v>
      </c>
      <c r="AN249" s="224" t="e">
        <f>SUM(#REF!)</f>
        <v>#REF!</v>
      </c>
      <c r="AO249" s="224">
        <f t="shared" si="25"/>
        <v>133080</v>
      </c>
      <c r="AP249" s="224" t="e">
        <f t="shared" si="31"/>
        <v>#REF!</v>
      </c>
      <c r="AQ249" s="224"/>
      <c r="AR249" s="224"/>
      <c r="AS249" s="224"/>
      <c r="AT249" s="224" t="str">
        <f>IFERROR(VLOOKUP($A249,'Constancias POA'!$A$2:$DH$9993,17,FALSE),"")</f>
        <v/>
      </c>
      <c r="AU249" s="224" t="str">
        <f t="shared" si="26"/>
        <v/>
      </c>
      <c r="AV249" s="224" t="str">
        <f>IFERROR(VLOOKUP($A249,CP!$A$1:$U$7992,18,FALSE),"")</f>
        <v/>
      </c>
      <c r="AW249" s="224" t="str">
        <f>IFERROR(VLOOKUP($A249,CP!$A$1:$U$7992,19,FALSE),"")</f>
        <v/>
      </c>
      <c r="AX249" s="224" t="str">
        <f>IFERROR(VLOOKUP($A249,CP!$A$1:$U$7992,20,FALSE),"")</f>
        <v/>
      </c>
      <c r="AY249" s="224" t="str">
        <f>IFERROR(VLOOKUP($A249,CP!$A$1:$U$1,21,FALSE),"")</f>
        <v/>
      </c>
      <c r="AZ249" s="224" t="str">
        <f>IFERROR(VLOOKUP(A249,Devengado!$A$1:AJ1,35,FALSE),"")</f>
        <v/>
      </c>
      <c r="BA249" s="224" t="str">
        <f t="shared" si="27"/>
        <v/>
      </c>
      <c r="BB249" s="224" t="str">
        <f>IFERROR(AZ249/#REF!,"")</f>
        <v/>
      </c>
      <c r="BC249" s="224" t="str">
        <f>IFERROR(VLOOKUP($A249,Devengado!$A$1:$AI$1,22,FALSE),"")</f>
        <v/>
      </c>
      <c r="BD249" s="224" t="str">
        <f>IFERROR(VLOOKUP($A249,Devengado!$A$1:$AI$1,23,FALSE),"")</f>
        <v/>
      </c>
      <c r="BE249" s="224" t="str">
        <f>IFERROR(VLOOKUP($A249,Devengado!$A$1:$AI$1,24,FALSE),"")</f>
        <v/>
      </c>
      <c r="BF249" s="224" t="str">
        <f>IFERROR(VLOOKUP($A249,Devengado!$A$1:$AI$1,25,FALSE),"")</f>
        <v/>
      </c>
      <c r="BG249" s="224" t="str">
        <f>IFERROR(VLOOKUP($A249,Devengado!$A$1:$AI$1,26,FALSE),"")</f>
        <v/>
      </c>
      <c r="BH249" s="224" t="str">
        <f>IFERROR(VLOOKUP($A249,Devengado!$A$1:$AI$1,27,FALSE),"")</f>
        <v/>
      </c>
      <c r="BI249" s="224" t="str">
        <f>IFERROR(VLOOKUP($A249,Devengado!$A$1:$AI$1,28,FALSE),"")</f>
        <v/>
      </c>
      <c r="BJ249" s="224" t="str">
        <f>IFERROR(VLOOKUP($A249,Devengado!$A$1:$AI$1,29,FALSE),"")</f>
        <v/>
      </c>
      <c r="BK249" s="224" t="str">
        <f>IFERROR(VLOOKUP($A249,Devengado!$A$1:$AI$1,30,FALSE),"")</f>
        <v/>
      </c>
      <c r="BL249" s="224" t="str">
        <f>IFERROR(VLOOKUP($A249,Devengado!$A$1:$AI$1,31,FALSE),"")</f>
        <v/>
      </c>
      <c r="BM249" s="224" t="str">
        <f>IFERROR(VLOOKUP($A249,Devengado!$A$1:$AI$1,32,FALSE),"")</f>
        <v/>
      </c>
      <c r="BN249" s="224" t="str">
        <f>IFERROR(VLOOKUP($A249,Devengado!$A$1:$AI$1,33,FALSE),"")</f>
        <v/>
      </c>
      <c r="BO249" s="224">
        <f t="shared" si="28"/>
        <v>0</v>
      </c>
      <c r="BP249" s="224" t="str">
        <f t="shared" si="29"/>
        <v/>
      </c>
      <c r="BQ249" s="207"/>
      <c r="BR249" s="207" t="str">
        <f t="shared" si="30"/>
        <v>51</v>
      </c>
    </row>
    <row r="250" spans="1:70" s="225" customFormat="1" ht="25.5" customHeight="1">
      <c r="A250" s="207">
        <v>246</v>
      </c>
      <c r="B250" s="112" t="s">
        <v>287</v>
      </c>
      <c r="C250" s="112" t="s">
        <v>77</v>
      </c>
      <c r="D250" s="112" t="s">
        <v>77</v>
      </c>
      <c r="E250" s="112" t="s">
        <v>76</v>
      </c>
      <c r="F250" s="112" t="s">
        <v>77</v>
      </c>
      <c r="G250" s="112" t="s">
        <v>77</v>
      </c>
      <c r="H250" s="112" t="s">
        <v>77</v>
      </c>
      <c r="I250" s="112" t="s">
        <v>77</v>
      </c>
      <c r="J250" s="112" t="s">
        <v>77</v>
      </c>
      <c r="K250" s="112" t="s">
        <v>77</v>
      </c>
      <c r="L250" s="112" t="s">
        <v>85</v>
      </c>
      <c r="M250" s="114" t="s">
        <v>288</v>
      </c>
      <c r="N250" s="114" t="s">
        <v>289</v>
      </c>
      <c r="O250" s="123">
        <v>80</v>
      </c>
      <c r="P250" s="114" t="s">
        <v>81</v>
      </c>
      <c r="Q250" s="114" t="s">
        <v>112</v>
      </c>
      <c r="R250" s="115" t="str">
        <f t="shared" si="24"/>
        <v>51</v>
      </c>
      <c r="S250" s="112">
        <v>510203</v>
      </c>
      <c r="T250" s="122" t="str">
        <f>VLOOKUP(S250,ITEM!$C$1:$D$156,2,FALSE)</f>
        <v>Decimo Tercer Sueldo</v>
      </c>
      <c r="U250" s="112">
        <v>900</v>
      </c>
      <c r="V250" s="114" t="s">
        <v>82</v>
      </c>
      <c r="W250" s="114" t="s">
        <v>84</v>
      </c>
      <c r="X250" s="114" t="s">
        <v>84</v>
      </c>
      <c r="Y250" s="224" t="e">
        <f>'Matriz POA 2024-TRABAJO'!#REF!</f>
        <v>#REF!</v>
      </c>
      <c r="Z250" s="224" t="e">
        <f>'Matriz POA 2024-TRABAJO'!#REF!</f>
        <v>#REF!</v>
      </c>
      <c r="AA250" s="224" t="e">
        <f>'Matriz POA 2024-TRABAJO'!#REF!</f>
        <v>#REF!</v>
      </c>
      <c r="AB250" s="279">
        <v>4642.13</v>
      </c>
      <c r="AC250" s="279">
        <v>4642.13</v>
      </c>
      <c r="AD250" s="279">
        <v>4642.13</v>
      </c>
      <c r="AE250" s="279">
        <v>4642.13</v>
      </c>
      <c r="AF250" s="279">
        <v>4642.13</v>
      </c>
      <c r="AG250" s="279">
        <v>4642.13</v>
      </c>
      <c r="AH250" s="279">
        <v>4642.13</v>
      </c>
      <c r="AI250" s="279">
        <v>4642.13</v>
      </c>
      <c r="AJ250" s="279">
        <v>4642.13</v>
      </c>
      <c r="AK250" s="279">
        <v>4642.13</v>
      </c>
      <c r="AL250" s="279">
        <v>4642.13</v>
      </c>
      <c r="AM250" s="279">
        <v>4622.12</v>
      </c>
      <c r="AN250" s="224" t="e">
        <f>SUM(#REF!)</f>
        <v>#REF!</v>
      </c>
      <c r="AO250" s="224">
        <f t="shared" si="25"/>
        <v>55685.549999999996</v>
      </c>
      <c r="AP250" s="224" t="e">
        <f t="shared" si="31"/>
        <v>#REF!</v>
      </c>
      <c r="AQ250" s="224"/>
      <c r="AR250" s="224"/>
      <c r="AS250" s="224"/>
      <c r="AT250" s="224" t="str">
        <f>IFERROR(VLOOKUP($A250,'Constancias POA'!$A$2:$DH$9993,17,FALSE),"")</f>
        <v/>
      </c>
      <c r="AU250" s="224" t="str">
        <f t="shared" si="26"/>
        <v/>
      </c>
      <c r="AV250" s="224" t="str">
        <f>IFERROR(VLOOKUP($A250,CP!$A$1:$U$7992,18,FALSE),"")</f>
        <v/>
      </c>
      <c r="AW250" s="224" t="str">
        <f>IFERROR(VLOOKUP($A250,CP!$A$1:$U$7992,19,FALSE),"")</f>
        <v/>
      </c>
      <c r="AX250" s="224" t="str">
        <f>IFERROR(VLOOKUP($A250,CP!$A$1:$U$7992,20,FALSE),"")</f>
        <v/>
      </c>
      <c r="AY250" s="224" t="str">
        <f>IFERROR(VLOOKUP($A250,CP!$A$1:$U$1,21,FALSE),"")</f>
        <v/>
      </c>
      <c r="AZ250" s="224" t="str">
        <f>IFERROR(VLOOKUP(A250,Devengado!$A$1:AJ1,35,FALSE),"")</f>
        <v/>
      </c>
      <c r="BA250" s="224" t="str">
        <f t="shared" si="27"/>
        <v/>
      </c>
      <c r="BB250" s="224" t="str">
        <f>IFERROR(AZ250/#REF!,"")</f>
        <v/>
      </c>
      <c r="BC250" s="224" t="str">
        <f>IFERROR(VLOOKUP($A250,Devengado!$A$1:$AI$1,22,FALSE),"")</f>
        <v/>
      </c>
      <c r="BD250" s="224" t="str">
        <f>IFERROR(VLOOKUP($A250,Devengado!$A$1:$AI$1,23,FALSE),"")</f>
        <v/>
      </c>
      <c r="BE250" s="224" t="str">
        <f>IFERROR(VLOOKUP($A250,Devengado!$A$1:$AI$1,24,FALSE),"")</f>
        <v/>
      </c>
      <c r="BF250" s="224" t="str">
        <f>IFERROR(VLOOKUP($A250,Devengado!$A$1:$AI$1,25,FALSE),"")</f>
        <v/>
      </c>
      <c r="BG250" s="224" t="str">
        <f>IFERROR(VLOOKUP($A250,Devengado!$A$1:$AI$1,26,FALSE),"")</f>
        <v/>
      </c>
      <c r="BH250" s="224" t="str">
        <f>IFERROR(VLOOKUP($A250,Devengado!$A$1:$AI$1,27,FALSE),"")</f>
        <v/>
      </c>
      <c r="BI250" s="224" t="str">
        <f>IFERROR(VLOOKUP($A250,Devengado!$A$1:$AI$1,28,FALSE),"")</f>
        <v/>
      </c>
      <c r="BJ250" s="224" t="str">
        <f>IFERROR(VLOOKUP($A250,Devengado!$A$1:$AI$1,29,FALSE),"")</f>
        <v/>
      </c>
      <c r="BK250" s="224" t="str">
        <f>IFERROR(VLOOKUP($A250,Devengado!$A$1:$AI$1,30,FALSE),"")</f>
        <v/>
      </c>
      <c r="BL250" s="224" t="str">
        <f>IFERROR(VLOOKUP($A250,Devengado!$A$1:$AI$1,31,FALSE),"")</f>
        <v/>
      </c>
      <c r="BM250" s="224" t="str">
        <f>IFERROR(VLOOKUP($A250,Devengado!$A$1:$AI$1,32,FALSE),"")</f>
        <v/>
      </c>
      <c r="BN250" s="224" t="str">
        <f>IFERROR(VLOOKUP($A250,Devengado!$A$1:$AI$1,33,FALSE),"")</f>
        <v/>
      </c>
      <c r="BO250" s="224">
        <f t="shared" si="28"/>
        <v>0</v>
      </c>
      <c r="BP250" s="224" t="str">
        <f t="shared" si="29"/>
        <v/>
      </c>
      <c r="BQ250" s="207"/>
      <c r="BR250" s="207" t="str">
        <f t="shared" si="30"/>
        <v>51</v>
      </c>
    </row>
    <row r="251" spans="1:70" s="225" customFormat="1" ht="25.5" customHeight="1">
      <c r="A251" s="207">
        <v>247</v>
      </c>
      <c r="B251" s="112" t="s">
        <v>287</v>
      </c>
      <c r="C251" s="112" t="s">
        <v>77</v>
      </c>
      <c r="D251" s="112" t="s">
        <v>77</v>
      </c>
      <c r="E251" s="112" t="s">
        <v>76</v>
      </c>
      <c r="F251" s="112" t="s">
        <v>77</v>
      </c>
      <c r="G251" s="112" t="s">
        <v>77</v>
      </c>
      <c r="H251" s="112" t="s">
        <v>77</v>
      </c>
      <c r="I251" s="112" t="s">
        <v>77</v>
      </c>
      <c r="J251" s="112" t="s">
        <v>77</v>
      </c>
      <c r="K251" s="112" t="s">
        <v>77</v>
      </c>
      <c r="L251" s="112" t="s">
        <v>85</v>
      </c>
      <c r="M251" s="114" t="s">
        <v>288</v>
      </c>
      <c r="N251" s="114" t="s">
        <v>289</v>
      </c>
      <c r="O251" s="123">
        <v>80</v>
      </c>
      <c r="P251" s="114" t="s">
        <v>81</v>
      </c>
      <c r="Q251" s="114" t="s">
        <v>112</v>
      </c>
      <c r="R251" s="115" t="str">
        <f t="shared" si="24"/>
        <v>51</v>
      </c>
      <c r="S251" s="112">
        <v>510602</v>
      </c>
      <c r="T251" s="122" t="str">
        <f>VLOOKUP(S251,ITEM!$C$1:$D$156,2,FALSE)</f>
        <v>Fondo de Reserva</v>
      </c>
      <c r="U251" s="112">
        <v>900</v>
      </c>
      <c r="V251" s="114" t="s">
        <v>82</v>
      </c>
      <c r="W251" s="114" t="s">
        <v>84</v>
      </c>
      <c r="X251" s="114" t="s">
        <v>84</v>
      </c>
      <c r="Y251" s="224" t="e">
        <f>'Matriz POA 2024-TRABAJO'!#REF!</f>
        <v>#REF!</v>
      </c>
      <c r="Z251" s="224" t="e">
        <f>'Matriz POA 2024-TRABAJO'!#REF!</f>
        <v>#REF!</v>
      </c>
      <c r="AA251" s="224" t="e">
        <f>'Matriz POA 2024-TRABAJO'!#REF!</f>
        <v>#REF!</v>
      </c>
      <c r="AB251" s="279">
        <v>4331.3100000000004</v>
      </c>
      <c r="AC251" s="279">
        <v>4331.3100000000004</v>
      </c>
      <c r="AD251" s="279">
        <v>4331.3100000000004</v>
      </c>
      <c r="AE251" s="279">
        <v>4331.3100000000004</v>
      </c>
      <c r="AF251" s="279">
        <v>4331.3100000000004</v>
      </c>
      <c r="AG251" s="279">
        <v>4331.3100000000004</v>
      </c>
      <c r="AH251" s="279">
        <v>4331.3100000000004</v>
      </c>
      <c r="AI251" s="279">
        <v>4331.3100000000004</v>
      </c>
      <c r="AJ251" s="279">
        <v>4331.3100000000004</v>
      </c>
      <c r="AK251" s="279">
        <v>4331.3100000000004</v>
      </c>
      <c r="AL251" s="279">
        <v>4331.3100000000004</v>
      </c>
      <c r="AM251" s="279">
        <v>4331.32</v>
      </c>
      <c r="AN251" s="224" t="e">
        <f>SUM(#REF!)</f>
        <v>#REF!</v>
      </c>
      <c r="AO251" s="224">
        <f t="shared" si="25"/>
        <v>51975.729999999996</v>
      </c>
      <c r="AP251" s="224" t="e">
        <f t="shared" si="31"/>
        <v>#REF!</v>
      </c>
      <c r="AQ251" s="224"/>
      <c r="AR251" s="224"/>
      <c r="AS251" s="224"/>
      <c r="AT251" s="224" t="str">
        <f>IFERROR(VLOOKUP($A251,'Constancias POA'!$A$2:$DH$9993,17,FALSE),"")</f>
        <v/>
      </c>
      <c r="AU251" s="224" t="str">
        <f t="shared" si="26"/>
        <v/>
      </c>
      <c r="AV251" s="224" t="str">
        <f>IFERROR(VLOOKUP($A251,CP!$A$1:$U$7992,18,FALSE),"")</f>
        <v/>
      </c>
      <c r="AW251" s="224" t="str">
        <f>IFERROR(VLOOKUP($A251,CP!$A$1:$U$7992,19,FALSE),"")</f>
        <v/>
      </c>
      <c r="AX251" s="224" t="str">
        <f>IFERROR(VLOOKUP($A251,CP!$A$1:$U$7992,20,FALSE),"")</f>
        <v/>
      </c>
      <c r="AY251" s="224" t="str">
        <f>IFERROR(VLOOKUP($A251,CP!$A$1:$U$1,21,FALSE),"")</f>
        <v/>
      </c>
      <c r="AZ251" s="224" t="str">
        <f>IFERROR(VLOOKUP(A251,Devengado!$A$1:AJ1,35,FALSE),"")</f>
        <v/>
      </c>
      <c r="BA251" s="224" t="str">
        <f t="shared" si="27"/>
        <v/>
      </c>
      <c r="BB251" s="224" t="str">
        <f>IFERROR(AZ251/#REF!,"")</f>
        <v/>
      </c>
      <c r="BC251" s="224" t="str">
        <f>IFERROR(VLOOKUP($A251,Devengado!$A$1:$AI$1,22,FALSE),"")</f>
        <v/>
      </c>
      <c r="BD251" s="224" t="str">
        <f>IFERROR(VLOOKUP($A251,Devengado!$A$1:$AI$1,23,FALSE),"")</f>
        <v/>
      </c>
      <c r="BE251" s="224" t="str">
        <f>IFERROR(VLOOKUP($A251,Devengado!$A$1:$AI$1,24,FALSE),"")</f>
        <v/>
      </c>
      <c r="BF251" s="224" t="str">
        <f>IFERROR(VLOOKUP($A251,Devengado!$A$1:$AI$1,25,FALSE),"")</f>
        <v/>
      </c>
      <c r="BG251" s="224" t="str">
        <f>IFERROR(VLOOKUP($A251,Devengado!$A$1:$AI$1,26,FALSE),"")</f>
        <v/>
      </c>
      <c r="BH251" s="224" t="str">
        <f>IFERROR(VLOOKUP($A251,Devengado!$A$1:$AI$1,27,FALSE),"")</f>
        <v/>
      </c>
      <c r="BI251" s="224" t="str">
        <f>IFERROR(VLOOKUP($A251,Devengado!$A$1:$AI$1,28,FALSE),"")</f>
        <v/>
      </c>
      <c r="BJ251" s="224" t="str">
        <f>IFERROR(VLOOKUP($A251,Devengado!$A$1:$AI$1,29,FALSE),"")</f>
        <v/>
      </c>
      <c r="BK251" s="224" t="str">
        <f>IFERROR(VLOOKUP($A251,Devengado!$A$1:$AI$1,30,FALSE),"")</f>
        <v/>
      </c>
      <c r="BL251" s="224" t="str">
        <f>IFERROR(VLOOKUP($A251,Devengado!$A$1:$AI$1,31,FALSE),"")</f>
        <v/>
      </c>
      <c r="BM251" s="224" t="str">
        <f>IFERROR(VLOOKUP($A251,Devengado!$A$1:$AI$1,32,FALSE),"")</f>
        <v/>
      </c>
      <c r="BN251" s="224" t="str">
        <f>IFERROR(VLOOKUP($A251,Devengado!$A$1:$AI$1,33,FALSE),"")</f>
        <v/>
      </c>
      <c r="BO251" s="224">
        <f t="shared" si="28"/>
        <v>0</v>
      </c>
      <c r="BP251" s="224" t="str">
        <f t="shared" si="29"/>
        <v/>
      </c>
      <c r="BQ251" s="207"/>
      <c r="BR251" s="207" t="str">
        <f t="shared" si="30"/>
        <v>51</v>
      </c>
    </row>
    <row r="252" spans="1:70" s="225" customFormat="1" ht="25.5" customHeight="1">
      <c r="A252" s="207">
        <v>248</v>
      </c>
      <c r="B252" s="112" t="s">
        <v>287</v>
      </c>
      <c r="C252" s="112" t="s">
        <v>77</v>
      </c>
      <c r="D252" s="112" t="s">
        <v>77</v>
      </c>
      <c r="E252" s="112" t="s">
        <v>76</v>
      </c>
      <c r="F252" s="112" t="s">
        <v>77</v>
      </c>
      <c r="G252" s="112" t="s">
        <v>77</v>
      </c>
      <c r="H252" s="112" t="s">
        <v>77</v>
      </c>
      <c r="I252" s="112" t="s">
        <v>77</v>
      </c>
      <c r="J252" s="112" t="s">
        <v>77</v>
      </c>
      <c r="K252" s="112" t="s">
        <v>77</v>
      </c>
      <c r="L252" s="112" t="s">
        <v>85</v>
      </c>
      <c r="M252" s="114" t="s">
        <v>288</v>
      </c>
      <c r="N252" s="114" t="s">
        <v>289</v>
      </c>
      <c r="O252" s="123">
        <v>80</v>
      </c>
      <c r="P252" s="114" t="s">
        <v>81</v>
      </c>
      <c r="Q252" s="114" t="s">
        <v>112</v>
      </c>
      <c r="R252" s="115" t="str">
        <f t="shared" si="24"/>
        <v>51</v>
      </c>
      <c r="S252" s="112">
        <v>510204</v>
      </c>
      <c r="T252" s="122" t="str">
        <f>VLOOKUP(S252,ITEM!$C$1:$D$156,2,FALSE)</f>
        <v>Decimo Cuarto Sueldo</v>
      </c>
      <c r="U252" s="112">
        <v>900</v>
      </c>
      <c r="V252" s="114" t="s">
        <v>82</v>
      </c>
      <c r="W252" s="114" t="s">
        <v>84</v>
      </c>
      <c r="X252" s="114" t="s">
        <v>84</v>
      </c>
      <c r="Y252" s="224" t="e">
        <f>'Matriz POA 2024-TRABAJO'!#REF!</f>
        <v>#REF!</v>
      </c>
      <c r="Z252" s="224" t="e">
        <f>'Matriz POA 2024-TRABAJO'!#REF!</f>
        <v>#REF!</v>
      </c>
      <c r="AA252" s="224" t="e">
        <f>'Matriz POA 2024-TRABAJO'!#REF!</f>
        <v>#REF!</v>
      </c>
      <c r="AB252" s="279">
        <v>0</v>
      </c>
      <c r="AC252" s="279">
        <v>0</v>
      </c>
      <c r="AD252" s="279">
        <v>28758.240000000002</v>
      </c>
      <c r="AE252" s="279">
        <v>0</v>
      </c>
      <c r="AF252" s="279">
        <v>0</v>
      </c>
      <c r="AG252" s="279">
        <v>0</v>
      </c>
      <c r="AH252" s="279">
        <v>0</v>
      </c>
      <c r="AI252" s="279">
        <v>0</v>
      </c>
      <c r="AJ252" s="279">
        <v>0</v>
      </c>
      <c r="AK252" s="279">
        <v>0</v>
      </c>
      <c r="AL252" s="279">
        <v>0</v>
      </c>
      <c r="AM252" s="279">
        <v>0</v>
      </c>
      <c r="AN252" s="224" t="e">
        <f>SUM(#REF!)</f>
        <v>#REF!</v>
      </c>
      <c r="AO252" s="224">
        <f t="shared" si="25"/>
        <v>28758.240000000002</v>
      </c>
      <c r="AP252" s="224" t="e">
        <f t="shared" si="31"/>
        <v>#REF!</v>
      </c>
      <c r="AQ252" s="224"/>
      <c r="AR252" s="224"/>
      <c r="AS252" s="224"/>
      <c r="AT252" s="224" t="str">
        <f>IFERROR(VLOOKUP($A252,'Constancias POA'!$A$2:$DH$9993,17,FALSE),"")</f>
        <v/>
      </c>
      <c r="AU252" s="224" t="str">
        <f t="shared" si="26"/>
        <v/>
      </c>
      <c r="AV252" s="224" t="str">
        <f>IFERROR(VLOOKUP($A252,CP!$A$1:$U$7992,18,FALSE),"")</f>
        <v/>
      </c>
      <c r="AW252" s="224" t="str">
        <f>IFERROR(VLOOKUP($A252,CP!$A$1:$U$7992,19,FALSE),"")</f>
        <v/>
      </c>
      <c r="AX252" s="224" t="str">
        <f>IFERROR(VLOOKUP($A252,CP!$A$1:$U$7992,20,FALSE),"")</f>
        <v/>
      </c>
      <c r="AY252" s="224" t="str">
        <f>IFERROR(VLOOKUP($A252,CP!$A$1:$U$1,21,FALSE),"")</f>
        <v/>
      </c>
      <c r="AZ252" s="224" t="str">
        <f>IFERROR(VLOOKUP(A252,Devengado!$A$1:AJ1,35,FALSE),"")</f>
        <v/>
      </c>
      <c r="BA252" s="224" t="str">
        <f t="shared" si="27"/>
        <v/>
      </c>
      <c r="BB252" s="224" t="str">
        <f>IFERROR(AZ252/#REF!,"")</f>
        <v/>
      </c>
      <c r="BC252" s="224" t="str">
        <f>IFERROR(VLOOKUP($A252,Devengado!$A$1:$AI$1,22,FALSE),"")</f>
        <v/>
      </c>
      <c r="BD252" s="224" t="str">
        <f>IFERROR(VLOOKUP($A252,Devengado!$A$1:$AI$1,23,FALSE),"")</f>
        <v/>
      </c>
      <c r="BE252" s="224" t="str">
        <f>IFERROR(VLOOKUP($A252,Devengado!$A$1:$AI$1,24,FALSE),"")</f>
        <v/>
      </c>
      <c r="BF252" s="224" t="str">
        <f>IFERROR(VLOOKUP($A252,Devengado!$A$1:$AI$1,25,FALSE),"")</f>
        <v/>
      </c>
      <c r="BG252" s="224" t="str">
        <f>IFERROR(VLOOKUP($A252,Devengado!$A$1:$AI$1,26,FALSE),"")</f>
        <v/>
      </c>
      <c r="BH252" s="224" t="str">
        <f>IFERROR(VLOOKUP($A252,Devengado!$A$1:$AI$1,27,FALSE),"")</f>
        <v/>
      </c>
      <c r="BI252" s="224" t="str">
        <f>IFERROR(VLOOKUP($A252,Devengado!$A$1:$AI$1,28,FALSE),"")</f>
        <v/>
      </c>
      <c r="BJ252" s="224" t="str">
        <f>IFERROR(VLOOKUP($A252,Devengado!$A$1:$AI$1,29,FALSE),"")</f>
        <v/>
      </c>
      <c r="BK252" s="224" t="str">
        <f>IFERROR(VLOOKUP($A252,Devengado!$A$1:$AI$1,30,FALSE),"")</f>
        <v/>
      </c>
      <c r="BL252" s="224" t="str">
        <f>IFERROR(VLOOKUP($A252,Devengado!$A$1:$AI$1,31,FALSE),"")</f>
        <v/>
      </c>
      <c r="BM252" s="224" t="str">
        <f>IFERROR(VLOOKUP($A252,Devengado!$A$1:$AI$1,32,FALSE),"")</f>
        <v/>
      </c>
      <c r="BN252" s="224" t="str">
        <f>IFERROR(VLOOKUP($A252,Devengado!$A$1:$AI$1,33,FALSE),"")</f>
        <v/>
      </c>
      <c r="BO252" s="224">
        <f t="shared" si="28"/>
        <v>0</v>
      </c>
      <c r="BP252" s="224" t="str">
        <f t="shared" si="29"/>
        <v/>
      </c>
      <c r="BQ252" s="207"/>
      <c r="BR252" s="207" t="str">
        <f t="shared" si="30"/>
        <v>51</v>
      </c>
    </row>
    <row r="253" spans="1:70" s="225" customFormat="1" ht="25.5" customHeight="1">
      <c r="A253" s="207">
        <v>249</v>
      </c>
      <c r="B253" s="112" t="s">
        <v>287</v>
      </c>
      <c r="C253" s="112" t="s">
        <v>77</v>
      </c>
      <c r="D253" s="112" t="s">
        <v>77</v>
      </c>
      <c r="E253" s="112" t="s">
        <v>76</v>
      </c>
      <c r="F253" s="112" t="s">
        <v>77</v>
      </c>
      <c r="G253" s="112" t="s">
        <v>77</v>
      </c>
      <c r="H253" s="112" t="s">
        <v>77</v>
      </c>
      <c r="I253" s="112" t="s">
        <v>77</v>
      </c>
      <c r="J253" s="112" t="s">
        <v>77</v>
      </c>
      <c r="K253" s="112" t="s">
        <v>77</v>
      </c>
      <c r="L253" s="112" t="s">
        <v>85</v>
      </c>
      <c r="M253" s="114" t="s">
        <v>288</v>
      </c>
      <c r="N253" s="114" t="s">
        <v>289</v>
      </c>
      <c r="O253" s="123">
        <v>80</v>
      </c>
      <c r="P253" s="114" t="s">
        <v>81</v>
      </c>
      <c r="Q253" s="114" t="s">
        <v>112</v>
      </c>
      <c r="R253" s="115" t="str">
        <f t="shared" si="24"/>
        <v>51</v>
      </c>
      <c r="S253" s="112">
        <v>510306</v>
      </c>
      <c r="T253" s="122" t="str">
        <f>VLOOKUP(S253,ITEM!$C$1:$D$156,2,FALSE)</f>
        <v>Alimentación</v>
      </c>
      <c r="U253" s="112">
        <v>900</v>
      </c>
      <c r="V253" s="114" t="s">
        <v>82</v>
      </c>
      <c r="W253" s="114" t="s">
        <v>84</v>
      </c>
      <c r="X253" s="114" t="s">
        <v>84</v>
      </c>
      <c r="Y253" s="224" t="e">
        <f>'Matriz POA 2024-TRABAJO'!#REF!</f>
        <v>#REF!</v>
      </c>
      <c r="Z253" s="224" t="e">
        <f>'Matriz POA 2024-TRABAJO'!#REF!</f>
        <v>#REF!</v>
      </c>
      <c r="AA253" s="224" t="e">
        <f>'Matriz POA 2024-TRABAJO'!#REF!</f>
        <v>#REF!</v>
      </c>
      <c r="AB253" s="279">
        <v>1840.22</v>
      </c>
      <c r="AC253" s="279">
        <v>1840.22</v>
      </c>
      <c r="AD253" s="279">
        <v>1840.22</v>
      </c>
      <c r="AE253" s="279">
        <v>1840.22</v>
      </c>
      <c r="AF253" s="279">
        <v>1840.22</v>
      </c>
      <c r="AG253" s="279">
        <v>1840.22</v>
      </c>
      <c r="AH253" s="279">
        <v>1840.22</v>
      </c>
      <c r="AI253" s="279">
        <v>1840.22</v>
      </c>
      <c r="AJ253" s="279">
        <v>1840.22</v>
      </c>
      <c r="AK253" s="279">
        <v>1840.22</v>
      </c>
      <c r="AL253" s="279">
        <v>1840.22</v>
      </c>
      <c r="AM253" s="279">
        <v>1840.24</v>
      </c>
      <c r="AN253" s="224" t="e">
        <f>SUM(#REF!)</f>
        <v>#REF!</v>
      </c>
      <c r="AO253" s="224">
        <f t="shared" si="25"/>
        <v>22082.660000000003</v>
      </c>
      <c r="AP253" s="224" t="e">
        <f t="shared" si="31"/>
        <v>#REF!</v>
      </c>
      <c r="AQ253" s="224"/>
      <c r="AR253" s="224"/>
      <c r="AS253" s="224"/>
      <c r="AT253" s="224" t="str">
        <f>IFERROR(VLOOKUP($A253,'Constancias POA'!$A$2:$DH$9993,17,FALSE),"")</f>
        <v/>
      </c>
      <c r="AU253" s="224" t="str">
        <f t="shared" si="26"/>
        <v/>
      </c>
      <c r="AV253" s="224" t="str">
        <f>IFERROR(VLOOKUP($A253,CP!$A$1:$U$7992,18,FALSE),"")</f>
        <v/>
      </c>
      <c r="AW253" s="224" t="str">
        <f>IFERROR(VLOOKUP($A253,CP!$A$1:$U$7992,19,FALSE),"")</f>
        <v/>
      </c>
      <c r="AX253" s="224" t="str">
        <f>IFERROR(VLOOKUP($A253,CP!$A$1:$U$7992,20,FALSE),"")</f>
        <v/>
      </c>
      <c r="AY253" s="224" t="str">
        <f>IFERROR(VLOOKUP($A253,CP!$A$1:$U$1,21,FALSE),"")</f>
        <v/>
      </c>
      <c r="AZ253" s="224" t="str">
        <f>IFERROR(VLOOKUP(A253,Devengado!$A$1:AJ1,35,FALSE),"")</f>
        <v/>
      </c>
      <c r="BA253" s="224" t="str">
        <f t="shared" si="27"/>
        <v/>
      </c>
      <c r="BB253" s="224" t="str">
        <f>IFERROR(AZ253/#REF!,"")</f>
        <v/>
      </c>
      <c r="BC253" s="224" t="str">
        <f>IFERROR(VLOOKUP($A253,Devengado!$A$1:$AI$1,22,FALSE),"")</f>
        <v/>
      </c>
      <c r="BD253" s="224" t="str">
        <f>IFERROR(VLOOKUP($A253,Devengado!$A$1:$AI$1,23,FALSE),"")</f>
        <v/>
      </c>
      <c r="BE253" s="224" t="str">
        <f>IFERROR(VLOOKUP($A253,Devengado!$A$1:$AI$1,24,FALSE),"")</f>
        <v/>
      </c>
      <c r="BF253" s="224" t="str">
        <f>IFERROR(VLOOKUP($A253,Devengado!$A$1:$AI$1,25,FALSE),"")</f>
        <v/>
      </c>
      <c r="BG253" s="224" t="str">
        <f>IFERROR(VLOOKUP($A253,Devengado!$A$1:$AI$1,26,FALSE),"")</f>
        <v/>
      </c>
      <c r="BH253" s="224" t="str">
        <f>IFERROR(VLOOKUP($A253,Devengado!$A$1:$AI$1,27,FALSE),"")</f>
        <v/>
      </c>
      <c r="BI253" s="224" t="str">
        <f>IFERROR(VLOOKUP($A253,Devengado!$A$1:$AI$1,28,FALSE),"")</f>
        <v/>
      </c>
      <c r="BJ253" s="224" t="str">
        <f>IFERROR(VLOOKUP($A253,Devengado!$A$1:$AI$1,29,FALSE),"")</f>
        <v/>
      </c>
      <c r="BK253" s="224" t="str">
        <f>IFERROR(VLOOKUP($A253,Devengado!$A$1:$AI$1,30,FALSE),"")</f>
        <v/>
      </c>
      <c r="BL253" s="224" t="str">
        <f>IFERROR(VLOOKUP($A253,Devengado!$A$1:$AI$1,31,FALSE),"")</f>
        <v/>
      </c>
      <c r="BM253" s="224" t="str">
        <f>IFERROR(VLOOKUP($A253,Devengado!$A$1:$AI$1,32,FALSE),"")</f>
        <v/>
      </c>
      <c r="BN253" s="224" t="str">
        <f>IFERROR(VLOOKUP($A253,Devengado!$A$1:$AI$1,33,FALSE),"")</f>
        <v/>
      </c>
      <c r="BO253" s="224">
        <f t="shared" si="28"/>
        <v>0</v>
      </c>
      <c r="BP253" s="224" t="str">
        <f t="shared" si="29"/>
        <v/>
      </c>
      <c r="BQ253" s="207"/>
      <c r="BR253" s="207" t="str">
        <f t="shared" si="30"/>
        <v>51</v>
      </c>
    </row>
    <row r="254" spans="1:70" s="225" customFormat="1" ht="25.5" customHeight="1">
      <c r="A254" s="207">
        <v>250</v>
      </c>
      <c r="B254" s="112" t="s">
        <v>287</v>
      </c>
      <c r="C254" s="112" t="s">
        <v>77</v>
      </c>
      <c r="D254" s="112" t="s">
        <v>77</v>
      </c>
      <c r="E254" s="112" t="s">
        <v>76</v>
      </c>
      <c r="F254" s="112" t="s">
        <v>77</v>
      </c>
      <c r="G254" s="112" t="s">
        <v>77</v>
      </c>
      <c r="H254" s="112" t="s">
        <v>77</v>
      </c>
      <c r="I254" s="112" t="s">
        <v>77</v>
      </c>
      <c r="J254" s="112" t="s">
        <v>77</v>
      </c>
      <c r="K254" s="112" t="s">
        <v>77</v>
      </c>
      <c r="L254" s="112" t="s">
        <v>85</v>
      </c>
      <c r="M254" s="114" t="s">
        <v>288</v>
      </c>
      <c r="N254" s="114" t="s">
        <v>289</v>
      </c>
      <c r="O254" s="123">
        <v>80</v>
      </c>
      <c r="P254" s="114" t="s">
        <v>81</v>
      </c>
      <c r="Q254" s="114" t="s">
        <v>112</v>
      </c>
      <c r="R254" s="115" t="str">
        <f t="shared" si="24"/>
        <v>51</v>
      </c>
      <c r="S254" s="112">
        <v>510401</v>
      </c>
      <c r="T254" s="122" t="str">
        <f>VLOOKUP(S254,ITEM!$C$1:$D$156,2,FALSE)</f>
        <v>Por Cargas Familiares</v>
      </c>
      <c r="U254" s="112">
        <v>900</v>
      </c>
      <c r="V254" s="114" t="s">
        <v>82</v>
      </c>
      <c r="W254" s="114" t="s">
        <v>84</v>
      </c>
      <c r="X254" s="114" t="s">
        <v>84</v>
      </c>
      <c r="Y254" s="224" t="e">
        <f>'Matriz POA 2024-TRABAJO'!#REF!</f>
        <v>#REF!</v>
      </c>
      <c r="Z254" s="224" t="e">
        <f>'Matriz POA 2024-TRABAJO'!#REF!</f>
        <v>#REF!</v>
      </c>
      <c r="AA254" s="224" t="e">
        <f>'Matriz POA 2024-TRABAJO'!#REF!</f>
        <v>#REF!</v>
      </c>
      <c r="AB254" s="279">
        <v>53.99</v>
      </c>
      <c r="AC254" s="279">
        <v>53.99</v>
      </c>
      <c r="AD254" s="279">
        <v>53.99</v>
      </c>
      <c r="AE254" s="279">
        <v>53.99</v>
      </c>
      <c r="AF254" s="279">
        <v>53.99</v>
      </c>
      <c r="AG254" s="279">
        <v>53.99</v>
      </c>
      <c r="AH254" s="279">
        <v>53.99</v>
      </c>
      <c r="AI254" s="279">
        <v>53.99</v>
      </c>
      <c r="AJ254" s="279">
        <v>53.99</v>
      </c>
      <c r="AK254" s="279">
        <v>53.99</v>
      </c>
      <c r="AL254" s="279">
        <v>53.99</v>
      </c>
      <c r="AM254" s="279">
        <v>53.93</v>
      </c>
      <c r="AN254" s="224" t="e">
        <f>SUM(#REF!)</f>
        <v>#REF!</v>
      </c>
      <c r="AO254" s="224">
        <f t="shared" si="25"/>
        <v>647.81999999999994</v>
      </c>
      <c r="AP254" s="224" t="e">
        <f t="shared" si="31"/>
        <v>#REF!</v>
      </c>
      <c r="AQ254" s="224"/>
      <c r="AR254" s="224"/>
      <c r="AS254" s="224"/>
      <c r="AT254" s="224" t="str">
        <f>IFERROR(VLOOKUP($A254,'Constancias POA'!$A$2:$DH$9993,17,FALSE),"")</f>
        <v/>
      </c>
      <c r="AU254" s="224" t="str">
        <f t="shared" si="26"/>
        <v/>
      </c>
      <c r="AV254" s="224" t="str">
        <f>IFERROR(VLOOKUP($A254,CP!$A$1:$U$7992,18,FALSE),"")</f>
        <v/>
      </c>
      <c r="AW254" s="224" t="str">
        <f>IFERROR(VLOOKUP($A254,CP!$A$1:$U$7992,19,FALSE),"")</f>
        <v/>
      </c>
      <c r="AX254" s="224" t="str">
        <f>IFERROR(VLOOKUP($A254,CP!$A$1:$U$7992,20,FALSE),"")</f>
        <v/>
      </c>
      <c r="AY254" s="224" t="str">
        <f>IFERROR(VLOOKUP($A254,CP!$A$1:$U$1,21,FALSE),"")</f>
        <v/>
      </c>
      <c r="AZ254" s="224" t="str">
        <f>IFERROR(VLOOKUP(A254,Devengado!$A$1:AJ1,35,FALSE),"")</f>
        <v/>
      </c>
      <c r="BA254" s="224" t="str">
        <f t="shared" si="27"/>
        <v/>
      </c>
      <c r="BB254" s="224" t="str">
        <f>IFERROR(AZ254/#REF!,"")</f>
        <v/>
      </c>
      <c r="BC254" s="224" t="str">
        <f>IFERROR(VLOOKUP($A254,Devengado!$A$1:$AI$1,22,FALSE),"")</f>
        <v/>
      </c>
      <c r="BD254" s="224" t="str">
        <f>IFERROR(VLOOKUP($A254,Devengado!$A$1:$AI$1,23,FALSE),"")</f>
        <v/>
      </c>
      <c r="BE254" s="224" t="str">
        <f>IFERROR(VLOOKUP($A254,Devengado!$A$1:$AI$1,24,FALSE),"")</f>
        <v/>
      </c>
      <c r="BF254" s="224" t="str">
        <f>IFERROR(VLOOKUP($A254,Devengado!$A$1:$AI$1,25,FALSE),"")</f>
        <v/>
      </c>
      <c r="BG254" s="224" t="str">
        <f>IFERROR(VLOOKUP($A254,Devengado!$A$1:$AI$1,26,FALSE),"")</f>
        <v/>
      </c>
      <c r="BH254" s="224" t="str">
        <f>IFERROR(VLOOKUP($A254,Devengado!$A$1:$AI$1,27,FALSE),"")</f>
        <v/>
      </c>
      <c r="BI254" s="224" t="str">
        <f>IFERROR(VLOOKUP($A254,Devengado!$A$1:$AI$1,28,FALSE),"")</f>
        <v/>
      </c>
      <c r="BJ254" s="224" t="str">
        <f>IFERROR(VLOOKUP($A254,Devengado!$A$1:$AI$1,29,FALSE),"")</f>
        <v/>
      </c>
      <c r="BK254" s="224" t="str">
        <f>IFERROR(VLOOKUP($A254,Devengado!$A$1:$AI$1,30,FALSE),"")</f>
        <v/>
      </c>
      <c r="BL254" s="224" t="str">
        <f>IFERROR(VLOOKUP($A254,Devengado!$A$1:$AI$1,31,FALSE),"")</f>
        <v/>
      </c>
      <c r="BM254" s="224" t="str">
        <f>IFERROR(VLOOKUP($A254,Devengado!$A$1:$AI$1,32,FALSE),"")</f>
        <v/>
      </c>
      <c r="BN254" s="224" t="str">
        <f>IFERROR(VLOOKUP($A254,Devengado!$A$1:$AI$1,33,FALSE),"")</f>
        <v/>
      </c>
      <c r="BO254" s="224">
        <f t="shared" si="28"/>
        <v>0</v>
      </c>
      <c r="BP254" s="224" t="str">
        <f t="shared" si="29"/>
        <v/>
      </c>
      <c r="BQ254" s="207"/>
      <c r="BR254" s="207" t="str">
        <f t="shared" si="30"/>
        <v>51</v>
      </c>
    </row>
    <row r="255" spans="1:70" s="225" customFormat="1" ht="25.5" customHeight="1">
      <c r="A255" s="207">
        <v>251</v>
      </c>
      <c r="B255" s="112" t="s">
        <v>287</v>
      </c>
      <c r="C255" s="112" t="s">
        <v>77</v>
      </c>
      <c r="D255" s="112" t="s">
        <v>77</v>
      </c>
      <c r="E255" s="112" t="s">
        <v>76</v>
      </c>
      <c r="F255" s="112" t="s">
        <v>77</v>
      </c>
      <c r="G255" s="112" t="s">
        <v>77</v>
      </c>
      <c r="H255" s="112" t="s">
        <v>77</v>
      </c>
      <c r="I255" s="112" t="s">
        <v>77</v>
      </c>
      <c r="J255" s="112" t="s">
        <v>77</v>
      </c>
      <c r="K255" s="112" t="s">
        <v>77</v>
      </c>
      <c r="L255" s="112" t="s">
        <v>85</v>
      </c>
      <c r="M255" s="114" t="s">
        <v>288</v>
      </c>
      <c r="N255" s="114" t="s">
        <v>289</v>
      </c>
      <c r="O255" s="123">
        <v>80</v>
      </c>
      <c r="P255" s="114" t="s">
        <v>81</v>
      </c>
      <c r="Q255" s="114" t="s">
        <v>112</v>
      </c>
      <c r="R255" s="115" t="str">
        <f t="shared" si="24"/>
        <v>51</v>
      </c>
      <c r="S255" s="112">
        <v>510304</v>
      </c>
      <c r="T255" s="122" t="str">
        <f>VLOOKUP(S255,ITEM!$C$1:$D$156,2,FALSE)</f>
        <v>Compensación por Transporte</v>
      </c>
      <c r="U255" s="112">
        <v>900</v>
      </c>
      <c r="V255" s="114" t="s">
        <v>82</v>
      </c>
      <c r="W255" s="114" t="s">
        <v>84</v>
      </c>
      <c r="X255" s="114" t="s">
        <v>84</v>
      </c>
      <c r="Y255" s="224" t="e">
        <f>'Matriz POA 2024-TRABAJO'!#REF!</f>
        <v>#REF!</v>
      </c>
      <c r="Z255" s="224" t="e">
        <f>'Matriz POA 2024-TRABAJO'!#REF!</f>
        <v>#REF!</v>
      </c>
      <c r="AA255" s="224" t="e">
        <f>'Matriz POA 2024-TRABAJO'!#REF!</f>
        <v>#REF!</v>
      </c>
      <c r="AB255" s="279">
        <v>192.42</v>
      </c>
      <c r="AC255" s="279">
        <v>192.42</v>
      </c>
      <c r="AD255" s="279">
        <v>192.42</v>
      </c>
      <c r="AE255" s="279">
        <v>192.42</v>
      </c>
      <c r="AF255" s="279">
        <v>192.42</v>
      </c>
      <c r="AG255" s="279">
        <v>192.42</v>
      </c>
      <c r="AH255" s="279">
        <v>192.42</v>
      </c>
      <c r="AI255" s="279">
        <v>192.42</v>
      </c>
      <c r="AJ255" s="279">
        <v>192.41</v>
      </c>
      <c r="AK255" s="279">
        <v>192.41</v>
      </c>
      <c r="AL255" s="279">
        <v>192.41</v>
      </c>
      <c r="AM255" s="279">
        <v>192.41</v>
      </c>
      <c r="AN255" s="224" t="e">
        <f>SUM(#REF!)</f>
        <v>#REF!</v>
      </c>
      <c r="AO255" s="224">
        <f t="shared" si="25"/>
        <v>2309</v>
      </c>
      <c r="AP255" s="224" t="e">
        <f t="shared" si="31"/>
        <v>#REF!</v>
      </c>
      <c r="AQ255" s="224"/>
      <c r="AR255" s="224"/>
      <c r="AS255" s="224"/>
      <c r="AT255" s="224" t="str">
        <f>IFERROR(VLOOKUP($A255,'Constancias POA'!$A$2:$DH$9993,17,FALSE),"")</f>
        <v/>
      </c>
      <c r="AU255" s="224" t="str">
        <f t="shared" si="26"/>
        <v/>
      </c>
      <c r="AV255" s="224" t="str">
        <f>IFERROR(VLOOKUP($A255,CP!$A$1:$U$7992,18,FALSE),"")</f>
        <v/>
      </c>
      <c r="AW255" s="224" t="str">
        <f>IFERROR(VLOOKUP($A255,CP!$A$1:$U$7992,19,FALSE),"")</f>
        <v/>
      </c>
      <c r="AX255" s="224" t="str">
        <f>IFERROR(VLOOKUP($A255,CP!$A$1:$U$7992,20,FALSE),"")</f>
        <v/>
      </c>
      <c r="AY255" s="224" t="str">
        <f>IFERROR(VLOOKUP($A255,CP!$A$1:$U$1,21,FALSE),"")</f>
        <v/>
      </c>
      <c r="AZ255" s="224" t="str">
        <f>IFERROR(VLOOKUP(A255,Devengado!$A$1:AJ1,35,FALSE),"")</f>
        <v/>
      </c>
      <c r="BA255" s="224" t="str">
        <f t="shared" si="27"/>
        <v/>
      </c>
      <c r="BB255" s="224" t="str">
        <f>IFERROR(AZ255/#REF!,"")</f>
        <v/>
      </c>
      <c r="BC255" s="224" t="str">
        <f>IFERROR(VLOOKUP($A255,Devengado!$A$1:$AI$1,22,FALSE),"")</f>
        <v/>
      </c>
      <c r="BD255" s="224" t="str">
        <f>IFERROR(VLOOKUP($A255,Devengado!$A$1:$AI$1,23,FALSE),"")</f>
        <v/>
      </c>
      <c r="BE255" s="224" t="str">
        <f>IFERROR(VLOOKUP($A255,Devengado!$A$1:$AI$1,24,FALSE),"")</f>
        <v/>
      </c>
      <c r="BF255" s="224" t="str">
        <f>IFERROR(VLOOKUP($A255,Devengado!$A$1:$AI$1,25,FALSE),"")</f>
        <v/>
      </c>
      <c r="BG255" s="224" t="str">
        <f>IFERROR(VLOOKUP($A255,Devengado!$A$1:$AI$1,26,FALSE),"")</f>
        <v/>
      </c>
      <c r="BH255" s="224" t="str">
        <f>IFERROR(VLOOKUP($A255,Devengado!$A$1:$AI$1,27,FALSE),"")</f>
        <v/>
      </c>
      <c r="BI255" s="224" t="str">
        <f>IFERROR(VLOOKUP($A255,Devengado!$A$1:$AI$1,28,FALSE),"")</f>
        <v/>
      </c>
      <c r="BJ255" s="224" t="str">
        <f>IFERROR(VLOOKUP($A255,Devengado!$A$1:$AI$1,29,FALSE),"")</f>
        <v/>
      </c>
      <c r="BK255" s="224" t="str">
        <f>IFERROR(VLOOKUP($A255,Devengado!$A$1:$AI$1,30,FALSE),"")</f>
        <v/>
      </c>
      <c r="BL255" s="224" t="str">
        <f>IFERROR(VLOOKUP($A255,Devengado!$A$1:$AI$1,31,FALSE),"")</f>
        <v/>
      </c>
      <c r="BM255" s="224" t="str">
        <f>IFERROR(VLOOKUP($A255,Devengado!$A$1:$AI$1,32,FALSE),"")</f>
        <v/>
      </c>
      <c r="BN255" s="224" t="str">
        <f>IFERROR(VLOOKUP($A255,Devengado!$A$1:$AI$1,33,FALSE),"")</f>
        <v/>
      </c>
      <c r="BO255" s="224">
        <f t="shared" si="28"/>
        <v>0</v>
      </c>
      <c r="BP255" s="224" t="str">
        <f t="shared" si="29"/>
        <v/>
      </c>
      <c r="BQ255" s="207"/>
      <c r="BR255" s="207" t="str">
        <f t="shared" si="30"/>
        <v>51</v>
      </c>
    </row>
    <row r="256" spans="1:70" s="225" customFormat="1" ht="25.5" customHeight="1">
      <c r="A256" s="207">
        <v>252</v>
      </c>
      <c r="B256" s="112" t="s">
        <v>287</v>
      </c>
      <c r="C256" s="112" t="s">
        <v>77</v>
      </c>
      <c r="D256" s="112" t="s">
        <v>77</v>
      </c>
      <c r="E256" s="112" t="s">
        <v>76</v>
      </c>
      <c r="F256" s="112" t="s">
        <v>77</v>
      </c>
      <c r="G256" s="112" t="s">
        <v>77</v>
      </c>
      <c r="H256" s="112" t="s">
        <v>77</v>
      </c>
      <c r="I256" s="112" t="s">
        <v>77</v>
      </c>
      <c r="J256" s="112" t="s">
        <v>77</v>
      </c>
      <c r="K256" s="112" t="s">
        <v>77</v>
      </c>
      <c r="L256" s="112" t="s">
        <v>85</v>
      </c>
      <c r="M256" s="114" t="s">
        <v>288</v>
      </c>
      <c r="N256" s="114" t="s">
        <v>289</v>
      </c>
      <c r="O256" s="123">
        <v>80</v>
      </c>
      <c r="P256" s="114" t="s">
        <v>81</v>
      </c>
      <c r="Q256" s="114" t="s">
        <v>112</v>
      </c>
      <c r="R256" s="115" t="str">
        <f t="shared" si="24"/>
        <v>51</v>
      </c>
      <c r="S256" s="112">
        <v>510408</v>
      </c>
      <c r="T256" s="122" t="str">
        <f>VLOOKUP(S256,ITEM!$C$1:$D$156,2,FALSE)</f>
        <v>Subsidio de Antigüedad</v>
      </c>
      <c r="U256" s="112">
        <v>900</v>
      </c>
      <c r="V256" s="114" t="s">
        <v>82</v>
      </c>
      <c r="W256" s="114" t="s">
        <v>84</v>
      </c>
      <c r="X256" s="114" t="s">
        <v>84</v>
      </c>
      <c r="Y256" s="224" t="e">
        <f>'Matriz POA 2024-TRABAJO'!#REF!</f>
        <v>#REF!</v>
      </c>
      <c r="Z256" s="224" t="e">
        <f>'Matriz POA 2024-TRABAJO'!#REF!</f>
        <v>#REF!</v>
      </c>
      <c r="AA256" s="224" t="e">
        <f>'Matriz POA 2024-TRABAJO'!#REF!</f>
        <v>#REF!</v>
      </c>
      <c r="AB256" s="279">
        <v>149.24</v>
      </c>
      <c r="AC256" s="279">
        <v>149.24</v>
      </c>
      <c r="AD256" s="279">
        <v>149.24</v>
      </c>
      <c r="AE256" s="279">
        <v>149.24</v>
      </c>
      <c r="AF256" s="279">
        <v>149.24</v>
      </c>
      <c r="AG256" s="279">
        <v>149.24</v>
      </c>
      <c r="AH256" s="279">
        <v>149.24</v>
      </c>
      <c r="AI256" s="279">
        <v>149.24</v>
      </c>
      <c r="AJ256" s="279">
        <v>149.24</v>
      </c>
      <c r="AK256" s="279">
        <v>149.24</v>
      </c>
      <c r="AL256" s="279">
        <v>149.24</v>
      </c>
      <c r="AM256" s="279">
        <v>149.24</v>
      </c>
      <c r="AN256" s="224" t="e">
        <f>SUM(#REF!)</f>
        <v>#REF!</v>
      </c>
      <c r="AO256" s="224">
        <f t="shared" si="25"/>
        <v>1790.88</v>
      </c>
      <c r="AP256" s="224" t="e">
        <f t="shared" si="31"/>
        <v>#REF!</v>
      </c>
      <c r="AQ256" s="224"/>
      <c r="AR256" s="224"/>
      <c r="AS256" s="224"/>
      <c r="AT256" s="224" t="str">
        <f>IFERROR(VLOOKUP($A256,'Constancias POA'!$A$2:$DH$9993,17,FALSE),"")</f>
        <v/>
      </c>
      <c r="AU256" s="224" t="str">
        <f t="shared" si="26"/>
        <v/>
      </c>
      <c r="AV256" s="224" t="str">
        <f>IFERROR(VLOOKUP($A256,CP!$A$1:$U$7992,18,FALSE),"")</f>
        <v/>
      </c>
      <c r="AW256" s="224" t="str">
        <f>IFERROR(VLOOKUP($A256,CP!$A$1:$U$7992,19,FALSE),"")</f>
        <v/>
      </c>
      <c r="AX256" s="224" t="str">
        <f>IFERROR(VLOOKUP($A256,CP!$A$1:$U$7992,20,FALSE),"")</f>
        <v/>
      </c>
      <c r="AY256" s="224" t="str">
        <f>IFERROR(VLOOKUP($A256,CP!$A$1:$U$1,21,FALSE),"")</f>
        <v/>
      </c>
      <c r="AZ256" s="224" t="str">
        <f>IFERROR(VLOOKUP(A256,Devengado!$A$1:AJ1,35,FALSE),"")</f>
        <v/>
      </c>
      <c r="BA256" s="224" t="str">
        <f t="shared" si="27"/>
        <v/>
      </c>
      <c r="BB256" s="224" t="str">
        <f>IFERROR(AZ256/#REF!,"")</f>
        <v/>
      </c>
      <c r="BC256" s="224" t="str">
        <f>IFERROR(VLOOKUP($A256,Devengado!$A$1:$AI$1,22,FALSE),"")</f>
        <v/>
      </c>
      <c r="BD256" s="224" t="str">
        <f>IFERROR(VLOOKUP($A256,Devengado!$A$1:$AI$1,23,FALSE),"")</f>
        <v/>
      </c>
      <c r="BE256" s="224" t="str">
        <f>IFERROR(VLOOKUP($A256,Devengado!$A$1:$AI$1,24,FALSE),"")</f>
        <v/>
      </c>
      <c r="BF256" s="224" t="str">
        <f>IFERROR(VLOOKUP($A256,Devengado!$A$1:$AI$1,25,FALSE),"")</f>
        <v/>
      </c>
      <c r="BG256" s="224" t="str">
        <f>IFERROR(VLOOKUP($A256,Devengado!$A$1:$AI$1,26,FALSE),"")</f>
        <v/>
      </c>
      <c r="BH256" s="224" t="str">
        <f>IFERROR(VLOOKUP($A256,Devengado!$A$1:$AI$1,27,FALSE),"")</f>
        <v/>
      </c>
      <c r="BI256" s="224" t="str">
        <f>IFERROR(VLOOKUP($A256,Devengado!$A$1:$AI$1,28,FALSE),"")</f>
        <v/>
      </c>
      <c r="BJ256" s="224" t="str">
        <f>IFERROR(VLOOKUP($A256,Devengado!$A$1:$AI$1,29,FALSE),"")</f>
        <v/>
      </c>
      <c r="BK256" s="224" t="str">
        <f>IFERROR(VLOOKUP($A256,Devengado!$A$1:$AI$1,30,FALSE),"")</f>
        <v/>
      </c>
      <c r="BL256" s="224" t="str">
        <f>IFERROR(VLOOKUP($A256,Devengado!$A$1:$AI$1,31,FALSE),"")</f>
        <v/>
      </c>
      <c r="BM256" s="224" t="str">
        <f>IFERROR(VLOOKUP($A256,Devengado!$A$1:$AI$1,32,FALSE),"")</f>
        <v/>
      </c>
      <c r="BN256" s="224" t="str">
        <f>IFERROR(VLOOKUP($A256,Devengado!$A$1:$AI$1,33,FALSE),"")</f>
        <v/>
      </c>
      <c r="BO256" s="224">
        <f t="shared" si="28"/>
        <v>0</v>
      </c>
      <c r="BP256" s="224" t="str">
        <f t="shared" si="29"/>
        <v/>
      </c>
      <c r="BQ256" s="207"/>
      <c r="BR256" s="207" t="str">
        <f t="shared" si="30"/>
        <v>51</v>
      </c>
    </row>
    <row r="257" spans="1:70" s="225" customFormat="1" ht="15.75" customHeight="1">
      <c r="A257" s="207">
        <v>253</v>
      </c>
      <c r="B257" s="112" t="s">
        <v>287</v>
      </c>
      <c r="C257" s="112" t="s">
        <v>77</v>
      </c>
      <c r="D257" s="112" t="s">
        <v>77</v>
      </c>
      <c r="E257" s="112" t="s">
        <v>76</v>
      </c>
      <c r="F257" s="112" t="s">
        <v>77</v>
      </c>
      <c r="G257" s="112" t="s">
        <v>77</v>
      </c>
      <c r="H257" s="112" t="s">
        <v>77</v>
      </c>
      <c r="I257" s="112" t="s">
        <v>77</v>
      </c>
      <c r="J257" s="112" t="s">
        <v>77</v>
      </c>
      <c r="K257" s="112" t="s">
        <v>77</v>
      </c>
      <c r="L257" s="112" t="s">
        <v>85</v>
      </c>
      <c r="M257" s="114" t="s">
        <v>288</v>
      </c>
      <c r="N257" s="114" t="s">
        <v>289</v>
      </c>
      <c r="O257" s="123">
        <v>80</v>
      </c>
      <c r="P257" s="114" t="s">
        <v>81</v>
      </c>
      <c r="Q257" s="114" t="s">
        <v>112</v>
      </c>
      <c r="R257" s="115" t="str">
        <f t="shared" si="24"/>
        <v>51</v>
      </c>
      <c r="S257" s="112">
        <v>510707</v>
      </c>
      <c r="T257" s="122" t="str">
        <f>VLOOKUP(S257,ITEM!$C$1:$D$156,2,FALSE)</f>
        <v>Compensación por Vacaciones no Gozadas por Cesación de Funciones</v>
      </c>
      <c r="U257" s="112">
        <v>900</v>
      </c>
      <c r="V257" s="114" t="s">
        <v>82</v>
      </c>
      <c r="W257" s="114" t="s">
        <v>84</v>
      </c>
      <c r="X257" s="114" t="s">
        <v>84</v>
      </c>
      <c r="Y257" s="224" t="e">
        <f>'Matriz POA 2024-TRABAJO'!#REF!</f>
        <v>#REF!</v>
      </c>
      <c r="Z257" s="224" t="e">
        <f>'Matriz POA 2024-TRABAJO'!#REF!</f>
        <v>#REF!</v>
      </c>
      <c r="AA257" s="224" t="e">
        <f>'Matriz POA 2024-TRABAJO'!#REF!</f>
        <v>#REF!</v>
      </c>
      <c r="AB257" s="279">
        <v>0</v>
      </c>
      <c r="AC257" s="279">
        <v>0</v>
      </c>
      <c r="AD257" s="279">
        <v>2380.58</v>
      </c>
      <c r="AE257" s="279">
        <v>0</v>
      </c>
      <c r="AF257" s="279">
        <v>0</v>
      </c>
      <c r="AG257" s="279">
        <v>0</v>
      </c>
      <c r="AH257" s="279">
        <v>0</v>
      </c>
      <c r="AI257" s="279">
        <v>0</v>
      </c>
      <c r="AJ257" s="279">
        <v>0</v>
      </c>
      <c r="AK257" s="279">
        <v>0</v>
      </c>
      <c r="AL257" s="279">
        <v>0</v>
      </c>
      <c r="AM257" s="279">
        <v>0</v>
      </c>
      <c r="AN257" s="224" t="e">
        <f>SUM(#REF!)</f>
        <v>#REF!</v>
      </c>
      <c r="AO257" s="224">
        <f t="shared" si="25"/>
        <v>2380.58</v>
      </c>
      <c r="AP257" s="224" t="e">
        <f>+AO257-AA257</f>
        <v>#REF!</v>
      </c>
      <c r="AQ257" s="224"/>
      <c r="AR257" s="224"/>
      <c r="AS257" s="224"/>
      <c r="AT257" s="224" t="str">
        <f>IFERROR(VLOOKUP($A257,'Constancias POA'!$A$2:$DH$9993,17,FALSE),"")</f>
        <v/>
      </c>
      <c r="AU257" s="224" t="str">
        <f t="shared" si="26"/>
        <v/>
      </c>
      <c r="AV257" s="224" t="str">
        <f>IFERROR(VLOOKUP($A257,CP!$A$1:$U$7992,18,FALSE),"")</f>
        <v/>
      </c>
      <c r="AW257" s="224" t="str">
        <f>IFERROR(VLOOKUP($A257,CP!$A$1:$U$7992,19,FALSE),"")</f>
        <v/>
      </c>
      <c r="AX257" s="224" t="str">
        <f>IFERROR(VLOOKUP($A257,CP!$A$1:$U$7992,20,FALSE),"")</f>
        <v/>
      </c>
      <c r="AY257" s="224" t="str">
        <f>IFERROR(VLOOKUP($A257,CP!$A$1:$U$1,21,FALSE),"")</f>
        <v/>
      </c>
      <c r="AZ257" s="224" t="str">
        <f>IFERROR(VLOOKUP(A257,Devengado!$A$1:AJ1,35,FALSE),"")</f>
        <v/>
      </c>
      <c r="BA257" s="224" t="str">
        <f t="shared" si="27"/>
        <v/>
      </c>
      <c r="BB257" s="224" t="str">
        <f>IFERROR(AZ257/#REF!,"")</f>
        <v/>
      </c>
      <c r="BC257" s="224" t="str">
        <f>IFERROR(VLOOKUP($A257,Devengado!$A$1:$AI$1,22,FALSE),"")</f>
        <v/>
      </c>
      <c r="BD257" s="224" t="str">
        <f>IFERROR(VLOOKUP($A257,Devengado!$A$1:$AI$1,23,FALSE),"")</f>
        <v/>
      </c>
      <c r="BE257" s="224" t="str">
        <f>IFERROR(VLOOKUP($A257,Devengado!$A$1:$AI$1,24,FALSE),"")</f>
        <v/>
      </c>
      <c r="BF257" s="224" t="str">
        <f>IFERROR(VLOOKUP($A257,Devengado!$A$1:$AI$1,25,FALSE),"")</f>
        <v/>
      </c>
      <c r="BG257" s="224" t="str">
        <f>IFERROR(VLOOKUP($A257,Devengado!$A$1:$AI$1,26,FALSE),"")</f>
        <v/>
      </c>
      <c r="BH257" s="224" t="str">
        <f>IFERROR(VLOOKUP($A257,Devengado!$A$1:$AI$1,27,FALSE),"")</f>
        <v/>
      </c>
      <c r="BI257" s="224" t="str">
        <f>IFERROR(VLOOKUP($A257,Devengado!$A$1:$AI$1,28,FALSE),"")</f>
        <v/>
      </c>
      <c r="BJ257" s="224" t="str">
        <f>IFERROR(VLOOKUP($A257,Devengado!$A$1:$AI$1,29,FALSE),"")</f>
        <v/>
      </c>
      <c r="BK257" s="224" t="str">
        <f>IFERROR(VLOOKUP($A257,Devengado!$A$1:$AI$1,30,FALSE),"")</f>
        <v/>
      </c>
      <c r="BL257" s="224" t="str">
        <f>IFERROR(VLOOKUP($A257,Devengado!$A$1:$AI$1,31,FALSE),"")</f>
        <v/>
      </c>
      <c r="BM257" s="224" t="str">
        <f>IFERROR(VLOOKUP($A257,Devengado!$A$1:$AI$1,32,FALSE),"")</f>
        <v/>
      </c>
      <c r="BN257" s="224" t="str">
        <f>IFERROR(VLOOKUP($A257,Devengado!$A$1:$AI$1,33,FALSE),"")</f>
        <v/>
      </c>
      <c r="BO257" s="224">
        <f t="shared" si="28"/>
        <v>0</v>
      </c>
      <c r="BP257" s="224" t="str">
        <f t="shared" si="29"/>
        <v/>
      </c>
      <c r="BQ257" s="207"/>
      <c r="BR257" s="207" t="str">
        <f t="shared" si="30"/>
        <v>51</v>
      </c>
    </row>
    <row r="258" spans="1:70" s="225" customFormat="1" ht="25.5" customHeight="1">
      <c r="A258" s="207">
        <v>254</v>
      </c>
      <c r="B258" s="112" t="s">
        <v>287</v>
      </c>
      <c r="C258" s="112" t="s">
        <v>77</v>
      </c>
      <c r="D258" s="112" t="s">
        <v>77</v>
      </c>
      <c r="E258" s="112" t="s">
        <v>76</v>
      </c>
      <c r="F258" s="112" t="s">
        <v>77</v>
      </c>
      <c r="G258" s="112" t="s">
        <v>77</v>
      </c>
      <c r="H258" s="112" t="s">
        <v>77</v>
      </c>
      <c r="I258" s="112" t="s">
        <v>77</v>
      </c>
      <c r="J258" s="112" t="s">
        <v>77</v>
      </c>
      <c r="K258" s="112" t="s">
        <v>77</v>
      </c>
      <c r="L258" s="112" t="s">
        <v>85</v>
      </c>
      <c r="M258" s="114" t="s">
        <v>288</v>
      </c>
      <c r="N258" s="114" t="s">
        <v>289</v>
      </c>
      <c r="O258" s="123">
        <v>80</v>
      </c>
      <c r="P258" s="114" t="s">
        <v>81</v>
      </c>
      <c r="Q258" s="114" t="s">
        <v>112</v>
      </c>
      <c r="R258" s="115" t="str">
        <f t="shared" si="24"/>
        <v>51</v>
      </c>
      <c r="S258" s="112">
        <v>510512</v>
      </c>
      <c r="T258" s="122" t="str">
        <f>VLOOKUP(S258,ITEM!$C$1:$D$156,2,FALSE)</f>
        <v>Subrogación</v>
      </c>
      <c r="U258" s="112">
        <v>900</v>
      </c>
      <c r="V258" s="114" t="s">
        <v>82</v>
      </c>
      <c r="W258" s="114" t="s">
        <v>84</v>
      </c>
      <c r="X258" s="114" t="s">
        <v>84</v>
      </c>
      <c r="Y258" s="224" t="e">
        <f>'Matriz POA 2024-TRABAJO'!#REF!</f>
        <v>#REF!</v>
      </c>
      <c r="Z258" s="224" t="e">
        <f>'Matriz POA 2024-TRABAJO'!#REF!</f>
        <v>#REF!</v>
      </c>
      <c r="AA258" s="224" t="e">
        <f>'Matriz POA 2024-TRABAJO'!#REF!</f>
        <v>#REF!</v>
      </c>
      <c r="AB258" s="279">
        <v>23.82</v>
      </c>
      <c r="AC258" s="279">
        <v>23.82</v>
      </c>
      <c r="AD258" s="279">
        <v>23.82</v>
      </c>
      <c r="AE258" s="279">
        <v>23.82</v>
      </c>
      <c r="AF258" s="279">
        <v>23.82</v>
      </c>
      <c r="AG258" s="279">
        <v>23.82</v>
      </c>
      <c r="AH258" s="279">
        <v>23.82</v>
      </c>
      <c r="AI258" s="279">
        <v>23.82</v>
      </c>
      <c r="AJ258" s="279">
        <v>23.82</v>
      </c>
      <c r="AK258" s="279">
        <v>23.82</v>
      </c>
      <c r="AL258" s="279">
        <v>23.82</v>
      </c>
      <c r="AM258" s="279">
        <v>23.86</v>
      </c>
      <c r="AN258" s="224" t="e">
        <f>SUM(#REF!)</f>
        <v>#REF!</v>
      </c>
      <c r="AO258" s="224">
        <f t="shared" si="25"/>
        <v>285.88</v>
      </c>
      <c r="AP258" s="224" t="e">
        <f t="shared" si="31"/>
        <v>#REF!</v>
      </c>
      <c r="AQ258" s="224"/>
      <c r="AR258" s="224"/>
      <c r="AS258" s="224"/>
      <c r="AT258" s="224" t="str">
        <f>IFERROR(VLOOKUP($A258,'Constancias POA'!$A$2:$DH$9993,17,FALSE),"")</f>
        <v/>
      </c>
      <c r="AU258" s="224" t="str">
        <f t="shared" si="26"/>
        <v/>
      </c>
      <c r="AV258" s="224" t="str">
        <f>IFERROR(VLOOKUP($A258,CP!$A$1:$U$7992,18,FALSE),"")</f>
        <v/>
      </c>
      <c r="AW258" s="224" t="str">
        <f>IFERROR(VLOOKUP($A258,CP!$A$1:$U$7992,19,FALSE),"")</f>
        <v/>
      </c>
      <c r="AX258" s="224" t="str">
        <f>IFERROR(VLOOKUP($A258,CP!$A$1:$U$7992,20,FALSE),"")</f>
        <v/>
      </c>
      <c r="AY258" s="224" t="str">
        <f>IFERROR(VLOOKUP($A258,CP!$A$1:$U$1,21,FALSE),"")</f>
        <v/>
      </c>
      <c r="AZ258" s="224" t="str">
        <f>IFERROR(VLOOKUP(A258,Devengado!$A$1:AJ1,35,FALSE),"")</f>
        <v/>
      </c>
      <c r="BA258" s="224" t="str">
        <f t="shared" si="27"/>
        <v/>
      </c>
      <c r="BB258" s="224" t="str">
        <f>IFERROR(AZ258/#REF!,"")</f>
        <v/>
      </c>
      <c r="BC258" s="224" t="str">
        <f>IFERROR(VLOOKUP($A258,Devengado!$A$1:$AI$1,22,FALSE),"")</f>
        <v/>
      </c>
      <c r="BD258" s="224" t="str">
        <f>IFERROR(VLOOKUP($A258,Devengado!$A$1:$AI$1,23,FALSE),"")</f>
        <v/>
      </c>
      <c r="BE258" s="224" t="str">
        <f>IFERROR(VLOOKUP($A258,Devengado!$A$1:$AI$1,24,FALSE),"")</f>
        <v/>
      </c>
      <c r="BF258" s="224" t="str">
        <f>IFERROR(VLOOKUP($A258,Devengado!$A$1:$AI$1,25,FALSE),"")</f>
        <v/>
      </c>
      <c r="BG258" s="224" t="str">
        <f>IFERROR(VLOOKUP($A258,Devengado!$A$1:$AI$1,26,FALSE),"")</f>
        <v/>
      </c>
      <c r="BH258" s="224" t="str">
        <f>IFERROR(VLOOKUP($A258,Devengado!$A$1:$AI$1,27,FALSE),"")</f>
        <v/>
      </c>
      <c r="BI258" s="224" t="str">
        <f>IFERROR(VLOOKUP($A258,Devengado!$A$1:$AI$1,28,FALSE),"")</f>
        <v/>
      </c>
      <c r="BJ258" s="224" t="str">
        <f>IFERROR(VLOOKUP($A258,Devengado!$A$1:$AI$1,29,FALSE),"")</f>
        <v/>
      </c>
      <c r="BK258" s="224" t="str">
        <f>IFERROR(VLOOKUP($A258,Devengado!$A$1:$AI$1,30,FALSE),"")</f>
        <v/>
      </c>
      <c r="BL258" s="224" t="str">
        <f>IFERROR(VLOOKUP($A258,Devengado!$A$1:$AI$1,31,FALSE),"")</f>
        <v/>
      </c>
      <c r="BM258" s="224" t="str">
        <f>IFERROR(VLOOKUP($A258,Devengado!$A$1:$AI$1,32,FALSE),"")</f>
        <v/>
      </c>
      <c r="BN258" s="224" t="str">
        <f>IFERROR(VLOOKUP($A258,Devengado!$A$1:$AI$1,33,FALSE),"")</f>
        <v/>
      </c>
      <c r="BO258" s="224">
        <f t="shared" si="28"/>
        <v>0</v>
      </c>
      <c r="BP258" s="224" t="str">
        <f t="shared" si="29"/>
        <v/>
      </c>
      <c r="BQ258" s="207"/>
      <c r="BR258" s="207" t="str">
        <f t="shared" si="30"/>
        <v>51</v>
      </c>
    </row>
    <row r="259" spans="1:70" s="225" customFormat="1" ht="25.5" customHeight="1">
      <c r="A259" s="207">
        <v>255</v>
      </c>
      <c r="B259" s="112" t="s">
        <v>287</v>
      </c>
      <c r="C259" s="112" t="s">
        <v>77</v>
      </c>
      <c r="D259" s="112" t="s">
        <v>77</v>
      </c>
      <c r="E259" s="112" t="s">
        <v>76</v>
      </c>
      <c r="F259" s="112" t="s">
        <v>77</v>
      </c>
      <c r="G259" s="112" t="s">
        <v>77</v>
      </c>
      <c r="H259" s="112" t="s">
        <v>77</v>
      </c>
      <c r="I259" s="112" t="s">
        <v>77</v>
      </c>
      <c r="J259" s="112" t="s">
        <v>77</v>
      </c>
      <c r="K259" s="112" t="s">
        <v>77</v>
      </c>
      <c r="L259" s="112" t="s">
        <v>85</v>
      </c>
      <c r="M259" s="114" t="s">
        <v>288</v>
      </c>
      <c r="N259" s="114" t="s">
        <v>289</v>
      </c>
      <c r="O259" s="123">
        <v>80</v>
      </c>
      <c r="P259" s="114" t="s">
        <v>81</v>
      </c>
      <c r="Q259" s="114" t="s">
        <v>112</v>
      </c>
      <c r="R259" s="115" t="str">
        <f t="shared" si="24"/>
        <v>51</v>
      </c>
      <c r="S259" s="112">
        <v>510509</v>
      </c>
      <c r="T259" s="122" t="str">
        <f>VLOOKUP(S259,ITEM!$C$1:$D$156,2,FALSE)</f>
        <v>Horas Extraordinarias y Suplementarias</v>
      </c>
      <c r="U259" s="112">
        <v>900</v>
      </c>
      <c r="V259" s="114" t="s">
        <v>82</v>
      </c>
      <c r="W259" s="114" t="s">
        <v>84</v>
      </c>
      <c r="X259" s="114" t="s">
        <v>84</v>
      </c>
      <c r="Y259" s="224" t="e">
        <f>'Matriz POA 2024-TRABAJO'!#REF!</f>
        <v>#REF!</v>
      </c>
      <c r="Z259" s="224" t="e">
        <f>'Matriz POA 2024-TRABAJO'!#REF!</f>
        <v>#REF!</v>
      </c>
      <c r="AA259" s="224" t="e">
        <f>'Matriz POA 2024-TRABAJO'!#REF!</f>
        <v>#REF!</v>
      </c>
      <c r="AB259" s="279">
        <v>0</v>
      </c>
      <c r="AC259" s="279">
        <v>123.25</v>
      </c>
      <c r="AD259" s="279">
        <v>123.25</v>
      </c>
      <c r="AE259" s="279">
        <v>123.25</v>
      </c>
      <c r="AF259" s="279">
        <v>123.24</v>
      </c>
      <c r="AG259" s="279">
        <v>0</v>
      </c>
      <c r="AH259" s="279">
        <v>0</v>
      </c>
      <c r="AI259" s="279">
        <v>0</v>
      </c>
      <c r="AJ259" s="279">
        <v>0</v>
      </c>
      <c r="AK259" s="279">
        <v>0</v>
      </c>
      <c r="AL259" s="279">
        <v>0</v>
      </c>
      <c r="AM259" s="279">
        <v>0</v>
      </c>
      <c r="AN259" s="224" t="e">
        <f>SUM(#REF!)</f>
        <v>#REF!</v>
      </c>
      <c r="AO259" s="224">
        <f t="shared" si="25"/>
        <v>492.99</v>
      </c>
      <c r="AP259" s="224" t="e">
        <f t="shared" si="31"/>
        <v>#REF!</v>
      </c>
      <c r="AQ259" s="224"/>
      <c r="AR259" s="224"/>
      <c r="AS259" s="224"/>
      <c r="AT259" s="224" t="str">
        <f>IFERROR(VLOOKUP($A259,'Constancias POA'!$A$2:$DH$9993,17,FALSE),"")</f>
        <v/>
      </c>
      <c r="AU259" s="224" t="str">
        <f t="shared" si="26"/>
        <v/>
      </c>
      <c r="AV259" s="224" t="str">
        <f>IFERROR(VLOOKUP($A259,CP!$A$1:$U$7992,18,FALSE),"")</f>
        <v/>
      </c>
      <c r="AW259" s="224" t="str">
        <f>IFERROR(VLOOKUP($A259,CP!$A$1:$U$7992,19,FALSE),"")</f>
        <v/>
      </c>
      <c r="AX259" s="224" t="str">
        <f>IFERROR(VLOOKUP($A259,CP!$A$1:$U$7992,20,FALSE),"")</f>
        <v/>
      </c>
      <c r="AY259" s="224" t="str">
        <f>IFERROR(VLOOKUP($A259,CP!$A$1:$U$1,21,FALSE),"")</f>
        <v/>
      </c>
      <c r="AZ259" s="224" t="str">
        <f>IFERROR(VLOOKUP(A259,Devengado!$A$1:AJ1,35,FALSE),"")</f>
        <v/>
      </c>
      <c r="BA259" s="224" t="str">
        <f t="shared" si="27"/>
        <v/>
      </c>
      <c r="BB259" s="224" t="str">
        <f>IFERROR(AZ259/#REF!,"")</f>
        <v/>
      </c>
      <c r="BC259" s="224" t="str">
        <f>IFERROR(VLOOKUP($A259,Devengado!$A$1:$AI$1,22,FALSE),"")</f>
        <v/>
      </c>
      <c r="BD259" s="224" t="str">
        <f>IFERROR(VLOOKUP($A259,Devengado!$A$1:$AI$1,23,FALSE),"")</f>
        <v/>
      </c>
      <c r="BE259" s="224" t="str">
        <f>IFERROR(VLOOKUP($A259,Devengado!$A$1:$AI$1,24,FALSE),"")</f>
        <v/>
      </c>
      <c r="BF259" s="224" t="str">
        <f>IFERROR(VLOOKUP($A259,Devengado!$A$1:$AI$1,25,FALSE),"")</f>
        <v/>
      </c>
      <c r="BG259" s="224" t="str">
        <f>IFERROR(VLOOKUP($A259,Devengado!$A$1:$AI$1,26,FALSE),"")</f>
        <v/>
      </c>
      <c r="BH259" s="224" t="str">
        <f>IFERROR(VLOOKUP($A259,Devengado!$A$1:$AI$1,27,FALSE),"")</f>
        <v/>
      </c>
      <c r="BI259" s="224" t="str">
        <f>IFERROR(VLOOKUP($A259,Devengado!$A$1:$AI$1,28,FALSE),"")</f>
        <v/>
      </c>
      <c r="BJ259" s="224" t="str">
        <f>IFERROR(VLOOKUP($A259,Devengado!$A$1:$AI$1,29,FALSE),"")</f>
        <v/>
      </c>
      <c r="BK259" s="224" t="str">
        <f>IFERROR(VLOOKUP($A259,Devengado!$A$1:$AI$1,30,FALSE),"")</f>
        <v/>
      </c>
      <c r="BL259" s="224" t="str">
        <f>IFERROR(VLOOKUP($A259,Devengado!$A$1:$AI$1,31,FALSE),"")</f>
        <v/>
      </c>
      <c r="BM259" s="224" t="str">
        <f>IFERROR(VLOOKUP($A259,Devengado!$A$1:$AI$1,32,FALSE),"")</f>
        <v/>
      </c>
      <c r="BN259" s="224" t="str">
        <f>IFERROR(VLOOKUP($A259,Devengado!$A$1:$AI$1,33,FALSE),"")</f>
        <v/>
      </c>
      <c r="BO259" s="224">
        <f t="shared" si="28"/>
        <v>0</v>
      </c>
      <c r="BP259" s="224" t="str">
        <f t="shared" si="29"/>
        <v/>
      </c>
      <c r="BQ259" s="207"/>
      <c r="BR259" s="207" t="str">
        <f t="shared" si="30"/>
        <v>51</v>
      </c>
    </row>
    <row r="260" spans="1:70" s="225" customFormat="1" ht="25.5" customHeight="1">
      <c r="A260" s="207">
        <v>256</v>
      </c>
      <c r="B260" s="112" t="s">
        <v>287</v>
      </c>
      <c r="C260" s="112" t="s">
        <v>77</v>
      </c>
      <c r="D260" s="112" t="s">
        <v>77</v>
      </c>
      <c r="E260" s="112" t="s">
        <v>76</v>
      </c>
      <c r="F260" s="112" t="s">
        <v>77</v>
      </c>
      <c r="G260" s="112" t="s">
        <v>77</v>
      </c>
      <c r="H260" s="112" t="s">
        <v>77</v>
      </c>
      <c r="I260" s="112" t="s">
        <v>77</v>
      </c>
      <c r="J260" s="112" t="s">
        <v>77</v>
      </c>
      <c r="K260" s="112" t="s">
        <v>77</v>
      </c>
      <c r="L260" s="112" t="s">
        <v>85</v>
      </c>
      <c r="M260" s="112" t="s">
        <v>290</v>
      </c>
      <c r="N260" s="114" t="s">
        <v>289</v>
      </c>
      <c r="O260" s="123">
        <v>80</v>
      </c>
      <c r="P260" s="114" t="s">
        <v>81</v>
      </c>
      <c r="Q260" s="114" t="s">
        <v>112</v>
      </c>
      <c r="R260" s="115" t="str">
        <f t="shared" si="24"/>
        <v>53</v>
      </c>
      <c r="S260" s="112">
        <v>530104</v>
      </c>
      <c r="T260" s="122" t="str">
        <f>VLOOKUP(S260,ITEM!$C$1:$D$156,2,FALSE)</f>
        <v>Energía Eléctrica</v>
      </c>
      <c r="U260" s="112">
        <v>900</v>
      </c>
      <c r="V260" s="114" t="s">
        <v>82</v>
      </c>
      <c r="W260" s="114" t="s">
        <v>84</v>
      </c>
      <c r="X260" s="114" t="s">
        <v>84</v>
      </c>
      <c r="Y260" s="224" t="e">
        <f>'Matriz POA 2024-TRABAJO'!#REF!</f>
        <v>#REF!</v>
      </c>
      <c r="Z260" s="224" t="e">
        <f>'Matriz POA 2024-TRABAJO'!#REF!</f>
        <v>#REF!</v>
      </c>
      <c r="AA260" s="224" t="e">
        <f>'Matriz POA 2024-TRABAJO'!#REF!</f>
        <v>#REF!</v>
      </c>
      <c r="AB260" s="279">
        <v>8600.68</v>
      </c>
      <c r="AC260" s="279">
        <v>7941.36</v>
      </c>
      <c r="AD260" s="279">
        <v>7931.87</v>
      </c>
      <c r="AE260" s="279">
        <v>8217.2999999999993</v>
      </c>
      <c r="AF260" s="279">
        <v>10185.56</v>
      </c>
      <c r="AG260" s="279">
        <v>17053.580000000002</v>
      </c>
      <c r="AH260" s="279">
        <v>17223.189999999999</v>
      </c>
      <c r="AI260" s="279">
        <v>16703.599999999999</v>
      </c>
      <c r="AJ260" s="279">
        <v>17650</v>
      </c>
      <c r="AK260" s="279">
        <v>17600</v>
      </c>
      <c r="AL260" s="279">
        <v>18000</v>
      </c>
      <c r="AM260" s="279">
        <v>17282.86</v>
      </c>
      <c r="AN260" s="224" t="e">
        <f>SUM(#REF!)</f>
        <v>#REF!</v>
      </c>
      <c r="AO260" s="224">
        <f t="shared" si="25"/>
        <v>164390</v>
      </c>
      <c r="AP260" s="224" t="e">
        <f t="shared" si="31"/>
        <v>#REF!</v>
      </c>
      <c r="AQ260" s="224"/>
      <c r="AR260" s="224"/>
      <c r="AS260" s="224"/>
      <c r="AT260" s="224" t="str">
        <f>IFERROR(VLOOKUP($A260,'Constancias POA'!$A$2:$DH$9993,17,FALSE),"")</f>
        <v/>
      </c>
      <c r="AU260" s="224" t="str">
        <f t="shared" si="26"/>
        <v/>
      </c>
      <c r="AV260" s="224" t="str">
        <f>IFERROR(VLOOKUP($A260,CP!$A$1:$U$7992,18,FALSE),"")</f>
        <v/>
      </c>
      <c r="AW260" s="224" t="str">
        <f>IFERROR(VLOOKUP($A260,CP!$A$1:$U$7992,19,FALSE),"")</f>
        <v/>
      </c>
      <c r="AX260" s="224" t="str">
        <f>IFERROR(VLOOKUP($A260,CP!$A$1:$U$7992,20,FALSE),"")</f>
        <v/>
      </c>
      <c r="AY260" s="224" t="str">
        <f>IFERROR(VLOOKUP($A260,CP!$A$1:$U$1,21,FALSE),"")</f>
        <v/>
      </c>
      <c r="AZ260" s="224" t="str">
        <f>IFERROR(VLOOKUP(A260,Devengado!$A$1:AJ1,35,FALSE),"")</f>
        <v/>
      </c>
      <c r="BA260" s="224" t="str">
        <f t="shared" si="27"/>
        <v/>
      </c>
      <c r="BB260" s="224" t="str">
        <f>IFERROR(AZ260/#REF!,"")</f>
        <v/>
      </c>
      <c r="BC260" s="224" t="str">
        <f>IFERROR(VLOOKUP($A260,Devengado!$A$1:$AI$1,22,FALSE),"")</f>
        <v/>
      </c>
      <c r="BD260" s="224" t="str">
        <f>IFERROR(VLOOKUP($A260,Devengado!$A$1:$AI$1,23,FALSE),"")</f>
        <v/>
      </c>
      <c r="BE260" s="224" t="str">
        <f>IFERROR(VLOOKUP($A260,Devengado!$A$1:$AI$1,24,FALSE),"")</f>
        <v/>
      </c>
      <c r="BF260" s="224" t="str">
        <f>IFERROR(VLOOKUP($A260,Devengado!$A$1:$AI$1,25,FALSE),"")</f>
        <v/>
      </c>
      <c r="BG260" s="224" t="str">
        <f>IFERROR(VLOOKUP($A260,Devengado!$A$1:$AI$1,26,FALSE),"")</f>
        <v/>
      </c>
      <c r="BH260" s="224" t="str">
        <f>IFERROR(VLOOKUP($A260,Devengado!$A$1:$AI$1,27,FALSE),"")</f>
        <v/>
      </c>
      <c r="BI260" s="224" t="str">
        <f>IFERROR(VLOOKUP($A260,Devengado!$A$1:$AI$1,28,FALSE),"")</f>
        <v/>
      </c>
      <c r="BJ260" s="224" t="str">
        <f>IFERROR(VLOOKUP($A260,Devengado!$A$1:$AI$1,29,FALSE),"")</f>
        <v/>
      </c>
      <c r="BK260" s="224" t="str">
        <f>IFERROR(VLOOKUP($A260,Devengado!$A$1:$AI$1,30,FALSE),"")</f>
        <v/>
      </c>
      <c r="BL260" s="224" t="str">
        <f>IFERROR(VLOOKUP($A260,Devengado!$A$1:$AI$1,31,FALSE),"")</f>
        <v/>
      </c>
      <c r="BM260" s="224" t="str">
        <f>IFERROR(VLOOKUP($A260,Devengado!$A$1:$AI$1,32,FALSE),"")</f>
        <v/>
      </c>
      <c r="BN260" s="224" t="str">
        <f>IFERROR(VLOOKUP($A260,Devengado!$A$1:$AI$1,33,FALSE),"")</f>
        <v/>
      </c>
      <c r="BO260" s="224">
        <f t="shared" si="28"/>
        <v>0</v>
      </c>
      <c r="BP260" s="224" t="str">
        <f t="shared" si="29"/>
        <v/>
      </c>
      <c r="BQ260" s="207"/>
      <c r="BR260" s="207" t="str">
        <f t="shared" si="30"/>
        <v>53</v>
      </c>
    </row>
    <row r="261" spans="1:70" s="225" customFormat="1" ht="25.5" customHeight="1">
      <c r="A261" s="207">
        <v>257</v>
      </c>
      <c r="B261" s="112" t="s">
        <v>287</v>
      </c>
      <c r="C261" s="112" t="s">
        <v>77</v>
      </c>
      <c r="D261" s="112" t="s">
        <v>77</v>
      </c>
      <c r="E261" s="112" t="s">
        <v>76</v>
      </c>
      <c r="F261" s="112" t="s">
        <v>77</v>
      </c>
      <c r="G261" s="112" t="s">
        <v>77</v>
      </c>
      <c r="H261" s="112" t="s">
        <v>77</v>
      </c>
      <c r="I261" s="112" t="s">
        <v>77</v>
      </c>
      <c r="J261" s="112" t="s">
        <v>77</v>
      </c>
      <c r="K261" s="112" t="s">
        <v>77</v>
      </c>
      <c r="L261" s="112" t="s">
        <v>85</v>
      </c>
      <c r="M261" s="112" t="s">
        <v>291</v>
      </c>
      <c r="N261" s="114" t="s">
        <v>289</v>
      </c>
      <c r="O261" s="123">
        <v>80</v>
      </c>
      <c r="P261" s="114" t="s">
        <v>81</v>
      </c>
      <c r="Q261" s="114" t="s">
        <v>112</v>
      </c>
      <c r="R261" s="115" t="str">
        <f t="shared" ref="R261:R324" si="32">LEFT(S261,2)</f>
        <v>53</v>
      </c>
      <c r="S261" s="112">
        <v>530101</v>
      </c>
      <c r="T261" s="122" t="str">
        <f>VLOOKUP(S261,ITEM!$C$1:$D$156,2,FALSE)</f>
        <v>Agua Potable</v>
      </c>
      <c r="U261" s="112">
        <v>900</v>
      </c>
      <c r="V261" s="114" t="s">
        <v>82</v>
      </c>
      <c r="W261" s="114" t="s">
        <v>84</v>
      </c>
      <c r="X261" s="114" t="s">
        <v>84</v>
      </c>
      <c r="Y261" s="224" t="e">
        <f>'Matriz POA 2024-TRABAJO'!#REF!</f>
        <v>#REF!</v>
      </c>
      <c r="Z261" s="224" t="e">
        <f>'Matriz POA 2024-TRABAJO'!#REF!</f>
        <v>#REF!</v>
      </c>
      <c r="AA261" s="224" t="e">
        <f>'Matriz POA 2024-TRABAJO'!#REF!</f>
        <v>#REF!</v>
      </c>
      <c r="AB261" s="279">
        <v>873.37</v>
      </c>
      <c r="AC261" s="279">
        <v>1211.82</v>
      </c>
      <c r="AD261" s="279">
        <v>648.59</v>
      </c>
      <c r="AE261" s="279">
        <v>648.03</v>
      </c>
      <c r="AF261" s="279">
        <v>3448.41</v>
      </c>
      <c r="AG261" s="279">
        <v>1429.78</v>
      </c>
      <c r="AH261" s="279">
        <v>1644.94</v>
      </c>
      <c r="AI261" s="279">
        <v>1714.28</v>
      </c>
      <c r="AJ261" s="279">
        <v>1900</v>
      </c>
      <c r="AK261" s="279">
        <v>1900</v>
      </c>
      <c r="AL261" s="279">
        <v>2500</v>
      </c>
      <c r="AM261" s="279">
        <v>2080.7800000000002</v>
      </c>
      <c r="AN261" s="224" t="e">
        <f>SUM(#REF!)</f>
        <v>#REF!</v>
      </c>
      <c r="AO261" s="224">
        <f t="shared" ref="AO261:AO324" si="33">SUM(AB261:AM261)</f>
        <v>20000</v>
      </c>
      <c r="AP261" s="224" t="e">
        <f t="shared" si="31"/>
        <v>#REF!</v>
      </c>
      <c r="AQ261" s="224"/>
      <c r="AR261" s="224"/>
      <c r="AS261" s="224"/>
      <c r="AT261" s="224" t="str">
        <f>IFERROR(VLOOKUP($A261,'Constancias POA'!$A$2:$DH$9993,17,FALSE),"")</f>
        <v/>
      </c>
      <c r="AU261" s="224" t="str">
        <f t="shared" ref="AU261:AU324" si="34">IFERROR(AA261-AT261,"")</f>
        <v/>
      </c>
      <c r="AV261" s="224" t="str">
        <f>IFERROR(VLOOKUP($A261,CP!$A$1:$U$7992,18,FALSE),"")</f>
        <v/>
      </c>
      <c r="AW261" s="224" t="str">
        <f>IFERROR(VLOOKUP($A261,CP!$A$1:$U$7992,19,FALSE),"")</f>
        <v/>
      </c>
      <c r="AX261" s="224" t="str">
        <f>IFERROR(VLOOKUP($A261,CP!$A$1:$U$7992,20,FALSE),"")</f>
        <v/>
      </c>
      <c r="AY261" s="224" t="str">
        <f>IFERROR(VLOOKUP($A261,CP!$A$1:$U$1,21,FALSE),"")</f>
        <v/>
      </c>
      <c r="AZ261" s="224" t="str">
        <f>IFERROR(VLOOKUP(A261,Devengado!$A$1:AJ1,35,FALSE),"")</f>
        <v/>
      </c>
      <c r="BA261" s="224" t="str">
        <f t="shared" ref="BA261:BA324" si="35">IFERROR((AA261-AZ261),"")</f>
        <v/>
      </c>
      <c r="BB261" s="224" t="str">
        <f>IFERROR(AZ261/#REF!,"")</f>
        <v/>
      </c>
      <c r="BC261" s="224" t="str">
        <f>IFERROR(VLOOKUP($A261,Devengado!$A$1:$AI$1,22,FALSE),"")</f>
        <v/>
      </c>
      <c r="BD261" s="224" t="str">
        <f>IFERROR(VLOOKUP($A261,Devengado!$A$1:$AI$1,23,FALSE),"")</f>
        <v/>
      </c>
      <c r="BE261" s="224" t="str">
        <f>IFERROR(VLOOKUP($A261,Devengado!$A$1:$AI$1,24,FALSE),"")</f>
        <v/>
      </c>
      <c r="BF261" s="224" t="str">
        <f>IFERROR(VLOOKUP($A261,Devengado!$A$1:$AI$1,25,FALSE),"")</f>
        <v/>
      </c>
      <c r="BG261" s="224" t="str">
        <f>IFERROR(VLOOKUP($A261,Devengado!$A$1:$AI$1,26,FALSE),"")</f>
        <v/>
      </c>
      <c r="BH261" s="224" t="str">
        <f>IFERROR(VLOOKUP($A261,Devengado!$A$1:$AI$1,27,FALSE),"")</f>
        <v/>
      </c>
      <c r="BI261" s="224" t="str">
        <f>IFERROR(VLOOKUP($A261,Devengado!$A$1:$AI$1,28,FALSE),"")</f>
        <v/>
      </c>
      <c r="BJ261" s="224" t="str">
        <f>IFERROR(VLOOKUP($A261,Devengado!$A$1:$AI$1,29,FALSE),"")</f>
        <v/>
      </c>
      <c r="BK261" s="224" t="str">
        <f>IFERROR(VLOOKUP($A261,Devengado!$A$1:$AI$1,30,FALSE),"")</f>
        <v/>
      </c>
      <c r="BL261" s="224" t="str">
        <f>IFERROR(VLOOKUP($A261,Devengado!$A$1:$AI$1,31,FALSE),"")</f>
        <v/>
      </c>
      <c r="BM261" s="224" t="str">
        <f>IFERROR(VLOOKUP($A261,Devengado!$A$1:$AI$1,32,FALSE),"")</f>
        <v/>
      </c>
      <c r="BN261" s="224" t="str">
        <f>IFERROR(VLOOKUP($A261,Devengado!$A$1:$AI$1,33,FALSE),"")</f>
        <v/>
      </c>
      <c r="BO261" s="224">
        <f t="shared" ref="BO261:BO324" si="36">SUM(BC261:BN261)</f>
        <v>0</v>
      </c>
      <c r="BP261" s="224" t="str">
        <f t="shared" ref="BP261:BP324" si="37">IFERROR(((AB261+AC261)-AZ261),"")</f>
        <v/>
      </c>
      <c r="BQ261" s="207"/>
      <c r="BR261" s="207" t="str">
        <f t="shared" ref="BR261:BR324" si="38">LEFT(R261,4)</f>
        <v>53</v>
      </c>
    </row>
    <row r="262" spans="1:70" s="225" customFormat="1" ht="25.5" customHeight="1">
      <c r="A262" s="207">
        <v>258</v>
      </c>
      <c r="B262" s="112" t="s">
        <v>287</v>
      </c>
      <c r="C262" s="112" t="s">
        <v>77</v>
      </c>
      <c r="D262" s="112" t="s">
        <v>77</v>
      </c>
      <c r="E262" s="112" t="s">
        <v>76</v>
      </c>
      <c r="F262" s="112" t="s">
        <v>77</v>
      </c>
      <c r="G262" s="112" t="s">
        <v>77</v>
      </c>
      <c r="H262" s="112" t="s">
        <v>77</v>
      </c>
      <c r="I262" s="112" t="s">
        <v>77</v>
      </c>
      <c r="J262" s="112" t="s">
        <v>77</v>
      </c>
      <c r="K262" s="112" t="s">
        <v>77</v>
      </c>
      <c r="L262" s="112" t="s">
        <v>85</v>
      </c>
      <c r="M262" s="112" t="s">
        <v>292</v>
      </c>
      <c r="N262" s="114" t="s">
        <v>289</v>
      </c>
      <c r="O262" s="123">
        <v>80</v>
      </c>
      <c r="P262" s="114" t="s">
        <v>81</v>
      </c>
      <c r="Q262" s="114" t="s">
        <v>112</v>
      </c>
      <c r="R262" s="115" t="str">
        <f t="shared" si="32"/>
        <v>53</v>
      </c>
      <c r="S262" s="112">
        <v>530105</v>
      </c>
      <c r="T262" s="122" t="str">
        <f>VLOOKUP(S262,ITEM!$C$1:$D$156,2,FALSE)</f>
        <v>Telecomunicaciones</v>
      </c>
      <c r="U262" s="112">
        <v>900</v>
      </c>
      <c r="V262" s="114" t="s">
        <v>82</v>
      </c>
      <c r="W262" s="114" t="s">
        <v>84</v>
      </c>
      <c r="X262" s="114" t="s">
        <v>84</v>
      </c>
      <c r="Y262" s="224" t="e">
        <f>'Matriz POA 2024-TRABAJO'!#REF!</f>
        <v>#REF!</v>
      </c>
      <c r="Z262" s="224" t="e">
        <f>'Matriz POA 2024-TRABAJO'!#REF!</f>
        <v>#REF!</v>
      </c>
      <c r="AA262" s="224" t="e">
        <f>'Matriz POA 2024-TRABAJO'!#REF!</f>
        <v>#REF!</v>
      </c>
      <c r="AB262" s="279">
        <v>261.33</v>
      </c>
      <c r="AC262" s="279">
        <v>261.33</v>
      </c>
      <c r="AD262" s="279">
        <v>261.33</v>
      </c>
      <c r="AE262" s="279">
        <v>261.33</v>
      </c>
      <c r="AF262" s="279">
        <v>261.33</v>
      </c>
      <c r="AG262" s="279">
        <v>261.33</v>
      </c>
      <c r="AH262" s="279">
        <v>261.33</v>
      </c>
      <c r="AI262" s="279">
        <v>261.33</v>
      </c>
      <c r="AJ262" s="279">
        <v>261.33</v>
      </c>
      <c r="AK262" s="279">
        <v>261.33</v>
      </c>
      <c r="AL262" s="279">
        <v>188.46</v>
      </c>
      <c r="AM262" s="279">
        <v>334.24</v>
      </c>
      <c r="AN262" s="224" t="e">
        <f>SUM(#REF!)</f>
        <v>#REF!</v>
      </c>
      <c r="AO262" s="224">
        <f t="shared" si="33"/>
        <v>3136</v>
      </c>
      <c r="AP262" s="224" t="e">
        <f t="shared" ref="AP262:AP325" si="39">+AO262-AA262</f>
        <v>#REF!</v>
      </c>
      <c r="AQ262" s="224"/>
      <c r="AR262" s="224"/>
      <c r="AS262" s="224"/>
      <c r="AT262" s="224" t="str">
        <f>IFERROR(VLOOKUP($A262,'Constancias POA'!$A$2:$DH$9993,17,FALSE),"")</f>
        <v/>
      </c>
      <c r="AU262" s="224" t="str">
        <f t="shared" si="34"/>
        <v/>
      </c>
      <c r="AV262" s="224" t="str">
        <f>IFERROR(VLOOKUP($A262,CP!$A$1:$U$7992,18,FALSE),"")</f>
        <v/>
      </c>
      <c r="AW262" s="224" t="str">
        <f>IFERROR(VLOOKUP($A262,CP!$A$1:$U$7992,19,FALSE),"")</f>
        <v/>
      </c>
      <c r="AX262" s="224" t="str">
        <f>IFERROR(VLOOKUP($A262,CP!$A$1:$U$7992,20,FALSE),"")</f>
        <v/>
      </c>
      <c r="AY262" s="224" t="str">
        <f>IFERROR(VLOOKUP($A262,CP!$A$1:$U$1,21,FALSE),"")</f>
        <v/>
      </c>
      <c r="AZ262" s="224" t="str">
        <f>IFERROR(VLOOKUP(A262,Devengado!$A$1:AJ1,35,FALSE),"")</f>
        <v/>
      </c>
      <c r="BA262" s="224" t="str">
        <f t="shared" si="35"/>
        <v/>
      </c>
      <c r="BB262" s="224" t="str">
        <f>IFERROR(AZ262/#REF!,"")</f>
        <v/>
      </c>
      <c r="BC262" s="224" t="str">
        <f>IFERROR(VLOOKUP($A262,Devengado!$A$1:$AI$1,22,FALSE),"")</f>
        <v/>
      </c>
      <c r="BD262" s="224" t="str">
        <f>IFERROR(VLOOKUP($A262,Devengado!$A$1:$AI$1,23,FALSE),"")</f>
        <v/>
      </c>
      <c r="BE262" s="224" t="str">
        <f>IFERROR(VLOOKUP($A262,Devengado!$A$1:$AI$1,24,FALSE),"")</f>
        <v/>
      </c>
      <c r="BF262" s="224" t="str">
        <f>IFERROR(VLOOKUP($A262,Devengado!$A$1:$AI$1,25,FALSE),"")</f>
        <v/>
      </c>
      <c r="BG262" s="224" t="str">
        <f>IFERROR(VLOOKUP($A262,Devengado!$A$1:$AI$1,26,FALSE),"")</f>
        <v/>
      </c>
      <c r="BH262" s="224" t="str">
        <f>IFERROR(VLOOKUP($A262,Devengado!$A$1:$AI$1,27,FALSE),"")</f>
        <v/>
      </c>
      <c r="BI262" s="224" t="str">
        <f>IFERROR(VLOOKUP($A262,Devengado!$A$1:$AI$1,28,FALSE),"")</f>
        <v/>
      </c>
      <c r="BJ262" s="224" t="str">
        <f>IFERROR(VLOOKUP($A262,Devengado!$A$1:$AI$1,29,FALSE),"")</f>
        <v/>
      </c>
      <c r="BK262" s="224" t="str">
        <f>IFERROR(VLOOKUP($A262,Devengado!$A$1:$AI$1,30,FALSE),"")</f>
        <v/>
      </c>
      <c r="BL262" s="224" t="str">
        <f>IFERROR(VLOOKUP($A262,Devengado!$A$1:$AI$1,31,FALSE),"")</f>
        <v/>
      </c>
      <c r="BM262" s="224" t="str">
        <f>IFERROR(VLOOKUP($A262,Devengado!$A$1:$AI$1,32,FALSE),"")</f>
        <v/>
      </c>
      <c r="BN262" s="224" t="str">
        <f>IFERROR(VLOOKUP($A262,Devengado!$A$1:$AI$1,33,FALSE),"")</f>
        <v/>
      </c>
      <c r="BO262" s="224">
        <f t="shared" si="36"/>
        <v>0</v>
      </c>
      <c r="BP262" s="224" t="str">
        <f t="shared" si="37"/>
        <v/>
      </c>
      <c r="BQ262" s="207"/>
      <c r="BR262" s="207" t="str">
        <f t="shared" si="38"/>
        <v>53</v>
      </c>
    </row>
    <row r="263" spans="1:70" s="225" customFormat="1" ht="25.5" customHeight="1">
      <c r="A263" s="207">
        <v>259</v>
      </c>
      <c r="B263" s="112" t="s">
        <v>287</v>
      </c>
      <c r="C263" s="112" t="s">
        <v>77</v>
      </c>
      <c r="D263" s="112" t="s">
        <v>77</v>
      </c>
      <c r="E263" s="112" t="s">
        <v>76</v>
      </c>
      <c r="F263" s="112" t="s">
        <v>77</v>
      </c>
      <c r="G263" s="112" t="s">
        <v>77</v>
      </c>
      <c r="H263" s="112" t="s">
        <v>77</v>
      </c>
      <c r="I263" s="112" t="s">
        <v>77</v>
      </c>
      <c r="J263" s="112" t="s">
        <v>77</v>
      </c>
      <c r="K263" s="112" t="s">
        <v>77</v>
      </c>
      <c r="L263" s="112" t="s">
        <v>85</v>
      </c>
      <c r="M263" s="112" t="s">
        <v>293</v>
      </c>
      <c r="N263" s="114" t="s">
        <v>289</v>
      </c>
      <c r="O263" s="123">
        <v>80</v>
      </c>
      <c r="P263" s="114" t="s">
        <v>81</v>
      </c>
      <c r="Q263" s="114" t="s">
        <v>112</v>
      </c>
      <c r="R263" s="115" t="str">
        <f t="shared" si="32"/>
        <v>53</v>
      </c>
      <c r="S263" s="112">
        <v>530105</v>
      </c>
      <c r="T263" s="122" t="str">
        <f>VLOOKUP(S263,ITEM!$C$1:$D$156,2,FALSE)</f>
        <v>Telecomunicaciones</v>
      </c>
      <c r="U263" s="112">
        <v>900</v>
      </c>
      <c r="V263" s="114" t="s">
        <v>82</v>
      </c>
      <c r="W263" s="114" t="s">
        <v>84</v>
      </c>
      <c r="X263" s="114" t="s">
        <v>84</v>
      </c>
      <c r="Y263" s="224" t="e">
        <f>'Matriz POA 2024-TRABAJO'!#REF!</f>
        <v>#REF!</v>
      </c>
      <c r="Z263" s="224" t="e">
        <f>'Matriz POA 2024-TRABAJO'!#REF!</f>
        <v>#REF!</v>
      </c>
      <c r="AA263" s="224" t="e">
        <f>'Matriz POA 2024-TRABAJO'!#REF!</f>
        <v>#REF!</v>
      </c>
      <c r="AB263" s="279">
        <v>0</v>
      </c>
      <c r="AC263" s="279">
        <v>0</v>
      </c>
      <c r="AD263" s="279">
        <v>0</v>
      </c>
      <c r="AE263" s="279">
        <v>0</v>
      </c>
      <c r="AF263" s="279">
        <v>780</v>
      </c>
      <c r="AG263" s="279">
        <v>0</v>
      </c>
      <c r="AH263" s="279">
        <v>0</v>
      </c>
      <c r="AI263" s="279">
        <v>0</v>
      </c>
      <c r="AJ263" s="279">
        <v>0</v>
      </c>
      <c r="AK263" s="279">
        <v>0</v>
      </c>
      <c r="AL263" s="279">
        <v>0</v>
      </c>
      <c r="AM263" s="279">
        <v>0</v>
      </c>
      <c r="AN263" s="224" t="e">
        <f>SUM(#REF!)</f>
        <v>#REF!</v>
      </c>
      <c r="AO263" s="224">
        <f t="shared" si="33"/>
        <v>780</v>
      </c>
      <c r="AP263" s="224" t="e">
        <f t="shared" si="39"/>
        <v>#REF!</v>
      </c>
      <c r="AQ263" s="224"/>
      <c r="AR263" s="224"/>
      <c r="AS263" s="224"/>
      <c r="AT263" s="224" t="str">
        <f>IFERROR(VLOOKUP($A263,'Constancias POA'!$A$2:$DH$9993,17,FALSE),"")</f>
        <v/>
      </c>
      <c r="AU263" s="224" t="str">
        <f t="shared" si="34"/>
        <v/>
      </c>
      <c r="AV263" s="224" t="str">
        <f>IFERROR(VLOOKUP($A263,CP!$A$1:$U$7992,18,FALSE),"")</f>
        <v/>
      </c>
      <c r="AW263" s="224" t="str">
        <f>IFERROR(VLOOKUP($A263,CP!$A$1:$U$7992,19,FALSE),"")</f>
        <v/>
      </c>
      <c r="AX263" s="224" t="str">
        <f>IFERROR(VLOOKUP($A263,CP!$A$1:$U$7992,20,FALSE),"")</f>
        <v/>
      </c>
      <c r="AY263" s="224" t="str">
        <f>IFERROR(VLOOKUP($A263,CP!$A$1:$U$1,21,FALSE),"")</f>
        <v/>
      </c>
      <c r="AZ263" s="224" t="str">
        <f>IFERROR(VLOOKUP(A263,Devengado!$A$1:AJ1,35,FALSE),"")</f>
        <v/>
      </c>
      <c r="BA263" s="224" t="str">
        <f t="shared" si="35"/>
        <v/>
      </c>
      <c r="BB263" s="224" t="str">
        <f>IFERROR(AZ263/#REF!,"")</f>
        <v/>
      </c>
      <c r="BC263" s="224" t="str">
        <f>IFERROR(VLOOKUP($A263,Devengado!$A$1:$AI$1,22,FALSE),"")</f>
        <v/>
      </c>
      <c r="BD263" s="224" t="str">
        <f>IFERROR(VLOOKUP($A263,Devengado!$A$1:$AI$1,23,FALSE),"")</f>
        <v/>
      </c>
      <c r="BE263" s="224" t="str">
        <f>IFERROR(VLOOKUP($A263,Devengado!$A$1:$AI$1,24,FALSE),"")</f>
        <v/>
      </c>
      <c r="BF263" s="224" t="str">
        <f>IFERROR(VLOOKUP($A263,Devengado!$A$1:$AI$1,25,FALSE),"")</f>
        <v/>
      </c>
      <c r="BG263" s="224" t="str">
        <f>IFERROR(VLOOKUP($A263,Devengado!$A$1:$AI$1,26,FALSE),"")</f>
        <v/>
      </c>
      <c r="BH263" s="224" t="str">
        <f>IFERROR(VLOOKUP($A263,Devengado!$A$1:$AI$1,27,FALSE),"")</f>
        <v/>
      </c>
      <c r="BI263" s="224" t="str">
        <f>IFERROR(VLOOKUP($A263,Devengado!$A$1:$AI$1,28,FALSE),"")</f>
        <v/>
      </c>
      <c r="BJ263" s="224" t="str">
        <f>IFERROR(VLOOKUP($A263,Devengado!$A$1:$AI$1,29,FALSE),"")</f>
        <v/>
      </c>
      <c r="BK263" s="224" t="str">
        <f>IFERROR(VLOOKUP($A263,Devengado!$A$1:$AI$1,30,FALSE),"")</f>
        <v/>
      </c>
      <c r="BL263" s="224" t="str">
        <f>IFERROR(VLOOKUP($A263,Devengado!$A$1:$AI$1,31,FALSE),"")</f>
        <v/>
      </c>
      <c r="BM263" s="224" t="str">
        <f>IFERROR(VLOOKUP($A263,Devengado!$A$1:$AI$1,32,FALSE),"")</f>
        <v/>
      </c>
      <c r="BN263" s="224" t="str">
        <f>IFERROR(VLOOKUP($A263,Devengado!$A$1:$AI$1,33,FALSE),"")</f>
        <v/>
      </c>
      <c r="BO263" s="224">
        <f t="shared" si="36"/>
        <v>0</v>
      </c>
      <c r="BP263" s="224" t="str">
        <f t="shared" si="37"/>
        <v/>
      </c>
      <c r="BQ263" s="207"/>
      <c r="BR263" s="207" t="str">
        <f t="shared" si="38"/>
        <v>53</v>
      </c>
    </row>
    <row r="264" spans="1:70" s="225" customFormat="1" ht="25.5" customHeight="1">
      <c r="A264" s="207">
        <v>260</v>
      </c>
      <c r="B264" s="112" t="s">
        <v>287</v>
      </c>
      <c r="C264" s="112" t="s">
        <v>77</v>
      </c>
      <c r="D264" s="112" t="s">
        <v>77</v>
      </c>
      <c r="E264" s="112" t="s">
        <v>76</v>
      </c>
      <c r="F264" s="112" t="s">
        <v>77</v>
      </c>
      <c r="G264" s="112" t="s">
        <v>77</v>
      </c>
      <c r="H264" s="112" t="s">
        <v>77</v>
      </c>
      <c r="I264" s="112" t="s">
        <v>77</v>
      </c>
      <c r="J264" s="112" t="s">
        <v>77</v>
      </c>
      <c r="K264" s="112" t="s">
        <v>77</v>
      </c>
      <c r="L264" s="112" t="s">
        <v>85</v>
      </c>
      <c r="M264" s="112" t="s">
        <v>294</v>
      </c>
      <c r="N264" s="114" t="s">
        <v>289</v>
      </c>
      <c r="O264" s="123">
        <v>80</v>
      </c>
      <c r="P264" s="114" t="s">
        <v>81</v>
      </c>
      <c r="Q264" s="114" t="s">
        <v>112</v>
      </c>
      <c r="R264" s="115" t="str">
        <f t="shared" si="32"/>
        <v>53</v>
      </c>
      <c r="S264" s="112">
        <v>530255</v>
      </c>
      <c r="T264" s="122" t="str">
        <f>VLOOKUP(S264,ITEM!$C$1:$D$156,2,FALSE)</f>
        <v>Combustibles</v>
      </c>
      <c r="U264" s="112">
        <v>900</v>
      </c>
      <c r="V264" s="114" t="s">
        <v>82</v>
      </c>
      <c r="W264" s="114" t="s">
        <v>84</v>
      </c>
      <c r="X264" s="114" t="s">
        <v>84</v>
      </c>
      <c r="Y264" s="224" t="e">
        <f>'Matriz POA 2024-TRABAJO'!#REF!</f>
        <v>#REF!</v>
      </c>
      <c r="Z264" s="224" t="e">
        <f>'Matriz POA 2024-TRABAJO'!#REF!</f>
        <v>#REF!</v>
      </c>
      <c r="AA264" s="224" t="e">
        <f>'Matriz POA 2024-TRABAJO'!#REF!</f>
        <v>#REF!</v>
      </c>
      <c r="AB264" s="279">
        <v>0</v>
      </c>
      <c r="AC264" s="279">
        <v>0</v>
      </c>
      <c r="AD264" s="279">
        <v>0</v>
      </c>
      <c r="AE264" s="279">
        <v>0</v>
      </c>
      <c r="AF264" s="279">
        <v>0</v>
      </c>
      <c r="AG264" s="279">
        <v>3816.77</v>
      </c>
      <c r="AH264" s="279">
        <v>0</v>
      </c>
      <c r="AI264" s="279">
        <v>0</v>
      </c>
      <c r="AJ264" s="279">
        <v>0</v>
      </c>
      <c r="AK264" s="279">
        <v>0</v>
      </c>
      <c r="AL264" s="279">
        <v>0</v>
      </c>
      <c r="AM264" s="279">
        <v>0</v>
      </c>
      <c r="AN264" s="224">
        <v>0</v>
      </c>
      <c r="AO264" s="224">
        <f t="shared" si="33"/>
        <v>3816.77</v>
      </c>
      <c r="AP264" s="224" t="e">
        <f t="shared" si="39"/>
        <v>#REF!</v>
      </c>
      <c r="AQ264" s="224"/>
      <c r="AR264" s="224"/>
      <c r="AS264" s="224"/>
      <c r="AT264" s="224" t="str">
        <f>IFERROR(VLOOKUP($A264,'Constancias POA'!$A$2:$DH$9993,17,FALSE),"")</f>
        <v/>
      </c>
      <c r="AU264" s="224" t="str">
        <f t="shared" si="34"/>
        <v/>
      </c>
      <c r="AV264" s="224" t="str">
        <f>IFERROR(VLOOKUP($A264,CP!$A$1:$U$7992,18,FALSE),"")</f>
        <v/>
      </c>
      <c r="AW264" s="224" t="str">
        <f>IFERROR(VLOOKUP($A264,CP!$A$1:$U$7992,19,FALSE),"")</f>
        <v/>
      </c>
      <c r="AX264" s="224" t="str">
        <f>IFERROR(VLOOKUP($A264,CP!$A$1:$U$7992,20,FALSE),"")</f>
        <v/>
      </c>
      <c r="AY264" s="224" t="str">
        <f>IFERROR(VLOOKUP($A264,CP!$A$1:$U$1,21,FALSE),"")</f>
        <v/>
      </c>
      <c r="AZ264" s="224" t="str">
        <f>IFERROR(VLOOKUP(A264,Devengado!$A$1:AJ1,35,FALSE),"")</f>
        <v/>
      </c>
      <c r="BA264" s="224" t="str">
        <f t="shared" si="35"/>
        <v/>
      </c>
      <c r="BB264" s="224" t="str">
        <f>IFERROR(AZ264/#REF!,"")</f>
        <v/>
      </c>
      <c r="BC264" s="224" t="str">
        <f>IFERROR(VLOOKUP($A264,Devengado!$A$1:$AI$1,22,FALSE),"")</f>
        <v/>
      </c>
      <c r="BD264" s="224" t="str">
        <f>IFERROR(VLOOKUP($A264,Devengado!$A$1:$AI$1,23,FALSE),"")</f>
        <v/>
      </c>
      <c r="BE264" s="224" t="str">
        <f>IFERROR(VLOOKUP($A264,Devengado!$A$1:$AI$1,24,FALSE),"")</f>
        <v/>
      </c>
      <c r="BF264" s="224" t="str">
        <f>IFERROR(VLOOKUP($A264,Devengado!$A$1:$AI$1,25,FALSE),"")</f>
        <v/>
      </c>
      <c r="BG264" s="224" t="str">
        <f>IFERROR(VLOOKUP($A264,Devengado!$A$1:$AI$1,26,FALSE),"")</f>
        <v/>
      </c>
      <c r="BH264" s="224" t="str">
        <f>IFERROR(VLOOKUP($A264,Devengado!$A$1:$AI$1,27,FALSE),"")</f>
        <v/>
      </c>
      <c r="BI264" s="224" t="str">
        <f>IFERROR(VLOOKUP($A264,Devengado!$A$1:$AI$1,28,FALSE),"")</f>
        <v/>
      </c>
      <c r="BJ264" s="224" t="str">
        <f>IFERROR(VLOOKUP($A264,Devengado!$A$1:$AI$1,29,FALSE),"")</f>
        <v/>
      </c>
      <c r="BK264" s="224" t="str">
        <f>IFERROR(VLOOKUP($A264,Devengado!$A$1:$AI$1,30,FALSE),"")</f>
        <v/>
      </c>
      <c r="BL264" s="224" t="str">
        <f>IFERROR(VLOOKUP($A264,Devengado!$A$1:$AI$1,31,FALSE),"")</f>
        <v/>
      </c>
      <c r="BM264" s="224" t="str">
        <f>IFERROR(VLOOKUP($A264,Devengado!$A$1:$AI$1,32,FALSE),"")</f>
        <v/>
      </c>
      <c r="BN264" s="224" t="str">
        <f>IFERROR(VLOOKUP($A264,Devengado!$A$1:$AI$1,33,FALSE),"")</f>
        <v/>
      </c>
      <c r="BO264" s="224">
        <f t="shared" si="36"/>
        <v>0</v>
      </c>
      <c r="BP264" s="224" t="str">
        <f t="shared" si="37"/>
        <v/>
      </c>
      <c r="BQ264" s="207"/>
      <c r="BR264" s="207" t="str">
        <f t="shared" si="38"/>
        <v>53</v>
      </c>
    </row>
    <row r="265" spans="1:70" s="225" customFormat="1" ht="25.5" customHeight="1">
      <c r="A265" s="207">
        <v>261</v>
      </c>
      <c r="B265" s="112" t="s">
        <v>287</v>
      </c>
      <c r="C265" s="112" t="s">
        <v>77</v>
      </c>
      <c r="D265" s="112" t="s">
        <v>77</v>
      </c>
      <c r="E265" s="112" t="s">
        <v>76</v>
      </c>
      <c r="F265" s="112" t="s">
        <v>77</v>
      </c>
      <c r="G265" s="112" t="s">
        <v>77</v>
      </c>
      <c r="H265" s="112" t="s">
        <v>77</v>
      </c>
      <c r="I265" s="112" t="s">
        <v>77</v>
      </c>
      <c r="J265" s="112" t="s">
        <v>77</v>
      </c>
      <c r="K265" s="112" t="s">
        <v>77</v>
      </c>
      <c r="L265" s="112" t="s">
        <v>85</v>
      </c>
      <c r="M265" s="112" t="s">
        <v>295</v>
      </c>
      <c r="N265" s="114" t="s">
        <v>289</v>
      </c>
      <c r="O265" s="123">
        <v>80</v>
      </c>
      <c r="P265" s="114" t="s">
        <v>81</v>
      </c>
      <c r="Q265" s="114" t="s">
        <v>112</v>
      </c>
      <c r="R265" s="115" t="str">
        <f t="shared" si="32"/>
        <v>53</v>
      </c>
      <c r="S265" s="112">
        <v>530255</v>
      </c>
      <c r="T265" s="122" t="str">
        <f>VLOOKUP(S265,ITEM!$C$1:$D$156,2,FALSE)</f>
        <v>Combustibles</v>
      </c>
      <c r="U265" s="112">
        <v>900</v>
      </c>
      <c r="V265" s="114" t="s">
        <v>82</v>
      </c>
      <c r="W265" s="114" t="s">
        <v>84</v>
      </c>
      <c r="X265" s="114" t="s">
        <v>84</v>
      </c>
      <c r="Y265" s="224" t="e">
        <f>'Matriz POA 2024-TRABAJO'!#REF!</f>
        <v>#REF!</v>
      </c>
      <c r="Z265" s="224" t="e">
        <f>'Matriz POA 2024-TRABAJO'!#REF!</f>
        <v>#REF!</v>
      </c>
      <c r="AA265" s="224" t="e">
        <f>'Matriz POA 2024-TRABAJO'!#REF!</f>
        <v>#REF!</v>
      </c>
      <c r="AB265" s="279">
        <v>0</v>
      </c>
      <c r="AC265" s="279">
        <v>0</v>
      </c>
      <c r="AD265" s="279">
        <v>500</v>
      </c>
      <c r="AE265" s="279">
        <v>0</v>
      </c>
      <c r="AF265" s="279">
        <v>0</v>
      </c>
      <c r="AG265" s="279">
        <v>0</v>
      </c>
      <c r="AH265" s="279">
        <v>0</v>
      </c>
      <c r="AI265" s="279">
        <v>0</v>
      </c>
      <c r="AJ265" s="279">
        <v>0</v>
      </c>
      <c r="AK265" s="279">
        <v>0</v>
      </c>
      <c r="AL265" s="279">
        <v>0</v>
      </c>
      <c r="AM265" s="279">
        <v>0</v>
      </c>
      <c r="AN265" s="224" t="e">
        <f>SUM(#REF!)</f>
        <v>#REF!</v>
      </c>
      <c r="AO265" s="224">
        <f t="shared" si="33"/>
        <v>500</v>
      </c>
      <c r="AP265" s="224" t="e">
        <f t="shared" si="39"/>
        <v>#REF!</v>
      </c>
      <c r="AQ265" s="224"/>
      <c r="AR265" s="224"/>
      <c r="AS265" s="224"/>
      <c r="AT265" s="224" t="str">
        <f>IFERROR(VLOOKUP($A265,'Constancias POA'!$A$2:$DH$9993,17,FALSE),"")</f>
        <v/>
      </c>
      <c r="AU265" s="224" t="str">
        <f t="shared" si="34"/>
        <v/>
      </c>
      <c r="AV265" s="224" t="str">
        <f>IFERROR(VLOOKUP($A265,CP!$A$1:$U$7992,18,FALSE),"")</f>
        <v/>
      </c>
      <c r="AW265" s="224" t="str">
        <f>IFERROR(VLOOKUP($A265,CP!$A$1:$U$7992,19,FALSE),"")</f>
        <v/>
      </c>
      <c r="AX265" s="224" t="str">
        <f>IFERROR(VLOOKUP($A265,CP!$A$1:$U$7992,20,FALSE),"")</f>
        <v/>
      </c>
      <c r="AY265" s="224" t="str">
        <f>IFERROR(VLOOKUP($A265,CP!$A$1:$U$1,21,FALSE),"")</f>
        <v/>
      </c>
      <c r="AZ265" s="224" t="str">
        <f>IFERROR(VLOOKUP(A265,Devengado!$A$1:AJ1,35,FALSE),"")</f>
        <v/>
      </c>
      <c r="BA265" s="224" t="str">
        <f t="shared" si="35"/>
        <v/>
      </c>
      <c r="BB265" s="224" t="str">
        <f>IFERROR(AZ265/#REF!,"")</f>
        <v/>
      </c>
      <c r="BC265" s="224" t="str">
        <f>IFERROR(VLOOKUP($A265,Devengado!$A$1:$AI$1,22,FALSE),"")</f>
        <v/>
      </c>
      <c r="BD265" s="224" t="str">
        <f>IFERROR(VLOOKUP($A265,Devengado!$A$1:$AI$1,23,FALSE),"")</f>
        <v/>
      </c>
      <c r="BE265" s="224" t="str">
        <f>IFERROR(VLOOKUP($A265,Devengado!$A$1:$AI$1,24,FALSE),"")</f>
        <v/>
      </c>
      <c r="BF265" s="224" t="str">
        <f>IFERROR(VLOOKUP($A265,Devengado!$A$1:$AI$1,25,FALSE),"")</f>
        <v/>
      </c>
      <c r="BG265" s="224" t="str">
        <f>IFERROR(VLOOKUP($A265,Devengado!$A$1:$AI$1,26,FALSE),"")</f>
        <v/>
      </c>
      <c r="BH265" s="224" t="str">
        <f>IFERROR(VLOOKUP($A265,Devengado!$A$1:$AI$1,27,FALSE),"")</f>
        <v/>
      </c>
      <c r="BI265" s="224" t="str">
        <f>IFERROR(VLOOKUP($A265,Devengado!$A$1:$AI$1,28,FALSE),"")</f>
        <v/>
      </c>
      <c r="BJ265" s="224" t="str">
        <f>IFERROR(VLOOKUP($A265,Devengado!$A$1:$AI$1,29,FALSE),"")</f>
        <v/>
      </c>
      <c r="BK265" s="224" t="str">
        <f>IFERROR(VLOOKUP($A265,Devengado!$A$1:$AI$1,30,FALSE),"")</f>
        <v/>
      </c>
      <c r="BL265" s="224" t="str">
        <f>IFERROR(VLOOKUP($A265,Devengado!$A$1:$AI$1,31,FALSE),"")</f>
        <v/>
      </c>
      <c r="BM265" s="224" t="str">
        <f>IFERROR(VLOOKUP($A265,Devengado!$A$1:$AI$1,32,FALSE),"")</f>
        <v/>
      </c>
      <c r="BN265" s="224" t="str">
        <f>IFERROR(VLOOKUP($A265,Devengado!$A$1:$AI$1,33,FALSE),"")</f>
        <v/>
      </c>
      <c r="BO265" s="224">
        <f t="shared" si="36"/>
        <v>0</v>
      </c>
      <c r="BP265" s="224" t="str">
        <f t="shared" si="37"/>
        <v/>
      </c>
      <c r="BQ265" s="207"/>
      <c r="BR265" s="207" t="str">
        <f t="shared" si="38"/>
        <v>53</v>
      </c>
    </row>
    <row r="266" spans="1:70" s="225" customFormat="1" ht="25.5" customHeight="1">
      <c r="A266" s="207">
        <v>262</v>
      </c>
      <c r="B266" s="112" t="s">
        <v>287</v>
      </c>
      <c r="C266" s="112" t="s">
        <v>77</v>
      </c>
      <c r="D266" s="112" t="s">
        <v>77</v>
      </c>
      <c r="E266" s="112" t="s">
        <v>76</v>
      </c>
      <c r="F266" s="112" t="s">
        <v>77</v>
      </c>
      <c r="G266" s="112" t="s">
        <v>77</v>
      </c>
      <c r="H266" s="112" t="s">
        <v>77</v>
      </c>
      <c r="I266" s="112" t="s">
        <v>77</v>
      </c>
      <c r="J266" s="112" t="s">
        <v>77</v>
      </c>
      <c r="K266" s="112" t="s">
        <v>77</v>
      </c>
      <c r="L266" s="112" t="s">
        <v>85</v>
      </c>
      <c r="M266" s="112" t="s">
        <v>296</v>
      </c>
      <c r="N266" s="114" t="s">
        <v>289</v>
      </c>
      <c r="O266" s="123">
        <v>80</v>
      </c>
      <c r="P266" s="114" t="s">
        <v>81</v>
      </c>
      <c r="Q266" s="114" t="s">
        <v>112</v>
      </c>
      <c r="R266" s="115" t="str">
        <f t="shared" si="32"/>
        <v>53</v>
      </c>
      <c r="S266" s="112">
        <v>530301</v>
      </c>
      <c r="T266" s="122" t="str">
        <f>VLOOKUP(S266,ITEM!$C$1:$D$156,2,FALSE)</f>
        <v>Pasajes al Interior</v>
      </c>
      <c r="U266" s="112">
        <v>900</v>
      </c>
      <c r="V266" s="114" t="s">
        <v>82</v>
      </c>
      <c r="W266" s="114" t="s">
        <v>84</v>
      </c>
      <c r="X266" s="114" t="s">
        <v>84</v>
      </c>
      <c r="Y266" s="224" t="e">
        <f>'Matriz POA 2024-TRABAJO'!#REF!</f>
        <v>#REF!</v>
      </c>
      <c r="Z266" s="224" t="e">
        <f>'Matriz POA 2024-TRABAJO'!#REF!</f>
        <v>#REF!</v>
      </c>
      <c r="AA266" s="224" t="e">
        <f>'Matriz POA 2024-TRABAJO'!#REF!</f>
        <v>#REF!</v>
      </c>
      <c r="AB266" s="279">
        <v>0</v>
      </c>
      <c r="AC266" s="279">
        <v>0</v>
      </c>
      <c r="AD266" s="279">
        <v>0</v>
      </c>
      <c r="AE266" s="279">
        <v>0</v>
      </c>
      <c r="AF266" s="279">
        <v>500</v>
      </c>
      <c r="AG266" s="279">
        <v>0</v>
      </c>
      <c r="AH266" s="279">
        <v>0</v>
      </c>
      <c r="AI266" s="279">
        <v>0</v>
      </c>
      <c r="AJ266" s="279">
        <v>0</v>
      </c>
      <c r="AK266" s="279">
        <v>0</v>
      </c>
      <c r="AL266" s="279">
        <v>0</v>
      </c>
      <c r="AM266" s="279">
        <v>0</v>
      </c>
      <c r="AN266" s="224" t="e">
        <f>SUM(#REF!)</f>
        <v>#REF!</v>
      </c>
      <c r="AO266" s="224">
        <f t="shared" si="33"/>
        <v>500</v>
      </c>
      <c r="AP266" s="224" t="e">
        <f t="shared" si="39"/>
        <v>#REF!</v>
      </c>
      <c r="AQ266" s="224"/>
      <c r="AR266" s="224"/>
      <c r="AS266" s="224"/>
      <c r="AT266" s="224" t="str">
        <f>IFERROR(VLOOKUP($A266,'Constancias POA'!$A$2:$DH$9993,17,FALSE),"")</f>
        <v/>
      </c>
      <c r="AU266" s="224" t="str">
        <f t="shared" si="34"/>
        <v/>
      </c>
      <c r="AV266" s="224" t="str">
        <f>IFERROR(VLOOKUP($A266,CP!$A$1:$U$7992,18,FALSE),"")</f>
        <v/>
      </c>
      <c r="AW266" s="224" t="str">
        <f>IFERROR(VLOOKUP($A266,CP!$A$1:$U$7992,19,FALSE),"")</f>
        <v/>
      </c>
      <c r="AX266" s="224" t="str">
        <f>IFERROR(VLOOKUP($A266,CP!$A$1:$U$7992,20,FALSE),"")</f>
        <v/>
      </c>
      <c r="AY266" s="224" t="str">
        <f>IFERROR(VLOOKUP($A266,CP!$A$1:$U$1,21,FALSE),"")</f>
        <v/>
      </c>
      <c r="AZ266" s="224" t="str">
        <f>IFERROR(VLOOKUP(A266,Devengado!$A$1:AJ1,35,FALSE),"")</f>
        <v/>
      </c>
      <c r="BA266" s="224" t="str">
        <f t="shared" si="35"/>
        <v/>
      </c>
      <c r="BB266" s="224" t="str">
        <f>IFERROR(AZ266/#REF!,"")</f>
        <v/>
      </c>
      <c r="BC266" s="224" t="str">
        <f>IFERROR(VLOOKUP($A266,Devengado!$A$1:$AI$1,22,FALSE),"")</f>
        <v/>
      </c>
      <c r="BD266" s="224" t="str">
        <f>IFERROR(VLOOKUP($A266,Devengado!$A$1:$AI$1,23,FALSE),"")</f>
        <v/>
      </c>
      <c r="BE266" s="224" t="str">
        <f>IFERROR(VLOOKUP($A266,Devengado!$A$1:$AI$1,24,FALSE),"")</f>
        <v/>
      </c>
      <c r="BF266" s="224" t="str">
        <f>IFERROR(VLOOKUP($A266,Devengado!$A$1:$AI$1,25,FALSE),"")</f>
        <v/>
      </c>
      <c r="BG266" s="224" t="str">
        <f>IFERROR(VLOOKUP($A266,Devengado!$A$1:$AI$1,26,FALSE),"")</f>
        <v/>
      </c>
      <c r="BH266" s="224" t="str">
        <f>IFERROR(VLOOKUP($A266,Devengado!$A$1:$AI$1,27,FALSE),"")</f>
        <v/>
      </c>
      <c r="BI266" s="224" t="str">
        <f>IFERROR(VLOOKUP($A266,Devengado!$A$1:$AI$1,28,FALSE),"")</f>
        <v/>
      </c>
      <c r="BJ266" s="224" t="str">
        <f>IFERROR(VLOOKUP($A266,Devengado!$A$1:$AI$1,29,FALSE),"")</f>
        <v/>
      </c>
      <c r="BK266" s="224" t="str">
        <f>IFERROR(VLOOKUP($A266,Devengado!$A$1:$AI$1,30,FALSE),"")</f>
        <v/>
      </c>
      <c r="BL266" s="224" t="str">
        <f>IFERROR(VLOOKUP($A266,Devengado!$A$1:$AI$1,31,FALSE),"")</f>
        <v/>
      </c>
      <c r="BM266" s="224" t="str">
        <f>IFERROR(VLOOKUP($A266,Devengado!$A$1:$AI$1,32,FALSE),"")</f>
        <v/>
      </c>
      <c r="BN266" s="224" t="str">
        <f>IFERROR(VLOOKUP($A266,Devengado!$A$1:$AI$1,33,FALSE),"")</f>
        <v/>
      </c>
      <c r="BO266" s="224">
        <f t="shared" si="36"/>
        <v>0</v>
      </c>
      <c r="BP266" s="224" t="str">
        <f t="shared" si="37"/>
        <v/>
      </c>
      <c r="BQ266" s="207"/>
      <c r="BR266" s="207" t="str">
        <f t="shared" si="38"/>
        <v>53</v>
      </c>
    </row>
    <row r="267" spans="1:70" s="225" customFormat="1" ht="25.5" customHeight="1">
      <c r="A267" s="207">
        <v>263</v>
      </c>
      <c r="B267" s="112" t="s">
        <v>287</v>
      </c>
      <c r="C267" s="112" t="s">
        <v>77</v>
      </c>
      <c r="D267" s="112" t="s">
        <v>77</v>
      </c>
      <c r="E267" s="112" t="s">
        <v>76</v>
      </c>
      <c r="F267" s="112" t="s">
        <v>77</v>
      </c>
      <c r="G267" s="112" t="s">
        <v>77</v>
      </c>
      <c r="H267" s="112" t="s">
        <v>77</v>
      </c>
      <c r="I267" s="112" t="s">
        <v>77</v>
      </c>
      <c r="J267" s="112" t="s">
        <v>77</v>
      </c>
      <c r="K267" s="112" t="s">
        <v>77</v>
      </c>
      <c r="L267" s="112" t="s">
        <v>85</v>
      </c>
      <c r="M267" s="112" t="s">
        <v>297</v>
      </c>
      <c r="N267" s="114" t="s">
        <v>289</v>
      </c>
      <c r="O267" s="123">
        <v>80</v>
      </c>
      <c r="P267" s="114" t="s">
        <v>81</v>
      </c>
      <c r="Q267" s="114" t="s">
        <v>112</v>
      </c>
      <c r="R267" s="115" t="str">
        <f t="shared" si="32"/>
        <v>53</v>
      </c>
      <c r="S267" s="112">
        <v>530301</v>
      </c>
      <c r="T267" s="122" t="str">
        <f>VLOOKUP(S267,ITEM!$C$1:$D$156,2,FALSE)</f>
        <v>Pasajes al Interior</v>
      </c>
      <c r="U267" s="112">
        <v>900</v>
      </c>
      <c r="V267" s="114" t="s">
        <v>82</v>
      </c>
      <c r="W267" s="114" t="s">
        <v>84</v>
      </c>
      <c r="X267" s="114" t="s">
        <v>84</v>
      </c>
      <c r="Y267" s="224" t="e">
        <f>'Matriz POA 2024-TRABAJO'!#REF!</f>
        <v>#REF!</v>
      </c>
      <c r="Z267" s="224" t="e">
        <f>'Matriz POA 2024-TRABAJO'!#REF!</f>
        <v>#REF!</v>
      </c>
      <c r="AA267" s="224" t="e">
        <f>'Matriz POA 2024-TRABAJO'!#REF!</f>
        <v>#REF!</v>
      </c>
      <c r="AB267" s="279">
        <v>141.66999999999999</v>
      </c>
      <c r="AC267" s="279">
        <v>141.66999999999999</v>
      </c>
      <c r="AD267" s="279">
        <v>141.66999999999999</v>
      </c>
      <c r="AE267" s="279">
        <v>141.66999999999999</v>
      </c>
      <c r="AF267" s="279">
        <v>141.66999999999999</v>
      </c>
      <c r="AG267" s="279">
        <v>141.66999999999999</v>
      </c>
      <c r="AH267" s="279">
        <v>141.66999999999999</v>
      </c>
      <c r="AI267" s="279">
        <v>141.66999999999999</v>
      </c>
      <c r="AJ267" s="279">
        <v>141.66999999999999</v>
      </c>
      <c r="AK267" s="279">
        <v>141.66</v>
      </c>
      <c r="AL267" s="279">
        <v>141.66</v>
      </c>
      <c r="AM267" s="279">
        <v>141.65</v>
      </c>
      <c r="AN267" s="224" t="e">
        <f>SUM(#REF!)</f>
        <v>#REF!</v>
      </c>
      <c r="AO267" s="224">
        <f t="shared" si="33"/>
        <v>1700.0000000000002</v>
      </c>
      <c r="AP267" s="224" t="e">
        <f t="shared" si="39"/>
        <v>#REF!</v>
      </c>
      <c r="AQ267" s="224"/>
      <c r="AR267" s="224"/>
      <c r="AS267" s="224"/>
      <c r="AT267" s="224" t="str">
        <f>IFERROR(VLOOKUP($A267,'Constancias POA'!$A$2:$DH$9993,17,FALSE),"")</f>
        <v/>
      </c>
      <c r="AU267" s="224" t="str">
        <f t="shared" si="34"/>
        <v/>
      </c>
      <c r="AV267" s="224" t="str">
        <f>IFERROR(VLOOKUP($A267,CP!$A$1:$U$7992,18,FALSE),"")</f>
        <v/>
      </c>
      <c r="AW267" s="224" t="str">
        <f>IFERROR(VLOOKUP($A267,CP!$A$1:$U$7992,19,FALSE),"")</f>
        <v/>
      </c>
      <c r="AX267" s="224" t="str">
        <f>IFERROR(VLOOKUP($A267,CP!$A$1:$U$7992,20,FALSE),"")</f>
        <v/>
      </c>
      <c r="AY267" s="224" t="str">
        <f>IFERROR(VLOOKUP($A267,CP!$A$1:$U$1,21,FALSE),"")</f>
        <v/>
      </c>
      <c r="AZ267" s="224" t="str">
        <f>IFERROR(VLOOKUP(A267,Devengado!$A$1:AJ1,35,FALSE),"")</f>
        <v/>
      </c>
      <c r="BA267" s="224" t="str">
        <f t="shared" si="35"/>
        <v/>
      </c>
      <c r="BB267" s="224" t="str">
        <f>IFERROR(AZ267/#REF!,"")</f>
        <v/>
      </c>
      <c r="BC267" s="224" t="str">
        <f>IFERROR(VLOOKUP($A267,Devengado!$A$1:$AI$1,22,FALSE),"")</f>
        <v/>
      </c>
      <c r="BD267" s="224" t="str">
        <f>IFERROR(VLOOKUP($A267,Devengado!$A$1:$AI$1,23,FALSE),"")</f>
        <v/>
      </c>
      <c r="BE267" s="224" t="str">
        <f>IFERROR(VLOOKUP($A267,Devengado!$A$1:$AI$1,24,FALSE),"")</f>
        <v/>
      </c>
      <c r="BF267" s="224" t="str">
        <f>IFERROR(VLOOKUP($A267,Devengado!$A$1:$AI$1,25,FALSE),"")</f>
        <v/>
      </c>
      <c r="BG267" s="224" t="str">
        <f>IFERROR(VLOOKUP($A267,Devengado!$A$1:$AI$1,26,FALSE),"")</f>
        <v/>
      </c>
      <c r="BH267" s="224" t="str">
        <f>IFERROR(VLOOKUP($A267,Devengado!$A$1:$AI$1,27,FALSE),"")</f>
        <v/>
      </c>
      <c r="BI267" s="224" t="str">
        <f>IFERROR(VLOOKUP($A267,Devengado!$A$1:$AI$1,28,FALSE),"")</f>
        <v/>
      </c>
      <c r="BJ267" s="224" t="str">
        <f>IFERROR(VLOOKUP($A267,Devengado!$A$1:$AI$1,29,FALSE),"")</f>
        <v/>
      </c>
      <c r="BK267" s="224" t="str">
        <f>IFERROR(VLOOKUP($A267,Devengado!$A$1:$AI$1,30,FALSE),"")</f>
        <v/>
      </c>
      <c r="BL267" s="224" t="str">
        <f>IFERROR(VLOOKUP($A267,Devengado!$A$1:$AI$1,31,FALSE),"")</f>
        <v/>
      </c>
      <c r="BM267" s="224" t="str">
        <f>IFERROR(VLOOKUP($A267,Devengado!$A$1:$AI$1,32,FALSE),"")</f>
        <v/>
      </c>
      <c r="BN267" s="224" t="str">
        <f>IFERROR(VLOOKUP($A267,Devengado!$A$1:$AI$1,33,FALSE),"")</f>
        <v/>
      </c>
      <c r="BO267" s="224">
        <f t="shared" si="36"/>
        <v>0</v>
      </c>
      <c r="BP267" s="224" t="str">
        <f t="shared" si="37"/>
        <v/>
      </c>
      <c r="BQ267" s="207"/>
      <c r="BR267" s="207" t="str">
        <f t="shared" si="38"/>
        <v>53</v>
      </c>
    </row>
    <row r="268" spans="1:70" s="225" customFormat="1" ht="25.5" customHeight="1">
      <c r="A268" s="207">
        <v>264</v>
      </c>
      <c r="B268" s="112" t="s">
        <v>287</v>
      </c>
      <c r="C268" s="112" t="s">
        <v>77</v>
      </c>
      <c r="D268" s="112" t="s">
        <v>77</v>
      </c>
      <c r="E268" s="112" t="s">
        <v>76</v>
      </c>
      <c r="F268" s="112" t="s">
        <v>77</v>
      </c>
      <c r="G268" s="112" t="s">
        <v>77</v>
      </c>
      <c r="H268" s="112" t="s">
        <v>77</v>
      </c>
      <c r="I268" s="112" t="s">
        <v>77</v>
      </c>
      <c r="J268" s="112" t="s">
        <v>77</v>
      </c>
      <c r="K268" s="112" t="s">
        <v>77</v>
      </c>
      <c r="L268" s="112" t="s">
        <v>85</v>
      </c>
      <c r="M268" s="112" t="s">
        <v>298</v>
      </c>
      <c r="N268" s="114" t="s">
        <v>289</v>
      </c>
      <c r="O268" s="123">
        <v>80</v>
      </c>
      <c r="P268" s="114" t="s">
        <v>81</v>
      </c>
      <c r="Q268" s="114" t="s">
        <v>112</v>
      </c>
      <c r="R268" s="115" t="str">
        <f t="shared" si="32"/>
        <v>53</v>
      </c>
      <c r="S268" s="112">
        <v>530303</v>
      </c>
      <c r="T268" s="122" t="str">
        <f>VLOOKUP(S268,ITEM!$C$1:$D$156,2,FALSE)</f>
        <v>Viáticos y Subsistencias en el Interior</v>
      </c>
      <c r="U268" s="112">
        <v>900</v>
      </c>
      <c r="V268" s="114" t="s">
        <v>82</v>
      </c>
      <c r="W268" s="114" t="s">
        <v>84</v>
      </c>
      <c r="X268" s="114" t="s">
        <v>84</v>
      </c>
      <c r="Y268" s="224" t="e">
        <f>'Matriz POA 2024-TRABAJO'!#REF!</f>
        <v>#REF!</v>
      </c>
      <c r="Z268" s="224" t="e">
        <f>'Matriz POA 2024-TRABAJO'!#REF!</f>
        <v>#REF!</v>
      </c>
      <c r="AA268" s="224" t="e">
        <f>'Matriz POA 2024-TRABAJO'!#REF!</f>
        <v>#REF!</v>
      </c>
      <c r="AB268" s="279">
        <v>0</v>
      </c>
      <c r="AC268" s="279">
        <v>150</v>
      </c>
      <c r="AD268" s="279">
        <v>150</v>
      </c>
      <c r="AE268" s="279">
        <v>150</v>
      </c>
      <c r="AF268" s="279">
        <v>200</v>
      </c>
      <c r="AG268" s="279">
        <v>150</v>
      </c>
      <c r="AH268" s="279">
        <v>200</v>
      </c>
      <c r="AI268" s="279">
        <v>200</v>
      </c>
      <c r="AJ268" s="279">
        <v>300</v>
      </c>
      <c r="AK268" s="279">
        <v>0</v>
      </c>
      <c r="AL268" s="279">
        <v>0</v>
      </c>
      <c r="AM268" s="279">
        <v>0</v>
      </c>
      <c r="AN268" s="224" t="e">
        <f>SUM(#REF!)</f>
        <v>#REF!</v>
      </c>
      <c r="AO268" s="224">
        <f t="shared" si="33"/>
        <v>1500</v>
      </c>
      <c r="AP268" s="224" t="e">
        <f t="shared" si="39"/>
        <v>#REF!</v>
      </c>
      <c r="AQ268" s="224"/>
      <c r="AR268" s="224"/>
      <c r="AS268" s="224"/>
      <c r="AT268" s="224" t="str">
        <f>IFERROR(VLOOKUP($A268,'Constancias POA'!$A$2:$DH$9993,17,FALSE),"")</f>
        <v/>
      </c>
      <c r="AU268" s="224" t="str">
        <f t="shared" si="34"/>
        <v/>
      </c>
      <c r="AV268" s="224" t="str">
        <f>IFERROR(VLOOKUP($A268,CP!$A$1:$U$7992,18,FALSE),"")</f>
        <v/>
      </c>
      <c r="AW268" s="224" t="str">
        <f>IFERROR(VLOOKUP($A268,CP!$A$1:$U$7992,19,FALSE),"")</f>
        <v/>
      </c>
      <c r="AX268" s="224" t="str">
        <f>IFERROR(VLOOKUP($A268,CP!$A$1:$U$7992,20,FALSE),"")</f>
        <v/>
      </c>
      <c r="AY268" s="224" t="str">
        <f>IFERROR(VLOOKUP($A268,CP!$A$1:$U$1,21,FALSE),"")</f>
        <v/>
      </c>
      <c r="AZ268" s="224" t="str">
        <f>IFERROR(VLOOKUP(A268,Devengado!$A$1:AJ1,35,FALSE),"")</f>
        <v/>
      </c>
      <c r="BA268" s="224" t="str">
        <f t="shared" si="35"/>
        <v/>
      </c>
      <c r="BB268" s="224" t="str">
        <f>IFERROR(AZ268/#REF!,"")</f>
        <v/>
      </c>
      <c r="BC268" s="224" t="str">
        <f>IFERROR(VLOOKUP($A268,Devengado!$A$1:$AI$1,22,FALSE),"")</f>
        <v/>
      </c>
      <c r="BD268" s="224" t="str">
        <f>IFERROR(VLOOKUP($A268,Devengado!$A$1:$AI$1,23,FALSE),"")</f>
        <v/>
      </c>
      <c r="BE268" s="224" t="str">
        <f>IFERROR(VLOOKUP($A268,Devengado!$A$1:$AI$1,24,FALSE),"")</f>
        <v/>
      </c>
      <c r="BF268" s="224" t="str">
        <f>IFERROR(VLOOKUP($A268,Devengado!$A$1:$AI$1,25,FALSE),"")</f>
        <v/>
      </c>
      <c r="BG268" s="224" t="str">
        <f>IFERROR(VLOOKUP($A268,Devengado!$A$1:$AI$1,26,FALSE),"")</f>
        <v/>
      </c>
      <c r="BH268" s="224" t="str">
        <f>IFERROR(VLOOKUP($A268,Devengado!$A$1:$AI$1,27,FALSE),"")</f>
        <v/>
      </c>
      <c r="BI268" s="224" t="str">
        <f>IFERROR(VLOOKUP($A268,Devengado!$A$1:$AI$1,28,FALSE),"")</f>
        <v/>
      </c>
      <c r="BJ268" s="224" t="str">
        <f>IFERROR(VLOOKUP($A268,Devengado!$A$1:$AI$1,29,FALSE),"")</f>
        <v/>
      </c>
      <c r="BK268" s="224" t="str">
        <f>IFERROR(VLOOKUP($A268,Devengado!$A$1:$AI$1,30,FALSE),"")</f>
        <v/>
      </c>
      <c r="BL268" s="224" t="str">
        <f>IFERROR(VLOOKUP($A268,Devengado!$A$1:$AI$1,31,FALSE),"")</f>
        <v/>
      </c>
      <c r="BM268" s="224" t="str">
        <f>IFERROR(VLOOKUP($A268,Devengado!$A$1:$AI$1,32,FALSE),"")</f>
        <v/>
      </c>
      <c r="BN268" s="224" t="str">
        <f>IFERROR(VLOOKUP($A268,Devengado!$A$1:$AI$1,33,FALSE),"")</f>
        <v/>
      </c>
      <c r="BO268" s="224">
        <f t="shared" si="36"/>
        <v>0</v>
      </c>
      <c r="BP268" s="224" t="str">
        <f t="shared" si="37"/>
        <v/>
      </c>
      <c r="BQ268" s="207"/>
      <c r="BR268" s="207" t="str">
        <f t="shared" si="38"/>
        <v>53</v>
      </c>
    </row>
    <row r="269" spans="1:70" s="225" customFormat="1" ht="25.5" customHeight="1">
      <c r="A269" s="207">
        <v>265</v>
      </c>
      <c r="B269" s="112" t="s">
        <v>287</v>
      </c>
      <c r="C269" s="112" t="s">
        <v>77</v>
      </c>
      <c r="D269" s="112" t="s">
        <v>77</v>
      </c>
      <c r="E269" s="112" t="s">
        <v>76</v>
      </c>
      <c r="F269" s="112" t="s">
        <v>77</v>
      </c>
      <c r="G269" s="112" t="s">
        <v>77</v>
      </c>
      <c r="H269" s="112" t="s">
        <v>77</v>
      </c>
      <c r="I269" s="112" t="s">
        <v>77</v>
      </c>
      <c r="J269" s="112" t="s">
        <v>77</v>
      </c>
      <c r="K269" s="112" t="s">
        <v>77</v>
      </c>
      <c r="L269" s="112" t="s">
        <v>85</v>
      </c>
      <c r="M269" s="112" t="s">
        <v>299</v>
      </c>
      <c r="N269" s="114" t="s">
        <v>289</v>
      </c>
      <c r="O269" s="123">
        <v>80</v>
      </c>
      <c r="P269" s="114" t="s">
        <v>81</v>
      </c>
      <c r="Q269" s="114" t="s">
        <v>112</v>
      </c>
      <c r="R269" s="115" t="str">
        <f t="shared" si="32"/>
        <v>53</v>
      </c>
      <c r="S269" s="112">
        <v>530405</v>
      </c>
      <c r="T269" s="122" t="str">
        <f>VLOOKUP(S269,ITEM!$C$1:$D$156,2,FALSE)</f>
        <v>Vehículos (Servicio para Mantenimiento y Reparación)</v>
      </c>
      <c r="U269" s="112">
        <v>900</v>
      </c>
      <c r="V269" s="114" t="s">
        <v>82</v>
      </c>
      <c r="W269" s="114" t="s">
        <v>84</v>
      </c>
      <c r="X269" s="114" t="s">
        <v>84</v>
      </c>
      <c r="Y269" s="224" t="e">
        <f>'Matriz POA 2024-TRABAJO'!#REF!</f>
        <v>#REF!</v>
      </c>
      <c r="Z269" s="224" t="e">
        <f>'Matriz POA 2024-TRABAJO'!#REF!</f>
        <v>#REF!</v>
      </c>
      <c r="AA269" s="224" t="e">
        <f>'Matriz POA 2024-TRABAJO'!#REF!</f>
        <v>#REF!</v>
      </c>
      <c r="AB269" s="279">
        <v>0</v>
      </c>
      <c r="AC269" s="279">
        <v>2500</v>
      </c>
      <c r="AD269" s="279">
        <v>600</v>
      </c>
      <c r="AE269" s="279">
        <v>500</v>
      </c>
      <c r="AF269" s="279">
        <v>1200</v>
      </c>
      <c r="AG269" s="279">
        <v>200</v>
      </c>
      <c r="AH269" s="279">
        <v>0</v>
      </c>
      <c r="AI269" s="279">
        <v>0</v>
      </c>
      <c r="AJ269" s="279">
        <v>0</v>
      </c>
      <c r="AK269" s="279">
        <v>0</v>
      </c>
      <c r="AL269" s="279">
        <v>0</v>
      </c>
      <c r="AM269" s="279">
        <v>0</v>
      </c>
      <c r="AN269" s="224" t="e">
        <f>SUM(#REF!)</f>
        <v>#REF!</v>
      </c>
      <c r="AO269" s="224">
        <f t="shared" si="33"/>
        <v>5000</v>
      </c>
      <c r="AP269" s="224" t="e">
        <f t="shared" si="39"/>
        <v>#REF!</v>
      </c>
      <c r="AQ269" s="224"/>
      <c r="AR269" s="224"/>
      <c r="AS269" s="224"/>
      <c r="AT269" s="224" t="str">
        <f>IFERROR(VLOOKUP($A269,'Constancias POA'!$A$2:$DH$9993,17,FALSE),"")</f>
        <v/>
      </c>
      <c r="AU269" s="224" t="str">
        <f t="shared" si="34"/>
        <v/>
      </c>
      <c r="AV269" s="224" t="str">
        <f>IFERROR(VLOOKUP($A269,CP!$A$1:$U$7992,18,FALSE),"")</f>
        <v/>
      </c>
      <c r="AW269" s="224" t="str">
        <f>IFERROR(VLOOKUP($A269,CP!$A$1:$U$7992,19,FALSE),"")</f>
        <v/>
      </c>
      <c r="AX269" s="224" t="str">
        <f>IFERROR(VLOOKUP($A269,CP!$A$1:$U$7992,20,FALSE),"")</f>
        <v/>
      </c>
      <c r="AY269" s="224" t="str">
        <f>IFERROR(VLOOKUP($A269,CP!$A$1:$U$1,21,FALSE),"")</f>
        <v/>
      </c>
      <c r="AZ269" s="224" t="str">
        <f>IFERROR(VLOOKUP(A269,Devengado!$A$1:AJ1,35,FALSE),"")</f>
        <v/>
      </c>
      <c r="BA269" s="224" t="str">
        <f t="shared" si="35"/>
        <v/>
      </c>
      <c r="BB269" s="224" t="str">
        <f>IFERROR(AZ269/#REF!,"")</f>
        <v/>
      </c>
      <c r="BC269" s="224" t="str">
        <f>IFERROR(VLOOKUP($A269,Devengado!$A$1:$AI$1,22,FALSE),"")</f>
        <v/>
      </c>
      <c r="BD269" s="224" t="str">
        <f>IFERROR(VLOOKUP($A269,Devengado!$A$1:$AI$1,23,FALSE),"")</f>
        <v/>
      </c>
      <c r="BE269" s="224" t="str">
        <f>IFERROR(VLOOKUP($A269,Devengado!$A$1:$AI$1,24,FALSE),"")</f>
        <v/>
      </c>
      <c r="BF269" s="224" t="str">
        <f>IFERROR(VLOOKUP($A269,Devengado!$A$1:$AI$1,25,FALSE),"")</f>
        <v/>
      </c>
      <c r="BG269" s="224" t="str">
        <f>IFERROR(VLOOKUP($A269,Devengado!$A$1:$AI$1,26,FALSE),"")</f>
        <v/>
      </c>
      <c r="BH269" s="224" t="str">
        <f>IFERROR(VLOOKUP($A269,Devengado!$A$1:$AI$1,27,FALSE),"")</f>
        <v/>
      </c>
      <c r="BI269" s="224" t="str">
        <f>IFERROR(VLOOKUP($A269,Devengado!$A$1:$AI$1,28,FALSE),"")</f>
        <v/>
      </c>
      <c r="BJ269" s="224" t="str">
        <f>IFERROR(VLOOKUP($A269,Devengado!$A$1:$AI$1,29,FALSE),"")</f>
        <v/>
      </c>
      <c r="BK269" s="224" t="str">
        <f>IFERROR(VLOOKUP($A269,Devengado!$A$1:$AI$1,30,FALSE),"")</f>
        <v/>
      </c>
      <c r="BL269" s="224" t="str">
        <f>IFERROR(VLOOKUP($A269,Devengado!$A$1:$AI$1,31,FALSE),"")</f>
        <v/>
      </c>
      <c r="BM269" s="224" t="str">
        <f>IFERROR(VLOOKUP($A269,Devengado!$A$1:$AI$1,32,FALSE),"")</f>
        <v/>
      </c>
      <c r="BN269" s="224" t="str">
        <f>IFERROR(VLOOKUP($A269,Devengado!$A$1:$AI$1,33,FALSE),"")</f>
        <v/>
      </c>
      <c r="BO269" s="224">
        <f t="shared" si="36"/>
        <v>0</v>
      </c>
      <c r="BP269" s="224" t="str">
        <f t="shared" si="37"/>
        <v/>
      </c>
      <c r="BQ269" s="207"/>
      <c r="BR269" s="207" t="str">
        <f t="shared" si="38"/>
        <v>53</v>
      </c>
    </row>
    <row r="270" spans="1:70" s="225" customFormat="1" ht="25.5" customHeight="1">
      <c r="A270" s="207">
        <v>266</v>
      </c>
      <c r="B270" s="112" t="s">
        <v>287</v>
      </c>
      <c r="C270" s="112" t="s">
        <v>77</v>
      </c>
      <c r="D270" s="112" t="s">
        <v>77</v>
      </c>
      <c r="E270" s="112" t="s">
        <v>76</v>
      </c>
      <c r="F270" s="112" t="s">
        <v>77</v>
      </c>
      <c r="G270" s="112" t="s">
        <v>77</v>
      </c>
      <c r="H270" s="112" t="s">
        <v>77</v>
      </c>
      <c r="I270" s="112" t="s">
        <v>77</v>
      </c>
      <c r="J270" s="112" t="s">
        <v>77</v>
      </c>
      <c r="K270" s="112" t="s">
        <v>77</v>
      </c>
      <c r="L270" s="112" t="s">
        <v>85</v>
      </c>
      <c r="M270" s="112" t="s">
        <v>300</v>
      </c>
      <c r="N270" s="114" t="s">
        <v>289</v>
      </c>
      <c r="O270" s="123">
        <v>80</v>
      </c>
      <c r="P270" s="114" t="s">
        <v>81</v>
      </c>
      <c r="Q270" s="114" t="s">
        <v>112</v>
      </c>
      <c r="R270" s="115" t="str">
        <f t="shared" si="32"/>
        <v>53</v>
      </c>
      <c r="S270" s="112">
        <v>530804</v>
      </c>
      <c r="T270" s="122" t="e">
        <f>VLOOKUP(S270,ITEM!$C$1:$D$156,2,FALSE)</f>
        <v>#N/A</v>
      </c>
      <c r="U270" s="112">
        <v>900</v>
      </c>
      <c r="V270" s="114" t="s">
        <v>82</v>
      </c>
      <c r="W270" s="114" t="s">
        <v>84</v>
      </c>
      <c r="X270" s="114" t="s">
        <v>84</v>
      </c>
      <c r="Y270" s="224" t="e">
        <f>'Matriz POA 2024-TRABAJO'!#REF!</f>
        <v>#REF!</v>
      </c>
      <c r="Z270" s="224" t="e">
        <f>'Matriz POA 2024-TRABAJO'!#REF!</f>
        <v>#REF!</v>
      </c>
      <c r="AA270" s="224" t="e">
        <f>'Matriz POA 2024-TRABAJO'!#REF!</f>
        <v>#REF!</v>
      </c>
      <c r="AB270" s="279">
        <v>0</v>
      </c>
      <c r="AC270" s="279">
        <v>0</v>
      </c>
      <c r="AD270" s="279">
        <v>0</v>
      </c>
      <c r="AE270" s="279">
        <v>0</v>
      </c>
      <c r="AF270" s="279">
        <v>0</v>
      </c>
      <c r="AG270" s="279">
        <v>3000</v>
      </c>
      <c r="AH270" s="279">
        <v>0</v>
      </c>
      <c r="AI270" s="279">
        <v>0</v>
      </c>
      <c r="AJ270" s="279">
        <v>0</v>
      </c>
      <c r="AK270" s="279">
        <v>0</v>
      </c>
      <c r="AL270" s="279">
        <v>0</v>
      </c>
      <c r="AM270" s="279">
        <v>0</v>
      </c>
      <c r="AN270" s="224" t="e">
        <f>SUM(#REF!)</f>
        <v>#REF!</v>
      </c>
      <c r="AO270" s="224">
        <f t="shared" si="33"/>
        <v>3000</v>
      </c>
      <c r="AP270" s="224" t="e">
        <f t="shared" si="39"/>
        <v>#REF!</v>
      </c>
      <c r="AQ270" s="224"/>
      <c r="AR270" s="224"/>
      <c r="AS270" s="224"/>
      <c r="AT270" s="224" t="str">
        <f>IFERROR(VLOOKUP($A270,'Constancias POA'!$A$2:$DH$9993,17,FALSE),"")</f>
        <v/>
      </c>
      <c r="AU270" s="224" t="str">
        <f t="shared" si="34"/>
        <v/>
      </c>
      <c r="AV270" s="224" t="str">
        <f>IFERROR(VLOOKUP($A270,CP!$A$1:$U$7992,18,FALSE),"")</f>
        <v/>
      </c>
      <c r="AW270" s="224" t="str">
        <f>IFERROR(VLOOKUP($A270,CP!$A$1:$U$7992,19,FALSE),"")</f>
        <v/>
      </c>
      <c r="AX270" s="224" t="str">
        <f>IFERROR(VLOOKUP($A270,CP!$A$1:$U$7992,20,FALSE),"")</f>
        <v/>
      </c>
      <c r="AY270" s="224" t="str">
        <f>IFERROR(VLOOKUP($A270,CP!$A$1:$U$1,21,FALSE),"")</f>
        <v/>
      </c>
      <c r="AZ270" s="224" t="str">
        <f>IFERROR(VLOOKUP(A270,Devengado!$A$1:AJ1,35,FALSE),"")</f>
        <v/>
      </c>
      <c r="BA270" s="224" t="str">
        <f t="shared" si="35"/>
        <v/>
      </c>
      <c r="BB270" s="224" t="str">
        <f>IFERROR(AZ270/#REF!,"")</f>
        <v/>
      </c>
      <c r="BC270" s="224" t="str">
        <f>IFERROR(VLOOKUP($A270,Devengado!$A$1:$AI$1,22,FALSE),"")</f>
        <v/>
      </c>
      <c r="BD270" s="224" t="str">
        <f>IFERROR(VLOOKUP($A270,Devengado!$A$1:$AI$1,23,FALSE),"")</f>
        <v/>
      </c>
      <c r="BE270" s="224" t="str">
        <f>IFERROR(VLOOKUP($A270,Devengado!$A$1:$AI$1,24,FALSE),"")</f>
        <v/>
      </c>
      <c r="BF270" s="224" t="str">
        <f>IFERROR(VLOOKUP($A270,Devengado!$A$1:$AI$1,25,FALSE),"")</f>
        <v/>
      </c>
      <c r="BG270" s="224" t="str">
        <f>IFERROR(VLOOKUP($A270,Devengado!$A$1:$AI$1,26,FALSE),"")</f>
        <v/>
      </c>
      <c r="BH270" s="224" t="str">
        <f>IFERROR(VLOOKUP($A270,Devengado!$A$1:$AI$1,27,FALSE),"")</f>
        <v/>
      </c>
      <c r="BI270" s="224" t="str">
        <f>IFERROR(VLOOKUP($A270,Devengado!$A$1:$AI$1,28,FALSE),"")</f>
        <v/>
      </c>
      <c r="BJ270" s="224" t="str">
        <f>IFERROR(VLOOKUP($A270,Devengado!$A$1:$AI$1,29,FALSE),"")</f>
        <v/>
      </c>
      <c r="BK270" s="224" t="str">
        <f>IFERROR(VLOOKUP($A270,Devengado!$A$1:$AI$1,30,FALSE),"")</f>
        <v/>
      </c>
      <c r="BL270" s="224" t="str">
        <f>IFERROR(VLOOKUP($A270,Devengado!$A$1:$AI$1,31,FALSE),"")</f>
        <v/>
      </c>
      <c r="BM270" s="224" t="str">
        <f>IFERROR(VLOOKUP($A270,Devengado!$A$1:$AI$1,32,FALSE),"")</f>
        <v/>
      </c>
      <c r="BN270" s="224" t="str">
        <f>IFERROR(VLOOKUP($A270,Devengado!$A$1:$AI$1,33,FALSE),"")</f>
        <v/>
      </c>
      <c r="BO270" s="224">
        <f t="shared" si="36"/>
        <v>0</v>
      </c>
      <c r="BP270" s="224" t="str">
        <f t="shared" si="37"/>
        <v/>
      </c>
      <c r="BQ270" s="207"/>
      <c r="BR270" s="207" t="str">
        <f t="shared" si="38"/>
        <v>53</v>
      </c>
    </row>
    <row r="271" spans="1:70" s="225" customFormat="1" ht="25.5" customHeight="1">
      <c r="A271" s="207">
        <v>267</v>
      </c>
      <c r="B271" s="112" t="s">
        <v>287</v>
      </c>
      <c r="C271" s="112" t="s">
        <v>77</v>
      </c>
      <c r="D271" s="112" t="s">
        <v>77</v>
      </c>
      <c r="E271" s="112" t="s">
        <v>76</v>
      </c>
      <c r="F271" s="112" t="s">
        <v>77</v>
      </c>
      <c r="G271" s="112" t="s">
        <v>77</v>
      </c>
      <c r="H271" s="112" t="s">
        <v>77</v>
      </c>
      <c r="I271" s="112" t="s">
        <v>77</v>
      </c>
      <c r="J271" s="112" t="s">
        <v>77</v>
      </c>
      <c r="K271" s="112" t="s">
        <v>77</v>
      </c>
      <c r="L271" s="112" t="s">
        <v>85</v>
      </c>
      <c r="M271" s="112" t="s">
        <v>301</v>
      </c>
      <c r="N271" s="114" t="s">
        <v>289</v>
      </c>
      <c r="O271" s="123">
        <v>80</v>
      </c>
      <c r="P271" s="114" t="s">
        <v>81</v>
      </c>
      <c r="Q271" s="114" t="s">
        <v>112</v>
      </c>
      <c r="R271" s="115" t="str">
        <f t="shared" si="32"/>
        <v>53</v>
      </c>
      <c r="S271" s="112">
        <v>530807</v>
      </c>
      <c r="T271" s="122" t="e">
        <f>VLOOKUP(S271,ITEM!$C$1:$D$156,2,FALSE)</f>
        <v>#N/A</v>
      </c>
      <c r="U271" s="112">
        <v>900</v>
      </c>
      <c r="V271" s="114" t="s">
        <v>82</v>
      </c>
      <c r="W271" s="114" t="s">
        <v>84</v>
      </c>
      <c r="X271" s="114" t="s">
        <v>84</v>
      </c>
      <c r="Y271" s="224" t="e">
        <f>'Matriz POA 2024-TRABAJO'!#REF!</f>
        <v>#REF!</v>
      </c>
      <c r="Z271" s="224" t="e">
        <f>'Matriz POA 2024-TRABAJO'!#REF!</f>
        <v>#REF!</v>
      </c>
      <c r="AA271" s="224" t="e">
        <f>'Matriz POA 2024-TRABAJO'!#REF!</f>
        <v>#REF!</v>
      </c>
      <c r="AB271" s="279">
        <v>0</v>
      </c>
      <c r="AC271" s="279">
        <v>0</v>
      </c>
      <c r="AD271" s="279">
        <v>0</v>
      </c>
      <c r="AE271" s="279">
        <v>0</v>
      </c>
      <c r="AF271" s="279">
        <v>2251.6999999999998</v>
      </c>
      <c r="AG271" s="279">
        <v>0</v>
      </c>
      <c r="AH271" s="279">
        <v>0</v>
      </c>
      <c r="AI271" s="279">
        <v>0</v>
      </c>
      <c r="AJ271" s="279">
        <v>0</v>
      </c>
      <c r="AK271" s="279">
        <v>0</v>
      </c>
      <c r="AL271" s="279">
        <v>0</v>
      </c>
      <c r="AM271" s="279">
        <v>0</v>
      </c>
      <c r="AN271" s="224" t="e">
        <f>SUM(#REF!)</f>
        <v>#REF!</v>
      </c>
      <c r="AO271" s="224">
        <f t="shared" si="33"/>
        <v>2251.6999999999998</v>
      </c>
      <c r="AP271" s="224" t="e">
        <f t="shared" si="39"/>
        <v>#REF!</v>
      </c>
      <c r="AQ271" s="224"/>
      <c r="AR271" s="224"/>
      <c r="AS271" s="224"/>
      <c r="AT271" s="224" t="str">
        <f>IFERROR(VLOOKUP($A271,'Constancias POA'!$A$2:$DH$9993,17,FALSE),"")</f>
        <v/>
      </c>
      <c r="AU271" s="224" t="str">
        <f t="shared" si="34"/>
        <v/>
      </c>
      <c r="AV271" s="224" t="str">
        <f>IFERROR(VLOOKUP($A271,CP!$A$1:$U$7992,18,FALSE),"")</f>
        <v/>
      </c>
      <c r="AW271" s="224" t="str">
        <f>IFERROR(VLOOKUP($A271,CP!$A$1:$U$7992,19,FALSE),"")</f>
        <v/>
      </c>
      <c r="AX271" s="224" t="str">
        <f>IFERROR(VLOOKUP($A271,CP!$A$1:$U$7992,20,FALSE),"")</f>
        <v/>
      </c>
      <c r="AY271" s="224" t="str">
        <f>IFERROR(VLOOKUP($A271,CP!$A$1:$U$1,21,FALSE),"")</f>
        <v/>
      </c>
      <c r="AZ271" s="224" t="str">
        <f>IFERROR(VLOOKUP(A271,Devengado!$A$1:AJ1,35,FALSE),"")</f>
        <v/>
      </c>
      <c r="BA271" s="224" t="str">
        <f t="shared" si="35"/>
        <v/>
      </c>
      <c r="BB271" s="224" t="str">
        <f>IFERROR(AZ271/#REF!,"")</f>
        <v/>
      </c>
      <c r="BC271" s="224" t="str">
        <f>IFERROR(VLOOKUP($A271,Devengado!$A$1:$AI$1,22,FALSE),"")</f>
        <v/>
      </c>
      <c r="BD271" s="224" t="str">
        <f>IFERROR(VLOOKUP($A271,Devengado!$A$1:$AI$1,23,FALSE),"")</f>
        <v/>
      </c>
      <c r="BE271" s="224" t="str">
        <f>IFERROR(VLOOKUP($A271,Devengado!$A$1:$AI$1,24,FALSE),"")</f>
        <v/>
      </c>
      <c r="BF271" s="224" t="str">
        <f>IFERROR(VLOOKUP($A271,Devengado!$A$1:$AI$1,25,FALSE),"")</f>
        <v/>
      </c>
      <c r="BG271" s="224" t="str">
        <f>IFERROR(VLOOKUP($A271,Devengado!$A$1:$AI$1,26,FALSE),"")</f>
        <v/>
      </c>
      <c r="BH271" s="224" t="str">
        <f>IFERROR(VLOOKUP($A271,Devengado!$A$1:$AI$1,27,FALSE),"")</f>
        <v/>
      </c>
      <c r="BI271" s="224" t="str">
        <f>IFERROR(VLOOKUP($A271,Devengado!$A$1:$AI$1,28,FALSE),"")</f>
        <v/>
      </c>
      <c r="BJ271" s="224" t="str">
        <f>IFERROR(VLOOKUP($A271,Devengado!$A$1:$AI$1,29,FALSE),"")</f>
        <v/>
      </c>
      <c r="BK271" s="224" t="str">
        <f>IFERROR(VLOOKUP($A271,Devengado!$A$1:$AI$1,30,FALSE),"")</f>
        <v/>
      </c>
      <c r="BL271" s="224" t="str">
        <f>IFERROR(VLOOKUP($A271,Devengado!$A$1:$AI$1,31,FALSE),"")</f>
        <v/>
      </c>
      <c r="BM271" s="224" t="str">
        <f>IFERROR(VLOOKUP($A271,Devengado!$A$1:$AI$1,32,FALSE),"")</f>
        <v/>
      </c>
      <c r="BN271" s="224" t="str">
        <f>IFERROR(VLOOKUP($A271,Devengado!$A$1:$AI$1,33,FALSE),"")</f>
        <v/>
      </c>
      <c r="BO271" s="224">
        <f t="shared" si="36"/>
        <v>0</v>
      </c>
      <c r="BP271" s="224" t="str">
        <f t="shared" si="37"/>
        <v/>
      </c>
      <c r="BQ271" s="207"/>
      <c r="BR271" s="207" t="str">
        <f t="shared" si="38"/>
        <v>53</v>
      </c>
    </row>
    <row r="272" spans="1:70" s="225" customFormat="1" ht="25.5" customHeight="1">
      <c r="A272" s="207">
        <v>268</v>
      </c>
      <c r="B272" s="112" t="s">
        <v>287</v>
      </c>
      <c r="C272" s="112" t="s">
        <v>77</v>
      </c>
      <c r="D272" s="112" t="s">
        <v>77</v>
      </c>
      <c r="E272" s="112" t="s">
        <v>76</v>
      </c>
      <c r="F272" s="112" t="s">
        <v>77</v>
      </c>
      <c r="G272" s="112" t="s">
        <v>77</v>
      </c>
      <c r="H272" s="112" t="s">
        <v>77</v>
      </c>
      <c r="I272" s="112" t="s">
        <v>77</v>
      </c>
      <c r="J272" s="112" t="s">
        <v>77</v>
      </c>
      <c r="K272" s="112" t="s">
        <v>77</v>
      </c>
      <c r="L272" s="112" t="s">
        <v>85</v>
      </c>
      <c r="M272" s="112" t="s">
        <v>302</v>
      </c>
      <c r="N272" s="114" t="s">
        <v>289</v>
      </c>
      <c r="O272" s="123">
        <v>80</v>
      </c>
      <c r="P272" s="114" t="s">
        <v>81</v>
      </c>
      <c r="Q272" s="114" t="s">
        <v>112</v>
      </c>
      <c r="R272" s="115" t="str">
        <f t="shared" si="32"/>
        <v>53</v>
      </c>
      <c r="S272" s="112">
        <v>530807</v>
      </c>
      <c r="T272" s="122" t="e">
        <f>VLOOKUP(S272,ITEM!$C$1:$D$156,2,FALSE)</f>
        <v>#N/A</v>
      </c>
      <c r="U272" s="112">
        <v>900</v>
      </c>
      <c r="V272" s="114" t="s">
        <v>82</v>
      </c>
      <c r="W272" s="114" t="s">
        <v>84</v>
      </c>
      <c r="X272" s="114" t="s">
        <v>84</v>
      </c>
      <c r="Y272" s="224" t="e">
        <f>'Matriz POA 2024-TRABAJO'!#REF!</f>
        <v>#REF!</v>
      </c>
      <c r="Z272" s="224" t="e">
        <f>'Matriz POA 2024-TRABAJO'!#REF!</f>
        <v>#REF!</v>
      </c>
      <c r="AA272" s="224" t="e">
        <f>'Matriz POA 2024-TRABAJO'!#REF!</f>
        <v>#REF!</v>
      </c>
      <c r="AB272" s="279">
        <v>0</v>
      </c>
      <c r="AC272" s="279">
        <v>0</v>
      </c>
      <c r="AD272" s="279">
        <v>0</v>
      </c>
      <c r="AE272" s="279">
        <v>0</v>
      </c>
      <c r="AF272" s="279">
        <v>0</v>
      </c>
      <c r="AG272" s="279">
        <v>0</v>
      </c>
      <c r="AH272" s="279">
        <v>2000</v>
      </c>
      <c r="AI272" s="279">
        <v>0</v>
      </c>
      <c r="AJ272" s="279">
        <v>0</v>
      </c>
      <c r="AK272" s="279">
        <v>0</v>
      </c>
      <c r="AL272" s="279">
        <v>0</v>
      </c>
      <c r="AM272" s="279">
        <v>0</v>
      </c>
      <c r="AN272" s="224" t="e">
        <f>SUM(#REF!)</f>
        <v>#REF!</v>
      </c>
      <c r="AO272" s="224">
        <f t="shared" si="33"/>
        <v>2000</v>
      </c>
      <c r="AP272" s="224" t="e">
        <f t="shared" si="39"/>
        <v>#REF!</v>
      </c>
      <c r="AQ272" s="224"/>
      <c r="AR272" s="224"/>
      <c r="AS272" s="224"/>
      <c r="AT272" s="224" t="str">
        <f>IFERROR(VLOOKUP($A272,'Constancias POA'!$A$2:$DH$9993,17,FALSE),"")</f>
        <v/>
      </c>
      <c r="AU272" s="224" t="str">
        <f t="shared" si="34"/>
        <v/>
      </c>
      <c r="AV272" s="224" t="str">
        <f>IFERROR(VLOOKUP($A272,CP!$A$1:$U$7992,18,FALSE),"")</f>
        <v/>
      </c>
      <c r="AW272" s="224" t="str">
        <f>IFERROR(VLOOKUP($A272,CP!$A$1:$U$7992,19,FALSE),"")</f>
        <v/>
      </c>
      <c r="AX272" s="224" t="str">
        <f>IFERROR(VLOOKUP($A272,CP!$A$1:$U$7992,20,FALSE),"")</f>
        <v/>
      </c>
      <c r="AY272" s="224" t="str">
        <f>IFERROR(VLOOKUP($A272,CP!$A$1:$U$1,21,FALSE),"")</f>
        <v/>
      </c>
      <c r="AZ272" s="224" t="str">
        <f>IFERROR(VLOOKUP(A272,Devengado!$A$1:AJ1,35,FALSE),"")</f>
        <v/>
      </c>
      <c r="BA272" s="224" t="str">
        <f t="shared" si="35"/>
        <v/>
      </c>
      <c r="BB272" s="224" t="str">
        <f>IFERROR(AZ272/#REF!,"")</f>
        <v/>
      </c>
      <c r="BC272" s="224" t="str">
        <f>IFERROR(VLOOKUP($A272,Devengado!$A$1:$AI$1,22,FALSE),"")</f>
        <v/>
      </c>
      <c r="BD272" s="224" t="str">
        <f>IFERROR(VLOOKUP($A272,Devengado!$A$1:$AI$1,23,FALSE),"")</f>
        <v/>
      </c>
      <c r="BE272" s="224" t="str">
        <f>IFERROR(VLOOKUP($A272,Devengado!$A$1:$AI$1,24,FALSE),"")</f>
        <v/>
      </c>
      <c r="BF272" s="224" t="str">
        <f>IFERROR(VLOOKUP($A272,Devengado!$A$1:$AI$1,25,FALSE),"")</f>
        <v/>
      </c>
      <c r="BG272" s="224" t="str">
        <f>IFERROR(VLOOKUP($A272,Devengado!$A$1:$AI$1,26,FALSE),"")</f>
        <v/>
      </c>
      <c r="BH272" s="224" t="str">
        <f>IFERROR(VLOOKUP($A272,Devengado!$A$1:$AI$1,27,FALSE),"")</f>
        <v/>
      </c>
      <c r="BI272" s="224" t="str">
        <f>IFERROR(VLOOKUP($A272,Devengado!$A$1:$AI$1,28,FALSE),"")</f>
        <v/>
      </c>
      <c r="BJ272" s="224" t="str">
        <f>IFERROR(VLOOKUP($A272,Devengado!$A$1:$AI$1,29,FALSE),"")</f>
        <v/>
      </c>
      <c r="BK272" s="224" t="str">
        <f>IFERROR(VLOOKUP($A272,Devengado!$A$1:$AI$1,30,FALSE),"")</f>
        <v/>
      </c>
      <c r="BL272" s="224" t="str">
        <f>IFERROR(VLOOKUP($A272,Devengado!$A$1:$AI$1,31,FALSE),"")</f>
        <v/>
      </c>
      <c r="BM272" s="224" t="str">
        <f>IFERROR(VLOOKUP($A272,Devengado!$A$1:$AI$1,32,FALSE),"")</f>
        <v/>
      </c>
      <c r="BN272" s="224" t="str">
        <f>IFERROR(VLOOKUP($A272,Devengado!$A$1:$AI$1,33,FALSE),"")</f>
        <v/>
      </c>
      <c r="BO272" s="224">
        <f t="shared" si="36"/>
        <v>0</v>
      </c>
      <c r="BP272" s="224" t="str">
        <f t="shared" si="37"/>
        <v/>
      </c>
      <c r="BQ272" s="207"/>
      <c r="BR272" s="207" t="str">
        <f t="shared" si="38"/>
        <v>53</v>
      </c>
    </row>
    <row r="273" spans="1:70" s="225" customFormat="1" ht="25.5" customHeight="1">
      <c r="A273" s="207">
        <v>269</v>
      </c>
      <c r="B273" s="112" t="s">
        <v>287</v>
      </c>
      <c r="C273" s="112" t="s">
        <v>77</v>
      </c>
      <c r="D273" s="112" t="s">
        <v>77</v>
      </c>
      <c r="E273" s="112" t="s">
        <v>76</v>
      </c>
      <c r="F273" s="112" t="s">
        <v>77</v>
      </c>
      <c r="G273" s="112" t="s">
        <v>77</v>
      </c>
      <c r="H273" s="112" t="s">
        <v>77</v>
      </c>
      <c r="I273" s="112" t="s">
        <v>77</v>
      </c>
      <c r="J273" s="112" t="s">
        <v>77</v>
      </c>
      <c r="K273" s="112" t="s">
        <v>77</v>
      </c>
      <c r="L273" s="112" t="s">
        <v>85</v>
      </c>
      <c r="M273" s="112" t="s">
        <v>303</v>
      </c>
      <c r="N273" s="114" t="s">
        <v>289</v>
      </c>
      <c r="O273" s="123">
        <v>80</v>
      </c>
      <c r="P273" s="114" t="s">
        <v>81</v>
      </c>
      <c r="Q273" s="114" t="s">
        <v>112</v>
      </c>
      <c r="R273" s="115" t="str">
        <f t="shared" si="32"/>
        <v>53</v>
      </c>
      <c r="S273" s="112">
        <v>530813</v>
      </c>
      <c r="T273" s="122" t="e">
        <f>VLOOKUP(S273,ITEM!$C$1:$D$156,2,FALSE)</f>
        <v>#N/A</v>
      </c>
      <c r="U273" s="112">
        <v>901</v>
      </c>
      <c r="V273" s="114" t="s">
        <v>82</v>
      </c>
      <c r="W273" s="114" t="s">
        <v>84</v>
      </c>
      <c r="X273" s="114" t="s">
        <v>84</v>
      </c>
      <c r="Y273" s="224" t="e">
        <f>'Matriz POA 2024-TRABAJO'!#REF!</f>
        <v>#REF!</v>
      </c>
      <c r="Z273" s="224" t="e">
        <f>'Matriz POA 2024-TRABAJO'!#REF!</f>
        <v>#REF!</v>
      </c>
      <c r="AA273" s="224" t="e">
        <f>'Matriz POA 2024-TRABAJO'!#REF!</f>
        <v>#REF!</v>
      </c>
      <c r="AB273" s="279">
        <v>0</v>
      </c>
      <c r="AC273" s="279">
        <v>0</v>
      </c>
      <c r="AD273" s="279">
        <v>0</v>
      </c>
      <c r="AE273" s="279">
        <v>0</v>
      </c>
      <c r="AF273" s="279">
        <v>0</v>
      </c>
      <c r="AG273" s="279">
        <v>0</v>
      </c>
      <c r="AH273" s="279">
        <v>0</v>
      </c>
      <c r="AI273" s="279">
        <v>0</v>
      </c>
      <c r="AJ273" s="279">
        <v>0</v>
      </c>
      <c r="AK273" s="279">
        <v>0</v>
      </c>
      <c r="AL273" s="279">
        <v>1778.52</v>
      </c>
      <c r="AM273" s="279">
        <v>0</v>
      </c>
      <c r="AN273" s="224" t="e">
        <f>SUM(#REF!)</f>
        <v>#REF!</v>
      </c>
      <c r="AO273" s="224">
        <f t="shared" si="33"/>
        <v>1778.52</v>
      </c>
      <c r="AP273" s="224" t="e">
        <f t="shared" si="39"/>
        <v>#REF!</v>
      </c>
      <c r="AQ273" s="224"/>
      <c r="AR273" s="224"/>
      <c r="AS273" s="224"/>
      <c r="AT273" s="224" t="str">
        <f>IFERROR(VLOOKUP($A273,'Constancias POA'!$A$2:$DH$9993,17,FALSE),"")</f>
        <v/>
      </c>
      <c r="AU273" s="224" t="str">
        <f t="shared" si="34"/>
        <v/>
      </c>
      <c r="AV273" s="224" t="str">
        <f>IFERROR(VLOOKUP($A273,CP!$A$1:$U$7992,18,FALSE),"")</f>
        <v/>
      </c>
      <c r="AW273" s="224" t="str">
        <f>IFERROR(VLOOKUP($A273,CP!$A$1:$U$7992,19,FALSE),"")</f>
        <v/>
      </c>
      <c r="AX273" s="224" t="str">
        <f>IFERROR(VLOOKUP($A273,CP!$A$1:$U$7992,20,FALSE),"")</f>
        <v/>
      </c>
      <c r="AY273" s="224" t="str">
        <f>IFERROR(VLOOKUP($A273,CP!$A$1:$U$1,21,FALSE),"")</f>
        <v/>
      </c>
      <c r="AZ273" s="224" t="str">
        <f>IFERROR(VLOOKUP(A273,Devengado!$A$1:AJ1,35,FALSE),"")</f>
        <v/>
      </c>
      <c r="BA273" s="224" t="str">
        <f t="shared" si="35"/>
        <v/>
      </c>
      <c r="BB273" s="224" t="str">
        <f>IFERROR(AZ273/#REF!,"")</f>
        <v/>
      </c>
      <c r="BC273" s="224" t="str">
        <f>IFERROR(VLOOKUP($A273,Devengado!$A$1:$AI$1,22,FALSE),"")</f>
        <v/>
      </c>
      <c r="BD273" s="224" t="str">
        <f>IFERROR(VLOOKUP($A273,Devengado!$A$1:$AI$1,23,FALSE),"")</f>
        <v/>
      </c>
      <c r="BE273" s="224" t="str">
        <f>IFERROR(VLOOKUP($A273,Devengado!$A$1:$AI$1,24,FALSE),"")</f>
        <v/>
      </c>
      <c r="BF273" s="224" t="str">
        <f>IFERROR(VLOOKUP($A273,Devengado!$A$1:$AI$1,25,FALSE),"")</f>
        <v/>
      </c>
      <c r="BG273" s="224" t="str">
        <f>IFERROR(VLOOKUP($A273,Devengado!$A$1:$AI$1,26,FALSE),"")</f>
        <v/>
      </c>
      <c r="BH273" s="224" t="str">
        <f>IFERROR(VLOOKUP($A273,Devengado!$A$1:$AI$1,27,FALSE),"")</f>
        <v/>
      </c>
      <c r="BI273" s="224" t="str">
        <f>IFERROR(VLOOKUP($A273,Devengado!$A$1:$AI$1,28,FALSE),"")</f>
        <v/>
      </c>
      <c r="BJ273" s="224" t="str">
        <f>IFERROR(VLOOKUP($A273,Devengado!$A$1:$AI$1,29,FALSE),"")</f>
        <v/>
      </c>
      <c r="BK273" s="224" t="str">
        <f>IFERROR(VLOOKUP($A273,Devengado!$A$1:$AI$1,30,FALSE),"")</f>
        <v/>
      </c>
      <c r="BL273" s="224" t="str">
        <f>IFERROR(VLOOKUP($A273,Devengado!$A$1:$AI$1,31,FALSE),"")</f>
        <v/>
      </c>
      <c r="BM273" s="224" t="str">
        <f>IFERROR(VLOOKUP($A273,Devengado!$A$1:$AI$1,32,FALSE),"")</f>
        <v/>
      </c>
      <c r="BN273" s="224" t="str">
        <f>IFERROR(VLOOKUP($A273,Devengado!$A$1:$AI$1,33,FALSE),"")</f>
        <v/>
      </c>
      <c r="BO273" s="224">
        <f t="shared" si="36"/>
        <v>0</v>
      </c>
      <c r="BP273" s="224" t="str">
        <f t="shared" si="37"/>
        <v/>
      </c>
      <c r="BQ273" s="207"/>
      <c r="BR273" s="207" t="str">
        <f t="shared" si="38"/>
        <v>53</v>
      </c>
    </row>
    <row r="274" spans="1:70" s="225" customFormat="1" ht="25.5" customHeight="1">
      <c r="A274" s="207">
        <v>270</v>
      </c>
      <c r="B274" s="112" t="s">
        <v>287</v>
      </c>
      <c r="C274" s="112" t="s">
        <v>77</v>
      </c>
      <c r="D274" s="112" t="s">
        <v>77</v>
      </c>
      <c r="E274" s="112" t="s">
        <v>76</v>
      </c>
      <c r="F274" s="112" t="s">
        <v>77</v>
      </c>
      <c r="G274" s="112" t="s">
        <v>77</v>
      </c>
      <c r="H274" s="112" t="s">
        <v>77</v>
      </c>
      <c r="I274" s="112" t="s">
        <v>77</v>
      </c>
      <c r="J274" s="112" t="s">
        <v>77</v>
      </c>
      <c r="K274" s="112" t="s">
        <v>77</v>
      </c>
      <c r="L274" s="112" t="s">
        <v>85</v>
      </c>
      <c r="M274" s="112" t="s">
        <v>304</v>
      </c>
      <c r="N274" s="114" t="s">
        <v>289</v>
      </c>
      <c r="O274" s="123">
        <v>80</v>
      </c>
      <c r="P274" s="114" t="s">
        <v>81</v>
      </c>
      <c r="Q274" s="114" t="s">
        <v>112</v>
      </c>
      <c r="R274" s="115" t="str">
        <f t="shared" si="32"/>
        <v>53</v>
      </c>
      <c r="S274" s="112">
        <v>530402</v>
      </c>
      <c r="T274" s="122" t="str">
        <f>VLOOKUP(S274,ITEM!$C$1:$D$156,2,FALSE)</f>
        <v>Edificios, Locales, Residencias y Cableado Estructurado (Instalación, Mantenimiento y Reparación)</v>
      </c>
      <c r="U274" s="112">
        <v>900</v>
      </c>
      <c r="V274" s="114" t="s">
        <v>82</v>
      </c>
      <c r="W274" s="114" t="s">
        <v>84</v>
      </c>
      <c r="X274" s="114" t="s">
        <v>84</v>
      </c>
      <c r="Y274" s="224" t="e">
        <f>'Matriz POA 2024-TRABAJO'!#REF!</f>
        <v>#REF!</v>
      </c>
      <c r="Z274" s="224" t="e">
        <f>'Matriz POA 2024-TRABAJO'!#REF!</f>
        <v>#REF!</v>
      </c>
      <c r="AA274" s="224" t="e">
        <f>'Matriz POA 2024-TRABAJO'!#REF!</f>
        <v>#REF!</v>
      </c>
      <c r="AB274" s="279">
        <v>0</v>
      </c>
      <c r="AC274" s="279">
        <v>0</v>
      </c>
      <c r="AD274" s="279">
        <v>0</v>
      </c>
      <c r="AE274" s="279">
        <v>6069.98</v>
      </c>
      <c r="AF274" s="279">
        <v>0</v>
      </c>
      <c r="AG274" s="279">
        <v>0</v>
      </c>
      <c r="AH274" s="279">
        <v>0</v>
      </c>
      <c r="AI274" s="279">
        <v>0</v>
      </c>
      <c r="AJ274" s="279">
        <v>0</v>
      </c>
      <c r="AK274" s="279">
        <v>0</v>
      </c>
      <c r="AL274" s="279">
        <v>0</v>
      </c>
      <c r="AM274" s="279">
        <v>0</v>
      </c>
      <c r="AN274" s="224" t="e">
        <f>SUM(#REF!)</f>
        <v>#REF!</v>
      </c>
      <c r="AO274" s="224">
        <f t="shared" si="33"/>
        <v>6069.98</v>
      </c>
      <c r="AP274" s="224" t="e">
        <f t="shared" si="39"/>
        <v>#REF!</v>
      </c>
      <c r="AQ274" s="224"/>
      <c r="AR274" s="224"/>
      <c r="AS274" s="224"/>
      <c r="AT274" s="224" t="str">
        <f>IFERROR(VLOOKUP($A274,'Constancias POA'!$A$2:$DH$9993,17,FALSE),"")</f>
        <v/>
      </c>
      <c r="AU274" s="224" t="str">
        <f t="shared" si="34"/>
        <v/>
      </c>
      <c r="AV274" s="224" t="str">
        <f>IFERROR(VLOOKUP($A274,CP!$A$1:$U$7992,18,FALSE),"")</f>
        <v/>
      </c>
      <c r="AW274" s="224" t="str">
        <f>IFERROR(VLOOKUP($A274,CP!$A$1:$U$7992,19,FALSE),"")</f>
        <v/>
      </c>
      <c r="AX274" s="224" t="str">
        <f>IFERROR(VLOOKUP($A274,CP!$A$1:$U$7992,20,FALSE),"")</f>
        <v/>
      </c>
      <c r="AY274" s="224" t="str">
        <f>IFERROR(VLOOKUP($A274,CP!$A$1:$U$1,21,FALSE),"")</f>
        <v/>
      </c>
      <c r="AZ274" s="224" t="str">
        <f>IFERROR(VLOOKUP(A274,Devengado!$A$1:AJ1,35,FALSE),"")</f>
        <v/>
      </c>
      <c r="BA274" s="224" t="str">
        <f t="shared" si="35"/>
        <v/>
      </c>
      <c r="BB274" s="224" t="str">
        <f>IFERROR(AZ274/#REF!,"")</f>
        <v/>
      </c>
      <c r="BC274" s="224" t="str">
        <f>IFERROR(VLOOKUP($A274,Devengado!$A$1:$AI$1,22,FALSE),"")</f>
        <v/>
      </c>
      <c r="BD274" s="224" t="str">
        <f>IFERROR(VLOOKUP($A274,Devengado!$A$1:$AI$1,23,FALSE),"")</f>
        <v/>
      </c>
      <c r="BE274" s="224" t="str">
        <f>IFERROR(VLOOKUP($A274,Devengado!$A$1:$AI$1,24,FALSE),"")</f>
        <v/>
      </c>
      <c r="BF274" s="224" t="str">
        <f>IFERROR(VLOOKUP($A274,Devengado!$A$1:$AI$1,25,FALSE),"")</f>
        <v/>
      </c>
      <c r="BG274" s="224" t="str">
        <f>IFERROR(VLOOKUP($A274,Devengado!$A$1:$AI$1,26,FALSE),"")</f>
        <v/>
      </c>
      <c r="BH274" s="224" t="str">
        <f>IFERROR(VLOOKUP($A274,Devengado!$A$1:$AI$1,27,FALSE),"")</f>
        <v/>
      </c>
      <c r="BI274" s="224" t="str">
        <f>IFERROR(VLOOKUP($A274,Devengado!$A$1:$AI$1,28,FALSE),"")</f>
        <v/>
      </c>
      <c r="BJ274" s="224" t="str">
        <f>IFERROR(VLOOKUP($A274,Devengado!$A$1:$AI$1,29,FALSE),"")</f>
        <v/>
      </c>
      <c r="BK274" s="224" t="str">
        <f>IFERROR(VLOOKUP($A274,Devengado!$A$1:$AI$1,30,FALSE),"")</f>
        <v/>
      </c>
      <c r="BL274" s="224" t="str">
        <f>IFERROR(VLOOKUP($A274,Devengado!$A$1:$AI$1,31,FALSE),"")</f>
        <v/>
      </c>
      <c r="BM274" s="224" t="str">
        <f>IFERROR(VLOOKUP($A274,Devengado!$A$1:$AI$1,32,FALSE),"")</f>
        <v/>
      </c>
      <c r="BN274" s="224" t="str">
        <f>IFERROR(VLOOKUP($A274,Devengado!$A$1:$AI$1,33,FALSE),"")</f>
        <v/>
      </c>
      <c r="BO274" s="224">
        <f t="shared" si="36"/>
        <v>0</v>
      </c>
      <c r="BP274" s="224" t="str">
        <f t="shared" si="37"/>
        <v/>
      </c>
      <c r="BQ274" s="207"/>
      <c r="BR274" s="207" t="str">
        <f t="shared" si="38"/>
        <v>53</v>
      </c>
    </row>
    <row r="275" spans="1:70" s="225" customFormat="1" ht="25.5" customHeight="1">
      <c r="A275" s="207">
        <v>271</v>
      </c>
      <c r="B275" s="112" t="s">
        <v>287</v>
      </c>
      <c r="C275" s="112" t="s">
        <v>77</v>
      </c>
      <c r="D275" s="112" t="s">
        <v>77</v>
      </c>
      <c r="E275" s="112" t="s">
        <v>76</v>
      </c>
      <c r="F275" s="112" t="s">
        <v>77</v>
      </c>
      <c r="G275" s="112" t="s">
        <v>77</v>
      </c>
      <c r="H275" s="112" t="s">
        <v>77</v>
      </c>
      <c r="I275" s="112" t="s">
        <v>77</v>
      </c>
      <c r="J275" s="112" t="s">
        <v>77</v>
      </c>
      <c r="K275" s="112" t="s">
        <v>77</v>
      </c>
      <c r="L275" s="112" t="s">
        <v>85</v>
      </c>
      <c r="M275" s="112" t="s">
        <v>305</v>
      </c>
      <c r="N275" s="114" t="s">
        <v>289</v>
      </c>
      <c r="O275" s="123">
        <v>80</v>
      </c>
      <c r="P275" s="114" t="s">
        <v>81</v>
      </c>
      <c r="Q275" s="114" t="s">
        <v>112</v>
      </c>
      <c r="R275" s="115" t="str">
        <f t="shared" si="32"/>
        <v>53</v>
      </c>
      <c r="S275" s="112">
        <v>530205</v>
      </c>
      <c r="T275" s="122" t="str">
        <f>VLOOKUP(S275,ITEM!$C$1:$D$156,2,FALSE)</f>
        <v>Espectáculos Culturales y Sociales</v>
      </c>
      <c r="U275" s="112">
        <v>900</v>
      </c>
      <c r="V275" s="114" t="s">
        <v>82</v>
      </c>
      <c r="W275" s="114" t="s">
        <v>84</v>
      </c>
      <c r="X275" s="114" t="s">
        <v>84</v>
      </c>
      <c r="Y275" s="224" t="e">
        <f>'Matriz POA 2024-TRABAJO'!#REF!</f>
        <v>#REF!</v>
      </c>
      <c r="Z275" s="224" t="e">
        <f>'Matriz POA 2024-TRABAJO'!#REF!</f>
        <v>#REF!</v>
      </c>
      <c r="AA275" s="224" t="e">
        <f>'Matriz POA 2024-TRABAJO'!#REF!</f>
        <v>#REF!</v>
      </c>
      <c r="AB275" s="279">
        <v>0</v>
      </c>
      <c r="AC275" s="279">
        <v>0</v>
      </c>
      <c r="AD275" s="279">
        <v>0</v>
      </c>
      <c r="AE275" s="279">
        <v>0</v>
      </c>
      <c r="AF275" s="279">
        <v>0</v>
      </c>
      <c r="AG275" s="279">
        <v>0</v>
      </c>
      <c r="AH275" s="279">
        <v>0</v>
      </c>
      <c r="AI275" s="279">
        <v>0</v>
      </c>
      <c r="AJ275" s="279">
        <v>0</v>
      </c>
      <c r="AK275" s="279">
        <v>0</v>
      </c>
      <c r="AL275" s="279">
        <v>0</v>
      </c>
      <c r="AM275" s="279">
        <v>0</v>
      </c>
      <c r="AN275" s="224" t="e">
        <f>SUM(#REF!)</f>
        <v>#REF!</v>
      </c>
      <c r="AO275" s="224">
        <f t="shared" si="33"/>
        <v>0</v>
      </c>
      <c r="AP275" s="224" t="e">
        <f t="shared" si="39"/>
        <v>#REF!</v>
      </c>
      <c r="AQ275" s="224"/>
      <c r="AR275" s="224"/>
      <c r="AS275" s="224"/>
      <c r="AT275" s="224" t="str">
        <f>IFERROR(VLOOKUP($A275,'Constancias POA'!$A$2:$DH$9993,17,FALSE),"")</f>
        <v/>
      </c>
      <c r="AU275" s="224" t="str">
        <f t="shared" si="34"/>
        <v/>
      </c>
      <c r="AV275" s="224" t="str">
        <f>IFERROR(VLOOKUP($A275,CP!$A$1:$U$7992,18,FALSE),"")</f>
        <v/>
      </c>
      <c r="AW275" s="224" t="str">
        <f>IFERROR(VLOOKUP($A275,CP!$A$1:$U$7992,19,FALSE),"")</f>
        <v/>
      </c>
      <c r="AX275" s="224" t="str">
        <f>IFERROR(VLOOKUP($A275,CP!$A$1:$U$7992,20,FALSE),"")</f>
        <v/>
      </c>
      <c r="AY275" s="224" t="str">
        <f>IFERROR(VLOOKUP($A275,CP!$A$1:$U$1,21,FALSE),"")</f>
        <v/>
      </c>
      <c r="AZ275" s="224" t="str">
        <f>IFERROR(VLOOKUP(A275,Devengado!$A$1:AJ1,35,FALSE),"")</f>
        <v/>
      </c>
      <c r="BA275" s="224" t="str">
        <f t="shared" si="35"/>
        <v/>
      </c>
      <c r="BB275" s="224" t="str">
        <f>IFERROR(AZ275/#REF!,"")</f>
        <v/>
      </c>
      <c r="BC275" s="224" t="str">
        <f>IFERROR(VLOOKUP($A275,Devengado!$A$1:$AI$1,22,FALSE),"")</f>
        <v/>
      </c>
      <c r="BD275" s="224" t="str">
        <f>IFERROR(VLOOKUP($A275,Devengado!$A$1:$AI$1,23,FALSE),"")</f>
        <v/>
      </c>
      <c r="BE275" s="224" t="str">
        <f>IFERROR(VLOOKUP($A275,Devengado!$A$1:$AI$1,24,FALSE),"")</f>
        <v/>
      </c>
      <c r="BF275" s="224" t="str">
        <f>IFERROR(VLOOKUP($A275,Devengado!$A$1:$AI$1,25,FALSE),"")</f>
        <v/>
      </c>
      <c r="BG275" s="224" t="str">
        <f>IFERROR(VLOOKUP($A275,Devengado!$A$1:$AI$1,26,FALSE),"")</f>
        <v/>
      </c>
      <c r="BH275" s="224" t="str">
        <f>IFERROR(VLOOKUP($A275,Devengado!$A$1:$AI$1,27,FALSE),"")</f>
        <v/>
      </c>
      <c r="BI275" s="224" t="str">
        <f>IFERROR(VLOOKUP($A275,Devengado!$A$1:$AI$1,28,FALSE),"")</f>
        <v/>
      </c>
      <c r="BJ275" s="224" t="str">
        <f>IFERROR(VLOOKUP($A275,Devengado!$A$1:$AI$1,29,FALSE),"")</f>
        <v/>
      </c>
      <c r="BK275" s="224" t="str">
        <f>IFERROR(VLOOKUP($A275,Devengado!$A$1:$AI$1,30,FALSE),"")</f>
        <v/>
      </c>
      <c r="BL275" s="224" t="str">
        <f>IFERROR(VLOOKUP($A275,Devengado!$A$1:$AI$1,31,FALSE),"")</f>
        <v/>
      </c>
      <c r="BM275" s="224" t="str">
        <f>IFERROR(VLOOKUP($A275,Devengado!$A$1:$AI$1,32,FALSE),"")</f>
        <v/>
      </c>
      <c r="BN275" s="224" t="str">
        <f>IFERROR(VLOOKUP($A275,Devengado!$A$1:$AI$1,33,FALSE),"")</f>
        <v/>
      </c>
      <c r="BO275" s="224">
        <f t="shared" si="36"/>
        <v>0</v>
      </c>
      <c r="BP275" s="224" t="str">
        <f t="shared" si="37"/>
        <v/>
      </c>
      <c r="BQ275" s="207"/>
      <c r="BR275" s="207" t="str">
        <f t="shared" si="38"/>
        <v>53</v>
      </c>
    </row>
    <row r="276" spans="1:70" s="225" customFormat="1" ht="25.5" customHeight="1">
      <c r="A276" s="207">
        <v>272</v>
      </c>
      <c r="B276" s="112" t="s">
        <v>287</v>
      </c>
      <c r="C276" s="112" t="s">
        <v>77</v>
      </c>
      <c r="D276" s="112" t="s">
        <v>77</v>
      </c>
      <c r="E276" s="112" t="s">
        <v>76</v>
      </c>
      <c r="F276" s="112" t="s">
        <v>77</v>
      </c>
      <c r="G276" s="112" t="s">
        <v>77</v>
      </c>
      <c r="H276" s="112" t="s">
        <v>77</v>
      </c>
      <c r="I276" s="112" t="s">
        <v>77</v>
      </c>
      <c r="J276" s="112" t="s">
        <v>77</v>
      </c>
      <c r="K276" s="112" t="s">
        <v>77</v>
      </c>
      <c r="L276" s="112" t="s">
        <v>85</v>
      </c>
      <c r="M276" s="112" t="s">
        <v>306</v>
      </c>
      <c r="N276" s="114" t="s">
        <v>289</v>
      </c>
      <c r="O276" s="123">
        <v>80</v>
      </c>
      <c r="P276" s="114" t="s">
        <v>81</v>
      </c>
      <c r="Q276" s="114" t="s">
        <v>112</v>
      </c>
      <c r="R276" s="115" t="str">
        <f t="shared" si="32"/>
        <v>57</v>
      </c>
      <c r="S276" s="112">
        <v>570102</v>
      </c>
      <c r="T276" s="122" t="e">
        <f>VLOOKUP(S276,ITEM!$C$1:$D$156,2,FALSE)</f>
        <v>#N/A</v>
      </c>
      <c r="U276" s="112">
        <v>900</v>
      </c>
      <c r="V276" s="114" t="s">
        <v>82</v>
      </c>
      <c r="W276" s="114" t="s">
        <v>84</v>
      </c>
      <c r="X276" s="114" t="s">
        <v>84</v>
      </c>
      <c r="Y276" s="224" t="e">
        <f>'Matriz POA 2024-TRABAJO'!#REF!</f>
        <v>#REF!</v>
      </c>
      <c r="Z276" s="224" t="e">
        <f>'Matriz POA 2024-TRABAJO'!#REF!</f>
        <v>#REF!</v>
      </c>
      <c r="AA276" s="224" t="e">
        <f>'Matriz POA 2024-TRABAJO'!#REF!</f>
        <v>#REF!</v>
      </c>
      <c r="AB276" s="279">
        <v>50</v>
      </c>
      <c r="AC276" s="279">
        <v>0</v>
      </c>
      <c r="AD276" s="279">
        <v>0</v>
      </c>
      <c r="AE276" s="279">
        <v>0</v>
      </c>
      <c r="AF276" s="279">
        <v>0</v>
      </c>
      <c r="AG276" s="279">
        <v>0</v>
      </c>
      <c r="AH276" s="279">
        <v>0</v>
      </c>
      <c r="AI276" s="279">
        <v>0</v>
      </c>
      <c r="AJ276" s="279">
        <v>0</v>
      </c>
      <c r="AK276" s="279">
        <v>0</v>
      </c>
      <c r="AL276" s="279">
        <v>0</v>
      </c>
      <c r="AM276" s="279">
        <v>0</v>
      </c>
      <c r="AN276" s="224" t="e">
        <f>SUM(#REF!)</f>
        <v>#REF!</v>
      </c>
      <c r="AO276" s="224">
        <f t="shared" si="33"/>
        <v>50</v>
      </c>
      <c r="AP276" s="224" t="e">
        <f t="shared" si="39"/>
        <v>#REF!</v>
      </c>
      <c r="AQ276" s="224"/>
      <c r="AR276" s="224"/>
      <c r="AS276" s="224"/>
      <c r="AT276" s="224" t="str">
        <f>IFERROR(VLOOKUP($A276,'Constancias POA'!$A$2:$DH$9993,17,FALSE),"")</f>
        <v/>
      </c>
      <c r="AU276" s="224" t="str">
        <f t="shared" si="34"/>
        <v/>
      </c>
      <c r="AV276" s="224" t="str">
        <f>IFERROR(VLOOKUP($A276,CP!$A$1:$U$7992,18,FALSE),"")</f>
        <v/>
      </c>
      <c r="AW276" s="224" t="str">
        <f>IFERROR(VLOOKUP($A276,CP!$A$1:$U$7992,19,FALSE),"")</f>
        <v/>
      </c>
      <c r="AX276" s="224" t="str">
        <f>IFERROR(VLOOKUP($A276,CP!$A$1:$U$7992,20,FALSE),"")</f>
        <v/>
      </c>
      <c r="AY276" s="224" t="str">
        <f>IFERROR(VLOOKUP($A276,CP!$A$1:$U$1,21,FALSE),"")</f>
        <v/>
      </c>
      <c r="AZ276" s="224" t="str">
        <f>IFERROR(VLOOKUP(A276,Devengado!$A$1:AJ1,35,FALSE),"")</f>
        <v/>
      </c>
      <c r="BA276" s="224" t="str">
        <f t="shared" si="35"/>
        <v/>
      </c>
      <c r="BB276" s="224" t="str">
        <f>IFERROR(AZ276/#REF!,"")</f>
        <v/>
      </c>
      <c r="BC276" s="224" t="str">
        <f>IFERROR(VLOOKUP($A276,Devengado!$A$1:$AI$1,22,FALSE),"")</f>
        <v/>
      </c>
      <c r="BD276" s="224" t="str">
        <f>IFERROR(VLOOKUP($A276,Devengado!$A$1:$AI$1,23,FALSE),"")</f>
        <v/>
      </c>
      <c r="BE276" s="224" t="str">
        <f>IFERROR(VLOOKUP($A276,Devengado!$A$1:$AI$1,24,FALSE),"")</f>
        <v/>
      </c>
      <c r="BF276" s="224" t="str">
        <f>IFERROR(VLOOKUP($A276,Devengado!$A$1:$AI$1,25,FALSE),"")</f>
        <v/>
      </c>
      <c r="BG276" s="224" t="str">
        <f>IFERROR(VLOOKUP($A276,Devengado!$A$1:$AI$1,26,FALSE),"")</f>
        <v/>
      </c>
      <c r="BH276" s="224" t="str">
        <f>IFERROR(VLOOKUP($A276,Devengado!$A$1:$AI$1,27,FALSE),"")</f>
        <v/>
      </c>
      <c r="BI276" s="224" t="str">
        <f>IFERROR(VLOOKUP($A276,Devengado!$A$1:$AI$1,28,FALSE),"")</f>
        <v/>
      </c>
      <c r="BJ276" s="224" t="str">
        <f>IFERROR(VLOOKUP($A276,Devengado!$A$1:$AI$1,29,FALSE),"")</f>
        <v/>
      </c>
      <c r="BK276" s="224" t="str">
        <f>IFERROR(VLOOKUP($A276,Devengado!$A$1:$AI$1,30,FALSE),"")</f>
        <v/>
      </c>
      <c r="BL276" s="224" t="str">
        <f>IFERROR(VLOOKUP($A276,Devengado!$A$1:$AI$1,31,FALSE),"")</f>
        <v/>
      </c>
      <c r="BM276" s="224" t="str">
        <f>IFERROR(VLOOKUP($A276,Devengado!$A$1:$AI$1,32,FALSE),"")</f>
        <v/>
      </c>
      <c r="BN276" s="224" t="str">
        <f>IFERROR(VLOOKUP($A276,Devengado!$A$1:$AI$1,33,FALSE),"")</f>
        <v/>
      </c>
      <c r="BO276" s="224">
        <f t="shared" si="36"/>
        <v>0</v>
      </c>
      <c r="BP276" s="224" t="str">
        <f t="shared" si="37"/>
        <v/>
      </c>
      <c r="BQ276" s="207"/>
      <c r="BR276" s="207" t="str">
        <f t="shared" si="38"/>
        <v>57</v>
      </c>
    </row>
    <row r="277" spans="1:70" s="225" customFormat="1" ht="25.5" customHeight="1">
      <c r="A277" s="207">
        <v>273</v>
      </c>
      <c r="B277" s="112" t="s">
        <v>287</v>
      </c>
      <c r="C277" s="112" t="s">
        <v>77</v>
      </c>
      <c r="D277" s="112" t="s">
        <v>77</v>
      </c>
      <c r="E277" s="112" t="s">
        <v>76</v>
      </c>
      <c r="F277" s="112" t="s">
        <v>77</v>
      </c>
      <c r="G277" s="112" t="s">
        <v>77</v>
      </c>
      <c r="H277" s="112" t="s">
        <v>77</v>
      </c>
      <c r="I277" s="112" t="s">
        <v>77</v>
      </c>
      <c r="J277" s="112" t="s">
        <v>77</v>
      </c>
      <c r="K277" s="112" t="s">
        <v>77</v>
      </c>
      <c r="L277" s="112" t="s">
        <v>85</v>
      </c>
      <c r="M277" s="112" t="s">
        <v>307</v>
      </c>
      <c r="N277" s="114" t="s">
        <v>289</v>
      </c>
      <c r="O277" s="123">
        <v>80</v>
      </c>
      <c r="P277" s="114" t="s">
        <v>81</v>
      </c>
      <c r="Q277" s="114" t="s">
        <v>112</v>
      </c>
      <c r="R277" s="115" t="str">
        <f t="shared" si="32"/>
        <v>53</v>
      </c>
      <c r="S277" s="112">
        <v>530208</v>
      </c>
      <c r="T277" s="122" t="str">
        <f>VLOOKUP(S277,ITEM!$C$1:$D$156,2,FALSE)</f>
        <v>Servicio de Seguridad y Vigilancia</v>
      </c>
      <c r="U277" s="112">
        <v>900</v>
      </c>
      <c r="V277" s="114" t="s">
        <v>82</v>
      </c>
      <c r="W277" s="114" t="s">
        <v>84</v>
      </c>
      <c r="X277" s="114" t="s">
        <v>84</v>
      </c>
      <c r="Y277" s="224" t="e">
        <f>'Matriz POA 2024-TRABAJO'!#REF!</f>
        <v>#REF!</v>
      </c>
      <c r="Z277" s="224" t="e">
        <f>'Matriz POA 2024-TRABAJO'!#REF!</f>
        <v>#REF!</v>
      </c>
      <c r="AA277" s="224" t="e">
        <f>'Matriz POA 2024-TRABAJO'!#REF!</f>
        <v>#REF!</v>
      </c>
      <c r="AB277" s="279">
        <v>0</v>
      </c>
      <c r="AC277" s="279">
        <v>0</v>
      </c>
      <c r="AD277" s="279">
        <v>0</v>
      </c>
      <c r="AE277" s="279">
        <v>0</v>
      </c>
      <c r="AF277" s="279">
        <v>0</v>
      </c>
      <c r="AG277" s="279">
        <v>0</v>
      </c>
      <c r="AH277" s="279">
        <v>0</v>
      </c>
      <c r="AI277" s="279">
        <v>0</v>
      </c>
      <c r="AJ277" s="279">
        <v>0</v>
      </c>
      <c r="AK277" s="279">
        <v>0</v>
      </c>
      <c r="AL277" s="279">
        <v>0</v>
      </c>
      <c r="AM277" s="279">
        <v>0</v>
      </c>
      <c r="AN277" s="224" t="e">
        <f>SUM(#REF!)</f>
        <v>#REF!</v>
      </c>
      <c r="AO277" s="224">
        <f t="shared" si="33"/>
        <v>0</v>
      </c>
      <c r="AP277" s="224" t="e">
        <f t="shared" si="39"/>
        <v>#REF!</v>
      </c>
      <c r="AQ277" s="224"/>
      <c r="AR277" s="224"/>
      <c r="AS277" s="224"/>
      <c r="AT277" s="224" t="str">
        <f>IFERROR(VLOOKUP($A277,'Constancias POA'!$A$2:$DH$9993,17,FALSE),"")</f>
        <v/>
      </c>
      <c r="AU277" s="224" t="str">
        <f t="shared" si="34"/>
        <v/>
      </c>
      <c r="AV277" s="224" t="str">
        <f>IFERROR(VLOOKUP($A277,CP!$A$1:$U$7992,18,FALSE),"")</f>
        <v/>
      </c>
      <c r="AW277" s="224" t="str">
        <f>IFERROR(VLOOKUP($A277,CP!$A$1:$U$7992,19,FALSE),"")</f>
        <v/>
      </c>
      <c r="AX277" s="224" t="str">
        <f>IFERROR(VLOOKUP($A277,CP!$A$1:$U$7992,20,FALSE),"")</f>
        <v/>
      </c>
      <c r="AY277" s="224" t="str">
        <f>IFERROR(VLOOKUP($A277,CP!$A$1:$U$1,21,FALSE),"")</f>
        <v/>
      </c>
      <c r="AZ277" s="224" t="str">
        <f>IFERROR(VLOOKUP(A277,Devengado!$A$1:AJ1,35,FALSE),"")</f>
        <v/>
      </c>
      <c r="BA277" s="224" t="str">
        <f t="shared" si="35"/>
        <v/>
      </c>
      <c r="BB277" s="224" t="str">
        <f>IFERROR(AZ277/#REF!,"")</f>
        <v/>
      </c>
      <c r="BC277" s="224" t="str">
        <f>IFERROR(VLOOKUP($A277,Devengado!$A$1:$AI$1,22,FALSE),"")</f>
        <v/>
      </c>
      <c r="BD277" s="224" t="str">
        <f>IFERROR(VLOOKUP($A277,Devengado!$A$1:$AI$1,23,FALSE),"")</f>
        <v/>
      </c>
      <c r="BE277" s="224" t="str">
        <f>IFERROR(VLOOKUP($A277,Devengado!$A$1:$AI$1,24,FALSE),"")</f>
        <v/>
      </c>
      <c r="BF277" s="224" t="str">
        <f>IFERROR(VLOOKUP($A277,Devengado!$A$1:$AI$1,25,FALSE),"")</f>
        <v/>
      </c>
      <c r="BG277" s="224" t="str">
        <f>IFERROR(VLOOKUP($A277,Devengado!$A$1:$AI$1,26,FALSE),"")</f>
        <v/>
      </c>
      <c r="BH277" s="224" t="str">
        <f>IFERROR(VLOOKUP($A277,Devengado!$A$1:$AI$1,27,FALSE),"")</f>
        <v/>
      </c>
      <c r="BI277" s="224" t="str">
        <f>IFERROR(VLOOKUP($A277,Devengado!$A$1:$AI$1,28,FALSE),"")</f>
        <v/>
      </c>
      <c r="BJ277" s="224" t="str">
        <f>IFERROR(VLOOKUP($A277,Devengado!$A$1:$AI$1,29,FALSE),"")</f>
        <v/>
      </c>
      <c r="BK277" s="224" t="str">
        <f>IFERROR(VLOOKUP($A277,Devengado!$A$1:$AI$1,30,FALSE),"")</f>
        <v/>
      </c>
      <c r="BL277" s="224" t="str">
        <f>IFERROR(VLOOKUP($A277,Devengado!$A$1:$AI$1,31,FALSE),"")</f>
        <v/>
      </c>
      <c r="BM277" s="224" t="str">
        <f>IFERROR(VLOOKUP($A277,Devengado!$A$1:$AI$1,32,FALSE),"")</f>
        <v/>
      </c>
      <c r="BN277" s="224" t="str">
        <f>IFERROR(VLOOKUP($A277,Devengado!$A$1:$AI$1,33,FALSE),"")</f>
        <v/>
      </c>
      <c r="BO277" s="224">
        <f t="shared" si="36"/>
        <v>0</v>
      </c>
      <c r="BP277" s="224" t="str">
        <f t="shared" si="37"/>
        <v/>
      </c>
      <c r="BQ277" s="207"/>
      <c r="BR277" s="207" t="str">
        <f t="shared" si="38"/>
        <v>53</v>
      </c>
    </row>
    <row r="278" spans="1:70" s="225" customFormat="1" ht="25.5" customHeight="1">
      <c r="A278" s="207">
        <v>274</v>
      </c>
      <c r="B278" s="112" t="s">
        <v>287</v>
      </c>
      <c r="C278" s="112" t="s">
        <v>77</v>
      </c>
      <c r="D278" s="112" t="s">
        <v>77</v>
      </c>
      <c r="E278" s="112" t="s">
        <v>76</v>
      </c>
      <c r="F278" s="112" t="s">
        <v>77</v>
      </c>
      <c r="G278" s="112" t="s">
        <v>77</v>
      </c>
      <c r="H278" s="112" t="s">
        <v>77</v>
      </c>
      <c r="I278" s="112" t="s">
        <v>77</v>
      </c>
      <c r="J278" s="112" t="s">
        <v>77</v>
      </c>
      <c r="K278" s="112" t="s">
        <v>77</v>
      </c>
      <c r="L278" s="112" t="s">
        <v>78</v>
      </c>
      <c r="M278" s="112" t="s">
        <v>307</v>
      </c>
      <c r="N278" s="114" t="s">
        <v>289</v>
      </c>
      <c r="O278" s="123">
        <v>80</v>
      </c>
      <c r="P278" s="114" t="s">
        <v>81</v>
      </c>
      <c r="Q278" s="114" t="s">
        <v>112</v>
      </c>
      <c r="R278" s="115" t="str">
        <f t="shared" si="32"/>
        <v>53</v>
      </c>
      <c r="S278" s="112">
        <v>530208</v>
      </c>
      <c r="T278" s="122" t="str">
        <f>VLOOKUP(S278,ITEM!$C$1:$D$156,2,FALSE)</f>
        <v>Servicio de Seguridad y Vigilancia</v>
      </c>
      <c r="U278" s="112">
        <v>900</v>
      </c>
      <c r="V278" s="114" t="s">
        <v>82</v>
      </c>
      <c r="W278" s="114" t="s">
        <v>84</v>
      </c>
      <c r="X278" s="114" t="s">
        <v>84</v>
      </c>
      <c r="Y278" s="224" t="e">
        <f>'Matriz POA 2024-TRABAJO'!#REF!</f>
        <v>#REF!</v>
      </c>
      <c r="Z278" s="224" t="e">
        <f>'Matriz POA 2024-TRABAJO'!#REF!</f>
        <v>#REF!</v>
      </c>
      <c r="AA278" s="224" t="e">
        <f>'Matriz POA 2024-TRABAJO'!#REF!</f>
        <v>#REF!</v>
      </c>
      <c r="AB278" s="293">
        <v>47664.34</v>
      </c>
      <c r="AC278" s="293">
        <v>47664.34</v>
      </c>
      <c r="AD278" s="293">
        <v>47664.34</v>
      </c>
      <c r="AE278" s="293">
        <v>47664.34</v>
      </c>
      <c r="AF278" s="293">
        <v>47664.34</v>
      </c>
      <c r="AG278" s="293">
        <v>47664.34</v>
      </c>
      <c r="AH278" s="293">
        <v>47045.85</v>
      </c>
      <c r="AI278" s="293">
        <v>47045.85</v>
      </c>
      <c r="AJ278" s="293">
        <v>47045.85</v>
      </c>
      <c r="AK278" s="293">
        <v>47045.85</v>
      </c>
      <c r="AL278" s="293">
        <v>47045.85</v>
      </c>
      <c r="AM278" s="293">
        <v>47045.84</v>
      </c>
      <c r="AN278" s="224" t="e">
        <f>SUM(#REF!)</f>
        <v>#REF!</v>
      </c>
      <c r="AO278" s="224">
        <f t="shared" si="33"/>
        <v>568261.12999999989</v>
      </c>
      <c r="AP278" s="224" t="e">
        <f t="shared" si="39"/>
        <v>#REF!</v>
      </c>
      <c r="AQ278" s="224"/>
      <c r="AR278" s="224"/>
      <c r="AS278" s="224"/>
      <c r="AT278" s="224" t="str">
        <f>IFERROR(VLOOKUP($A278,'Constancias POA'!$A$2:$DH$9993,17,FALSE),"")</f>
        <v/>
      </c>
      <c r="AU278" s="224" t="str">
        <f t="shared" si="34"/>
        <v/>
      </c>
      <c r="AV278" s="224" t="str">
        <f>IFERROR(VLOOKUP($A278,CP!$A$1:$U$7992,18,FALSE),"")</f>
        <v/>
      </c>
      <c r="AW278" s="224" t="str">
        <f>IFERROR(VLOOKUP($A278,CP!$A$1:$U$7992,19,FALSE),"")</f>
        <v/>
      </c>
      <c r="AX278" s="224" t="str">
        <f>IFERROR(VLOOKUP($A278,CP!$A$1:$U$7992,20,FALSE),"")</f>
        <v/>
      </c>
      <c r="AY278" s="224" t="str">
        <f>IFERROR(VLOOKUP($A278,CP!$A$1:$U$1,21,FALSE),"")</f>
        <v/>
      </c>
      <c r="AZ278" s="224" t="str">
        <f>IFERROR(VLOOKUP(A278,Devengado!$A$1:AJ1,35,FALSE),"")</f>
        <v/>
      </c>
      <c r="BA278" s="224" t="str">
        <f t="shared" si="35"/>
        <v/>
      </c>
      <c r="BB278" s="224" t="str">
        <f>IFERROR(AZ278/#REF!,"")</f>
        <v/>
      </c>
      <c r="BC278" s="224" t="str">
        <f>IFERROR(VLOOKUP($A278,Devengado!$A$1:$AI$1,22,FALSE),"")</f>
        <v/>
      </c>
      <c r="BD278" s="224" t="str">
        <f>IFERROR(VLOOKUP($A278,Devengado!$A$1:$AI$1,23,FALSE),"")</f>
        <v/>
      </c>
      <c r="BE278" s="224" t="str">
        <f>IFERROR(VLOOKUP($A278,Devengado!$A$1:$AI$1,24,FALSE),"")</f>
        <v/>
      </c>
      <c r="BF278" s="224" t="str">
        <f>IFERROR(VLOOKUP($A278,Devengado!$A$1:$AI$1,25,FALSE),"")</f>
        <v/>
      </c>
      <c r="BG278" s="224" t="str">
        <f>IFERROR(VLOOKUP($A278,Devengado!$A$1:$AI$1,26,FALSE),"")</f>
        <v/>
      </c>
      <c r="BH278" s="224" t="str">
        <f>IFERROR(VLOOKUP($A278,Devengado!$A$1:$AI$1,27,FALSE),"")</f>
        <v/>
      </c>
      <c r="BI278" s="224" t="str">
        <f>IFERROR(VLOOKUP($A278,Devengado!$A$1:$AI$1,28,FALSE),"")</f>
        <v/>
      </c>
      <c r="BJ278" s="224" t="str">
        <f>IFERROR(VLOOKUP($A278,Devengado!$A$1:$AI$1,29,FALSE),"")</f>
        <v/>
      </c>
      <c r="BK278" s="224" t="str">
        <f>IFERROR(VLOOKUP($A278,Devengado!$A$1:$AI$1,30,FALSE),"")</f>
        <v/>
      </c>
      <c r="BL278" s="224" t="str">
        <f>IFERROR(VLOOKUP($A278,Devengado!$A$1:$AI$1,31,FALSE),"")</f>
        <v/>
      </c>
      <c r="BM278" s="224" t="str">
        <f>IFERROR(VLOOKUP($A278,Devengado!$A$1:$AI$1,32,FALSE),"")</f>
        <v/>
      </c>
      <c r="BN278" s="224" t="str">
        <f>IFERROR(VLOOKUP($A278,Devengado!$A$1:$AI$1,33,FALSE),"")</f>
        <v/>
      </c>
      <c r="BO278" s="224">
        <f t="shared" si="36"/>
        <v>0</v>
      </c>
      <c r="BP278" s="224" t="str">
        <f t="shared" si="37"/>
        <v/>
      </c>
      <c r="BQ278" s="207"/>
      <c r="BR278" s="207" t="str">
        <f t="shared" si="38"/>
        <v>53</v>
      </c>
    </row>
    <row r="279" spans="1:70" s="225" customFormat="1" ht="25.5" customHeight="1">
      <c r="A279" s="207">
        <v>275</v>
      </c>
      <c r="B279" s="112" t="s">
        <v>287</v>
      </c>
      <c r="C279" s="112" t="s">
        <v>77</v>
      </c>
      <c r="D279" s="112" t="s">
        <v>77</v>
      </c>
      <c r="E279" s="112" t="s">
        <v>76</v>
      </c>
      <c r="F279" s="112" t="s">
        <v>77</v>
      </c>
      <c r="G279" s="112" t="s">
        <v>77</v>
      </c>
      <c r="H279" s="112" t="s">
        <v>77</v>
      </c>
      <c r="I279" s="112" t="s">
        <v>77</v>
      </c>
      <c r="J279" s="112" t="s">
        <v>77</v>
      </c>
      <c r="K279" s="112" t="s">
        <v>77</v>
      </c>
      <c r="L279" s="112" t="s">
        <v>78</v>
      </c>
      <c r="M279" s="112" t="s">
        <v>308</v>
      </c>
      <c r="N279" s="114" t="s">
        <v>289</v>
      </c>
      <c r="O279" s="123">
        <v>80</v>
      </c>
      <c r="P279" s="114" t="s">
        <v>81</v>
      </c>
      <c r="Q279" s="114" t="s">
        <v>112</v>
      </c>
      <c r="R279" s="115" t="str">
        <f t="shared" si="32"/>
        <v>53</v>
      </c>
      <c r="S279" s="112">
        <v>530209</v>
      </c>
      <c r="T279" s="122" t="str">
        <f>VLOOKUP(S279,ITEM!$C$1:$D$156,2,FALSE)</f>
        <v>Servicios de Aseo, Lavado de Vestimenta de Trabajo, Fumigación, Desinfección,  Limpieza de Instalaciones, manejo
de desechos contaminados, recuperación y clasificación de materiales reciclables.</v>
      </c>
      <c r="U279" s="112">
        <v>900</v>
      </c>
      <c r="V279" s="114" t="s">
        <v>82</v>
      </c>
      <c r="W279" s="114" t="s">
        <v>84</v>
      </c>
      <c r="X279" s="114" t="s">
        <v>84</v>
      </c>
      <c r="Y279" s="224" t="e">
        <f>'Matriz POA 2024-TRABAJO'!#REF!</f>
        <v>#REF!</v>
      </c>
      <c r="Z279" s="224" t="e">
        <f>'Matriz POA 2024-TRABAJO'!#REF!</f>
        <v>#REF!</v>
      </c>
      <c r="AA279" s="224" t="e">
        <f>'Matriz POA 2024-TRABAJO'!#REF!</f>
        <v>#REF!</v>
      </c>
      <c r="AB279" s="279">
        <v>15383.25</v>
      </c>
      <c r="AC279" s="279">
        <v>15383.25</v>
      </c>
      <c r="AD279" s="279">
        <v>15383.25</v>
      </c>
      <c r="AE279" s="279">
        <v>15383.25</v>
      </c>
      <c r="AF279" s="279">
        <v>15383.25</v>
      </c>
      <c r="AG279" s="279">
        <v>0</v>
      </c>
      <c r="AH279" s="279">
        <v>0</v>
      </c>
      <c r="AI279" s="279">
        <v>0</v>
      </c>
      <c r="AJ279" s="279">
        <v>0</v>
      </c>
      <c r="AK279" s="279">
        <v>0</v>
      </c>
      <c r="AL279" s="279">
        <v>0</v>
      </c>
      <c r="AM279" s="279">
        <v>0</v>
      </c>
      <c r="AN279" s="224" t="e">
        <f>SUM(#REF!)</f>
        <v>#REF!</v>
      </c>
      <c r="AO279" s="224">
        <f t="shared" si="33"/>
        <v>76916.25</v>
      </c>
      <c r="AP279" s="224" t="e">
        <f t="shared" si="39"/>
        <v>#REF!</v>
      </c>
      <c r="AQ279" s="224"/>
      <c r="AR279" s="224"/>
      <c r="AS279" s="224"/>
      <c r="AT279" s="224" t="str">
        <f>IFERROR(VLOOKUP($A279,'Constancias POA'!$A$2:$DH$9993,17,FALSE),"")</f>
        <v/>
      </c>
      <c r="AU279" s="224" t="str">
        <f t="shared" si="34"/>
        <v/>
      </c>
      <c r="AV279" s="224" t="str">
        <f>IFERROR(VLOOKUP($A279,CP!$A$1:$U$7992,18,FALSE),"")</f>
        <v/>
      </c>
      <c r="AW279" s="224" t="str">
        <f>IFERROR(VLOOKUP($A279,CP!$A$1:$U$7992,19,FALSE),"")</f>
        <v/>
      </c>
      <c r="AX279" s="224" t="str">
        <f>IFERROR(VLOOKUP($A279,CP!$A$1:$U$7992,20,FALSE),"")</f>
        <v/>
      </c>
      <c r="AY279" s="224" t="str">
        <f>IFERROR(VLOOKUP($A279,CP!$A$1:$U$1,21,FALSE),"")</f>
        <v/>
      </c>
      <c r="AZ279" s="224" t="str">
        <f>IFERROR(VLOOKUP(A279,Devengado!$A$1:AJ1,35,FALSE),"")</f>
        <v/>
      </c>
      <c r="BA279" s="224" t="str">
        <f t="shared" si="35"/>
        <v/>
      </c>
      <c r="BB279" s="224" t="str">
        <f>IFERROR(AZ279/#REF!,"")</f>
        <v/>
      </c>
      <c r="BC279" s="224" t="str">
        <f>IFERROR(VLOOKUP($A279,Devengado!$A$1:$AI$1,22,FALSE),"")</f>
        <v/>
      </c>
      <c r="BD279" s="224" t="str">
        <f>IFERROR(VLOOKUP($A279,Devengado!$A$1:$AI$1,23,FALSE),"")</f>
        <v/>
      </c>
      <c r="BE279" s="224" t="str">
        <f>IFERROR(VLOOKUP($A279,Devengado!$A$1:$AI$1,24,FALSE),"")</f>
        <v/>
      </c>
      <c r="BF279" s="224" t="str">
        <f>IFERROR(VLOOKUP($A279,Devengado!$A$1:$AI$1,25,FALSE),"")</f>
        <v/>
      </c>
      <c r="BG279" s="224" t="str">
        <f>IFERROR(VLOOKUP($A279,Devengado!$A$1:$AI$1,26,FALSE),"")</f>
        <v/>
      </c>
      <c r="BH279" s="224" t="str">
        <f>IFERROR(VLOOKUP($A279,Devengado!$A$1:$AI$1,27,FALSE),"")</f>
        <v/>
      </c>
      <c r="BI279" s="224" t="str">
        <f>IFERROR(VLOOKUP($A279,Devengado!$A$1:$AI$1,28,FALSE),"")</f>
        <v/>
      </c>
      <c r="BJ279" s="224" t="str">
        <f>IFERROR(VLOOKUP($A279,Devengado!$A$1:$AI$1,29,FALSE),"")</f>
        <v/>
      </c>
      <c r="BK279" s="224" t="str">
        <f>IFERROR(VLOOKUP($A279,Devengado!$A$1:$AI$1,30,FALSE),"")</f>
        <v/>
      </c>
      <c r="BL279" s="224" t="str">
        <f>IFERROR(VLOOKUP($A279,Devengado!$A$1:$AI$1,31,FALSE),"")</f>
        <v/>
      </c>
      <c r="BM279" s="224" t="str">
        <f>IFERROR(VLOOKUP($A279,Devengado!$A$1:$AI$1,32,FALSE),"")</f>
        <v/>
      </c>
      <c r="BN279" s="224" t="str">
        <f>IFERROR(VLOOKUP($A279,Devengado!$A$1:$AI$1,33,FALSE),"")</f>
        <v/>
      </c>
      <c r="BO279" s="224">
        <f t="shared" si="36"/>
        <v>0</v>
      </c>
      <c r="BP279" s="224" t="str">
        <f t="shared" si="37"/>
        <v/>
      </c>
      <c r="BQ279" s="207"/>
      <c r="BR279" s="207" t="str">
        <f t="shared" si="38"/>
        <v>53</v>
      </c>
    </row>
    <row r="280" spans="1:70" s="225" customFormat="1" ht="25.5" customHeight="1">
      <c r="A280" s="207">
        <v>276</v>
      </c>
      <c r="B280" s="112" t="s">
        <v>287</v>
      </c>
      <c r="C280" s="112" t="s">
        <v>77</v>
      </c>
      <c r="D280" s="112" t="s">
        <v>77</v>
      </c>
      <c r="E280" s="112" t="s">
        <v>76</v>
      </c>
      <c r="F280" s="112" t="s">
        <v>77</v>
      </c>
      <c r="G280" s="112" t="s">
        <v>77</v>
      </c>
      <c r="H280" s="112" t="s">
        <v>77</v>
      </c>
      <c r="I280" s="112" t="s">
        <v>77</v>
      </c>
      <c r="J280" s="112" t="s">
        <v>77</v>
      </c>
      <c r="K280" s="112" t="s">
        <v>77</v>
      </c>
      <c r="L280" s="112" t="s">
        <v>85</v>
      </c>
      <c r="M280" s="112" t="s">
        <v>308</v>
      </c>
      <c r="N280" s="114" t="s">
        <v>289</v>
      </c>
      <c r="O280" s="123">
        <v>80</v>
      </c>
      <c r="P280" s="114" t="s">
        <v>81</v>
      </c>
      <c r="Q280" s="114" t="s">
        <v>112</v>
      </c>
      <c r="R280" s="115" t="str">
        <f t="shared" si="32"/>
        <v>53</v>
      </c>
      <c r="S280" s="112">
        <v>530209</v>
      </c>
      <c r="T280" s="122" t="str">
        <f>VLOOKUP(S280,ITEM!$C$1:$D$156,2,FALSE)</f>
        <v>Servicios de Aseo, Lavado de Vestimenta de Trabajo, Fumigación, Desinfección,  Limpieza de Instalaciones, manejo
de desechos contaminados, recuperación y clasificación de materiales reciclables.</v>
      </c>
      <c r="U280" s="112">
        <v>900</v>
      </c>
      <c r="V280" s="114" t="s">
        <v>82</v>
      </c>
      <c r="W280" s="114" t="s">
        <v>84</v>
      </c>
      <c r="X280" s="114" t="s">
        <v>84</v>
      </c>
      <c r="Y280" s="224" t="e">
        <f>'Matriz POA 2024-TRABAJO'!#REF!</f>
        <v>#REF!</v>
      </c>
      <c r="Z280" s="224" t="e">
        <f>'Matriz POA 2024-TRABAJO'!#REF!</f>
        <v>#REF!</v>
      </c>
      <c r="AA280" s="224" t="e">
        <f>'Matriz POA 2024-TRABAJO'!#REF!</f>
        <v>#REF!</v>
      </c>
      <c r="AB280" s="279">
        <v>0</v>
      </c>
      <c r="AC280" s="279">
        <v>0</v>
      </c>
      <c r="AD280" s="279">
        <v>0</v>
      </c>
      <c r="AE280" s="279">
        <v>0</v>
      </c>
      <c r="AF280" s="279">
        <v>0</v>
      </c>
      <c r="AG280" s="279">
        <v>15383.25</v>
      </c>
      <c r="AH280" s="279">
        <v>15383.25</v>
      </c>
      <c r="AI280" s="279">
        <v>15383.25</v>
      </c>
      <c r="AJ280" s="279">
        <v>15383.25</v>
      </c>
      <c r="AK280" s="279">
        <v>15383.25</v>
      </c>
      <c r="AL280" s="279">
        <v>15383.25</v>
      </c>
      <c r="AM280" s="279">
        <v>18303.25</v>
      </c>
      <c r="AN280" s="224" t="e">
        <f>SUM(#REF!)</f>
        <v>#REF!</v>
      </c>
      <c r="AO280" s="224">
        <f t="shared" si="33"/>
        <v>110602.75</v>
      </c>
      <c r="AP280" s="224" t="e">
        <f t="shared" si="39"/>
        <v>#REF!</v>
      </c>
      <c r="AQ280" s="224"/>
      <c r="AR280" s="224"/>
      <c r="AS280" s="224"/>
      <c r="AT280" s="224" t="str">
        <f>IFERROR(VLOOKUP($A280,'Constancias POA'!$A$2:$DH$9993,17,FALSE),"")</f>
        <v/>
      </c>
      <c r="AU280" s="224" t="str">
        <f t="shared" si="34"/>
        <v/>
      </c>
      <c r="AV280" s="224" t="str">
        <f>IFERROR(VLOOKUP($A280,CP!$A$1:$U$7992,18,FALSE),"")</f>
        <v/>
      </c>
      <c r="AW280" s="224" t="str">
        <f>IFERROR(VLOOKUP($A280,CP!$A$1:$U$7992,19,FALSE),"")</f>
        <v/>
      </c>
      <c r="AX280" s="224" t="str">
        <f>IFERROR(VLOOKUP($A280,CP!$A$1:$U$7992,20,FALSE),"")</f>
        <v/>
      </c>
      <c r="AY280" s="224" t="str">
        <f>IFERROR(VLOOKUP($A280,CP!$A$1:$U$1,21,FALSE),"")</f>
        <v/>
      </c>
      <c r="AZ280" s="224" t="str">
        <f>IFERROR(VLOOKUP(A280,Devengado!$A$1:AJ1,35,FALSE),"")</f>
        <v/>
      </c>
      <c r="BA280" s="224" t="str">
        <f t="shared" si="35"/>
        <v/>
      </c>
      <c r="BB280" s="224" t="str">
        <f>IFERROR(AZ280/#REF!,"")</f>
        <v/>
      </c>
      <c r="BC280" s="224" t="str">
        <f>IFERROR(VLOOKUP($A280,Devengado!$A$1:$AI$1,22,FALSE),"")</f>
        <v/>
      </c>
      <c r="BD280" s="224" t="str">
        <f>IFERROR(VLOOKUP($A280,Devengado!$A$1:$AI$1,23,FALSE),"")</f>
        <v/>
      </c>
      <c r="BE280" s="224" t="str">
        <f>IFERROR(VLOOKUP($A280,Devengado!$A$1:$AI$1,24,FALSE),"")</f>
        <v/>
      </c>
      <c r="BF280" s="224" t="str">
        <f>IFERROR(VLOOKUP($A280,Devengado!$A$1:$AI$1,25,FALSE),"")</f>
        <v/>
      </c>
      <c r="BG280" s="224" t="str">
        <f>IFERROR(VLOOKUP($A280,Devengado!$A$1:$AI$1,26,FALSE),"")</f>
        <v/>
      </c>
      <c r="BH280" s="224" t="str">
        <f>IFERROR(VLOOKUP($A280,Devengado!$A$1:$AI$1,27,FALSE),"")</f>
        <v/>
      </c>
      <c r="BI280" s="224" t="str">
        <f>IFERROR(VLOOKUP($A280,Devengado!$A$1:$AI$1,28,FALSE),"")</f>
        <v/>
      </c>
      <c r="BJ280" s="224" t="str">
        <f>IFERROR(VLOOKUP($A280,Devengado!$A$1:$AI$1,29,FALSE),"")</f>
        <v/>
      </c>
      <c r="BK280" s="224" t="str">
        <f>IFERROR(VLOOKUP($A280,Devengado!$A$1:$AI$1,30,FALSE),"")</f>
        <v/>
      </c>
      <c r="BL280" s="224" t="str">
        <f>IFERROR(VLOOKUP($A280,Devengado!$A$1:$AI$1,31,FALSE),"")</f>
        <v/>
      </c>
      <c r="BM280" s="224" t="str">
        <f>IFERROR(VLOOKUP($A280,Devengado!$A$1:$AI$1,32,FALSE),"")</f>
        <v/>
      </c>
      <c r="BN280" s="224" t="str">
        <f>IFERROR(VLOOKUP($A280,Devengado!$A$1:$AI$1,33,FALSE),"")</f>
        <v/>
      </c>
      <c r="BO280" s="224">
        <f t="shared" si="36"/>
        <v>0</v>
      </c>
      <c r="BP280" s="224" t="str">
        <f t="shared" si="37"/>
        <v/>
      </c>
      <c r="BQ280" s="207"/>
      <c r="BR280" s="207" t="str">
        <f t="shared" si="38"/>
        <v>53</v>
      </c>
    </row>
    <row r="281" spans="1:70" s="225" customFormat="1" ht="25.5" customHeight="1">
      <c r="A281" s="207">
        <v>277</v>
      </c>
      <c r="B281" s="112" t="s">
        <v>287</v>
      </c>
      <c r="C281" s="112" t="s">
        <v>77</v>
      </c>
      <c r="D281" s="112" t="s">
        <v>77</v>
      </c>
      <c r="E281" s="112" t="s">
        <v>76</v>
      </c>
      <c r="F281" s="112" t="s">
        <v>77</v>
      </c>
      <c r="G281" s="112" t="s">
        <v>77</v>
      </c>
      <c r="H281" s="112" t="s">
        <v>77</v>
      </c>
      <c r="I281" s="112" t="s">
        <v>77</v>
      </c>
      <c r="J281" s="112" t="s">
        <v>77</v>
      </c>
      <c r="K281" s="112" t="s">
        <v>77</v>
      </c>
      <c r="L281" s="112" t="s">
        <v>85</v>
      </c>
      <c r="M281" s="112" t="s">
        <v>309</v>
      </c>
      <c r="N281" s="114" t="s">
        <v>289</v>
      </c>
      <c r="O281" s="123">
        <v>80</v>
      </c>
      <c r="P281" s="114" t="s">
        <v>81</v>
      </c>
      <c r="Q281" s="114" t="s">
        <v>112</v>
      </c>
      <c r="R281" s="115" t="str">
        <f t="shared" si="32"/>
        <v>57</v>
      </c>
      <c r="S281" s="112">
        <v>570102</v>
      </c>
      <c r="T281" s="122" t="e">
        <f>VLOOKUP(S281,ITEM!$C$1:$D$156,2,FALSE)</f>
        <v>#N/A</v>
      </c>
      <c r="U281" s="112">
        <v>900</v>
      </c>
      <c r="V281" s="114" t="s">
        <v>82</v>
      </c>
      <c r="W281" s="114" t="s">
        <v>84</v>
      </c>
      <c r="X281" s="114" t="s">
        <v>84</v>
      </c>
      <c r="Y281" s="224" t="e">
        <f>'Matriz POA 2024-TRABAJO'!#REF!</f>
        <v>#REF!</v>
      </c>
      <c r="Z281" s="224" t="e">
        <f>'Matriz POA 2024-TRABAJO'!#REF!</f>
        <v>#REF!</v>
      </c>
      <c r="AA281" s="224" t="e">
        <f>'Matriz POA 2024-TRABAJO'!#REF!</f>
        <v>#REF!</v>
      </c>
      <c r="AB281" s="279">
        <v>0</v>
      </c>
      <c r="AC281" s="279">
        <v>262.2</v>
      </c>
      <c r="AD281" s="279">
        <v>0</v>
      </c>
      <c r="AE281" s="279">
        <v>0</v>
      </c>
      <c r="AF281" s="279">
        <v>0</v>
      </c>
      <c r="AG281" s="279">
        <v>0</v>
      </c>
      <c r="AH281" s="279">
        <v>0</v>
      </c>
      <c r="AI281" s="279">
        <v>0</v>
      </c>
      <c r="AJ281" s="279">
        <v>0</v>
      </c>
      <c r="AK281" s="279">
        <v>0</v>
      </c>
      <c r="AL281" s="279">
        <v>0</v>
      </c>
      <c r="AM281" s="279">
        <v>280.33999999999997</v>
      </c>
      <c r="AN281" s="224" t="e">
        <f>SUM(#REF!)</f>
        <v>#REF!</v>
      </c>
      <c r="AO281" s="224">
        <f t="shared" si="33"/>
        <v>542.54</v>
      </c>
      <c r="AP281" s="224" t="e">
        <f t="shared" si="39"/>
        <v>#REF!</v>
      </c>
      <c r="AQ281" s="224"/>
      <c r="AR281" s="224"/>
      <c r="AS281" s="224"/>
      <c r="AT281" s="224" t="str">
        <f>IFERROR(VLOOKUP($A281,'Constancias POA'!$A$2:$DH$9993,17,FALSE),"")</f>
        <v/>
      </c>
      <c r="AU281" s="224" t="str">
        <f t="shared" si="34"/>
        <v/>
      </c>
      <c r="AV281" s="224" t="str">
        <f>IFERROR(VLOOKUP($A281,CP!$A$1:$U$7992,18,FALSE),"")</f>
        <v/>
      </c>
      <c r="AW281" s="224" t="str">
        <f>IFERROR(VLOOKUP($A281,CP!$A$1:$U$7992,19,FALSE),"")</f>
        <v/>
      </c>
      <c r="AX281" s="224" t="str">
        <f>IFERROR(VLOOKUP($A281,CP!$A$1:$U$7992,20,FALSE),"")</f>
        <v/>
      </c>
      <c r="AY281" s="224" t="str">
        <f>IFERROR(VLOOKUP($A281,CP!$A$1:$U$1,21,FALSE),"")</f>
        <v/>
      </c>
      <c r="AZ281" s="224" t="str">
        <f>IFERROR(VLOOKUP(A281,Devengado!$A$1:AJ1,35,FALSE),"")</f>
        <v/>
      </c>
      <c r="BA281" s="224" t="str">
        <f t="shared" si="35"/>
        <v/>
      </c>
      <c r="BB281" s="224" t="str">
        <f>IFERROR(AZ281/#REF!,"")</f>
        <v/>
      </c>
      <c r="BC281" s="224" t="str">
        <f>IFERROR(VLOOKUP($A281,Devengado!$A$1:$AI$1,22,FALSE),"")</f>
        <v/>
      </c>
      <c r="BD281" s="224" t="str">
        <f>IFERROR(VLOOKUP($A281,Devengado!$A$1:$AI$1,23,FALSE),"")</f>
        <v/>
      </c>
      <c r="BE281" s="224" t="str">
        <f>IFERROR(VLOOKUP($A281,Devengado!$A$1:$AI$1,24,FALSE),"")</f>
        <v/>
      </c>
      <c r="BF281" s="224" t="str">
        <f>IFERROR(VLOOKUP($A281,Devengado!$A$1:$AI$1,25,FALSE),"")</f>
        <v/>
      </c>
      <c r="BG281" s="224" t="str">
        <f>IFERROR(VLOOKUP($A281,Devengado!$A$1:$AI$1,26,FALSE),"")</f>
        <v/>
      </c>
      <c r="BH281" s="224" t="str">
        <f>IFERROR(VLOOKUP($A281,Devengado!$A$1:$AI$1,27,FALSE),"")</f>
        <v/>
      </c>
      <c r="BI281" s="224" t="str">
        <f>IFERROR(VLOOKUP($A281,Devengado!$A$1:$AI$1,28,FALSE),"")</f>
        <v/>
      </c>
      <c r="BJ281" s="224" t="str">
        <f>IFERROR(VLOOKUP($A281,Devengado!$A$1:$AI$1,29,FALSE),"")</f>
        <v/>
      </c>
      <c r="BK281" s="224" t="str">
        <f>IFERROR(VLOOKUP($A281,Devengado!$A$1:$AI$1,30,FALSE),"")</f>
        <v/>
      </c>
      <c r="BL281" s="224" t="str">
        <f>IFERROR(VLOOKUP($A281,Devengado!$A$1:$AI$1,31,FALSE),"")</f>
        <v/>
      </c>
      <c r="BM281" s="224" t="str">
        <f>IFERROR(VLOOKUP($A281,Devengado!$A$1:$AI$1,32,FALSE),"")</f>
        <v/>
      </c>
      <c r="BN281" s="224" t="str">
        <f>IFERROR(VLOOKUP($A281,Devengado!$A$1:$AI$1,33,FALSE),"")</f>
        <v/>
      </c>
      <c r="BO281" s="224">
        <f t="shared" si="36"/>
        <v>0</v>
      </c>
      <c r="BP281" s="224" t="str">
        <f t="shared" si="37"/>
        <v/>
      </c>
      <c r="BQ281" s="207"/>
      <c r="BR281" s="207" t="str">
        <f t="shared" si="38"/>
        <v>57</v>
      </c>
    </row>
    <row r="282" spans="1:70" s="225" customFormat="1" ht="25.5" customHeight="1">
      <c r="A282" s="207">
        <v>278</v>
      </c>
      <c r="B282" s="112" t="s">
        <v>287</v>
      </c>
      <c r="C282" s="112" t="s">
        <v>77</v>
      </c>
      <c r="D282" s="112" t="s">
        <v>77</v>
      </c>
      <c r="E282" s="112" t="s">
        <v>76</v>
      </c>
      <c r="F282" s="112" t="s">
        <v>77</v>
      </c>
      <c r="G282" s="112" t="s">
        <v>77</v>
      </c>
      <c r="H282" s="112" t="s">
        <v>77</v>
      </c>
      <c r="I282" s="112" t="s">
        <v>77</v>
      </c>
      <c r="J282" s="112" t="s">
        <v>77</v>
      </c>
      <c r="K282" s="112" t="s">
        <v>77</v>
      </c>
      <c r="L282" s="112" t="s">
        <v>85</v>
      </c>
      <c r="M282" s="112" t="s">
        <v>310</v>
      </c>
      <c r="N282" s="114" t="s">
        <v>289</v>
      </c>
      <c r="O282" s="123">
        <v>80</v>
      </c>
      <c r="P282" s="114" t="s">
        <v>81</v>
      </c>
      <c r="Q282" s="114" t="s">
        <v>112</v>
      </c>
      <c r="R282" s="115" t="str">
        <f t="shared" si="32"/>
        <v>53</v>
      </c>
      <c r="S282" s="112">
        <v>530209</v>
      </c>
      <c r="T282" s="122" t="str">
        <f>VLOOKUP(S282,ITEM!$C$1:$D$156,2,FALSE)</f>
        <v>Servicios de Aseo, Lavado de Vestimenta de Trabajo, Fumigación, Desinfección,  Limpieza de Instalaciones, manejo
de desechos contaminados, recuperación y clasificación de materiales reciclables.</v>
      </c>
      <c r="U282" s="112">
        <v>900</v>
      </c>
      <c r="V282" s="114" t="s">
        <v>82</v>
      </c>
      <c r="W282" s="114" t="s">
        <v>84</v>
      </c>
      <c r="X282" s="114" t="s">
        <v>84</v>
      </c>
      <c r="Y282" s="224" t="e">
        <f>'Matriz POA 2024-TRABAJO'!#REF!</f>
        <v>#REF!</v>
      </c>
      <c r="Z282" s="224" t="e">
        <f>'Matriz POA 2024-TRABAJO'!#REF!</f>
        <v>#REF!</v>
      </c>
      <c r="AA282" s="224" t="e">
        <f>'Matriz POA 2024-TRABAJO'!#REF!</f>
        <v>#REF!</v>
      </c>
      <c r="AB282" s="279">
        <v>0</v>
      </c>
      <c r="AC282" s="279">
        <v>0</v>
      </c>
      <c r="AD282" s="279">
        <v>0</v>
      </c>
      <c r="AE282" s="279">
        <v>1800</v>
      </c>
      <c r="AF282" s="279">
        <v>0</v>
      </c>
      <c r="AG282" s="279">
        <v>0</v>
      </c>
      <c r="AH282" s="279">
        <v>0</v>
      </c>
      <c r="AI282" s="279">
        <v>0</v>
      </c>
      <c r="AJ282" s="279">
        <v>0</v>
      </c>
      <c r="AK282" s="279">
        <v>0</v>
      </c>
      <c r="AL282" s="279">
        <v>0</v>
      </c>
      <c r="AM282" s="279">
        <v>0</v>
      </c>
      <c r="AN282" s="224" t="e">
        <f>SUM(#REF!)</f>
        <v>#REF!</v>
      </c>
      <c r="AO282" s="224">
        <f t="shared" si="33"/>
        <v>1800</v>
      </c>
      <c r="AP282" s="224" t="e">
        <f t="shared" si="39"/>
        <v>#REF!</v>
      </c>
      <c r="AQ282" s="224"/>
      <c r="AR282" s="224"/>
      <c r="AS282" s="224"/>
      <c r="AT282" s="224" t="str">
        <f>IFERROR(VLOOKUP($A282,'Constancias POA'!$A$2:$DH$9993,17,FALSE),"")</f>
        <v/>
      </c>
      <c r="AU282" s="224" t="str">
        <f t="shared" si="34"/>
        <v/>
      </c>
      <c r="AV282" s="224" t="str">
        <f>IFERROR(VLOOKUP($A282,CP!$A$1:$U$7992,18,FALSE),"")</f>
        <v/>
      </c>
      <c r="AW282" s="224" t="str">
        <f>IFERROR(VLOOKUP($A282,CP!$A$1:$U$7992,19,FALSE),"")</f>
        <v/>
      </c>
      <c r="AX282" s="224" t="str">
        <f>IFERROR(VLOOKUP($A282,CP!$A$1:$U$7992,20,FALSE),"")</f>
        <v/>
      </c>
      <c r="AY282" s="224" t="str">
        <f>IFERROR(VLOOKUP($A282,CP!$A$1:$U$1,21,FALSE),"")</f>
        <v/>
      </c>
      <c r="AZ282" s="224" t="str">
        <f>IFERROR(VLOOKUP(A282,Devengado!$A$1:AJ1,35,FALSE),"")</f>
        <v/>
      </c>
      <c r="BA282" s="224" t="str">
        <f t="shared" si="35"/>
        <v/>
      </c>
      <c r="BB282" s="224" t="str">
        <f>IFERROR(AZ282/#REF!,"")</f>
        <v/>
      </c>
      <c r="BC282" s="224" t="str">
        <f>IFERROR(VLOOKUP($A282,Devengado!$A$1:$AI$1,22,FALSE),"")</f>
        <v/>
      </c>
      <c r="BD282" s="224" t="str">
        <f>IFERROR(VLOOKUP($A282,Devengado!$A$1:$AI$1,23,FALSE),"")</f>
        <v/>
      </c>
      <c r="BE282" s="224" t="str">
        <f>IFERROR(VLOOKUP($A282,Devengado!$A$1:$AI$1,24,FALSE),"")</f>
        <v/>
      </c>
      <c r="BF282" s="224" t="str">
        <f>IFERROR(VLOOKUP($A282,Devengado!$A$1:$AI$1,25,FALSE),"")</f>
        <v/>
      </c>
      <c r="BG282" s="224" t="str">
        <f>IFERROR(VLOOKUP($A282,Devengado!$A$1:$AI$1,26,FALSE),"")</f>
        <v/>
      </c>
      <c r="BH282" s="224" t="str">
        <f>IFERROR(VLOOKUP($A282,Devengado!$A$1:$AI$1,27,FALSE),"")</f>
        <v/>
      </c>
      <c r="BI282" s="224" t="str">
        <f>IFERROR(VLOOKUP($A282,Devengado!$A$1:$AI$1,28,FALSE),"")</f>
        <v/>
      </c>
      <c r="BJ282" s="224" t="str">
        <f>IFERROR(VLOOKUP($A282,Devengado!$A$1:$AI$1,29,FALSE),"")</f>
        <v/>
      </c>
      <c r="BK282" s="224" t="str">
        <f>IFERROR(VLOOKUP($A282,Devengado!$A$1:$AI$1,30,FALSE),"")</f>
        <v/>
      </c>
      <c r="BL282" s="224" t="str">
        <f>IFERROR(VLOOKUP($A282,Devengado!$A$1:$AI$1,31,FALSE),"")</f>
        <v/>
      </c>
      <c r="BM282" s="224" t="str">
        <f>IFERROR(VLOOKUP($A282,Devengado!$A$1:$AI$1,32,FALSE),"")</f>
        <v/>
      </c>
      <c r="BN282" s="224" t="str">
        <f>IFERROR(VLOOKUP($A282,Devengado!$A$1:$AI$1,33,FALSE),"")</f>
        <v/>
      </c>
      <c r="BO282" s="224">
        <f t="shared" si="36"/>
        <v>0</v>
      </c>
      <c r="BP282" s="224" t="str">
        <f t="shared" si="37"/>
        <v/>
      </c>
      <c r="BQ282" s="207"/>
      <c r="BR282" s="207" t="str">
        <f t="shared" si="38"/>
        <v>53</v>
      </c>
    </row>
    <row r="283" spans="1:70" s="225" customFormat="1" ht="25.5" customHeight="1">
      <c r="A283" s="207">
        <v>279</v>
      </c>
      <c r="B283" s="112" t="s">
        <v>287</v>
      </c>
      <c r="C283" s="112" t="s">
        <v>77</v>
      </c>
      <c r="D283" s="112" t="s">
        <v>77</v>
      </c>
      <c r="E283" s="112" t="s">
        <v>76</v>
      </c>
      <c r="F283" s="112" t="s">
        <v>77</v>
      </c>
      <c r="G283" s="112" t="s">
        <v>77</v>
      </c>
      <c r="H283" s="112" t="s">
        <v>77</v>
      </c>
      <c r="I283" s="112" t="s">
        <v>77</v>
      </c>
      <c r="J283" s="112" t="s">
        <v>77</v>
      </c>
      <c r="K283" s="112" t="s">
        <v>77</v>
      </c>
      <c r="L283" s="112" t="s">
        <v>85</v>
      </c>
      <c r="M283" s="112" t="s">
        <v>311</v>
      </c>
      <c r="N283" s="114" t="s">
        <v>289</v>
      </c>
      <c r="O283" s="123">
        <v>80</v>
      </c>
      <c r="P283" s="114" t="s">
        <v>81</v>
      </c>
      <c r="Q283" s="114" t="s">
        <v>112</v>
      </c>
      <c r="R283" s="115" t="str">
        <f t="shared" si="32"/>
        <v>53</v>
      </c>
      <c r="S283" s="112">
        <v>530402</v>
      </c>
      <c r="T283" s="122" t="str">
        <f>VLOOKUP(S283,ITEM!$C$1:$D$156,2,FALSE)</f>
        <v>Edificios, Locales, Residencias y Cableado Estructurado (Instalación, Mantenimiento y Reparación)</v>
      </c>
      <c r="U283" s="112">
        <v>900</v>
      </c>
      <c r="V283" s="114" t="s">
        <v>82</v>
      </c>
      <c r="W283" s="114" t="s">
        <v>84</v>
      </c>
      <c r="X283" s="114" t="s">
        <v>84</v>
      </c>
      <c r="Y283" s="224" t="e">
        <f>'Matriz POA 2024-TRABAJO'!#REF!</f>
        <v>#REF!</v>
      </c>
      <c r="Z283" s="224" t="e">
        <f>'Matriz POA 2024-TRABAJO'!#REF!</f>
        <v>#REF!</v>
      </c>
      <c r="AA283" s="224" t="e">
        <f>'Matriz POA 2024-TRABAJO'!#REF!</f>
        <v>#REF!</v>
      </c>
      <c r="AB283" s="279">
        <v>0</v>
      </c>
      <c r="AC283" s="279">
        <v>0</v>
      </c>
      <c r="AD283" s="279">
        <v>4000</v>
      </c>
      <c r="AE283" s="279">
        <v>0</v>
      </c>
      <c r="AF283" s="279">
        <v>0</v>
      </c>
      <c r="AG283" s="279">
        <v>0</v>
      </c>
      <c r="AH283" s="279">
        <v>0</v>
      </c>
      <c r="AI283" s="279">
        <v>0</v>
      </c>
      <c r="AJ283" s="279">
        <v>0</v>
      </c>
      <c r="AK283" s="279">
        <v>0</v>
      </c>
      <c r="AL283" s="279">
        <v>0</v>
      </c>
      <c r="AM283" s="279">
        <v>0</v>
      </c>
      <c r="AN283" s="224" t="e">
        <f>SUM(#REF!)</f>
        <v>#REF!</v>
      </c>
      <c r="AO283" s="224">
        <f t="shared" si="33"/>
        <v>4000</v>
      </c>
      <c r="AP283" s="224" t="e">
        <f t="shared" si="39"/>
        <v>#REF!</v>
      </c>
      <c r="AQ283" s="224"/>
      <c r="AR283" s="224"/>
      <c r="AS283" s="224"/>
      <c r="AT283" s="224" t="str">
        <f>IFERROR(VLOOKUP($A283,'Constancias POA'!$A$2:$DH$9993,17,FALSE),"")</f>
        <v/>
      </c>
      <c r="AU283" s="224" t="str">
        <f t="shared" si="34"/>
        <v/>
      </c>
      <c r="AV283" s="224" t="str">
        <f>IFERROR(VLOOKUP($A283,CP!$A$1:$U$7992,18,FALSE),"")</f>
        <v/>
      </c>
      <c r="AW283" s="224" t="str">
        <f>IFERROR(VLOOKUP($A283,CP!$A$1:$U$7992,19,FALSE),"")</f>
        <v/>
      </c>
      <c r="AX283" s="224" t="str">
        <f>IFERROR(VLOOKUP($A283,CP!$A$1:$U$7992,20,FALSE),"")</f>
        <v/>
      </c>
      <c r="AY283" s="224" t="str">
        <f>IFERROR(VLOOKUP($A283,CP!$A$1:$U$1,21,FALSE),"")</f>
        <v/>
      </c>
      <c r="AZ283" s="224" t="str">
        <f>IFERROR(VLOOKUP(A283,Devengado!$A$1:AJ1,35,FALSE),"")</f>
        <v/>
      </c>
      <c r="BA283" s="224" t="str">
        <f t="shared" si="35"/>
        <v/>
      </c>
      <c r="BB283" s="224" t="str">
        <f>IFERROR(AZ283/#REF!,"")</f>
        <v/>
      </c>
      <c r="BC283" s="224" t="str">
        <f>IFERROR(VLOOKUP($A283,Devengado!$A$1:$AI$1,22,FALSE),"")</f>
        <v/>
      </c>
      <c r="BD283" s="224" t="str">
        <f>IFERROR(VLOOKUP($A283,Devengado!$A$1:$AI$1,23,FALSE),"")</f>
        <v/>
      </c>
      <c r="BE283" s="224" t="str">
        <f>IFERROR(VLOOKUP($A283,Devengado!$A$1:$AI$1,24,FALSE),"")</f>
        <v/>
      </c>
      <c r="BF283" s="224" t="str">
        <f>IFERROR(VLOOKUP($A283,Devengado!$A$1:$AI$1,25,FALSE),"")</f>
        <v/>
      </c>
      <c r="BG283" s="224" t="str">
        <f>IFERROR(VLOOKUP($A283,Devengado!$A$1:$AI$1,26,FALSE),"")</f>
        <v/>
      </c>
      <c r="BH283" s="224" t="str">
        <f>IFERROR(VLOOKUP($A283,Devengado!$A$1:$AI$1,27,FALSE),"")</f>
        <v/>
      </c>
      <c r="BI283" s="224" t="str">
        <f>IFERROR(VLOOKUP($A283,Devengado!$A$1:$AI$1,28,FALSE),"")</f>
        <v/>
      </c>
      <c r="BJ283" s="224" t="str">
        <f>IFERROR(VLOOKUP($A283,Devengado!$A$1:$AI$1,29,FALSE),"")</f>
        <v/>
      </c>
      <c r="BK283" s="224" t="str">
        <f>IFERROR(VLOOKUP($A283,Devengado!$A$1:$AI$1,30,FALSE),"")</f>
        <v/>
      </c>
      <c r="BL283" s="224" t="str">
        <f>IFERROR(VLOOKUP($A283,Devengado!$A$1:$AI$1,31,FALSE),"")</f>
        <v/>
      </c>
      <c r="BM283" s="224" t="str">
        <f>IFERROR(VLOOKUP($A283,Devengado!$A$1:$AI$1,32,FALSE),"")</f>
        <v/>
      </c>
      <c r="BN283" s="224" t="str">
        <f>IFERROR(VLOOKUP($A283,Devengado!$A$1:$AI$1,33,FALSE),"")</f>
        <v/>
      </c>
      <c r="BO283" s="224">
        <f t="shared" si="36"/>
        <v>0</v>
      </c>
      <c r="BP283" s="224" t="str">
        <f t="shared" si="37"/>
        <v/>
      </c>
      <c r="BQ283" s="207"/>
      <c r="BR283" s="207" t="str">
        <f t="shared" si="38"/>
        <v>53</v>
      </c>
    </row>
    <row r="284" spans="1:70" s="225" customFormat="1" ht="25.5" customHeight="1">
      <c r="A284" s="207">
        <v>280</v>
      </c>
      <c r="B284" s="112" t="s">
        <v>287</v>
      </c>
      <c r="C284" s="112" t="s">
        <v>77</v>
      </c>
      <c r="D284" s="112" t="s">
        <v>77</v>
      </c>
      <c r="E284" s="112" t="s">
        <v>76</v>
      </c>
      <c r="F284" s="112" t="s">
        <v>77</v>
      </c>
      <c r="G284" s="112" t="s">
        <v>77</v>
      </c>
      <c r="H284" s="112" t="s">
        <v>77</v>
      </c>
      <c r="I284" s="112" t="s">
        <v>77</v>
      </c>
      <c r="J284" s="112" t="s">
        <v>77</v>
      </c>
      <c r="K284" s="112" t="s">
        <v>77</v>
      </c>
      <c r="L284" s="112" t="s">
        <v>85</v>
      </c>
      <c r="M284" s="112" t="s">
        <v>312</v>
      </c>
      <c r="N284" s="114" t="s">
        <v>289</v>
      </c>
      <c r="O284" s="123">
        <v>80</v>
      </c>
      <c r="P284" s="114" t="s">
        <v>81</v>
      </c>
      <c r="Q284" s="114" t="s">
        <v>112</v>
      </c>
      <c r="R284" s="115" t="str">
        <f t="shared" si="32"/>
        <v>53</v>
      </c>
      <c r="S284" s="112">
        <v>530402</v>
      </c>
      <c r="T284" s="122" t="str">
        <f>VLOOKUP(S284,ITEM!$C$1:$D$156,2,FALSE)</f>
        <v>Edificios, Locales, Residencias y Cableado Estructurado (Instalación, Mantenimiento y Reparación)</v>
      </c>
      <c r="U284" s="112">
        <v>900</v>
      </c>
      <c r="V284" s="114" t="s">
        <v>82</v>
      </c>
      <c r="W284" s="114" t="s">
        <v>84</v>
      </c>
      <c r="X284" s="114" t="s">
        <v>84</v>
      </c>
      <c r="Y284" s="224" t="e">
        <f>'Matriz POA 2024-TRABAJO'!#REF!</f>
        <v>#REF!</v>
      </c>
      <c r="Z284" s="224" t="e">
        <f>'Matriz POA 2024-TRABAJO'!#REF!</f>
        <v>#REF!</v>
      </c>
      <c r="AA284" s="224" t="e">
        <f>'Matriz POA 2024-TRABAJO'!#REF!</f>
        <v>#REF!</v>
      </c>
      <c r="AB284" s="279">
        <v>0</v>
      </c>
      <c r="AC284" s="279">
        <v>0</v>
      </c>
      <c r="AD284" s="279">
        <v>0</v>
      </c>
      <c r="AE284" s="279">
        <v>4000</v>
      </c>
      <c r="AF284" s="279">
        <v>0</v>
      </c>
      <c r="AG284" s="279">
        <v>0</v>
      </c>
      <c r="AH284" s="279">
        <v>0</v>
      </c>
      <c r="AI284" s="279">
        <v>0</v>
      </c>
      <c r="AJ284" s="279">
        <v>0</v>
      </c>
      <c r="AK284" s="279">
        <v>0</v>
      </c>
      <c r="AL284" s="279">
        <v>0</v>
      </c>
      <c r="AM284" s="279">
        <v>0</v>
      </c>
      <c r="AN284" s="224" t="e">
        <f>SUM(#REF!)</f>
        <v>#REF!</v>
      </c>
      <c r="AO284" s="224">
        <f t="shared" si="33"/>
        <v>4000</v>
      </c>
      <c r="AP284" s="224" t="e">
        <f t="shared" si="39"/>
        <v>#REF!</v>
      </c>
      <c r="AQ284" s="224"/>
      <c r="AR284" s="224"/>
      <c r="AS284" s="224"/>
      <c r="AT284" s="224" t="str">
        <f>IFERROR(VLOOKUP($A284,'Constancias POA'!$A$2:$DH$9993,17,FALSE),"")</f>
        <v/>
      </c>
      <c r="AU284" s="224" t="str">
        <f t="shared" si="34"/>
        <v/>
      </c>
      <c r="AV284" s="224" t="str">
        <f>IFERROR(VLOOKUP($A284,CP!$A$1:$U$7992,18,FALSE),"")</f>
        <v/>
      </c>
      <c r="AW284" s="224" t="str">
        <f>IFERROR(VLOOKUP($A284,CP!$A$1:$U$7992,19,FALSE),"")</f>
        <v/>
      </c>
      <c r="AX284" s="224" t="str">
        <f>IFERROR(VLOOKUP($A284,CP!$A$1:$U$7992,20,FALSE),"")</f>
        <v/>
      </c>
      <c r="AY284" s="224" t="str">
        <f>IFERROR(VLOOKUP($A284,CP!$A$1:$U$1,21,FALSE),"")</f>
        <v/>
      </c>
      <c r="AZ284" s="224" t="str">
        <f>IFERROR(VLOOKUP(A284,Devengado!$A$1:AJ1,35,FALSE),"")</f>
        <v/>
      </c>
      <c r="BA284" s="224" t="str">
        <f t="shared" si="35"/>
        <v/>
      </c>
      <c r="BB284" s="224" t="str">
        <f>IFERROR(AZ284/#REF!,"")</f>
        <v/>
      </c>
      <c r="BC284" s="224" t="str">
        <f>IFERROR(VLOOKUP($A284,Devengado!$A$1:$AI$1,22,FALSE),"")</f>
        <v/>
      </c>
      <c r="BD284" s="224" t="str">
        <f>IFERROR(VLOOKUP($A284,Devengado!$A$1:$AI$1,23,FALSE),"")</f>
        <v/>
      </c>
      <c r="BE284" s="224" t="str">
        <f>IFERROR(VLOOKUP($A284,Devengado!$A$1:$AI$1,24,FALSE),"")</f>
        <v/>
      </c>
      <c r="BF284" s="224" t="str">
        <f>IFERROR(VLOOKUP($A284,Devengado!$A$1:$AI$1,25,FALSE),"")</f>
        <v/>
      </c>
      <c r="BG284" s="224" t="str">
        <f>IFERROR(VLOOKUP($A284,Devengado!$A$1:$AI$1,26,FALSE),"")</f>
        <v/>
      </c>
      <c r="BH284" s="224" t="str">
        <f>IFERROR(VLOOKUP($A284,Devengado!$A$1:$AI$1,27,FALSE),"")</f>
        <v/>
      </c>
      <c r="BI284" s="224" t="str">
        <f>IFERROR(VLOOKUP($A284,Devengado!$A$1:$AI$1,28,FALSE),"")</f>
        <v/>
      </c>
      <c r="BJ284" s="224" t="str">
        <f>IFERROR(VLOOKUP($A284,Devengado!$A$1:$AI$1,29,FALSE),"")</f>
        <v/>
      </c>
      <c r="BK284" s="224" t="str">
        <f>IFERROR(VLOOKUP($A284,Devengado!$A$1:$AI$1,30,FALSE),"")</f>
        <v/>
      </c>
      <c r="BL284" s="224" t="str">
        <f>IFERROR(VLOOKUP($A284,Devengado!$A$1:$AI$1,31,FALSE),"")</f>
        <v/>
      </c>
      <c r="BM284" s="224" t="str">
        <f>IFERROR(VLOOKUP($A284,Devengado!$A$1:$AI$1,32,FALSE),"")</f>
        <v/>
      </c>
      <c r="BN284" s="224" t="str">
        <f>IFERROR(VLOOKUP($A284,Devengado!$A$1:$AI$1,33,FALSE),"")</f>
        <v/>
      </c>
      <c r="BO284" s="224">
        <f t="shared" si="36"/>
        <v>0</v>
      </c>
      <c r="BP284" s="224" t="str">
        <f t="shared" si="37"/>
        <v/>
      </c>
      <c r="BQ284" s="207"/>
      <c r="BR284" s="207" t="str">
        <f t="shared" si="38"/>
        <v>53</v>
      </c>
    </row>
    <row r="285" spans="1:70" s="225" customFormat="1" ht="25.5" customHeight="1">
      <c r="A285" s="207">
        <v>281</v>
      </c>
      <c r="B285" s="112" t="s">
        <v>287</v>
      </c>
      <c r="C285" s="112" t="s">
        <v>77</v>
      </c>
      <c r="D285" s="112" t="s">
        <v>77</v>
      </c>
      <c r="E285" s="112" t="s">
        <v>76</v>
      </c>
      <c r="F285" s="112" t="s">
        <v>77</v>
      </c>
      <c r="G285" s="112" t="s">
        <v>77</v>
      </c>
      <c r="H285" s="112" t="s">
        <v>77</v>
      </c>
      <c r="I285" s="112" t="s">
        <v>77</v>
      </c>
      <c r="J285" s="112" t="s">
        <v>77</v>
      </c>
      <c r="K285" s="112" t="s">
        <v>77</v>
      </c>
      <c r="L285" s="112" t="s">
        <v>85</v>
      </c>
      <c r="M285" s="112" t="s">
        <v>313</v>
      </c>
      <c r="N285" s="114" t="s">
        <v>289</v>
      </c>
      <c r="O285" s="123">
        <v>80</v>
      </c>
      <c r="P285" s="114" t="s">
        <v>81</v>
      </c>
      <c r="Q285" s="114" t="s">
        <v>112</v>
      </c>
      <c r="R285" s="115" t="str">
        <f t="shared" si="32"/>
        <v>57</v>
      </c>
      <c r="S285" s="112">
        <v>570102</v>
      </c>
      <c r="T285" s="122" t="e">
        <f>VLOOKUP(S285,ITEM!$C$1:$D$156,2,FALSE)</f>
        <v>#N/A</v>
      </c>
      <c r="U285" s="112">
        <v>900</v>
      </c>
      <c r="V285" s="114" t="s">
        <v>82</v>
      </c>
      <c r="W285" s="114" t="s">
        <v>84</v>
      </c>
      <c r="X285" s="114" t="s">
        <v>84</v>
      </c>
      <c r="Y285" s="224" t="e">
        <f>'Matriz POA 2024-TRABAJO'!#REF!</f>
        <v>#REF!</v>
      </c>
      <c r="Z285" s="224" t="e">
        <f>'Matriz POA 2024-TRABAJO'!#REF!</f>
        <v>#REF!</v>
      </c>
      <c r="AA285" s="224" t="e">
        <f>'Matriz POA 2024-TRABAJO'!#REF!</f>
        <v>#REF!</v>
      </c>
      <c r="AB285" s="279">
        <v>0</v>
      </c>
      <c r="AC285" s="279">
        <v>262.2</v>
      </c>
      <c r="AD285" s="279">
        <v>0</v>
      </c>
      <c r="AE285" s="279">
        <v>0</v>
      </c>
      <c r="AF285" s="279">
        <v>0</v>
      </c>
      <c r="AG285" s="279">
        <v>0</v>
      </c>
      <c r="AH285" s="279">
        <v>0</v>
      </c>
      <c r="AI285" s="279">
        <v>0</v>
      </c>
      <c r="AJ285" s="279">
        <v>0</v>
      </c>
      <c r="AK285" s="279">
        <v>0</v>
      </c>
      <c r="AL285" s="279">
        <v>0</v>
      </c>
      <c r="AM285" s="279">
        <v>0</v>
      </c>
      <c r="AN285" s="224" t="e">
        <f>SUM(#REF!)</f>
        <v>#REF!</v>
      </c>
      <c r="AO285" s="224">
        <f t="shared" si="33"/>
        <v>262.2</v>
      </c>
      <c r="AP285" s="224" t="e">
        <f t="shared" si="39"/>
        <v>#REF!</v>
      </c>
      <c r="AQ285" s="224"/>
      <c r="AR285" s="224"/>
      <c r="AS285" s="224"/>
      <c r="AT285" s="224" t="str">
        <f>IFERROR(VLOOKUP($A285,'Constancias POA'!$A$2:$DH$9993,17,FALSE),"")</f>
        <v/>
      </c>
      <c r="AU285" s="224" t="str">
        <f t="shared" si="34"/>
        <v/>
      </c>
      <c r="AV285" s="224" t="str">
        <f>IFERROR(VLOOKUP($A285,CP!$A$1:$U$7992,18,FALSE),"")</f>
        <v/>
      </c>
      <c r="AW285" s="224" t="str">
        <f>IFERROR(VLOOKUP($A285,CP!$A$1:$U$7992,19,FALSE),"")</f>
        <v/>
      </c>
      <c r="AX285" s="224" t="str">
        <f>IFERROR(VLOOKUP($A285,CP!$A$1:$U$7992,20,FALSE),"")</f>
        <v/>
      </c>
      <c r="AY285" s="224" t="str">
        <f>IFERROR(VLOOKUP($A285,CP!$A$1:$U$1,21,FALSE),"")</f>
        <v/>
      </c>
      <c r="AZ285" s="224" t="str">
        <f>IFERROR(VLOOKUP(A285,Devengado!$A$1:AJ1,35,FALSE),"")</f>
        <v/>
      </c>
      <c r="BA285" s="224" t="str">
        <f t="shared" si="35"/>
        <v/>
      </c>
      <c r="BB285" s="224" t="str">
        <f>IFERROR(AZ285/#REF!,"")</f>
        <v/>
      </c>
      <c r="BC285" s="224" t="str">
        <f>IFERROR(VLOOKUP($A285,Devengado!$A$1:$AI$1,22,FALSE),"")</f>
        <v/>
      </c>
      <c r="BD285" s="224" t="str">
        <f>IFERROR(VLOOKUP($A285,Devengado!$A$1:$AI$1,23,FALSE),"")</f>
        <v/>
      </c>
      <c r="BE285" s="224" t="str">
        <f>IFERROR(VLOOKUP($A285,Devengado!$A$1:$AI$1,24,FALSE),"")</f>
        <v/>
      </c>
      <c r="BF285" s="224" t="str">
        <f>IFERROR(VLOOKUP($A285,Devengado!$A$1:$AI$1,25,FALSE),"")</f>
        <v/>
      </c>
      <c r="BG285" s="224" t="str">
        <f>IFERROR(VLOOKUP($A285,Devengado!$A$1:$AI$1,26,FALSE),"")</f>
        <v/>
      </c>
      <c r="BH285" s="224" t="str">
        <f>IFERROR(VLOOKUP($A285,Devengado!$A$1:$AI$1,27,FALSE),"")</f>
        <v/>
      </c>
      <c r="BI285" s="224" t="str">
        <f>IFERROR(VLOOKUP($A285,Devengado!$A$1:$AI$1,28,FALSE),"")</f>
        <v/>
      </c>
      <c r="BJ285" s="224" t="str">
        <f>IFERROR(VLOOKUP($A285,Devengado!$A$1:$AI$1,29,FALSE),"")</f>
        <v/>
      </c>
      <c r="BK285" s="224" t="str">
        <f>IFERROR(VLOOKUP($A285,Devengado!$A$1:$AI$1,30,FALSE),"")</f>
        <v/>
      </c>
      <c r="BL285" s="224" t="str">
        <f>IFERROR(VLOOKUP($A285,Devengado!$A$1:$AI$1,31,FALSE),"")</f>
        <v/>
      </c>
      <c r="BM285" s="224" t="str">
        <f>IFERROR(VLOOKUP($A285,Devengado!$A$1:$AI$1,32,FALSE),"")</f>
        <v/>
      </c>
      <c r="BN285" s="224" t="str">
        <f>IFERROR(VLOOKUP($A285,Devengado!$A$1:$AI$1,33,FALSE),"")</f>
        <v/>
      </c>
      <c r="BO285" s="224">
        <f t="shared" si="36"/>
        <v>0</v>
      </c>
      <c r="BP285" s="224" t="str">
        <f t="shared" si="37"/>
        <v/>
      </c>
      <c r="BQ285" s="207"/>
      <c r="BR285" s="207" t="str">
        <f t="shared" si="38"/>
        <v>57</v>
      </c>
    </row>
    <row r="286" spans="1:70" s="225" customFormat="1" ht="25.5" customHeight="1">
      <c r="A286" s="207">
        <v>282</v>
      </c>
      <c r="B286" s="112" t="s">
        <v>287</v>
      </c>
      <c r="C286" s="112" t="s">
        <v>77</v>
      </c>
      <c r="D286" s="112" t="s">
        <v>77</v>
      </c>
      <c r="E286" s="112" t="s">
        <v>76</v>
      </c>
      <c r="F286" s="112" t="s">
        <v>77</v>
      </c>
      <c r="G286" s="112" t="s">
        <v>77</v>
      </c>
      <c r="H286" s="112" t="s">
        <v>77</v>
      </c>
      <c r="I286" s="112" t="s">
        <v>77</v>
      </c>
      <c r="J286" s="112" t="s">
        <v>77</v>
      </c>
      <c r="K286" s="112" t="s">
        <v>77</v>
      </c>
      <c r="L286" s="112" t="s">
        <v>85</v>
      </c>
      <c r="M286" s="112" t="s">
        <v>314</v>
      </c>
      <c r="N286" s="114" t="s">
        <v>289</v>
      </c>
      <c r="O286" s="123">
        <v>80</v>
      </c>
      <c r="P286" s="114" t="s">
        <v>81</v>
      </c>
      <c r="Q286" s="114" t="s">
        <v>112</v>
      </c>
      <c r="R286" s="115" t="str">
        <f t="shared" si="32"/>
        <v>53</v>
      </c>
      <c r="S286" s="112">
        <v>530704</v>
      </c>
      <c r="T286" s="122" t="e">
        <f>VLOOKUP(S286,ITEM!$C$1:$D$156,2,FALSE)</f>
        <v>#N/A</v>
      </c>
      <c r="U286" s="112">
        <v>900</v>
      </c>
      <c r="V286" s="114" t="s">
        <v>82</v>
      </c>
      <c r="W286" s="114" t="s">
        <v>84</v>
      </c>
      <c r="X286" s="114" t="s">
        <v>84</v>
      </c>
      <c r="Y286" s="224" t="e">
        <f>'Matriz POA 2024-TRABAJO'!#REF!</f>
        <v>#REF!</v>
      </c>
      <c r="Z286" s="224" t="e">
        <f>'Matriz POA 2024-TRABAJO'!#REF!</f>
        <v>#REF!</v>
      </c>
      <c r="AA286" s="224" t="e">
        <f>'Matriz POA 2024-TRABAJO'!#REF!</f>
        <v>#REF!</v>
      </c>
      <c r="AB286" s="279">
        <v>0</v>
      </c>
      <c r="AC286" s="279">
        <v>0</v>
      </c>
      <c r="AD286" s="279">
        <v>0</v>
      </c>
      <c r="AE286" s="279">
        <v>0</v>
      </c>
      <c r="AF286" s="279">
        <v>0</v>
      </c>
      <c r="AG286" s="279">
        <v>0</v>
      </c>
      <c r="AH286" s="279">
        <v>0</v>
      </c>
      <c r="AI286" s="279">
        <v>0</v>
      </c>
      <c r="AJ286" s="279">
        <v>4300</v>
      </c>
      <c r="AK286" s="279">
        <v>0</v>
      </c>
      <c r="AL286" s="279">
        <v>0</v>
      </c>
      <c r="AM286" s="279">
        <v>0</v>
      </c>
      <c r="AN286" s="224" t="e">
        <f>SUM(#REF!)</f>
        <v>#REF!</v>
      </c>
      <c r="AO286" s="224">
        <f t="shared" si="33"/>
        <v>4300</v>
      </c>
      <c r="AP286" s="224" t="e">
        <f t="shared" si="39"/>
        <v>#REF!</v>
      </c>
      <c r="AQ286" s="224"/>
      <c r="AR286" s="224"/>
      <c r="AS286" s="224"/>
      <c r="AT286" s="224" t="str">
        <f>IFERROR(VLOOKUP($A286,'Constancias POA'!$A$2:$DH$9993,17,FALSE),"")</f>
        <v/>
      </c>
      <c r="AU286" s="224" t="str">
        <f t="shared" si="34"/>
        <v/>
      </c>
      <c r="AV286" s="224" t="str">
        <f>IFERROR(VLOOKUP($A286,CP!$A$1:$U$7992,18,FALSE),"")</f>
        <v/>
      </c>
      <c r="AW286" s="224" t="str">
        <f>IFERROR(VLOOKUP($A286,CP!$A$1:$U$7992,19,FALSE),"")</f>
        <v/>
      </c>
      <c r="AX286" s="224" t="str">
        <f>IFERROR(VLOOKUP($A286,CP!$A$1:$U$7992,20,FALSE),"")</f>
        <v/>
      </c>
      <c r="AY286" s="224" t="str">
        <f>IFERROR(VLOOKUP($A286,CP!$A$1:$U$1,21,FALSE),"")</f>
        <v/>
      </c>
      <c r="AZ286" s="224" t="str">
        <f>IFERROR(VLOOKUP(A286,Devengado!$A$1:AJ1,35,FALSE),"")</f>
        <v/>
      </c>
      <c r="BA286" s="224" t="str">
        <f t="shared" si="35"/>
        <v/>
      </c>
      <c r="BB286" s="224" t="str">
        <f>IFERROR(AZ286/#REF!,"")</f>
        <v/>
      </c>
      <c r="BC286" s="224" t="str">
        <f>IFERROR(VLOOKUP($A286,Devengado!$A$1:$AI$1,22,FALSE),"")</f>
        <v/>
      </c>
      <c r="BD286" s="224" t="str">
        <f>IFERROR(VLOOKUP($A286,Devengado!$A$1:$AI$1,23,FALSE),"")</f>
        <v/>
      </c>
      <c r="BE286" s="224" t="str">
        <f>IFERROR(VLOOKUP($A286,Devengado!$A$1:$AI$1,24,FALSE),"")</f>
        <v/>
      </c>
      <c r="BF286" s="224" t="str">
        <f>IFERROR(VLOOKUP($A286,Devengado!$A$1:$AI$1,25,FALSE),"")</f>
        <v/>
      </c>
      <c r="BG286" s="224" t="str">
        <f>IFERROR(VLOOKUP($A286,Devengado!$A$1:$AI$1,26,FALSE),"")</f>
        <v/>
      </c>
      <c r="BH286" s="224" t="str">
        <f>IFERROR(VLOOKUP($A286,Devengado!$A$1:$AI$1,27,FALSE),"")</f>
        <v/>
      </c>
      <c r="BI286" s="224" t="str">
        <f>IFERROR(VLOOKUP($A286,Devengado!$A$1:$AI$1,28,FALSE),"")</f>
        <v/>
      </c>
      <c r="BJ286" s="224" t="str">
        <f>IFERROR(VLOOKUP($A286,Devengado!$A$1:$AI$1,29,FALSE),"")</f>
        <v/>
      </c>
      <c r="BK286" s="224" t="str">
        <f>IFERROR(VLOOKUP($A286,Devengado!$A$1:$AI$1,30,FALSE),"")</f>
        <v/>
      </c>
      <c r="BL286" s="224" t="str">
        <f>IFERROR(VLOOKUP($A286,Devengado!$A$1:$AI$1,31,FALSE),"")</f>
        <v/>
      </c>
      <c r="BM286" s="224" t="str">
        <f>IFERROR(VLOOKUP($A286,Devengado!$A$1:$AI$1,32,FALSE),"")</f>
        <v/>
      </c>
      <c r="BN286" s="224" t="str">
        <f>IFERROR(VLOOKUP($A286,Devengado!$A$1:$AI$1,33,FALSE),"")</f>
        <v/>
      </c>
      <c r="BO286" s="224">
        <f t="shared" si="36"/>
        <v>0</v>
      </c>
      <c r="BP286" s="224" t="str">
        <f t="shared" si="37"/>
        <v/>
      </c>
      <c r="BQ286" s="207"/>
      <c r="BR286" s="207" t="str">
        <f t="shared" si="38"/>
        <v>53</v>
      </c>
    </row>
    <row r="287" spans="1:70" s="225" customFormat="1" ht="25.5" customHeight="1">
      <c r="A287" s="207">
        <v>283</v>
      </c>
      <c r="B287" s="112" t="s">
        <v>287</v>
      </c>
      <c r="C287" s="112" t="s">
        <v>77</v>
      </c>
      <c r="D287" s="112" t="s">
        <v>77</v>
      </c>
      <c r="E287" s="112" t="s">
        <v>76</v>
      </c>
      <c r="F287" s="112" t="s">
        <v>77</v>
      </c>
      <c r="G287" s="112" t="s">
        <v>77</v>
      </c>
      <c r="H287" s="112" t="s">
        <v>77</v>
      </c>
      <c r="I287" s="112" t="s">
        <v>77</v>
      </c>
      <c r="J287" s="112" t="s">
        <v>77</v>
      </c>
      <c r="K287" s="112" t="s">
        <v>77</v>
      </c>
      <c r="L287" s="112" t="s">
        <v>85</v>
      </c>
      <c r="M287" s="112" t="s">
        <v>315</v>
      </c>
      <c r="N287" s="114" t="s">
        <v>289</v>
      </c>
      <c r="O287" s="123">
        <v>80</v>
      </c>
      <c r="P287" s="114" t="s">
        <v>81</v>
      </c>
      <c r="Q287" s="114" t="s">
        <v>112</v>
      </c>
      <c r="R287" s="115" t="str">
        <f t="shared" si="32"/>
        <v>53</v>
      </c>
      <c r="S287" s="112">
        <v>530704</v>
      </c>
      <c r="T287" s="122" t="e">
        <f>VLOOKUP(S287,ITEM!$C$1:$D$156,2,FALSE)</f>
        <v>#N/A</v>
      </c>
      <c r="U287" s="112">
        <v>900</v>
      </c>
      <c r="V287" s="114" t="s">
        <v>82</v>
      </c>
      <c r="W287" s="114" t="s">
        <v>84</v>
      </c>
      <c r="X287" s="114" t="s">
        <v>84</v>
      </c>
      <c r="Y287" s="224" t="e">
        <f>'Matriz POA 2024-TRABAJO'!#REF!</f>
        <v>#REF!</v>
      </c>
      <c r="Z287" s="224" t="e">
        <f>'Matriz POA 2024-TRABAJO'!#REF!</f>
        <v>#REF!</v>
      </c>
      <c r="AA287" s="224" t="e">
        <f>'Matriz POA 2024-TRABAJO'!#REF!</f>
        <v>#REF!</v>
      </c>
      <c r="AB287" s="279">
        <v>0</v>
      </c>
      <c r="AC287" s="279">
        <v>0</v>
      </c>
      <c r="AD287" s="279">
        <v>0</v>
      </c>
      <c r="AE287" s="279">
        <v>0</v>
      </c>
      <c r="AF287" s="279">
        <v>0</v>
      </c>
      <c r="AG287" s="279">
        <v>0</v>
      </c>
      <c r="AH287" s="279">
        <v>0</v>
      </c>
      <c r="AI287" s="279">
        <v>0</v>
      </c>
      <c r="AJ287" s="279">
        <v>0</v>
      </c>
      <c r="AK287" s="279">
        <v>0</v>
      </c>
      <c r="AL287" s="279">
        <v>0</v>
      </c>
      <c r="AM287" s="279">
        <v>0</v>
      </c>
      <c r="AN287" s="224" t="e">
        <f>SUM(#REF!)</f>
        <v>#REF!</v>
      </c>
      <c r="AO287" s="224">
        <f t="shared" si="33"/>
        <v>0</v>
      </c>
      <c r="AP287" s="224" t="e">
        <f t="shared" si="39"/>
        <v>#REF!</v>
      </c>
      <c r="AQ287" s="224"/>
      <c r="AR287" s="224"/>
      <c r="AS287" s="224"/>
      <c r="AT287" s="224" t="str">
        <f>IFERROR(VLOOKUP($A287,'Constancias POA'!$A$2:$DH$9993,17,FALSE),"")</f>
        <v/>
      </c>
      <c r="AU287" s="224" t="str">
        <f t="shared" si="34"/>
        <v/>
      </c>
      <c r="AV287" s="224" t="str">
        <f>IFERROR(VLOOKUP($A287,CP!$A$1:$U$7992,18,FALSE),"")</f>
        <v/>
      </c>
      <c r="AW287" s="224" t="str">
        <f>IFERROR(VLOOKUP($A287,CP!$A$1:$U$7992,19,FALSE),"")</f>
        <v/>
      </c>
      <c r="AX287" s="224" t="str">
        <f>IFERROR(VLOOKUP($A287,CP!$A$1:$U$7992,20,FALSE),"")</f>
        <v/>
      </c>
      <c r="AY287" s="224" t="str">
        <f>IFERROR(VLOOKUP($A287,CP!$A$1:$U$1,21,FALSE),"")</f>
        <v/>
      </c>
      <c r="AZ287" s="224" t="str">
        <f>IFERROR(VLOOKUP(A287,Devengado!$A$1:AJ1,35,FALSE),"")</f>
        <v/>
      </c>
      <c r="BA287" s="224" t="str">
        <f t="shared" si="35"/>
        <v/>
      </c>
      <c r="BB287" s="224" t="str">
        <f>IFERROR(AZ287/#REF!,"")</f>
        <v/>
      </c>
      <c r="BC287" s="224" t="str">
        <f>IFERROR(VLOOKUP($A287,Devengado!$A$1:$AI$1,22,FALSE),"")</f>
        <v/>
      </c>
      <c r="BD287" s="224" t="str">
        <f>IFERROR(VLOOKUP($A287,Devengado!$A$1:$AI$1,23,FALSE),"")</f>
        <v/>
      </c>
      <c r="BE287" s="224" t="str">
        <f>IFERROR(VLOOKUP($A287,Devengado!$A$1:$AI$1,24,FALSE),"")</f>
        <v/>
      </c>
      <c r="BF287" s="224" t="str">
        <f>IFERROR(VLOOKUP($A287,Devengado!$A$1:$AI$1,25,FALSE),"")</f>
        <v/>
      </c>
      <c r="BG287" s="224" t="str">
        <f>IFERROR(VLOOKUP($A287,Devengado!$A$1:$AI$1,26,FALSE),"")</f>
        <v/>
      </c>
      <c r="BH287" s="224" t="str">
        <f>IFERROR(VLOOKUP($A287,Devengado!$A$1:$AI$1,27,FALSE),"")</f>
        <v/>
      </c>
      <c r="BI287" s="224" t="str">
        <f>IFERROR(VLOOKUP($A287,Devengado!$A$1:$AI$1,28,FALSE),"")</f>
        <v/>
      </c>
      <c r="BJ287" s="224" t="str">
        <f>IFERROR(VLOOKUP($A287,Devengado!$A$1:$AI$1,29,FALSE),"")</f>
        <v/>
      </c>
      <c r="BK287" s="224" t="str">
        <f>IFERROR(VLOOKUP($A287,Devengado!$A$1:$AI$1,30,FALSE),"")</f>
        <v/>
      </c>
      <c r="BL287" s="224" t="str">
        <f>IFERROR(VLOOKUP($A287,Devengado!$A$1:$AI$1,31,FALSE),"")</f>
        <v/>
      </c>
      <c r="BM287" s="224" t="str">
        <f>IFERROR(VLOOKUP($A287,Devengado!$A$1:$AI$1,32,FALSE),"")</f>
        <v/>
      </c>
      <c r="BN287" s="224" t="str">
        <f>IFERROR(VLOOKUP($A287,Devengado!$A$1:$AI$1,33,FALSE),"")</f>
        <v/>
      </c>
      <c r="BO287" s="224">
        <f t="shared" si="36"/>
        <v>0</v>
      </c>
      <c r="BP287" s="224" t="str">
        <f t="shared" si="37"/>
        <v/>
      </c>
      <c r="BQ287" s="207"/>
      <c r="BR287" s="207" t="str">
        <f t="shared" si="38"/>
        <v>53</v>
      </c>
    </row>
    <row r="288" spans="1:70" s="225" customFormat="1" ht="25.5" customHeight="1">
      <c r="A288" s="207">
        <v>284</v>
      </c>
      <c r="B288" s="112" t="s">
        <v>287</v>
      </c>
      <c r="C288" s="112" t="s">
        <v>77</v>
      </c>
      <c r="D288" s="112" t="s">
        <v>77</v>
      </c>
      <c r="E288" s="112" t="s">
        <v>76</v>
      </c>
      <c r="F288" s="112" t="s">
        <v>77</v>
      </c>
      <c r="G288" s="112" t="s">
        <v>77</v>
      </c>
      <c r="H288" s="112" t="s">
        <v>77</v>
      </c>
      <c r="I288" s="112" t="s">
        <v>77</v>
      </c>
      <c r="J288" s="112" t="s">
        <v>77</v>
      </c>
      <c r="K288" s="112" t="s">
        <v>77</v>
      </c>
      <c r="L288" s="112" t="s">
        <v>85</v>
      </c>
      <c r="M288" s="112" t="s">
        <v>316</v>
      </c>
      <c r="N288" s="114" t="s">
        <v>289</v>
      </c>
      <c r="O288" s="123">
        <v>80</v>
      </c>
      <c r="P288" s="114" t="s">
        <v>81</v>
      </c>
      <c r="Q288" s="114" t="s">
        <v>112</v>
      </c>
      <c r="R288" s="115" t="str">
        <f t="shared" si="32"/>
        <v>53</v>
      </c>
      <c r="S288" s="112">
        <v>530606</v>
      </c>
      <c r="T288" s="122" t="str">
        <f>VLOOKUP(S288,ITEM!$C$1:$D$156,2,FALSE)</f>
        <v>Honorarios por Contratos Civiles de Servicios</v>
      </c>
      <c r="U288" s="112">
        <v>900</v>
      </c>
      <c r="V288" s="114" t="s">
        <v>82</v>
      </c>
      <c r="W288" s="114" t="s">
        <v>84</v>
      </c>
      <c r="X288" s="114" t="s">
        <v>84</v>
      </c>
      <c r="Y288" s="224" t="e">
        <f>'Matriz POA 2024-TRABAJO'!#REF!</f>
        <v>#REF!</v>
      </c>
      <c r="Z288" s="224" t="e">
        <f>'Matriz POA 2024-TRABAJO'!#REF!</f>
        <v>#REF!</v>
      </c>
      <c r="AA288" s="224" t="e">
        <f>'Matriz POA 2024-TRABAJO'!#REF!</f>
        <v>#REF!</v>
      </c>
      <c r="AB288" s="279">
        <v>0</v>
      </c>
      <c r="AC288" s="279">
        <v>0</v>
      </c>
      <c r="AD288" s="279">
        <v>0</v>
      </c>
      <c r="AE288" s="279">
        <v>0</v>
      </c>
      <c r="AF288" s="279">
        <v>0</v>
      </c>
      <c r="AG288" s="279">
        <v>1172</v>
      </c>
      <c r="AH288" s="279">
        <v>0</v>
      </c>
      <c r="AI288" s="279">
        <v>0</v>
      </c>
      <c r="AJ288" s="279">
        <v>0</v>
      </c>
      <c r="AK288" s="279">
        <v>0</v>
      </c>
      <c r="AL288" s="279">
        <v>0</v>
      </c>
      <c r="AM288" s="279">
        <v>0</v>
      </c>
      <c r="AN288" s="224" t="e">
        <f>SUM(#REF!)</f>
        <v>#REF!</v>
      </c>
      <c r="AO288" s="224">
        <f t="shared" si="33"/>
        <v>1172</v>
      </c>
      <c r="AP288" s="224" t="e">
        <f t="shared" si="39"/>
        <v>#REF!</v>
      </c>
      <c r="AQ288" s="224"/>
      <c r="AR288" s="224"/>
      <c r="AS288" s="224"/>
      <c r="AT288" s="224" t="str">
        <f>IFERROR(VLOOKUP($A288,'Constancias POA'!$A$2:$DH$9993,17,FALSE),"")</f>
        <v/>
      </c>
      <c r="AU288" s="224" t="str">
        <f t="shared" si="34"/>
        <v/>
      </c>
      <c r="AV288" s="224" t="str">
        <f>IFERROR(VLOOKUP($A288,CP!$A$1:$U$7992,18,FALSE),"")</f>
        <v/>
      </c>
      <c r="AW288" s="224" t="str">
        <f>IFERROR(VLOOKUP($A288,CP!$A$1:$U$7992,19,FALSE),"")</f>
        <v/>
      </c>
      <c r="AX288" s="224" t="str">
        <f>IFERROR(VLOOKUP($A288,CP!$A$1:$U$7992,20,FALSE),"")</f>
        <v/>
      </c>
      <c r="AY288" s="224" t="str">
        <f>IFERROR(VLOOKUP($A288,CP!$A$1:$U$1,21,FALSE),"")</f>
        <v/>
      </c>
      <c r="AZ288" s="224" t="str">
        <f>IFERROR(VLOOKUP(A288,Devengado!$A$1:AJ1,35,FALSE),"")</f>
        <v/>
      </c>
      <c r="BA288" s="224" t="str">
        <f t="shared" si="35"/>
        <v/>
      </c>
      <c r="BB288" s="224" t="str">
        <f>IFERROR(AZ288/#REF!,"")</f>
        <v/>
      </c>
      <c r="BC288" s="224" t="str">
        <f>IFERROR(VLOOKUP($A288,Devengado!$A$1:$AI$1,22,FALSE),"")</f>
        <v/>
      </c>
      <c r="BD288" s="224" t="str">
        <f>IFERROR(VLOOKUP($A288,Devengado!$A$1:$AI$1,23,FALSE),"")</f>
        <v/>
      </c>
      <c r="BE288" s="224" t="str">
        <f>IFERROR(VLOOKUP($A288,Devengado!$A$1:$AI$1,24,FALSE),"")</f>
        <v/>
      </c>
      <c r="BF288" s="224" t="str">
        <f>IFERROR(VLOOKUP($A288,Devengado!$A$1:$AI$1,25,FALSE),"")</f>
        <v/>
      </c>
      <c r="BG288" s="224" t="str">
        <f>IFERROR(VLOOKUP($A288,Devengado!$A$1:$AI$1,26,FALSE),"")</f>
        <v/>
      </c>
      <c r="BH288" s="224" t="str">
        <f>IFERROR(VLOOKUP($A288,Devengado!$A$1:$AI$1,27,FALSE),"")</f>
        <v/>
      </c>
      <c r="BI288" s="224" t="str">
        <f>IFERROR(VLOOKUP($A288,Devengado!$A$1:$AI$1,28,FALSE),"")</f>
        <v/>
      </c>
      <c r="BJ288" s="224" t="str">
        <f>IFERROR(VLOOKUP($A288,Devengado!$A$1:$AI$1,29,FALSE),"")</f>
        <v/>
      </c>
      <c r="BK288" s="224" t="str">
        <f>IFERROR(VLOOKUP($A288,Devengado!$A$1:$AI$1,30,FALSE),"")</f>
        <v/>
      </c>
      <c r="BL288" s="224" t="str">
        <f>IFERROR(VLOOKUP($A288,Devengado!$A$1:$AI$1,31,FALSE),"")</f>
        <v/>
      </c>
      <c r="BM288" s="224" t="str">
        <f>IFERROR(VLOOKUP($A288,Devengado!$A$1:$AI$1,32,FALSE),"")</f>
        <v/>
      </c>
      <c r="BN288" s="224" t="str">
        <f>IFERROR(VLOOKUP($A288,Devengado!$A$1:$AI$1,33,FALSE),"")</f>
        <v/>
      </c>
      <c r="BO288" s="224">
        <f t="shared" si="36"/>
        <v>0</v>
      </c>
      <c r="BP288" s="224" t="str">
        <f t="shared" si="37"/>
        <v/>
      </c>
      <c r="BQ288" s="207"/>
      <c r="BR288" s="207" t="str">
        <f t="shared" si="38"/>
        <v>53</v>
      </c>
    </row>
    <row r="289" spans="1:70" s="225" customFormat="1" ht="25.5" customHeight="1">
      <c r="A289" s="207">
        <v>285</v>
      </c>
      <c r="B289" s="112" t="s">
        <v>287</v>
      </c>
      <c r="C289" s="112" t="s">
        <v>77</v>
      </c>
      <c r="D289" s="112" t="s">
        <v>77</v>
      </c>
      <c r="E289" s="112" t="s">
        <v>76</v>
      </c>
      <c r="F289" s="112" t="s">
        <v>77</v>
      </c>
      <c r="G289" s="112" t="s">
        <v>77</v>
      </c>
      <c r="H289" s="112" t="s">
        <v>77</v>
      </c>
      <c r="I289" s="112" t="s">
        <v>77</v>
      </c>
      <c r="J289" s="112" t="s">
        <v>77</v>
      </c>
      <c r="K289" s="112" t="s">
        <v>77</v>
      </c>
      <c r="L289" s="112" t="s">
        <v>85</v>
      </c>
      <c r="M289" s="112" t="s">
        <v>317</v>
      </c>
      <c r="N289" s="114" t="s">
        <v>289</v>
      </c>
      <c r="O289" s="123">
        <v>80</v>
      </c>
      <c r="P289" s="114" t="s">
        <v>81</v>
      </c>
      <c r="Q289" s="114" t="s">
        <v>112</v>
      </c>
      <c r="R289" s="115" t="str">
        <f t="shared" si="32"/>
        <v>53</v>
      </c>
      <c r="S289" s="112">
        <v>530606</v>
      </c>
      <c r="T289" s="122" t="str">
        <f>VLOOKUP(S289,ITEM!$C$1:$D$156,2,FALSE)</f>
        <v>Honorarios por Contratos Civiles de Servicios</v>
      </c>
      <c r="U289" s="112">
        <v>900</v>
      </c>
      <c r="V289" s="114" t="s">
        <v>82</v>
      </c>
      <c r="W289" s="114" t="s">
        <v>84</v>
      </c>
      <c r="X289" s="114" t="s">
        <v>84</v>
      </c>
      <c r="Y289" s="224" t="e">
        <f>'Matriz POA 2024-TRABAJO'!#REF!</f>
        <v>#REF!</v>
      </c>
      <c r="Z289" s="224" t="e">
        <f>'Matriz POA 2024-TRABAJO'!#REF!</f>
        <v>#REF!</v>
      </c>
      <c r="AA289" s="224" t="e">
        <f>'Matriz POA 2024-TRABAJO'!#REF!</f>
        <v>#REF!</v>
      </c>
      <c r="AB289" s="279">
        <v>0</v>
      </c>
      <c r="AC289" s="279">
        <v>0</v>
      </c>
      <c r="AD289" s="279">
        <v>0</v>
      </c>
      <c r="AE289" s="279">
        <v>0</v>
      </c>
      <c r="AF289" s="279">
        <v>0</v>
      </c>
      <c r="AG289" s="279">
        <v>0</v>
      </c>
      <c r="AH289" s="279">
        <v>0</v>
      </c>
      <c r="AI289" s="279">
        <v>0</v>
      </c>
      <c r="AJ289" s="279">
        <v>0</v>
      </c>
      <c r="AK289" s="279">
        <v>0</v>
      </c>
      <c r="AL289" s="279">
        <v>0</v>
      </c>
      <c r="AM289" s="279">
        <v>0</v>
      </c>
      <c r="AN289" s="224" t="e">
        <f>SUM(#REF!)</f>
        <v>#REF!</v>
      </c>
      <c r="AO289" s="224">
        <f t="shared" si="33"/>
        <v>0</v>
      </c>
      <c r="AP289" s="224" t="e">
        <f t="shared" si="39"/>
        <v>#REF!</v>
      </c>
      <c r="AQ289" s="224"/>
      <c r="AR289" s="224"/>
      <c r="AS289" s="224"/>
      <c r="AT289" s="224" t="str">
        <f>IFERROR(VLOOKUP($A289,'Constancias POA'!$A$2:$DH$9993,17,FALSE),"")</f>
        <v/>
      </c>
      <c r="AU289" s="224" t="str">
        <f t="shared" si="34"/>
        <v/>
      </c>
      <c r="AV289" s="224" t="str">
        <f>IFERROR(VLOOKUP($A289,CP!$A$1:$U$7992,18,FALSE),"")</f>
        <v/>
      </c>
      <c r="AW289" s="224" t="str">
        <f>IFERROR(VLOOKUP($A289,CP!$A$1:$U$7992,19,FALSE),"")</f>
        <v/>
      </c>
      <c r="AX289" s="224" t="str">
        <f>IFERROR(VLOOKUP($A289,CP!$A$1:$U$7992,20,FALSE),"")</f>
        <v/>
      </c>
      <c r="AY289" s="224" t="str">
        <f>IFERROR(VLOOKUP($A289,CP!$A$1:$U$1,21,FALSE),"")</f>
        <v/>
      </c>
      <c r="AZ289" s="224" t="str">
        <f>IFERROR(VLOOKUP(A289,Devengado!$A$1:AJ1,35,FALSE),"")</f>
        <v/>
      </c>
      <c r="BA289" s="224" t="str">
        <f t="shared" si="35"/>
        <v/>
      </c>
      <c r="BB289" s="224" t="str">
        <f>IFERROR(AZ289/#REF!,"")</f>
        <v/>
      </c>
      <c r="BC289" s="224" t="str">
        <f>IFERROR(VLOOKUP($A289,Devengado!$A$1:$AI$1,22,FALSE),"")</f>
        <v/>
      </c>
      <c r="BD289" s="224" t="str">
        <f>IFERROR(VLOOKUP($A289,Devengado!$A$1:$AI$1,23,FALSE),"")</f>
        <v/>
      </c>
      <c r="BE289" s="224" t="str">
        <f>IFERROR(VLOOKUP($A289,Devengado!$A$1:$AI$1,24,FALSE),"")</f>
        <v/>
      </c>
      <c r="BF289" s="224" t="str">
        <f>IFERROR(VLOOKUP($A289,Devengado!$A$1:$AI$1,25,FALSE),"")</f>
        <v/>
      </c>
      <c r="BG289" s="224" t="str">
        <f>IFERROR(VLOOKUP($A289,Devengado!$A$1:$AI$1,26,FALSE),"")</f>
        <v/>
      </c>
      <c r="BH289" s="224" t="str">
        <f>IFERROR(VLOOKUP($A289,Devengado!$A$1:$AI$1,27,FALSE),"")</f>
        <v/>
      </c>
      <c r="BI289" s="224" t="str">
        <f>IFERROR(VLOOKUP($A289,Devengado!$A$1:$AI$1,28,FALSE),"")</f>
        <v/>
      </c>
      <c r="BJ289" s="224" t="str">
        <f>IFERROR(VLOOKUP($A289,Devengado!$A$1:$AI$1,29,FALSE),"")</f>
        <v/>
      </c>
      <c r="BK289" s="224" t="str">
        <f>IFERROR(VLOOKUP($A289,Devengado!$A$1:$AI$1,30,FALSE),"")</f>
        <v/>
      </c>
      <c r="BL289" s="224" t="str">
        <f>IFERROR(VLOOKUP($A289,Devengado!$A$1:$AI$1,31,FALSE),"")</f>
        <v/>
      </c>
      <c r="BM289" s="224" t="str">
        <f>IFERROR(VLOOKUP($A289,Devengado!$A$1:$AI$1,32,FALSE),"")</f>
        <v/>
      </c>
      <c r="BN289" s="224" t="str">
        <f>IFERROR(VLOOKUP($A289,Devengado!$A$1:$AI$1,33,FALSE),"")</f>
        <v/>
      </c>
      <c r="BO289" s="224">
        <f t="shared" si="36"/>
        <v>0</v>
      </c>
      <c r="BP289" s="224" t="str">
        <f t="shared" si="37"/>
        <v/>
      </c>
      <c r="BQ289" s="207"/>
      <c r="BR289" s="207" t="str">
        <f t="shared" si="38"/>
        <v>53</v>
      </c>
    </row>
    <row r="290" spans="1:70" s="225" customFormat="1" ht="25.5" customHeight="1">
      <c r="A290" s="207">
        <v>286</v>
      </c>
      <c r="B290" s="112" t="s">
        <v>287</v>
      </c>
      <c r="C290" s="112" t="s">
        <v>77</v>
      </c>
      <c r="D290" s="112" t="s">
        <v>77</v>
      </c>
      <c r="E290" s="112" t="s">
        <v>76</v>
      </c>
      <c r="F290" s="112" t="s">
        <v>77</v>
      </c>
      <c r="G290" s="112" t="s">
        <v>77</v>
      </c>
      <c r="H290" s="112" t="s">
        <v>77</v>
      </c>
      <c r="I290" s="112" t="s">
        <v>77</v>
      </c>
      <c r="J290" s="112" t="s">
        <v>77</v>
      </c>
      <c r="K290" s="112" t="s">
        <v>77</v>
      </c>
      <c r="L290" s="112" t="s">
        <v>85</v>
      </c>
      <c r="M290" s="112" t="s">
        <v>318</v>
      </c>
      <c r="N290" s="114" t="s">
        <v>289</v>
      </c>
      <c r="O290" s="123">
        <v>80</v>
      </c>
      <c r="P290" s="114" t="s">
        <v>81</v>
      </c>
      <c r="Q290" s="114" t="s">
        <v>112</v>
      </c>
      <c r="R290" s="115" t="str">
        <f t="shared" si="32"/>
        <v>53</v>
      </c>
      <c r="S290" s="112">
        <v>530204</v>
      </c>
      <c r="T290" s="122" t="str">
        <f>VLOOKUP(S290,ITEM!$C$1:$D$156,2,FALSE)</f>
        <v>Edición, Impresión, Reproducción, Publicaciones, Suscripciones, Fotocopiado, Traducción, Empastado, Enmarcación,
Serigrafía, Fotografía, Carnetización, Filmación e Imágenes Satelitales.</v>
      </c>
      <c r="U290" s="112">
        <v>900</v>
      </c>
      <c r="V290" s="114" t="s">
        <v>82</v>
      </c>
      <c r="W290" s="114" t="s">
        <v>84</v>
      </c>
      <c r="X290" s="114" t="s">
        <v>84</v>
      </c>
      <c r="Y290" s="224" t="e">
        <f>'Matriz POA 2024-TRABAJO'!#REF!</f>
        <v>#REF!</v>
      </c>
      <c r="Z290" s="224" t="e">
        <f>'Matriz POA 2024-TRABAJO'!#REF!</f>
        <v>#REF!</v>
      </c>
      <c r="AA290" s="224" t="e">
        <f>'Matriz POA 2024-TRABAJO'!#REF!</f>
        <v>#REF!</v>
      </c>
      <c r="AB290" s="279">
        <v>0</v>
      </c>
      <c r="AC290" s="279">
        <v>0</v>
      </c>
      <c r="AD290" s="279">
        <v>0</v>
      </c>
      <c r="AE290" s="279">
        <v>0</v>
      </c>
      <c r="AF290" s="279">
        <v>0</v>
      </c>
      <c r="AG290" s="279">
        <v>0</v>
      </c>
      <c r="AH290" s="279">
        <v>0</v>
      </c>
      <c r="AI290" s="279">
        <v>0</v>
      </c>
      <c r="AJ290" s="279">
        <v>0</v>
      </c>
      <c r="AK290" s="279">
        <v>0</v>
      </c>
      <c r="AL290" s="279">
        <v>0</v>
      </c>
      <c r="AM290" s="279">
        <v>0</v>
      </c>
      <c r="AN290" s="224" t="e">
        <f>SUM(#REF!)</f>
        <v>#REF!</v>
      </c>
      <c r="AO290" s="224">
        <f t="shared" si="33"/>
        <v>0</v>
      </c>
      <c r="AP290" s="224" t="e">
        <f t="shared" si="39"/>
        <v>#REF!</v>
      </c>
      <c r="AQ290" s="224"/>
      <c r="AR290" s="224"/>
      <c r="AS290" s="224"/>
      <c r="AT290" s="224" t="str">
        <f>IFERROR(VLOOKUP($A290,'Constancias POA'!$A$2:$DH$9993,17,FALSE),"")</f>
        <v/>
      </c>
      <c r="AU290" s="224" t="str">
        <f t="shared" si="34"/>
        <v/>
      </c>
      <c r="AV290" s="224" t="str">
        <f>IFERROR(VLOOKUP($A290,CP!$A$1:$U$7992,18,FALSE),"")</f>
        <v/>
      </c>
      <c r="AW290" s="224" t="str">
        <f>IFERROR(VLOOKUP($A290,CP!$A$1:$U$7992,19,FALSE),"")</f>
        <v/>
      </c>
      <c r="AX290" s="224" t="str">
        <f>IFERROR(VLOOKUP($A290,CP!$A$1:$U$7992,20,FALSE),"")</f>
        <v/>
      </c>
      <c r="AY290" s="224" t="str">
        <f>IFERROR(VLOOKUP($A290,CP!$A$1:$U$1,21,FALSE),"")</f>
        <v/>
      </c>
      <c r="AZ290" s="224" t="str">
        <f>IFERROR(VLOOKUP(A290,Devengado!$A$1:AJ1,35,FALSE),"")</f>
        <v/>
      </c>
      <c r="BA290" s="224" t="str">
        <f t="shared" si="35"/>
        <v/>
      </c>
      <c r="BB290" s="224" t="str">
        <f>IFERROR(AZ290/#REF!,"")</f>
        <v/>
      </c>
      <c r="BC290" s="224" t="str">
        <f>IFERROR(VLOOKUP($A290,Devengado!$A$1:$AI$1,22,FALSE),"")</f>
        <v/>
      </c>
      <c r="BD290" s="224" t="str">
        <f>IFERROR(VLOOKUP($A290,Devengado!$A$1:$AI$1,23,FALSE),"")</f>
        <v/>
      </c>
      <c r="BE290" s="224" t="str">
        <f>IFERROR(VLOOKUP($A290,Devengado!$A$1:$AI$1,24,FALSE),"")</f>
        <v/>
      </c>
      <c r="BF290" s="224" t="str">
        <f>IFERROR(VLOOKUP($A290,Devengado!$A$1:$AI$1,25,FALSE),"")</f>
        <v/>
      </c>
      <c r="BG290" s="224" t="str">
        <f>IFERROR(VLOOKUP($A290,Devengado!$A$1:$AI$1,26,FALSE),"")</f>
        <v/>
      </c>
      <c r="BH290" s="224" t="str">
        <f>IFERROR(VLOOKUP($A290,Devengado!$A$1:$AI$1,27,FALSE),"")</f>
        <v/>
      </c>
      <c r="BI290" s="224" t="str">
        <f>IFERROR(VLOOKUP($A290,Devengado!$A$1:$AI$1,28,FALSE),"")</f>
        <v/>
      </c>
      <c r="BJ290" s="224" t="str">
        <f>IFERROR(VLOOKUP($A290,Devengado!$A$1:$AI$1,29,FALSE),"")</f>
        <v/>
      </c>
      <c r="BK290" s="224" t="str">
        <f>IFERROR(VLOOKUP($A290,Devengado!$A$1:$AI$1,30,FALSE),"")</f>
        <v/>
      </c>
      <c r="BL290" s="224" t="str">
        <f>IFERROR(VLOOKUP($A290,Devengado!$A$1:$AI$1,31,FALSE),"")</f>
        <v/>
      </c>
      <c r="BM290" s="224" t="str">
        <f>IFERROR(VLOOKUP($A290,Devengado!$A$1:$AI$1,32,FALSE),"")</f>
        <v/>
      </c>
      <c r="BN290" s="224" t="str">
        <f>IFERROR(VLOOKUP($A290,Devengado!$A$1:$AI$1,33,FALSE),"")</f>
        <v/>
      </c>
      <c r="BO290" s="224">
        <f t="shared" si="36"/>
        <v>0</v>
      </c>
      <c r="BP290" s="224" t="str">
        <f t="shared" si="37"/>
        <v/>
      </c>
      <c r="BQ290" s="207"/>
      <c r="BR290" s="207" t="str">
        <f t="shared" si="38"/>
        <v>53</v>
      </c>
    </row>
    <row r="291" spans="1:70" s="225" customFormat="1" ht="25.5" customHeight="1">
      <c r="A291" s="207">
        <v>287</v>
      </c>
      <c r="B291" s="112" t="s">
        <v>287</v>
      </c>
      <c r="C291" s="112" t="s">
        <v>77</v>
      </c>
      <c r="D291" s="112" t="s">
        <v>77</v>
      </c>
      <c r="E291" s="112" t="s">
        <v>76</v>
      </c>
      <c r="F291" s="112" t="s">
        <v>77</v>
      </c>
      <c r="G291" s="112" t="s">
        <v>77</v>
      </c>
      <c r="H291" s="112" t="s">
        <v>77</v>
      </c>
      <c r="I291" s="112" t="s">
        <v>77</v>
      </c>
      <c r="J291" s="112" t="s">
        <v>77</v>
      </c>
      <c r="K291" s="112" t="s">
        <v>77</v>
      </c>
      <c r="L291" s="112" t="s">
        <v>85</v>
      </c>
      <c r="M291" s="112" t="s">
        <v>319</v>
      </c>
      <c r="N291" s="114" t="s">
        <v>289</v>
      </c>
      <c r="O291" s="123">
        <v>80</v>
      </c>
      <c r="P291" s="114" t="s">
        <v>81</v>
      </c>
      <c r="Q291" s="114" t="s">
        <v>112</v>
      </c>
      <c r="R291" s="115" t="str">
        <f t="shared" si="32"/>
        <v>53</v>
      </c>
      <c r="S291" s="112">
        <v>530408</v>
      </c>
      <c r="T291" s="122" t="str">
        <f>VLOOKUP(S291,ITEM!$C$1:$D$156,2,FALSE)</f>
        <v>Bienes Artísticos y Culturales</v>
      </c>
      <c r="U291" s="112">
        <v>900</v>
      </c>
      <c r="V291" s="114" t="s">
        <v>82</v>
      </c>
      <c r="W291" s="114" t="s">
        <v>84</v>
      </c>
      <c r="X291" s="114" t="s">
        <v>84</v>
      </c>
      <c r="Y291" s="224" t="e">
        <f>'Matriz POA 2024-TRABAJO'!#REF!</f>
        <v>#REF!</v>
      </c>
      <c r="Z291" s="224" t="e">
        <f>'Matriz POA 2024-TRABAJO'!#REF!</f>
        <v>#REF!</v>
      </c>
      <c r="AA291" s="224" t="e">
        <f>'Matriz POA 2024-TRABAJO'!#REF!</f>
        <v>#REF!</v>
      </c>
      <c r="AB291" s="279">
        <v>0</v>
      </c>
      <c r="AC291" s="279">
        <v>0</v>
      </c>
      <c r="AD291" s="279">
        <v>0</v>
      </c>
      <c r="AE291" s="279">
        <v>1996</v>
      </c>
      <c r="AF291" s="279">
        <v>0</v>
      </c>
      <c r="AG291" s="279">
        <v>0</v>
      </c>
      <c r="AH291" s="279">
        <v>0</v>
      </c>
      <c r="AI291" s="279">
        <v>0</v>
      </c>
      <c r="AJ291" s="279">
        <v>0</v>
      </c>
      <c r="AK291" s="279">
        <v>0</v>
      </c>
      <c r="AL291" s="279">
        <v>0</v>
      </c>
      <c r="AM291" s="279">
        <v>0</v>
      </c>
      <c r="AN291" s="224" t="e">
        <f>SUM(#REF!)</f>
        <v>#REF!</v>
      </c>
      <c r="AO291" s="224">
        <f t="shared" si="33"/>
        <v>1996</v>
      </c>
      <c r="AP291" s="224" t="e">
        <f t="shared" si="39"/>
        <v>#REF!</v>
      </c>
      <c r="AQ291" s="224"/>
      <c r="AR291" s="224"/>
      <c r="AS291" s="224"/>
      <c r="AT291" s="224" t="str">
        <f>IFERROR(VLOOKUP($A291,'Constancias POA'!$A$2:$DH$9993,17,FALSE),"")</f>
        <v/>
      </c>
      <c r="AU291" s="224" t="str">
        <f t="shared" si="34"/>
        <v/>
      </c>
      <c r="AV291" s="224" t="str">
        <f>IFERROR(VLOOKUP($A291,CP!$A$1:$U$7992,18,FALSE),"")</f>
        <v/>
      </c>
      <c r="AW291" s="224" t="str">
        <f>IFERROR(VLOOKUP($A291,CP!$A$1:$U$7992,19,FALSE),"")</f>
        <v/>
      </c>
      <c r="AX291" s="224" t="str">
        <f>IFERROR(VLOOKUP($A291,CP!$A$1:$U$7992,20,FALSE),"")</f>
        <v/>
      </c>
      <c r="AY291" s="224" t="str">
        <f>IFERROR(VLOOKUP($A291,CP!$A$1:$U$1,21,FALSE),"")</f>
        <v/>
      </c>
      <c r="AZ291" s="224" t="str">
        <f>IFERROR(VLOOKUP(A291,Devengado!$A$1:AJ1,35,FALSE),"")</f>
        <v/>
      </c>
      <c r="BA291" s="224" t="str">
        <f t="shared" si="35"/>
        <v/>
      </c>
      <c r="BB291" s="224" t="str">
        <f>IFERROR(AZ291/#REF!,"")</f>
        <v/>
      </c>
      <c r="BC291" s="224" t="str">
        <f>IFERROR(VLOOKUP($A291,Devengado!$A$1:$AI$1,22,FALSE),"")</f>
        <v/>
      </c>
      <c r="BD291" s="224" t="str">
        <f>IFERROR(VLOOKUP($A291,Devengado!$A$1:$AI$1,23,FALSE),"")</f>
        <v/>
      </c>
      <c r="BE291" s="224" t="str">
        <f>IFERROR(VLOOKUP($A291,Devengado!$A$1:$AI$1,24,FALSE),"")</f>
        <v/>
      </c>
      <c r="BF291" s="224" t="str">
        <f>IFERROR(VLOOKUP($A291,Devengado!$A$1:$AI$1,25,FALSE),"")</f>
        <v/>
      </c>
      <c r="BG291" s="224" t="str">
        <f>IFERROR(VLOOKUP($A291,Devengado!$A$1:$AI$1,26,FALSE),"")</f>
        <v/>
      </c>
      <c r="BH291" s="224" t="str">
        <f>IFERROR(VLOOKUP($A291,Devengado!$A$1:$AI$1,27,FALSE),"")</f>
        <v/>
      </c>
      <c r="BI291" s="224" t="str">
        <f>IFERROR(VLOOKUP($A291,Devengado!$A$1:$AI$1,28,FALSE),"")</f>
        <v/>
      </c>
      <c r="BJ291" s="224" t="str">
        <f>IFERROR(VLOOKUP($A291,Devengado!$A$1:$AI$1,29,FALSE),"")</f>
        <v/>
      </c>
      <c r="BK291" s="224" t="str">
        <f>IFERROR(VLOOKUP($A291,Devengado!$A$1:$AI$1,30,FALSE),"")</f>
        <v/>
      </c>
      <c r="BL291" s="224" t="str">
        <f>IFERROR(VLOOKUP($A291,Devengado!$A$1:$AI$1,31,FALSE),"")</f>
        <v/>
      </c>
      <c r="BM291" s="224" t="str">
        <f>IFERROR(VLOOKUP($A291,Devengado!$A$1:$AI$1,32,FALSE),"")</f>
        <v/>
      </c>
      <c r="BN291" s="224" t="str">
        <f>IFERROR(VLOOKUP($A291,Devengado!$A$1:$AI$1,33,FALSE),"")</f>
        <v/>
      </c>
      <c r="BO291" s="224">
        <f t="shared" si="36"/>
        <v>0</v>
      </c>
      <c r="BP291" s="224" t="str">
        <f t="shared" si="37"/>
        <v/>
      </c>
      <c r="BQ291" s="207"/>
      <c r="BR291" s="207" t="str">
        <f t="shared" si="38"/>
        <v>53</v>
      </c>
    </row>
    <row r="292" spans="1:70" s="225" customFormat="1" ht="25.5" customHeight="1">
      <c r="A292" s="207">
        <v>288</v>
      </c>
      <c r="B292" s="112" t="s">
        <v>287</v>
      </c>
      <c r="C292" s="112" t="s">
        <v>77</v>
      </c>
      <c r="D292" s="112" t="s">
        <v>77</v>
      </c>
      <c r="E292" s="112" t="s">
        <v>76</v>
      </c>
      <c r="F292" s="112" t="s">
        <v>77</v>
      </c>
      <c r="G292" s="112" t="s">
        <v>77</v>
      </c>
      <c r="H292" s="112" t="s">
        <v>77</v>
      </c>
      <c r="I292" s="112" t="s">
        <v>77</v>
      </c>
      <c r="J292" s="112" t="s">
        <v>77</v>
      </c>
      <c r="K292" s="112" t="s">
        <v>77</v>
      </c>
      <c r="L292" s="112" t="s">
        <v>85</v>
      </c>
      <c r="M292" s="112" t="s">
        <v>320</v>
      </c>
      <c r="N292" s="114" t="s">
        <v>289</v>
      </c>
      <c r="O292" s="123">
        <v>80</v>
      </c>
      <c r="P292" s="114" t="s">
        <v>81</v>
      </c>
      <c r="Q292" s="114" t="s">
        <v>112</v>
      </c>
      <c r="R292" s="115" t="str">
        <f t="shared" si="32"/>
        <v>57</v>
      </c>
      <c r="S292" s="112">
        <v>570102</v>
      </c>
      <c r="T292" s="122" t="e">
        <f>VLOOKUP(S292,ITEM!$C$1:$D$156,2,FALSE)</f>
        <v>#N/A</v>
      </c>
      <c r="U292" s="112">
        <v>900</v>
      </c>
      <c r="V292" s="114" t="s">
        <v>82</v>
      </c>
      <c r="W292" s="114" t="s">
        <v>84</v>
      </c>
      <c r="X292" s="114" t="s">
        <v>84</v>
      </c>
      <c r="Y292" s="224" t="e">
        <f>'Matriz POA 2024-TRABAJO'!#REF!</f>
        <v>#REF!</v>
      </c>
      <c r="Z292" s="224" t="e">
        <f>'Matriz POA 2024-TRABAJO'!#REF!</f>
        <v>#REF!</v>
      </c>
      <c r="AA292" s="224" t="e">
        <f>'Matriz POA 2024-TRABAJO'!#REF!</f>
        <v>#REF!</v>
      </c>
      <c r="AB292" s="279"/>
      <c r="AC292" s="279">
        <v>120.75</v>
      </c>
      <c r="AD292" s="279"/>
      <c r="AE292" s="279"/>
      <c r="AF292" s="279"/>
      <c r="AG292" s="279"/>
      <c r="AH292" s="279"/>
      <c r="AI292" s="279"/>
      <c r="AJ292" s="279"/>
      <c r="AK292" s="279"/>
      <c r="AL292" s="279"/>
      <c r="AM292" s="279"/>
      <c r="AN292" s="224" t="e">
        <f>SUM(#REF!)</f>
        <v>#REF!</v>
      </c>
      <c r="AO292" s="224">
        <f t="shared" si="33"/>
        <v>120.75</v>
      </c>
      <c r="AP292" s="224" t="e">
        <f t="shared" si="39"/>
        <v>#REF!</v>
      </c>
      <c r="AQ292" s="224"/>
      <c r="AR292" s="224"/>
      <c r="AS292" s="224"/>
      <c r="AT292" s="224" t="str">
        <f>IFERROR(VLOOKUP($A292,'Constancias POA'!$A$2:$DH$9993,17,FALSE),"")</f>
        <v/>
      </c>
      <c r="AU292" s="224" t="str">
        <f t="shared" si="34"/>
        <v/>
      </c>
      <c r="AV292" s="224" t="str">
        <f>IFERROR(VLOOKUP($A292,CP!$A$1:$U$7992,18,FALSE),"")</f>
        <v/>
      </c>
      <c r="AW292" s="224" t="str">
        <f>IFERROR(VLOOKUP($A292,CP!$A$1:$U$7992,19,FALSE),"")</f>
        <v/>
      </c>
      <c r="AX292" s="224" t="str">
        <f>IFERROR(VLOOKUP($A292,CP!$A$1:$U$7992,20,FALSE),"")</f>
        <v/>
      </c>
      <c r="AY292" s="224" t="str">
        <f>IFERROR(VLOOKUP($A292,CP!$A$1:$U$1,21,FALSE),"")</f>
        <v/>
      </c>
      <c r="AZ292" s="224" t="str">
        <f>IFERROR(VLOOKUP(A292,Devengado!$A$1:AJ1,35,FALSE),"")</f>
        <v/>
      </c>
      <c r="BA292" s="224" t="str">
        <f t="shared" si="35"/>
        <v/>
      </c>
      <c r="BB292" s="224" t="str">
        <f>IFERROR(AZ292/#REF!,"")</f>
        <v/>
      </c>
      <c r="BC292" s="224" t="str">
        <f>IFERROR(VLOOKUP($A292,Devengado!$A$1:$AI$1,22,FALSE),"")</f>
        <v/>
      </c>
      <c r="BD292" s="224" t="str">
        <f>IFERROR(VLOOKUP($A292,Devengado!$A$1:$AI$1,23,FALSE),"")</f>
        <v/>
      </c>
      <c r="BE292" s="224" t="str">
        <f>IFERROR(VLOOKUP($A292,Devengado!$A$1:$AI$1,24,FALSE),"")</f>
        <v/>
      </c>
      <c r="BF292" s="224" t="str">
        <f>IFERROR(VLOOKUP($A292,Devengado!$A$1:$AI$1,25,FALSE),"")</f>
        <v/>
      </c>
      <c r="BG292" s="224" t="str">
        <f>IFERROR(VLOOKUP($A292,Devengado!$A$1:$AI$1,26,FALSE),"")</f>
        <v/>
      </c>
      <c r="BH292" s="224" t="str">
        <f>IFERROR(VLOOKUP($A292,Devengado!$A$1:$AI$1,27,FALSE),"")</f>
        <v/>
      </c>
      <c r="BI292" s="224" t="str">
        <f>IFERROR(VLOOKUP($A292,Devengado!$A$1:$AI$1,28,FALSE),"")</f>
        <v/>
      </c>
      <c r="BJ292" s="224" t="str">
        <f>IFERROR(VLOOKUP($A292,Devengado!$A$1:$AI$1,29,FALSE),"")</f>
        <v/>
      </c>
      <c r="BK292" s="224" t="str">
        <f>IFERROR(VLOOKUP($A292,Devengado!$A$1:$AI$1,30,FALSE),"")</f>
        <v/>
      </c>
      <c r="BL292" s="224" t="str">
        <f>IFERROR(VLOOKUP($A292,Devengado!$A$1:$AI$1,31,FALSE),"")</f>
        <v/>
      </c>
      <c r="BM292" s="224" t="str">
        <f>IFERROR(VLOOKUP($A292,Devengado!$A$1:$AI$1,32,FALSE),"")</f>
        <v/>
      </c>
      <c r="BN292" s="224" t="str">
        <f>IFERROR(VLOOKUP($A292,Devengado!$A$1:$AI$1,33,FALSE),"")</f>
        <v/>
      </c>
      <c r="BO292" s="224">
        <f t="shared" si="36"/>
        <v>0</v>
      </c>
      <c r="BP292" s="224" t="str">
        <f t="shared" si="37"/>
        <v/>
      </c>
      <c r="BQ292" s="207"/>
      <c r="BR292" s="207" t="str">
        <f t="shared" si="38"/>
        <v>57</v>
      </c>
    </row>
    <row r="293" spans="1:70" s="225" customFormat="1" ht="25.5" customHeight="1">
      <c r="A293" s="207">
        <v>289</v>
      </c>
      <c r="B293" s="112" t="s">
        <v>287</v>
      </c>
      <c r="C293" s="112" t="s">
        <v>77</v>
      </c>
      <c r="D293" s="112" t="s">
        <v>77</v>
      </c>
      <c r="E293" s="112" t="s">
        <v>76</v>
      </c>
      <c r="F293" s="112" t="s">
        <v>77</v>
      </c>
      <c r="G293" s="112" t="s">
        <v>77</v>
      </c>
      <c r="H293" s="112" t="s">
        <v>77</v>
      </c>
      <c r="I293" s="112" t="s">
        <v>77</v>
      </c>
      <c r="J293" s="112" t="s">
        <v>77</v>
      </c>
      <c r="K293" s="112" t="s">
        <v>77</v>
      </c>
      <c r="L293" s="112" t="s">
        <v>85</v>
      </c>
      <c r="M293" s="112" t="s">
        <v>321</v>
      </c>
      <c r="N293" s="114" t="s">
        <v>289</v>
      </c>
      <c r="O293" s="123">
        <v>80</v>
      </c>
      <c r="P293" s="114" t="s">
        <v>81</v>
      </c>
      <c r="Q293" s="114" t="s">
        <v>112</v>
      </c>
      <c r="R293" s="115" t="str">
        <f t="shared" si="32"/>
        <v>57</v>
      </c>
      <c r="S293" s="112">
        <v>570102</v>
      </c>
      <c r="T293" s="122" t="e">
        <f>VLOOKUP(S293,ITEM!$C$1:$D$156,2,FALSE)</f>
        <v>#N/A</v>
      </c>
      <c r="U293" s="112">
        <v>900</v>
      </c>
      <c r="V293" s="114" t="s">
        <v>82</v>
      </c>
      <c r="W293" s="114" t="s">
        <v>84</v>
      </c>
      <c r="X293" s="114" t="s">
        <v>84</v>
      </c>
      <c r="Y293" s="224" t="e">
        <f>'Matriz POA 2024-TRABAJO'!#REF!</f>
        <v>#REF!</v>
      </c>
      <c r="Z293" s="224" t="e">
        <f>'Matriz POA 2024-TRABAJO'!#REF!</f>
        <v>#REF!</v>
      </c>
      <c r="AA293" s="224" t="e">
        <f>'Matriz POA 2024-TRABAJO'!#REF!</f>
        <v>#REF!</v>
      </c>
      <c r="AB293" s="279">
        <v>0</v>
      </c>
      <c r="AC293" s="279">
        <v>90.78</v>
      </c>
      <c r="AD293" s="279">
        <v>0</v>
      </c>
      <c r="AE293" s="279">
        <v>0</v>
      </c>
      <c r="AF293" s="279">
        <v>0</v>
      </c>
      <c r="AG293" s="279">
        <v>0</v>
      </c>
      <c r="AH293" s="279">
        <v>0</v>
      </c>
      <c r="AI293" s="279">
        <v>0</v>
      </c>
      <c r="AJ293" s="279">
        <v>0</v>
      </c>
      <c r="AK293" s="279">
        <v>0</v>
      </c>
      <c r="AL293" s="279">
        <v>0</v>
      </c>
      <c r="AM293" s="279">
        <v>0</v>
      </c>
      <c r="AN293" s="224" t="e">
        <f>SUM(#REF!)</f>
        <v>#REF!</v>
      </c>
      <c r="AO293" s="224">
        <f t="shared" si="33"/>
        <v>90.78</v>
      </c>
      <c r="AP293" s="224" t="e">
        <f t="shared" si="39"/>
        <v>#REF!</v>
      </c>
      <c r="AQ293" s="224"/>
      <c r="AR293" s="224"/>
      <c r="AS293" s="224"/>
      <c r="AT293" s="224" t="str">
        <f>IFERROR(VLOOKUP($A293,'Constancias POA'!$A$2:$DH$9993,17,FALSE),"")</f>
        <v/>
      </c>
      <c r="AU293" s="224" t="str">
        <f t="shared" si="34"/>
        <v/>
      </c>
      <c r="AV293" s="224" t="str">
        <f>IFERROR(VLOOKUP($A293,CP!$A$1:$U$7992,18,FALSE),"")</f>
        <v/>
      </c>
      <c r="AW293" s="224" t="str">
        <f>IFERROR(VLOOKUP($A293,CP!$A$1:$U$7992,19,FALSE),"")</f>
        <v/>
      </c>
      <c r="AX293" s="224" t="str">
        <f>IFERROR(VLOOKUP($A293,CP!$A$1:$U$7992,20,FALSE),"")</f>
        <v/>
      </c>
      <c r="AY293" s="224" t="str">
        <f>IFERROR(VLOOKUP($A293,CP!$A$1:$U$1,21,FALSE),"")</f>
        <v/>
      </c>
      <c r="AZ293" s="224" t="str">
        <f>IFERROR(VLOOKUP(A293,Devengado!$A$1:AJ1,35,FALSE),"")</f>
        <v/>
      </c>
      <c r="BA293" s="224" t="str">
        <f t="shared" si="35"/>
        <v/>
      </c>
      <c r="BB293" s="224" t="str">
        <f>IFERROR(AZ293/#REF!,"")</f>
        <v/>
      </c>
      <c r="BC293" s="224" t="str">
        <f>IFERROR(VLOOKUP($A293,Devengado!$A$1:$AI$1,22,FALSE),"")</f>
        <v/>
      </c>
      <c r="BD293" s="224" t="str">
        <f>IFERROR(VLOOKUP($A293,Devengado!$A$1:$AI$1,23,FALSE),"")</f>
        <v/>
      </c>
      <c r="BE293" s="224" t="str">
        <f>IFERROR(VLOOKUP($A293,Devengado!$A$1:$AI$1,24,FALSE),"")</f>
        <v/>
      </c>
      <c r="BF293" s="224" t="str">
        <f>IFERROR(VLOOKUP($A293,Devengado!$A$1:$AI$1,25,FALSE),"")</f>
        <v/>
      </c>
      <c r="BG293" s="224" t="str">
        <f>IFERROR(VLOOKUP($A293,Devengado!$A$1:$AI$1,26,FALSE),"")</f>
        <v/>
      </c>
      <c r="BH293" s="224" t="str">
        <f>IFERROR(VLOOKUP($A293,Devengado!$A$1:$AI$1,27,FALSE),"")</f>
        <v/>
      </c>
      <c r="BI293" s="224" t="str">
        <f>IFERROR(VLOOKUP($A293,Devengado!$A$1:$AI$1,28,FALSE),"")</f>
        <v/>
      </c>
      <c r="BJ293" s="224" t="str">
        <f>IFERROR(VLOOKUP($A293,Devengado!$A$1:$AI$1,29,FALSE),"")</f>
        <v/>
      </c>
      <c r="BK293" s="224" t="str">
        <f>IFERROR(VLOOKUP($A293,Devengado!$A$1:$AI$1,30,FALSE),"")</f>
        <v/>
      </c>
      <c r="BL293" s="224" t="str">
        <f>IFERROR(VLOOKUP($A293,Devengado!$A$1:$AI$1,31,FALSE),"")</f>
        <v/>
      </c>
      <c r="BM293" s="224" t="str">
        <f>IFERROR(VLOOKUP($A293,Devengado!$A$1:$AI$1,32,FALSE),"")</f>
        <v/>
      </c>
      <c r="BN293" s="224" t="str">
        <f>IFERROR(VLOOKUP($A293,Devengado!$A$1:$AI$1,33,FALSE),"")</f>
        <v/>
      </c>
      <c r="BO293" s="224">
        <f t="shared" si="36"/>
        <v>0</v>
      </c>
      <c r="BP293" s="224" t="str">
        <f t="shared" si="37"/>
        <v/>
      </c>
      <c r="BQ293" s="207"/>
      <c r="BR293" s="207" t="str">
        <f t="shared" si="38"/>
        <v>57</v>
      </c>
    </row>
    <row r="294" spans="1:70" s="225" customFormat="1" ht="25.5" customHeight="1">
      <c r="A294" s="207">
        <v>290</v>
      </c>
      <c r="B294" s="112" t="s">
        <v>287</v>
      </c>
      <c r="C294" s="112" t="s">
        <v>77</v>
      </c>
      <c r="D294" s="112" t="s">
        <v>77</v>
      </c>
      <c r="E294" s="112" t="s">
        <v>76</v>
      </c>
      <c r="F294" s="112" t="s">
        <v>77</v>
      </c>
      <c r="G294" s="112" t="s">
        <v>77</v>
      </c>
      <c r="H294" s="112" t="s">
        <v>77</v>
      </c>
      <c r="I294" s="112" t="s">
        <v>77</v>
      </c>
      <c r="J294" s="112" t="s">
        <v>77</v>
      </c>
      <c r="K294" s="112" t="s">
        <v>77</v>
      </c>
      <c r="L294" s="112" t="s">
        <v>85</v>
      </c>
      <c r="M294" s="112" t="s">
        <v>322</v>
      </c>
      <c r="N294" s="114" t="s">
        <v>289</v>
      </c>
      <c r="O294" s="123">
        <v>80</v>
      </c>
      <c r="P294" s="114" t="s">
        <v>81</v>
      </c>
      <c r="Q294" s="114" t="s">
        <v>112</v>
      </c>
      <c r="R294" s="115" t="str">
        <f t="shared" si="32"/>
        <v>57</v>
      </c>
      <c r="S294" s="112">
        <v>570102</v>
      </c>
      <c r="T294" s="122" t="e">
        <f>VLOOKUP(S294,ITEM!$C$1:$D$156,2,FALSE)</f>
        <v>#N/A</v>
      </c>
      <c r="U294" s="112">
        <v>900</v>
      </c>
      <c r="V294" s="114" t="s">
        <v>82</v>
      </c>
      <c r="W294" s="114" t="s">
        <v>84</v>
      </c>
      <c r="X294" s="114" t="s">
        <v>84</v>
      </c>
      <c r="Y294" s="224" t="e">
        <f>'Matriz POA 2024-TRABAJO'!#REF!</f>
        <v>#REF!</v>
      </c>
      <c r="Z294" s="224" t="e">
        <f>'Matriz POA 2024-TRABAJO'!#REF!</f>
        <v>#REF!</v>
      </c>
      <c r="AA294" s="224" t="e">
        <f>'Matriz POA 2024-TRABAJO'!#REF!</f>
        <v>#REF!</v>
      </c>
      <c r="AB294" s="279">
        <v>0</v>
      </c>
      <c r="AC294" s="279">
        <v>3173.8</v>
      </c>
      <c r="AD294" s="279">
        <v>0</v>
      </c>
      <c r="AE294" s="279">
        <v>0</v>
      </c>
      <c r="AF294" s="279">
        <v>0</v>
      </c>
      <c r="AG294" s="279">
        <v>0</v>
      </c>
      <c r="AH294" s="279">
        <v>0</v>
      </c>
      <c r="AI294" s="279">
        <v>0</v>
      </c>
      <c r="AJ294" s="279">
        <v>0</v>
      </c>
      <c r="AK294" s="279">
        <v>0</v>
      </c>
      <c r="AL294" s="279">
        <v>0</v>
      </c>
      <c r="AM294" s="279">
        <v>0</v>
      </c>
      <c r="AN294" s="224" t="e">
        <f>SUM(#REF!)</f>
        <v>#REF!</v>
      </c>
      <c r="AO294" s="224">
        <f t="shared" si="33"/>
        <v>3173.8</v>
      </c>
      <c r="AP294" s="224" t="e">
        <f t="shared" si="39"/>
        <v>#REF!</v>
      </c>
      <c r="AQ294" s="224"/>
      <c r="AR294" s="224"/>
      <c r="AS294" s="224"/>
      <c r="AT294" s="224" t="str">
        <f>IFERROR(VLOOKUP($A294,'Constancias POA'!$A$2:$DH$9993,17,FALSE),"")</f>
        <v/>
      </c>
      <c r="AU294" s="224" t="str">
        <f t="shared" si="34"/>
        <v/>
      </c>
      <c r="AV294" s="224" t="str">
        <f>IFERROR(VLOOKUP($A294,CP!$A$1:$U$7992,18,FALSE),"")</f>
        <v/>
      </c>
      <c r="AW294" s="224" t="str">
        <f>IFERROR(VLOOKUP($A294,CP!$A$1:$U$7992,19,FALSE),"")</f>
        <v/>
      </c>
      <c r="AX294" s="224" t="str">
        <f>IFERROR(VLOOKUP($A294,CP!$A$1:$U$7992,20,FALSE),"")</f>
        <v/>
      </c>
      <c r="AY294" s="224" t="str">
        <f>IFERROR(VLOOKUP($A294,CP!$A$1:$U$1,21,FALSE),"")</f>
        <v/>
      </c>
      <c r="AZ294" s="224" t="str">
        <f>IFERROR(VLOOKUP(A294,Devengado!$A$1:AJ1,35,FALSE),"")</f>
        <v/>
      </c>
      <c r="BA294" s="224" t="str">
        <f t="shared" si="35"/>
        <v/>
      </c>
      <c r="BB294" s="224" t="str">
        <f>IFERROR(AZ294/#REF!,"")</f>
        <v/>
      </c>
      <c r="BC294" s="224" t="str">
        <f>IFERROR(VLOOKUP($A294,Devengado!$A$1:$AI$1,22,FALSE),"")</f>
        <v/>
      </c>
      <c r="BD294" s="224" t="str">
        <f>IFERROR(VLOOKUP($A294,Devengado!$A$1:$AI$1,23,FALSE),"")</f>
        <v/>
      </c>
      <c r="BE294" s="224" t="str">
        <f>IFERROR(VLOOKUP($A294,Devengado!$A$1:$AI$1,24,FALSE),"")</f>
        <v/>
      </c>
      <c r="BF294" s="224" t="str">
        <f>IFERROR(VLOOKUP($A294,Devengado!$A$1:$AI$1,25,FALSE),"")</f>
        <v/>
      </c>
      <c r="BG294" s="224" t="str">
        <f>IFERROR(VLOOKUP($A294,Devengado!$A$1:$AI$1,26,FALSE),"")</f>
        <v/>
      </c>
      <c r="BH294" s="224" t="str">
        <f>IFERROR(VLOOKUP($A294,Devengado!$A$1:$AI$1,27,FALSE),"")</f>
        <v/>
      </c>
      <c r="BI294" s="224" t="str">
        <f>IFERROR(VLOOKUP($A294,Devengado!$A$1:$AI$1,28,FALSE),"")</f>
        <v/>
      </c>
      <c r="BJ294" s="224" t="str">
        <f>IFERROR(VLOOKUP($A294,Devengado!$A$1:$AI$1,29,FALSE),"")</f>
        <v/>
      </c>
      <c r="BK294" s="224" t="str">
        <f>IFERROR(VLOOKUP($A294,Devengado!$A$1:$AI$1,30,FALSE),"")</f>
        <v/>
      </c>
      <c r="BL294" s="224" t="str">
        <f>IFERROR(VLOOKUP($A294,Devengado!$A$1:$AI$1,31,FALSE),"")</f>
        <v/>
      </c>
      <c r="BM294" s="224" t="str">
        <f>IFERROR(VLOOKUP($A294,Devengado!$A$1:$AI$1,32,FALSE),"")</f>
        <v/>
      </c>
      <c r="BN294" s="224" t="str">
        <f>IFERROR(VLOOKUP($A294,Devengado!$A$1:$AI$1,33,FALSE),"")</f>
        <v/>
      </c>
      <c r="BO294" s="224">
        <f t="shared" si="36"/>
        <v>0</v>
      </c>
      <c r="BP294" s="224" t="str">
        <f t="shared" si="37"/>
        <v/>
      </c>
      <c r="BQ294" s="207"/>
      <c r="BR294" s="207" t="str">
        <f t="shared" si="38"/>
        <v>57</v>
      </c>
    </row>
    <row r="295" spans="1:70" s="225" customFormat="1" ht="25.5" customHeight="1">
      <c r="A295" s="207">
        <v>291</v>
      </c>
      <c r="B295" s="112" t="s">
        <v>287</v>
      </c>
      <c r="C295" s="112" t="s">
        <v>77</v>
      </c>
      <c r="D295" s="112" t="s">
        <v>77</v>
      </c>
      <c r="E295" s="112" t="s">
        <v>76</v>
      </c>
      <c r="F295" s="112" t="s">
        <v>77</v>
      </c>
      <c r="G295" s="112" t="s">
        <v>77</v>
      </c>
      <c r="H295" s="112" t="s">
        <v>77</v>
      </c>
      <c r="I295" s="112" t="s">
        <v>77</v>
      </c>
      <c r="J295" s="112" t="s">
        <v>77</v>
      </c>
      <c r="K295" s="112" t="s">
        <v>77</v>
      </c>
      <c r="L295" s="112" t="s">
        <v>85</v>
      </c>
      <c r="M295" s="112" t="s">
        <v>323</v>
      </c>
      <c r="N295" s="114" t="s">
        <v>289</v>
      </c>
      <c r="O295" s="123">
        <v>80</v>
      </c>
      <c r="P295" s="114" t="s">
        <v>81</v>
      </c>
      <c r="Q295" s="114" t="s">
        <v>112</v>
      </c>
      <c r="R295" s="115" t="str">
        <f t="shared" si="32"/>
        <v>57</v>
      </c>
      <c r="S295" s="112">
        <v>570102</v>
      </c>
      <c r="T295" s="122" t="e">
        <f>VLOOKUP(S295,ITEM!$C$1:$D$156,2,FALSE)</f>
        <v>#N/A</v>
      </c>
      <c r="U295" s="112">
        <v>900</v>
      </c>
      <c r="V295" s="114" t="s">
        <v>82</v>
      </c>
      <c r="W295" s="114" t="s">
        <v>84</v>
      </c>
      <c r="X295" s="114" t="s">
        <v>84</v>
      </c>
      <c r="Y295" s="224" t="e">
        <f>'Matriz POA 2024-TRABAJO'!#REF!</f>
        <v>#REF!</v>
      </c>
      <c r="Z295" s="224" t="e">
        <f>'Matriz POA 2024-TRABAJO'!#REF!</f>
        <v>#REF!</v>
      </c>
      <c r="AA295" s="224" t="e">
        <f>'Matriz POA 2024-TRABAJO'!#REF!</f>
        <v>#REF!</v>
      </c>
      <c r="AB295" s="279">
        <v>0</v>
      </c>
      <c r="AC295" s="279">
        <v>15609.54</v>
      </c>
      <c r="AD295" s="279">
        <v>0</v>
      </c>
      <c r="AE295" s="279">
        <v>0</v>
      </c>
      <c r="AF295" s="279">
        <v>0</v>
      </c>
      <c r="AG295" s="279">
        <v>0</v>
      </c>
      <c r="AH295" s="279">
        <v>0</v>
      </c>
      <c r="AI295" s="279">
        <v>0</v>
      </c>
      <c r="AJ295" s="279">
        <v>0</v>
      </c>
      <c r="AK295" s="279">
        <v>0</v>
      </c>
      <c r="AL295" s="279">
        <v>0</v>
      </c>
      <c r="AM295" s="279">
        <v>0</v>
      </c>
      <c r="AN295" s="224" t="e">
        <f>SUM(#REF!)</f>
        <v>#REF!</v>
      </c>
      <c r="AO295" s="224">
        <f t="shared" si="33"/>
        <v>15609.54</v>
      </c>
      <c r="AP295" s="224" t="e">
        <f t="shared" si="39"/>
        <v>#REF!</v>
      </c>
      <c r="AQ295" s="224"/>
      <c r="AR295" s="224"/>
      <c r="AS295" s="224"/>
      <c r="AT295" s="224" t="str">
        <f>IFERROR(VLOOKUP($A295,'Constancias POA'!$A$2:$DH$9993,17,FALSE),"")</f>
        <v/>
      </c>
      <c r="AU295" s="224" t="str">
        <f t="shared" si="34"/>
        <v/>
      </c>
      <c r="AV295" s="224" t="str">
        <f>IFERROR(VLOOKUP($A295,CP!$A$1:$U$7992,18,FALSE),"")</f>
        <v/>
      </c>
      <c r="AW295" s="224" t="str">
        <f>IFERROR(VLOOKUP($A295,CP!$A$1:$U$7992,19,FALSE),"")</f>
        <v/>
      </c>
      <c r="AX295" s="224" t="str">
        <f>IFERROR(VLOOKUP($A295,CP!$A$1:$U$7992,20,FALSE),"")</f>
        <v/>
      </c>
      <c r="AY295" s="224" t="str">
        <f>IFERROR(VLOOKUP($A295,CP!$A$1:$U$1,21,FALSE),"")</f>
        <v/>
      </c>
      <c r="AZ295" s="224" t="str">
        <f>IFERROR(VLOOKUP(A295,Devengado!$A$1:AJ1,35,FALSE),"")</f>
        <v/>
      </c>
      <c r="BA295" s="224" t="str">
        <f t="shared" si="35"/>
        <v/>
      </c>
      <c r="BB295" s="224" t="str">
        <f>IFERROR(AZ295/#REF!,"")</f>
        <v/>
      </c>
      <c r="BC295" s="224" t="str">
        <f>IFERROR(VLOOKUP($A295,Devengado!$A$1:$AI$1,22,FALSE),"")</f>
        <v/>
      </c>
      <c r="BD295" s="224" t="str">
        <f>IFERROR(VLOOKUP($A295,Devengado!$A$1:$AI$1,23,FALSE),"")</f>
        <v/>
      </c>
      <c r="BE295" s="224" t="str">
        <f>IFERROR(VLOOKUP($A295,Devengado!$A$1:$AI$1,24,FALSE),"")</f>
        <v/>
      </c>
      <c r="BF295" s="224" t="str">
        <f>IFERROR(VLOOKUP($A295,Devengado!$A$1:$AI$1,25,FALSE),"")</f>
        <v/>
      </c>
      <c r="BG295" s="224" t="str">
        <f>IFERROR(VLOOKUP($A295,Devengado!$A$1:$AI$1,26,FALSE),"")</f>
        <v/>
      </c>
      <c r="BH295" s="224" t="str">
        <f>IFERROR(VLOOKUP($A295,Devengado!$A$1:$AI$1,27,FALSE),"")</f>
        <v/>
      </c>
      <c r="BI295" s="224" t="str">
        <f>IFERROR(VLOOKUP($A295,Devengado!$A$1:$AI$1,28,FALSE),"")</f>
        <v/>
      </c>
      <c r="BJ295" s="224" t="str">
        <f>IFERROR(VLOOKUP($A295,Devengado!$A$1:$AI$1,29,FALSE),"")</f>
        <v/>
      </c>
      <c r="BK295" s="224" t="str">
        <f>IFERROR(VLOOKUP($A295,Devengado!$A$1:$AI$1,30,FALSE),"")</f>
        <v/>
      </c>
      <c r="BL295" s="224" t="str">
        <f>IFERROR(VLOOKUP($A295,Devengado!$A$1:$AI$1,31,FALSE),"")</f>
        <v/>
      </c>
      <c r="BM295" s="224" t="str">
        <f>IFERROR(VLOOKUP($A295,Devengado!$A$1:$AI$1,32,FALSE),"")</f>
        <v/>
      </c>
      <c r="BN295" s="224" t="str">
        <f>IFERROR(VLOOKUP($A295,Devengado!$A$1:$AI$1,33,FALSE),"")</f>
        <v/>
      </c>
      <c r="BO295" s="224">
        <f t="shared" si="36"/>
        <v>0</v>
      </c>
      <c r="BP295" s="224" t="str">
        <f t="shared" si="37"/>
        <v/>
      </c>
      <c r="BQ295" s="207"/>
      <c r="BR295" s="207" t="str">
        <f t="shared" si="38"/>
        <v>57</v>
      </c>
    </row>
    <row r="296" spans="1:70" s="225" customFormat="1" ht="15.75" customHeight="1">
      <c r="A296" s="207">
        <v>292</v>
      </c>
      <c r="B296" s="112" t="s">
        <v>287</v>
      </c>
      <c r="C296" s="112" t="s">
        <v>77</v>
      </c>
      <c r="D296" s="112" t="s">
        <v>77</v>
      </c>
      <c r="E296" s="112" t="s">
        <v>76</v>
      </c>
      <c r="F296" s="112" t="s">
        <v>77</v>
      </c>
      <c r="G296" s="112" t="s">
        <v>77</v>
      </c>
      <c r="H296" s="112" t="s">
        <v>77</v>
      </c>
      <c r="I296" s="112" t="s">
        <v>77</v>
      </c>
      <c r="J296" s="112" t="s">
        <v>77</v>
      </c>
      <c r="K296" s="112" t="s">
        <v>77</v>
      </c>
      <c r="L296" s="112" t="s">
        <v>85</v>
      </c>
      <c r="M296" s="112" t="s">
        <v>324</v>
      </c>
      <c r="N296" s="114" t="s">
        <v>289</v>
      </c>
      <c r="O296" s="123">
        <v>80</v>
      </c>
      <c r="P296" s="114" t="s">
        <v>81</v>
      </c>
      <c r="Q296" s="114" t="s">
        <v>112</v>
      </c>
      <c r="R296" s="115" t="str">
        <f t="shared" si="32"/>
        <v>57</v>
      </c>
      <c r="S296" s="112">
        <v>570102</v>
      </c>
      <c r="T296" s="122" t="e">
        <f>VLOOKUP(S296,ITEM!$C$1:$D$156,2,FALSE)</f>
        <v>#N/A</v>
      </c>
      <c r="U296" s="112">
        <v>900</v>
      </c>
      <c r="V296" s="114" t="s">
        <v>82</v>
      </c>
      <c r="W296" s="114" t="s">
        <v>84</v>
      </c>
      <c r="X296" s="114" t="s">
        <v>84</v>
      </c>
      <c r="Y296" s="224" t="e">
        <f>'Matriz POA 2024-TRABAJO'!#REF!</f>
        <v>#REF!</v>
      </c>
      <c r="Z296" s="224" t="e">
        <f>'Matriz POA 2024-TRABAJO'!#REF!</f>
        <v>#REF!</v>
      </c>
      <c r="AA296" s="224" t="e">
        <f>'Matriz POA 2024-TRABAJO'!#REF!</f>
        <v>#REF!</v>
      </c>
      <c r="AB296" s="279">
        <v>0</v>
      </c>
      <c r="AC296" s="279">
        <v>0</v>
      </c>
      <c r="AD296" s="279">
        <v>0</v>
      </c>
      <c r="AE296" s="279">
        <v>0</v>
      </c>
      <c r="AF296" s="279">
        <v>0</v>
      </c>
      <c r="AG296" s="279">
        <v>180.54</v>
      </c>
      <c r="AH296" s="279">
        <v>0</v>
      </c>
      <c r="AI296" s="279">
        <v>0</v>
      </c>
      <c r="AJ296" s="279">
        <v>0</v>
      </c>
      <c r="AK296" s="279">
        <v>0</v>
      </c>
      <c r="AL296" s="279">
        <v>0</v>
      </c>
      <c r="AM296" s="279">
        <v>0</v>
      </c>
      <c r="AN296" s="224" t="e">
        <f>SUM(#REF!)</f>
        <v>#REF!</v>
      </c>
      <c r="AO296" s="224">
        <f t="shared" si="33"/>
        <v>180.54</v>
      </c>
      <c r="AP296" s="224" t="e">
        <f>+AO296-AA296</f>
        <v>#REF!</v>
      </c>
      <c r="AQ296" s="224"/>
      <c r="AR296" s="224"/>
      <c r="AS296" s="224"/>
      <c r="AT296" s="224" t="str">
        <f>IFERROR(VLOOKUP($A296,'Constancias POA'!$A$2:$DH$9993,17,FALSE),"")</f>
        <v/>
      </c>
      <c r="AU296" s="224" t="str">
        <f t="shared" si="34"/>
        <v/>
      </c>
      <c r="AV296" s="224" t="str">
        <f>IFERROR(VLOOKUP($A296,CP!$A$1:$U$7992,18,FALSE),"")</f>
        <v/>
      </c>
      <c r="AW296" s="224" t="str">
        <f>IFERROR(VLOOKUP($A296,CP!$A$1:$U$7992,19,FALSE),"")</f>
        <v/>
      </c>
      <c r="AX296" s="224" t="str">
        <f>IFERROR(VLOOKUP($A296,CP!$A$1:$U$7992,20,FALSE),"")</f>
        <v/>
      </c>
      <c r="AY296" s="224" t="str">
        <f>IFERROR(VLOOKUP($A296,CP!$A$1:$U$1,21,FALSE),"")</f>
        <v/>
      </c>
      <c r="AZ296" s="224" t="str">
        <f>IFERROR(VLOOKUP(A296,Devengado!$A$1:AJ1,35,FALSE),"")</f>
        <v/>
      </c>
      <c r="BA296" s="224" t="str">
        <f t="shared" si="35"/>
        <v/>
      </c>
      <c r="BB296" s="224" t="str">
        <f>IFERROR(AZ296/#REF!,"")</f>
        <v/>
      </c>
      <c r="BC296" s="224" t="str">
        <f>IFERROR(VLOOKUP($A296,Devengado!$A$1:$AI$1,22,FALSE),"")</f>
        <v/>
      </c>
      <c r="BD296" s="224" t="str">
        <f>IFERROR(VLOOKUP($A296,Devengado!$A$1:$AI$1,23,FALSE),"")</f>
        <v/>
      </c>
      <c r="BE296" s="224" t="str">
        <f>IFERROR(VLOOKUP($A296,Devengado!$A$1:$AI$1,24,FALSE),"")</f>
        <v/>
      </c>
      <c r="BF296" s="224" t="str">
        <f>IFERROR(VLOOKUP($A296,Devengado!$A$1:$AI$1,25,FALSE),"")</f>
        <v/>
      </c>
      <c r="BG296" s="224" t="str">
        <f>IFERROR(VLOOKUP($A296,Devengado!$A$1:$AI$1,26,FALSE),"")</f>
        <v/>
      </c>
      <c r="BH296" s="224" t="str">
        <f>IFERROR(VLOOKUP($A296,Devengado!$A$1:$AI$1,27,FALSE),"")</f>
        <v/>
      </c>
      <c r="BI296" s="224" t="str">
        <f>IFERROR(VLOOKUP($A296,Devengado!$A$1:$AI$1,28,FALSE),"")</f>
        <v/>
      </c>
      <c r="BJ296" s="224" t="str">
        <f>IFERROR(VLOOKUP($A296,Devengado!$A$1:$AI$1,29,FALSE),"")</f>
        <v/>
      </c>
      <c r="BK296" s="224" t="str">
        <f>IFERROR(VLOOKUP($A296,Devengado!$A$1:$AI$1,30,FALSE),"")</f>
        <v/>
      </c>
      <c r="BL296" s="224" t="str">
        <f>IFERROR(VLOOKUP($A296,Devengado!$A$1:$AI$1,31,FALSE),"")</f>
        <v/>
      </c>
      <c r="BM296" s="224" t="str">
        <f>IFERROR(VLOOKUP($A296,Devengado!$A$1:$AI$1,32,FALSE),"")</f>
        <v/>
      </c>
      <c r="BN296" s="224" t="str">
        <f>IFERROR(VLOOKUP($A296,Devengado!$A$1:$AI$1,33,FALSE),"")</f>
        <v/>
      </c>
      <c r="BO296" s="224">
        <f t="shared" si="36"/>
        <v>0</v>
      </c>
      <c r="BP296" s="224" t="str">
        <f t="shared" si="37"/>
        <v/>
      </c>
      <c r="BQ296" s="207"/>
      <c r="BR296" s="207" t="str">
        <f t="shared" si="38"/>
        <v>57</v>
      </c>
    </row>
    <row r="297" spans="1:70" s="225" customFormat="1" ht="25.5" customHeight="1">
      <c r="A297" s="207">
        <v>293</v>
      </c>
      <c r="B297" s="112" t="s">
        <v>287</v>
      </c>
      <c r="C297" s="112" t="s">
        <v>77</v>
      </c>
      <c r="D297" s="112" t="s">
        <v>77</v>
      </c>
      <c r="E297" s="112" t="s">
        <v>76</v>
      </c>
      <c r="F297" s="112" t="s">
        <v>77</v>
      </c>
      <c r="G297" s="112" t="s">
        <v>77</v>
      </c>
      <c r="H297" s="112" t="s">
        <v>77</v>
      </c>
      <c r="I297" s="112" t="s">
        <v>77</v>
      </c>
      <c r="J297" s="112" t="s">
        <v>77</v>
      </c>
      <c r="K297" s="112" t="s">
        <v>77</v>
      </c>
      <c r="L297" s="112" t="s">
        <v>85</v>
      </c>
      <c r="M297" s="112" t="s">
        <v>325</v>
      </c>
      <c r="N297" s="114" t="s">
        <v>289</v>
      </c>
      <c r="O297" s="123">
        <v>80</v>
      </c>
      <c r="P297" s="114" t="s">
        <v>81</v>
      </c>
      <c r="Q297" s="114" t="s">
        <v>112</v>
      </c>
      <c r="R297" s="115" t="str">
        <f t="shared" si="32"/>
        <v>57</v>
      </c>
      <c r="S297" s="112">
        <v>570102</v>
      </c>
      <c r="T297" s="122" t="e">
        <f>VLOOKUP(S297,ITEM!$C$1:$D$156,2,FALSE)</f>
        <v>#N/A</v>
      </c>
      <c r="U297" s="112">
        <v>900</v>
      </c>
      <c r="V297" s="114" t="s">
        <v>82</v>
      </c>
      <c r="W297" s="114" t="s">
        <v>84</v>
      </c>
      <c r="X297" s="114" t="s">
        <v>84</v>
      </c>
      <c r="Y297" s="224" t="e">
        <f>'Matriz POA 2024-TRABAJO'!#REF!</f>
        <v>#REF!</v>
      </c>
      <c r="Z297" s="224" t="e">
        <f>'Matriz POA 2024-TRABAJO'!#REF!</f>
        <v>#REF!</v>
      </c>
      <c r="AA297" s="224" t="e">
        <f>'Matriz POA 2024-TRABAJO'!#REF!</f>
        <v>#REF!</v>
      </c>
      <c r="AB297" s="279"/>
      <c r="AC297" s="279">
        <v>120.75</v>
      </c>
      <c r="AD297" s="279"/>
      <c r="AE297" s="279"/>
      <c r="AF297" s="279"/>
      <c r="AG297" s="279"/>
      <c r="AH297" s="279"/>
      <c r="AI297" s="279"/>
      <c r="AJ297" s="279"/>
      <c r="AK297" s="279"/>
      <c r="AL297" s="279"/>
      <c r="AM297" s="279"/>
      <c r="AN297" s="224" t="e">
        <f>SUM(#REF!)</f>
        <v>#REF!</v>
      </c>
      <c r="AO297" s="224">
        <f t="shared" si="33"/>
        <v>120.75</v>
      </c>
      <c r="AP297" s="224" t="e">
        <f t="shared" si="39"/>
        <v>#REF!</v>
      </c>
      <c r="AQ297" s="224"/>
      <c r="AR297" s="224"/>
      <c r="AS297" s="224"/>
      <c r="AT297" s="224" t="str">
        <f>IFERROR(VLOOKUP($A297,'Constancias POA'!$A$2:$DH$9993,17,FALSE),"")</f>
        <v/>
      </c>
      <c r="AU297" s="224" t="str">
        <f t="shared" si="34"/>
        <v/>
      </c>
      <c r="AV297" s="224" t="str">
        <f>IFERROR(VLOOKUP($A297,CP!$A$1:$U$7992,18,FALSE),"")</f>
        <v/>
      </c>
      <c r="AW297" s="224" t="str">
        <f>IFERROR(VLOOKUP($A297,CP!$A$1:$U$7992,19,FALSE),"")</f>
        <v/>
      </c>
      <c r="AX297" s="224" t="str">
        <f>IFERROR(VLOOKUP($A297,CP!$A$1:$U$7992,20,FALSE),"")</f>
        <v/>
      </c>
      <c r="AY297" s="224" t="str">
        <f>IFERROR(VLOOKUP($A297,CP!$A$1:$U$1,21,FALSE),"")</f>
        <v/>
      </c>
      <c r="AZ297" s="224" t="str">
        <f>IFERROR(VLOOKUP(A297,Devengado!$A$1:AJ1,35,FALSE),"")</f>
        <v/>
      </c>
      <c r="BA297" s="224" t="str">
        <f t="shared" si="35"/>
        <v/>
      </c>
      <c r="BB297" s="224" t="str">
        <f>IFERROR(AZ297/#REF!,"")</f>
        <v/>
      </c>
      <c r="BC297" s="224" t="str">
        <f>IFERROR(VLOOKUP($A297,Devengado!$A$1:$AI$1,22,FALSE),"")</f>
        <v/>
      </c>
      <c r="BD297" s="224" t="str">
        <f>IFERROR(VLOOKUP($A297,Devengado!$A$1:$AI$1,23,FALSE),"")</f>
        <v/>
      </c>
      <c r="BE297" s="224" t="str">
        <f>IFERROR(VLOOKUP($A297,Devengado!$A$1:$AI$1,24,FALSE),"")</f>
        <v/>
      </c>
      <c r="BF297" s="224" t="str">
        <f>IFERROR(VLOOKUP($A297,Devengado!$A$1:$AI$1,25,FALSE),"")</f>
        <v/>
      </c>
      <c r="BG297" s="224" t="str">
        <f>IFERROR(VLOOKUP($A297,Devengado!$A$1:$AI$1,26,FALSE),"")</f>
        <v/>
      </c>
      <c r="BH297" s="224" t="str">
        <f>IFERROR(VLOOKUP($A297,Devengado!$A$1:$AI$1,27,FALSE),"")</f>
        <v/>
      </c>
      <c r="BI297" s="224" t="str">
        <f>IFERROR(VLOOKUP($A297,Devengado!$A$1:$AI$1,28,FALSE),"")</f>
        <v/>
      </c>
      <c r="BJ297" s="224" t="str">
        <f>IFERROR(VLOOKUP($A297,Devengado!$A$1:$AI$1,29,FALSE),"")</f>
        <v/>
      </c>
      <c r="BK297" s="224" t="str">
        <f>IFERROR(VLOOKUP($A297,Devengado!$A$1:$AI$1,30,FALSE),"")</f>
        <v/>
      </c>
      <c r="BL297" s="224" t="str">
        <f>IFERROR(VLOOKUP($A297,Devengado!$A$1:$AI$1,31,FALSE),"")</f>
        <v/>
      </c>
      <c r="BM297" s="224" t="str">
        <f>IFERROR(VLOOKUP($A297,Devengado!$A$1:$AI$1,32,FALSE),"")</f>
        <v/>
      </c>
      <c r="BN297" s="224" t="str">
        <f>IFERROR(VLOOKUP($A297,Devengado!$A$1:$AI$1,33,FALSE),"")</f>
        <v/>
      </c>
      <c r="BO297" s="224">
        <f t="shared" si="36"/>
        <v>0</v>
      </c>
      <c r="BP297" s="224" t="str">
        <f t="shared" si="37"/>
        <v/>
      </c>
      <c r="BQ297" s="207"/>
      <c r="BR297" s="207" t="str">
        <f t="shared" si="38"/>
        <v>57</v>
      </c>
    </row>
    <row r="298" spans="1:70" s="225" customFormat="1" ht="15.75" customHeight="1">
      <c r="A298" s="207">
        <v>294</v>
      </c>
      <c r="B298" s="112" t="s">
        <v>287</v>
      </c>
      <c r="C298" s="112" t="s">
        <v>77</v>
      </c>
      <c r="D298" s="112" t="s">
        <v>77</v>
      </c>
      <c r="E298" s="112" t="s">
        <v>76</v>
      </c>
      <c r="F298" s="112" t="s">
        <v>77</v>
      </c>
      <c r="G298" s="112" t="s">
        <v>77</v>
      </c>
      <c r="H298" s="112" t="s">
        <v>77</v>
      </c>
      <c r="I298" s="112" t="s">
        <v>77</v>
      </c>
      <c r="J298" s="112" t="s">
        <v>77</v>
      </c>
      <c r="K298" s="112" t="s">
        <v>77</v>
      </c>
      <c r="L298" s="112" t="s">
        <v>85</v>
      </c>
      <c r="M298" s="112" t="s">
        <v>326</v>
      </c>
      <c r="N298" s="114" t="s">
        <v>289</v>
      </c>
      <c r="O298" s="123">
        <v>80</v>
      </c>
      <c r="P298" s="114" t="s">
        <v>81</v>
      </c>
      <c r="Q298" s="114" t="s">
        <v>112</v>
      </c>
      <c r="R298" s="115" t="str">
        <f t="shared" si="32"/>
        <v>57</v>
      </c>
      <c r="S298" s="112">
        <v>570102</v>
      </c>
      <c r="T298" s="122" t="e">
        <f>VLOOKUP(S298,ITEM!$C$1:$D$156,2,FALSE)</f>
        <v>#N/A</v>
      </c>
      <c r="U298" s="112">
        <v>900</v>
      </c>
      <c r="V298" s="114" t="s">
        <v>82</v>
      </c>
      <c r="W298" s="114" t="s">
        <v>84</v>
      </c>
      <c r="X298" s="114" t="s">
        <v>84</v>
      </c>
      <c r="Y298" s="224" t="e">
        <f>'Matriz POA 2024-TRABAJO'!#REF!</f>
        <v>#REF!</v>
      </c>
      <c r="Z298" s="224" t="e">
        <f>'Matriz POA 2024-TRABAJO'!#REF!</f>
        <v>#REF!</v>
      </c>
      <c r="AA298" s="224" t="e">
        <f>'Matriz POA 2024-TRABAJO'!#REF!</f>
        <v>#REF!</v>
      </c>
      <c r="AB298" s="279">
        <v>0</v>
      </c>
      <c r="AC298" s="279">
        <v>0</v>
      </c>
      <c r="AD298" s="279">
        <v>384.85</v>
      </c>
      <c r="AE298" s="279">
        <v>0</v>
      </c>
      <c r="AF298" s="279">
        <v>0</v>
      </c>
      <c r="AG298" s="279">
        <v>0</v>
      </c>
      <c r="AH298" s="279">
        <v>0</v>
      </c>
      <c r="AI298" s="279">
        <v>0</v>
      </c>
      <c r="AJ298" s="279">
        <v>0</v>
      </c>
      <c r="AK298" s="279">
        <v>0</v>
      </c>
      <c r="AL298" s="279">
        <v>0</v>
      </c>
      <c r="AM298" s="279">
        <v>0</v>
      </c>
      <c r="AN298" s="224" t="e">
        <f>SUM(#REF!)</f>
        <v>#REF!</v>
      </c>
      <c r="AO298" s="224">
        <f t="shared" si="33"/>
        <v>384.85</v>
      </c>
      <c r="AP298" s="224" t="e">
        <f>+AO298-AA298</f>
        <v>#REF!</v>
      </c>
      <c r="AQ298" s="224"/>
      <c r="AR298" s="224"/>
      <c r="AS298" s="224"/>
      <c r="AT298" s="224" t="str">
        <f>IFERROR(VLOOKUP($A298,'Constancias POA'!$A$2:$DH$9993,17,FALSE),"")</f>
        <v/>
      </c>
      <c r="AU298" s="224" t="str">
        <f t="shared" si="34"/>
        <v/>
      </c>
      <c r="AV298" s="224" t="str">
        <f>IFERROR(VLOOKUP($A298,CP!$A$1:$U$7992,18,FALSE),"")</f>
        <v/>
      </c>
      <c r="AW298" s="224" t="str">
        <f>IFERROR(VLOOKUP($A298,CP!$A$1:$U$7992,19,FALSE),"")</f>
        <v/>
      </c>
      <c r="AX298" s="224" t="str">
        <f>IFERROR(VLOOKUP($A298,CP!$A$1:$U$7992,20,FALSE),"")</f>
        <v/>
      </c>
      <c r="AY298" s="224" t="str">
        <f>IFERROR(VLOOKUP($A298,CP!$A$1:$U$1,21,FALSE),"")</f>
        <v/>
      </c>
      <c r="AZ298" s="224" t="str">
        <f>IFERROR(VLOOKUP(A298,Devengado!$A$1:AJ1,35,FALSE),"")</f>
        <v/>
      </c>
      <c r="BA298" s="224" t="str">
        <f t="shared" si="35"/>
        <v/>
      </c>
      <c r="BB298" s="224" t="str">
        <f>IFERROR(AZ298/#REF!,"")</f>
        <v/>
      </c>
      <c r="BC298" s="224" t="str">
        <f>IFERROR(VLOOKUP($A298,Devengado!$A$1:$AI$1,22,FALSE),"")</f>
        <v/>
      </c>
      <c r="BD298" s="224" t="str">
        <f>IFERROR(VLOOKUP($A298,Devengado!$A$1:$AI$1,23,FALSE),"")</f>
        <v/>
      </c>
      <c r="BE298" s="224" t="str">
        <f>IFERROR(VLOOKUP($A298,Devengado!$A$1:$AI$1,24,FALSE),"")</f>
        <v/>
      </c>
      <c r="BF298" s="224" t="str">
        <f>IFERROR(VLOOKUP($A298,Devengado!$A$1:$AI$1,25,FALSE),"")</f>
        <v/>
      </c>
      <c r="BG298" s="224" t="str">
        <f>IFERROR(VLOOKUP($A298,Devengado!$A$1:$AI$1,26,FALSE),"")</f>
        <v/>
      </c>
      <c r="BH298" s="224" t="str">
        <f>IFERROR(VLOOKUP($A298,Devengado!$A$1:$AI$1,27,FALSE),"")</f>
        <v/>
      </c>
      <c r="BI298" s="224" t="str">
        <f>IFERROR(VLOOKUP($A298,Devengado!$A$1:$AI$1,28,FALSE),"")</f>
        <v/>
      </c>
      <c r="BJ298" s="224" t="str">
        <f>IFERROR(VLOOKUP($A298,Devengado!$A$1:$AI$1,29,FALSE),"")</f>
        <v/>
      </c>
      <c r="BK298" s="224" t="str">
        <f>IFERROR(VLOOKUP($A298,Devengado!$A$1:$AI$1,30,FALSE),"")</f>
        <v/>
      </c>
      <c r="BL298" s="224" t="str">
        <f>IFERROR(VLOOKUP($A298,Devengado!$A$1:$AI$1,31,FALSE),"")</f>
        <v/>
      </c>
      <c r="BM298" s="224" t="str">
        <f>IFERROR(VLOOKUP($A298,Devengado!$A$1:$AI$1,32,FALSE),"")</f>
        <v/>
      </c>
      <c r="BN298" s="224" t="str">
        <f>IFERROR(VLOOKUP($A298,Devengado!$A$1:$AI$1,33,FALSE),"")</f>
        <v/>
      </c>
      <c r="BO298" s="224">
        <f t="shared" si="36"/>
        <v>0</v>
      </c>
      <c r="BP298" s="224" t="str">
        <f t="shared" si="37"/>
        <v/>
      </c>
      <c r="BQ298" s="207"/>
      <c r="BR298" s="207" t="str">
        <f t="shared" si="38"/>
        <v>57</v>
      </c>
    </row>
    <row r="299" spans="1:70" s="225" customFormat="1" ht="25.5" customHeight="1">
      <c r="A299" s="207">
        <v>295</v>
      </c>
      <c r="B299" s="112" t="s">
        <v>287</v>
      </c>
      <c r="C299" s="112" t="s">
        <v>77</v>
      </c>
      <c r="D299" s="112" t="s">
        <v>77</v>
      </c>
      <c r="E299" s="112" t="s">
        <v>76</v>
      </c>
      <c r="F299" s="112" t="s">
        <v>77</v>
      </c>
      <c r="G299" s="112" t="s">
        <v>77</v>
      </c>
      <c r="H299" s="112" t="s">
        <v>77</v>
      </c>
      <c r="I299" s="112" t="s">
        <v>77</v>
      </c>
      <c r="J299" s="112" t="s">
        <v>77</v>
      </c>
      <c r="K299" s="112" t="s">
        <v>77</v>
      </c>
      <c r="L299" s="112" t="s">
        <v>85</v>
      </c>
      <c r="M299" s="112" t="s">
        <v>327</v>
      </c>
      <c r="N299" s="114" t="s">
        <v>289</v>
      </c>
      <c r="O299" s="123">
        <v>80</v>
      </c>
      <c r="P299" s="114" t="s">
        <v>81</v>
      </c>
      <c r="Q299" s="114" t="s">
        <v>112</v>
      </c>
      <c r="R299" s="115" t="str">
        <f t="shared" si="32"/>
        <v>57</v>
      </c>
      <c r="S299" s="112">
        <v>570102</v>
      </c>
      <c r="T299" s="122" t="e">
        <f>VLOOKUP(S299,ITEM!$C$1:$D$156,2,FALSE)</f>
        <v>#N/A</v>
      </c>
      <c r="U299" s="112">
        <v>900</v>
      </c>
      <c r="V299" s="114" t="s">
        <v>82</v>
      </c>
      <c r="W299" s="114" t="s">
        <v>84</v>
      </c>
      <c r="X299" s="114" t="s">
        <v>84</v>
      </c>
      <c r="Y299" s="224" t="e">
        <f>'Matriz POA 2024-TRABAJO'!#REF!</f>
        <v>#REF!</v>
      </c>
      <c r="Z299" s="224" t="e">
        <f>'Matriz POA 2024-TRABAJO'!#REF!</f>
        <v>#REF!</v>
      </c>
      <c r="AA299" s="224" t="e">
        <f>'Matriz POA 2024-TRABAJO'!#REF!</f>
        <v>#REF!</v>
      </c>
      <c r="AB299" s="279">
        <v>0</v>
      </c>
      <c r="AC299" s="279">
        <v>191.28</v>
      </c>
      <c r="AD299" s="279">
        <v>0</v>
      </c>
      <c r="AE299" s="279">
        <v>0</v>
      </c>
      <c r="AF299" s="279">
        <v>0</v>
      </c>
      <c r="AG299" s="279">
        <v>0</v>
      </c>
      <c r="AH299" s="279">
        <v>0</v>
      </c>
      <c r="AI299" s="279">
        <v>0</v>
      </c>
      <c r="AJ299" s="279">
        <v>0</v>
      </c>
      <c r="AK299" s="279">
        <v>0</v>
      </c>
      <c r="AL299" s="279">
        <v>0</v>
      </c>
      <c r="AM299" s="279">
        <v>0</v>
      </c>
      <c r="AN299" s="224" t="e">
        <f>SUM(#REF!)</f>
        <v>#REF!</v>
      </c>
      <c r="AO299" s="224">
        <f t="shared" si="33"/>
        <v>191.28</v>
      </c>
      <c r="AP299" s="224" t="e">
        <f t="shared" si="39"/>
        <v>#REF!</v>
      </c>
      <c r="AQ299" s="224"/>
      <c r="AR299" s="224"/>
      <c r="AS299" s="224"/>
      <c r="AT299" s="224" t="str">
        <f>IFERROR(VLOOKUP($A299,'Constancias POA'!$A$2:$DH$9993,17,FALSE),"")</f>
        <v/>
      </c>
      <c r="AU299" s="224" t="str">
        <f t="shared" si="34"/>
        <v/>
      </c>
      <c r="AV299" s="224" t="str">
        <f>IFERROR(VLOOKUP($A299,CP!$A$1:$U$7992,18,FALSE),"")</f>
        <v/>
      </c>
      <c r="AW299" s="224" t="str">
        <f>IFERROR(VLOOKUP($A299,CP!$A$1:$U$7992,19,FALSE),"")</f>
        <v/>
      </c>
      <c r="AX299" s="224" t="str">
        <f>IFERROR(VLOOKUP($A299,CP!$A$1:$U$7992,20,FALSE),"")</f>
        <v/>
      </c>
      <c r="AY299" s="224" t="str">
        <f>IFERROR(VLOOKUP($A299,CP!$A$1:$U$1,21,FALSE),"")</f>
        <v/>
      </c>
      <c r="AZ299" s="224" t="str">
        <f>IFERROR(VLOOKUP(A299,Devengado!$A$1:AJ1,35,FALSE),"")</f>
        <v/>
      </c>
      <c r="BA299" s="224" t="str">
        <f t="shared" si="35"/>
        <v/>
      </c>
      <c r="BB299" s="224" t="str">
        <f>IFERROR(AZ299/#REF!,"")</f>
        <v/>
      </c>
      <c r="BC299" s="224" t="str">
        <f>IFERROR(VLOOKUP($A299,Devengado!$A$1:$AI$1,22,FALSE),"")</f>
        <v/>
      </c>
      <c r="BD299" s="224" t="str">
        <f>IFERROR(VLOOKUP($A299,Devengado!$A$1:$AI$1,23,FALSE),"")</f>
        <v/>
      </c>
      <c r="BE299" s="224" t="str">
        <f>IFERROR(VLOOKUP($A299,Devengado!$A$1:$AI$1,24,FALSE),"")</f>
        <v/>
      </c>
      <c r="BF299" s="224" t="str">
        <f>IFERROR(VLOOKUP($A299,Devengado!$A$1:$AI$1,25,FALSE),"")</f>
        <v/>
      </c>
      <c r="BG299" s="224" t="str">
        <f>IFERROR(VLOOKUP($A299,Devengado!$A$1:$AI$1,26,FALSE),"")</f>
        <v/>
      </c>
      <c r="BH299" s="224" t="str">
        <f>IFERROR(VLOOKUP($A299,Devengado!$A$1:$AI$1,27,FALSE),"")</f>
        <v/>
      </c>
      <c r="BI299" s="224" t="str">
        <f>IFERROR(VLOOKUP($A299,Devengado!$A$1:$AI$1,28,FALSE),"")</f>
        <v/>
      </c>
      <c r="BJ299" s="224" t="str">
        <f>IFERROR(VLOOKUP($A299,Devengado!$A$1:$AI$1,29,FALSE),"")</f>
        <v/>
      </c>
      <c r="BK299" s="224" t="str">
        <f>IFERROR(VLOOKUP($A299,Devengado!$A$1:$AI$1,30,FALSE),"")</f>
        <v/>
      </c>
      <c r="BL299" s="224" t="str">
        <f>IFERROR(VLOOKUP($A299,Devengado!$A$1:$AI$1,31,FALSE),"")</f>
        <v/>
      </c>
      <c r="BM299" s="224" t="str">
        <f>IFERROR(VLOOKUP($A299,Devengado!$A$1:$AI$1,32,FALSE),"")</f>
        <v/>
      </c>
      <c r="BN299" s="224" t="str">
        <f>IFERROR(VLOOKUP($A299,Devengado!$A$1:$AI$1,33,FALSE),"")</f>
        <v/>
      </c>
      <c r="BO299" s="224">
        <f t="shared" si="36"/>
        <v>0</v>
      </c>
      <c r="BP299" s="224" t="str">
        <f t="shared" si="37"/>
        <v/>
      </c>
      <c r="BQ299" s="207"/>
      <c r="BR299" s="207" t="str">
        <f t="shared" si="38"/>
        <v>57</v>
      </c>
    </row>
    <row r="300" spans="1:70" s="225" customFormat="1" ht="25.5" customHeight="1">
      <c r="A300" s="207">
        <v>296</v>
      </c>
      <c r="B300" s="112" t="s">
        <v>287</v>
      </c>
      <c r="C300" s="112" t="s">
        <v>77</v>
      </c>
      <c r="D300" s="112" t="s">
        <v>77</v>
      </c>
      <c r="E300" s="112" t="s">
        <v>76</v>
      </c>
      <c r="F300" s="112" t="s">
        <v>77</v>
      </c>
      <c r="G300" s="112" t="s">
        <v>77</v>
      </c>
      <c r="H300" s="112" t="s">
        <v>77</v>
      </c>
      <c r="I300" s="112" t="s">
        <v>77</v>
      </c>
      <c r="J300" s="112" t="s">
        <v>77</v>
      </c>
      <c r="K300" s="112" t="s">
        <v>77</v>
      </c>
      <c r="L300" s="112" t="s">
        <v>85</v>
      </c>
      <c r="M300" s="112" t="s">
        <v>328</v>
      </c>
      <c r="N300" s="114" t="s">
        <v>289</v>
      </c>
      <c r="O300" s="123">
        <v>80</v>
      </c>
      <c r="P300" s="114" t="s">
        <v>81</v>
      </c>
      <c r="Q300" s="114" t="s">
        <v>112</v>
      </c>
      <c r="R300" s="115" t="str">
        <f t="shared" si="32"/>
        <v>57</v>
      </c>
      <c r="S300" s="112">
        <v>570206</v>
      </c>
      <c r="T300" s="122" t="e">
        <f>VLOOKUP(S300,ITEM!$C$1:$D$156,2,FALSE)</f>
        <v>#N/A</v>
      </c>
      <c r="U300" s="112">
        <v>900</v>
      </c>
      <c r="V300" s="114" t="s">
        <v>82</v>
      </c>
      <c r="W300" s="114" t="s">
        <v>84</v>
      </c>
      <c r="X300" s="114" t="s">
        <v>84</v>
      </c>
      <c r="Y300" s="224" t="e">
        <f>'Matriz POA 2024-TRABAJO'!#REF!</f>
        <v>#REF!</v>
      </c>
      <c r="Z300" s="224" t="e">
        <f>'Matriz POA 2024-TRABAJO'!#REF!</f>
        <v>#REF!</v>
      </c>
      <c r="AA300" s="224" t="e">
        <f>'Matriz POA 2024-TRABAJO'!#REF!</f>
        <v>#REF!</v>
      </c>
      <c r="AB300" s="279">
        <v>0</v>
      </c>
      <c r="AC300" s="279">
        <v>180</v>
      </c>
      <c r="AD300" s="279">
        <v>0</v>
      </c>
      <c r="AE300" s="279">
        <v>0</v>
      </c>
      <c r="AF300" s="279">
        <v>0</v>
      </c>
      <c r="AG300" s="279">
        <v>0</v>
      </c>
      <c r="AH300" s="279">
        <v>0</v>
      </c>
      <c r="AI300" s="279">
        <v>0</v>
      </c>
      <c r="AJ300" s="279">
        <v>0</v>
      </c>
      <c r="AK300" s="279">
        <v>0</v>
      </c>
      <c r="AL300" s="279">
        <v>0</v>
      </c>
      <c r="AM300" s="279">
        <v>0</v>
      </c>
      <c r="AN300" s="224" t="e">
        <f>SUM(#REF!)</f>
        <v>#REF!</v>
      </c>
      <c r="AO300" s="224">
        <f t="shared" si="33"/>
        <v>180</v>
      </c>
      <c r="AP300" s="224" t="e">
        <f t="shared" si="39"/>
        <v>#REF!</v>
      </c>
      <c r="AQ300" s="224"/>
      <c r="AR300" s="224"/>
      <c r="AS300" s="224"/>
      <c r="AT300" s="224" t="str">
        <f>IFERROR(VLOOKUP($A300,'Constancias POA'!$A$2:$DH$9993,17,FALSE),"")</f>
        <v/>
      </c>
      <c r="AU300" s="224" t="str">
        <f t="shared" si="34"/>
        <v/>
      </c>
      <c r="AV300" s="224" t="str">
        <f>IFERROR(VLOOKUP($A300,CP!$A$1:$U$7992,18,FALSE),"")</f>
        <v/>
      </c>
      <c r="AW300" s="224" t="str">
        <f>IFERROR(VLOOKUP($A300,CP!$A$1:$U$7992,19,FALSE),"")</f>
        <v/>
      </c>
      <c r="AX300" s="224" t="str">
        <f>IFERROR(VLOOKUP($A300,CP!$A$1:$U$7992,20,FALSE),"")</f>
        <v/>
      </c>
      <c r="AY300" s="224" t="str">
        <f>IFERROR(VLOOKUP($A300,CP!$A$1:$U$1,21,FALSE),"")</f>
        <v/>
      </c>
      <c r="AZ300" s="224" t="str">
        <f>IFERROR(VLOOKUP(A300,Devengado!$A$1:AJ1,35,FALSE),"")</f>
        <v/>
      </c>
      <c r="BA300" s="224" t="str">
        <f t="shared" si="35"/>
        <v/>
      </c>
      <c r="BB300" s="224" t="str">
        <f>IFERROR(AZ300/#REF!,"")</f>
        <v/>
      </c>
      <c r="BC300" s="224" t="str">
        <f>IFERROR(VLOOKUP($A300,Devengado!$A$1:$AI$1,22,FALSE),"")</f>
        <v/>
      </c>
      <c r="BD300" s="224" t="str">
        <f>IFERROR(VLOOKUP($A300,Devengado!$A$1:$AI$1,23,FALSE),"")</f>
        <v/>
      </c>
      <c r="BE300" s="224" t="str">
        <f>IFERROR(VLOOKUP($A300,Devengado!$A$1:$AI$1,24,FALSE),"")</f>
        <v/>
      </c>
      <c r="BF300" s="224" t="str">
        <f>IFERROR(VLOOKUP($A300,Devengado!$A$1:$AI$1,25,FALSE),"")</f>
        <v/>
      </c>
      <c r="BG300" s="224" t="str">
        <f>IFERROR(VLOOKUP($A300,Devengado!$A$1:$AI$1,26,FALSE),"")</f>
        <v/>
      </c>
      <c r="BH300" s="224" t="str">
        <f>IFERROR(VLOOKUP($A300,Devengado!$A$1:$AI$1,27,FALSE),"")</f>
        <v/>
      </c>
      <c r="BI300" s="224" t="str">
        <f>IFERROR(VLOOKUP($A300,Devengado!$A$1:$AI$1,28,FALSE),"")</f>
        <v/>
      </c>
      <c r="BJ300" s="224" t="str">
        <f>IFERROR(VLOOKUP($A300,Devengado!$A$1:$AI$1,29,FALSE),"")</f>
        <v/>
      </c>
      <c r="BK300" s="224" t="str">
        <f>IFERROR(VLOOKUP($A300,Devengado!$A$1:$AI$1,30,FALSE),"")</f>
        <v/>
      </c>
      <c r="BL300" s="224" t="str">
        <f>IFERROR(VLOOKUP($A300,Devengado!$A$1:$AI$1,31,FALSE),"")</f>
        <v/>
      </c>
      <c r="BM300" s="224" t="str">
        <f>IFERROR(VLOOKUP($A300,Devengado!$A$1:$AI$1,32,FALSE),"")</f>
        <v/>
      </c>
      <c r="BN300" s="224" t="str">
        <f>IFERROR(VLOOKUP($A300,Devengado!$A$1:$AI$1,33,FALSE),"")</f>
        <v/>
      </c>
      <c r="BO300" s="224">
        <f t="shared" si="36"/>
        <v>0</v>
      </c>
      <c r="BP300" s="224" t="str">
        <f t="shared" si="37"/>
        <v/>
      </c>
      <c r="BQ300" s="207"/>
      <c r="BR300" s="207" t="str">
        <f t="shared" si="38"/>
        <v>57</v>
      </c>
    </row>
    <row r="301" spans="1:70" s="225" customFormat="1" ht="25.5" customHeight="1">
      <c r="A301" s="207">
        <v>297</v>
      </c>
      <c r="B301" s="112" t="s">
        <v>287</v>
      </c>
      <c r="C301" s="112" t="s">
        <v>77</v>
      </c>
      <c r="D301" s="112" t="s">
        <v>77</v>
      </c>
      <c r="E301" s="112" t="s">
        <v>76</v>
      </c>
      <c r="F301" s="112" t="s">
        <v>77</v>
      </c>
      <c r="G301" s="112" t="s">
        <v>77</v>
      </c>
      <c r="H301" s="112" t="s">
        <v>77</v>
      </c>
      <c r="I301" s="112" t="s">
        <v>77</v>
      </c>
      <c r="J301" s="112" t="s">
        <v>77</v>
      </c>
      <c r="K301" s="112" t="s">
        <v>77</v>
      </c>
      <c r="L301" s="112" t="s">
        <v>85</v>
      </c>
      <c r="M301" s="112" t="s">
        <v>329</v>
      </c>
      <c r="N301" s="114" t="s">
        <v>289</v>
      </c>
      <c r="O301" s="123">
        <v>80</v>
      </c>
      <c r="P301" s="114" t="s">
        <v>81</v>
      </c>
      <c r="Q301" s="114" t="s">
        <v>112</v>
      </c>
      <c r="R301" s="115" t="str">
        <f t="shared" si="32"/>
        <v>57</v>
      </c>
      <c r="S301" s="112">
        <v>570218</v>
      </c>
      <c r="T301" s="122" t="e">
        <f>VLOOKUP(S301,ITEM!$C$1:$D$156,2,FALSE)</f>
        <v>#N/A</v>
      </c>
      <c r="U301" s="112">
        <v>900</v>
      </c>
      <c r="V301" s="114" t="s">
        <v>82</v>
      </c>
      <c r="W301" s="114" t="s">
        <v>84</v>
      </c>
      <c r="X301" s="114" t="s">
        <v>84</v>
      </c>
      <c r="Y301" s="224" t="e">
        <f>'Matriz POA 2024-TRABAJO'!#REF!</f>
        <v>#REF!</v>
      </c>
      <c r="Z301" s="224" t="e">
        <f>'Matriz POA 2024-TRABAJO'!#REF!</f>
        <v>#REF!</v>
      </c>
      <c r="AA301" s="224" t="e">
        <f>'Matriz POA 2024-TRABAJO'!#REF!</f>
        <v>#REF!</v>
      </c>
      <c r="AB301" s="279">
        <v>0</v>
      </c>
      <c r="AC301" s="279">
        <v>0</v>
      </c>
      <c r="AD301" s="279">
        <v>0</v>
      </c>
      <c r="AE301" s="279">
        <v>0</v>
      </c>
      <c r="AF301" s="279">
        <v>0</v>
      </c>
      <c r="AG301" s="279">
        <v>0</v>
      </c>
      <c r="AH301" s="279">
        <v>0</v>
      </c>
      <c r="AI301" s="279">
        <v>0</v>
      </c>
      <c r="AJ301" s="279">
        <v>0</v>
      </c>
      <c r="AK301" s="279">
        <v>0</v>
      </c>
      <c r="AL301" s="279">
        <v>0</v>
      </c>
      <c r="AM301" s="279">
        <v>0</v>
      </c>
      <c r="AN301" s="224">
        <v>0</v>
      </c>
      <c r="AO301" s="224">
        <f t="shared" si="33"/>
        <v>0</v>
      </c>
      <c r="AP301" s="224" t="e">
        <f t="shared" si="39"/>
        <v>#REF!</v>
      </c>
      <c r="AQ301" s="224"/>
      <c r="AR301" s="224"/>
      <c r="AS301" s="224"/>
      <c r="AT301" s="224" t="str">
        <f>IFERROR(VLOOKUP($A301,'Constancias POA'!$A$2:$DH$9993,17,FALSE),"")</f>
        <v/>
      </c>
      <c r="AU301" s="224" t="str">
        <f t="shared" si="34"/>
        <v/>
      </c>
      <c r="AV301" s="224" t="str">
        <f>IFERROR(VLOOKUP($A301,CP!$A$1:$U$7992,18,FALSE),"")</f>
        <v/>
      </c>
      <c r="AW301" s="224" t="str">
        <f>IFERROR(VLOOKUP($A301,CP!$A$1:$U$7992,19,FALSE),"")</f>
        <v/>
      </c>
      <c r="AX301" s="224" t="str">
        <f>IFERROR(VLOOKUP($A301,CP!$A$1:$U$7992,20,FALSE),"")</f>
        <v/>
      </c>
      <c r="AY301" s="224" t="str">
        <f>IFERROR(VLOOKUP($A301,CP!$A$1:$U$1,21,FALSE),"")</f>
        <v/>
      </c>
      <c r="AZ301" s="224" t="str">
        <f>IFERROR(VLOOKUP(A301,Devengado!$A$1:AJ1,35,FALSE),"")</f>
        <v/>
      </c>
      <c r="BA301" s="224" t="str">
        <f t="shared" si="35"/>
        <v/>
      </c>
      <c r="BB301" s="224" t="str">
        <f>IFERROR(AZ301/#REF!,"")</f>
        <v/>
      </c>
      <c r="BC301" s="224" t="str">
        <f>IFERROR(VLOOKUP($A301,Devengado!$A$1:$AI$1,22,FALSE),"")</f>
        <v/>
      </c>
      <c r="BD301" s="224" t="str">
        <f>IFERROR(VLOOKUP($A301,Devengado!$A$1:$AI$1,23,FALSE),"")</f>
        <v/>
      </c>
      <c r="BE301" s="224" t="str">
        <f>IFERROR(VLOOKUP($A301,Devengado!$A$1:$AI$1,24,FALSE),"")</f>
        <v/>
      </c>
      <c r="BF301" s="224" t="str">
        <f>IFERROR(VLOOKUP($A301,Devengado!$A$1:$AI$1,25,FALSE),"")</f>
        <v/>
      </c>
      <c r="BG301" s="224" t="str">
        <f>IFERROR(VLOOKUP($A301,Devengado!$A$1:$AI$1,26,FALSE),"")</f>
        <v/>
      </c>
      <c r="BH301" s="224" t="str">
        <f>IFERROR(VLOOKUP($A301,Devengado!$A$1:$AI$1,27,FALSE),"")</f>
        <v/>
      </c>
      <c r="BI301" s="224" t="str">
        <f>IFERROR(VLOOKUP($A301,Devengado!$A$1:$AI$1,28,FALSE),"")</f>
        <v/>
      </c>
      <c r="BJ301" s="224" t="str">
        <f>IFERROR(VLOOKUP($A301,Devengado!$A$1:$AI$1,29,FALSE),"")</f>
        <v/>
      </c>
      <c r="BK301" s="224" t="str">
        <f>IFERROR(VLOOKUP($A301,Devengado!$A$1:$AI$1,30,FALSE),"")</f>
        <v/>
      </c>
      <c r="BL301" s="224" t="str">
        <f>IFERROR(VLOOKUP($A301,Devengado!$A$1:$AI$1,31,FALSE),"")</f>
        <v/>
      </c>
      <c r="BM301" s="224" t="str">
        <f>IFERROR(VLOOKUP($A301,Devengado!$A$1:$AI$1,32,FALSE),"")</f>
        <v/>
      </c>
      <c r="BN301" s="224" t="str">
        <f>IFERROR(VLOOKUP($A301,Devengado!$A$1:$AI$1,33,FALSE),"")</f>
        <v/>
      </c>
      <c r="BO301" s="224">
        <f t="shared" si="36"/>
        <v>0</v>
      </c>
      <c r="BP301" s="224" t="str">
        <f t="shared" si="37"/>
        <v/>
      </c>
      <c r="BQ301" s="207"/>
      <c r="BR301" s="207" t="str">
        <f t="shared" si="38"/>
        <v>57</v>
      </c>
    </row>
    <row r="302" spans="1:70" s="225" customFormat="1" ht="25.5" customHeight="1">
      <c r="A302" s="207">
        <v>298</v>
      </c>
      <c r="B302" s="112" t="s">
        <v>287</v>
      </c>
      <c r="C302" s="112" t="s">
        <v>77</v>
      </c>
      <c r="D302" s="112" t="s">
        <v>77</v>
      </c>
      <c r="E302" s="112" t="s">
        <v>76</v>
      </c>
      <c r="F302" s="112" t="s">
        <v>77</v>
      </c>
      <c r="G302" s="112" t="s">
        <v>77</v>
      </c>
      <c r="H302" s="112" t="s">
        <v>77</v>
      </c>
      <c r="I302" s="112" t="s">
        <v>77</v>
      </c>
      <c r="J302" s="112" t="s">
        <v>77</v>
      </c>
      <c r="K302" s="112" t="s">
        <v>77</v>
      </c>
      <c r="L302" s="112" t="s">
        <v>85</v>
      </c>
      <c r="M302" s="112" t="s">
        <v>330</v>
      </c>
      <c r="N302" s="114" t="s">
        <v>289</v>
      </c>
      <c r="O302" s="123">
        <v>80</v>
      </c>
      <c r="P302" s="114" t="s">
        <v>81</v>
      </c>
      <c r="Q302" s="114" t="s">
        <v>112</v>
      </c>
      <c r="R302" s="115" t="str">
        <f t="shared" si="32"/>
        <v>53</v>
      </c>
      <c r="S302" s="112">
        <v>530402</v>
      </c>
      <c r="T302" s="122" t="str">
        <f>VLOOKUP(S302,ITEM!$C$1:$D$156,2,FALSE)</f>
        <v>Edificios, Locales, Residencias y Cableado Estructurado (Instalación, Mantenimiento y Reparación)</v>
      </c>
      <c r="U302" s="112">
        <v>900</v>
      </c>
      <c r="V302" s="114" t="s">
        <v>82</v>
      </c>
      <c r="W302" s="114" t="s">
        <v>84</v>
      </c>
      <c r="X302" s="114" t="s">
        <v>84</v>
      </c>
      <c r="Y302" s="224" t="e">
        <f>'Matriz POA 2024-TRABAJO'!#REF!</f>
        <v>#REF!</v>
      </c>
      <c r="Z302" s="224" t="e">
        <f>'Matriz POA 2024-TRABAJO'!#REF!</f>
        <v>#REF!</v>
      </c>
      <c r="AA302" s="224" t="e">
        <f>'Matriz POA 2024-TRABAJO'!#REF!</f>
        <v>#REF!</v>
      </c>
      <c r="AB302" s="279">
        <v>0</v>
      </c>
      <c r="AC302" s="279">
        <v>0</v>
      </c>
      <c r="AD302" s="279">
        <v>0</v>
      </c>
      <c r="AE302" s="279">
        <v>0</v>
      </c>
      <c r="AF302" s="279">
        <v>0</v>
      </c>
      <c r="AG302" s="279">
        <v>4500</v>
      </c>
      <c r="AH302" s="279">
        <v>0</v>
      </c>
      <c r="AI302" s="279">
        <v>0</v>
      </c>
      <c r="AJ302" s="279">
        <v>0</v>
      </c>
      <c r="AK302" s="279">
        <v>0</v>
      </c>
      <c r="AL302" s="279">
        <v>0</v>
      </c>
      <c r="AM302" s="279">
        <v>0</v>
      </c>
      <c r="AN302" s="224" t="e">
        <f>SUM(#REF!)</f>
        <v>#REF!</v>
      </c>
      <c r="AO302" s="224">
        <f t="shared" si="33"/>
        <v>4500</v>
      </c>
      <c r="AP302" s="224" t="e">
        <f t="shared" si="39"/>
        <v>#REF!</v>
      </c>
      <c r="AQ302" s="224"/>
      <c r="AR302" s="224"/>
      <c r="AS302" s="224"/>
      <c r="AT302" s="224" t="str">
        <f>IFERROR(VLOOKUP($A302,'Constancias POA'!$A$2:$DH$9993,17,FALSE),"")</f>
        <v/>
      </c>
      <c r="AU302" s="224" t="str">
        <f t="shared" si="34"/>
        <v/>
      </c>
      <c r="AV302" s="224" t="str">
        <f>IFERROR(VLOOKUP($A302,CP!$A$1:$U$7992,18,FALSE),"")</f>
        <v/>
      </c>
      <c r="AW302" s="224" t="str">
        <f>IFERROR(VLOOKUP($A302,CP!$A$1:$U$7992,19,FALSE),"")</f>
        <v/>
      </c>
      <c r="AX302" s="224" t="str">
        <f>IFERROR(VLOOKUP($A302,CP!$A$1:$U$7992,20,FALSE),"")</f>
        <v/>
      </c>
      <c r="AY302" s="224" t="str">
        <f>IFERROR(VLOOKUP($A302,CP!$A$1:$U$1,21,FALSE),"")</f>
        <v/>
      </c>
      <c r="AZ302" s="224" t="str">
        <f>IFERROR(VLOOKUP(A302,Devengado!$A$1:AJ1,35,FALSE),"")</f>
        <v/>
      </c>
      <c r="BA302" s="224" t="str">
        <f t="shared" si="35"/>
        <v/>
      </c>
      <c r="BB302" s="224" t="str">
        <f>IFERROR(AZ302/#REF!,"")</f>
        <v/>
      </c>
      <c r="BC302" s="224" t="str">
        <f>IFERROR(VLOOKUP($A302,Devengado!$A$1:$AI$1,22,FALSE),"")</f>
        <v/>
      </c>
      <c r="BD302" s="224" t="str">
        <f>IFERROR(VLOOKUP($A302,Devengado!$A$1:$AI$1,23,FALSE),"")</f>
        <v/>
      </c>
      <c r="BE302" s="224" t="str">
        <f>IFERROR(VLOOKUP($A302,Devengado!$A$1:$AI$1,24,FALSE),"")</f>
        <v/>
      </c>
      <c r="BF302" s="224" t="str">
        <f>IFERROR(VLOOKUP($A302,Devengado!$A$1:$AI$1,25,FALSE),"")</f>
        <v/>
      </c>
      <c r="BG302" s="224" t="str">
        <f>IFERROR(VLOOKUP($A302,Devengado!$A$1:$AI$1,26,FALSE),"")</f>
        <v/>
      </c>
      <c r="BH302" s="224" t="str">
        <f>IFERROR(VLOOKUP($A302,Devengado!$A$1:$AI$1,27,FALSE),"")</f>
        <v/>
      </c>
      <c r="BI302" s="224" t="str">
        <f>IFERROR(VLOOKUP($A302,Devengado!$A$1:$AI$1,28,FALSE),"")</f>
        <v/>
      </c>
      <c r="BJ302" s="224" t="str">
        <f>IFERROR(VLOOKUP($A302,Devengado!$A$1:$AI$1,29,FALSE),"")</f>
        <v/>
      </c>
      <c r="BK302" s="224" t="str">
        <f>IFERROR(VLOOKUP($A302,Devengado!$A$1:$AI$1,30,FALSE),"")</f>
        <v/>
      </c>
      <c r="BL302" s="224" t="str">
        <f>IFERROR(VLOOKUP($A302,Devengado!$A$1:$AI$1,31,FALSE),"")</f>
        <v/>
      </c>
      <c r="BM302" s="224" t="str">
        <f>IFERROR(VLOOKUP($A302,Devengado!$A$1:$AI$1,32,FALSE),"")</f>
        <v/>
      </c>
      <c r="BN302" s="224" t="str">
        <f>IFERROR(VLOOKUP($A302,Devengado!$A$1:$AI$1,33,FALSE),"")</f>
        <v/>
      </c>
      <c r="BO302" s="224">
        <f t="shared" si="36"/>
        <v>0</v>
      </c>
      <c r="BP302" s="224" t="str">
        <f t="shared" si="37"/>
        <v/>
      </c>
      <c r="BQ302" s="207"/>
      <c r="BR302" s="207" t="str">
        <f t="shared" si="38"/>
        <v>53</v>
      </c>
    </row>
    <row r="303" spans="1:70" s="225" customFormat="1" ht="25.5" customHeight="1">
      <c r="A303" s="207">
        <v>299</v>
      </c>
      <c r="B303" s="112" t="s">
        <v>287</v>
      </c>
      <c r="C303" s="112" t="s">
        <v>77</v>
      </c>
      <c r="D303" s="112" t="s">
        <v>77</v>
      </c>
      <c r="E303" s="112" t="s">
        <v>76</v>
      </c>
      <c r="F303" s="112" t="s">
        <v>77</v>
      </c>
      <c r="G303" s="112" t="s">
        <v>77</v>
      </c>
      <c r="H303" s="112" t="s">
        <v>77</v>
      </c>
      <c r="I303" s="112" t="s">
        <v>77</v>
      </c>
      <c r="J303" s="112" t="s">
        <v>77</v>
      </c>
      <c r="K303" s="112" t="s">
        <v>77</v>
      </c>
      <c r="L303" s="112" t="s">
        <v>85</v>
      </c>
      <c r="M303" s="112" t="s">
        <v>331</v>
      </c>
      <c r="N303" s="114" t="s">
        <v>289</v>
      </c>
      <c r="O303" s="123">
        <v>80</v>
      </c>
      <c r="P303" s="114" t="s">
        <v>81</v>
      </c>
      <c r="Q303" s="114" t="s">
        <v>112</v>
      </c>
      <c r="R303" s="115" t="str">
        <f t="shared" si="32"/>
        <v>53</v>
      </c>
      <c r="S303" s="112">
        <v>530402</v>
      </c>
      <c r="T303" s="122" t="str">
        <f>VLOOKUP(S303,ITEM!$C$1:$D$156,2,FALSE)</f>
        <v>Edificios, Locales, Residencias y Cableado Estructurado (Instalación, Mantenimiento y Reparación)</v>
      </c>
      <c r="U303" s="112">
        <v>900</v>
      </c>
      <c r="V303" s="114" t="s">
        <v>82</v>
      </c>
      <c r="W303" s="114" t="s">
        <v>84</v>
      </c>
      <c r="X303" s="114" t="s">
        <v>84</v>
      </c>
      <c r="Y303" s="224" t="e">
        <f>'Matriz POA 2024-TRABAJO'!#REF!</f>
        <v>#REF!</v>
      </c>
      <c r="Z303" s="224" t="e">
        <f>'Matriz POA 2024-TRABAJO'!#REF!</f>
        <v>#REF!</v>
      </c>
      <c r="AA303" s="224" t="e">
        <f>'Matriz POA 2024-TRABAJO'!#REF!</f>
        <v>#REF!</v>
      </c>
      <c r="AB303" s="279">
        <v>33675.86</v>
      </c>
      <c r="AC303" s="279">
        <v>33675.86</v>
      </c>
      <c r="AD303" s="279">
        <v>33675.86</v>
      </c>
      <c r="AE303" s="279">
        <v>33675.86</v>
      </c>
      <c r="AF303" s="279">
        <v>33675.86</v>
      </c>
      <c r="AG303" s="279">
        <v>33675.86</v>
      </c>
      <c r="AH303" s="279">
        <v>33675.86</v>
      </c>
      <c r="AI303" s="279">
        <v>33675.86</v>
      </c>
      <c r="AJ303" s="279">
        <v>33675.86</v>
      </c>
      <c r="AK303" s="279">
        <v>33675.86</v>
      </c>
      <c r="AL303" s="279">
        <v>33675.86</v>
      </c>
      <c r="AM303" s="279">
        <v>33675.879999999997</v>
      </c>
      <c r="AN303" s="224" t="e">
        <f>SUM(#REF!)</f>
        <v>#REF!</v>
      </c>
      <c r="AO303" s="224">
        <f t="shared" si="33"/>
        <v>404110.33999999991</v>
      </c>
      <c r="AP303" s="224" t="e">
        <f t="shared" si="39"/>
        <v>#REF!</v>
      </c>
      <c r="AQ303" s="224"/>
      <c r="AR303" s="224"/>
      <c r="AS303" s="224"/>
      <c r="AT303" s="224" t="str">
        <f>IFERROR(VLOOKUP($A303,'Constancias POA'!$A$2:$DH$9993,17,FALSE),"")</f>
        <v/>
      </c>
      <c r="AU303" s="224" t="str">
        <f t="shared" si="34"/>
        <v/>
      </c>
      <c r="AV303" s="224" t="str">
        <f>IFERROR(VLOOKUP($A303,CP!$A$1:$U$7992,18,FALSE),"")</f>
        <v/>
      </c>
      <c r="AW303" s="224" t="str">
        <f>IFERROR(VLOOKUP($A303,CP!$A$1:$U$7992,19,FALSE),"")</f>
        <v/>
      </c>
      <c r="AX303" s="224" t="str">
        <f>IFERROR(VLOOKUP($A303,CP!$A$1:$U$7992,20,FALSE),"")</f>
        <v/>
      </c>
      <c r="AY303" s="224" t="str">
        <f>IFERROR(VLOOKUP($A303,CP!$A$1:$U$1,21,FALSE),"")</f>
        <v/>
      </c>
      <c r="AZ303" s="224" t="str">
        <f>IFERROR(VLOOKUP(A303,Devengado!$A$1:AJ1,35,FALSE),"")</f>
        <v/>
      </c>
      <c r="BA303" s="224" t="str">
        <f t="shared" si="35"/>
        <v/>
      </c>
      <c r="BB303" s="224" t="str">
        <f>IFERROR(AZ303/#REF!,"")</f>
        <v/>
      </c>
      <c r="BC303" s="224" t="str">
        <f>IFERROR(VLOOKUP($A303,Devengado!$A$1:$AI$1,22,FALSE),"")</f>
        <v/>
      </c>
      <c r="BD303" s="224" t="str">
        <f>IFERROR(VLOOKUP($A303,Devengado!$A$1:$AI$1,23,FALSE),"")</f>
        <v/>
      </c>
      <c r="BE303" s="224" t="str">
        <f>IFERROR(VLOOKUP($A303,Devengado!$A$1:$AI$1,24,FALSE),"")</f>
        <v/>
      </c>
      <c r="BF303" s="224" t="str">
        <f>IFERROR(VLOOKUP($A303,Devengado!$A$1:$AI$1,25,FALSE),"")</f>
        <v/>
      </c>
      <c r="BG303" s="224" t="str">
        <f>IFERROR(VLOOKUP($A303,Devengado!$A$1:$AI$1,26,FALSE),"")</f>
        <v/>
      </c>
      <c r="BH303" s="224" t="str">
        <f>IFERROR(VLOOKUP($A303,Devengado!$A$1:$AI$1,27,FALSE),"")</f>
        <v/>
      </c>
      <c r="BI303" s="224" t="str">
        <f>IFERROR(VLOOKUP($A303,Devengado!$A$1:$AI$1,28,FALSE),"")</f>
        <v/>
      </c>
      <c r="BJ303" s="224" t="str">
        <f>IFERROR(VLOOKUP($A303,Devengado!$A$1:$AI$1,29,FALSE),"")</f>
        <v/>
      </c>
      <c r="BK303" s="224" t="str">
        <f>IFERROR(VLOOKUP($A303,Devengado!$A$1:$AI$1,30,FALSE),"")</f>
        <v/>
      </c>
      <c r="BL303" s="224" t="str">
        <f>IFERROR(VLOOKUP($A303,Devengado!$A$1:$AI$1,31,FALSE),"")</f>
        <v/>
      </c>
      <c r="BM303" s="224" t="str">
        <f>IFERROR(VLOOKUP($A303,Devengado!$A$1:$AI$1,32,FALSE),"")</f>
        <v/>
      </c>
      <c r="BN303" s="224" t="str">
        <f>IFERROR(VLOOKUP($A303,Devengado!$A$1:$AI$1,33,FALSE),"")</f>
        <v/>
      </c>
      <c r="BO303" s="224">
        <f t="shared" si="36"/>
        <v>0</v>
      </c>
      <c r="BP303" s="224" t="str">
        <f t="shared" si="37"/>
        <v/>
      </c>
      <c r="BQ303" s="207"/>
      <c r="BR303" s="207" t="str">
        <f t="shared" si="38"/>
        <v>53</v>
      </c>
    </row>
    <row r="304" spans="1:70" s="225" customFormat="1" ht="25.5" customHeight="1">
      <c r="A304" s="207">
        <v>300</v>
      </c>
      <c r="B304" s="112" t="s">
        <v>287</v>
      </c>
      <c r="C304" s="112" t="s">
        <v>77</v>
      </c>
      <c r="D304" s="112" t="s">
        <v>77</v>
      </c>
      <c r="E304" s="112" t="s">
        <v>76</v>
      </c>
      <c r="F304" s="112" t="s">
        <v>77</v>
      </c>
      <c r="G304" s="112" t="s">
        <v>77</v>
      </c>
      <c r="H304" s="112" t="s">
        <v>77</v>
      </c>
      <c r="I304" s="112" t="s">
        <v>77</v>
      </c>
      <c r="J304" s="112" t="s">
        <v>77</v>
      </c>
      <c r="K304" s="112" t="s">
        <v>77</v>
      </c>
      <c r="L304" s="112" t="s">
        <v>85</v>
      </c>
      <c r="M304" s="112" t="s">
        <v>332</v>
      </c>
      <c r="N304" s="114" t="s">
        <v>289</v>
      </c>
      <c r="O304" s="123">
        <v>80</v>
      </c>
      <c r="P304" s="114" t="s">
        <v>81</v>
      </c>
      <c r="Q304" s="114" t="s">
        <v>112</v>
      </c>
      <c r="R304" s="115" t="str">
        <f t="shared" si="32"/>
        <v>53</v>
      </c>
      <c r="S304" s="112">
        <v>530402</v>
      </c>
      <c r="T304" s="122" t="str">
        <f>VLOOKUP(S304,ITEM!$C$1:$D$156,2,FALSE)</f>
        <v>Edificios, Locales, Residencias y Cableado Estructurado (Instalación, Mantenimiento y Reparación)</v>
      </c>
      <c r="U304" s="112">
        <v>900</v>
      </c>
      <c r="V304" s="114" t="s">
        <v>82</v>
      </c>
      <c r="W304" s="114" t="s">
        <v>84</v>
      </c>
      <c r="X304" s="114" t="s">
        <v>84</v>
      </c>
      <c r="Y304" s="224" t="e">
        <f>'Matriz POA 2024-TRABAJO'!#REF!</f>
        <v>#REF!</v>
      </c>
      <c r="Z304" s="224" t="e">
        <f>'Matriz POA 2024-TRABAJO'!#REF!</f>
        <v>#REF!</v>
      </c>
      <c r="AA304" s="224" t="e">
        <f>'Matriz POA 2024-TRABAJO'!#REF!</f>
        <v>#REF!</v>
      </c>
      <c r="AB304" s="279">
        <v>0</v>
      </c>
      <c r="AC304" s="279">
        <v>0</v>
      </c>
      <c r="AD304" s="279">
        <v>0</v>
      </c>
      <c r="AE304" s="279">
        <v>0</v>
      </c>
      <c r="AF304" s="279">
        <v>3000</v>
      </c>
      <c r="AG304" s="279">
        <v>0</v>
      </c>
      <c r="AH304" s="279">
        <v>0</v>
      </c>
      <c r="AI304" s="279">
        <v>0</v>
      </c>
      <c r="AJ304" s="279">
        <v>0</v>
      </c>
      <c r="AK304" s="279">
        <v>0</v>
      </c>
      <c r="AL304" s="279">
        <v>0</v>
      </c>
      <c r="AM304" s="279">
        <v>0</v>
      </c>
      <c r="AN304" s="224" t="e">
        <f>SUM(#REF!)</f>
        <v>#REF!</v>
      </c>
      <c r="AO304" s="224">
        <f t="shared" si="33"/>
        <v>3000</v>
      </c>
      <c r="AP304" s="224" t="e">
        <f t="shared" si="39"/>
        <v>#REF!</v>
      </c>
      <c r="AQ304" s="224"/>
      <c r="AR304" s="224"/>
      <c r="AS304" s="224"/>
      <c r="AT304" s="224" t="str">
        <f>IFERROR(VLOOKUP($A304,'Constancias POA'!$A$2:$DH$9993,17,FALSE),"")</f>
        <v/>
      </c>
      <c r="AU304" s="224" t="str">
        <f t="shared" si="34"/>
        <v/>
      </c>
      <c r="AV304" s="224" t="str">
        <f>IFERROR(VLOOKUP($A304,CP!$A$1:$U$7992,18,FALSE),"")</f>
        <v/>
      </c>
      <c r="AW304" s="224" t="str">
        <f>IFERROR(VLOOKUP($A304,CP!$A$1:$U$7992,19,FALSE),"")</f>
        <v/>
      </c>
      <c r="AX304" s="224" t="str">
        <f>IFERROR(VLOOKUP($A304,CP!$A$1:$U$7992,20,FALSE),"")</f>
        <v/>
      </c>
      <c r="AY304" s="224" t="str">
        <f>IFERROR(VLOOKUP($A304,CP!$A$1:$U$1,21,FALSE),"")</f>
        <v/>
      </c>
      <c r="AZ304" s="224" t="str">
        <f>IFERROR(VLOOKUP(A304,Devengado!$A$1:AJ1,35,FALSE),"")</f>
        <v/>
      </c>
      <c r="BA304" s="224" t="str">
        <f t="shared" si="35"/>
        <v/>
      </c>
      <c r="BB304" s="224" t="str">
        <f>IFERROR(AZ304/#REF!,"")</f>
        <v/>
      </c>
      <c r="BC304" s="224" t="str">
        <f>IFERROR(VLOOKUP($A304,Devengado!$A$1:$AI$1,22,FALSE),"")</f>
        <v/>
      </c>
      <c r="BD304" s="224" t="str">
        <f>IFERROR(VLOOKUP($A304,Devengado!$A$1:$AI$1,23,FALSE),"")</f>
        <v/>
      </c>
      <c r="BE304" s="224" t="str">
        <f>IFERROR(VLOOKUP($A304,Devengado!$A$1:$AI$1,24,FALSE),"")</f>
        <v/>
      </c>
      <c r="BF304" s="224" t="str">
        <f>IFERROR(VLOOKUP($A304,Devengado!$A$1:$AI$1,25,FALSE),"")</f>
        <v/>
      </c>
      <c r="BG304" s="224" t="str">
        <f>IFERROR(VLOOKUP($A304,Devengado!$A$1:$AI$1,26,FALSE),"")</f>
        <v/>
      </c>
      <c r="BH304" s="224" t="str">
        <f>IFERROR(VLOOKUP($A304,Devengado!$A$1:$AI$1,27,FALSE),"")</f>
        <v/>
      </c>
      <c r="BI304" s="224" t="str">
        <f>IFERROR(VLOOKUP($A304,Devengado!$A$1:$AI$1,28,FALSE),"")</f>
        <v/>
      </c>
      <c r="BJ304" s="224" t="str">
        <f>IFERROR(VLOOKUP($A304,Devengado!$A$1:$AI$1,29,FALSE),"")</f>
        <v/>
      </c>
      <c r="BK304" s="224" t="str">
        <f>IFERROR(VLOOKUP($A304,Devengado!$A$1:$AI$1,30,FALSE),"")</f>
        <v/>
      </c>
      <c r="BL304" s="224" t="str">
        <f>IFERROR(VLOOKUP($A304,Devengado!$A$1:$AI$1,31,FALSE),"")</f>
        <v/>
      </c>
      <c r="BM304" s="224" t="str">
        <f>IFERROR(VLOOKUP($A304,Devengado!$A$1:$AI$1,32,FALSE),"")</f>
        <v/>
      </c>
      <c r="BN304" s="224" t="str">
        <f>IFERROR(VLOOKUP($A304,Devengado!$A$1:$AI$1,33,FALSE),"")</f>
        <v/>
      </c>
      <c r="BO304" s="224">
        <f t="shared" si="36"/>
        <v>0</v>
      </c>
      <c r="BP304" s="224" t="str">
        <f t="shared" si="37"/>
        <v/>
      </c>
      <c r="BQ304" s="207"/>
      <c r="BR304" s="207" t="str">
        <f t="shared" si="38"/>
        <v>53</v>
      </c>
    </row>
    <row r="305" spans="1:70" s="225" customFormat="1" ht="25.5" customHeight="1">
      <c r="A305" s="207">
        <v>301</v>
      </c>
      <c r="B305" s="112" t="s">
        <v>287</v>
      </c>
      <c r="C305" s="112" t="s">
        <v>77</v>
      </c>
      <c r="D305" s="112" t="s">
        <v>77</v>
      </c>
      <c r="E305" s="112" t="s">
        <v>76</v>
      </c>
      <c r="F305" s="112" t="s">
        <v>77</v>
      </c>
      <c r="G305" s="112" t="s">
        <v>77</v>
      </c>
      <c r="H305" s="112" t="s">
        <v>77</v>
      </c>
      <c r="I305" s="112" t="s">
        <v>77</v>
      </c>
      <c r="J305" s="112" t="s">
        <v>77</v>
      </c>
      <c r="K305" s="112" t="s">
        <v>77</v>
      </c>
      <c r="L305" s="112" t="s">
        <v>85</v>
      </c>
      <c r="M305" s="112" t="s">
        <v>333</v>
      </c>
      <c r="N305" s="114" t="s">
        <v>289</v>
      </c>
      <c r="O305" s="123">
        <v>80</v>
      </c>
      <c r="P305" s="114" t="s">
        <v>81</v>
      </c>
      <c r="Q305" s="114" t="s">
        <v>112</v>
      </c>
      <c r="R305" s="115" t="str">
        <f t="shared" si="32"/>
        <v>53</v>
      </c>
      <c r="S305" s="112">
        <v>530402</v>
      </c>
      <c r="T305" s="122" t="str">
        <f>VLOOKUP(S305,ITEM!$C$1:$D$156,2,FALSE)</f>
        <v>Edificios, Locales, Residencias y Cableado Estructurado (Instalación, Mantenimiento y Reparación)</v>
      </c>
      <c r="U305" s="112">
        <v>900</v>
      </c>
      <c r="V305" s="114" t="s">
        <v>82</v>
      </c>
      <c r="W305" s="114" t="s">
        <v>84</v>
      </c>
      <c r="X305" s="114" t="s">
        <v>84</v>
      </c>
      <c r="Y305" s="224" t="e">
        <f>'Matriz POA 2024-TRABAJO'!#REF!</f>
        <v>#REF!</v>
      </c>
      <c r="Z305" s="224" t="e">
        <f>'Matriz POA 2024-TRABAJO'!#REF!</f>
        <v>#REF!</v>
      </c>
      <c r="AA305" s="224" t="e">
        <f>'Matriz POA 2024-TRABAJO'!#REF!</f>
        <v>#REF!</v>
      </c>
      <c r="AB305" s="279">
        <v>0</v>
      </c>
      <c r="AC305" s="279">
        <v>0</v>
      </c>
      <c r="AD305" s="279">
        <v>0</v>
      </c>
      <c r="AE305" s="279">
        <v>0</v>
      </c>
      <c r="AF305" s="279">
        <v>0</v>
      </c>
      <c r="AG305" s="279">
        <v>4000</v>
      </c>
      <c r="AH305" s="279">
        <v>0</v>
      </c>
      <c r="AI305" s="279">
        <v>0</v>
      </c>
      <c r="AJ305" s="279">
        <v>0</v>
      </c>
      <c r="AK305" s="279">
        <v>0</v>
      </c>
      <c r="AL305" s="279">
        <v>0</v>
      </c>
      <c r="AM305" s="279">
        <v>0</v>
      </c>
      <c r="AN305" s="224" t="e">
        <f>SUM(#REF!)</f>
        <v>#REF!</v>
      </c>
      <c r="AO305" s="224">
        <f t="shared" si="33"/>
        <v>4000</v>
      </c>
      <c r="AP305" s="224" t="e">
        <f t="shared" si="39"/>
        <v>#REF!</v>
      </c>
      <c r="AQ305" s="224"/>
      <c r="AR305" s="224"/>
      <c r="AS305" s="224"/>
      <c r="AT305" s="224" t="str">
        <f>IFERROR(VLOOKUP($A305,'Constancias POA'!$A$2:$DH$9993,17,FALSE),"")</f>
        <v/>
      </c>
      <c r="AU305" s="224" t="str">
        <f t="shared" si="34"/>
        <v/>
      </c>
      <c r="AV305" s="224" t="str">
        <f>IFERROR(VLOOKUP($A305,CP!$A$1:$U$7992,18,FALSE),"")</f>
        <v/>
      </c>
      <c r="AW305" s="224" t="str">
        <f>IFERROR(VLOOKUP($A305,CP!$A$1:$U$7992,19,FALSE),"")</f>
        <v/>
      </c>
      <c r="AX305" s="224" t="str">
        <f>IFERROR(VLOOKUP($A305,CP!$A$1:$U$7992,20,FALSE),"")</f>
        <v/>
      </c>
      <c r="AY305" s="224" t="str">
        <f>IFERROR(VLOOKUP($A305,CP!$A$1:$U$1,21,FALSE),"")</f>
        <v/>
      </c>
      <c r="AZ305" s="224" t="str">
        <f>IFERROR(VLOOKUP(A305,Devengado!$A$1:AJ1,35,FALSE),"")</f>
        <v/>
      </c>
      <c r="BA305" s="224" t="str">
        <f t="shared" si="35"/>
        <v/>
      </c>
      <c r="BB305" s="224" t="str">
        <f>IFERROR(AZ305/#REF!,"")</f>
        <v/>
      </c>
      <c r="BC305" s="224" t="str">
        <f>IFERROR(VLOOKUP($A305,Devengado!$A$1:$AI$1,22,FALSE),"")</f>
        <v/>
      </c>
      <c r="BD305" s="224" t="str">
        <f>IFERROR(VLOOKUP($A305,Devengado!$A$1:$AI$1,23,FALSE),"")</f>
        <v/>
      </c>
      <c r="BE305" s="224" t="str">
        <f>IFERROR(VLOOKUP($A305,Devengado!$A$1:$AI$1,24,FALSE),"")</f>
        <v/>
      </c>
      <c r="BF305" s="224" t="str">
        <f>IFERROR(VLOOKUP($A305,Devengado!$A$1:$AI$1,25,FALSE),"")</f>
        <v/>
      </c>
      <c r="BG305" s="224" t="str">
        <f>IFERROR(VLOOKUP($A305,Devengado!$A$1:$AI$1,26,FALSE),"")</f>
        <v/>
      </c>
      <c r="BH305" s="224" t="str">
        <f>IFERROR(VLOOKUP($A305,Devengado!$A$1:$AI$1,27,FALSE),"")</f>
        <v/>
      </c>
      <c r="BI305" s="224" t="str">
        <f>IFERROR(VLOOKUP($A305,Devengado!$A$1:$AI$1,28,FALSE),"")</f>
        <v/>
      </c>
      <c r="BJ305" s="224" t="str">
        <f>IFERROR(VLOOKUP($A305,Devengado!$A$1:$AI$1,29,FALSE),"")</f>
        <v/>
      </c>
      <c r="BK305" s="224" t="str">
        <f>IFERROR(VLOOKUP($A305,Devengado!$A$1:$AI$1,30,FALSE),"")</f>
        <v/>
      </c>
      <c r="BL305" s="224" t="str">
        <f>IFERROR(VLOOKUP($A305,Devengado!$A$1:$AI$1,31,FALSE),"")</f>
        <v/>
      </c>
      <c r="BM305" s="224" t="str">
        <f>IFERROR(VLOOKUP($A305,Devengado!$A$1:$AI$1,32,FALSE),"")</f>
        <v/>
      </c>
      <c r="BN305" s="224" t="str">
        <f>IFERROR(VLOOKUP($A305,Devengado!$A$1:$AI$1,33,FALSE),"")</f>
        <v/>
      </c>
      <c r="BO305" s="224">
        <f t="shared" si="36"/>
        <v>0</v>
      </c>
      <c r="BP305" s="224" t="str">
        <f t="shared" si="37"/>
        <v/>
      </c>
      <c r="BQ305" s="207"/>
      <c r="BR305" s="207" t="str">
        <f t="shared" si="38"/>
        <v>53</v>
      </c>
    </row>
    <row r="306" spans="1:70" s="225" customFormat="1" ht="25.5" customHeight="1">
      <c r="A306" s="207">
        <v>302</v>
      </c>
      <c r="B306" s="112" t="s">
        <v>287</v>
      </c>
      <c r="C306" s="112" t="s">
        <v>77</v>
      </c>
      <c r="D306" s="112" t="s">
        <v>77</v>
      </c>
      <c r="E306" s="112" t="s">
        <v>76</v>
      </c>
      <c r="F306" s="112" t="s">
        <v>77</v>
      </c>
      <c r="G306" s="112" t="s">
        <v>77</v>
      </c>
      <c r="H306" s="112" t="s">
        <v>77</v>
      </c>
      <c r="I306" s="112" t="s">
        <v>77</v>
      </c>
      <c r="J306" s="112" t="s">
        <v>77</v>
      </c>
      <c r="K306" s="112" t="s">
        <v>77</v>
      </c>
      <c r="L306" s="112" t="s">
        <v>85</v>
      </c>
      <c r="M306" s="112" t="s">
        <v>334</v>
      </c>
      <c r="N306" s="114" t="s">
        <v>289</v>
      </c>
      <c r="O306" s="123">
        <v>80</v>
      </c>
      <c r="P306" s="114" t="s">
        <v>81</v>
      </c>
      <c r="Q306" s="114" t="s">
        <v>112</v>
      </c>
      <c r="R306" s="115" t="str">
        <f t="shared" si="32"/>
        <v>53</v>
      </c>
      <c r="S306" s="112">
        <v>530402</v>
      </c>
      <c r="T306" s="122" t="str">
        <f>VLOOKUP(S306,ITEM!$C$1:$D$156,2,FALSE)</f>
        <v>Edificios, Locales, Residencias y Cableado Estructurado (Instalación, Mantenimiento y Reparación)</v>
      </c>
      <c r="U306" s="112">
        <v>900</v>
      </c>
      <c r="V306" s="114" t="s">
        <v>82</v>
      </c>
      <c r="W306" s="114" t="s">
        <v>84</v>
      </c>
      <c r="X306" s="114" t="s">
        <v>84</v>
      </c>
      <c r="Y306" s="224" t="e">
        <f>'Matriz POA 2024-TRABAJO'!#REF!</f>
        <v>#REF!</v>
      </c>
      <c r="Z306" s="224" t="e">
        <f>'Matriz POA 2024-TRABAJO'!#REF!</f>
        <v>#REF!</v>
      </c>
      <c r="AA306" s="224" t="e">
        <f>'Matriz POA 2024-TRABAJO'!#REF!</f>
        <v>#REF!</v>
      </c>
      <c r="AB306" s="279">
        <v>0</v>
      </c>
      <c r="AC306" s="279">
        <v>0</v>
      </c>
      <c r="AD306" s="279">
        <v>0</v>
      </c>
      <c r="AE306" s="279">
        <v>0</v>
      </c>
      <c r="AF306" s="279">
        <v>0</v>
      </c>
      <c r="AG306" s="279">
        <v>0</v>
      </c>
      <c r="AH306" s="279">
        <v>2400</v>
      </c>
      <c r="AI306" s="279">
        <v>0</v>
      </c>
      <c r="AJ306" s="279">
        <v>0</v>
      </c>
      <c r="AK306" s="279">
        <v>0</v>
      </c>
      <c r="AL306" s="279">
        <v>0</v>
      </c>
      <c r="AM306" s="279">
        <v>0</v>
      </c>
      <c r="AN306" s="224" t="e">
        <f>SUM(#REF!)</f>
        <v>#REF!</v>
      </c>
      <c r="AO306" s="224">
        <f t="shared" si="33"/>
        <v>2400</v>
      </c>
      <c r="AP306" s="224" t="e">
        <f t="shared" si="39"/>
        <v>#REF!</v>
      </c>
      <c r="AQ306" s="224"/>
      <c r="AR306" s="224"/>
      <c r="AS306" s="224"/>
      <c r="AT306" s="224" t="str">
        <f>IFERROR(VLOOKUP($A306,'Constancias POA'!$A$2:$DH$9993,17,FALSE),"")</f>
        <v/>
      </c>
      <c r="AU306" s="224" t="str">
        <f t="shared" si="34"/>
        <v/>
      </c>
      <c r="AV306" s="224" t="str">
        <f>IFERROR(VLOOKUP($A306,CP!$A$1:$U$7992,18,FALSE),"")</f>
        <v/>
      </c>
      <c r="AW306" s="224" t="str">
        <f>IFERROR(VLOOKUP($A306,CP!$A$1:$U$7992,19,FALSE),"")</f>
        <v/>
      </c>
      <c r="AX306" s="224" t="str">
        <f>IFERROR(VLOOKUP($A306,CP!$A$1:$U$7992,20,FALSE),"")</f>
        <v/>
      </c>
      <c r="AY306" s="224" t="str">
        <f>IFERROR(VLOOKUP($A306,CP!$A$1:$U$1,21,FALSE),"")</f>
        <v/>
      </c>
      <c r="AZ306" s="224" t="str">
        <f>IFERROR(VLOOKUP(A306,Devengado!$A$1:AJ1,35,FALSE),"")</f>
        <v/>
      </c>
      <c r="BA306" s="224" t="str">
        <f t="shared" si="35"/>
        <v/>
      </c>
      <c r="BB306" s="224" t="str">
        <f>IFERROR(AZ306/#REF!,"")</f>
        <v/>
      </c>
      <c r="BC306" s="224" t="str">
        <f>IFERROR(VLOOKUP($A306,Devengado!$A$1:$AI$1,22,FALSE),"")</f>
        <v/>
      </c>
      <c r="BD306" s="224" t="str">
        <f>IFERROR(VLOOKUP($A306,Devengado!$A$1:$AI$1,23,FALSE),"")</f>
        <v/>
      </c>
      <c r="BE306" s="224" t="str">
        <f>IFERROR(VLOOKUP($A306,Devengado!$A$1:$AI$1,24,FALSE),"")</f>
        <v/>
      </c>
      <c r="BF306" s="224" t="str">
        <f>IFERROR(VLOOKUP($A306,Devengado!$A$1:$AI$1,25,FALSE),"")</f>
        <v/>
      </c>
      <c r="BG306" s="224" t="str">
        <f>IFERROR(VLOOKUP($A306,Devengado!$A$1:$AI$1,26,FALSE),"")</f>
        <v/>
      </c>
      <c r="BH306" s="224" t="str">
        <f>IFERROR(VLOOKUP($A306,Devengado!$A$1:$AI$1,27,FALSE),"")</f>
        <v/>
      </c>
      <c r="BI306" s="224" t="str">
        <f>IFERROR(VLOOKUP($A306,Devengado!$A$1:$AI$1,28,FALSE),"")</f>
        <v/>
      </c>
      <c r="BJ306" s="224" t="str">
        <f>IFERROR(VLOOKUP($A306,Devengado!$A$1:$AI$1,29,FALSE),"")</f>
        <v/>
      </c>
      <c r="BK306" s="224" t="str">
        <f>IFERROR(VLOOKUP($A306,Devengado!$A$1:$AI$1,30,FALSE),"")</f>
        <v/>
      </c>
      <c r="BL306" s="224" t="str">
        <f>IFERROR(VLOOKUP($A306,Devengado!$A$1:$AI$1,31,FALSE),"")</f>
        <v/>
      </c>
      <c r="BM306" s="224" t="str">
        <f>IFERROR(VLOOKUP($A306,Devengado!$A$1:$AI$1,32,FALSE),"")</f>
        <v/>
      </c>
      <c r="BN306" s="224" t="str">
        <f>IFERROR(VLOOKUP($A306,Devengado!$A$1:$AI$1,33,FALSE),"")</f>
        <v/>
      </c>
      <c r="BO306" s="224">
        <f t="shared" si="36"/>
        <v>0</v>
      </c>
      <c r="BP306" s="224" t="str">
        <f t="shared" si="37"/>
        <v/>
      </c>
      <c r="BQ306" s="207"/>
      <c r="BR306" s="207" t="str">
        <f t="shared" si="38"/>
        <v>53</v>
      </c>
    </row>
    <row r="307" spans="1:70" s="225" customFormat="1" ht="25.5" customHeight="1">
      <c r="A307" s="207">
        <v>303</v>
      </c>
      <c r="B307" s="112" t="s">
        <v>287</v>
      </c>
      <c r="C307" s="112" t="s">
        <v>77</v>
      </c>
      <c r="D307" s="112" t="s">
        <v>77</v>
      </c>
      <c r="E307" s="112" t="s">
        <v>76</v>
      </c>
      <c r="F307" s="112" t="s">
        <v>77</v>
      </c>
      <c r="G307" s="112" t="s">
        <v>77</v>
      </c>
      <c r="H307" s="112" t="s">
        <v>77</v>
      </c>
      <c r="I307" s="112" t="s">
        <v>77</v>
      </c>
      <c r="J307" s="112" t="s">
        <v>77</v>
      </c>
      <c r="K307" s="112" t="s">
        <v>77</v>
      </c>
      <c r="L307" s="112" t="s">
        <v>85</v>
      </c>
      <c r="M307" s="112" t="s">
        <v>335</v>
      </c>
      <c r="N307" s="114" t="s">
        <v>289</v>
      </c>
      <c r="O307" s="123">
        <v>80</v>
      </c>
      <c r="P307" s="114" t="s">
        <v>81</v>
      </c>
      <c r="Q307" s="114" t="s">
        <v>112</v>
      </c>
      <c r="R307" s="115" t="str">
        <f t="shared" si="32"/>
        <v>53</v>
      </c>
      <c r="S307" s="112">
        <v>530402</v>
      </c>
      <c r="T307" s="122" t="str">
        <f>VLOOKUP(S307,ITEM!$C$1:$D$156,2,FALSE)</f>
        <v>Edificios, Locales, Residencias y Cableado Estructurado (Instalación, Mantenimiento y Reparación)</v>
      </c>
      <c r="U307" s="112">
        <v>900</v>
      </c>
      <c r="V307" s="114" t="s">
        <v>82</v>
      </c>
      <c r="W307" s="114" t="s">
        <v>84</v>
      </c>
      <c r="X307" s="114" t="s">
        <v>84</v>
      </c>
      <c r="Y307" s="224" t="e">
        <f>'Matriz POA 2024-TRABAJO'!#REF!</f>
        <v>#REF!</v>
      </c>
      <c r="Z307" s="224" t="e">
        <f>'Matriz POA 2024-TRABAJO'!#REF!</f>
        <v>#REF!</v>
      </c>
      <c r="AA307" s="224" t="e">
        <f>'Matriz POA 2024-TRABAJO'!#REF!</f>
        <v>#REF!</v>
      </c>
      <c r="AB307" s="279">
        <v>0</v>
      </c>
      <c r="AC307" s="279">
        <v>0</v>
      </c>
      <c r="AD307" s="279">
        <v>0</v>
      </c>
      <c r="AE307" s="279">
        <v>0</v>
      </c>
      <c r="AF307" s="279">
        <v>3000</v>
      </c>
      <c r="AG307" s="279">
        <v>0</v>
      </c>
      <c r="AH307" s="279">
        <v>0</v>
      </c>
      <c r="AI307" s="279">
        <v>0</v>
      </c>
      <c r="AJ307" s="279">
        <v>0</v>
      </c>
      <c r="AK307" s="279">
        <v>0</v>
      </c>
      <c r="AL307" s="279">
        <v>0</v>
      </c>
      <c r="AM307" s="279">
        <v>0</v>
      </c>
      <c r="AN307" s="224" t="e">
        <f>SUM(#REF!)</f>
        <v>#REF!</v>
      </c>
      <c r="AO307" s="224">
        <f t="shared" si="33"/>
        <v>3000</v>
      </c>
      <c r="AP307" s="224" t="e">
        <f t="shared" si="39"/>
        <v>#REF!</v>
      </c>
      <c r="AQ307" s="224"/>
      <c r="AR307" s="224"/>
      <c r="AS307" s="224"/>
      <c r="AT307" s="224" t="str">
        <f>IFERROR(VLOOKUP($A307,'Constancias POA'!$A$2:$DH$9993,17,FALSE),"")</f>
        <v/>
      </c>
      <c r="AU307" s="224" t="str">
        <f t="shared" si="34"/>
        <v/>
      </c>
      <c r="AV307" s="224" t="str">
        <f>IFERROR(VLOOKUP($A307,CP!$A$1:$U$7992,18,FALSE),"")</f>
        <v/>
      </c>
      <c r="AW307" s="224" t="str">
        <f>IFERROR(VLOOKUP($A307,CP!$A$1:$U$7992,19,FALSE),"")</f>
        <v/>
      </c>
      <c r="AX307" s="224" t="str">
        <f>IFERROR(VLOOKUP($A307,CP!$A$1:$U$7992,20,FALSE),"")</f>
        <v/>
      </c>
      <c r="AY307" s="224" t="str">
        <f>IFERROR(VLOOKUP($A307,CP!$A$1:$U$1,21,FALSE),"")</f>
        <v/>
      </c>
      <c r="AZ307" s="224" t="str">
        <f>IFERROR(VLOOKUP(A307,Devengado!$A$1:AJ1,35,FALSE),"")</f>
        <v/>
      </c>
      <c r="BA307" s="224" t="str">
        <f t="shared" si="35"/>
        <v/>
      </c>
      <c r="BB307" s="224" t="str">
        <f>IFERROR(AZ307/#REF!,"")</f>
        <v/>
      </c>
      <c r="BC307" s="224" t="str">
        <f>IFERROR(VLOOKUP($A307,Devengado!$A$1:$AI$1,22,FALSE),"")</f>
        <v/>
      </c>
      <c r="BD307" s="224" t="str">
        <f>IFERROR(VLOOKUP($A307,Devengado!$A$1:$AI$1,23,FALSE),"")</f>
        <v/>
      </c>
      <c r="BE307" s="224" t="str">
        <f>IFERROR(VLOOKUP($A307,Devengado!$A$1:$AI$1,24,FALSE),"")</f>
        <v/>
      </c>
      <c r="BF307" s="224" t="str">
        <f>IFERROR(VLOOKUP($A307,Devengado!$A$1:$AI$1,25,FALSE),"")</f>
        <v/>
      </c>
      <c r="BG307" s="224" t="str">
        <f>IFERROR(VLOOKUP($A307,Devengado!$A$1:$AI$1,26,FALSE),"")</f>
        <v/>
      </c>
      <c r="BH307" s="224" t="str">
        <f>IFERROR(VLOOKUP($A307,Devengado!$A$1:$AI$1,27,FALSE),"")</f>
        <v/>
      </c>
      <c r="BI307" s="224" t="str">
        <f>IFERROR(VLOOKUP($A307,Devengado!$A$1:$AI$1,28,FALSE),"")</f>
        <v/>
      </c>
      <c r="BJ307" s="224" t="str">
        <f>IFERROR(VLOOKUP($A307,Devengado!$A$1:$AI$1,29,FALSE),"")</f>
        <v/>
      </c>
      <c r="BK307" s="224" t="str">
        <f>IFERROR(VLOOKUP($A307,Devengado!$A$1:$AI$1,30,FALSE),"")</f>
        <v/>
      </c>
      <c r="BL307" s="224" t="str">
        <f>IFERROR(VLOOKUP($A307,Devengado!$A$1:$AI$1,31,FALSE),"")</f>
        <v/>
      </c>
      <c r="BM307" s="224" t="str">
        <f>IFERROR(VLOOKUP($A307,Devengado!$A$1:$AI$1,32,FALSE),"")</f>
        <v/>
      </c>
      <c r="BN307" s="224" t="str">
        <f>IFERROR(VLOOKUP($A307,Devengado!$A$1:$AI$1,33,FALSE),"")</f>
        <v/>
      </c>
      <c r="BO307" s="224">
        <f t="shared" si="36"/>
        <v>0</v>
      </c>
      <c r="BP307" s="224" t="str">
        <f t="shared" si="37"/>
        <v/>
      </c>
      <c r="BQ307" s="207"/>
      <c r="BR307" s="207" t="str">
        <f t="shared" si="38"/>
        <v>53</v>
      </c>
    </row>
    <row r="308" spans="1:70" s="225" customFormat="1" ht="25.5" customHeight="1">
      <c r="A308" s="207">
        <v>304</v>
      </c>
      <c r="B308" s="112" t="s">
        <v>287</v>
      </c>
      <c r="C308" s="112" t="s">
        <v>77</v>
      </c>
      <c r="D308" s="112" t="s">
        <v>77</v>
      </c>
      <c r="E308" s="112" t="s">
        <v>76</v>
      </c>
      <c r="F308" s="112" t="s">
        <v>77</v>
      </c>
      <c r="G308" s="112" t="s">
        <v>77</v>
      </c>
      <c r="H308" s="112" t="s">
        <v>77</v>
      </c>
      <c r="I308" s="112" t="s">
        <v>77</v>
      </c>
      <c r="J308" s="112" t="s">
        <v>77</v>
      </c>
      <c r="K308" s="112" t="s">
        <v>77</v>
      </c>
      <c r="L308" s="112" t="s">
        <v>85</v>
      </c>
      <c r="M308" s="112" t="s">
        <v>336</v>
      </c>
      <c r="N308" s="114" t="s">
        <v>289</v>
      </c>
      <c r="O308" s="123">
        <v>80</v>
      </c>
      <c r="P308" s="114" t="s">
        <v>81</v>
      </c>
      <c r="Q308" s="114" t="s">
        <v>112</v>
      </c>
      <c r="R308" s="115" t="str">
        <f t="shared" si="32"/>
        <v>53</v>
      </c>
      <c r="S308" s="112">
        <v>530404</v>
      </c>
      <c r="T308" s="122" t="str">
        <f>VLOOKUP(S308,ITEM!$C$1:$D$156,2,FALSE)</f>
        <v>Maquinarias y Equipos (Instalación, Mantenimiento y Reparación)</v>
      </c>
      <c r="U308" s="112">
        <v>900</v>
      </c>
      <c r="V308" s="114" t="s">
        <v>82</v>
      </c>
      <c r="W308" s="114" t="s">
        <v>84</v>
      </c>
      <c r="X308" s="114" t="s">
        <v>84</v>
      </c>
      <c r="Y308" s="224" t="e">
        <f>'Matriz POA 2024-TRABAJO'!#REF!</f>
        <v>#REF!</v>
      </c>
      <c r="Z308" s="224" t="e">
        <f>'Matriz POA 2024-TRABAJO'!#REF!</f>
        <v>#REF!</v>
      </c>
      <c r="AA308" s="224" t="e">
        <f>'Matriz POA 2024-TRABAJO'!#REF!</f>
        <v>#REF!</v>
      </c>
      <c r="AB308" s="279">
        <v>0</v>
      </c>
      <c r="AC308" s="279">
        <v>0</v>
      </c>
      <c r="AD308" s="279">
        <v>0</v>
      </c>
      <c r="AE308" s="279">
        <v>6344.79</v>
      </c>
      <c r="AF308" s="279">
        <v>0</v>
      </c>
      <c r="AG308" s="279">
        <v>0</v>
      </c>
      <c r="AH308" s="279">
        <v>0</v>
      </c>
      <c r="AI308" s="279">
        <v>0</v>
      </c>
      <c r="AJ308" s="279">
        <v>0</v>
      </c>
      <c r="AK308" s="279">
        <v>0</v>
      </c>
      <c r="AL308" s="279">
        <v>0</v>
      </c>
      <c r="AM308" s="279">
        <v>0</v>
      </c>
      <c r="AN308" s="224" t="e">
        <f>SUM(#REF!)</f>
        <v>#REF!</v>
      </c>
      <c r="AO308" s="224">
        <f t="shared" si="33"/>
        <v>6344.79</v>
      </c>
      <c r="AP308" s="224" t="e">
        <f t="shared" si="39"/>
        <v>#REF!</v>
      </c>
      <c r="AQ308" s="224"/>
      <c r="AR308" s="224"/>
      <c r="AS308" s="224"/>
      <c r="AT308" s="224" t="str">
        <f>IFERROR(VLOOKUP($A308,'Constancias POA'!$A$2:$DH$9993,17,FALSE),"")</f>
        <v/>
      </c>
      <c r="AU308" s="224" t="str">
        <f t="shared" si="34"/>
        <v/>
      </c>
      <c r="AV308" s="224" t="str">
        <f>IFERROR(VLOOKUP($A308,CP!$A$1:$U$7992,18,FALSE),"")</f>
        <v/>
      </c>
      <c r="AW308" s="224" t="str">
        <f>IFERROR(VLOOKUP($A308,CP!$A$1:$U$7992,19,FALSE),"")</f>
        <v/>
      </c>
      <c r="AX308" s="224" t="str">
        <f>IFERROR(VLOOKUP($A308,CP!$A$1:$U$7992,20,FALSE),"")</f>
        <v/>
      </c>
      <c r="AY308" s="224" t="str">
        <f>IFERROR(VLOOKUP($A308,CP!$A$1:$U$1,21,FALSE),"")</f>
        <v/>
      </c>
      <c r="AZ308" s="224" t="str">
        <f>IFERROR(VLOOKUP(A308,Devengado!$A$1:AJ1,35,FALSE),"")</f>
        <v/>
      </c>
      <c r="BA308" s="224" t="str">
        <f t="shared" si="35"/>
        <v/>
      </c>
      <c r="BB308" s="224" t="str">
        <f>IFERROR(AZ308/#REF!,"")</f>
        <v/>
      </c>
      <c r="BC308" s="224" t="str">
        <f>IFERROR(VLOOKUP($A308,Devengado!$A$1:$AI$1,22,FALSE),"")</f>
        <v/>
      </c>
      <c r="BD308" s="224" t="str">
        <f>IFERROR(VLOOKUP($A308,Devengado!$A$1:$AI$1,23,FALSE),"")</f>
        <v/>
      </c>
      <c r="BE308" s="224" t="str">
        <f>IFERROR(VLOOKUP($A308,Devengado!$A$1:$AI$1,24,FALSE),"")</f>
        <v/>
      </c>
      <c r="BF308" s="224" t="str">
        <f>IFERROR(VLOOKUP($A308,Devengado!$A$1:$AI$1,25,FALSE),"")</f>
        <v/>
      </c>
      <c r="BG308" s="224" t="str">
        <f>IFERROR(VLOOKUP($A308,Devengado!$A$1:$AI$1,26,FALSE),"")</f>
        <v/>
      </c>
      <c r="BH308" s="224" t="str">
        <f>IFERROR(VLOOKUP($A308,Devengado!$A$1:$AI$1,27,FALSE),"")</f>
        <v/>
      </c>
      <c r="BI308" s="224" t="str">
        <f>IFERROR(VLOOKUP($A308,Devengado!$A$1:$AI$1,28,FALSE),"")</f>
        <v/>
      </c>
      <c r="BJ308" s="224" t="str">
        <f>IFERROR(VLOOKUP($A308,Devengado!$A$1:$AI$1,29,FALSE),"")</f>
        <v/>
      </c>
      <c r="BK308" s="224" t="str">
        <f>IFERROR(VLOOKUP($A308,Devengado!$A$1:$AI$1,30,FALSE),"")</f>
        <v/>
      </c>
      <c r="BL308" s="224" t="str">
        <f>IFERROR(VLOOKUP($A308,Devengado!$A$1:$AI$1,31,FALSE),"")</f>
        <v/>
      </c>
      <c r="BM308" s="224" t="str">
        <f>IFERROR(VLOOKUP($A308,Devengado!$A$1:$AI$1,32,FALSE),"")</f>
        <v/>
      </c>
      <c r="BN308" s="224" t="str">
        <f>IFERROR(VLOOKUP($A308,Devengado!$A$1:$AI$1,33,FALSE),"")</f>
        <v/>
      </c>
      <c r="BO308" s="224">
        <f t="shared" si="36"/>
        <v>0</v>
      </c>
      <c r="BP308" s="224" t="str">
        <f t="shared" si="37"/>
        <v/>
      </c>
      <c r="BQ308" s="207"/>
      <c r="BR308" s="207" t="str">
        <f t="shared" si="38"/>
        <v>53</v>
      </c>
    </row>
    <row r="309" spans="1:70" s="225" customFormat="1" ht="25.5" customHeight="1">
      <c r="A309" s="207">
        <v>305</v>
      </c>
      <c r="B309" s="112" t="s">
        <v>287</v>
      </c>
      <c r="C309" s="112" t="s">
        <v>77</v>
      </c>
      <c r="D309" s="112" t="s">
        <v>77</v>
      </c>
      <c r="E309" s="112" t="s">
        <v>76</v>
      </c>
      <c r="F309" s="112" t="s">
        <v>77</v>
      </c>
      <c r="G309" s="112" t="s">
        <v>77</v>
      </c>
      <c r="H309" s="112" t="s">
        <v>77</v>
      </c>
      <c r="I309" s="112" t="s">
        <v>77</v>
      </c>
      <c r="J309" s="112" t="s">
        <v>77</v>
      </c>
      <c r="K309" s="112" t="s">
        <v>77</v>
      </c>
      <c r="L309" s="112" t="s">
        <v>85</v>
      </c>
      <c r="M309" s="112" t="s">
        <v>337</v>
      </c>
      <c r="N309" s="114" t="s">
        <v>289</v>
      </c>
      <c r="O309" s="123">
        <v>80</v>
      </c>
      <c r="P309" s="114" t="s">
        <v>81</v>
      </c>
      <c r="Q309" s="114" t="s">
        <v>112</v>
      </c>
      <c r="R309" s="115" t="str">
        <f t="shared" si="32"/>
        <v>53</v>
      </c>
      <c r="S309" s="112">
        <v>530404</v>
      </c>
      <c r="T309" s="122" t="str">
        <f>VLOOKUP(S309,ITEM!$C$1:$D$156,2,FALSE)</f>
        <v>Maquinarias y Equipos (Instalación, Mantenimiento y Reparación)</v>
      </c>
      <c r="U309" s="112">
        <v>900</v>
      </c>
      <c r="V309" s="114" t="s">
        <v>82</v>
      </c>
      <c r="W309" s="114" t="s">
        <v>84</v>
      </c>
      <c r="X309" s="114" t="s">
        <v>84</v>
      </c>
      <c r="Y309" s="224" t="e">
        <f>'Matriz POA 2024-TRABAJO'!#REF!</f>
        <v>#REF!</v>
      </c>
      <c r="Z309" s="224" t="e">
        <f>'Matriz POA 2024-TRABAJO'!#REF!</f>
        <v>#REF!</v>
      </c>
      <c r="AA309" s="224" t="e">
        <f>'Matriz POA 2024-TRABAJO'!#REF!</f>
        <v>#REF!</v>
      </c>
      <c r="AB309" s="279">
        <v>0</v>
      </c>
      <c r="AC309" s="279">
        <v>0</v>
      </c>
      <c r="AD309" s="279">
        <v>0</v>
      </c>
      <c r="AE309" s="279">
        <v>2000</v>
      </c>
      <c r="AF309" s="279">
        <v>0</v>
      </c>
      <c r="AG309" s="279">
        <v>0</v>
      </c>
      <c r="AH309" s="279">
        <v>0</v>
      </c>
      <c r="AI309" s="279">
        <v>0</v>
      </c>
      <c r="AJ309" s="279">
        <v>0</v>
      </c>
      <c r="AK309" s="279">
        <v>0</v>
      </c>
      <c r="AL309" s="279">
        <v>0</v>
      </c>
      <c r="AM309" s="279">
        <v>0</v>
      </c>
      <c r="AN309" s="224" t="e">
        <f>SUM(#REF!)</f>
        <v>#REF!</v>
      </c>
      <c r="AO309" s="224">
        <f t="shared" si="33"/>
        <v>2000</v>
      </c>
      <c r="AP309" s="224" t="e">
        <f t="shared" si="39"/>
        <v>#REF!</v>
      </c>
      <c r="AQ309" s="224"/>
      <c r="AR309" s="224"/>
      <c r="AS309" s="224"/>
      <c r="AT309" s="224" t="str">
        <f>IFERROR(VLOOKUP($A309,'Constancias POA'!$A$2:$DH$9993,17,FALSE),"")</f>
        <v/>
      </c>
      <c r="AU309" s="224" t="str">
        <f t="shared" si="34"/>
        <v/>
      </c>
      <c r="AV309" s="224" t="str">
        <f>IFERROR(VLOOKUP($A309,CP!$A$1:$U$7992,18,FALSE),"")</f>
        <v/>
      </c>
      <c r="AW309" s="224" t="str">
        <f>IFERROR(VLOOKUP($A309,CP!$A$1:$U$7992,19,FALSE),"")</f>
        <v/>
      </c>
      <c r="AX309" s="224" t="str">
        <f>IFERROR(VLOOKUP($A309,CP!$A$1:$U$7992,20,FALSE),"")</f>
        <v/>
      </c>
      <c r="AY309" s="224" t="str">
        <f>IFERROR(VLOOKUP($A309,CP!$A$1:$U$1,21,FALSE),"")</f>
        <v/>
      </c>
      <c r="AZ309" s="224" t="str">
        <f>IFERROR(VLOOKUP(A309,Devengado!$A$1:AJ1,35,FALSE),"")</f>
        <v/>
      </c>
      <c r="BA309" s="224" t="str">
        <f t="shared" si="35"/>
        <v/>
      </c>
      <c r="BB309" s="224" t="str">
        <f>IFERROR(AZ309/#REF!,"")</f>
        <v/>
      </c>
      <c r="BC309" s="224" t="str">
        <f>IFERROR(VLOOKUP($A309,Devengado!$A$1:$AI$1,22,FALSE),"")</f>
        <v/>
      </c>
      <c r="BD309" s="224" t="str">
        <f>IFERROR(VLOOKUP($A309,Devengado!$A$1:$AI$1,23,FALSE),"")</f>
        <v/>
      </c>
      <c r="BE309" s="224" t="str">
        <f>IFERROR(VLOOKUP($A309,Devengado!$A$1:$AI$1,24,FALSE),"")</f>
        <v/>
      </c>
      <c r="BF309" s="224" t="str">
        <f>IFERROR(VLOOKUP($A309,Devengado!$A$1:$AI$1,25,FALSE),"")</f>
        <v/>
      </c>
      <c r="BG309" s="224" t="str">
        <f>IFERROR(VLOOKUP($A309,Devengado!$A$1:$AI$1,26,FALSE),"")</f>
        <v/>
      </c>
      <c r="BH309" s="224" t="str">
        <f>IFERROR(VLOOKUP($A309,Devengado!$A$1:$AI$1,27,FALSE),"")</f>
        <v/>
      </c>
      <c r="BI309" s="224" t="str">
        <f>IFERROR(VLOOKUP($A309,Devengado!$A$1:$AI$1,28,FALSE),"")</f>
        <v/>
      </c>
      <c r="BJ309" s="224" t="str">
        <f>IFERROR(VLOOKUP($A309,Devengado!$A$1:$AI$1,29,FALSE),"")</f>
        <v/>
      </c>
      <c r="BK309" s="224" t="str">
        <f>IFERROR(VLOOKUP($A309,Devengado!$A$1:$AI$1,30,FALSE),"")</f>
        <v/>
      </c>
      <c r="BL309" s="224" t="str">
        <f>IFERROR(VLOOKUP($A309,Devengado!$A$1:$AI$1,31,FALSE),"")</f>
        <v/>
      </c>
      <c r="BM309" s="224" t="str">
        <f>IFERROR(VLOOKUP($A309,Devengado!$A$1:$AI$1,32,FALSE),"")</f>
        <v/>
      </c>
      <c r="BN309" s="224" t="str">
        <f>IFERROR(VLOOKUP($A309,Devengado!$A$1:$AI$1,33,FALSE),"")</f>
        <v/>
      </c>
      <c r="BO309" s="224">
        <f t="shared" si="36"/>
        <v>0</v>
      </c>
      <c r="BP309" s="224" t="str">
        <f t="shared" si="37"/>
        <v/>
      </c>
      <c r="BQ309" s="207"/>
      <c r="BR309" s="207" t="str">
        <f t="shared" si="38"/>
        <v>53</v>
      </c>
    </row>
    <row r="310" spans="1:70" s="225" customFormat="1" ht="25.5" customHeight="1">
      <c r="A310" s="207">
        <v>306</v>
      </c>
      <c r="B310" s="112" t="s">
        <v>287</v>
      </c>
      <c r="C310" s="112" t="s">
        <v>77</v>
      </c>
      <c r="D310" s="112" t="s">
        <v>77</v>
      </c>
      <c r="E310" s="112" t="s">
        <v>76</v>
      </c>
      <c r="F310" s="112" t="s">
        <v>77</v>
      </c>
      <c r="G310" s="112" t="s">
        <v>77</v>
      </c>
      <c r="H310" s="112" t="s">
        <v>77</v>
      </c>
      <c r="I310" s="112" t="s">
        <v>77</v>
      </c>
      <c r="J310" s="112" t="s">
        <v>77</v>
      </c>
      <c r="K310" s="112" t="s">
        <v>77</v>
      </c>
      <c r="L310" s="112" t="s">
        <v>85</v>
      </c>
      <c r="M310" s="112" t="s">
        <v>338</v>
      </c>
      <c r="N310" s="114" t="s">
        <v>289</v>
      </c>
      <c r="O310" s="123">
        <v>80</v>
      </c>
      <c r="P310" s="114" t="s">
        <v>81</v>
      </c>
      <c r="Q310" s="114" t="s">
        <v>112</v>
      </c>
      <c r="R310" s="115" t="str">
        <f t="shared" si="32"/>
        <v>53</v>
      </c>
      <c r="S310" s="112">
        <v>530404</v>
      </c>
      <c r="T310" s="122" t="str">
        <f>VLOOKUP(S310,ITEM!$C$1:$D$156,2,FALSE)</f>
        <v>Maquinarias y Equipos (Instalación, Mantenimiento y Reparación)</v>
      </c>
      <c r="U310" s="112">
        <v>900</v>
      </c>
      <c r="V310" s="114" t="s">
        <v>82</v>
      </c>
      <c r="W310" s="114" t="s">
        <v>84</v>
      </c>
      <c r="X310" s="114" t="s">
        <v>84</v>
      </c>
      <c r="Y310" s="224" t="e">
        <f>'Matriz POA 2024-TRABAJO'!#REF!</f>
        <v>#REF!</v>
      </c>
      <c r="Z310" s="224" t="e">
        <f>'Matriz POA 2024-TRABAJO'!#REF!</f>
        <v>#REF!</v>
      </c>
      <c r="AA310" s="224" t="e">
        <f>'Matriz POA 2024-TRABAJO'!#REF!</f>
        <v>#REF!</v>
      </c>
      <c r="AB310" s="279">
        <v>0</v>
      </c>
      <c r="AC310" s="279">
        <v>0</v>
      </c>
      <c r="AD310" s="279">
        <v>0</v>
      </c>
      <c r="AE310" s="279">
        <v>0</v>
      </c>
      <c r="AF310" s="279">
        <v>0</v>
      </c>
      <c r="AG310" s="279">
        <v>0</v>
      </c>
      <c r="AH310" s="279">
        <v>47653.38</v>
      </c>
      <c r="AI310" s="279">
        <v>0</v>
      </c>
      <c r="AJ310" s="279">
        <v>0</v>
      </c>
      <c r="AK310" s="279">
        <v>0</v>
      </c>
      <c r="AL310" s="279">
        <v>0</v>
      </c>
      <c r="AM310" s="279">
        <v>0</v>
      </c>
      <c r="AN310" s="224">
        <v>0</v>
      </c>
      <c r="AO310" s="224">
        <f t="shared" si="33"/>
        <v>47653.38</v>
      </c>
      <c r="AP310" s="224" t="e">
        <f t="shared" si="39"/>
        <v>#REF!</v>
      </c>
      <c r="AQ310" s="224"/>
      <c r="AR310" s="224"/>
      <c r="AS310" s="224"/>
      <c r="AT310" s="224" t="str">
        <f>IFERROR(VLOOKUP($A310,'Constancias POA'!$A$2:$DH$9993,17,FALSE),"")</f>
        <v/>
      </c>
      <c r="AU310" s="224" t="str">
        <f t="shared" si="34"/>
        <v/>
      </c>
      <c r="AV310" s="224" t="str">
        <f>IFERROR(VLOOKUP($A310,CP!$A$1:$U$7992,18,FALSE),"")</f>
        <v/>
      </c>
      <c r="AW310" s="224" t="str">
        <f>IFERROR(VLOOKUP($A310,CP!$A$1:$U$7992,19,FALSE),"")</f>
        <v/>
      </c>
      <c r="AX310" s="224" t="str">
        <f>IFERROR(VLOOKUP($A310,CP!$A$1:$U$7992,20,FALSE),"")</f>
        <v/>
      </c>
      <c r="AY310" s="224" t="str">
        <f>IFERROR(VLOOKUP($A310,CP!$A$1:$U$1,21,FALSE),"")</f>
        <v/>
      </c>
      <c r="AZ310" s="224" t="str">
        <f>IFERROR(VLOOKUP(A310,Devengado!$A$1:AJ1,35,FALSE),"")</f>
        <v/>
      </c>
      <c r="BA310" s="224" t="str">
        <f t="shared" si="35"/>
        <v/>
      </c>
      <c r="BB310" s="224" t="str">
        <f>IFERROR(AZ310/#REF!,"")</f>
        <v/>
      </c>
      <c r="BC310" s="224" t="str">
        <f>IFERROR(VLOOKUP($A310,Devengado!$A$1:$AI$1,22,FALSE),"")</f>
        <v/>
      </c>
      <c r="BD310" s="224" t="str">
        <f>IFERROR(VLOOKUP($A310,Devengado!$A$1:$AI$1,23,FALSE),"")</f>
        <v/>
      </c>
      <c r="BE310" s="224" t="str">
        <f>IFERROR(VLOOKUP($A310,Devengado!$A$1:$AI$1,24,FALSE),"")</f>
        <v/>
      </c>
      <c r="BF310" s="224" t="str">
        <f>IFERROR(VLOOKUP($A310,Devengado!$A$1:$AI$1,25,FALSE),"")</f>
        <v/>
      </c>
      <c r="BG310" s="224" t="str">
        <f>IFERROR(VLOOKUP($A310,Devengado!$A$1:$AI$1,26,FALSE),"")</f>
        <v/>
      </c>
      <c r="BH310" s="224" t="str">
        <f>IFERROR(VLOOKUP($A310,Devengado!$A$1:$AI$1,27,FALSE),"")</f>
        <v/>
      </c>
      <c r="BI310" s="224" t="str">
        <f>IFERROR(VLOOKUP($A310,Devengado!$A$1:$AI$1,28,FALSE),"")</f>
        <v/>
      </c>
      <c r="BJ310" s="224" t="str">
        <f>IFERROR(VLOOKUP($A310,Devengado!$A$1:$AI$1,29,FALSE),"")</f>
        <v/>
      </c>
      <c r="BK310" s="224" t="str">
        <f>IFERROR(VLOOKUP($A310,Devengado!$A$1:$AI$1,30,FALSE),"")</f>
        <v/>
      </c>
      <c r="BL310" s="224" t="str">
        <f>IFERROR(VLOOKUP($A310,Devengado!$A$1:$AI$1,31,FALSE),"")</f>
        <v/>
      </c>
      <c r="BM310" s="224" t="str">
        <f>IFERROR(VLOOKUP($A310,Devengado!$A$1:$AI$1,32,FALSE),"")</f>
        <v/>
      </c>
      <c r="BN310" s="224" t="str">
        <f>IFERROR(VLOOKUP($A310,Devengado!$A$1:$AI$1,33,FALSE),"")</f>
        <v/>
      </c>
      <c r="BO310" s="224">
        <f t="shared" si="36"/>
        <v>0</v>
      </c>
      <c r="BP310" s="224" t="str">
        <f t="shared" si="37"/>
        <v/>
      </c>
      <c r="BQ310" s="207"/>
      <c r="BR310" s="207" t="str">
        <f t="shared" si="38"/>
        <v>53</v>
      </c>
    </row>
    <row r="311" spans="1:70" s="225" customFormat="1" ht="25.5" customHeight="1">
      <c r="A311" s="207">
        <v>307</v>
      </c>
      <c r="B311" s="112" t="s">
        <v>287</v>
      </c>
      <c r="C311" s="112" t="s">
        <v>77</v>
      </c>
      <c r="D311" s="112" t="s">
        <v>77</v>
      </c>
      <c r="E311" s="112" t="s">
        <v>76</v>
      </c>
      <c r="F311" s="112" t="s">
        <v>77</v>
      </c>
      <c r="G311" s="112" t="s">
        <v>77</v>
      </c>
      <c r="H311" s="112" t="s">
        <v>77</v>
      </c>
      <c r="I311" s="112" t="s">
        <v>77</v>
      </c>
      <c r="J311" s="112" t="s">
        <v>77</v>
      </c>
      <c r="K311" s="112" t="s">
        <v>77</v>
      </c>
      <c r="L311" s="112" t="s">
        <v>85</v>
      </c>
      <c r="M311" s="112" t="s">
        <v>339</v>
      </c>
      <c r="N311" s="114" t="s">
        <v>289</v>
      </c>
      <c r="O311" s="123">
        <v>80</v>
      </c>
      <c r="P311" s="114" t="s">
        <v>81</v>
      </c>
      <c r="Q311" s="114" t="s">
        <v>112</v>
      </c>
      <c r="R311" s="115" t="str">
        <f t="shared" si="32"/>
        <v>53</v>
      </c>
      <c r="S311" s="112">
        <v>530404</v>
      </c>
      <c r="T311" s="122" t="str">
        <f>VLOOKUP(S311,ITEM!$C$1:$D$156,2,FALSE)</f>
        <v>Maquinarias y Equipos (Instalación, Mantenimiento y Reparación)</v>
      </c>
      <c r="U311" s="112">
        <v>900</v>
      </c>
      <c r="V311" s="114" t="s">
        <v>82</v>
      </c>
      <c r="W311" s="114" t="s">
        <v>84</v>
      </c>
      <c r="X311" s="114" t="s">
        <v>84</v>
      </c>
      <c r="Y311" s="224" t="e">
        <f>'Matriz POA 2024-TRABAJO'!#REF!</f>
        <v>#REF!</v>
      </c>
      <c r="Z311" s="224" t="e">
        <f>'Matriz POA 2024-TRABAJO'!#REF!</f>
        <v>#REF!</v>
      </c>
      <c r="AA311" s="224" t="e">
        <f>'Matriz POA 2024-TRABAJO'!#REF!</f>
        <v>#REF!</v>
      </c>
      <c r="AB311" s="279">
        <v>0</v>
      </c>
      <c r="AC311" s="279">
        <v>0</v>
      </c>
      <c r="AD311" s="279">
        <v>0</v>
      </c>
      <c r="AE311" s="279">
        <v>0</v>
      </c>
      <c r="AF311" s="279">
        <v>0</v>
      </c>
      <c r="AG311" s="279">
        <v>0</v>
      </c>
      <c r="AH311" s="279">
        <v>4000</v>
      </c>
      <c r="AI311" s="279">
        <v>0</v>
      </c>
      <c r="AJ311" s="279">
        <v>0</v>
      </c>
      <c r="AK311" s="279">
        <v>0</v>
      </c>
      <c r="AL311" s="279">
        <v>0</v>
      </c>
      <c r="AM311" s="279">
        <v>0</v>
      </c>
      <c r="AN311" s="224" t="e">
        <f>SUM(#REF!)</f>
        <v>#REF!</v>
      </c>
      <c r="AO311" s="224">
        <f t="shared" si="33"/>
        <v>4000</v>
      </c>
      <c r="AP311" s="224" t="e">
        <f t="shared" si="39"/>
        <v>#REF!</v>
      </c>
      <c r="AQ311" s="224"/>
      <c r="AR311" s="224"/>
      <c r="AS311" s="224"/>
      <c r="AT311" s="224" t="str">
        <f>IFERROR(VLOOKUP($A311,'Constancias POA'!$A$2:$DH$9993,17,FALSE),"")</f>
        <v/>
      </c>
      <c r="AU311" s="224" t="str">
        <f t="shared" si="34"/>
        <v/>
      </c>
      <c r="AV311" s="224" t="str">
        <f>IFERROR(VLOOKUP($A311,CP!$A$1:$U$7992,18,FALSE),"")</f>
        <v/>
      </c>
      <c r="AW311" s="224" t="str">
        <f>IFERROR(VLOOKUP($A311,CP!$A$1:$U$7992,19,FALSE),"")</f>
        <v/>
      </c>
      <c r="AX311" s="224" t="str">
        <f>IFERROR(VLOOKUP($A311,CP!$A$1:$U$7992,20,FALSE),"")</f>
        <v/>
      </c>
      <c r="AY311" s="224" t="str">
        <f>IFERROR(VLOOKUP($A311,CP!$A$1:$U$1,21,FALSE),"")</f>
        <v/>
      </c>
      <c r="AZ311" s="224" t="str">
        <f>IFERROR(VLOOKUP(A311,Devengado!$A$1:AJ1,35,FALSE),"")</f>
        <v/>
      </c>
      <c r="BA311" s="224" t="str">
        <f t="shared" si="35"/>
        <v/>
      </c>
      <c r="BB311" s="224" t="str">
        <f>IFERROR(AZ311/#REF!,"")</f>
        <v/>
      </c>
      <c r="BC311" s="224" t="str">
        <f>IFERROR(VLOOKUP($A311,Devengado!$A$1:$AI$1,22,FALSE),"")</f>
        <v/>
      </c>
      <c r="BD311" s="224" t="str">
        <f>IFERROR(VLOOKUP($A311,Devengado!$A$1:$AI$1,23,FALSE),"")</f>
        <v/>
      </c>
      <c r="BE311" s="224" t="str">
        <f>IFERROR(VLOOKUP($A311,Devengado!$A$1:$AI$1,24,FALSE),"")</f>
        <v/>
      </c>
      <c r="BF311" s="224" t="str">
        <f>IFERROR(VLOOKUP($A311,Devengado!$A$1:$AI$1,25,FALSE),"")</f>
        <v/>
      </c>
      <c r="BG311" s="224" t="str">
        <f>IFERROR(VLOOKUP($A311,Devengado!$A$1:$AI$1,26,FALSE),"")</f>
        <v/>
      </c>
      <c r="BH311" s="224" t="str">
        <f>IFERROR(VLOOKUP($A311,Devengado!$A$1:$AI$1,27,FALSE),"")</f>
        <v/>
      </c>
      <c r="BI311" s="224" t="str">
        <f>IFERROR(VLOOKUP($A311,Devengado!$A$1:$AI$1,28,FALSE),"")</f>
        <v/>
      </c>
      <c r="BJ311" s="224" t="str">
        <f>IFERROR(VLOOKUP($A311,Devengado!$A$1:$AI$1,29,FALSE),"")</f>
        <v/>
      </c>
      <c r="BK311" s="224" t="str">
        <f>IFERROR(VLOOKUP($A311,Devengado!$A$1:$AI$1,30,FALSE),"")</f>
        <v/>
      </c>
      <c r="BL311" s="224" t="str">
        <f>IFERROR(VLOOKUP($A311,Devengado!$A$1:$AI$1,31,FALSE),"")</f>
        <v/>
      </c>
      <c r="BM311" s="224" t="str">
        <f>IFERROR(VLOOKUP($A311,Devengado!$A$1:$AI$1,32,FALSE),"")</f>
        <v/>
      </c>
      <c r="BN311" s="224" t="str">
        <f>IFERROR(VLOOKUP($A311,Devengado!$A$1:$AI$1,33,FALSE),"")</f>
        <v/>
      </c>
      <c r="BO311" s="224">
        <f t="shared" si="36"/>
        <v>0</v>
      </c>
      <c r="BP311" s="224" t="str">
        <f t="shared" si="37"/>
        <v/>
      </c>
      <c r="BQ311" s="207"/>
      <c r="BR311" s="207" t="str">
        <f t="shared" si="38"/>
        <v>53</v>
      </c>
    </row>
    <row r="312" spans="1:70" s="225" customFormat="1" ht="25.5" customHeight="1">
      <c r="A312" s="207">
        <v>308</v>
      </c>
      <c r="B312" s="112" t="s">
        <v>287</v>
      </c>
      <c r="C312" s="112" t="s">
        <v>77</v>
      </c>
      <c r="D312" s="112" t="s">
        <v>77</v>
      </c>
      <c r="E312" s="112" t="s">
        <v>76</v>
      </c>
      <c r="F312" s="112" t="s">
        <v>77</v>
      </c>
      <c r="G312" s="112" t="s">
        <v>77</v>
      </c>
      <c r="H312" s="112" t="s">
        <v>77</v>
      </c>
      <c r="I312" s="112" t="s">
        <v>77</v>
      </c>
      <c r="J312" s="112" t="s">
        <v>77</v>
      </c>
      <c r="K312" s="112" t="s">
        <v>77</v>
      </c>
      <c r="L312" s="112" t="s">
        <v>85</v>
      </c>
      <c r="M312" s="112" t="s">
        <v>340</v>
      </c>
      <c r="N312" s="114" t="s">
        <v>289</v>
      </c>
      <c r="O312" s="123">
        <v>80</v>
      </c>
      <c r="P312" s="114" t="s">
        <v>81</v>
      </c>
      <c r="Q312" s="114" t="s">
        <v>112</v>
      </c>
      <c r="R312" s="115" t="str">
        <f t="shared" si="32"/>
        <v>53</v>
      </c>
      <c r="S312" s="112">
        <v>530404</v>
      </c>
      <c r="T312" s="122" t="str">
        <f>VLOOKUP(S312,ITEM!$C$1:$D$156,2,FALSE)</f>
        <v>Maquinarias y Equipos (Instalación, Mantenimiento y Reparación)</v>
      </c>
      <c r="U312" s="112">
        <v>900</v>
      </c>
      <c r="V312" s="114" t="s">
        <v>82</v>
      </c>
      <c r="W312" s="114" t="s">
        <v>84</v>
      </c>
      <c r="X312" s="114" t="s">
        <v>84</v>
      </c>
      <c r="Y312" s="224" t="e">
        <f>'Matriz POA 2024-TRABAJO'!#REF!</f>
        <v>#REF!</v>
      </c>
      <c r="Z312" s="224" t="e">
        <f>'Matriz POA 2024-TRABAJO'!#REF!</f>
        <v>#REF!</v>
      </c>
      <c r="AA312" s="224" t="e">
        <f>'Matriz POA 2024-TRABAJO'!#REF!</f>
        <v>#REF!</v>
      </c>
      <c r="AB312" s="279">
        <v>0</v>
      </c>
      <c r="AC312" s="279">
        <v>0</v>
      </c>
      <c r="AD312" s="279">
        <v>0</v>
      </c>
      <c r="AE312" s="279">
        <v>0</v>
      </c>
      <c r="AF312" s="279">
        <v>0</v>
      </c>
      <c r="AG312" s="279">
        <v>0</v>
      </c>
      <c r="AH312" s="279">
        <v>0</v>
      </c>
      <c r="AI312" s="279">
        <v>0</v>
      </c>
      <c r="AJ312" s="279">
        <v>0</v>
      </c>
      <c r="AK312" s="279">
        <v>0</v>
      </c>
      <c r="AL312" s="279">
        <v>0</v>
      </c>
      <c r="AM312" s="279">
        <v>0</v>
      </c>
      <c r="AN312" s="224" t="e">
        <f>SUM(#REF!)</f>
        <v>#REF!</v>
      </c>
      <c r="AO312" s="224">
        <f t="shared" si="33"/>
        <v>0</v>
      </c>
      <c r="AP312" s="224" t="e">
        <f t="shared" si="39"/>
        <v>#REF!</v>
      </c>
      <c r="AQ312" s="224"/>
      <c r="AR312" s="224"/>
      <c r="AS312" s="224"/>
      <c r="AT312" s="224" t="str">
        <f>IFERROR(VLOOKUP($A312,'Constancias POA'!$A$2:$DH$9993,17,FALSE),"")</f>
        <v/>
      </c>
      <c r="AU312" s="224" t="str">
        <f t="shared" si="34"/>
        <v/>
      </c>
      <c r="AV312" s="224" t="str">
        <f>IFERROR(VLOOKUP($A312,CP!$A$1:$U$7992,18,FALSE),"")</f>
        <v/>
      </c>
      <c r="AW312" s="224" t="str">
        <f>IFERROR(VLOOKUP($A312,CP!$A$1:$U$7992,19,FALSE),"")</f>
        <v/>
      </c>
      <c r="AX312" s="224" t="str">
        <f>IFERROR(VLOOKUP($A312,CP!$A$1:$U$7992,20,FALSE),"")</f>
        <v/>
      </c>
      <c r="AY312" s="224" t="str">
        <f>IFERROR(VLOOKUP($A312,CP!$A$1:$U$1,21,FALSE),"")</f>
        <v/>
      </c>
      <c r="AZ312" s="224" t="str">
        <f>IFERROR(VLOOKUP(A312,Devengado!$A$1:AJ1,35,FALSE),"")</f>
        <v/>
      </c>
      <c r="BA312" s="224" t="str">
        <f t="shared" si="35"/>
        <v/>
      </c>
      <c r="BB312" s="224" t="str">
        <f>IFERROR(AZ312/#REF!,"")</f>
        <v/>
      </c>
      <c r="BC312" s="224" t="str">
        <f>IFERROR(VLOOKUP($A312,Devengado!$A$1:$AI$1,22,FALSE),"")</f>
        <v/>
      </c>
      <c r="BD312" s="224" t="str">
        <f>IFERROR(VLOOKUP($A312,Devengado!$A$1:$AI$1,23,FALSE),"")</f>
        <v/>
      </c>
      <c r="BE312" s="224" t="str">
        <f>IFERROR(VLOOKUP($A312,Devengado!$A$1:$AI$1,24,FALSE),"")</f>
        <v/>
      </c>
      <c r="BF312" s="224" t="str">
        <f>IFERROR(VLOOKUP($A312,Devengado!$A$1:$AI$1,25,FALSE),"")</f>
        <v/>
      </c>
      <c r="BG312" s="224" t="str">
        <f>IFERROR(VLOOKUP($A312,Devengado!$A$1:$AI$1,26,FALSE),"")</f>
        <v/>
      </c>
      <c r="BH312" s="224" t="str">
        <f>IFERROR(VLOOKUP($A312,Devengado!$A$1:$AI$1,27,FALSE),"")</f>
        <v/>
      </c>
      <c r="BI312" s="224" t="str">
        <f>IFERROR(VLOOKUP($A312,Devengado!$A$1:$AI$1,28,FALSE),"")</f>
        <v/>
      </c>
      <c r="BJ312" s="224" t="str">
        <f>IFERROR(VLOOKUP($A312,Devengado!$A$1:$AI$1,29,FALSE),"")</f>
        <v/>
      </c>
      <c r="BK312" s="224" t="str">
        <f>IFERROR(VLOOKUP($A312,Devengado!$A$1:$AI$1,30,FALSE),"")</f>
        <v/>
      </c>
      <c r="BL312" s="224" t="str">
        <f>IFERROR(VLOOKUP($A312,Devengado!$A$1:$AI$1,31,FALSE),"")</f>
        <v/>
      </c>
      <c r="BM312" s="224" t="str">
        <f>IFERROR(VLOOKUP($A312,Devengado!$A$1:$AI$1,32,FALSE),"")</f>
        <v/>
      </c>
      <c r="BN312" s="224" t="str">
        <f>IFERROR(VLOOKUP($A312,Devengado!$A$1:$AI$1,33,FALSE),"")</f>
        <v/>
      </c>
      <c r="BO312" s="224">
        <f t="shared" si="36"/>
        <v>0</v>
      </c>
      <c r="BP312" s="224" t="str">
        <f t="shared" si="37"/>
        <v/>
      </c>
      <c r="BQ312" s="207"/>
      <c r="BR312" s="207" t="str">
        <f t="shared" si="38"/>
        <v>53</v>
      </c>
    </row>
    <row r="313" spans="1:70" s="225" customFormat="1" ht="25.5" customHeight="1">
      <c r="A313" s="207">
        <v>309</v>
      </c>
      <c r="B313" s="112" t="s">
        <v>287</v>
      </c>
      <c r="C313" s="112" t="s">
        <v>77</v>
      </c>
      <c r="D313" s="112" t="s">
        <v>77</v>
      </c>
      <c r="E313" s="112" t="s">
        <v>76</v>
      </c>
      <c r="F313" s="112" t="s">
        <v>77</v>
      </c>
      <c r="G313" s="112" t="s">
        <v>77</v>
      </c>
      <c r="H313" s="112" t="s">
        <v>77</v>
      </c>
      <c r="I313" s="112" t="s">
        <v>77</v>
      </c>
      <c r="J313" s="112" t="s">
        <v>77</v>
      </c>
      <c r="K313" s="112" t="s">
        <v>77</v>
      </c>
      <c r="L313" s="112" t="s">
        <v>85</v>
      </c>
      <c r="M313" s="112" t="s">
        <v>341</v>
      </c>
      <c r="N313" s="114" t="s">
        <v>289</v>
      </c>
      <c r="O313" s="123">
        <v>80</v>
      </c>
      <c r="P313" s="114" t="s">
        <v>81</v>
      </c>
      <c r="Q313" s="114" t="s">
        <v>112</v>
      </c>
      <c r="R313" s="115" t="str">
        <f t="shared" si="32"/>
        <v>53</v>
      </c>
      <c r="S313" s="112">
        <v>530404</v>
      </c>
      <c r="T313" s="122" t="str">
        <f>VLOOKUP(S313,ITEM!$C$1:$D$156,2,FALSE)</f>
        <v>Maquinarias y Equipos (Instalación, Mantenimiento y Reparación)</v>
      </c>
      <c r="U313" s="112">
        <v>900</v>
      </c>
      <c r="V313" s="114" t="s">
        <v>82</v>
      </c>
      <c r="W313" s="114" t="s">
        <v>84</v>
      </c>
      <c r="X313" s="114" t="s">
        <v>84</v>
      </c>
      <c r="Y313" s="224" t="e">
        <f>'Matriz POA 2024-TRABAJO'!#REF!</f>
        <v>#REF!</v>
      </c>
      <c r="Z313" s="224" t="e">
        <f>'Matriz POA 2024-TRABAJO'!#REF!</f>
        <v>#REF!</v>
      </c>
      <c r="AA313" s="224" t="e">
        <f>'Matriz POA 2024-TRABAJO'!#REF!</f>
        <v>#REF!</v>
      </c>
      <c r="AB313" s="279">
        <v>0</v>
      </c>
      <c r="AC313" s="279">
        <v>0</v>
      </c>
      <c r="AD313" s="279">
        <v>0</v>
      </c>
      <c r="AE313" s="279">
        <v>0</v>
      </c>
      <c r="AF313" s="279">
        <v>0</v>
      </c>
      <c r="AG313" s="279">
        <v>0</v>
      </c>
      <c r="AH313" s="279">
        <v>4000</v>
      </c>
      <c r="AI313" s="279">
        <v>0</v>
      </c>
      <c r="AJ313" s="279">
        <v>0</v>
      </c>
      <c r="AK313" s="279">
        <v>0</v>
      </c>
      <c r="AL313" s="279">
        <v>0</v>
      </c>
      <c r="AM313" s="279">
        <v>0</v>
      </c>
      <c r="AN313" s="224" t="e">
        <f>SUM(#REF!)</f>
        <v>#REF!</v>
      </c>
      <c r="AO313" s="224">
        <f t="shared" si="33"/>
        <v>4000</v>
      </c>
      <c r="AP313" s="224" t="e">
        <f t="shared" si="39"/>
        <v>#REF!</v>
      </c>
      <c r="AQ313" s="224"/>
      <c r="AR313" s="224"/>
      <c r="AS313" s="224"/>
      <c r="AT313" s="224" t="str">
        <f>IFERROR(VLOOKUP($A313,'Constancias POA'!$A$2:$DH$9993,17,FALSE),"")</f>
        <v/>
      </c>
      <c r="AU313" s="224" t="str">
        <f t="shared" si="34"/>
        <v/>
      </c>
      <c r="AV313" s="224" t="str">
        <f>IFERROR(VLOOKUP($A313,CP!$A$1:$U$7992,18,FALSE),"")</f>
        <v/>
      </c>
      <c r="AW313" s="224" t="str">
        <f>IFERROR(VLOOKUP($A313,CP!$A$1:$U$7992,19,FALSE),"")</f>
        <v/>
      </c>
      <c r="AX313" s="224" t="str">
        <f>IFERROR(VLOOKUP($A313,CP!$A$1:$U$7992,20,FALSE),"")</f>
        <v/>
      </c>
      <c r="AY313" s="224" t="str">
        <f>IFERROR(VLOOKUP($A313,CP!$A$1:$U$1,21,FALSE),"")</f>
        <v/>
      </c>
      <c r="AZ313" s="224" t="str">
        <f>IFERROR(VLOOKUP(A313,Devengado!$A$1:AJ1,35,FALSE),"")</f>
        <v/>
      </c>
      <c r="BA313" s="224" t="str">
        <f t="shared" si="35"/>
        <v/>
      </c>
      <c r="BB313" s="224" t="str">
        <f>IFERROR(AZ313/#REF!,"")</f>
        <v/>
      </c>
      <c r="BC313" s="224" t="str">
        <f>IFERROR(VLOOKUP($A313,Devengado!$A$1:$AI$1,22,FALSE),"")</f>
        <v/>
      </c>
      <c r="BD313" s="224" t="str">
        <f>IFERROR(VLOOKUP($A313,Devengado!$A$1:$AI$1,23,FALSE),"")</f>
        <v/>
      </c>
      <c r="BE313" s="224" t="str">
        <f>IFERROR(VLOOKUP($A313,Devengado!$A$1:$AI$1,24,FALSE),"")</f>
        <v/>
      </c>
      <c r="BF313" s="224" t="str">
        <f>IFERROR(VLOOKUP($A313,Devengado!$A$1:$AI$1,25,FALSE),"")</f>
        <v/>
      </c>
      <c r="BG313" s="224" t="str">
        <f>IFERROR(VLOOKUP($A313,Devengado!$A$1:$AI$1,26,FALSE),"")</f>
        <v/>
      </c>
      <c r="BH313" s="224" t="str">
        <f>IFERROR(VLOOKUP($A313,Devengado!$A$1:$AI$1,27,FALSE),"")</f>
        <v/>
      </c>
      <c r="BI313" s="224" t="str">
        <f>IFERROR(VLOOKUP($A313,Devengado!$A$1:$AI$1,28,FALSE),"")</f>
        <v/>
      </c>
      <c r="BJ313" s="224" t="str">
        <f>IFERROR(VLOOKUP($A313,Devengado!$A$1:$AI$1,29,FALSE),"")</f>
        <v/>
      </c>
      <c r="BK313" s="224" t="str">
        <f>IFERROR(VLOOKUP($A313,Devengado!$A$1:$AI$1,30,FALSE),"")</f>
        <v/>
      </c>
      <c r="BL313" s="224" t="str">
        <f>IFERROR(VLOOKUP($A313,Devengado!$A$1:$AI$1,31,FALSE),"")</f>
        <v/>
      </c>
      <c r="BM313" s="224" t="str">
        <f>IFERROR(VLOOKUP($A313,Devengado!$A$1:$AI$1,32,FALSE),"")</f>
        <v/>
      </c>
      <c r="BN313" s="224" t="str">
        <f>IFERROR(VLOOKUP($A313,Devengado!$A$1:$AI$1,33,FALSE),"")</f>
        <v/>
      </c>
      <c r="BO313" s="224">
        <f t="shared" si="36"/>
        <v>0</v>
      </c>
      <c r="BP313" s="224" t="str">
        <f t="shared" si="37"/>
        <v/>
      </c>
      <c r="BQ313" s="207"/>
      <c r="BR313" s="207" t="str">
        <f t="shared" si="38"/>
        <v>53</v>
      </c>
    </row>
    <row r="314" spans="1:70" s="225" customFormat="1" ht="25.5" customHeight="1">
      <c r="A314" s="207">
        <v>310</v>
      </c>
      <c r="B314" s="112" t="s">
        <v>287</v>
      </c>
      <c r="C314" s="112" t="s">
        <v>77</v>
      </c>
      <c r="D314" s="112" t="s">
        <v>77</v>
      </c>
      <c r="E314" s="112" t="s">
        <v>76</v>
      </c>
      <c r="F314" s="112" t="s">
        <v>77</v>
      </c>
      <c r="G314" s="112" t="s">
        <v>77</v>
      </c>
      <c r="H314" s="112" t="s">
        <v>77</v>
      </c>
      <c r="I314" s="112" t="s">
        <v>77</v>
      </c>
      <c r="J314" s="112" t="s">
        <v>77</v>
      </c>
      <c r="K314" s="112" t="s">
        <v>77</v>
      </c>
      <c r="L314" s="112" t="s">
        <v>85</v>
      </c>
      <c r="M314" s="112" t="s">
        <v>342</v>
      </c>
      <c r="N314" s="114" t="s">
        <v>289</v>
      </c>
      <c r="O314" s="123">
        <v>80</v>
      </c>
      <c r="P314" s="114" t="s">
        <v>81</v>
      </c>
      <c r="Q314" s="114" t="s">
        <v>112</v>
      </c>
      <c r="R314" s="115" t="str">
        <f t="shared" si="32"/>
        <v>53</v>
      </c>
      <c r="S314" s="112">
        <v>530404</v>
      </c>
      <c r="T314" s="122" t="str">
        <f>VLOOKUP(S314,ITEM!$C$1:$D$156,2,FALSE)</f>
        <v>Maquinarias y Equipos (Instalación, Mantenimiento y Reparación)</v>
      </c>
      <c r="U314" s="112">
        <v>900</v>
      </c>
      <c r="V314" s="114" t="s">
        <v>82</v>
      </c>
      <c r="W314" s="114" t="s">
        <v>84</v>
      </c>
      <c r="X314" s="114" t="s">
        <v>84</v>
      </c>
      <c r="Y314" s="224" t="e">
        <f>'Matriz POA 2024-TRABAJO'!#REF!</f>
        <v>#REF!</v>
      </c>
      <c r="Z314" s="224" t="e">
        <f>'Matriz POA 2024-TRABAJO'!#REF!</f>
        <v>#REF!</v>
      </c>
      <c r="AA314" s="224" t="e">
        <f>'Matriz POA 2024-TRABAJO'!#REF!</f>
        <v>#REF!</v>
      </c>
      <c r="AB314" s="279">
        <v>0</v>
      </c>
      <c r="AC314" s="279">
        <v>0</v>
      </c>
      <c r="AD314" s="279">
        <v>0</v>
      </c>
      <c r="AE314" s="279">
        <v>0</v>
      </c>
      <c r="AF314" s="279">
        <v>0</v>
      </c>
      <c r="AG314" s="279">
        <v>0</v>
      </c>
      <c r="AH314" s="279">
        <v>0</v>
      </c>
      <c r="AI314" s="279">
        <v>4000</v>
      </c>
      <c r="AJ314" s="279">
        <v>0</v>
      </c>
      <c r="AK314" s="279">
        <v>0</v>
      </c>
      <c r="AL314" s="279">
        <v>0</v>
      </c>
      <c r="AM314" s="279">
        <v>0</v>
      </c>
      <c r="AN314" s="224" t="e">
        <f>SUM(#REF!)</f>
        <v>#REF!</v>
      </c>
      <c r="AO314" s="224">
        <f t="shared" si="33"/>
        <v>4000</v>
      </c>
      <c r="AP314" s="224" t="e">
        <f t="shared" si="39"/>
        <v>#REF!</v>
      </c>
      <c r="AQ314" s="224"/>
      <c r="AR314" s="224"/>
      <c r="AS314" s="224"/>
      <c r="AT314" s="224" t="str">
        <f>IFERROR(VLOOKUP($A314,'Constancias POA'!$A$2:$DH$9993,17,FALSE),"")</f>
        <v/>
      </c>
      <c r="AU314" s="224" t="str">
        <f t="shared" si="34"/>
        <v/>
      </c>
      <c r="AV314" s="224" t="str">
        <f>IFERROR(VLOOKUP($A314,CP!$A$1:$U$7992,18,FALSE),"")</f>
        <v/>
      </c>
      <c r="AW314" s="224" t="str">
        <f>IFERROR(VLOOKUP($A314,CP!$A$1:$U$7992,19,FALSE),"")</f>
        <v/>
      </c>
      <c r="AX314" s="224" t="str">
        <f>IFERROR(VLOOKUP($A314,CP!$A$1:$U$7992,20,FALSE),"")</f>
        <v/>
      </c>
      <c r="AY314" s="224" t="str">
        <f>IFERROR(VLOOKUP($A314,CP!$A$1:$U$1,21,FALSE),"")</f>
        <v/>
      </c>
      <c r="AZ314" s="224" t="str">
        <f>IFERROR(VLOOKUP(A314,Devengado!$A$1:AJ1,35,FALSE),"")</f>
        <v/>
      </c>
      <c r="BA314" s="224" t="str">
        <f t="shared" si="35"/>
        <v/>
      </c>
      <c r="BB314" s="224" t="str">
        <f>IFERROR(AZ314/#REF!,"")</f>
        <v/>
      </c>
      <c r="BC314" s="224" t="str">
        <f>IFERROR(VLOOKUP($A314,Devengado!$A$1:$AI$1,22,FALSE),"")</f>
        <v/>
      </c>
      <c r="BD314" s="224" t="str">
        <f>IFERROR(VLOOKUP($A314,Devengado!$A$1:$AI$1,23,FALSE),"")</f>
        <v/>
      </c>
      <c r="BE314" s="224" t="str">
        <f>IFERROR(VLOOKUP($A314,Devengado!$A$1:$AI$1,24,FALSE),"")</f>
        <v/>
      </c>
      <c r="BF314" s="224" t="str">
        <f>IFERROR(VLOOKUP($A314,Devengado!$A$1:$AI$1,25,FALSE),"")</f>
        <v/>
      </c>
      <c r="BG314" s="224" t="str">
        <f>IFERROR(VLOOKUP($A314,Devengado!$A$1:$AI$1,26,FALSE),"")</f>
        <v/>
      </c>
      <c r="BH314" s="224" t="str">
        <f>IFERROR(VLOOKUP($A314,Devengado!$A$1:$AI$1,27,FALSE),"")</f>
        <v/>
      </c>
      <c r="BI314" s="224" t="str">
        <f>IFERROR(VLOOKUP($A314,Devengado!$A$1:$AI$1,28,FALSE),"")</f>
        <v/>
      </c>
      <c r="BJ314" s="224" t="str">
        <f>IFERROR(VLOOKUP($A314,Devengado!$A$1:$AI$1,29,FALSE),"")</f>
        <v/>
      </c>
      <c r="BK314" s="224" t="str">
        <f>IFERROR(VLOOKUP($A314,Devengado!$A$1:$AI$1,30,FALSE),"")</f>
        <v/>
      </c>
      <c r="BL314" s="224" t="str">
        <f>IFERROR(VLOOKUP($A314,Devengado!$A$1:$AI$1,31,FALSE),"")</f>
        <v/>
      </c>
      <c r="BM314" s="224" t="str">
        <f>IFERROR(VLOOKUP($A314,Devengado!$A$1:$AI$1,32,FALSE),"")</f>
        <v/>
      </c>
      <c r="BN314" s="224" t="str">
        <f>IFERROR(VLOOKUP($A314,Devengado!$A$1:$AI$1,33,FALSE),"")</f>
        <v/>
      </c>
      <c r="BO314" s="224">
        <f t="shared" si="36"/>
        <v>0</v>
      </c>
      <c r="BP314" s="224" t="str">
        <f t="shared" si="37"/>
        <v/>
      </c>
      <c r="BQ314" s="207"/>
      <c r="BR314" s="207" t="str">
        <f t="shared" si="38"/>
        <v>53</v>
      </c>
    </row>
    <row r="315" spans="1:70" s="225" customFormat="1" ht="25.5" customHeight="1">
      <c r="A315" s="207">
        <v>311</v>
      </c>
      <c r="B315" s="112" t="s">
        <v>287</v>
      </c>
      <c r="C315" s="112" t="s">
        <v>77</v>
      </c>
      <c r="D315" s="112" t="s">
        <v>77</v>
      </c>
      <c r="E315" s="112" t="s">
        <v>76</v>
      </c>
      <c r="F315" s="112" t="s">
        <v>77</v>
      </c>
      <c r="G315" s="112" t="s">
        <v>77</v>
      </c>
      <c r="H315" s="112" t="s">
        <v>77</v>
      </c>
      <c r="I315" s="112" t="s">
        <v>77</v>
      </c>
      <c r="J315" s="112" t="s">
        <v>77</v>
      </c>
      <c r="K315" s="112" t="s">
        <v>77</v>
      </c>
      <c r="L315" s="112" t="s">
        <v>85</v>
      </c>
      <c r="M315" s="112" t="s">
        <v>343</v>
      </c>
      <c r="N315" s="114" t="s">
        <v>289</v>
      </c>
      <c r="O315" s="123">
        <v>80</v>
      </c>
      <c r="P315" s="114" t="s">
        <v>81</v>
      </c>
      <c r="Q315" s="114" t="s">
        <v>112</v>
      </c>
      <c r="R315" s="115" t="str">
        <f t="shared" si="32"/>
        <v>53</v>
      </c>
      <c r="S315" s="124">
        <v>530403</v>
      </c>
      <c r="T315" s="122" t="str">
        <f>VLOOKUP(S315,ITEM!$C$1:$D$156,2,FALSE)</f>
        <v>Mobiliarios  (Instalación, Mantenimiento y Reparación)</v>
      </c>
      <c r="U315" s="112">
        <v>900</v>
      </c>
      <c r="V315" s="114" t="s">
        <v>82</v>
      </c>
      <c r="W315" s="114" t="s">
        <v>84</v>
      </c>
      <c r="X315" s="114" t="s">
        <v>84</v>
      </c>
      <c r="Y315" s="224" t="e">
        <f>'Matriz POA 2024-TRABAJO'!#REF!</f>
        <v>#REF!</v>
      </c>
      <c r="Z315" s="224" t="e">
        <f>'Matriz POA 2024-TRABAJO'!#REF!</f>
        <v>#REF!</v>
      </c>
      <c r="AA315" s="224" t="e">
        <f>'Matriz POA 2024-TRABAJO'!#REF!</f>
        <v>#REF!</v>
      </c>
      <c r="AB315" s="279">
        <v>0</v>
      </c>
      <c r="AC315" s="279">
        <v>0</v>
      </c>
      <c r="AD315" s="279">
        <v>0</v>
      </c>
      <c r="AE315" s="279">
        <v>0</v>
      </c>
      <c r="AF315" s="279">
        <v>0</v>
      </c>
      <c r="AG315" s="279">
        <v>0</v>
      </c>
      <c r="AH315" s="279">
        <v>0</v>
      </c>
      <c r="AI315" s="279">
        <v>0</v>
      </c>
      <c r="AJ315" s="279">
        <v>0</v>
      </c>
      <c r="AK315" s="279">
        <v>0</v>
      </c>
      <c r="AL315" s="279">
        <v>0</v>
      </c>
      <c r="AM315" s="279">
        <v>0</v>
      </c>
      <c r="AN315" s="224" t="e">
        <f>SUM(#REF!)</f>
        <v>#REF!</v>
      </c>
      <c r="AO315" s="224">
        <f t="shared" si="33"/>
        <v>0</v>
      </c>
      <c r="AP315" s="224" t="e">
        <f t="shared" si="39"/>
        <v>#REF!</v>
      </c>
      <c r="AQ315" s="224"/>
      <c r="AR315" s="224"/>
      <c r="AS315" s="224"/>
      <c r="AT315" s="224" t="str">
        <f>IFERROR(VLOOKUP($A315,'Constancias POA'!$A$2:$DH$9993,17,FALSE),"")</f>
        <v/>
      </c>
      <c r="AU315" s="224" t="str">
        <f t="shared" si="34"/>
        <v/>
      </c>
      <c r="AV315" s="224" t="str">
        <f>IFERROR(VLOOKUP($A315,CP!$A$1:$U$7992,18,FALSE),"")</f>
        <v/>
      </c>
      <c r="AW315" s="224" t="str">
        <f>IFERROR(VLOOKUP($A315,CP!$A$1:$U$7992,19,FALSE),"")</f>
        <v/>
      </c>
      <c r="AX315" s="224" t="str">
        <f>IFERROR(VLOOKUP($A315,CP!$A$1:$U$7992,20,FALSE),"")</f>
        <v/>
      </c>
      <c r="AY315" s="224" t="str">
        <f>IFERROR(VLOOKUP($A315,CP!$A$1:$U$1,21,FALSE),"")</f>
        <v/>
      </c>
      <c r="AZ315" s="224" t="str">
        <f>IFERROR(VLOOKUP(A315,Devengado!$A$1:AJ1,35,FALSE),"")</f>
        <v/>
      </c>
      <c r="BA315" s="224" t="str">
        <f t="shared" si="35"/>
        <v/>
      </c>
      <c r="BB315" s="224" t="str">
        <f>IFERROR(AZ315/#REF!,"")</f>
        <v/>
      </c>
      <c r="BC315" s="224" t="str">
        <f>IFERROR(VLOOKUP($A315,Devengado!$A$1:$AI$1,22,FALSE),"")</f>
        <v/>
      </c>
      <c r="BD315" s="224" t="str">
        <f>IFERROR(VLOOKUP($A315,Devengado!$A$1:$AI$1,23,FALSE),"")</f>
        <v/>
      </c>
      <c r="BE315" s="224" t="str">
        <f>IFERROR(VLOOKUP($A315,Devengado!$A$1:$AI$1,24,FALSE),"")</f>
        <v/>
      </c>
      <c r="BF315" s="224" t="str">
        <f>IFERROR(VLOOKUP($A315,Devengado!$A$1:$AI$1,25,FALSE),"")</f>
        <v/>
      </c>
      <c r="BG315" s="224" t="str">
        <f>IFERROR(VLOOKUP($A315,Devengado!$A$1:$AI$1,26,FALSE),"")</f>
        <v/>
      </c>
      <c r="BH315" s="224" t="str">
        <f>IFERROR(VLOOKUP($A315,Devengado!$A$1:$AI$1,27,FALSE),"")</f>
        <v/>
      </c>
      <c r="BI315" s="224" t="str">
        <f>IFERROR(VLOOKUP($A315,Devengado!$A$1:$AI$1,28,FALSE),"")</f>
        <v/>
      </c>
      <c r="BJ315" s="224" t="str">
        <f>IFERROR(VLOOKUP($A315,Devengado!$A$1:$AI$1,29,FALSE),"")</f>
        <v/>
      </c>
      <c r="BK315" s="224" t="str">
        <f>IFERROR(VLOOKUP($A315,Devengado!$A$1:$AI$1,30,FALSE),"")</f>
        <v/>
      </c>
      <c r="BL315" s="224" t="str">
        <f>IFERROR(VLOOKUP($A315,Devengado!$A$1:$AI$1,31,FALSE),"")</f>
        <v/>
      </c>
      <c r="BM315" s="224" t="str">
        <f>IFERROR(VLOOKUP($A315,Devengado!$A$1:$AI$1,32,FALSE),"")</f>
        <v/>
      </c>
      <c r="BN315" s="224" t="str">
        <f>IFERROR(VLOOKUP($A315,Devengado!$A$1:$AI$1,33,FALSE),"")</f>
        <v/>
      </c>
      <c r="BO315" s="224">
        <f t="shared" si="36"/>
        <v>0</v>
      </c>
      <c r="BP315" s="224" t="str">
        <f t="shared" si="37"/>
        <v/>
      </c>
      <c r="BQ315" s="207"/>
      <c r="BR315" s="207" t="str">
        <f t="shared" si="38"/>
        <v>53</v>
      </c>
    </row>
    <row r="316" spans="1:70" s="225" customFormat="1" ht="25.5" customHeight="1">
      <c r="A316" s="207">
        <v>312</v>
      </c>
      <c r="B316" s="112" t="s">
        <v>287</v>
      </c>
      <c r="C316" s="112" t="s">
        <v>77</v>
      </c>
      <c r="D316" s="112" t="s">
        <v>77</v>
      </c>
      <c r="E316" s="112" t="s">
        <v>76</v>
      </c>
      <c r="F316" s="112" t="s">
        <v>77</v>
      </c>
      <c r="G316" s="112" t="s">
        <v>77</v>
      </c>
      <c r="H316" s="112" t="s">
        <v>77</v>
      </c>
      <c r="I316" s="112" t="s">
        <v>77</v>
      </c>
      <c r="J316" s="112" t="s">
        <v>77</v>
      </c>
      <c r="K316" s="112" t="s">
        <v>77</v>
      </c>
      <c r="L316" s="112" t="s">
        <v>85</v>
      </c>
      <c r="M316" s="112" t="s">
        <v>344</v>
      </c>
      <c r="N316" s="114" t="s">
        <v>289</v>
      </c>
      <c r="O316" s="123">
        <v>80</v>
      </c>
      <c r="P316" s="114" t="s">
        <v>81</v>
      </c>
      <c r="Q316" s="114" t="s">
        <v>112</v>
      </c>
      <c r="R316" s="115" t="str">
        <f t="shared" si="32"/>
        <v>53</v>
      </c>
      <c r="S316" s="124">
        <v>530404</v>
      </c>
      <c r="T316" s="122" t="str">
        <f>VLOOKUP(S316,ITEM!$C$1:$D$156,2,FALSE)</f>
        <v>Maquinarias y Equipos (Instalación, Mantenimiento y Reparación)</v>
      </c>
      <c r="U316" s="112">
        <v>900</v>
      </c>
      <c r="V316" s="114" t="s">
        <v>82</v>
      </c>
      <c r="W316" s="114" t="s">
        <v>84</v>
      </c>
      <c r="X316" s="114" t="s">
        <v>84</v>
      </c>
      <c r="Y316" s="224" t="e">
        <f>'Matriz POA 2024-TRABAJO'!#REF!</f>
        <v>#REF!</v>
      </c>
      <c r="Z316" s="224" t="e">
        <f>'Matriz POA 2024-TRABAJO'!#REF!</f>
        <v>#REF!</v>
      </c>
      <c r="AA316" s="224" t="e">
        <f>'Matriz POA 2024-TRABAJO'!#REF!</f>
        <v>#REF!</v>
      </c>
      <c r="AB316" s="279">
        <v>0</v>
      </c>
      <c r="AC316" s="279">
        <v>0</v>
      </c>
      <c r="AD316" s="279">
        <v>0</v>
      </c>
      <c r="AE316" s="279">
        <v>4000</v>
      </c>
      <c r="AF316" s="279">
        <v>0</v>
      </c>
      <c r="AG316" s="279">
        <v>0</v>
      </c>
      <c r="AH316" s="279">
        <v>0</v>
      </c>
      <c r="AI316" s="279">
        <v>0</v>
      </c>
      <c r="AJ316" s="279">
        <v>0</v>
      </c>
      <c r="AK316" s="279">
        <v>0</v>
      </c>
      <c r="AL316" s="279">
        <v>0</v>
      </c>
      <c r="AM316" s="279">
        <v>0</v>
      </c>
      <c r="AN316" s="224" t="e">
        <f>SUM(#REF!)</f>
        <v>#REF!</v>
      </c>
      <c r="AO316" s="224">
        <f t="shared" si="33"/>
        <v>4000</v>
      </c>
      <c r="AP316" s="224" t="e">
        <f t="shared" si="39"/>
        <v>#REF!</v>
      </c>
      <c r="AQ316" s="224"/>
      <c r="AR316" s="224"/>
      <c r="AS316" s="224"/>
      <c r="AT316" s="224" t="str">
        <f>IFERROR(VLOOKUP($A316,'Constancias POA'!$A$2:$DH$9993,17,FALSE),"")</f>
        <v/>
      </c>
      <c r="AU316" s="224" t="str">
        <f t="shared" si="34"/>
        <v/>
      </c>
      <c r="AV316" s="224" t="str">
        <f>IFERROR(VLOOKUP($A316,CP!$A$1:$U$7992,18,FALSE),"")</f>
        <v/>
      </c>
      <c r="AW316" s="224" t="str">
        <f>IFERROR(VLOOKUP($A316,CP!$A$1:$U$7992,19,FALSE),"")</f>
        <v/>
      </c>
      <c r="AX316" s="224" t="str">
        <f>IFERROR(VLOOKUP($A316,CP!$A$1:$U$7992,20,FALSE),"")</f>
        <v/>
      </c>
      <c r="AY316" s="224" t="str">
        <f>IFERROR(VLOOKUP($A316,CP!$A$1:$U$1,21,FALSE),"")</f>
        <v/>
      </c>
      <c r="AZ316" s="224" t="str">
        <f>IFERROR(VLOOKUP(A316,Devengado!$A$1:AJ1,35,FALSE),"")</f>
        <v/>
      </c>
      <c r="BA316" s="224" t="str">
        <f t="shared" si="35"/>
        <v/>
      </c>
      <c r="BB316" s="224" t="str">
        <f>IFERROR(AZ316/#REF!,"")</f>
        <v/>
      </c>
      <c r="BC316" s="224" t="str">
        <f>IFERROR(VLOOKUP($A316,Devengado!$A$1:$AI$1,22,FALSE),"")</f>
        <v/>
      </c>
      <c r="BD316" s="224" t="str">
        <f>IFERROR(VLOOKUP($A316,Devengado!$A$1:$AI$1,23,FALSE),"")</f>
        <v/>
      </c>
      <c r="BE316" s="224" t="str">
        <f>IFERROR(VLOOKUP($A316,Devengado!$A$1:$AI$1,24,FALSE),"")</f>
        <v/>
      </c>
      <c r="BF316" s="224" t="str">
        <f>IFERROR(VLOOKUP($A316,Devengado!$A$1:$AI$1,25,FALSE),"")</f>
        <v/>
      </c>
      <c r="BG316" s="224" t="str">
        <f>IFERROR(VLOOKUP($A316,Devengado!$A$1:$AI$1,26,FALSE),"")</f>
        <v/>
      </c>
      <c r="BH316" s="224" t="str">
        <f>IFERROR(VLOOKUP($A316,Devengado!$A$1:$AI$1,27,FALSE),"")</f>
        <v/>
      </c>
      <c r="BI316" s="224" t="str">
        <f>IFERROR(VLOOKUP($A316,Devengado!$A$1:$AI$1,28,FALSE),"")</f>
        <v/>
      </c>
      <c r="BJ316" s="224" t="str">
        <f>IFERROR(VLOOKUP($A316,Devengado!$A$1:$AI$1,29,FALSE),"")</f>
        <v/>
      </c>
      <c r="BK316" s="224" t="str">
        <f>IFERROR(VLOOKUP($A316,Devengado!$A$1:$AI$1,30,FALSE),"")</f>
        <v/>
      </c>
      <c r="BL316" s="224" t="str">
        <f>IFERROR(VLOOKUP($A316,Devengado!$A$1:$AI$1,31,FALSE),"")</f>
        <v/>
      </c>
      <c r="BM316" s="224" t="str">
        <f>IFERROR(VLOOKUP($A316,Devengado!$A$1:$AI$1,32,FALSE),"")</f>
        <v/>
      </c>
      <c r="BN316" s="224" t="str">
        <f>IFERROR(VLOOKUP($A316,Devengado!$A$1:$AI$1,33,FALSE),"")</f>
        <v/>
      </c>
      <c r="BO316" s="224">
        <f t="shared" si="36"/>
        <v>0</v>
      </c>
      <c r="BP316" s="224" t="str">
        <f t="shared" si="37"/>
        <v/>
      </c>
      <c r="BQ316" s="207"/>
      <c r="BR316" s="207" t="str">
        <f t="shared" si="38"/>
        <v>53</v>
      </c>
    </row>
    <row r="317" spans="1:70" s="225" customFormat="1" ht="25.5" customHeight="1">
      <c r="A317" s="207">
        <v>313</v>
      </c>
      <c r="B317" s="112" t="s">
        <v>287</v>
      </c>
      <c r="C317" s="112" t="s">
        <v>77</v>
      </c>
      <c r="D317" s="112" t="s">
        <v>77</v>
      </c>
      <c r="E317" s="112" t="s">
        <v>76</v>
      </c>
      <c r="F317" s="112" t="s">
        <v>77</v>
      </c>
      <c r="G317" s="112" t="s">
        <v>77</v>
      </c>
      <c r="H317" s="112" t="s">
        <v>77</v>
      </c>
      <c r="I317" s="112" t="s">
        <v>77</v>
      </c>
      <c r="J317" s="112" t="s">
        <v>77</v>
      </c>
      <c r="K317" s="112" t="s">
        <v>77</v>
      </c>
      <c r="L317" s="112" t="s">
        <v>85</v>
      </c>
      <c r="M317" s="112" t="s">
        <v>345</v>
      </c>
      <c r="N317" s="114" t="s">
        <v>289</v>
      </c>
      <c r="O317" s="123">
        <v>80</v>
      </c>
      <c r="P317" s="114" t="s">
        <v>81</v>
      </c>
      <c r="Q317" s="114" t="s">
        <v>112</v>
      </c>
      <c r="R317" s="115" t="str">
        <f t="shared" si="32"/>
        <v>53</v>
      </c>
      <c r="S317" s="124">
        <v>530203</v>
      </c>
      <c r="T317" s="122" t="str">
        <f>VLOOKUP(S317,ITEM!$C$1:$D$156,2,FALSE)</f>
        <v>Almacenamiento, Embalaje, Desembalaje, Envase, Desenvase y Recarga de Extintores</v>
      </c>
      <c r="U317" s="112">
        <v>900</v>
      </c>
      <c r="V317" s="114" t="s">
        <v>82</v>
      </c>
      <c r="W317" s="114" t="s">
        <v>84</v>
      </c>
      <c r="X317" s="114" t="s">
        <v>84</v>
      </c>
      <c r="Y317" s="224" t="e">
        <f>'Matriz POA 2024-TRABAJO'!#REF!</f>
        <v>#REF!</v>
      </c>
      <c r="Z317" s="224" t="e">
        <f>'Matriz POA 2024-TRABAJO'!#REF!</f>
        <v>#REF!</v>
      </c>
      <c r="AA317" s="224" t="e">
        <f>'Matriz POA 2024-TRABAJO'!#REF!</f>
        <v>#REF!</v>
      </c>
      <c r="AB317" s="279">
        <v>0</v>
      </c>
      <c r="AC317" s="279">
        <v>0</v>
      </c>
      <c r="AD317" s="279">
        <v>0</v>
      </c>
      <c r="AE317" s="279">
        <v>0</v>
      </c>
      <c r="AF317" s="279">
        <v>0</v>
      </c>
      <c r="AG317" s="279">
        <v>0</v>
      </c>
      <c r="AH317" s="279">
        <v>0</v>
      </c>
      <c r="AI317" s="279">
        <v>0</v>
      </c>
      <c r="AJ317" s="279">
        <v>0</v>
      </c>
      <c r="AK317" s="279">
        <v>0</v>
      </c>
      <c r="AL317" s="279">
        <v>0</v>
      </c>
      <c r="AM317" s="279">
        <v>1000</v>
      </c>
      <c r="AN317" s="224" t="e">
        <f>SUM(#REF!)</f>
        <v>#REF!</v>
      </c>
      <c r="AO317" s="224">
        <f t="shared" si="33"/>
        <v>1000</v>
      </c>
      <c r="AP317" s="224" t="e">
        <f t="shared" si="39"/>
        <v>#REF!</v>
      </c>
      <c r="AQ317" s="224"/>
      <c r="AR317" s="224"/>
      <c r="AS317" s="224"/>
      <c r="AT317" s="224" t="str">
        <f>IFERROR(VLOOKUP($A317,'Constancias POA'!$A$2:$DH$9993,17,FALSE),"")</f>
        <v/>
      </c>
      <c r="AU317" s="224" t="str">
        <f t="shared" si="34"/>
        <v/>
      </c>
      <c r="AV317" s="224" t="str">
        <f>IFERROR(VLOOKUP($A317,CP!$A$1:$U$7992,18,FALSE),"")</f>
        <v/>
      </c>
      <c r="AW317" s="224" t="str">
        <f>IFERROR(VLOOKUP($A317,CP!$A$1:$U$7992,19,FALSE),"")</f>
        <v/>
      </c>
      <c r="AX317" s="224" t="str">
        <f>IFERROR(VLOOKUP($A317,CP!$A$1:$U$7992,20,FALSE),"")</f>
        <v/>
      </c>
      <c r="AY317" s="224" t="str">
        <f>IFERROR(VLOOKUP($A317,CP!$A$1:$U$1,21,FALSE),"")</f>
        <v/>
      </c>
      <c r="AZ317" s="224" t="str">
        <f>IFERROR(VLOOKUP(A317,Devengado!$A$1:AJ1,35,FALSE),"")</f>
        <v/>
      </c>
      <c r="BA317" s="224" t="str">
        <f t="shared" si="35"/>
        <v/>
      </c>
      <c r="BB317" s="224" t="str">
        <f>IFERROR(AZ317/#REF!,"")</f>
        <v/>
      </c>
      <c r="BC317" s="224" t="str">
        <f>IFERROR(VLOOKUP($A317,Devengado!$A$1:$AI$1,22,FALSE),"")</f>
        <v/>
      </c>
      <c r="BD317" s="224" t="str">
        <f>IFERROR(VLOOKUP($A317,Devengado!$A$1:$AI$1,23,FALSE),"")</f>
        <v/>
      </c>
      <c r="BE317" s="224" t="str">
        <f>IFERROR(VLOOKUP($A317,Devengado!$A$1:$AI$1,24,FALSE),"")</f>
        <v/>
      </c>
      <c r="BF317" s="224" t="str">
        <f>IFERROR(VLOOKUP($A317,Devengado!$A$1:$AI$1,25,FALSE),"")</f>
        <v/>
      </c>
      <c r="BG317" s="224" t="str">
        <f>IFERROR(VLOOKUP($A317,Devengado!$A$1:$AI$1,26,FALSE),"")</f>
        <v/>
      </c>
      <c r="BH317" s="224" t="str">
        <f>IFERROR(VLOOKUP($A317,Devengado!$A$1:$AI$1,27,FALSE),"")</f>
        <v/>
      </c>
      <c r="BI317" s="224" t="str">
        <f>IFERROR(VLOOKUP($A317,Devengado!$A$1:$AI$1,28,FALSE),"")</f>
        <v/>
      </c>
      <c r="BJ317" s="224" t="str">
        <f>IFERROR(VLOOKUP($A317,Devengado!$A$1:$AI$1,29,FALSE),"")</f>
        <v/>
      </c>
      <c r="BK317" s="224" t="str">
        <f>IFERROR(VLOOKUP($A317,Devengado!$A$1:$AI$1,30,FALSE),"")</f>
        <v/>
      </c>
      <c r="BL317" s="224" t="str">
        <f>IFERROR(VLOOKUP($A317,Devengado!$A$1:$AI$1,31,FALSE),"")</f>
        <v/>
      </c>
      <c r="BM317" s="224" t="str">
        <f>IFERROR(VLOOKUP($A317,Devengado!$A$1:$AI$1,32,FALSE),"")</f>
        <v/>
      </c>
      <c r="BN317" s="224" t="str">
        <f>IFERROR(VLOOKUP($A317,Devengado!$A$1:$AI$1,33,FALSE),"")</f>
        <v/>
      </c>
      <c r="BO317" s="224">
        <f t="shared" si="36"/>
        <v>0</v>
      </c>
      <c r="BP317" s="224" t="str">
        <f t="shared" si="37"/>
        <v/>
      </c>
      <c r="BQ317" s="207"/>
      <c r="BR317" s="207" t="str">
        <f t="shared" si="38"/>
        <v>53</v>
      </c>
    </row>
    <row r="318" spans="1:70" s="225" customFormat="1" ht="25.5" customHeight="1">
      <c r="A318" s="207">
        <v>314</v>
      </c>
      <c r="B318" s="112" t="s">
        <v>287</v>
      </c>
      <c r="C318" s="112" t="s">
        <v>77</v>
      </c>
      <c r="D318" s="112" t="s">
        <v>77</v>
      </c>
      <c r="E318" s="112" t="s">
        <v>76</v>
      </c>
      <c r="F318" s="112" t="s">
        <v>77</v>
      </c>
      <c r="G318" s="112" t="s">
        <v>77</v>
      </c>
      <c r="H318" s="112" t="s">
        <v>77</v>
      </c>
      <c r="I318" s="112" t="s">
        <v>77</v>
      </c>
      <c r="J318" s="112" t="s">
        <v>77</v>
      </c>
      <c r="K318" s="112" t="s">
        <v>77</v>
      </c>
      <c r="L318" s="112" t="s">
        <v>85</v>
      </c>
      <c r="M318" s="112" t="s">
        <v>346</v>
      </c>
      <c r="N318" s="114" t="s">
        <v>289</v>
      </c>
      <c r="O318" s="123">
        <v>80</v>
      </c>
      <c r="P318" s="114" t="s">
        <v>81</v>
      </c>
      <c r="Q318" s="114" t="s">
        <v>112</v>
      </c>
      <c r="R318" s="115" t="str">
        <f t="shared" si="32"/>
        <v>53</v>
      </c>
      <c r="S318" s="124">
        <v>530811</v>
      </c>
      <c r="T318" s="122" t="e">
        <f>VLOOKUP(S318,ITEM!$C$1:$D$156,2,FALSE)</f>
        <v>#N/A</v>
      </c>
      <c r="U318" s="112">
        <v>900</v>
      </c>
      <c r="V318" s="114" t="s">
        <v>82</v>
      </c>
      <c r="W318" s="114" t="s">
        <v>84</v>
      </c>
      <c r="X318" s="114" t="s">
        <v>84</v>
      </c>
      <c r="Y318" s="224" t="e">
        <f>'Matriz POA 2024-TRABAJO'!#REF!</f>
        <v>#REF!</v>
      </c>
      <c r="Z318" s="224" t="e">
        <f>'Matriz POA 2024-TRABAJO'!#REF!</f>
        <v>#REF!</v>
      </c>
      <c r="AA318" s="224" t="e">
        <f>'Matriz POA 2024-TRABAJO'!#REF!</f>
        <v>#REF!</v>
      </c>
      <c r="AB318" s="279">
        <v>0</v>
      </c>
      <c r="AC318" s="279">
        <v>0</v>
      </c>
      <c r="AD318" s="279">
        <v>0</v>
      </c>
      <c r="AE318" s="279">
        <v>0</v>
      </c>
      <c r="AF318" s="279">
        <v>0</v>
      </c>
      <c r="AG318" s="279">
        <v>0</v>
      </c>
      <c r="AH318" s="279">
        <v>0</v>
      </c>
      <c r="AI318" s="279">
        <v>0</v>
      </c>
      <c r="AJ318" s="279">
        <v>0</v>
      </c>
      <c r="AK318" s="279">
        <v>0</v>
      </c>
      <c r="AL318" s="279">
        <v>0</v>
      </c>
      <c r="AM318" s="279">
        <v>0</v>
      </c>
      <c r="AN318" s="224" t="e">
        <f>SUM(#REF!)</f>
        <v>#REF!</v>
      </c>
      <c r="AO318" s="224">
        <f t="shared" si="33"/>
        <v>0</v>
      </c>
      <c r="AP318" s="224" t="e">
        <f t="shared" si="39"/>
        <v>#REF!</v>
      </c>
      <c r="AQ318" s="224"/>
      <c r="AR318" s="224"/>
      <c r="AS318" s="224"/>
      <c r="AT318" s="224" t="str">
        <f>IFERROR(VLOOKUP($A318,'Constancias POA'!$A$2:$DH$9993,17,FALSE),"")</f>
        <v/>
      </c>
      <c r="AU318" s="224" t="str">
        <f t="shared" si="34"/>
        <v/>
      </c>
      <c r="AV318" s="224" t="str">
        <f>IFERROR(VLOOKUP($A318,CP!$A$1:$U$7992,18,FALSE),"")</f>
        <v/>
      </c>
      <c r="AW318" s="224" t="str">
        <f>IFERROR(VLOOKUP($A318,CP!$A$1:$U$7992,19,FALSE),"")</f>
        <v/>
      </c>
      <c r="AX318" s="224" t="str">
        <f>IFERROR(VLOOKUP($A318,CP!$A$1:$U$7992,20,FALSE),"")</f>
        <v/>
      </c>
      <c r="AY318" s="224" t="str">
        <f>IFERROR(VLOOKUP($A318,CP!$A$1:$U$1,21,FALSE),"")</f>
        <v/>
      </c>
      <c r="AZ318" s="224" t="str">
        <f>IFERROR(VLOOKUP(A318,Devengado!$A$1:AJ1,35,FALSE),"")</f>
        <v/>
      </c>
      <c r="BA318" s="224" t="str">
        <f t="shared" si="35"/>
        <v/>
      </c>
      <c r="BB318" s="224" t="str">
        <f>IFERROR(AZ318/#REF!,"")</f>
        <v/>
      </c>
      <c r="BC318" s="224" t="str">
        <f>IFERROR(VLOOKUP($A318,Devengado!$A$1:$AI$1,22,FALSE),"")</f>
        <v/>
      </c>
      <c r="BD318" s="224" t="str">
        <f>IFERROR(VLOOKUP($A318,Devengado!$A$1:$AI$1,23,FALSE),"")</f>
        <v/>
      </c>
      <c r="BE318" s="224" t="str">
        <f>IFERROR(VLOOKUP($A318,Devengado!$A$1:$AI$1,24,FALSE),"")</f>
        <v/>
      </c>
      <c r="BF318" s="224" t="str">
        <f>IFERROR(VLOOKUP($A318,Devengado!$A$1:$AI$1,25,FALSE),"")</f>
        <v/>
      </c>
      <c r="BG318" s="224" t="str">
        <f>IFERROR(VLOOKUP($A318,Devengado!$A$1:$AI$1,26,FALSE),"")</f>
        <v/>
      </c>
      <c r="BH318" s="224" t="str">
        <f>IFERROR(VLOOKUP($A318,Devengado!$A$1:$AI$1,27,FALSE),"")</f>
        <v/>
      </c>
      <c r="BI318" s="224" t="str">
        <f>IFERROR(VLOOKUP($A318,Devengado!$A$1:$AI$1,28,FALSE),"")</f>
        <v/>
      </c>
      <c r="BJ318" s="224" t="str">
        <f>IFERROR(VLOOKUP($A318,Devengado!$A$1:$AI$1,29,FALSE),"")</f>
        <v/>
      </c>
      <c r="BK318" s="224" t="str">
        <f>IFERROR(VLOOKUP($A318,Devengado!$A$1:$AI$1,30,FALSE),"")</f>
        <v/>
      </c>
      <c r="BL318" s="224" t="str">
        <f>IFERROR(VLOOKUP($A318,Devengado!$A$1:$AI$1,31,FALSE),"")</f>
        <v/>
      </c>
      <c r="BM318" s="224" t="str">
        <f>IFERROR(VLOOKUP($A318,Devengado!$A$1:$AI$1,32,FALSE),"")</f>
        <v/>
      </c>
      <c r="BN318" s="224" t="str">
        <f>IFERROR(VLOOKUP($A318,Devengado!$A$1:$AI$1,33,FALSE),"")</f>
        <v/>
      </c>
      <c r="BO318" s="224">
        <f t="shared" si="36"/>
        <v>0</v>
      </c>
      <c r="BP318" s="224" t="str">
        <f t="shared" si="37"/>
        <v/>
      </c>
      <c r="BQ318" s="207"/>
      <c r="BR318" s="207" t="str">
        <f t="shared" si="38"/>
        <v>53</v>
      </c>
    </row>
    <row r="319" spans="1:70" s="225" customFormat="1" ht="25.5" customHeight="1">
      <c r="A319" s="207">
        <v>315</v>
      </c>
      <c r="B319" s="112" t="s">
        <v>287</v>
      </c>
      <c r="C319" s="112" t="s">
        <v>77</v>
      </c>
      <c r="D319" s="112" t="s">
        <v>77</v>
      </c>
      <c r="E319" s="112" t="s">
        <v>76</v>
      </c>
      <c r="F319" s="112" t="s">
        <v>77</v>
      </c>
      <c r="G319" s="112" t="s">
        <v>77</v>
      </c>
      <c r="H319" s="112" t="s">
        <v>77</v>
      </c>
      <c r="I319" s="112" t="s">
        <v>77</v>
      </c>
      <c r="J319" s="112" t="s">
        <v>77</v>
      </c>
      <c r="K319" s="112" t="s">
        <v>77</v>
      </c>
      <c r="L319" s="112" t="s">
        <v>85</v>
      </c>
      <c r="M319" s="112" t="s">
        <v>347</v>
      </c>
      <c r="N319" s="114" t="s">
        <v>289</v>
      </c>
      <c r="O319" s="123">
        <v>80</v>
      </c>
      <c r="P319" s="114" t="s">
        <v>81</v>
      </c>
      <c r="Q319" s="114" t="s">
        <v>112</v>
      </c>
      <c r="R319" s="115" t="str">
        <f t="shared" si="32"/>
        <v>99</v>
      </c>
      <c r="S319" s="124">
        <v>990102</v>
      </c>
      <c r="T319" s="122" t="e">
        <f>VLOOKUP(S319,ITEM!$C$1:$D$156,2,FALSE)</f>
        <v>#N/A</v>
      </c>
      <c r="U319" s="112">
        <v>900</v>
      </c>
      <c r="V319" s="114" t="s">
        <v>82</v>
      </c>
      <c r="W319" s="114" t="s">
        <v>84</v>
      </c>
      <c r="X319" s="114" t="s">
        <v>84</v>
      </c>
      <c r="Y319" s="224" t="e">
        <f>'Matriz POA 2024-TRABAJO'!#REF!</f>
        <v>#REF!</v>
      </c>
      <c r="Z319" s="224" t="e">
        <f>'Matriz POA 2024-TRABAJO'!#REF!</f>
        <v>#REF!</v>
      </c>
      <c r="AA319" s="224" t="e">
        <f>'Matriz POA 2024-TRABAJO'!#REF!</f>
        <v>#REF!</v>
      </c>
      <c r="AB319" s="279">
        <v>0</v>
      </c>
      <c r="AC319" s="279">
        <v>0</v>
      </c>
      <c r="AD319" s="279">
        <v>0</v>
      </c>
      <c r="AE319" s="279">
        <v>0</v>
      </c>
      <c r="AF319" s="279">
        <v>0</v>
      </c>
      <c r="AG319" s="279">
        <v>0</v>
      </c>
      <c r="AH319" s="279">
        <v>0</v>
      </c>
      <c r="AI319" s="279">
        <v>0</v>
      </c>
      <c r="AJ319" s="279">
        <v>0</v>
      </c>
      <c r="AK319" s="279">
        <v>0</v>
      </c>
      <c r="AL319" s="279">
        <v>0</v>
      </c>
      <c r="AM319" s="279">
        <v>0</v>
      </c>
      <c r="AN319" s="224" t="e">
        <f>SUM(#REF!)</f>
        <v>#REF!</v>
      </c>
      <c r="AO319" s="224">
        <f t="shared" si="33"/>
        <v>0</v>
      </c>
      <c r="AP319" s="224" t="e">
        <f t="shared" si="39"/>
        <v>#REF!</v>
      </c>
      <c r="AQ319" s="224"/>
      <c r="AR319" s="224"/>
      <c r="AS319" s="224"/>
      <c r="AT319" s="224" t="str">
        <f>IFERROR(VLOOKUP($A319,'Constancias POA'!$A$2:$DH$9993,17,FALSE),"")</f>
        <v/>
      </c>
      <c r="AU319" s="224" t="str">
        <f t="shared" si="34"/>
        <v/>
      </c>
      <c r="AV319" s="224" t="str">
        <f>IFERROR(VLOOKUP($A319,CP!$A$1:$U$7992,18,FALSE),"")</f>
        <v/>
      </c>
      <c r="AW319" s="224" t="str">
        <f>IFERROR(VLOOKUP($A319,CP!$A$1:$U$7992,19,FALSE),"")</f>
        <v/>
      </c>
      <c r="AX319" s="224" t="str">
        <f>IFERROR(VLOOKUP($A319,CP!$A$1:$U$7992,20,FALSE),"")</f>
        <v/>
      </c>
      <c r="AY319" s="224" t="str">
        <f>IFERROR(VLOOKUP($A319,CP!$A$1:$U$1,21,FALSE),"")</f>
        <v/>
      </c>
      <c r="AZ319" s="224" t="str">
        <f>IFERROR(VLOOKUP(A319,Devengado!$A$1:AJ1,35,FALSE),"")</f>
        <v/>
      </c>
      <c r="BA319" s="224" t="str">
        <f t="shared" si="35"/>
        <v/>
      </c>
      <c r="BB319" s="224" t="str">
        <f>IFERROR(AZ319/#REF!,"")</f>
        <v/>
      </c>
      <c r="BC319" s="224" t="str">
        <f>IFERROR(VLOOKUP($A319,Devengado!$A$1:$AI$1,22,FALSE),"")</f>
        <v/>
      </c>
      <c r="BD319" s="224" t="str">
        <f>IFERROR(VLOOKUP($A319,Devengado!$A$1:$AI$1,23,FALSE),"")</f>
        <v/>
      </c>
      <c r="BE319" s="224" t="str">
        <f>IFERROR(VLOOKUP($A319,Devengado!$A$1:$AI$1,24,FALSE),"")</f>
        <v/>
      </c>
      <c r="BF319" s="224" t="str">
        <f>IFERROR(VLOOKUP($A319,Devengado!$A$1:$AI$1,25,FALSE),"")</f>
        <v/>
      </c>
      <c r="BG319" s="224" t="str">
        <f>IFERROR(VLOOKUP($A319,Devengado!$A$1:$AI$1,26,FALSE),"")</f>
        <v/>
      </c>
      <c r="BH319" s="224" t="str">
        <f>IFERROR(VLOOKUP($A319,Devengado!$A$1:$AI$1,27,FALSE),"")</f>
        <v/>
      </c>
      <c r="BI319" s="224" t="str">
        <f>IFERROR(VLOOKUP($A319,Devengado!$A$1:$AI$1,28,FALSE),"")</f>
        <v/>
      </c>
      <c r="BJ319" s="224" t="str">
        <f>IFERROR(VLOOKUP($A319,Devengado!$A$1:$AI$1,29,FALSE),"")</f>
        <v/>
      </c>
      <c r="BK319" s="224" t="str">
        <f>IFERROR(VLOOKUP($A319,Devengado!$A$1:$AI$1,30,FALSE),"")</f>
        <v/>
      </c>
      <c r="BL319" s="224" t="str">
        <f>IFERROR(VLOOKUP($A319,Devengado!$A$1:$AI$1,31,FALSE),"")</f>
        <v/>
      </c>
      <c r="BM319" s="224" t="str">
        <f>IFERROR(VLOOKUP($A319,Devengado!$A$1:$AI$1,32,FALSE),"")</f>
        <v/>
      </c>
      <c r="BN319" s="224" t="str">
        <f>IFERROR(VLOOKUP($A319,Devengado!$A$1:$AI$1,33,FALSE),"")</f>
        <v/>
      </c>
      <c r="BO319" s="224">
        <f t="shared" si="36"/>
        <v>0</v>
      </c>
      <c r="BP319" s="224" t="str">
        <f t="shared" si="37"/>
        <v/>
      </c>
      <c r="BQ319" s="207"/>
      <c r="BR319" s="207" t="str">
        <f t="shared" si="38"/>
        <v>99</v>
      </c>
    </row>
    <row r="320" spans="1:70" s="225" customFormat="1" ht="25.5" customHeight="1">
      <c r="A320" s="207">
        <v>316</v>
      </c>
      <c r="B320" s="112" t="s">
        <v>348</v>
      </c>
      <c r="C320" s="112" t="s">
        <v>77</v>
      </c>
      <c r="D320" s="112" t="s">
        <v>77</v>
      </c>
      <c r="E320" s="112" t="s">
        <v>76</v>
      </c>
      <c r="F320" s="112" t="s">
        <v>77</v>
      </c>
      <c r="G320" s="112" t="s">
        <v>77</v>
      </c>
      <c r="H320" s="112" t="s">
        <v>77</v>
      </c>
      <c r="I320" s="112" t="s">
        <v>77</v>
      </c>
      <c r="J320" s="112" t="s">
        <v>77</v>
      </c>
      <c r="K320" s="112" t="s">
        <v>77</v>
      </c>
      <c r="L320" s="112" t="s">
        <v>85</v>
      </c>
      <c r="M320" s="112" t="s">
        <v>349</v>
      </c>
      <c r="N320" s="114" t="s">
        <v>350</v>
      </c>
      <c r="O320" s="114" t="s">
        <v>111</v>
      </c>
      <c r="P320" s="118" t="s">
        <v>81</v>
      </c>
      <c r="Q320" s="118" t="s">
        <v>112</v>
      </c>
      <c r="R320" s="115" t="str">
        <f t="shared" si="32"/>
        <v>51</v>
      </c>
      <c r="S320" s="124">
        <v>510105</v>
      </c>
      <c r="T320" s="122" t="str">
        <f>VLOOKUP(S320,ITEM!$C$1:$D$156,2,FALSE)</f>
        <v>Remuneraciones Unificadas</v>
      </c>
      <c r="U320" s="112">
        <v>1700</v>
      </c>
      <c r="V320" s="112" t="s">
        <v>82</v>
      </c>
      <c r="W320" s="112" t="s">
        <v>84</v>
      </c>
      <c r="X320" s="112" t="s">
        <v>84</v>
      </c>
      <c r="Y320" s="224" t="e">
        <f>'Matriz POA 2024-TRABAJO'!#REF!</f>
        <v>#REF!</v>
      </c>
      <c r="Z320" s="224" t="e">
        <f>'Matriz POA 2024-TRABAJO'!#REF!</f>
        <v>#REF!</v>
      </c>
      <c r="AA320" s="224" t="e">
        <f>'Matriz POA 2024-TRABAJO'!#REF!</f>
        <v>#REF!</v>
      </c>
      <c r="AB320" s="279">
        <v>7698.92</v>
      </c>
      <c r="AC320" s="279">
        <v>7698.92</v>
      </c>
      <c r="AD320" s="279">
        <v>7698.92</v>
      </c>
      <c r="AE320" s="279">
        <v>7698.92</v>
      </c>
      <c r="AF320" s="279">
        <v>7698.92</v>
      </c>
      <c r="AG320" s="279">
        <v>7698.92</v>
      </c>
      <c r="AH320" s="279">
        <v>7698.92</v>
      </c>
      <c r="AI320" s="279">
        <v>7698.92</v>
      </c>
      <c r="AJ320" s="279">
        <v>7698.92</v>
      </c>
      <c r="AK320" s="279">
        <v>7698.92</v>
      </c>
      <c r="AL320" s="279">
        <v>7698.92</v>
      </c>
      <c r="AM320" s="279">
        <v>7698.92</v>
      </c>
      <c r="AN320" s="224" t="e">
        <f>SUM(#REF!)</f>
        <v>#REF!</v>
      </c>
      <c r="AO320" s="224">
        <f t="shared" si="33"/>
        <v>92387.04</v>
      </c>
      <c r="AP320" s="224" t="e">
        <f t="shared" si="39"/>
        <v>#REF!</v>
      </c>
      <c r="AQ320" s="224"/>
      <c r="AR320" s="224"/>
      <c r="AS320" s="224"/>
      <c r="AT320" s="224" t="str">
        <f>IFERROR(VLOOKUP($A320,'Constancias POA'!$A$2:$DH$9993,17,FALSE),"")</f>
        <v/>
      </c>
      <c r="AU320" s="224" t="str">
        <f t="shared" si="34"/>
        <v/>
      </c>
      <c r="AV320" s="224" t="str">
        <f>IFERROR(VLOOKUP($A320,CP!$A$1:$U$7992,18,FALSE),"")</f>
        <v/>
      </c>
      <c r="AW320" s="224" t="str">
        <f>IFERROR(VLOOKUP($A320,CP!$A$1:$U$7992,19,FALSE),"")</f>
        <v/>
      </c>
      <c r="AX320" s="224" t="str">
        <f>IFERROR(VLOOKUP($A320,CP!$A$1:$U$7992,20,FALSE),"")</f>
        <v/>
      </c>
      <c r="AY320" s="224" t="str">
        <f>IFERROR(VLOOKUP($A320,CP!$A$1:$U$1,21,FALSE),"")</f>
        <v/>
      </c>
      <c r="AZ320" s="224" t="str">
        <f>IFERROR(VLOOKUP(A320,Devengado!$A$1:AJ1,35,FALSE),"")</f>
        <v/>
      </c>
      <c r="BA320" s="224" t="str">
        <f t="shared" si="35"/>
        <v/>
      </c>
      <c r="BB320" s="224" t="str">
        <f>IFERROR(AZ320/#REF!,"")</f>
        <v/>
      </c>
      <c r="BC320" s="224" t="str">
        <f>IFERROR(VLOOKUP($A320,Devengado!$A$1:$AI$1,22,FALSE),"")</f>
        <v/>
      </c>
      <c r="BD320" s="224" t="str">
        <f>IFERROR(VLOOKUP($A320,Devengado!$A$1:$AI$1,23,FALSE),"")</f>
        <v/>
      </c>
      <c r="BE320" s="224" t="str">
        <f>IFERROR(VLOOKUP($A320,Devengado!$A$1:$AI$1,24,FALSE),"")</f>
        <v/>
      </c>
      <c r="BF320" s="224" t="str">
        <f>IFERROR(VLOOKUP($A320,Devengado!$A$1:$AI$1,25,FALSE),"")</f>
        <v/>
      </c>
      <c r="BG320" s="224" t="str">
        <f>IFERROR(VLOOKUP($A320,Devengado!$A$1:$AI$1,26,FALSE),"")</f>
        <v/>
      </c>
      <c r="BH320" s="224" t="str">
        <f>IFERROR(VLOOKUP($A320,Devengado!$A$1:$AI$1,27,FALSE),"")</f>
        <v/>
      </c>
      <c r="BI320" s="224" t="str">
        <f>IFERROR(VLOOKUP($A320,Devengado!$A$1:$AI$1,28,FALSE),"")</f>
        <v/>
      </c>
      <c r="BJ320" s="224" t="str">
        <f>IFERROR(VLOOKUP($A320,Devengado!$A$1:$AI$1,29,FALSE),"")</f>
        <v/>
      </c>
      <c r="BK320" s="224" t="str">
        <f>IFERROR(VLOOKUP($A320,Devengado!$A$1:$AI$1,30,FALSE),"")</f>
        <v/>
      </c>
      <c r="BL320" s="224" t="str">
        <f>IFERROR(VLOOKUP($A320,Devengado!$A$1:$AI$1,31,FALSE),"")</f>
        <v/>
      </c>
      <c r="BM320" s="224" t="str">
        <f>IFERROR(VLOOKUP($A320,Devengado!$A$1:$AI$1,32,FALSE),"")</f>
        <v/>
      </c>
      <c r="BN320" s="224" t="str">
        <f>IFERROR(VLOOKUP($A320,Devengado!$A$1:$AI$1,33,FALSE),"")</f>
        <v/>
      </c>
      <c r="BO320" s="224">
        <f t="shared" si="36"/>
        <v>0</v>
      </c>
      <c r="BP320" s="224" t="str">
        <f t="shared" si="37"/>
        <v/>
      </c>
      <c r="BQ320" s="207"/>
      <c r="BR320" s="207" t="str">
        <f t="shared" si="38"/>
        <v>51</v>
      </c>
    </row>
    <row r="321" spans="1:70" s="225" customFormat="1" ht="58.7" customHeight="1">
      <c r="A321" s="207">
        <v>317</v>
      </c>
      <c r="B321" s="114" t="s">
        <v>348</v>
      </c>
      <c r="C321" s="112" t="s">
        <v>77</v>
      </c>
      <c r="D321" s="112" t="s">
        <v>77</v>
      </c>
      <c r="E321" s="112" t="s">
        <v>76</v>
      </c>
      <c r="F321" s="112" t="s">
        <v>77</v>
      </c>
      <c r="G321" s="112" t="s">
        <v>77</v>
      </c>
      <c r="H321" s="112" t="s">
        <v>77</v>
      </c>
      <c r="I321" s="112" t="s">
        <v>77</v>
      </c>
      <c r="J321" s="112" t="s">
        <v>77</v>
      </c>
      <c r="K321" s="112" t="s">
        <v>77</v>
      </c>
      <c r="L321" s="112" t="s">
        <v>85</v>
      </c>
      <c r="M321" s="112" t="s">
        <v>351</v>
      </c>
      <c r="N321" s="114" t="s">
        <v>352</v>
      </c>
      <c r="O321" s="114" t="s">
        <v>111</v>
      </c>
      <c r="P321" s="118" t="s">
        <v>81</v>
      </c>
      <c r="Q321" s="118" t="s">
        <v>112</v>
      </c>
      <c r="R321" s="115" t="str">
        <f t="shared" si="32"/>
        <v>51</v>
      </c>
      <c r="S321" s="124">
        <v>510105</v>
      </c>
      <c r="T321" s="122" t="str">
        <f>VLOOKUP(S321,ITEM!$C$1:$D$156,2,FALSE)</f>
        <v>Remuneraciones Unificadas</v>
      </c>
      <c r="U321" s="112">
        <v>1000</v>
      </c>
      <c r="V321" s="112" t="s">
        <v>82</v>
      </c>
      <c r="W321" s="112" t="s">
        <v>84</v>
      </c>
      <c r="X321" s="112" t="s">
        <v>84</v>
      </c>
      <c r="Y321" s="224" t="e">
        <f>'Matriz POA 2024-TRABAJO'!#REF!</f>
        <v>#REF!</v>
      </c>
      <c r="Z321" s="224" t="e">
        <f>'Matriz POA 2024-TRABAJO'!#REF!</f>
        <v>#REF!</v>
      </c>
      <c r="AA321" s="224" t="e">
        <f>'Matriz POA 2024-TRABAJO'!#REF!</f>
        <v>#REF!</v>
      </c>
      <c r="AB321" s="279">
        <v>3510</v>
      </c>
      <c r="AC321" s="279">
        <v>3510</v>
      </c>
      <c r="AD321" s="279">
        <v>3510</v>
      </c>
      <c r="AE321" s="279">
        <v>3510</v>
      </c>
      <c r="AF321" s="279">
        <v>3510</v>
      </c>
      <c r="AG321" s="279">
        <v>3510</v>
      </c>
      <c r="AH321" s="279">
        <v>3510</v>
      </c>
      <c r="AI321" s="279">
        <v>3510</v>
      </c>
      <c r="AJ321" s="279">
        <v>3510</v>
      </c>
      <c r="AK321" s="279">
        <v>3510</v>
      </c>
      <c r="AL321" s="279">
        <v>3510</v>
      </c>
      <c r="AM321" s="279">
        <v>3510</v>
      </c>
      <c r="AN321" s="224" t="e">
        <f>SUM(#REF!)</f>
        <v>#REF!</v>
      </c>
      <c r="AO321" s="224">
        <f t="shared" si="33"/>
        <v>42120</v>
      </c>
      <c r="AP321" s="224" t="e">
        <f t="shared" si="39"/>
        <v>#REF!</v>
      </c>
      <c r="AQ321" s="224"/>
      <c r="AR321" s="224"/>
      <c r="AS321" s="224"/>
      <c r="AT321" s="224" t="str">
        <f>IFERROR(VLOOKUP($A321,'Constancias POA'!$A$2:$DH$9993,17,FALSE),"")</f>
        <v/>
      </c>
      <c r="AU321" s="224" t="str">
        <f t="shared" si="34"/>
        <v/>
      </c>
      <c r="AV321" s="224" t="str">
        <f>IFERROR(VLOOKUP($A321,CP!$A$1:$U$7992,18,FALSE),"")</f>
        <v/>
      </c>
      <c r="AW321" s="224" t="str">
        <f>IFERROR(VLOOKUP($A321,CP!$A$1:$U$7992,19,FALSE),"")</f>
        <v/>
      </c>
      <c r="AX321" s="224" t="str">
        <f>IFERROR(VLOOKUP($A321,CP!$A$1:$U$7992,20,FALSE),"")</f>
        <v/>
      </c>
      <c r="AY321" s="224" t="str">
        <f>IFERROR(VLOOKUP($A321,CP!$A$1:$U$1,21,FALSE),"")</f>
        <v/>
      </c>
      <c r="AZ321" s="224" t="str">
        <f>IFERROR(VLOOKUP(A321,Devengado!$A$1:AJ1,35,FALSE),"")</f>
        <v/>
      </c>
      <c r="BA321" s="224" t="str">
        <f t="shared" si="35"/>
        <v/>
      </c>
      <c r="BB321" s="224" t="str">
        <f>IFERROR(AZ321/#REF!,"")</f>
        <v/>
      </c>
      <c r="BC321" s="224" t="str">
        <f>IFERROR(VLOOKUP($A321,Devengado!$A$1:$AI$1,22,FALSE),"")</f>
        <v/>
      </c>
      <c r="BD321" s="224" t="str">
        <f>IFERROR(VLOOKUP($A321,Devengado!$A$1:$AI$1,23,FALSE),"")</f>
        <v/>
      </c>
      <c r="BE321" s="224" t="str">
        <f>IFERROR(VLOOKUP($A321,Devengado!$A$1:$AI$1,24,FALSE),"")</f>
        <v/>
      </c>
      <c r="BF321" s="224" t="str">
        <f>IFERROR(VLOOKUP($A321,Devengado!$A$1:$AI$1,25,FALSE),"")</f>
        <v/>
      </c>
      <c r="BG321" s="224" t="str">
        <f>IFERROR(VLOOKUP($A321,Devengado!$A$1:$AI$1,26,FALSE),"")</f>
        <v/>
      </c>
      <c r="BH321" s="224" t="str">
        <f>IFERROR(VLOOKUP($A321,Devengado!$A$1:$AI$1,27,FALSE),"")</f>
        <v/>
      </c>
      <c r="BI321" s="224" t="str">
        <f>IFERROR(VLOOKUP($A321,Devengado!$A$1:$AI$1,28,FALSE),"")</f>
        <v/>
      </c>
      <c r="BJ321" s="224" t="str">
        <f>IFERROR(VLOOKUP($A321,Devengado!$A$1:$AI$1,29,FALSE),"")</f>
        <v/>
      </c>
      <c r="BK321" s="224" t="str">
        <f>IFERROR(VLOOKUP($A321,Devengado!$A$1:$AI$1,30,FALSE),"")</f>
        <v/>
      </c>
      <c r="BL321" s="224" t="str">
        <f>IFERROR(VLOOKUP($A321,Devengado!$A$1:$AI$1,31,FALSE),"")</f>
        <v/>
      </c>
      <c r="BM321" s="224" t="str">
        <f>IFERROR(VLOOKUP($A321,Devengado!$A$1:$AI$1,32,FALSE),"")</f>
        <v/>
      </c>
      <c r="BN321" s="224" t="str">
        <f>IFERROR(VLOOKUP($A321,Devengado!$A$1:$AI$1,33,FALSE),"")</f>
        <v/>
      </c>
      <c r="BO321" s="224">
        <f t="shared" si="36"/>
        <v>0</v>
      </c>
      <c r="BP321" s="224" t="str">
        <f t="shared" si="37"/>
        <v/>
      </c>
      <c r="BQ321" s="207"/>
      <c r="BR321" s="207" t="str">
        <f t="shared" si="38"/>
        <v>51</v>
      </c>
    </row>
    <row r="322" spans="1:70" s="225" customFormat="1" ht="25.5" customHeight="1">
      <c r="A322" s="207">
        <v>318</v>
      </c>
      <c r="B322" s="112" t="s">
        <v>348</v>
      </c>
      <c r="C322" s="112" t="s">
        <v>77</v>
      </c>
      <c r="D322" s="112" t="s">
        <v>77</v>
      </c>
      <c r="E322" s="112" t="s">
        <v>76</v>
      </c>
      <c r="F322" s="112" t="s">
        <v>77</v>
      </c>
      <c r="G322" s="112" t="s">
        <v>77</v>
      </c>
      <c r="H322" s="112" t="s">
        <v>77</v>
      </c>
      <c r="I322" s="112" t="s">
        <v>77</v>
      </c>
      <c r="J322" s="112" t="s">
        <v>77</v>
      </c>
      <c r="K322" s="112" t="s">
        <v>77</v>
      </c>
      <c r="L322" s="112" t="s">
        <v>85</v>
      </c>
      <c r="M322" s="112" t="s">
        <v>353</v>
      </c>
      <c r="N322" s="114" t="s">
        <v>350</v>
      </c>
      <c r="O322" s="114" t="s">
        <v>111</v>
      </c>
      <c r="P322" s="118" t="s">
        <v>81</v>
      </c>
      <c r="Q322" s="118" t="s">
        <v>112</v>
      </c>
      <c r="R322" s="115" t="str">
        <f t="shared" si="32"/>
        <v>51</v>
      </c>
      <c r="S322" s="124">
        <v>510106</v>
      </c>
      <c r="T322" s="122" t="str">
        <f>VLOOKUP(S322,ITEM!$C$1:$D$156,2,FALSE)</f>
        <v>Salarios Unificados</v>
      </c>
      <c r="U322" s="112">
        <v>1700</v>
      </c>
      <c r="V322" s="112" t="s">
        <v>82</v>
      </c>
      <c r="W322" s="112" t="s">
        <v>84</v>
      </c>
      <c r="X322" s="112" t="s">
        <v>84</v>
      </c>
      <c r="Y322" s="224" t="e">
        <f>'Matriz POA 2024-TRABAJO'!#REF!</f>
        <v>#REF!</v>
      </c>
      <c r="Z322" s="224" t="e">
        <f>'Matriz POA 2024-TRABAJO'!#REF!</f>
        <v>#REF!</v>
      </c>
      <c r="AA322" s="224" t="e">
        <f>'Matriz POA 2024-TRABAJO'!#REF!</f>
        <v>#REF!</v>
      </c>
      <c r="AB322" s="279">
        <v>1907.76</v>
      </c>
      <c r="AC322" s="279">
        <v>1907.76</v>
      </c>
      <c r="AD322" s="279">
        <v>1907.76</v>
      </c>
      <c r="AE322" s="279">
        <v>1907.76</v>
      </c>
      <c r="AF322" s="279">
        <v>1907.76</v>
      </c>
      <c r="AG322" s="279">
        <v>1907.76</v>
      </c>
      <c r="AH322" s="279">
        <v>1907.76</v>
      </c>
      <c r="AI322" s="279">
        <v>1907.76</v>
      </c>
      <c r="AJ322" s="279">
        <v>1907.76</v>
      </c>
      <c r="AK322" s="279">
        <v>1907.76</v>
      </c>
      <c r="AL322" s="279">
        <v>1538.4</v>
      </c>
      <c r="AM322" s="279">
        <v>0</v>
      </c>
      <c r="AN322" s="224" t="e">
        <f>SUM(#REF!)</f>
        <v>#REF!</v>
      </c>
      <c r="AO322" s="224">
        <f t="shared" si="33"/>
        <v>20616</v>
      </c>
      <c r="AP322" s="224" t="e">
        <f t="shared" si="39"/>
        <v>#REF!</v>
      </c>
      <c r="AQ322" s="224"/>
      <c r="AR322" s="224"/>
      <c r="AS322" s="224"/>
      <c r="AT322" s="224" t="str">
        <f>IFERROR(VLOOKUP($A322,'Constancias POA'!$A$2:$DH$9993,17,FALSE),"")</f>
        <v/>
      </c>
      <c r="AU322" s="224" t="str">
        <f t="shared" si="34"/>
        <v/>
      </c>
      <c r="AV322" s="224" t="str">
        <f>IFERROR(VLOOKUP($A322,CP!$A$1:$U$7992,18,FALSE),"")</f>
        <v/>
      </c>
      <c r="AW322" s="224" t="str">
        <f>IFERROR(VLOOKUP($A322,CP!$A$1:$U$7992,19,FALSE),"")</f>
        <v/>
      </c>
      <c r="AX322" s="224" t="str">
        <f>IFERROR(VLOOKUP($A322,CP!$A$1:$U$7992,20,FALSE),"")</f>
        <v/>
      </c>
      <c r="AY322" s="224" t="str">
        <f>IFERROR(VLOOKUP($A322,CP!$A$1:$U$1,21,FALSE),"")</f>
        <v/>
      </c>
      <c r="AZ322" s="224" t="str">
        <f>IFERROR(VLOOKUP(A322,Devengado!$A$1:AJ1,35,FALSE),"")</f>
        <v/>
      </c>
      <c r="BA322" s="224" t="str">
        <f t="shared" si="35"/>
        <v/>
      </c>
      <c r="BB322" s="224" t="str">
        <f>IFERROR(AZ322/#REF!,"")</f>
        <v/>
      </c>
      <c r="BC322" s="224" t="str">
        <f>IFERROR(VLOOKUP($A322,Devengado!$A$1:$AI$1,22,FALSE),"")</f>
        <v/>
      </c>
      <c r="BD322" s="224" t="str">
        <f>IFERROR(VLOOKUP($A322,Devengado!$A$1:$AI$1,23,FALSE),"")</f>
        <v/>
      </c>
      <c r="BE322" s="224" t="str">
        <f>IFERROR(VLOOKUP($A322,Devengado!$A$1:$AI$1,24,FALSE),"")</f>
        <v/>
      </c>
      <c r="BF322" s="224" t="str">
        <f>IFERROR(VLOOKUP($A322,Devengado!$A$1:$AI$1,25,FALSE),"")</f>
        <v/>
      </c>
      <c r="BG322" s="224" t="str">
        <f>IFERROR(VLOOKUP($A322,Devengado!$A$1:$AI$1,26,FALSE),"")</f>
        <v/>
      </c>
      <c r="BH322" s="224" t="str">
        <f>IFERROR(VLOOKUP($A322,Devengado!$A$1:$AI$1,27,FALSE),"")</f>
        <v/>
      </c>
      <c r="BI322" s="224" t="str">
        <f>IFERROR(VLOOKUP($A322,Devengado!$A$1:$AI$1,28,FALSE),"")</f>
        <v/>
      </c>
      <c r="BJ322" s="224" t="str">
        <f>IFERROR(VLOOKUP($A322,Devengado!$A$1:$AI$1,29,FALSE),"")</f>
        <v/>
      </c>
      <c r="BK322" s="224" t="str">
        <f>IFERROR(VLOOKUP($A322,Devengado!$A$1:$AI$1,30,FALSE),"")</f>
        <v/>
      </c>
      <c r="BL322" s="224" t="str">
        <f>IFERROR(VLOOKUP($A322,Devengado!$A$1:$AI$1,31,FALSE),"")</f>
        <v/>
      </c>
      <c r="BM322" s="224" t="str">
        <f>IFERROR(VLOOKUP($A322,Devengado!$A$1:$AI$1,32,FALSE),"")</f>
        <v/>
      </c>
      <c r="BN322" s="224" t="str">
        <f>IFERROR(VLOOKUP($A322,Devengado!$A$1:$AI$1,33,FALSE),"")</f>
        <v/>
      </c>
      <c r="BO322" s="224">
        <f t="shared" si="36"/>
        <v>0</v>
      </c>
      <c r="BP322" s="224" t="str">
        <f t="shared" si="37"/>
        <v/>
      </c>
      <c r="BQ322" s="207"/>
      <c r="BR322" s="207" t="str">
        <f t="shared" si="38"/>
        <v>51</v>
      </c>
    </row>
    <row r="323" spans="1:70" s="225" customFormat="1" ht="58.7" customHeight="1">
      <c r="A323" s="207">
        <v>319</v>
      </c>
      <c r="B323" s="114" t="s">
        <v>348</v>
      </c>
      <c r="C323" s="112" t="s">
        <v>77</v>
      </c>
      <c r="D323" s="112" t="s">
        <v>77</v>
      </c>
      <c r="E323" s="112" t="s">
        <v>76</v>
      </c>
      <c r="F323" s="112" t="s">
        <v>77</v>
      </c>
      <c r="G323" s="112" t="s">
        <v>77</v>
      </c>
      <c r="H323" s="112" t="s">
        <v>77</v>
      </c>
      <c r="I323" s="112" t="s">
        <v>77</v>
      </c>
      <c r="J323" s="112" t="s">
        <v>77</v>
      </c>
      <c r="K323" s="112" t="s">
        <v>77</v>
      </c>
      <c r="L323" s="112" t="s">
        <v>85</v>
      </c>
      <c r="M323" s="112" t="s">
        <v>353</v>
      </c>
      <c r="N323" s="114" t="s">
        <v>352</v>
      </c>
      <c r="O323" s="114" t="s">
        <v>111</v>
      </c>
      <c r="P323" s="118" t="s">
        <v>81</v>
      </c>
      <c r="Q323" s="118" t="s">
        <v>112</v>
      </c>
      <c r="R323" s="115" t="str">
        <f t="shared" si="32"/>
        <v>51</v>
      </c>
      <c r="S323" s="124">
        <v>510106</v>
      </c>
      <c r="T323" s="122" t="str">
        <f>VLOOKUP(S323,ITEM!$C$1:$D$156,2,FALSE)</f>
        <v>Salarios Unificados</v>
      </c>
      <c r="U323" s="112">
        <v>1000</v>
      </c>
      <c r="V323" s="112" t="s">
        <v>82</v>
      </c>
      <c r="W323" s="112" t="s">
        <v>84</v>
      </c>
      <c r="X323" s="112" t="s">
        <v>84</v>
      </c>
      <c r="Y323" s="224" t="e">
        <f>'Matriz POA 2024-TRABAJO'!#REF!</f>
        <v>#REF!</v>
      </c>
      <c r="Z323" s="224" t="e">
        <f>'Matriz POA 2024-TRABAJO'!#REF!</f>
        <v>#REF!</v>
      </c>
      <c r="AA323" s="224" t="e">
        <f>'Matriz POA 2024-TRABAJO'!#REF!</f>
        <v>#REF!</v>
      </c>
      <c r="AB323" s="279">
        <v>1157</v>
      </c>
      <c r="AC323" s="279">
        <v>1157</v>
      </c>
      <c r="AD323" s="279">
        <v>1157</v>
      </c>
      <c r="AE323" s="279">
        <v>1157</v>
      </c>
      <c r="AF323" s="279">
        <v>2314</v>
      </c>
      <c r="AG323" s="279">
        <v>1157</v>
      </c>
      <c r="AH323" s="279">
        <v>1157</v>
      </c>
      <c r="AI323" s="279">
        <v>1157</v>
      </c>
      <c r="AJ323" s="279">
        <v>1157</v>
      </c>
      <c r="AK323" s="279">
        <v>1157</v>
      </c>
      <c r="AL323" s="279">
        <v>1157</v>
      </c>
      <c r="AM323" s="279">
        <v>1157</v>
      </c>
      <c r="AN323" s="224" t="e">
        <f>SUM(#REF!)</f>
        <v>#REF!</v>
      </c>
      <c r="AO323" s="224">
        <f t="shared" si="33"/>
        <v>15041</v>
      </c>
      <c r="AP323" s="224" t="e">
        <f t="shared" si="39"/>
        <v>#REF!</v>
      </c>
      <c r="AQ323" s="224"/>
      <c r="AR323" s="224"/>
      <c r="AS323" s="224"/>
      <c r="AT323" s="224" t="str">
        <f>IFERROR(VLOOKUP($A323,'Constancias POA'!$A$2:$DH$9993,17,FALSE),"")</f>
        <v/>
      </c>
      <c r="AU323" s="224" t="str">
        <f t="shared" si="34"/>
        <v/>
      </c>
      <c r="AV323" s="224" t="str">
        <f>IFERROR(VLOOKUP($A323,CP!$A$1:$U$7992,18,FALSE),"")</f>
        <v/>
      </c>
      <c r="AW323" s="224" t="str">
        <f>IFERROR(VLOOKUP($A323,CP!$A$1:$U$7992,19,FALSE),"")</f>
        <v/>
      </c>
      <c r="AX323" s="224" t="str">
        <f>IFERROR(VLOOKUP($A323,CP!$A$1:$U$7992,20,FALSE),"")</f>
        <v/>
      </c>
      <c r="AY323" s="224" t="str">
        <f>IFERROR(VLOOKUP($A323,CP!$A$1:$U$1,21,FALSE),"")</f>
        <v/>
      </c>
      <c r="AZ323" s="224" t="str">
        <f>IFERROR(VLOOKUP(A323,Devengado!$A$1:AJ1,35,FALSE),"")</f>
        <v/>
      </c>
      <c r="BA323" s="224" t="str">
        <f t="shared" si="35"/>
        <v/>
      </c>
      <c r="BB323" s="224" t="str">
        <f>IFERROR(AZ323/#REF!,"")</f>
        <v/>
      </c>
      <c r="BC323" s="224" t="str">
        <f>IFERROR(VLOOKUP($A323,Devengado!$A$1:$AI$1,22,FALSE),"")</f>
        <v/>
      </c>
      <c r="BD323" s="224" t="str">
        <f>IFERROR(VLOOKUP($A323,Devengado!$A$1:$AI$1,23,FALSE),"")</f>
        <v/>
      </c>
      <c r="BE323" s="224" t="str">
        <f>IFERROR(VLOOKUP($A323,Devengado!$A$1:$AI$1,24,FALSE),"")</f>
        <v/>
      </c>
      <c r="BF323" s="224" t="str">
        <f>IFERROR(VLOOKUP($A323,Devengado!$A$1:$AI$1,25,FALSE),"")</f>
        <v/>
      </c>
      <c r="BG323" s="224" t="str">
        <f>IFERROR(VLOOKUP($A323,Devengado!$A$1:$AI$1,26,FALSE),"")</f>
        <v/>
      </c>
      <c r="BH323" s="224" t="str">
        <f>IFERROR(VLOOKUP($A323,Devengado!$A$1:$AI$1,27,FALSE),"")</f>
        <v/>
      </c>
      <c r="BI323" s="224" t="str">
        <f>IFERROR(VLOOKUP($A323,Devengado!$A$1:$AI$1,28,FALSE),"")</f>
        <v/>
      </c>
      <c r="BJ323" s="224" t="str">
        <f>IFERROR(VLOOKUP($A323,Devengado!$A$1:$AI$1,29,FALSE),"")</f>
        <v/>
      </c>
      <c r="BK323" s="224" t="str">
        <f>IFERROR(VLOOKUP($A323,Devengado!$A$1:$AI$1,30,FALSE),"")</f>
        <v/>
      </c>
      <c r="BL323" s="224" t="str">
        <f>IFERROR(VLOOKUP($A323,Devengado!$A$1:$AI$1,31,FALSE),"")</f>
        <v/>
      </c>
      <c r="BM323" s="224" t="str">
        <f>IFERROR(VLOOKUP($A323,Devengado!$A$1:$AI$1,32,FALSE),"")</f>
        <v/>
      </c>
      <c r="BN323" s="224" t="str">
        <f>IFERROR(VLOOKUP($A323,Devengado!$A$1:$AI$1,33,FALSE),"")</f>
        <v/>
      </c>
      <c r="BO323" s="224">
        <f t="shared" si="36"/>
        <v>0</v>
      </c>
      <c r="BP323" s="224" t="str">
        <f t="shared" si="37"/>
        <v/>
      </c>
      <c r="BQ323" s="207"/>
      <c r="BR323" s="207" t="str">
        <f t="shared" si="38"/>
        <v>51</v>
      </c>
    </row>
    <row r="324" spans="1:70" s="225" customFormat="1" ht="25.5" customHeight="1">
      <c r="A324" s="207">
        <v>320</v>
      </c>
      <c r="B324" s="112" t="s">
        <v>348</v>
      </c>
      <c r="C324" s="112" t="s">
        <v>77</v>
      </c>
      <c r="D324" s="112" t="s">
        <v>77</v>
      </c>
      <c r="E324" s="112" t="s">
        <v>76</v>
      </c>
      <c r="F324" s="112" t="s">
        <v>77</v>
      </c>
      <c r="G324" s="112" t="s">
        <v>77</v>
      </c>
      <c r="H324" s="112" t="s">
        <v>77</v>
      </c>
      <c r="I324" s="112" t="s">
        <v>77</v>
      </c>
      <c r="J324" s="112" t="s">
        <v>77</v>
      </c>
      <c r="K324" s="112" t="s">
        <v>77</v>
      </c>
      <c r="L324" s="112" t="s">
        <v>85</v>
      </c>
      <c r="M324" s="112" t="s">
        <v>354</v>
      </c>
      <c r="N324" s="114" t="s">
        <v>350</v>
      </c>
      <c r="O324" s="114" t="s">
        <v>111</v>
      </c>
      <c r="P324" s="118" t="s">
        <v>81</v>
      </c>
      <c r="Q324" s="118" t="s">
        <v>112</v>
      </c>
      <c r="R324" s="115" t="str">
        <f t="shared" si="32"/>
        <v>51</v>
      </c>
      <c r="S324" s="124">
        <v>510203</v>
      </c>
      <c r="T324" s="122" t="str">
        <f>VLOOKUP(S324,ITEM!$C$1:$D$156,2,FALSE)</f>
        <v>Decimo Tercer Sueldo</v>
      </c>
      <c r="U324" s="112">
        <v>1700</v>
      </c>
      <c r="V324" s="112" t="s">
        <v>82</v>
      </c>
      <c r="W324" s="112" t="s">
        <v>84</v>
      </c>
      <c r="X324" s="112" t="s">
        <v>84</v>
      </c>
      <c r="Y324" s="224" t="e">
        <f>'Matriz POA 2024-TRABAJO'!#REF!</f>
        <v>#REF!</v>
      </c>
      <c r="Z324" s="224" t="e">
        <f>'Matriz POA 2024-TRABAJO'!#REF!</f>
        <v>#REF!</v>
      </c>
      <c r="AA324" s="224" t="e">
        <f>'Matriz POA 2024-TRABAJO'!#REF!</f>
        <v>#REF!</v>
      </c>
      <c r="AB324" s="279">
        <v>2821.7533333333336</v>
      </c>
      <c r="AC324" s="279">
        <v>2821.7533333333336</v>
      </c>
      <c r="AD324" s="279">
        <v>2821.7533333333336</v>
      </c>
      <c r="AE324" s="279">
        <v>2821.7533333333336</v>
      </c>
      <c r="AF324" s="279">
        <v>2821.7533333333336</v>
      </c>
      <c r="AG324" s="279">
        <v>2821.7533333333336</v>
      </c>
      <c r="AH324" s="279">
        <v>2821.7533333333336</v>
      </c>
      <c r="AI324" s="279">
        <v>2821.7533333333336</v>
      </c>
      <c r="AJ324" s="279">
        <v>2821.7533333333336</v>
      </c>
      <c r="AK324" s="279">
        <v>2821.7533333333336</v>
      </c>
      <c r="AL324" s="279">
        <v>2821.7533333333336</v>
      </c>
      <c r="AM324" s="279">
        <v>2821.7533333333336</v>
      </c>
      <c r="AN324" s="224" t="e">
        <f>SUM(#REF!)</f>
        <v>#REF!</v>
      </c>
      <c r="AO324" s="224">
        <f t="shared" si="33"/>
        <v>33861.040000000001</v>
      </c>
      <c r="AP324" s="224" t="e">
        <f t="shared" si="39"/>
        <v>#REF!</v>
      </c>
      <c r="AQ324" s="224"/>
      <c r="AR324" s="224"/>
      <c r="AS324" s="224"/>
      <c r="AT324" s="224" t="str">
        <f>IFERROR(VLOOKUP($A324,'Constancias POA'!$A$2:$DH$9993,17,FALSE),"")</f>
        <v/>
      </c>
      <c r="AU324" s="224" t="str">
        <f t="shared" si="34"/>
        <v/>
      </c>
      <c r="AV324" s="224" t="str">
        <f>IFERROR(VLOOKUP($A324,CP!$A$1:$U$7992,18,FALSE),"")</f>
        <v/>
      </c>
      <c r="AW324" s="224" t="str">
        <f>IFERROR(VLOOKUP($A324,CP!$A$1:$U$7992,19,FALSE),"")</f>
        <v/>
      </c>
      <c r="AX324" s="224" t="str">
        <f>IFERROR(VLOOKUP($A324,CP!$A$1:$U$7992,20,FALSE),"")</f>
        <v/>
      </c>
      <c r="AY324" s="224" t="str">
        <f>IFERROR(VLOOKUP($A324,CP!$A$1:$U$1,21,FALSE),"")</f>
        <v/>
      </c>
      <c r="AZ324" s="224" t="str">
        <f>IFERROR(VLOOKUP(A324,Devengado!$A$1:AJ1,35,FALSE),"")</f>
        <v/>
      </c>
      <c r="BA324" s="224" t="str">
        <f t="shared" si="35"/>
        <v/>
      </c>
      <c r="BB324" s="224" t="str">
        <f>IFERROR(AZ324/#REF!,"")</f>
        <v/>
      </c>
      <c r="BC324" s="224" t="str">
        <f>IFERROR(VLOOKUP($A324,Devengado!$A$1:$AI$1,22,FALSE),"")</f>
        <v/>
      </c>
      <c r="BD324" s="224" t="str">
        <f>IFERROR(VLOOKUP($A324,Devengado!$A$1:$AI$1,23,FALSE),"")</f>
        <v/>
      </c>
      <c r="BE324" s="224" t="str">
        <f>IFERROR(VLOOKUP($A324,Devengado!$A$1:$AI$1,24,FALSE),"")</f>
        <v/>
      </c>
      <c r="BF324" s="224" t="str">
        <f>IFERROR(VLOOKUP($A324,Devengado!$A$1:$AI$1,25,FALSE),"")</f>
        <v/>
      </c>
      <c r="BG324" s="224" t="str">
        <f>IFERROR(VLOOKUP($A324,Devengado!$A$1:$AI$1,26,FALSE),"")</f>
        <v/>
      </c>
      <c r="BH324" s="224" t="str">
        <f>IFERROR(VLOOKUP($A324,Devengado!$A$1:$AI$1,27,FALSE),"")</f>
        <v/>
      </c>
      <c r="BI324" s="224" t="str">
        <f>IFERROR(VLOOKUP($A324,Devengado!$A$1:$AI$1,28,FALSE),"")</f>
        <v/>
      </c>
      <c r="BJ324" s="224" t="str">
        <f>IFERROR(VLOOKUP($A324,Devengado!$A$1:$AI$1,29,FALSE),"")</f>
        <v/>
      </c>
      <c r="BK324" s="224" t="str">
        <f>IFERROR(VLOOKUP($A324,Devengado!$A$1:$AI$1,30,FALSE),"")</f>
        <v/>
      </c>
      <c r="BL324" s="224" t="str">
        <f>IFERROR(VLOOKUP($A324,Devengado!$A$1:$AI$1,31,FALSE),"")</f>
        <v/>
      </c>
      <c r="BM324" s="224" t="str">
        <f>IFERROR(VLOOKUP($A324,Devengado!$A$1:$AI$1,32,FALSE),"")</f>
        <v/>
      </c>
      <c r="BN324" s="224" t="str">
        <f>IFERROR(VLOOKUP($A324,Devengado!$A$1:$AI$1,33,FALSE),"")</f>
        <v/>
      </c>
      <c r="BO324" s="224">
        <f t="shared" si="36"/>
        <v>0</v>
      </c>
      <c r="BP324" s="224" t="str">
        <f t="shared" si="37"/>
        <v/>
      </c>
      <c r="BQ324" s="207"/>
      <c r="BR324" s="207" t="str">
        <f t="shared" si="38"/>
        <v>51</v>
      </c>
    </row>
    <row r="325" spans="1:70" s="225" customFormat="1" ht="58.7" customHeight="1">
      <c r="A325" s="207">
        <v>321</v>
      </c>
      <c r="B325" s="114" t="s">
        <v>348</v>
      </c>
      <c r="C325" s="112" t="s">
        <v>77</v>
      </c>
      <c r="D325" s="112" t="s">
        <v>77</v>
      </c>
      <c r="E325" s="112" t="s">
        <v>76</v>
      </c>
      <c r="F325" s="112" t="s">
        <v>77</v>
      </c>
      <c r="G325" s="112" t="s">
        <v>77</v>
      </c>
      <c r="H325" s="112" t="s">
        <v>77</v>
      </c>
      <c r="I325" s="112" t="s">
        <v>77</v>
      </c>
      <c r="J325" s="112" t="s">
        <v>77</v>
      </c>
      <c r="K325" s="112" t="s">
        <v>77</v>
      </c>
      <c r="L325" s="112" t="s">
        <v>85</v>
      </c>
      <c r="M325" s="112" t="s">
        <v>354</v>
      </c>
      <c r="N325" s="114" t="s">
        <v>352</v>
      </c>
      <c r="O325" s="114" t="s">
        <v>111</v>
      </c>
      <c r="P325" s="118" t="s">
        <v>81</v>
      </c>
      <c r="Q325" s="118" t="s">
        <v>112</v>
      </c>
      <c r="R325" s="115" t="str">
        <f t="shared" ref="R325:R388" si="40">LEFT(S325,2)</f>
        <v>51</v>
      </c>
      <c r="S325" s="124">
        <v>510203</v>
      </c>
      <c r="T325" s="122" t="str">
        <f>VLOOKUP(S325,ITEM!$C$1:$D$156,2,FALSE)</f>
        <v>Decimo Tercer Sueldo</v>
      </c>
      <c r="U325" s="112">
        <v>1000</v>
      </c>
      <c r="V325" s="112" t="s">
        <v>82</v>
      </c>
      <c r="W325" s="112" t="s">
        <v>84</v>
      </c>
      <c r="X325" s="112" t="s">
        <v>84</v>
      </c>
      <c r="Y325" s="224" t="e">
        <f>'Matriz POA 2024-TRABAJO'!#REF!</f>
        <v>#REF!</v>
      </c>
      <c r="Z325" s="224" t="e">
        <f>'Matriz POA 2024-TRABAJO'!#REF!</f>
        <v>#REF!</v>
      </c>
      <c r="AA325" s="224" t="e">
        <f>'Matriz POA 2024-TRABAJO'!#REF!</f>
        <v>#REF!</v>
      </c>
      <c r="AB325" s="279">
        <v>0</v>
      </c>
      <c r="AC325" s="279">
        <v>46.75</v>
      </c>
      <c r="AD325" s="279">
        <v>46.75</v>
      </c>
      <c r="AE325" s="279">
        <v>46.75</v>
      </c>
      <c r="AF325" s="279">
        <v>93.5</v>
      </c>
      <c r="AG325" s="279">
        <v>46.75</v>
      </c>
      <c r="AH325" s="279">
        <v>46.75</v>
      </c>
      <c r="AI325" s="279">
        <v>46.75</v>
      </c>
      <c r="AJ325" s="279">
        <v>0</v>
      </c>
      <c r="AK325" s="279">
        <v>46.75</v>
      </c>
      <c r="AL325" s="279">
        <v>46.75</v>
      </c>
      <c r="AM325" s="279">
        <v>5665.5</v>
      </c>
      <c r="AN325" s="224" t="e">
        <f>SUM(#REF!)</f>
        <v>#REF!</v>
      </c>
      <c r="AO325" s="224">
        <f t="shared" ref="AO325:AO388" si="41">SUM(AB325:AM325)</f>
        <v>6133</v>
      </c>
      <c r="AP325" s="224" t="e">
        <f t="shared" si="39"/>
        <v>#REF!</v>
      </c>
      <c r="AQ325" s="224"/>
      <c r="AR325" s="224"/>
      <c r="AS325" s="224"/>
      <c r="AT325" s="224" t="str">
        <f>IFERROR(VLOOKUP($A325,'Constancias POA'!$A$2:$DH$9993,17,FALSE),"")</f>
        <v/>
      </c>
      <c r="AU325" s="224" t="str">
        <f t="shared" ref="AU325:AU388" si="42">IFERROR(AA325-AT325,"")</f>
        <v/>
      </c>
      <c r="AV325" s="224" t="str">
        <f>IFERROR(VLOOKUP($A325,CP!$A$1:$U$7992,18,FALSE),"")</f>
        <v/>
      </c>
      <c r="AW325" s="224" t="str">
        <f>IFERROR(VLOOKUP($A325,CP!$A$1:$U$7992,19,FALSE),"")</f>
        <v/>
      </c>
      <c r="AX325" s="224" t="str">
        <f>IFERROR(VLOOKUP($A325,CP!$A$1:$U$7992,20,FALSE),"")</f>
        <v/>
      </c>
      <c r="AY325" s="224" t="str">
        <f>IFERROR(VLOOKUP($A325,CP!$A$1:$U$1,21,FALSE),"")</f>
        <v/>
      </c>
      <c r="AZ325" s="224" t="str">
        <f>IFERROR(VLOOKUP(A325,Devengado!$A$1:AJ1,35,FALSE),"")</f>
        <v/>
      </c>
      <c r="BA325" s="224" t="str">
        <f t="shared" ref="BA325:BA388" si="43">IFERROR((AA325-AZ325),"")</f>
        <v/>
      </c>
      <c r="BB325" s="224" t="str">
        <f>IFERROR(AZ325/#REF!,"")</f>
        <v/>
      </c>
      <c r="BC325" s="224" t="str">
        <f>IFERROR(VLOOKUP($A325,Devengado!$A$1:$AI$1,22,FALSE),"")</f>
        <v/>
      </c>
      <c r="BD325" s="224" t="str">
        <f>IFERROR(VLOOKUP($A325,Devengado!$A$1:$AI$1,23,FALSE),"")</f>
        <v/>
      </c>
      <c r="BE325" s="224" t="str">
        <f>IFERROR(VLOOKUP($A325,Devengado!$A$1:$AI$1,24,FALSE),"")</f>
        <v/>
      </c>
      <c r="BF325" s="224" t="str">
        <f>IFERROR(VLOOKUP($A325,Devengado!$A$1:$AI$1,25,FALSE),"")</f>
        <v/>
      </c>
      <c r="BG325" s="224" t="str">
        <f>IFERROR(VLOOKUP($A325,Devengado!$A$1:$AI$1,26,FALSE),"")</f>
        <v/>
      </c>
      <c r="BH325" s="224" t="str">
        <f>IFERROR(VLOOKUP($A325,Devengado!$A$1:$AI$1,27,FALSE),"")</f>
        <v/>
      </c>
      <c r="BI325" s="224" t="str">
        <f>IFERROR(VLOOKUP($A325,Devengado!$A$1:$AI$1,28,FALSE),"")</f>
        <v/>
      </c>
      <c r="BJ325" s="224" t="str">
        <f>IFERROR(VLOOKUP($A325,Devengado!$A$1:$AI$1,29,FALSE),"")</f>
        <v/>
      </c>
      <c r="BK325" s="224" t="str">
        <f>IFERROR(VLOOKUP($A325,Devengado!$A$1:$AI$1,30,FALSE),"")</f>
        <v/>
      </c>
      <c r="BL325" s="224" t="str">
        <f>IFERROR(VLOOKUP($A325,Devengado!$A$1:$AI$1,31,FALSE),"")</f>
        <v/>
      </c>
      <c r="BM325" s="224" t="str">
        <f>IFERROR(VLOOKUP($A325,Devengado!$A$1:$AI$1,32,FALSE),"")</f>
        <v/>
      </c>
      <c r="BN325" s="224" t="str">
        <f>IFERROR(VLOOKUP($A325,Devengado!$A$1:$AI$1,33,FALSE),"")</f>
        <v/>
      </c>
      <c r="BO325" s="224">
        <f t="shared" ref="BO325:BO388" si="44">SUM(BC325:BN325)</f>
        <v>0</v>
      </c>
      <c r="BP325" s="224" t="str">
        <f t="shared" ref="BP325:BP388" si="45">IFERROR(((AB325+AC325)-AZ325),"")</f>
        <v/>
      </c>
      <c r="BQ325" s="207"/>
      <c r="BR325" s="207" t="str">
        <f t="shared" ref="BR325:BR388" si="46">LEFT(R325,4)</f>
        <v>51</v>
      </c>
    </row>
    <row r="326" spans="1:70" s="225" customFormat="1" ht="25.5" customHeight="1">
      <c r="A326" s="207">
        <v>322</v>
      </c>
      <c r="B326" s="112" t="s">
        <v>348</v>
      </c>
      <c r="C326" s="112" t="s">
        <v>77</v>
      </c>
      <c r="D326" s="112" t="s">
        <v>77</v>
      </c>
      <c r="E326" s="112" t="s">
        <v>76</v>
      </c>
      <c r="F326" s="112" t="s">
        <v>77</v>
      </c>
      <c r="G326" s="112" t="s">
        <v>77</v>
      </c>
      <c r="H326" s="112" t="s">
        <v>77</v>
      </c>
      <c r="I326" s="112" t="s">
        <v>77</v>
      </c>
      <c r="J326" s="112" t="s">
        <v>77</v>
      </c>
      <c r="K326" s="112" t="s">
        <v>77</v>
      </c>
      <c r="L326" s="112" t="s">
        <v>85</v>
      </c>
      <c r="M326" s="112" t="s">
        <v>355</v>
      </c>
      <c r="N326" s="114" t="s">
        <v>350</v>
      </c>
      <c r="O326" s="114" t="s">
        <v>111</v>
      </c>
      <c r="P326" s="118" t="s">
        <v>81</v>
      </c>
      <c r="Q326" s="118" t="s">
        <v>112</v>
      </c>
      <c r="R326" s="115" t="str">
        <f t="shared" si="40"/>
        <v>51</v>
      </c>
      <c r="S326" s="124">
        <v>510204</v>
      </c>
      <c r="T326" s="122" t="str">
        <f>VLOOKUP(S326,ITEM!$C$1:$D$156,2,FALSE)</f>
        <v>Decimo Cuarto Sueldo</v>
      </c>
      <c r="U326" s="112">
        <v>1700</v>
      </c>
      <c r="V326" s="112" t="s">
        <v>82</v>
      </c>
      <c r="W326" s="112" t="s">
        <v>84</v>
      </c>
      <c r="X326" s="112" t="s">
        <v>84</v>
      </c>
      <c r="Y326" s="224" t="e">
        <f>'Matriz POA 2024-TRABAJO'!#REF!</f>
        <v>#REF!</v>
      </c>
      <c r="Z326" s="224" t="e">
        <f>'Matriz POA 2024-TRABAJO'!#REF!</f>
        <v>#REF!</v>
      </c>
      <c r="AA326" s="224" t="e">
        <f>'Matriz POA 2024-TRABAJO'!#REF!</f>
        <v>#REF!</v>
      </c>
      <c r="AB326" s="279">
        <v>445</v>
      </c>
      <c r="AC326" s="279">
        <v>825</v>
      </c>
      <c r="AD326" s="279">
        <v>375</v>
      </c>
      <c r="AE326" s="279">
        <v>375</v>
      </c>
      <c r="AF326" s="279">
        <v>375</v>
      </c>
      <c r="AG326" s="279">
        <v>386.25</v>
      </c>
      <c r="AH326" s="279">
        <v>750</v>
      </c>
      <c r="AI326" s="279">
        <v>9981.1</v>
      </c>
      <c r="AJ326" s="279">
        <v>375</v>
      </c>
      <c r="AK326" s="279">
        <v>552.08000000000004</v>
      </c>
      <c r="AL326" s="279">
        <v>375</v>
      </c>
      <c r="AM326" s="279">
        <v>815</v>
      </c>
      <c r="AN326" s="224" t="e">
        <f>SUM(#REF!)</f>
        <v>#REF!</v>
      </c>
      <c r="AO326" s="224">
        <f t="shared" si="41"/>
        <v>15629.43</v>
      </c>
      <c r="AP326" s="224" t="e">
        <f t="shared" ref="AP326:AP389" si="47">+AO326-AA326</f>
        <v>#REF!</v>
      </c>
      <c r="AQ326" s="224"/>
      <c r="AR326" s="224"/>
      <c r="AS326" s="224"/>
      <c r="AT326" s="224" t="str">
        <f>IFERROR(VLOOKUP($A326,'Constancias POA'!$A$2:$DH$9993,17,FALSE),"")</f>
        <v/>
      </c>
      <c r="AU326" s="224" t="str">
        <f t="shared" si="42"/>
        <v/>
      </c>
      <c r="AV326" s="224" t="str">
        <f>IFERROR(VLOOKUP($A326,CP!$A$1:$U$7992,18,FALSE),"")</f>
        <v/>
      </c>
      <c r="AW326" s="224" t="str">
        <f>IFERROR(VLOOKUP($A326,CP!$A$1:$U$7992,19,FALSE),"")</f>
        <v/>
      </c>
      <c r="AX326" s="224" t="str">
        <f>IFERROR(VLOOKUP($A326,CP!$A$1:$U$7992,20,FALSE),"")</f>
        <v/>
      </c>
      <c r="AY326" s="224" t="str">
        <f>IFERROR(VLOOKUP($A326,CP!$A$1:$U$1,21,FALSE),"")</f>
        <v/>
      </c>
      <c r="AZ326" s="224" t="str">
        <f>IFERROR(VLOOKUP(A326,Devengado!$A$1:AJ1,35,FALSE),"")</f>
        <v/>
      </c>
      <c r="BA326" s="224" t="str">
        <f t="shared" si="43"/>
        <v/>
      </c>
      <c r="BB326" s="224" t="str">
        <f>IFERROR(AZ326/#REF!,"")</f>
        <v/>
      </c>
      <c r="BC326" s="224" t="str">
        <f>IFERROR(VLOOKUP($A326,Devengado!$A$1:$AI$1,22,FALSE),"")</f>
        <v/>
      </c>
      <c r="BD326" s="224" t="str">
        <f>IFERROR(VLOOKUP($A326,Devengado!$A$1:$AI$1,23,FALSE),"")</f>
        <v/>
      </c>
      <c r="BE326" s="224" t="str">
        <f>IFERROR(VLOOKUP($A326,Devengado!$A$1:$AI$1,24,FALSE),"")</f>
        <v/>
      </c>
      <c r="BF326" s="224" t="str">
        <f>IFERROR(VLOOKUP($A326,Devengado!$A$1:$AI$1,25,FALSE),"")</f>
        <v/>
      </c>
      <c r="BG326" s="224" t="str">
        <f>IFERROR(VLOOKUP($A326,Devengado!$A$1:$AI$1,26,FALSE),"")</f>
        <v/>
      </c>
      <c r="BH326" s="224" t="str">
        <f>IFERROR(VLOOKUP($A326,Devengado!$A$1:$AI$1,27,FALSE),"")</f>
        <v/>
      </c>
      <c r="BI326" s="224" t="str">
        <f>IFERROR(VLOOKUP($A326,Devengado!$A$1:$AI$1,28,FALSE),"")</f>
        <v/>
      </c>
      <c r="BJ326" s="224" t="str">
        <f>IFERROR(VLOOKUP($A326,Devengado!$A$1:$AI$1,29,FALSE),"")</f>
        <v/>
      </c>
      <c r="BK326" s="224" t="str">
        <f>IFERROR(VLOOKUP($A326,Devengado!$A$1:$AI$1,30,FALSE),"")</f>
        <v/>
      </c>
      <c r="BL326" s="224" t="str">
        <f>IFERROR(VLOOKUP($A326,Devengado!$A$1:$AI$1,31,FALSE),"")</f>
        <v/>
      </c>
      <c r="BM326" s="224" t="str">
        <f>IFERROR(VLOOKUP($A326,Devengado!$A$1:$AI$1,32,FALSE),"")</f>
        <v/>
      </c>
      <c r="BN326" s="224" t="str">
        <f>IFERROR(VLOOKUP($A326,Devengado!$A$1:$AI$1,33,FALSE),"")</f>
        <v/>
      </c>
      <c r="BO326" s="224">
        <f t="shared" si="44"/>
        <v>0</v>
      </c>
      <c r="BP326" s="224" t="str">
        <f t="shared" si="45"/>
        <v/>
      </c>
      <c r="BQ326" s="207"/>
      <c r="BR326" s="207" t="str">
        <f t="shared" si="46"/>
        <v>51</v>
      </c>
    </row>
    <row r="327" spans="1:70" s="225" customFormat="1" ht="58.7" customHeight="1">
      <c r="A327" s="207">
        <v>323</v>
      </c>
      <c r="B327" s="114" t="s">
        <v>348</v>
      </c>
      <c r="C327" s="112" t="s">
        <v>77</v>
      </c>
      <c r="D327" s="112" t="s">
        <v>77</v>
      </c>
      <c r="E327" s="112" t="s">
        <v>76</v>
      </c>
      <c r="F327" s="112" t="s">
        <v>77</v>
      </c>
      <c r="G327" s="112" t="s">
        <v>77</v>
      </c>
      <c r="H327" s="112" t="s">
        <v>77</v>
      </c>
      <c r="I327" s="112" t="s">
        <v>77</v>
      </c>
      <c r="J327" s="112" t="s">
        <v>77</v>
      </c>
      <c r="K327" s="112" t="s">
        <v>77</v>
      </c>
      <c r="L327" s="112" t="s">
        <v>85</v>
      </c>
      <c r="M327" s="112" t="s">
        <v>355</v>
      </c>
      <c r="N327" s="114" t="s">
        <v>352</v>
      </c>
      <c r="O327" s="114" t="s">
        <v>111</v>
      </c>
      <c r="P327" s="118" t="s">
        <v>81</v>
      </c>
      <c r="Q327" s="118" t="s">
        <v>112</v>
      </c>
      <c r="R327" s="115" t="str">
        <f t="shared" si="40"/>
        <v>51</v>
      </c>
      <c r="S327" s="124">
        <v>510204</v>
      </c>
      <c r="T327" s="122" t="str">
        <f>VLOOKUP(S327,ITEM!$C$1:$D$156,2,FALSE)</f>
        <v>Decimo Cuarto Sueldo</v>
      </c>
      <c r="U327" s="112">
        <v>1000</v>
      </c>
      <c r="V327" s="112" t="s">
        <v>82</v>
      </c>
      <c r="W327" s="112" t="s">
        <v>84</v>
      </c>
      <c r="X327" s="112" t="s">
        <v>84</v>
      </c>
      <c r="Y327" s="224" t="e">
        <f>'Matriz POA 2024-TRABAJO'!#REF!</f>
        <v>#REF!</v>
      </c>
      <c r="Z327" s="224" t="e">
        <f>'Matriz POA 2024-TRABAJO'!#REF!</f>
        <v>#REF!</v>
      </c>
      <c r="AA327" s="224" t="e">
        <f>'Matriz POA 2024-TRABAJO'!#REF!</f>
        <v>#REF!</v>
      </c>
      <c r="AB327" s="279">
        <v>0</v>
      </c>
      <c r="AC327" s="279">
        <v>37.5</v>
      </c>
      <c r="AD327" s="279">
        <v>37.5</v>
      </c>
      <c r="AE327" s="279">
        <v>37.5</v>
      </c>
      <c r="AF327" s="279">
        <v>75</v>
      </c>
      <c r="AG327" s="279">
        <v>37.5</v>
      </c>
      <c r="AH327" s="279">
        <v>37.5</v>
      </c>
      <c r="AI327" s="279">
        <v>2737.5</v>
      </c>
      <c r="AJ327" s="279">
        <v>0</v>
      </c>
      <c r="AK327" s="279">
        <v>37.5</v>
      </c>
      <c r="AL327" s="279">
        <v>37.5</v>
      </c>
      <c r="AM327" s="279">
        <v>75</v>
      </c>
      <c r="AN327" s="224" t="e">
        <f>SUM(#REF!)</f>
        <v>#REF!</v>
      </c>
      <c r="AO327" s="224">
        <f t="shared" si="41"/>
        <v>3150</v>
      </c>
      <c r="AP327" s="224" t="e">
        <f t="shared" si="47"/>
        <v>#REF!</v>
      </c>
      <c r="AQ327" s="224"/>
      <c r="AR327" s="224"/>
      <c r="AS327" s="224"/>
      <c r="AT327" s="224" t="str">
        <f>IFERROR(VLOOKUP($A327,'Constancias POA'!$A$2:$DH$9993,17,FALSE),"")</f>
        <v/>
      </c>
      <c r="AU327" s="224" t="str">
        <f t="shared" si="42"/>
        <v/>
      </c>
      <c r="AV327" s="224" t="str">
        <f>IFERROR(VLOOKUP($A327,CP!$A$1:$U$7992,18,FALSE),"")</f>
        <v/>
      </c>
      <c r="AW327" s="224" t="str">
        <f>IFERROR(VLOOKUP($A327,CP!$A$1:$U$7992,19,FALSE),"")</f>
        <v/>
      </c>
      <c r="AX327" s="224" t="str">
        <f>IFERROR(VLOOKUP($A327,CP!$A$1:$U$7992,20,FALSE),"")</f>
        <v/>
      </c>
      <c r="AY327" s="224" t="str">
        <f>IFERROR(VLOOKUP($A327,CP!$A$1:$U$1,21,FALSE),"")</f>
        <v/>
      </c>
      <c r="AZ327" s="224" t="str">
        <f>IFERROR(VLOOKUP(A327,Devengado!$A$1:AJ1,35,FALSE),"")</f>
        <v/>
      </c>
      <c r="BA327" s="224" t="str">
        <f t="shared" si="43"/>
        <v/>
      </c>
      <c r="BB327" s="224" t="str">
        <f>IFERROR(AZ327/#REF!,"")</f>
        <v/>
      </c>
      <c r="BC327" s="224" t="str">
        <f>IFERROR(VLOOKUP($A327,Devengado!$A$1:$AI$1,22,FALSE),"")</f>
        <v/>
      </c>
      <c r="BD327" s="224" t="str">
        <f>IFERROR(VLOOKUP($A327,Devengado!$A$1:$AI$1,23,FALSE),"")</f>
        <v/>
      </c>
      <c r="BE327" s="224" t="str">
        <f>IFERROR(VLOOKUP($A327,Devengado!$A$1:$AI$1,24,FALSE),"")</f>
        <v/>
      </c>
      <c r="BF327" s="224" t="str">
        <f>IFERROR(VLOOKUP($A327,Devengado!$A$1:$AI$1,25,FALSE),"")</f>
        <v/>
      </c>
      <c r="BG327" s="224" t="str">
        <f>IFERROR(VLOOKUP($A327,Devengado!$A$1:$AI$1,26,FALSE),"")</f>
        <v/>
      </c>
      <c r="BH327" s="224" t="str">
        <f>IFERROR(VLOOKUP($A327,Devengado!$A$1:$AI$1,27,FALSE),"")</f>
        <v/>
      </c>
      <c r="BI327" s="224" t="str">
        <f>IFERROR(VLOOKUP($A327,Devengado!$A$1:$AI$1,28,FALSE),"")</f>
        <v/>
      </c>
      <c r="BJ327" s="224" t="str">
        <f>IFERROR(VLOOKUP($A327,Devengado!$A$1:$AI$1,29,FALSE),"")</f>
        <v/>
      </c>
      <c r="BK327" s="224" t="str">
        <f>IFERROR(VLOOKUP($A327,Devengado!$A$1:$AI$1,30,FALSE),"")</f>
        <v/>
      </c>
      <c r="BL327" s="224" t="str">
        <f>IFERROR(VLOOKUP($A327,Devengado!$A$1:$AI$1,31,FALSE),"")</f>
        <v/>
      </c>
      <c r="BM327" s="224" t="str">
        <f>IFERROR(VLOOKUP($A327,Devengado!$A$1:$AI$1,32,FALSE),"")</f>
        <v/>
      </c>
      <c r="BN327" s="224" t="str">
        <f>IFERROR(VLOOKUP($A327,Devengado!$A$1:$AI$1,33,FALSE),"")</f>
        <v/>
      </c>
      <c r="BO327" s="224">
        <f t="shared" si="44"/>
        <v>0</v>
      </c>
      <c r="BP327" s="224" t="str">
        <f t="shared" si="45"/>
        <v/>
      </c>
      <c r="BQ327" s="207"/>
      <c r="BR327" s="207" t="str">
        <f t="shared" si="46"/>
        <v>51</v>
      </c>
    </row>
    <row r="328" spans="1:70" s="225" customFormat="1" ht="25.5" customHeight="1">
      <c r="A328" s="207">
        <v>324</v>
      </c>
      <c r="B328" s="112" t="s">
        <v>348</v>
      </c>
      <c r="C328" s="112" t="s">
        <v>77</v>
      </c>
      <c r="D328" s="112" t="s">
        <v>77</v>
      </c>
      <c r="E328" s="112" t="s">
        <v>76</v>
      </c>
      <c r="F328" s="112" t="s">
        <v>77</v>
      </c>
      <c r="G328" s="112" t="s">
        <v>77</v>
      </c>
      <c r="H328" s="112" t="s">
        <v>77</v>
      </c>
      <c r="I328" s="112" t="s">
        <v>77</v>
      </c>
      <c r="J328" s="112" t="s">
        <v>77</v>
      </c>
      <c r="K328" s="112" t="s">
        <v>77</v>
      </c>
      <c r="L328" s="112" t="s">
        <v>85</v>
      </c>
      <c r="M328" s="112" t="s">
        <v>356</v>
      </c>
      <c r="N328" s="114" t="s">
        <v>350</v>
      </c>
      <c r="O328" s="114" t="s">
        <v>111</v>
      </c>
      <c r="P328" s="118" t="s">
        <v>81</v>
      </c>
      <c r="Q328" s="118" t="s">
        <v>112</v>
      </c>
      <c r="R328" s="115" t="str">
        <f t="shared" si="40"/>
        <v>51</v>
      </c>
      <c r="S328" s="124">
        <v>510304</v>
      </c>
      <c r="T328" s="122" t="str">
        <f>VLOOKUP(S328,ITEM!$C$1:$D$156,2,FALSE)</f>
        <v>Compensación por Transporte</v>
      </c>
      <c r="U328" s="112">
        <v>1700</v>
      </c>
      <c r="V328" s="112" t="s">
        <v>82</v>
      </c>
      <c r="W328" s="112" t="s">
        <v>84</v>
      </c>
      <c r="X328" s="112" t="s">
        <v>84</v>
      </c>
      <c r="Y328" s="224" t="e">
        <f>'Matriz POA 2024-TRABAJO'!#REF!</f>
        <v>#REF!</v>
      </c>
      <c r="Z328" s="224" t="e">
        <f>'Matriz POA 2024-TRABAJO'!#REF!</f>
        <v>#REF!</v>
      </c>
      <c r="AA328" s="224" t="e">
        <f>'Matriz POA 2024-TRABAJO'!#REF!</f>
        <v>#REF!</v>
      </c>
      <c r="AB328" s="279">
        <v>27.46</v>
      </c>
      <c r="AC328" s="279">
        <v>27.46</v>
      </c>
      <c r="AD328" s="279">
        <v>27.46</v>
      </c>
      <c r="AE328" s="279">
        <v>27.46</v>
      </c>
      <c r="AF328" s="279">
        <v>27.46</v>
      </c>
      <c r="AG328" s="279">
        <v>27.46</v>
      </c>
      <c r="AH328" s="279">
        <v>27.46</v>
      </c>
      <c r="AI328" s="279">
        <v>27.46</v>
      </c>
      <c r="AJ328" s="279">
        <v>27.46</v>
      </c>
      <c r="AK328" s="279">
        <v>27.46</v>
      </c>
      <c r="AL328" s="279">
        <v>27.46</v>
      </c>
      <c r="AM328" s="279">
        <v>27.44</v>
      </c>
      <c r="AN328" s="224" t="e">
        <f>SUM(#REF!)</f>
        <v>#REF!</v>
      </c>
      <c r="AO328" s="224">
        <f t="shared" si="41"/>
        <v>329.5</v>
      </c>
      <c r="AP328" s="224" t="e">
        <f t="shared" si="47"/>
        <v>#REF!</v>
      </c>
      <c r="AQ328" s="224"/>
      <c r="AR328" s="224"/>
      <c r="AS328" s="224"/>
      <c r="AT328" s="224" t="str">
        <f>IFERROR(VLOOKUP($A328,'Constancias POA'!$A$2:$DH$9993,17,FALSE),"")</f>
        <v/>
      </c>
      <c r="AU328" s="224" t="str">
        <f t="shared" si="42"/>
        <v/>
      </c>
      <c r="AV328" s="224" t="str">
        <f>IFERROR(VLOOKUP($A328,CP!$A$1:$U$7992,18,FALSE),"")</f>
        <v/>
      </c>
      <c r="AW328" s="224" t="str">
        <f>IFERROR(VLOOKUP($A328,CP!$A$1:$U$7992,19,FALSE),"")</f>
        <v/>
      </c>
      <c r="AX328" s="224" t="str">
        <f>IFERROR(VLOOKUP($A328,CP!$A$1:$U$7992,20,FALSE),"")</f>
        <v/>
      </c>
      <c r="AY328" s="224" t="str">
        <f>IFERROR(VLOOKUP($A328,CP!$A$1:$U$1,21,FALSE),"")</f>
        <v/>
      </c>
      <c r="AZ328" s="224" t="str">
        <f>IFERROR(VLOOKUP(A328,Devengado!$A$1:AJ1,35,FALSE),"")</f>
        <v/>
      </c>
      <c r="BA328" s="224" t="str">
        <f t="shared" si="43"/>
        <v/>
      </c>
      <c r="BB328" s="224" t="str">
        <f>IFERROR(AZ328/#REF!,"")</f>
        <v/>
      </c>
      <c r="BC328" s="224" t="str">
        <f>IFERROR(VLOOKUP($A328,Devengado!$A$1:$AI$1,22,FALSE),"")</f>
        <v/>
      </c>
      <c r="BD328" s="224" t="str">
        <f>IFERROR(VLOOKUP($A328,Devengado!$A$1:$AI$1,23,FALSE),"")</f>
        <v/>
      </c>
      <c r="BE328" s="224" t="str">
        <f>IFERROR(VLOOKUP($A328,Devengado!$A$1:$AI$1,24,FALSE),"")</f>
        <v/>
      </c>
      <c r="BF328" s="224" t="str">
        <f>IFERROR(VLOOKUP($A328,Devengado!$A$1:$AI$1,25,FALSE),"")</f>
        <v/>
      </c>
      <c r="BG328" s="224" t="str">
        <f>IFERROR(VLOOKUP($A328,Devengado!$A$1:$AI$1,26,FALSE),"")</f>
        <v/>
      </c>
      <c r="BH328" s="224" t="str">
        <f>IFERROR(VLOOKUP($A328,Devengado!$A$1:$AI$1,27,FALSE),"")</f>
        <v/>
      </c>
      <c r="BI328" s="224" t="str">
        <f>IFERROR(VLOOKUP($A328,Devengado!$A$1:$AI$1,28,FALSE),"")</f>
        <v/>
      </c>
      <c r="BJ328" s="224" t="str">
        <f>IFERROR(VLOOKUP($A328,Devengado!$A$1:$AI$1,29,FALSE),"")</f>
        <v/>
      </c>
      <c r="BK328" s="224" t="str">
        <f>IFERROR(VLOOKUP($A328,Devengado!$A$1:$AI$1,30,FALSE),"")</f>
        <v/>
      </c>
      <c r="BL328" s="224" t="str">
        <f>IFERROR(VLOOKUP($A328,Devengado!$A$1:$AI$1,31,FALSE),"")</f>
        <v/>
      </c>
      <c r="BM328" s="224" t="str">
        <f>IFERROR(VLOOKUP($A328,Devengado!$A$1:$AI$1,32,FALSE),"")</f>
        <v/>
      </c>
      <c r="BN328" s="224" t="str">
        <f>IFERROR(VLOOKUP($A328,Devengado!$A$1:$AI$1,33,FALSE),"")</f>
        <v/>
      </c>
      <c r="BO328" s="224">
        <f t="shared" si="44"/>
        <v>0</v>
      </c>
      <c r="BP328" s="224" t="str">
        <f t="shared" si="45"/>
        <v/>
      </c>
      <c r="BQ328" s="207"/>
      <c r="BR328" s="207" t="str">
        <f t="shared" si="46"/>
        <v>51</v>
      </c>
    </row>
    <row r="329" spans="1:70" s="225" customFormat="1" ht="58.7" customHeight="1">
      <c r="A329" s="207">
        <v>325</v>
      </c>
      <c r="B329" s="114" t="s">
        <v>348</v>
      </c>
      <c r="C329" s="112" t="s">
        <v>77</v>
      </c>
      <c r="D329" s="112" t="s">
        <v>77</v>
      </c>
      <c r="E329" s="112" t="s">
        <v>76</v>
      </c>
      <c r="F329" s="112" t="s">
        <v>77</v>
      </c>
      <c r="G329" s="112" t="s">
        <v>77</v>
      </c>
      <c r="H329" s="112" t="s">
        <v>77</v>
      </c>
      <c r="I329" s="112" t="s">
        <v>77</v>
      </c>
      <c r="J329" s="112" t="s">
        <v>77</v>
      </c>
      <c r="K329" s="112" t="s">
        <v>77</v>
      </c>
      <c r="L329" s="112" t="s">
        <v>85</v>
      </c>
      <c r="M329" s="112" t="s">
        <v>357</v>
      </c>
      <c r="N329" s="114" t="s">
        <v>352</v>
      </c>
      <c r="O329" s="114" t="s">
        <v>111</v>
      </c>
      <c r="P329" s="118" t="s">
        <v>81</v>
      </c>
      <c r="Q329" s="118" t="s">
        <v>112</v>
      </c>
      <c r="R329" s="115" t="str">
        <f t="shared" si="40"/>
        <v>51</v>
      </c>
      <c r="S329" s="124">
        <v>510304</v>
      </c>
      <c r="T329" s="122" t="str">
        <f>VLOOKUP(S329,ITEM!$C$1:$D$156,2,FALSE)</f>
        <v>Compensación por Transporte</v>
      </c>
      <c r="U329" s="112">
        <v>1000</v>
      </c>
      <c r="V329" s="112" t="s">
        <v>82</v>
      </c>
      <c r="W329" s="112" t="s">
        <v>84</v>
      </c>
      <c r="X329" s="112" t="s">
        <v>84</v>
      </c>
      <c r="Y329" s="224" t="e">
        <f>'Matriz POA 2024-TRABAJO'!#REF!</f>
        <v>#REF!</v>
      </c>
      <c r="Z329" s="224" t="e">
        <f>'Matriz POA 2024-TRABAJO'!#REF!</f>
        <v>#REF!</v>
      </c>
      <c r="AA329" s="224" t="e">
        <f>'Matriz POA 2024-TRABAJO'!#REF!</f>
        <v>#REF!</v>
      </c>
      <c r="AB329" s="279">
        <v>22.92</v>
      </c>
      <c r="AC329" s="279">
        <v>22.92</v>
      </c>
      <c r="AD329" s="279">
        <v>22.92</v>
      </c>
      <c r="AE329" s="279">
        <v>22.92</v>
      </c>
      <c r="AF329" s="279">
        <v>22.92</v>
      </c>
      <c r="AG329" s="279">
        <v>22.92</v>
      </c>
      <c r="AH329" s="279">
        <v>22.92</v>
      </c>
      <c r="AI329" s="279">
        <v>22.92</v>
      </c>
      <c r="AJ329" s="279">
        <v>22.92</v>
      </c>
      <c r="AK329" s="279">
        <v>22.92</v>
      </c>
      <c r="AL329" s="279">
        <v>22.92</v>
      </c>
      <c r="AM329" s="279">
        <v>22.88</v>
      </c>
      <c r="AN329" s="224" t="e">
        <f>SUM(#REF!)</f>
        <v>#REF!</v>
      </c>
      <c r="AO329" s="224">
        <f t="shared" si="41"/>
        <v>275.00000000000006</v>
      </c>
      <c r="AP329" s="224" t="e">
        <f t="shared" si="47"/>
        <v>#REF!</v>
      </c>
      <c r="AQ329" s="224"/>
      <c r="AR329" s="224"/>
      <c r="AS329" s="224"/>
      <c r="AT329" s="224" t="str">
        <f>IFERROR(VLOOKUP($A329,'Constancias POA'!$A$2:$DH$9993,17,FALSE),"")</f>
        <v/>
      </c>
      <c r="AU329" s="224" t="str">
        <f t="shared" si="42"/>
        <v/>
      </c>
      <c r="AV329" s="224" t="str">
        <f>IFERROR(VLOOKUP($A329,CP!$A$1:$U$7992,18,FALSE),"")</f>
        <v/>
      </c>
      <c r="AW329" s="224" t="str">
        <f>IFERROR(VLOOKUP($A329,CP!$A$1:$U$7992,19,FALSE),"")</f>
        <v/>
      </c>
      <c r="AX329" s="224" t="str">
        <f>IFERROR(VLOOKUP($A329,CP!$A$1:$U$7992,20,FALSE),"")</f>
        <v/>
      </c>
      <c r="AY329" s="224" t="str">
        <f>IFERROR(VLOOKUP($A329,CP!$A$1:$U$1,21,FALSE),"")</f>
        <v/>
      </c>
      <c r="AZ329" s="224" t="str">
        <f>IFERROR(VLOOKUP(A329,Devengado!$A$1:AJ1,35,FALSE),"")</f>
        <v/>
      </c>
      <c r="BA329" s="224" t="str">
        <f t="shared" si="43"/>
        <v/>
      </c>
      <c r="BB329" s="224" t="str">
        <f>IFERROR(AZ329/#REF!,"")</f>
        <v/>
      </c>
      <c r="BC329" s="224" t="str">
        <f>IFERROR(VLOOKUP($A329,Devengado!$A$1:$AI$1,22,FALSE),"")</f>
        <v/>
      </c>
      <c r="BD329" s="224" t="str">
        <f>IFERROR(VLOOKUP($A329,Devengado!$A$1:$AI$1,23,FALSE),"")</f>
        <v/>
      </c>
      <c r="BE329" s="224" t="str">
        <f>IFERROR(VLOOKUP($A329,Devengado!$A$1:$AI$1,24,FALSE),"")</f>
        <v/>
      </c>
      <c r="BF329" s="224" t="str">
        <f>IFERROR(VLOOKUP($A329,Devengado!$A$1:$AI$1,25,FALSE),"")</f>
        <v/>
      </c>
      <c r="BG329" s="224" t="str">
        <f>IFERROR(VLOOKUP($A329,Devengado!$A$1:$AI$1,26,FALSE),"")</f>
        <v/>
      </c>
      <c r="BH329" s="224" t="str">
        <f>IFERROR(VLOOKUP($A329,Devengado!$A$1:$AI$1,27,FALSE),"")</f>
        <v/>
      </c>
      <c r="BI329" s="224" t="str">
        <f>IFERROR(VLOOKUP($A329,Devengado!$A$1:$AI$1,28,FALSE),"")</f>
        <v/>
      </c>
      <c r="BJ329" s="224" t="str">
        <f>IFERROR(VLOOKUP($A329,Devengado!$A$1:$AI$1,29,FALSE),"")</f>
        <v/>
      </c>
      <c r="BK329" s="224" t="str">
        <f>IFERROR(VLOOKUP($A329,Devengado!$A$1:$AI$1,30,FALSE),"")</f>
        <v/>
      </c>
      <c r="BL329" s="224" t="str">
        <f>IFERROR(VLOOKUP($A329,Devengado!$A$1:$AI$1,31,FALSE),"")</f>
        <v/>
      </c>
      <c r="BM329" s="224" t="str">
        <f>IFERROR(VLOOKUP($A329,Devengado!$A$1:$AI$1,32,FALSE),"")</f>
        <v/>
      </c>
      <c r="BN329" s="224" t="str">
        <f>IFERROR(VLOOKUP($A329,Devengado!$A$1:$AI$1,33,FALSE),"")</f>
        <v/>
      </c>
      <c r="BO329" s="224">
        <f t="shared" si="44"/>
        <v>0</v>
      </c>
      <c r="BP329" s="224" t="str">
        <f t="shared" si="45"/>
        <v/>
      </c>
      <c r="BQ329" s="207"/>
      <c r="BR329" s="207" t="str">
        <f t="shared" si="46"/>
        <v>51</v>
      </c>
    </row>
    <row r="330" spans="1:70" s="225" customFormat="1" ht="25.5" customHeight="1">
      <c r="A330" s="207">
        <v>326</v>
      </c>
      <c r="B330" s="112" t="s">
        <v>348</v>
      </c>
      <c r="C330" s="112" t="s">
        <v>77</v>
      </c>
      <c r="D330" s="112" t="s">
        <v>77</v>
      </c>
      <c r="E330" s="112" t="s">
        <v>76</v>
      </c>
      <c r="F330" s="112" t="s">
        <v>77</v>
      </c>
      <c r="G330" s="112" t="s">
        <v>77</v>
      </c>
      <c r="H330" s="112" t="s">
        <v>77</v>
      </c>
      <c r="I330" s="112" t="s">
        <v>77</v>
      </c>
      <c r="J330" s="112" t="s">
        <v>77</v>
      </c>
      <c r="K330" s="112" t="s">
        <v>77</v>
      </c>
      <c r="L330" s="112" t="s">
        <v>85</v>
      </c>
      <c r="M330" s="112" t="s">
        <v>358</v>
      </c>
      <c r="N330" s="114" t="s">
        <v>350</v>
      </c>
      <c r="O330" s="114" t="s">
        <v>111</v>
      </c>
      <c r="P330" s="118" t="s">
        <v>81</v>
      </c>
      <c r="Q330" s="118" t="s">
        <v>112</v>
      </c>
      <c r="R330" s="115" t="str">
        <f t="shared" si="40"/>
        <v>51</v>
      </c>
      <c r="S330" s="124">
        <v>510306</v>
      </c>
      <c r="T330" s="122" t="str">
        <f>VLOOKUP(S330,ITEM!$C$1:$D$156,2,FALSE)</f>
        <v>Alimentación</v>
      </c>
      <c r="U330" s="112">
        <v>1700</v>
      </c>
      <c r="V330" s="112" t="s">
        <v>82</v>
      </c>
      <c r="W330" s="112" t="s">
        <v>84</v>
      </c>
      <c r="X330" s="112" t="s">
        <v>84</v>
      </c>
      <c r="Y330" s="224" t="e">
        <f>'Matriz POA 2024-TRABAJO'!#REF!</f>
        <v>#REF!</v>
      </c>
      <c r="Z330" s="224" t="e">
        <f>'Matriz POA 2024-TRABAJO'!#REF!</f>
        <v>#REF!</v>
      </c>
      <c r="AA330" s="224" t="e">
        <f>'Matriz POA 2024-TRABAJO'!#REF!</f>
        <v>#REF!</v>
      </c>
      <c r="AB330" s="279">
        <v>192.21</v>
      </c>
      <c r="AC330" s="279">
        <v>192.21</v>
      </c>
      <c r="AD330" s="279">
        <v>192.21</v>
      </c>
      <c r="AE330" s="279">
        <v>192.21</v>
      </c>
      <c r="AF330" s="279">
        <v>192.21</v>
      </c>
      <c r="AG330" s="279">
        <v>192.21</v>
      </c>
      <c r="AH330" s="279">
        <v>192.21</v>
      </c>
      <c r="AI330" s="279">
        <v>192.21</v>
      </c>
      <c r="AJ330" s="279">
        <v>192.21</v>
      </c>
      <c r="AK330" s="279">
        <v>192.21</v>
      </c>
      <c r="AL330" s="279">
        <v>192.2</v>
      </c>
      <c r="AM330" s="279">
        <v>192.2</v>
      </c>
      <c r="AN330" s="224" t="e">
        <f>SUM(#REF!)</f>
        <v>#REF!</v>
      </c>
      <c r="AO330" s="224">
        <f t="shared" si="41"/>
        <v>2306.5</v>
      </c>
      <c r="AP330" s="224" t="e">
        <f t="shared" si="47"/>
        <v>#REF!</v>
      </c>
      <c r="AQ330" s="224"/>
      <c r="AR330" s="224"/>
      <c r="AS330" s="224"/>
      <c r="AT330" s="224" t="str">
        <f>IFERROR(VLOOKUP($A330,'Constancias POA'!$A$2:$DH$9993,17,FALSE),"")</f>
        <v/>
      </c>
      <c r="AU330" s="224" t="str">
        <f t="shared" si="42"/>
        <v/>
      </c>
      <c r="AV330" s="224" t="str">
        <f>IFERROR(VLOOKUP($A330,CP!$A$1:$U$7992,18,FALSE),"")</f>
        <v/>
      </c>
      <c r="AW330" s="224" t="str">
        <f>IFERROR(VLOOKUP($A330,CP!$A$1:$U$7992,19,FALSE),"")</f>
        <v/>
      </c>
      <c r="AX330" s="224" t="str">
        <f>IFERROR(VLOOKUP($A330,CP!$A$1:$U$7992,20,FALSE),"")</f>
        <v/>
      </c>
      <c r="AY330" s="224" t="str">
        <f>IFERROR(VLOOKUP($A330,CP!$A$1:$U$1,21,FALSE),"")</f>
        <v/>
      </c>
      <c r="AZ330" s="224" t="str">
        <f>IFERROR(VLOOKUP(A330,Devengado!$A$1:AJ1,35,FALSE),"")</f>
        <v/>
      </c>
      <c r="BA330" s="224" t="str">
        <f t="shared" si="43"/>
        <v/>
      </c>
      <c r="BB330" s="224" t="str">
        <f>IFERROR(AZ330/#REF!,"")</f>
        <v/>
      </c>
      <c r="BC330" s="224" t="str">
        <f>IFERROR(VLOOKUP($A330,Devengado!$A$1:$AI$1,22,FALSE),"")</f>
        <v/>
      </c>
      <c r="BD330" s="224" t="str">
        <f>IFERROR(VLOOKUP($A330,Devengado!$A$1:$AI$1,23,FALSE),"")</f>
        <v/>
      </c>
      <c r="BE330" s="224" t="str">
        <f>IFERROR(VLOOKUP($A330,Devengado!$A$1:$AI$1,24,FALSE),"")</f>
        <v/>
      </c>
      <c r="BF330" s="224" t="str">
        <f>IFERROR(VLOOKUP($A330,Devengado!$A$1:$AI$1,25,FALSE),"")</f>
        <v/>
      </c>
      <c r="BG330" s="224" t="str">
        <f>IFERROR(VLOOKUP($A330,Devengado!$A$1:$AI$1,26,FALSE),"")</f>
        <v/>
      </c>
      <c r="BH330" s="224" t="str">
        <f>IFERROR(VLOOKUP($A330,Devengado!$A$1:$AI$1,27,FALSE),"")</f>
        <v/>
      </c>
      <c r="BI330" s="224" t="str">
        <f>IFERROR(VLOOKUP($A330,Devengado!$A$1:$AI$1,28,FALSE),"")</f>
        <v/>
      </c>
      <c r="BJ330" s="224" t="str">
        <f>IFERROR(VLOOKUP($A330,Devengado!$A$1:$AI$1,29,FALSE),"")</f>
        <v/>
      </c>
      <c r="BK330" s="224" t="str">
        <f>IFERROR(VLOOKUP($A330,Devengado!$A$1:$AI$1,30,FALSE),"")</f>
        <v/>
      </c>
      <c r="BL330" s="224" t="str">
        <f>IFERROR(VLOOKUP($A330,Devengado!$A$1:$AI$1,31,FALSE),"")</f>
        <v/>
      </c>
      <c r="BM330" s="224" t="str">
        <f>IFERROR(VLOOKUP($A330,Devengado!$A$1:$AI$1,32,FALSE),"")</f>
        <v/>
      </c>
      <c r="BN330" s="224" t="str">
        <f>IFERROR(VLOOKUP($A330,Devengado!$A$1:$AI$1,33,FALSE),"")</f>
        <v/>
      </c>
      <c r="BO330" s="224">
        <f t="shared" si="44"/>
        <v>0</v>
      </c>
      <c r="BP330" s="224" t="str">
        <f t="shared" si="45"/>
        <v/>
      </c>
      <c r="BQ330" s="207"/>
      <c r="BR330" s="207" t="str">
        <f t="shared" si="46"/>
        <v>51</v>
      </c>
    </row>
    <row r="331" spans="1:70" s="225" customFormat="1" ht="58.7" customHeight="1">
      <c r="A331" s="207">
        <v>327</v>
      </c>
      <c r="B331" s="114" t="s">
        <v>348</v>
      </c>
      <c r="C331" s="112" t="s">
        <v>77</v>
      </c>
      <c r="D331" s="112" t="s">
        <v>77</v>
      </c>
      <c r="E331" s="112" t="s">
        <v>76</v>
      </c>
      <c r="F331" s="112" t="s">
        <v>77</v>
      </c>
      <c r="G331" s="112" t="s">
        <v>77</v>
      </c>
      <c r="H331" s="112" t="s">
        <v>77</v>
      </c>
      <c r="I331" s="112" t="s">
        <v>77</v>
      </c>
      <c r="J331" s="112" t="s">
        <v>77</v>
      </c>
      <c r="K331" s="112" t="s">
        <v>77</v>
      </c>
      <c r="L331" s="112" t="s">
        <v>85</v>
      </c>
      <c r="M331" s="112" t="s">
        <v>359</v>
      </c>
      <c r="N331" s="114" t="s">
        <v>352</v>
      </c>
      <c r="O331" s="114" t="s">
        <v>111</v>
      </c>
      <c r="P331" s="118" t="s">
        <v>81</v>
      </c>
      <c r="Q331" s="118" t="s">
        <v>112</v>
      </c>
      <c r="R331" s="115" t="str">
        <f t="shared" si="40"/>
        <v>51</v>
      </c>
      <c r="S331" s="124">
        <v>510306</v>
      </c>
      <c r="T331" s="122" t="str">
        <f>VLOOKUP(S331,ITEM!$C$1:$D$156,2,FALSE)</f>
        <v>Alimentación</v>
      </c>
      <c r="U331" s="112">
        <v>1000</v>
      </c>
      <c r="V331" s="112" t="s">
        <v>82</v>
      </c>
      <c r="W331" s="112" t="s">
        <v>84</v>
      </c>
      <c r="X331" s="112" t="s">
        <v>84</v>
      </c>
      <c r="Y331" s="224" t="e">
        <f>'Matriz POA 2024-TRABAJO'!#REF!</f>
        <v>#REF!</v>
      </c>
      <c r="Z331" s="224" t="e">
        <f>'Matriz POA 2024-TRABAJO'!#REF!</f>
        <v>#REF!</v>
      </c>
      <c r="AA331" s="224" t="e">
        <f>'Matriz POA 2024-TRABAJO'!#REF!</f>
        <v>#REF!</v>
      </c>
      <c r="AB331" s="279">
        <v>145.25</v>
      </c>
      <c r="AC331" s="279">
        <v>145.25</v>
      </c>
      <c r="AD331" s="279">
        <v>145.25</v>
      </c>
      <c r="AE331" s="279">
        <v>145.25</v>
      </c>
      <c r="AF331" s="279">
        <v>145.25</v>
      </c>
      <c r="AG331" s="279">
        <v>145.25</v>
      </c>
      <c r="AH331" s="279">
        <v>145.25</v>
      </c>
      <c r="AI331" s="279">
        <v>145.25</v>
      </c>
      <c r="AJ331" s="279">
        <v>145.25</v>
      </c>
      <c r="AK331" s="279">
        <v>145.25</v>
      </c>
      <c r="AL331" s="279">
        <v>145.25</v>
      </c>
      <c r="AM331" s="279">
        <v>145.25</v>
      </c>
      <c r="AN331" s="224" t="e">
        <f>SUM(#REF!)</f>
        <v>#REF!</v>
      </c>
      <c r="AO331" s="224">
        <f t="shared" si="41"/>
        <v>1743</v>
      </c>
      <c r="AP331" s="224" t="e">
        <f t="shared" si="47"/>
        <v>#REF!</v>
      </c>
      <c r="AQ331" s="224"/>
      <c r="AR331" s="224"/>
      <c r="AS331" s="224"/>
      <c r="AT331" s="224" t="str">
        <f>IFERROR(VLOOKUP($A331,'Constancias POA'!$A$2:$DH$9993,17,FALSE),"")</f>
        <v/>
      </c>
      <c r="AU331" s="224" t="str">
        <f t="shared" si="42"/>
        <v/>
      </c>
      <c r="AV331" s="224" t="str">
        <f>IFERROR(VLOOKUP($A331,CP!$A$1:$U$7992,18,FALSE),"")</f>
        <v/>
      </c>
      <c r="AW331" s="224" t="str">
        <f>IFERROR(VLOOKUP($A331,CP!$A$1:$U$7992,19,FALSE),"")</f>
        <v/>
      </c>
      <c r="AX331" s="224" t="str">
        <f>IFERROR(VLOOKUP($A331,CP!$A$1:$U$7992,20,FALSE),"")</f>
        <v/>
      </c>
      <c r="AY331" s="224" t="str">
        <f>IFERROR(VLOOKUP($A331,CP!$A$1:$U$1,21,FALSE),"")</f>
        <v/>
      </c>
      <c r="AZ331" s="224" t="str">
        <f>IFERROR(VLOOKUP(A331,Devengado!$A$1:AJ1,35,FALSE),"")</f>
        <v/>
      </c>
      <c r="BA331" s="224" t="str">
        <f t="shared" si="43"/>
        <v/>
      </c>
      <c r="BB331" s="224" t="str">
        <f>IFERROR(AZ331/#REF!,"")</f>
        <v/>
      </c>
      <c r="BC331" s="224" t="str">
        <f>IFERROR(VLOOKUP($A331,Devengado!$A$1:$AI$1,22,FALSE),"")</f>
        <v/>
      </c>
      <c r="BD331" s="224" t="str">
        <f>IFERROR(VLOOKUP($A331,Devengado!$A$1:$AI$1,23,FALSE),"")</f>
        <v/>
      </c>
      <c r="BE331" s="224" t="str">
        <f>IFERROR(VLOOKUP($A331,Devengado!$A$1:$AI$1,24,FALSE),"")</f>
        <v/>
      </c>
      <c r="BF331" s="224" t="str">
        <f>IFERROR(VLOOKUP($A331,Devengado!$A$1:$AI$1,25,FALSE),"")</f>
        <v/>
      </c>
      <c r="BG331" s="224" t="str">
        <f>IFERROR(VLOOKUP($A331,Devengado!$A$1:$AI$1,26,FALSE),"")</f>
        <v/>
      </c>
      <c r="BH331" s="224" t="str">
        <f>IFERROR(VLOOKUP($A331,Devengado!$A$1:$AI$1,27,FALSE),"")</f>
        <v/>
      </c>
      <c r="BI331" s="224" t="str">
        <f>IFERROR(VLOOKUP($A331,Devengado!$A$1:$AI$1,28,FALSE),"")</f>
        <v/>
      </c>
      <c r="BJ331" s="224" t="str">
        <f>IFERROR(VLOOKUP($A331,Devengado!$A$1:$AI$1,29,FALSE),"")</f>
        <v/>
      </c>
      <c r="BK331" s="224" t="str">
        <f>IFERROR(VLOOKUP($A331,Devengado!$A$1:$AI$1,30,FALSE),"")</f>
        <v/>
      </c>
      <c r="BL331" s="224" t="str">
        <f>IFERROR(VLOOKUP($A331,Devengado!$A$1:$AI$1,31,FALSE),"")</f>
        <v/>
      </c>
      <c r="BM331" s="224" t="str">
        <f>IFERROR(VLOOKUP($A331,Devengado!$A$1:$AI$1,32,FALSE),"")</f>
        <v/>
      </c>
      <c r="BN331" s="224" t="str">
        <f>IFERROR(VLOOKUP($A331,Devengado!$A$1:$AI$1,33,FALSE),"")</f>
        <v/>
      </c>
      <c r="BO331" s="224">
        <f t="shared" si="44"/>
        <v>0</v>
      </c>
      <c r="BP331" s="224" t="str">
        <f t="shared" si="45"/>
        <v/>
      </c>
      <c r="BQ331" s="207"/>
      <c r="BR331" s="207" t="str">
        <f t="shared" si="46"/>
        <v>51</v>
      </c>
    </row>
    <row r="332" spans="1:70" s="225" customFormat="1" ht="25.5" customHeight="1">
      <c r="A332" s="207">
        <v>328</v>
      </c>
      <c r="B332" s="112" t="s">
        <v>348</v>
      </c>
      <c r="C332" s="112" t="s">
        <v>77</v>
      </c>
      <c r="D332" s="112" t="s">
        <v>77</v>
      </c>
      <c r="E332" s="112" t="s">
        <v>76</v>
      </c>
      <c r="F332" s="112" t="s">
        <v>77</v>
      </c>
      <c r="G332" s="112" t="s">
        <v>77</v>
      </c>
      <c r="H332" s="112" t="s">
        <v>77</v>
      </c>
      <c r="I332" s="112" t="s">
        <v>77</v>
      </c>
      <c r="J332" s="112" t="s">
        <v>77</v>
      </c>
      <c r="K332" s="112" t="s">
        <v>77</v>
      </c>
      <c r="L332" s="112" t="s">
        <v>85</v>
      </c>
      <c r="M332" s="112" t="s">
        <v>360</v>
      </c>
      <c r="N332" s="114" t="s">
        <v>350</v>
      </c>
      <c r="O332" s="114" t="s">
        <v>111</v>
      </c>
      <c r="P332" s="118" t="s">
        <v>81</v>
      </c>
      <c r="Q332" s="118" t="s">
        <v>112</v>
      </c>
      <c r="R332" s="115" t="str">
        <f t="shared" si="40"/>
        <v>51</v>
      </c>
      <c r="S332" s="124">
        <v>510401</v>
      </c>
      <c r="T332" s="122" t="str">
        <f>VLOOKUP(S332,ITEM!$C$1:$D$156,2,FALSE)</f>
        <v>Por Cargas Familiares</v>
      </c>
      <c r="U332" s="112">
        <v>1700</v>
      </c>
      <c r="V332" s="112" t="s">
        <v>82</v>
      </c>
      <c r="W332" s="112" t="s">
        <v>84</v>
      </c>
      <c r="X332" s="112" t="s">
        <v>84</v>
      </c>
      <c r="Y332" s="224" t="e">
        <f>'Matriz POA 2024-TRABAJO'!#REF!</f>
        <v>#REF!</v>
      </c>
      <c r="Z332" s="224" t="e">
        <f>'Matriz POA 2024-TRABAJO'!#REF!</f>
        <v>#REF!</v>
      </c>
      <c r="AA332" s="224" t="e">
        <f>'Matriz POA 2024-TRABAJO'!#REF!</f>
        <v>#REF!</v>
      </c>
      <c r="AB332" s="279">
        <v>21.24</v>
      </c>
      <c r="AC332" s="279">
        <v>21.24</v>
      </c>
      <c r="AD332" s="279">
        <v>21.24</v>
      </c>
      <c r="AE332" s="279">
        <v>21.24</v>
      </c>
      <c r="AF332" s="279">
        <v>21.24</v>
      </c>
      <c r="AG332" s="279">
        <v>21.24</v>
      </c>
      <c r="AH332" s="279">
        <v>21.24</v>
      </c>
      <c r="AI332" s="279">
        <v>21.24</v>
      </c>
      <c r="AJ332" s="279">
        <v>21.24</v>
      </c>
      <c r="AK332" s="279">
        <v>21.24</v>
      </c>
      <c r="AL332" s="279">
        <v>21.24</v>
      </c>
      <c r="AM332" s="279">
        <v>21.24</v>
      </c>
      <c r="AN332" s="224" t="e">
        <f>SUM(#REF!)</f>
        <v>#REF!</v>
      </c>
      <c r="AO332" s="224">
        <f t="shared" si="41"/>
        <v>254.88000000000002</v>
      </c>
      <c r="AP332" s="224" t="e">
        <f t="shared" si="47"/>
        <v>#REF!</v>
      </c>
      <c r="AQ332" s="224"/>
      <c r="AR332" s="224"/>
      <c r="AS332" s="224"/>
      <c r="AT332" s="224" t="str">
        <f>IFERROR(VLOOKUP($A332,'Constancias POA'!$A$2:$DH$9993,17,FALSE),"")</f>
        <v/>
      </c>
      <c r="AU332" s="224" t="str">
        <f t="shared" si="42"/>
        <v/>
      </c>
      <c r="AV332" s="224" t="str">
        <f>IFERROR(VLOOKUP($A332,CP!$A$1:$U$7992,18,FALSE),"")</f>
        <v/>
      </c>
      <c r="AW332" s="224" t="str">
        <f>IFERROR(VLOOKUP($A332,CP!$A$1:$U$7992,19,FALSE),"")</f>
        <v/>
      </c>
      <c r="AX332" s="224" t="str">
        <f>IFERROR(VLOOKUP($A332,CP!$A$1:$U$7992,20,FALSE),"")</f>
        <v/>
      </c>
      <c r="AY332" s="224" t="str">
        <f>IFERROR(VLOOKUP($A332,CP!$A$1:$U$1,21,FALSE),"")</f>
        <v/>
      </c>
      <c r="AZ332" s="224" t="str">
        <f>IFERROR(VLOOKUP(A332,Devengado!$A$1:AJ1,35,FALSE),"")</f>
        <v/>
      </c>
      <c r="BA332" s="224" t="str">
        <f t="shared" si="43"/>
        <v/>
      </c>
      <c r="BB332" s="224" t="str">
        <f>IFERROR(AZ332/#REF!,"")</f>
        <v/>
      </c>
      <c r="BC332" s="224" t="str">
        <f>IFERROR(VLOOKUP($A332,Devengado!$A$1:$AI$1,22,FALSE),"")</f>
        <v/>
      </c>
      <c r="BD332" s="224" t="str">
        <f>IFERROR(VLOOKUP($A332,Devengado!$A$1:$AI$1,23,FALSE),"")</f>
        <v/>
      </c>
      <c r="BE332" s="224" t="str">
        <f>IFERROR(VLOOKUP($A332,Devengado!$A$1:$AI$1,24,FALSE),"")</f>
        <v/>
      </c>
      <c r="BF332" s="224" t="str">
        <f>IFERROR(VLOOKUP($A332,Devengado!$A$1:$AI$1,25,FALSE),"")</f>
        <v/>
      </c>
      <c r="BG332" s="224" t="str">
        <f>IFERROR(VLOOKUP($A332,Devengado!$A$1:$AI$1,26,FALSE),"")</f>
        <v/>
      </c>
      <c r="BH332" s="224" t="str">
        <f>IFERROR(VLOOKUP($A332,Devengado!$A$1:$AI$1,27,FALSE),"")</f>
        <v/>
      </c>
      <c r="BI332" s="224" t="str">
        <f>IFERROR(VLOOKUP($A332,Devengado!$A$1:$AI$1,28,FALSE),"")</f>
        <v/>
      </c>
      <c r="BJ332" s="224" t="str">
        <f>IFERROR(VLOOKUP($A332,Devengado!$A$1:$AI$1,29,FALSE),"")</f>
        <v/>
      </c>
      <c r="BK332" s="224" t="str">
        <f>IFERROR(VLOOKUP($A332,Devengado!$A$1:$AI$1,30,FALSE),"")</f>
        <v/>
      </c>
      <c r="BL332" s="224" t="str">
        <f>IFERROR(VLOOKUP($A332,Devengado!$A$1:$AI$1,31,FALSE),"")</f>
        <v/>
      </c>
      <c r="BM332" s="224" t="str">
        <f>IFERROR(VLOOKUP($A332,Devengado!$A$1:$AI$1,32,FALSE),"")</f>
        <v/>
      </c>
      <c r="BN332" s="224" t="str">
        <f>IFERROR(VLOOKUP($A332,Devengado!$A$1:$AI$1,33,FALSE),"")</f>
        <v/>
      </c>
      <c r="BO332" s="224">
        <f t="shared" si="44"/>
        <v>0</v>
      </c>
      <c r="BP332" s="224" t="str">
        <f t="shared" si="45"/>
        <v/>
      </c>
      <c r="BQ332" s="207"/>
      <c r="BR332" s="207" t="str">
        <f t="shared" si="46"/>
        <v>51</v>
      </c>
    </row>
    <row r="333" spans="1:70" s="225" customFormat="1" ht="25.5" customHeight="1">
      <c r="A333" s="207">
        <v>329</v>
      </c>
      <c r="B333" s="112" t="s">
        <v>348</v>
      </c>
      <c r="C333" s="112" t="s">
        <v>77</v>
      </c>
      <c r="D333" s="112" t="s">
        <v>77</v>
      </c>
      <c r="E333" s="112" t="s">
        <v>76</v>
      </c>
      <c r="F333" s="112" t="s">
        <v>77</v>
      </c>
      <c r="G333" s="112" t="s">
        <v>77</v>
      </c>
      <c r="H333" s="112" t="s">
        <v>77</v>
      </c>
      <c r="I333" s="112" t="s">
        <v>77</v>
      </c>
      <c r="J333" s="112" t="s">
        <v>77</v>
      </c>
      <c r="K333" s="112" t="s">
        <v>77</v>
      </c>
      <c r="L333" s="112" t="s">
        <v>85</v>
      </c>
      <c r="M333" s="112" t="s">
        <v>361</v>
      </c>
      <c r="N333" s="114" t="s">
        <v>350</v>
      </c>
      <c r="O333" s="114" t="s">
        <v>111</v>
      </c>
      <c r="P333" s="118" t="s">
        <v>81</v>
      </c>
      <c r="Q333" s="118" t="s">
        <v>112</v>
      </c>
      <c r="R333" s="115" t="str">
        <f t="shared" si="40"/>
        <v>51</v>
      </c>
      <c r="S333" s="124">
        <v>510408</v>
      </c>
      <c r="T333" s="122" t="str">
        <f>VLOOKUP(S333,ITEM!$C$1:$D$156,2,FALSE)</f>
        <v>Subsidio de Antigüedad</v>
      </c>
      <c r="U333" s="112">
        <v>1700</v>
      </c>
      <c r="V333" s="112" t="s">
        <v>82</v>
      </c>
      <c r="W333" s="112" t="s">
        <v>84</v>
      </c>
      <c r="X333" s="112" t="s">
        <v>84</v>
      </c>
      <c r="Y333" s="224" t="e">
        <f>'Matriz POA 2024-TRABAJO'!#REF!</f>
        <v>#REF!</v>
      </c>
      <c r="Z333" s="224" t="e">
        <f>'Matriz POA 2024-TRABAJO'!#REF!</f>
        <v>#REF!</v>
      </c>
      <c r="AA333" s="224" t="e">
        <f>'Matriz POA 2024-TRABAJO'!#REF!</f>
        <v>#REF!</v>
      </c>
      <c r="AB333" s="279">
        <v>6</v>
      </c>
      <c r="AC333" s="279">
        <v>6</v>
      </c>
      <c r="AD333" s="279">
        <v>6</v>
      </c>
      <c r="AE333" s="279">
        <v>6</v>
      </c>
      <c r="AF333" s="279">
        <v>6</v>
      </c>
      <c r="AG333" s="279">
        <v>6</v>
      </c>
      <c r="AH333" s="279">
        <v>6</v>
      </c>
      <c r="AI333" s="279">
        <v>6</v>
      </c>
      <c r="AJ333" s="279">
        <v>6</v>
      </c>
      <c r="AK333" s="279">
        <v>6</v>
      </c>
      <c r="AL333" s="279">
        <v>6</v>
      </c>
      <c r="AM333" s="279">
        <v>5.99</v>
      </c>
      <c r="AN333" s="224" t="e">
        <f>SUM(#REF!)</f>
        <v>#REF!</v>
      </c>
      <c r="AO333" s="224">
        <f t="shared" si="41"/>
        <v>71.989999999999995</v>
      </c>
      <c r="AP333" s="224" t="e">
        <f t="shared" si="47"/>
        <v>#REF!</v>
      </c>
      <c r="AQ333" s="224"/>
      <c r="AR333" s="224"/>
      <c r="AS333" s="224"/>
      <c r="AT333" s="224" t="str">
        <f>IFERROR(VLOOKUP($A333,'Constancias POA'!$A$2:$DH$9993,17,FALSE),"")</f>
        <v/>
      </c>
      <c r="AU333" s="224" t="str">
        <f t="shared" si="42"/>
        <v/>
      </c>
      <c r="AV333" s="224" t="str">
        <f>IFERROR(VLOOKUP($A333,CP!$A$1:$U$7992,18,FALSE),"")</f>
        <v/>
      </c>
      <c r="AW333" s="224" t="str">
        <f>IFERROR(VLOOKUP($A333,CP!$A$1:$U$7992,19,FALSE),"")</f>
        <v/>
      </c>
      <c r="AX333" s="224" t="str">
        <f>IFERROR(VLOOKUP($A333,CP!$A$1:$U$7992,20,FALSE),"")</f>
        <v/>
      </c>
      <c r="AY333" s="224" t="str">
        <f>IFERROR(VLOOKUP($A333,CP!$A$1:$U$1,21,FALSE),"")</f>
        <v/>
      </c>
      <c r="AZ333" s="224" t="str">
        <f>IFERROR(VLOOKUP(A333,Devengado!$A$1:AJ1,35,FALSE),"")</f>
        <v/>
      </c>
      <c r="BA333" s="224" t="str">
        <f t="shared" si="43"/>
        <v/>
      </c>
      <c r="BB333" s="224" t="str">
        <f>IFERROR(AZ333/#REF!,"")</f>
        <v/>
      </c>
      <c r="BC333" s="224" t="str">
        <f>IFERROR(VLOOKUP($A333,Devengado!$A$1:$AI$1,22,FALSE),"")</f>
        <v/>
      </c>
      <c r="BD333" s="224" t="str">
        <f>IFERROR(VLOOKUP($A333,Devengado!$A$1:$AI$1,23,FALSE),"")</f>
        <v/>
      </c>
      <c r="BE333" s="224" t="str">
        <f>IFERROR(VLOOKUP($A333,Devengado!$A$1:$AI$1,24,FALSE),"")</f>
        <v/>
      </c>
      <c r="BF333" s="224" t="str">
        <f>IFERROR(VLOOKUP($A333,Devengado!$A$1:$AI$1,25,FALSE),"")</f>
        <v/>
      </c>
      <c r="BG333" s="224" t="str">
        <f>IFERROR(VLOOKUP($A333,Devengado!$A$1:$AI$1,26,FALSE),"")</f>
        <v/>
      </c>
      <c r="BH333" s="224" t="str">
        <f>IFERROR(VLOOKUP($A333,Devengado!$A$1:$AI$1,27,FALSE),"")</f>
        <v/>
      </c>
      <c r="BI333" s="224" t="str">
        <f>IFERROR(VLOOKUP($A333,Devengado!$A$1:$AI$1,28,FALSE),"")</f>
        <v/>
      </c>
      <c r="BJ333" s="224" t="str">
        <f>IFERROR(VLOOKUP($A333,Devengado!$A$1:$AI$1,29,FALSE),"")</f>
        <v/>
      </c>
      <c r="BK333" s="224" t="str">
        <f>IFERROR(VLOOKUP($A333,Devengado!$A$1:$AI$1,30,FALSE),"")</f>
        <v/>
      </c>
      <c r="BL333" s="224" t="str">
        <f>IFERROR(VLOOKUP($A333,Devengado!$A$1:$AI$1,31,FALSE),"")</f>
        <v/>
      </c>
      <c r="BM333" s="224" t="str">
        <f>IFERROR(VLOOKUP($A333,Devengado!$A$1:$AI$1,32,FALSE),"")</f>
        <v/>
      </c>
      <c r="BN333" s="224" t="str">
        <f>IFERROR(VLOOKUP($A333,Devengado!$A$1:$AI$1,33,FALSE),"")</f>
        <v/>
      </c>
      <c r="BO333" s="224">
        <f t="shared" si="44"/>
        <v>0</v>
      </c>
      <c r="BP333" s="224" t="str">
        <f t="shared" si="45"/>
        <v/>
      </c>
      <c r="BQ333" s="207"/>
      <c r="BR333" s="207" t="str">
        <f t="shared" si="46"/>
        <v>51</v>
      </c>
    </row>
    <row r="334" spans="1:70" s="225" customFormat="1" ht="58.7" customHeight="1">
      <c r="A334" s="207">
        <v>330</v>
      </c>
      <c r="B334" s="114" t="s">
        <v>348</v>
      </c>
      <c r="C334" s="112" t="s">
        <v>77</v>
      </c>
      <c r="D334" s="112" t="s">
        <v>77</v>
      </c>
      <c r="E334" s="112" t="s">
        <v>76</v>
      </c>
      <c r="F334" s="112" t="s">
        <v>77</v>
      </c>
      <c r="G334" s="112" t="s">
        <v>77</v>
      </c>
      <c r="H334" s="112" t="s">
        <v>77</v>
      </c>
      <c r="I334" s="112" t="s">
        <v>77</v>
      </c>
      <c r="J334" s="112" t="s">
        <v>77</v>
      </c>
      <c r="K334" s="112" t="s">
        <v>77</v>
      </c>
      <c r="L334" s="112" t="s">
        <v>85</v>
      </c>
      <c r="M334" s="112" t="s">
        <v>362</v>
      </c>
      <c r="N334" s="114" t="s">
        <v>352</v>
      </c>
      <c r="O334" s="114" t="s">
        <v>111</v>
      </c>
      <c r="P334" s="118" t="s">
        <v>81</v>
      </c>
      <c r="Q334" s="118" t="s">
        <v>112</v>
      </c>
      <c r="R334" s="115" t="str">
        <f t="shared" si="40"/>
        <v>51</v>
      </c>
      <c r="S334" s="124">
        <v>510408</v>
      </c>
      <c r="T334" s="122" t="str">
        <f>VLOOKUP(S334,ITEM!$C$1:$D$156,2,FALSE)</f>
        <v>Subsidio de Antigüedad</v>
      </c>
      <c r="U334" s="112">
        <v>1000</v>
      </c>
      <c r="V334" s="112" t="s">
        <v>82</v>
      </c>
      <c r="W334" s="112" t="s">
        <v>84</v>
      </c>
      <c r="X334" s="112" t="s">
        <v>84</v>
      </c>
      <c r="Y334" s="224" t="e">
        <f>'Matriz POA 2024-TRABAJO'!#REF!</f>
        <v>#REF!</v>
      </c>
      <c r="Z334" s="224" t="e">
        <f>'Matriz POA 2024-TRABAJO'!#REF!</f>
        <v>#REF!</v>
      </c>
      <c r="AA334" s="224" t="e">
        <f>'Matriz POA 2024-TRABAJO'!#REF!</f>
        <v>#REF!</v>
      </c>
      <c r="AB334" s="279">
        <v>7.56</v>
      </c>
      <c r="AC334" s="279">
        <v>7.56</v>
      </c>
      <c r="AD334" s="279">
        <v>7.56</v>
      </c>
      <c r="AE334" s="279">
        <v>7.56</v>
      </c>
      <c r="AF334" s="279">
        <v>7.56</v>
      </c>
      <c r="AG334" s="279">
        <v>7.56</v>
      </c>
      <c r="AH334" s="279">
        <v>7.56</v>
      </c>
      <c r="AI334" s="279">
        <v>7.56</v>
      </c>
      <c r="AJ334" s="279">
        <v>7.56</v>
      </c>
      <c r="AK334" s="279">
        <v>7.56</v>
      </c>
      <c r="AL334" s="279">
        <v>7.56</v>
      </c>
      <c r="AM334" s="279">
        <v>7.56</v>
      </c>
      <c r="AN334" s="224" t="e">
        <f>SUM(#REF!)</f>
        <v>#REF!</v>
      </c>
      <c r="AO334" s="224">
        <f t="shared" si="41"/>
        <v>90.720000000000013</v>
      </c>
      <c r="AP334" s="224" t="e">
        <f t="shared" si="47"/>
        <v>#REF!</v>
      </c>
      <c r="AQ334" s="224"/>
      <c r="AR334" s="224"/>
      <c r="AS334" s="224"/>
      <c r="AT334" s="224" t="str">
        <f>IFERROR(VLOOKUP($A334,'Constancias POA'!$A$2:$DH$9993,17,FALSE),"")</f>
        <v/>
      </c>
      <c r="AU334" s="224" t="str">
        <f t="shared" si="42"/>
        <v/>
      </c>
      <c r="AV334" s="224" t="str">
        <f>IFERROR(VLOOKUP($A334,CP!$A$1:$U$7992,18,FALSE),"")</f>
        <v/>
      </c>
      <c r="AW334" s="224" t="str">
        <f>IFERROR(VLOOKUP($A334,CP!$A$1:$U$7992,19,FALSE),"")</f>
        <v/>
      </c>
      <c r="AX334" s="224" t="str">
        <f>IFERROR(VLOOKUP($A334,CP!$A$1:$U$7992,20,FALSE),"")</f>
        <v/>
      </c>
      <c r="AY334" s="224" t="str">
        <f>IFERROR(VLOOKUP($A334,CP!$A$1:$U$1,21,FALSE),"")</f>
        <v/>
      </c>
      <c r="AZ334" s="224" t="str">
        <f>IFERROR(VLOOKUP(A334,Devengado!$A$1:AJ1,35,FALSE),"")</f>
        <v/>
      </c>
      <c r="BA334" s="224" t="str">
        <f t="shared" si="43"/>
        <v/>
      </c>
      <c r="BB334" s="224" t="str">
        <f>IFERROR(AZ334/#REF!,"")</f>
        <v/>
      </c>
      <c r="BC334" s="224" t="str">
        <f>IFERROR(VLOOKUP($A334,Devengado!$A$1:$AI$1,22,FALSE),"")</f>
        <v/>
      </c>
      <c r="BD334" s="224" t="str">
        <f>IFERROR(VLOOKUP($A334,Devengado!$A$1:$AI$1,23,FALSE),"")</f>
        <v/>
      </c>
      <c r="BE334" s="224" t="str">
        <f>IFERROR(VLOOKUP($A334,Devengado!$A$1:$AI$1,24,FALSE),"")</f>
        <v/>
      </c>
      <c r="BF334" s="224" t="str">
        <f>IFERROR(VLOOKUP($A334,Devengado!$A$1:$AI$1,25,FALSE),"")</f>
        <v/>
      </c>
      <c r="BG334" s="224" t="str">
        <f>IFERROR(VLOOKUP($A334,Devengado!$A$1:$AI$1,26,FALSE),"")</f>
        <v/>
      </c>
      <c r="BH334" s="224" t="str">
        <f>IFERROR(VLOOKUP($A334,Devengado!$A$1:$AI$1,27,FALSE),"")</f>
        <v/>
      </c>
      <c r="BI334" s="224" t="str">
        <f>IFERROR(VLOOKUP($A334,Devengado!$A$1:$AI$1,28,FALSE),"")</f>
        <v/>
      </c>
      <c r="BJ334" s="224" t="str">
        <f>IFERROR(VLOOKUP($A334,Devengado!$A$1:$AI$1,29,FALSE),"")</f>
        <v/>
      </c>
      <c r="BK334" s="224" t="str">
        <f>IFERROR(VLOOKUP($A334,Devengado!$A$1:$AI$1,30,FALSE),"")</f>
        <v/>
      </c>
      <c r="BL334" s="224" t="str">
        <f>IFERROR(VLOOKUP($A334,Devengado!$A$1:$AI$1,31,FALSE),"")</f>
        <v/>
      </c>
      <c r="BM334" s="224" t="str">
        <f>IFERROR(VLOOKUP($A334,Devengado!$A$1:$AI$1,32,FALSE),"")</f>
        <v/>
      </c>
      <c r="BN334" s="224" t="str">
        <f>IFERROR(VLOOKUP($A334,Devengado!$A$1:$AI$1,33,FALSE),"")</f>
        <v/>
      </c>
      <c r="BO334" s="224">
        <f t="shared" si="44"/>
        <v>0</v>
      </c>
      <c r="BP334" s="224" t="str">
        <f t="shared" si="45"/>
        <v/>
      </c>
      <c r="BQ334" s="207"/>
      <c r="BR334" s="207" t="str">
        <f t="shared" si="46"/>
        <v>51</v>
      </c>
    </row>
    <row r="335" spans="1:70" s="225" customFormat="1" ht="25.5" customHeight="1">
      <c r="A335" s="207">
        <v>331</v>
      </c>
      <c r="B335" s="112" t="s">
        <v>348</v>
      </c>
      <c r="C335" s="112" t="s">
        <v>77</v>
      </c>
      <c r="D335" s="112" t="s">
        <v>77</v>
      </c>
      <c r="E335" s="112" t="s">
        <v>76</v>
      </c>
      <c r="F335" s="112" t="s">
        <v>77</v>
      </c>
      <c r="G335" s="112" t="s">
        <v>77</v>
      </c>
      <c r="H335" s="112" t="s">
        <v>77</v>
      </c>
      <c r="I335" s="112" t="s">
        <v>77</v>
      </c>
      <c r="J335" s="112" t="s">
        <v>77</v>
      </c>
      <c r="K335" s="112" t="s">
        <v>77</v>
      </c>
      <c r="L335" s="112" t="s">
        <v>85</v>
      </c>
      <c r="M335" s="112" t="s">
        <v>363</v>
      </c>
      <c r="N335" s="114" t="s">
        <v>350</v>
      </c>
      <c r="O335" s="114" t="s">
        <v>111</v>
      </c>
      <c r="P335" s="118" t="s">
        <v>81</v>
      </c>
      <c r="Q335" s="118" t="s">
        <v>112</v>
      </c>
      <c r="R335" s="115" t="str">
        <f t="shared" si="40"/>
        <v>51</v>
      </c>
      <c r="S335" s="124">
        <v>510510</v>
      </c>
      <c r="T335" s="122" t="str">
        <f>VLOOKUP(S335,ITEM!$C$1:$D$156,2,FALSE)</f>
        <v>Servicios Personales por Contrato</v>
      </c>
      <c r="U335" s="112">
        <v>1700</v>
      </c>
      <c r="V335" s="112" t="s">
        <v>82</v>
      </c>
      <c r="W335" s="112" t="s">
        <v>84</v>
      </c>
      <c r="X335" s="112" t="s">
        <v>84</v>
      </c>
      <c r="Y335" s="224" t="e">
        <f>'Matriz POA 2024-TRABAJO'!#REF!</f>
        <v>#REF!</v>
      </c>
      <c r="Z335" s="224" t="e">
        <f>'Matriz POA 2024-TRABAJO'!#REF!</f>
        <v>#REF!</v>
      </c>
      <c r="AA335" s="224" t="e">
        <f>'Matriz POA 2024-TRABAJO'!#REF!</f>
        <v>#REF!</v>
      </c>
      <c r="AB335" s="279">
        <v>24714.083333333332</v>
      </c>
      <c r="AC335" s="279">
        <v>24714.083333333332</v>
      </c>
      <c r="AD335" s="279">
        <v>24714.083333333332</v>
      </c>
      <c r="AE335" s="279">
        <v>24714.083333333332</v>
      </c>
      <c r="AF335" s="279">
        <v>24714.083333333332</v>
      </c>
      <c r="AG335" s="279">
        <v>24714.083333333332</v>
      </c>
      <c r="AH335" s="279">
        <v>24714.083333333332</v>
      </c>
      <c r="AI335" s="279">
        <v>24714.083333333332</v>
      </c>
      <c r="AJ335" s="279">
        <v>24714.083333333332</v>
      </c>
      <c r="AK335" s="279">
        <v>24714.083333333332</v>
      </c>
      <c r="AL335" s="279">
        <v>24714.083333333332</v>
      </c>
      <c r="AM335" s="279">
        <v>24714.083333333332</v>
      </c>
      <c r="AN335" s="224" t="e">
        <f>SUM(#REF!)</f>
        <v>#REF!</v>
      </c>
      <c r="AO335" s="224">
        <f t="shared" si="41"/>
        <v>296569</v>
      </c>
      <c r="AP335" s="224" t="e">
        <f t="shared" si="47"/>
        <v>#REF!</v>
      </c>
      <c r="AQ335" s="224"/>
      <c r="AR335" s="224"/>
      <c r="AS335" s="224"/>
      <c r="AT335" s="224" t="str">
        <f>IFERROR(VLOOKUP($A335,'Constancias POA'!$A$2:$DH$9993,17,FALSE),"")</f>
        <v/>
      </c>
      <c r="AU335" s="224" t="str">
        <f t="shared" si="42"/>
        <v/>
      </c>
      <c r="AV335" s="224" t="str">
        <f>IFERROR(VLOOKUP($A335,CP!$A$1:$U$7992,18,FALSE),"")</f>
        <v/>
      </c>
      <c r="AW335" s="224" t="str">
        <f>IFERROR(VLOOKUP($A335,CP!$A$1:$U$7992,19,FALSE),"")</f>
        <v/>
      </c>
      <c r="AX335" s="224" t="str">
        <f>IFERROR(VLOOKUP($A335,CP!$A$1:$U$7992,20,FALSE),"")</f>
        <v/>
      </c>
      <c r="AY335" s="224" t="str">
        <f>IFERROR(VLOOKUP($A335,CP!$A$1:$U$1,21,FALSE),"")</f>
        <v/>
      </c>
      <c r="AZ335" s="224" t="str">
        <f>IFERROR(VLOOKUP(A335,Devengado!$A$1:AJ1,35,FALSE),"")</f>
        <v/>
      </c>
      <c r="BA335" s="224" t="str">
        <f t="shared" si="43"/>
        <v/>
      </c>
      <c r="BB335" s="224" t="str">
        <f>IFERROR(AZ335/#REF!,"")</f>
        <v/>
      </c>
      <c r="BC335" s="224" t="str">
        <f>IFERROR(VLOOKUP($A335,Devengado!$A$1:$AI$1,22,FALSE),"")</f>
        <v/>
      </c>
      <c r="BD335" s="224" t="str">
        <f>IFERROR(VLOOKUP($A335,Devengado!$A$1:$AI$1,23,FALSE),"")</f>
        <v/>
      </c>
      <c r="BE335" s="224" t="str">
        <f>IFERROR(VLOOKUP($A335,Devengado!$A$1:$AI$1,24,FALSE),"")</f>
        <v/>
      </c>
      <c r="BF335" s="224" t="str">
        <f>IFERROR(VLOOKUP($A335,Devengado!$A$1:$AI$1,25,FALSE),"")</f>
        <v/>
      </c>
      <c r="BG335" s="224" t="str">
        <f>IFERROR(VLOOKUP($A335,Devengado!$A$1:$AI$1,26,FALSE),"")</f>
        <v/>
      </c>
      <c r="BH335" s="224" t="str">
        <f>IFERROR(VLOOKUP($A335,Devengado!$A$1:$AI$1,27,FALSE),"")</f>
        <v/>
      </c>
      <c r="BI335" s="224" t="str">
        <f>IFERROR(VLOOKUP($A335,Devengado!$A$1:$AI$1,28,FALSE),"")</f>
        <v/>
      </c>
      <c r="BJ335" s="224" t="str">
        <f>IFERROR(VLOOKUP($A335,Devengado!$A$1:$AI$1,29,FALSE),"")</f>
        <v/>
      </c>
      <c r="BK335" s="224" t="str">
        <f>IFERROR(VLOOKUP($A335,Devengado!$A$1:$AI$1,30,FALSE),"")</f>
        <v/>
      </c>
      <c r="BL335" s="224" t="str">
        <f>IFERROR(VLOOKUP($A335,Devengado!$A$1:$AI$1,31,FALSE),"")</f>
        <v/>
      </c>
      <c r="BM335" s="224" t="str">
        <f>IFERROR(VLOOKUP($A335,Devengado!$A$1:$AI$1,32,FALSE),"")</f>
        <v/>
      </c>
      <c r="BN335" s="224" t="str">
        <f>IFERROR(VLOOKUP($A335,Devengado!$A$1:$AI$1,33,FALSE),"")</f>
        <v/>
      </c>
      <c r="BO335" s="224">
        <f t="shared" si="44"/>
        <v>0</v>
      </c>
      <c r="BP335" s="224" t="str">
        <f t="shared" si="45"/>
        <v/>
      </c>
      <c r="BQ335" s="207"/>
      <c r="BR335" s="207" t="str">
        <f t="shared" si="46"/>
        <v>51</v>
      </c>
    </row>
    <row r="336" spans="1:70" s="225" customFormat="1" ht="58.7" customHeight="1">
      <c r="A336" s="207">
        <v>332</v>
      </c>
      <c r="B336" s="114" t="s">
        <v>348</v>
      </c>
      <c r="C336" s="112" t="s">
        <v>77</v>
      </c>
      <c r="D336" s="112" t="s">
        <v>77</v>
      </c>
      <c r="E336" s="112" t="s">
        <v>76</v>
      </c>
      <c r="F336" s="112" t="s">
        <v>77</v>
      </c>
      <c r="G336" s="112" t="s">
        <v>77</v>
      </c>
      <c r="H336" s="112" t="s">
        <v>77</v>
      </c>
      <c r="I336" s="112" t="s">
        <v>77</v>
      </c>
      <c r="J336" s="112" t="s">
        <v>77</v>
      </c>
      <c r="K336" s="112" t="s">
        <v>77</v>
      </c>
      <c r="L336" s="112" t="s">
        <v>85</v>
      </c>
      <c r="M336" s="112" t="s">
        <v>363</v>
      </c>
      <c r="N336" s="114" t="s">
        <v>352</v>
      </c>
      <c r="O336" s="114" t="s">
        <v>111</v>
      </c>
      <c r="P336" s="118" t="s">
        <v>81</v>
      </c>
      <c r="Q336" s="118" t="s">
        <v>112</v>
      </c>
      <c r="R336" s="115" t="str">
        <f t="shared" si="40"/>
        <v>51</v>
      </c>
      <c r="S336" s="124">
        <v>510510</v>
      </c>
      <c r="T336" s="122" t="str">
        <f>VLOOKUP(S336,ITEM!$C$1:$D$156,2,FALSE)</f>
        <v>Servicios Personales por Contrato</v>
      </c>
      <c r="U336" s="112">
        <v>1000</v>
      </c>
      <c r="V336" s="112" t="s">
        <v>82</v>
      </c>
      <c r="W336" s="112" t="s">
        <v>84</v>
      </c>
      <c r="X336" s="112" t="s">
        <v>84</v>
      </c>
      <c r="Y336" s="224" t="e">
        <f>'Matriz POA 2024-TRABAJO'!#REF!</f>
        <v>#REF!</v>
      </c>
      <c r="Z336" s="224" t="e">
        <f>'Matriz POA 2024-TRABAJO'!#REF!</f>
        <v>#REF!</v>
      </c>
      <c r="AA336" s="224" t="e">
        <f>'Matriz POA 2024-TRABAJO'!#REF!</f>
        <v>#REF!</v>
      </c>
      <c r="AB336" s="279">
        <v>733</v>
      </c>
      <c r="AC336" s="279">
        <v>1466</v>
      </c>
      <c r="AD336" s="279">
        <v>1466</v>
      </c>
      <c r="AE336" s="279">
        <v>1466</v>
      </c>
      <c r="AF336" s="279">
        <v>1466</v>
      </c>
      <c r="AG336" s="279">
        <v>1466</v>
      </c>
      <c r="AH336" s="279">
        <v>1466</v>
      </c>
      <c r="AI336" s="279">
        <v>1466</v>
      </c>
      <c r="AJ336" s="279">
        <v>1466</v>
      </c>
      <c r="AK336" s="279">
        <v>1466</v>
      </c>
      <c r="AL336" s="279">
        <v>1466</v>
      </c>
      <c r="AM336" s="279">
        <v>2612.6999999999998</v>
      </c>
      <c r="AN336" s="224" t="e">
        <f>SUM(#REF!)</f>
        <v>#REF!</v>
      </c>
      <c r="AO336" s="224">
        <f t="shared" si="41"/>
        <v>18005.7</v>
      </c>
      <c r="AP336" s="224" t="e">
        <f t="shared" si="47"/>
        <v>#REF!</v>
      </c>
      <c r="AQ336" s="224"/>
      <c r="AR336" s="224"/>
      <c r="AS336" s="224"/>
      <c r="AT336" s="224" t="str">
        <f>IFERROR(VLOOKUP($A336,'Constancias POA'!$A$2:$DH$9993,17,FALSE),"")</f>
        <v/>
      </c>
      <c r="AU336" s="224" t="str">
        <f t="shared" si="42"/>
        <v/>
      </c>
      <c r="AV336" s="224" t="str">
        <f>IFERROR(VLOOKUP($A336,CP!$A$1:$U$7992,18,FALSE),"")</f>
        <v/>
      </c>
      <c r="AW336" s="224" t="str">
        <f>IFERROR(VLOOKUP($A336,CP!$A$1:$U$7992,19,FALSE),"")</f>
        <v/>
      </c>
      <c r="AX336" s="224" t="str">
        <f>IFERROR(VLOOKUP($A336,CP!$A$1:$U$7992,20,FALSE),"")</f>
        <v/>
      </c>
      <c r="AY336" s="224" t="str">
        <f>IFERROR(VLOOKUP($A336,CP!$A$1:$U$1,21,FALSE),"")</f>
        <v/>
      </c>
      <c r="AZ336" s="224" t="str">
        <f>IFERROR(VLOOKUP(A336,Devengado!$A$1:AJ1,35,FALSE),"")</f>
        <v/>
      </c>
      <c r="BA336" s="224" t="str">
        <f t="shared" si="43"/>
        <v/>
      </c>
      <c r="BB336" s="224" t="str">
        <f>IFERROR(AZ336/#REF!,"")</f>
        <v/>
      </c>
      <c r="BC336" s="224" t="str">
        <f>IFERROR(VLOOKUP($A336,Devengado!$A$1:$AI$1,22,FALSE),"")</f>
        <v/>
      </c>
      <c r="BD336" s="224" t="str">
        <f>IFERROR(VLOOKUP($A336,Devengado!$A$1:$AI$1,23,FALSE),"")</f>
        <v/>
      </c>
      <c r="BE336" s="224" t="str">
        <f>IFERROR(VLOOKUP($A336,Devengado!$A$1:$AI$1,24,FALSE),"")</f>
        <v/>
      </c>
      <c r="BF336" s="224" t="str">
        <f>IFERROR(VLOOKUP($A336,Devengado!$A$1:$AI$1,25,FALSE),"")</f>
        <v/>
      </c>
      <c r="BG336" s="224" t="str">
        <f>IFERROR(VLOOKUP($A336,Devengado!$A$1:$AI$1,26,FALSE),"")</f>
        <v/>
      </c>
      <c r="BH336" s="224" t="str">
        <f>IFERROR(VLOOKUP($A336,Devengado!$A$1:$AI$1,27,FALSE),"")</f>
        <v/>
      </c>
      <c r="BI336" s="224" t="str">
        <f>IFERROR(VLOOKUP($A336,Devengado!$A$1:$AI$1,28,FALSE),"")</f>
        <v/>
      </c>
      <c r="BJ336" s="224" t="str">
        <f>IFERROR(VLOOKUP($A336,Devengado!$A$1:$AI$1,29,FALSE),"")</f>
        <v/>
      </c>
      <c r="BK336" s="224" t="str">
        <f>IFERROR(VLOOKUP($A336,Devengado!$A$1:$AI$1,30,FALSE),"")</f>
        <v/>
      </c>
      <c r="BL336" s="224" t="str">
        <f>IFERROR(VLOOKUP($A336,Devengado!$A$1:$AI$1,31,FALSE),"")</f>
        <v/>
      </c>
      <c r="BM336" s="224" t="str">
        <f>IFERROR(VLOOKUP($A336,Devengado!$A$1:$AI$1,32,FALSE),"")</f>
        <v/>
      </c>
      <c r="BN336" s="224" t="str">
        <f>IFERROR(VLOOKUP($A336,Devengado!$A$1:$AI$1,33,FALSE),"")</f>
        <v/>
      </c>
      <c r="BO336" s="224">
        <f t="shared" si="44"/>
        <v>0</v>
      </c>
      <c r="BP336" s="224" t="str">
        <f t="shared" si="45"/>
        <v/>
      </c>
      <c r="BQ336" s="207"/>
      <c r="BR336" s="207" t="str">
        <f t="shared" si="46"/>
        <v>51</v>
      </c>
    </row>
    <row r="337" spans="1:70" s="225" customFormat="1" ht="25.5" customHeight="1">
      <c r="A337" s="207">
        <v>333</v>
      </c>
      <c r="B337" s="112" t="s">
        <v>348</v>
      </c>
      <c r="C337" s="112" t="s">
        <v>77</v>
      </c>
      <c r="D337" s="112" t="s">
        <v>77</v>
      </c>
      <c r="E337" s="112" t="s">
        <v>76</v>
      </c>
      <c r="F337" s="112" t="s">
        <v>77</v>
      </c>
      <c r="G337" s="112" t="s">
        <v>77</v>
      </c>
      <c r="H337" s="112" t="s">
        <v>77</v>
      </c>
      <c r="I337" s="112" t="s">
        <v>77</v>
      </c>
      <c r="J337" s="112" t="s">
        <v>77</v>
      </c>
      <c r="K337" s="112" t="s">
        <v>77</v>
      </c>
      <c r="L337" s="112" t="s">
        <v>85</v>
      </c>
      <c r="M337" s="112" t="s">
        <v>364</v>
      </c>
      <c r="N337" s="114" t="s">
        <v>350</v>
      </c>
      <c r="O337" s="114" t="s">
        <v>111</v>
      </c>
      <c r="P337" s="118" t="s">
        <v>81</v>
      </c>
      <c r="Q337" s="118" t="s">
        <v>112</v>
      </c>
      <c r="R337" s="115" t="str">
        <f t="shared" si="40"/>
        <v>51</v>
      </c>
      <c r="S337" s="124">
        <v>510601</v>
      </c>
      <c r="T337" s="122" t="str">
        <f>VLOOKUP(S337,ITEM!$C$1:$D$156,2,FALSE)</f>
        <v>Aporte Patronal</v>
      </c>
      <c r="U337" s="112">
        <v>1700</v>
      </c>
      <c r="V337" s="112" t="s">
        <v>82</v>
      </c>
      <c r="W337" s="112" t="s">
        <v>84</v>
      </c>
      <c r="X337" s="112" t="s">
        <v>84</v>
      </c>
      <c r="Y337" s="224" t="e">
        <f>'Matriz POA 2024-TRABAJO'!#REF!</f>
        <v>#REF!</v>
      </c>
      <c r="Z337" s="224" t="e">
        <f>'Matriz POA 2024-TRABAJO'!#REF!</f>
        <v>#REF!</v>
      </c>
      <c r="AA337" s="224" t="e">
        <f>'Matriz POA 2024-TRABAJO'!#REF!</f>
        <v>#REF!</v>
      </c>
      <c r="AB337" s="279">
        <v>3387.6</v>
      </c>
      <c r="AC337" s="279">
        <v>3387.6</v>
      </c>
      <c r="AD337" s="279">
        <v>3387.6</v>
      </c>
      <c r="AE337" s="279">
        <v>3387.6</v>
      </c>
      <c r="AF337" s="279">
        <v>3387.6</v>
      </c>
      <c r="AG337" s="279">
        <v>3387.6</v>
      </c>
      <c r="AH337" s="279">
        <v>3387.6</v>
      </c>
      <c r="AI337" s="279">
        <v>3387.6</v>
      </c>
      <c r="AJ337" s="279">
        <v>3387.6</v>
      </c>
      <c r="AK337" s="279">
        <v>3387.6</v>
      </c>
      <c r="AL337" s="279">
        <v>3387.6</v>
      </c>
      <c r="AM337" s="279">
        <v>3387.65</v>
      </c>
      <c r="AN337" s="224" t="e">
        <f>SUM(#REF!)</f>
        <v>#REF!</v>
      </c>
      <c r="AO337" s="224">
        <f t="shared" si="41"/>
        <v>40651.249999999993</v>
      </c>
      <c r="AP337" s="224" t="e">
        <f t="shared" si="47"/>
        <v>#REF!</v>
      </c>
      <c r="AQ337" s="224"/>
      <c r="AR337" s="224"/>
      <c r="AS337" s="224"/>
      <c r="AT337" s="224" t="str">
        <f>IFERROR(VLOOKUP($A337,'Constancias POA'!$A$2:$DH$9993,17,FALSE),"")</f>
        <v/>
      </c>
      <c r="AU337" s="224" t="str">
        <f t="shared" si="42"/>
        <v/>
      </c>
      <c r="AV337" s="224" t="str">
        <f>IFERROR(VLOOKUP($A337,CP!$A$1:$U$7992,18,FALSE),"")</f>
        <v/>
      </c>
      <c r="AW337" s="224" t="str">
        <f>IFERROR(VLOOKUP($A337,CP!$A$1:$U$7992,19,FALSE),"")</f>
        <v/>
      </c>
      <c r="AX337" s="224" t="str">
        <f>IFERROR(VLOOKUP($A337,CP!$A$1:$U$7992,20,FALSE),"")</f>
        <v/>
      </c>
      <c r="AY337" s="224" t="str">
        <f>IFERROR(VLOOKUP($A337,CP!$A$1:$U$1,21,FALSE),"")</f>
        <v/>
      </c>
      <c r="AZ337" s="224" t="str">
        <f>IFERROR(VLOOKUP(A337,Devengado!$A$1:AJ1,35,FALSE),"")</f>
        <v/>
      </c>
      <c r="BA337" s="224" t="str">
        <f t="shared" si="43"/>
        <v/>
      </c>
      <c r="BB337" s="224" t="str">
        <f>IFERROR(AZ337/#REF!,"")</f>
        <v/>
      </c>
      <c r="BC337" s="224" t="str">
        <f>IFERROR(VLOOKUP($A337,Devengado!$A$1:$AI$1,22,FALSE),"")</f>
        <v/>
      </c>
      <c r="BD337" s="224" t="str">
        <f>IFERROR(VLOOKUP($A337,Devengado!$A$1:$AI$1,23,FALSE),"")</f>
        <v/>
      </c>
      <c r="BE337" s="224" t="str">
        <f>IFERROR(VLOOKUP($A337,Devengado!$A$1:$AI$1,24,FALSE),"")</f>
        <v/>
      </c>
      <c r="BF337" s="224" t="str">
        <f>IFERROR(VLOOKUP($A337,Devengado!$A$1:$AI$1,25,FALSE),"")</f>
        <v/>
      </c>
      <c r="BG337" s="224" t="str">
        <f>IFERROR(VLOOKUP($A337,Devengado!$A$1:$AI$1,26,FALSE),"")</f>
        <v/>
      </c>
      <c r="BH337" s="224" t="str">
        <f>IFERROR(VLOOKUP($A337,Devengado!$A$1:$AI$1,27,FALSE),"")</f>
        <v/>
      </c>
      <c r="BI337" s="224" t="str">
        <f>IFERROR(VLOOKUP($A337,Devengado!$A$1:$AI$1,28,FALSE),"")</f>
        <v/>
      </c>
      <c r="BJ337" s="224" t="str">
        <f>IFERROR(VLOOKUP($A337,Devengado!$A$1:$AI$1,29,FALSE),"")</f>
        <v/>
      </c>
      <c r="BK337" s="224" t="str">
        <f>IFERROR(VLOOKUP($A337,Devengado!$A$1:$AI$1,30,FALSE),"")</f>
        <v/>
      </c>
      <c r="BL337" s="224" t="str">
        <f>IFERROR(VLOOKUP($A337,Devengado!$A$1:$AI$1,31,FALSE),"")</f>
        <v/>
      </c>
      <c r="BM337" s="224" t="str">
        <f>IFERROR(VLOOKUP($A337,Devengado!$A$1:$AI$1,32,FALSE),"")</f>
        <v/>
      </c>
      <c r="BN337" s="224" t="str">
        <f>IFERROR(VLOOKUP($A337,Devengado!$A$1:$AI$1,33,FALSE),"")</f>
        <v/>
      </c>
      <c r="BO337" s="224">
        <f t="shared" si="44"/>
        <v>0</v>
      </c>
      <c r="BP337" s="224" t="str">
        <f t="shared" si="45"/>
        <v/>
      </c>
      <c r="BQ337" s="207"/>
      <c r="BR337" s="207" t="str">
        <f t="shared" si="46"/>
        <v>51</v>
      </c>
    </row>
    <row r="338" spans="1:70" s="225" customFormat="1" ht="58.7" customHeight="1">
      <c r="A338" s="207">
        <v>334</v>
      </c>
      <c r="B338" s="114" t="s">
        <v>348</v>
      </c>
      <c r="C338" s="112" t="s">
        <v>77</v>
      </c>
      <c r="D338" s="112" t="s">
        <v>77</v>
      </c>
      <c r="E338" s="112" t="s">
        <v>76</v>
      </c>
      <c r="F338" s="112" t="s">
        <v>77</v>
      </c>
      <c r="G338" s="112" t="s">
        <v>77</v>
      </c>
      <c r="H338" s="112" t="s">
        <v>77</v>
      </c>
      <c r="I338" s="112" t="s">
        <v>77</v>
      </c>
      <c r="J338" s="112" t="s">
        <v>77</v>
      </c>
      <c r="K338" s="112" t="s">
        <v>77</v>
      </c>
      <c r="L338" s="112" t="s">
        <v>85</v>
      </c>
      <c r="M338" s="112" t="s">
        <v>364</v>
      </c>
      <c r="N338" s="114" t="s">
        <v>352</v>
      </c>
      <c r="O338" s="114" t="s">
        <v>111</v>
      </c>
      <c r="P338" s="118" t="s">
        <v>81</v>
      </c>
      <c r="Q338" s="118" t="s">
        <v>112</v>
      </c>
      <c r="R338" s="115" t="str">
        <f t="shared" si="40"/>
        <v>51</v>
      </c>
      <c r="S338" s="124">
        <v>510601</v>
      </c>
      <c r="T338" s="122" t="str">
        <f>VLOOKUP(S338,ITEM!$C$1:$D$156,2,FALSE)</f>
        <v>Aporte Patronal</v>
      </c>
      <c r="U338" s="112">
        <v>1000</v>
      </c>
      <c r="V338" s="112" t="s">
        <v>82</v>
      </c>
      <c r="W338" s="112" t="s">
        <v>84</v>
      </c>
      <c r="X338" s="112" t="s">
        <v>84</v>
      </c>
      <c r="Y338" s="224" t="e">
        <f>'Matriz POA 2024-TRABAJO'!#REF!</f>
        <v>#REF!</v>
      </c>
      <c r="Z338" s="224" t="e">
        <f>'Matriz POA 2024-TRABAJO'!#REF!</f>
        <v>#REF!</v>
      </c>
      <c r="AA338" s="224" t="e">
        <f>'Matriz POA 2024-TRABAJO'!#REF!</f>
        <v>#REF!</v>
      </c>
      <c r="AB338" s="279">
        <v>620.78</v>
      </c>
      <c r="AC338" s="279">
        <v>620.78</v>
      </c>
      <c r="AD338" s="279">
        <v>620.78</v>
      </c>
      <c r="AE338" s="279">
        <v>620.78</v>
      </c>
      <c r="AF338" s="279">
        <v>1241.56</v>
      </c>
      <c r="AG338" s="279">
        <v>620.78</v>
      </c>
      <c r="AH338" s="279">
        <v>620.78</v>
      </c>
      <c r="AI338" s="279">
        <v>620.78</v>
      </c>
      <c r="AJ338" s="279">
        <v>620.78</v>
      </c>
      <c r="AK338" s="279">
        <v>620.78</v>
      </c>
      <c r="AL338" s="279">
        <v>620.78</v>
      </c>
      <c r="AM338" s="279">
        <v>620.78</v>
      </c>
      <c r="AN338" s="224" t="e">
        <f>SUM(#REF!)</f>
        <v>#REF!</v>
      </c>
      <c r="AO338" s="224">
        <f t="shared" si="41"/>
        <v>8070.1399999999985</v>
      </c>
      <c r="AP338" s="224" t="e">
        <f t="shared" si="47"/>
        <v>#REF!</v>
      </c>
      <c r="AQ338" s="224"/>
      <c r="AR338" s="224"/>
      <c r="AS338" s="224"/>
      <c r="AT338" s="224" t="str">
        <f>IFERROR(VLOOKUP($A338,'Constancias POA'!$A$2:$DH$9993,17,FALSE),"")</f>
        <v/>
      </c>
      <c r="AU338" s="224" t="str">
        <f t="shared" si="42"/>
        <v/>
      </c>
      <c r="AV338" s="224" t="str">
        <f>IFERROR(VLOOKUP($A338,CP!$A$1:$U$7992,18,FALSE),"")</f>
        <v/>
      </c>
      <c r="AW338" s="224" t="str">
        <f>IFERROR(VLOOKUP($A338,CP!$A$1:$U$7992,19,FALSE),"")</f>
        <v/>
      </c>
      <c r="AX338" s="224" t="str">
        <f>IFERROR(VLOOKUP($A338,CP!$A$1:$U$7992,20,FALSE),"")</f>
        <v/>
      </c>
      <c r="AY338" s="224" t="str">
        <f>IFERROR(VLOOKUP($A338,CP!$A$1:$U$1,21,FALSE),"")</f>
        <v/>
      </c>
      <c r="AZ338" s="224" t="str">
        <f>IFERROR(VLOOKUP(A338,Devengado!$A$1:AJ1,35,FALSE),"")</f>
        <v/>
      </c>
      <c r="BA338" s="224" t="str">
        <f t="shared" si="43"/>
        <v/>
      </c>
      <c r="BB338" s="224" t="str">
        <f>IFERROR(AZ338/#REF!,"")</f>
        <v/>
      </c>
      <c r="BC338" s="224" t="str">
        <f>IFERROR(VLOOKUP($A338,Devengado!$A$1:$AI$1,22,FALSE),"")</f>
        <v/>
      </c>
      <c r="BD338" s="224" t="str">
        <f>IFERROR(VLOOKUP($A338,Devengado!$A$1:$AI$1,23,FALSE),"")</f>
        <v/>
      </c>
      <c r="BE338" s="224" t="str">
        <f>IFERROR(VLOOKUP($A338,Devengado!$A$1:$AI$1,24,FALSE),"")</f>
        <v/>
      </c>
      <c r="BF338" s="224" t="str">
        <f>IFERROR(VLOOKUP($A338,Devengado!$A$1:$AI$1,25,FALSE),"")</f>
        <v/>
      </c>
      <c r="BG338" s="224" t="str">
        <f>IFERROR(VLOOKUP($A338,Devengado!$A$1:$AI$1,26,FALSE),"")</f>
        <v/>
      </c>
      <c r="BH338" s="224" t="str">
        <f>IFERROR(VLOOKUP($A338,Devengado!$A$1:$AI$1,27,FALSE),"")</f>
        <v/>
      </c>
      <c r="BI338" s="224" t="str">
        <f>IFERROR(VLOOKUP($A338,Devengado!$A$1:$AI$1,28,FALSE),"")</f>
        <v/>
      </c>
      <c r="BJ338" s="224" t="str">
        <f>IFERROR(VLOOKUP($A338,Devengado!$A$1:$AI$1,29,FALSE),"")</f>
        <v/>
      </c>
      <c r="BK338" s="224" t="str">
        <f>IFERROR(VLOOKUP($A338,Devengado!$A$1:$AI$1,30,FALSE),"")</f>
        <v/>
      </c>
      <c r="BL338" s="224" t="str">
        <f>IFERROR(VLOOKUP($A338,Devengado!$A$1:$AI$1,31,FALSE),"")</f>
        <v/>
      </c>
      <c r="BM338" s="224" t="str">
        <f>IFERROR(VLOOKUP($A338,Devengado!$A$1:$AI$1,32,FALSE),"")</f>
        <v/>
      </c>
      <c r="BN338" s="224" t="str">
        <f>IFERROR(VLOOKUP($A338,Devengado!$A$1:$AI$1,33,FALSE),"")</f>
        <v/>
      </c>
      <c r="BO338" s="224">
        <f t="shared" si="44"/>
        <v>0</v>
      </c>
      <c r="BP338" s="224" t="str">
        <f t="shared" si="45"/>
        <v/>
      </c>
      <c r="BQ338" s="207"/>
      <c r="BR338" s="207" t="str">
        <f t="shared" si="46"/>
        <v>51</v>
      </c>
    </row>
    <row r="339" spans="1:70" s="225" customFormat="1" ht="25.5" customHeight="1">
      <c r="A339" s="207">
        <v>335</v>
      </c>
      <c r="B339" s="112" t="s">
        <v>348</v>
      </c>
      <c r="C339" s="112" t="s">
        <v>77</v>
      </c>
      <c r="D339" s="112" t="s">
        <v>77</v>
      </c>
      <c r="E339" s="112" t="s">
        <v>76</v>
      </c>
      <c r="F339" s="112" t="s">
        <v>77</v>
      </c>
      <c r="G339" s="112" t="s">
        <v>77</v>
      </c>
      <c r="H339" s="112" t="s">
        <v>77</v>
      </c>
      <c r="I339" s="112" t="s">
        <v>77</v>
      </c>
      <c r="J339" s="112" t="s">
        <v>77</v>
      </c>
      <c r="K339" s="112" t="s">
        <v>77</v>
      </c>
      <c r="L339" s="112" t="s">
        <v>85</v>
      </c>
      <c r="M339" s="112" t="s">
        <v>365</v>
      </c>
      <c r="N339" s="114" t="s">
        <v>350</v>
      </c>
      <c r="O339" s="114" t="s">
        <v>111</v>
      </c>
      <c r="P339" s="118" t="s">
        <v>81</v>
      </c>
      <c r="Q339" s="118" t="s">
        <v>112</v>
      </c>
      <c r="R339" s="115" t="str">
        <f t="shared" si="40"/>
        <v>51</v>
      </c>
      <c r="S339" s="124">
        <v>510602</v>
      </c>
      <c r="T339" s="122" t="str">
        <f>VLOOKUP(S339,ITEM!$C$1:$D$156,2,FALSE)</f>
        <v>Fondo de Reserva</v>
      </c>
      <c r="U339" s="112">
        <v>1700</v>
      </c>
      <c r="V339" s="112" t="s">
        <v>82</v>
      </c>
      <c r="W339" s="112" t="s">
        <v>84</v>
      </c>
      <c r="X339" s="112" t="s">
        <v>84</v>
      </c>
      <c r="Y339" s="224" t="e">
        <f>'Matriz POA 2024-TRABAJO'!#REF!</f>
        <v>#REF!</v>
      </c>
      <c r="Z339" s="224" t="e">
        <f>'Matriz POA 2024-TRABAJO'!#REF!</f>
        <v>#REF!</v>
      </c>
      <c r="AA339" s="224" t="e">
        <f>'Matriz POA 2024-TRABAJO'!#REF!</f>
        <v>#REF!</v>
      </c>
      <c r="AB339" s="279">
        <v>2370.6799999999998</v>
      </c>
      <c r="AC339" s="279">
        <v>2370.6799999999998</v>
      </c>
      <c r="AD339" s="279">
        <v>2370.6799999999998</v>
      </c>
      <c r="AE339" s="279">
        <v>2370.6799999999998</v>
      </c>
      <c r="AF339" s="279">
        <v>2370.6799999999998</v>
      </c>
      <c r="AG339" s="279">
        <v>2370.6799999999998</v>
      </c>
      <c r="AH339" s="279">
        <v>2370.6799999999998</v>
      </c>
      <c r="AI339" s="279">
        <v>2370.6799999999998</v>
      </c>
      <c r="AJ339" s="279">
        <v>2370.6799999999998</v>
      </c>
      <c r="AK339" s="279">
        <v>2370.6799999999998</v>
      </c>
      <c r="AL339" s="279">
        <v>2370.6799999999998</v>
      </c>
      <c r="AM339" s="279">
        <v>2370.67</v>
      </c>
      <c r="AN339" s="224" t="e">
        <f>SUM(#REF!)</f>
        <v>#REF!</v>
      </c>
      <c r="AO339" s="224">
        <f t="shared" si="41"/>
        <v>28448.15</v>
      </c>
      <c r="AP339" s="224" t="e">
        <f t="shared" si="47"/>
        <v>#REF!</v>
      </c>
      <c r="AQ339" s="224"/>
      <c r="AR339" s="224"/>
      <c r="AS339" s="224"/>
      <c r="AT339" s="224" t="str">
        <f>IFERROR(VLOOKUP($A339,'Constancias POA'!$A$2:$DH$9993,17,FALSE),"")</f>
        <v/>
      </c>
      <c r="AU339" s="224" t="str">
        <f t="shared" si="42"/>
        <v/>
      </c>
      <c r="AV339" s="224" t="str">
        <f>IFERROR(VLOOKUP($A339,CP!$A$1:$U$7992,18,FALSE),"")</f>
        <v/>
      </c>
      <c r="AW339" s="224" t="str">
        <f>IFERROR(VLOOKUP($A339,CP!$A$1:$U$7992,19,FALSE),"")</f>
        <v/>
      </c>
      <c r="AX339" s="224" t="str">
        <f>IFERROR(VLOOKUP($A339,CP!$A$1:$U$7992,20,FALSE),"")</f>
        <v/>
      </c>
      <c r="AY339" s="224" t="str">
        <f>IFERROR(VLOOKUP($A339,CP!$A$1:$U$1,21,FALSE),"")</f>
        <v/>
      </c>
      <c r="AZ339" s="224" t="str">
        <f>IFERROR(VLOOKUP(A339,Devengado!$A$1:AJ1,35,FALSE),"")</f>
        <v/>
      </c>
      <c r="BA339" s="224" t="str">
        <f t="shared" si="43"/>
        <v/>
      </c>
      <c r="BB339" s="224" t="str">
        <f>IFERROR(AZ339/#REF!,"")</f>
        <v/>
      </c>
      <c r="BC339" s="224" t="str">
        <f>IFERROR(VLOOKUP($A339,Devengado!$A$1:$AI$1,22,FALSE),"")</f>
        <v/>
      </c>
      <c r="BD339" s="224" t="str">
        <f>IFERROR(VLOOKUP($A339,Devengado!$A$1:$AI$1,23,FALSE),"")</f>
        <v/>
      </c>
      <c r="BE339" s="224" t="str">
        <f>IFERROR(VLOOKUP($A339,Devengado!$A$1:$AI$1,24,FALSE),"")</f>
        <v/>
      </c>
      <c r="BF339" s="224" t="str">
        <f>IFERROR(VLOOKUP($A339,Devengado!$A$1:$AI$1,25,FALSE),"")</f>
        <v/>
      </c>
      <c r="BG339" s="224" t="str">
        <f>IFERROR(VLOOKUP($A339,Devengado!$A$1:$AI$1,26,FALSE),"")</f>
        <v/>
      </c>
      <c r="BH339" s="224" t="str">
        <f>IFERROR(VLOOKUP($A339,Devengado!$A$1:$AI$1,27,FALSE),"")</f>
        <v/>
      </c>
      <c r="BI339" s="224" t="str">
        <f>IFERROR(VLOOKUP($A339,Devengado!$A$1:$AI$1,28,FALSE),"")</f>
        <v/>
      </c>
      <c r="BJ339" s="224" t="str">
        <f>IFERROR(VLOOKUP($A339,Devengado!$A$1:$AI$1,29,FALSE),"")</f>
        <v/>
      </c>
      <c r="BK339" s="224" t="str">
        <f>IFERROR(VLOOKUP($A339,Devengado!$A$1:$AI$1,30,FALSE),"")</f>
        <v/>
      </c>
      <c r="BL339" s="224" t="str">
        <f>IFERROR(VLOOKUP($A339,Devengado!$A$1:$AI$1,31,FALSE),"")</f>
        <v/>
      </c>
      <c r="BM339" s="224" t="str">
        <f>IFERROR(VLOOKUP($A339,Devengado!$A$1:$AI$1,32,FALSE),"")</f>
        <v/>
      </c>
      <c r="BN339" s="224" t="str">
        <f>IFERROR(VLOOKUP($A339,Devengado!$A$1:$AI$1,33,FALSE),"")</f>
        <v/>
      </c>
      <c r="BO339" s="224">
        <f t="shared" si="44"/>
        <v>0</v>
      </c>
      <c r="BP339" s="224" t="str">
        <f t="shared" si="45"/>
        <v/>
      </c>
      <c r="BQ339" s="207"/>
      <c r="BR339" s="207" t="str">
        <f t="shared" si="46"/>
        <v>51</v>
      </c>
    </row>
    <row r="340" spans="1:70" s="225" customFormat="1" ht="58.7" customHeight="1">
      <c r="A340" s="207">
        <v>336</v>
      </c>
      <c r="B340" s="114" t="s">
        <v>348</v>
      </c>
      <c r="C340" s="112" t="s">
        <v>77</v>
      </c>
      <c r="D340" s="112" t="s">
        <v>77</v>
      </c>
      <c r="E340" s="112" t="s">
        <v>76</v>
      </c>
      <c r="F340" s="112" t="s">
        <v>77</v>
      </c>
      <c r="G340" s="112" t="s">
        <v>77</v>
      </c>
      <c r="H340" s="112" t="s">
        <v>77</v>
      </c>
      <c r="I340" s="112" t="s">
        <v>77</v>
      </c>
      <c r="J340" s="112" t="s">
        <v>77</v>
      </c>
      <c r="K340" s="112" t="s">
        <v>77</v>
      </c>
      <c r="L340" s="112" t="s">
        <v>85</v>
      </c>
      <c r="M340" s="112" t="s">
        <v>365</v>
      </c>
      <c r="N340" s="114" t="s">
        <v>352</v>
      </c>
      <c r="O340" s="114" t="s">
        <v>111</v>
      </c>
      <c r="P340" s="118" t="s">
        <v>81</v>
      </c>
      <c r="Q340" s="118" t="s">
        <v>112</v>
      </c>
      <c r="R340" s="115" t="str">
        <f t="shared" si="40"/>
        <v>51</v>
      </c>
      <c r="S340" s="124">
        <v>510602</v>
      </c>
      <c r="T340" s="122" t="str">
        <f>VLOOKUP(S340,ITEM!$C$1:$D$156,2,FALSE)</f>
        <v>Fondo de Reserva</v>
      </c>
      <c r="U340" s="112">
        <v>1000</v>
      </c>
      <c r="V340" s="112" t="s">
        <v>82</v>
      </c>
      <c r="W340" s="112" t="s">
        <v>84</v>
      </c>
      <c r="X340" s="112" t="s">
        <v>84</v>
      </c>
      <c r="Y340" s="224" t="e">
        <f>'Matriz POA 2024-TRABAJO'!#REF!</f>
        <v>#REF!</v>
      </c>
      <c r="Z340" s="224" t="e">
        <f>'Matriz POA 2024-TRABAJO'!#REF!</f>
        <v>#REF!</v>
      </c>
      <c r="AA340" s="224" t="e">
        <f>'Matriz POA 2024-TRABAJO'!#REF!</f>
        <v>#REF!</v>
      </c>
      <c r="AB340" s="279">
        <v>510.88</v>
      </c>
      <c r="AC340" s="279">
        <v>510.88</v>
      </c>
      <c r="AD340" s="279">
        <v>510.88</v>
      </c>
      <c r="AE340" s="279">
        <v>510.88</v>
      </c>
      <c r="AF340" s="279">
        <v>510.88</v>
      </c>
      <c r="AG340" s="279">
        <v>510.88</v>
      </c>
      <c r="AH340" s="279">
        <v>510.88</v>
      </c>
      <c r="AI340" s="279">
        <v>510.88</v>
      </c>
      <c r="AJ340" s="279">
        <v>510.88</v>
      </c>
      <c r="AK340" s="279">
        <v>510.88</v>
      </c>
      <c r="AL340" s="279">
        <v>510.88</v>
      </c>
      <c r="AM340" s="279">
        <v>607.33000000000004</v>
      </c>
      <c r="AN340" s="224" t="e">
        <f>SUM(#REF!)</f>
        <v>#REF!</v>
      </c>
      <c r="AO340" s="224">
        <f t="shared" si="41"/>
        <v>6227.01</v>
      </c>
      <c r="AP340" s="224" t="e">
        <f t="shared" si="47"/>
        <v>#REF!</v>
      </c>
      <c r="AQ340" s="224"/>
      <c r="AR340" s="224"/>
      <c r="AS340" s="224"/>
      <c r="AT340" s="224" t="str">
        <f>IFERROR(VLOOKUP($A340,'Constancias POA'!$A$2:$DH$9993,17,FALSE),"")</f>
        <v/>
      </c>
      <c r="AU340" s="224" t="str">
        <f t="shared" si="42"/>
        <v/>
      </c>
      <c r="AV340" s="224" t="str">
        <f>IFERROR(VLOOKUP($A340,CP!$A$1:$U$7992,18,FALSE),"")</f>
        <v/>
      </c>
      <c r="AW340" s="224" t="str">
        <f>IFERROR(VLOOKUP($A340,CP!$A$1:$U$7992,19,FALSE),"")</f>
        <v/>
      </c>
      <c r="AX340" s="224" t="str">
        <f>IFERROR(VLOOKUP($A340,CP!$A$1:$U$7992,20,FALSE),"")</f>
        <v/>
      </c>
      <c r="AY340" s="224" t="str">
        <f>IFERROR(VLOOKUP($A340,CP!$A$1:$U$1,21,FALSE),"")</f>
        <v/>
      </c>
      <c r="AZ340" s="224" t="str">
        <f>IFERROR(VLOOKUP(A340,Devengado!$A$1:AJ1,35,FALSE),"")</f>
        <v/>
      </c>
      <c r="BA340" s="224" t="str">
        <f t="shared" si="43"/>
        <v/>
      </c>
      <c r="BB340" s="224" t="str">
        <f>IFERROR(AZ340/#REF!,"")</f>
        <v/>
      </c>
      <c r="BC340" s="224" t="str">
        <f>IFERROR(VLOOKUP($A340,Devengado!$A$1:$AI$1,22,FALSE),"")</f>
        <v/>
      </c>
      <c r="BD340" s="224" t="str">
        <f>IFERROR(VLOOKUP($A340,Devengado!$A$1:$AI$1,23,FALSE),"")</f>
        <v/>
      </c>
      <c r="BE340" s="224" t="str">
        <f>IFERROR(VLOOKUP($A340,Devengado!$A$1:$AI$1,24,FALSE),"")</f>
        <v/>
      </c>
      <c r="BF340" s="224" t="str">
        <f>IFERROR(VLOOKUP($A340,Devengado!$A$1:$AI$1,25,FALSE),"")</f>
        <v/>
      </c>
      <c r="BG340" s="224" t="str">
        <f>IFERROR(VLOOKUP($A340,Devengado!$A$1:$AI$1,26,FALSE),"")</f>
        <v/>
      </c>
      <c r="BH340" s="224" t="str">
        <f>IFERROR(VLOOKUP($A340,Devengado!$A$1:$AI$1,27,FALSE),"")</f>
        <v/>
      </c>
      <c r="BI340" s="224" t="str">
        <f>IFERROR(VLOOKUP($A340,Devengado!$A$1:$AI$1,28,FALSE),"")</f>
        <v/>
      </c>
      <c r="BJ340" s="224" t="str">
        <f>IFERROR(VLOOKUP($A340,Devengado!$A$1:$AI$1,29,FALSE),"")</f>
        <v/>
      </c>
      <c r="BK340" s="224" t="str">
        <f>IFERROR(VLOOKUP($A340,Devengado!$A$1:$AI$1,30,FALSE),"")</f>
        <v/>
      </c>
      <c r="BL340" s="224" t="str">
        <f>IFERROR(VLOOKUP($A340,Devengado!$A$1:$AI$1,31,FALSE),"")</f>
        <v/>
      </c>
      <c r="BM340" s="224" t="str">
        <f>IFERROR(VLOOKUP($A340,Devengado!$A$1:$AI$1,32,FALSE),"")</f>
        <v/>
      </c>
      <c r="BN340" s="224" t="str">
        <f>IFERROR(VLOOKUP($A340,Devengado!$A$1:$AI$1,33,FALSE),"")</f>
        <v/>
      </c>
      <c r="BO340" s="224">
        <f t="shared" si="44"/>
        <v>0</v>
      </c>
      <c r="BP340" s="224" t="str">
        <f t="shared" si="45"/>
        <v/>
      </c>
      <c r="BQ340" s="207"/>
      <c r="BR340" s="207" t="str">
        <f t="shared" si="46"/>
        <v>51</v>
      </c>
    </row>
    <row r="341" spans="1:70" s="225" customFormat="1" ht="25.5" customHeight="1">
      <c r="A341" s="207">
        <v>337</v>
      </c>
      <c r="B341" s="112" t="s">
        <v>348</v>
      </c>
      <c r="C341" s="112" t="s">
        <v>77</v>
      </c>
      <c r="D341" s="112" t="s">
        <v>77</v>
      </c>
      <c r="E341" s="112" t="s">
        <v>76</v>
      </c>
      <c r="F341" s="112" t="s">
        <v>77</v>
      </c>
      <c r="G341" s="112" t="s">
        <v>77</v>
      </c>
      <c r="H341" s="112" t="s">
        <v>77</v>
      </c>
      <c r="I341" s="112" t="s">
        <v>77</v>
      </c>
      <c r="J341" s="112" t="s">
        <v>77</v>
      </c>
      <c r="K341" s="112" t="s">
        <v>77</v>
      </c>
      <c r="L341" s="112" t="s">
        <v>85</v>
      </c>
      <c r="M341" s="112" t="s">
        <v>366</v>
      </c>
      <c r="N341" s="114" t="s">
        <v>350</v>
      </c>
      <c r="O341" s="114" t="s">
        <v>111</v>
      </c>
      <c r="P341" s="118" t="s">
        <v>81</v>
      </c>
      <c r="Q341" s="118" t="s">
        <v>112</v>
      </c>
      <c r="R341" s="115" t="str">
        <f t="shared" si="40"/>
        <v>51</v>
      </c>
      <c r="S341" s="124">
        <v>510707</v>
      </c>
      <c r="T341" s="122" t="str">
        <f>VLOOKUP(S341,ITEM!$C$1:$D$156,2,FALSE)</f>
        <v>Compensación por Vacaciones no Gozadas por Cesación de Funciones</v>
      </c>
      <c r="U341" s="112">
        <v>1700</v>
      </c>
      <c r="V341" s="112" t="s">
        <v>82</v>
      </c>
      <c r="W341" s="112" t="s">
        <v>84</v>
      </c>
      <c r="X341" s="112" t="s">
        <v>84</v>
      </c>
      <c r="Y341" s="224" t="e">
        <f>'Matriz POA 2024-TRABAJO'!#REF!</f>
        <v>#REF!</v>
      </c>
      <c r="Z341" s="224" t="e">
        <f>'Matriz POA 2024-TRABAJO'!#REF!</f>
        <v>#REF!</v>
      </c>
      <c r="AA341" s="224" t="e">
        <f>'Matriz POA 2024-TRABAJO'!#REF!</f>
        <v>#REF!</v>
      </c>
      <c r="AB341" s="279">
        <v>0</v>
      </c>
      <c r="AC341" s="279">
        <v>0</v>
      </c>
      <c r="AD341" s="279">
        <v>0</v>
      </c>
      <c r="AE341" s="279">
        <v>0</v>
      </c>
      <c r="AF341" s="279">
        <v>0</v>
      </c>
      <c r="AG341" s="279">
        <v>0</v>
      </c>
      <c r="AH341" s="279">
        <v>0</v>
      </c>
      <c r="AI341" s="279">
        <v>0</v>
      </c>
      <c r="AJ341" s="279">
        <v>0</v>
      </c>
      <c r="AK341" s="279">
        <v>0</v>
      </c>
      <c r="AL341" s="279">
        <v>0</v>
      </c>
      <c r="AM341" s="279">
        <v>0</v>
      </c>
      <c r="AN341" s="224" t="e">
        <f>SUM(#REF!)</f>
        <v>#REF!</v>
      </c>
      <c r="AO341" s="224">
        <f t="shared" si="41"/>
        <v>0</v>
      </c>
      <c r="AP341" s="224" t="e">
        <f t="shared" si="47"/>
        <v>#REF!</v>
      </c>
      <c r="AQ341" s="224"/>
      <c r="AR341" s="224"/>
      <c r="AS341" s="224"/>
      <c r="AT341" s="224" t="str">
        <f>IFERROR(VLOOKUP($A341,'Constancias POA'!$A$2:$DH$9993,17,FALSE),"")</f>
        <v/>
      </c>
      <c r="AU341" s="224" t="str">
        <f t="shared" si="42"/>
        <v/>
      </c>
      <c r="AV341" s="224" t="str">
        <f>IFERROR(VLOOKUP($A341,CP!$A$1:$U$7992,18,FALSE),"")</f>
        <v/>
      </c>
      <c r="AW341" s="224" t="str">
        <f>IFERROR(VLOOKUP($A341,CP!$A$1:$U$7992,19,FALSE),"")</f>
        <v/>
      </c>
      <c r="AX341" s="224" t="str">
        <f>IFERROR(VLOOKUP($A341,CP!$A$1:$U$7992,20,FALSE),"")</f>
        <v/>
      </c>
      <c r="AY341" s="224" t="str">
        <f>IFERROR(VLOOKUP($A341,CP!$A$1:$U$1,21,FALSE),"")</f>
        <v/>
      </c>
      <c r="AZ341" s="224" t="str">
        <f>IFERROR(VLOOKUP(A341,Devengado!$A$1:AJ1,35,FALSE),"")</f>
        <v/>
      </c>
      <c r="BA341" s="224" t="str">
        <f t="shared" si="43"/>
        <v/>
      </c>
      <c r="BB341" s="224" t="str">
        <f>IFERROR(AZ341/#REF!,"")</f>
        <v/>
      </c>
      <c r="BC341" s="224" t="str">
        <f>IFERROR(VLOOKUP($A341,Devengado!$A$1:$AI$1,22,FALSE),"")</f>
        <v/>
      </c>
      <c r="BD341" s="224" t="str">
        <f>IFERROR(VLOOKUP($A341,Devengado!$A$1:$AI$1,23,FALSE),"")</f>
        <v/>
      </c>
      <c r="BE341" s="224" t="str">
        <f>IFERROR(VLOOKUP($A341,Devengado!$A$1:$AI$1,24,FALSE),"")</f>
        <v/>
      </c>
      <c r="BF341" s="224" t="str">
        <f>IFERROR(VLOOKUP($A341,Devengado!$A$1:$AI$1,25,FALSE),"")</f>
        <v/>
      </c>
      <c r="BG341" s="224" t="str">
        <f>IFERROR(VLOOKUP($A341,Devengado!$A$1:$AI$1,26,FALSE),"")</f>
        <v/>
      </c>
      <c r="BH341" s="224" t="str">
        <f>IFERROR(VLOOKUP($A341,Devengado!$A$1:$AI$1,27,FALSE),"")</f>
        <v/>
      </c>
      <c r="BI341" s="224" t="str">
        <f>IFERROR(VLOOKUP($A341,Devengado!$A$1:$AI$1,28,FALSE),"")</f>
        <v/>
      </c>
      <c r="BJ341" s="224" t="str">
        <f>IFERROR(VLOOKUP($A341,Devengado!$A$1:$AI$1,29,FALSE),"")</f>
        <v/>
      </c>
      <c r="BK341" s="224" t="str">
        <f>IFERROR(VLOOKUP($A341,Devengado!$A$1:$AI$1,30,FALSE),"")</f>
        <v/>
      </c>
      <c r="BL341" s="224" t="str">
        <f>IFERROR(VLOOKUP($A341,Devengado!$A$1:$AI$1,31,FALSE),"")</f>
        <v/>
      </c>
      <c r="BM341" s="224" t="str">
        <f>IFERROR(VLOOKUP($A341,Devengado!$A$1:$AI$1,32,FALSE),"")</f>
        <v/>
      </c>
      <c r="BN341" s="224" t="str">
        <f>IFERROR(VLOOKUP($A341,Devengado!$A$1:$AI$1,33,FALSE),"")</f>
        <v/>
      </c>
      <c r="BO341" s="224">
        <f t="shared" si="44"/>
        <v>0</v>
      </c>
      <c r="BP341" s="224" t="str">
        <f t="shared" si="45"/>
        <v/>
      </c>
      <c r="BQ341" s="207"/>
      <c r="BR341" s="207" t="str">
        <f t="shared" si="46"/>
        <v>51</v>
      </c>
    </row>
    <row r="342" spans="1:70" s="225" customFormat="1" ht="25.5" customHeight="1">
      <c r="A342" s="207">
        <v>338</v>
      </c>
      <c r="B342" s="112" t="s">
        <v>348</v>
      </c>
      <c r="C342" s="112" t="s">
        <v>77</v>
      </c>
      <c r="D342" s="112" t="s">
        <v>77</v>
      </c>
      <c r="E342" s="112" t="s">
        <v>76</v>
      </c>
      <c r="F342" s="112" t="s">
        <v>77</v>
      </c>
      <c r="G342" s="112" t="s">
        <v>77</v>
      </c>
      <c r="H342" s="112" t="s">
        <v>77</v>
      </c>
      <c r="I342" s="112" t="s">
        <v>77</v>
      </c>
      <c r="J342" s="112" t="s">
        <v>77</v>
      </c>
      <c r="K342" s="112" t="s">
        <v>77</v>
      </c>
      <c r="L342" s="112" t="s">
        <v>85</v>
      </c>
      <c r="M342" s="112" t="s">
        <v>367</v>
      </c>
      <c r="N342" s="118" t="s">
        <v>350</v>
      </c>
      <c r="O342" s="118" t="s">
        <v>111</v>
      </c>
      <c r="P342" s="118" t="s">
        <v>81</v>
      </c>
      <c r="Q342" s="118" t="s">
        <v>112</v>
      </c>
      <c r="R342" s="115" t="str">
        <f t="shared" si="40"/>
        <v>53</v>
      </c>
      <c r="S342" s="124">
        <v>530101</v>
      </c>
      <c r="T342" s="122" t="str">
        <f>VLOOKUP(S342,ITEM!$C$1:$D$156,2,FALSE)</f>
        <v>Agua Potable</v>
      </c>
      <c r="U342" s="112" t="s">
        <v>83</v>
      </c>
      <c r="V342" s="114" t="s">
        <v>82</v>
      </c>
      <c r="W342" s="114" t="s">
        <v>84</v>
      </c>
      <c r="X342" s="114" t="s">
        <v>84</v>
      </c>
      <c r="Y342" s="224" t="e">
        <f>'Matriz POA 2024-TRABAJO'!#REF!</f>
        <v>#REF!</v>
      </c>
      <c r="Z342" s="224" t="e">
        <f>'Matriz POA 2024-TRABAJO'!#REF!</f>
        <v>#REF!</v>
      </c>
      <c r="AA342" s="224" t="e">
        <f>'Matriz POA 2024-TRABAJO'!#REF!</f>
        <v>#REF!</v>
      </c>
      <c r="AB342" s="279">
        <v>0</v>
      </c>
      <c r="AC342" s="279">
        <v>0</v>
      </c>
      <c r="AD342" s="279">
        <v>0</v>
      </c>
      <c r="AE342" s="279">
        <v>0</v>
      </c>
      <c r="AF342" s="279">
        <v>0</v>
      </c>
      <c r="AG342" s="279">
        <v>0</v>
      </c>
      <c r="AH342" s="279">
        <v>0</v>
      </c>
      <c r="AI342" s="279">
        <v>0</v>
      </c>
      <c r="AJ342" s="279">
        <v>0</v>
      </c>
      <c r="AK342" s="279">
        <v>0</v>
      </c>
      <c r="AL342" s="279">
        <v>0</v>
      </c>
      <c r="AM342" s="279"/>
      <c r="AN342" s="224" t="e">
        <f>SUM(#REF!)</f>
        <v>#REF!</v>
      </c>
      <c r="AO342" s="224">
        <f t="shared" si="41"/>
        <v>0</v>
      </c>
      <c r="AP342" s="224" t="e">
        <f t="shared" si="47"/>
        <v>#REF!</v>
      </c>
      <c r="AQ342" s="224"/>
      <c r="AR342" s="224"/>
      <c r="AS342" s="224"/>
      <c r="AT342" s="224" t="str">
        <f>IFERROR(VLOOKUP($A342,'Constancias POA'!$A$2:$DH$9993,17,FALSE),"")</f>
        <v/>
      </c>
      <c r="AU342" s="224" t="str">
        <f t="shared" si="42"/>
        <v/>
      </c>
      <c r="AV342" s="224" t="str">
        <f>IFERROR(VLOOKUP($A342,CP!$A$1:$U$7992,18,FALSE),"")</f>
        <v/>
      </c>
      <c r="AW342" s="224" t="str">
        <f>IFERROR(VLOOKUP($A342,CP!$A$1:$U$7992,19,FALSE),"")</f>
        <v/>
      </c>
      <c r="AX342" s="224" t="str">
        <f>IFERROR(VLOOKUP($A342,CP!$A$1:$U$7992,20,FALSE),"")</f>
        <v/>
      </c>
      <c r="AY342" s="224" t="str">
        <f>IFERROR(VLOOKUP($A342,CP!$A$1:$U$1,21,FALSE),"")</f>
        <v/>
      </c>
      <c r="AZ342" s="224" t="str">
        <f>IFERROR(VLOOKUP(A342,Devengado!$A$1:AJ1,35,FALSE),"")</f>
        <v/>
      </c>
      <c r="BA342" s="224" t="str">
        <f t="shared" si="43"/>
        <v/>
      </c>
      <c r="BB342" s="224" t="str">
        <f>IFERROR(AZ342/#REF!,"")</f>
        <v/>
      </c>
      <c r="BC342" s="224" t="str">
        <f>IFERROR(VLOOKUP($A342,Devengado!$A$1:$AI$1,22,FALSE),"")</f>
        <v/>
      </c>
      <c r="BD342" s="224" t="str">
        <f>IFERROR(VLOOKUP($A342,Devengado!$A$1:$AI$1,23,FALSE),"")</f>
        <v/>
      </c>
      <c r="BE342" s="224" t="str">
        <f>IFERROR(VLOOKUP($A342,Devengado!$A$1:$AI$1,24,FALSE),"")</f>
        <v/>
      </c>
      <c r="BF342" s="224" t="str">
        <f>IFERROR(VLOOKUP($A342,Devengado!$A$1:$AI$1,25,FALSE),"")</f>
        <v/>
      </c>
      <c r="BG342" s="224" t="str">
        <f>IFERROR(VLOOKUP($A342,Devengado!$A$1:$AI$1,26,FALSE),"")</f>
        <v/>
      </c>
      <c r="BH342" s="224" t="str">
        <f>IFERROR(VLOOKUP($A342,Devengado!$A$1:$AI$1,27,FALSE),"")</f>
        <v/>
      </c>
      <c r="BI342" s="224" t="str">
        <f>IFERROR(VLOOKUP($A342,Devengado!$A$1:$AI$1,28,FALSE),"")</f>
        <v/>
      </c>
      <c r="BJ342" s="224" t="str">
        <f>IFERROR(VLOOKUP($A342,Devengado!$A$1:$AI$1,29,FALSE),"")</f>
        <v/>
      </c>
      <c r="BK342" s="224" t="str">
        <f>IFERROR(VLOOKUP($A342,Devengado!$A$1:$AI$1,30,FALSE),"")</f>
        <v/>
      </c>
      <c r="BL342" s="224" t="str">
        <f>IFERROR(VLOOKUP($A342,Devengado!$A$1:$AI$1,31,FALSE),"")</f>
        <v/>
      </c>
      <c r="BM342" s="224" t="str">
        <f>IFERROR(VLOOKUP($A342,Devengado!$A$1:$AI$1,32,FALSE),"")</f>
        <v/>
      </c>
      <c r="BN342" s="224" t="str">
        <f>IFERROR(VLOOKUP($A342,Devengado!$A$1:$AI$1,33,FALSE),"")</f>
        <v/>
      </c>
      <c r="BO342" s="224">
        <f t="shared" si="44"/>
        <v>0</v>
      </c>
      <c r="BP342" s="224" t="str">
        <f t="shared" si="45"/>
        <v/>
      </c>
      <c r="BQ342" s="207"/>
      <c r="BR342" s="207" t="str">
        <f t="shared" si="46"/>
        <v>53</v>
      </c>
    </row>
    <row r="343" spans="1:70" s="225" customFormat="1" ht="25.5" customHeight="1">
      <c r="A343" s="207">
        <v>339</v>
      </c>
      <c r="B343" s="112" t="s">
        <v>348</v>
      </c>
      <c r="C343" s="112" t="s">
        <v>77</v>
      </c>
      <c r="D343" s="112" t="s">
        <v>77</v>
      </c>
      <c r="E343" s="112" t="s">
        <v>76</v>
      </c>
      <c r="F343" s="112" t="s">
        <v>77</v>
      </c>
      <c r="G343" s="112" t="s">
        <v>77</v>
      </c>
      <c r="H343" s="112" t="s">
        <v>77</v>
      </c>
      <c r="I343" s="112" t="s">
        <v>77</v>
      </c>
      <c r="J343" s="112" t="s">
        <v>77</v>
      </c>
      <c r="K343" s="112" t="s">
        <v>77</v>
      </c>
      <c r="L343" s="112" t="s">
        <v>87</v>
      </c>
      <c r="M343" s="112" t="s">
        <v>367</v>
      </c>
      <c r="N343" s="118" t="s">
        <v>350</v>
      </c>
      <c r="O343" s="118" t="s">
        <v>111</v>
      </c>
      <c r="P343" s="118" t="s">
        <v>81</v>
      </c>
      <c r="Q343" s="118" t="s">
        <v>112</v>
      </c>
      <c r="R343" s="115" t="str">
        <f t="shared" si="40"/>
        <v>53</v>
      </c>
      <c r="S343" s="124">
        <v>530101</v>
      </c>
      <c r="T343" s="122" t="str">
        <f>VLOOKUP(S343,ITEM!$C$1:$D$156,2,FALSE)</f>
        <v>Agua Potable</v>
      </c>
      <c r="U343" s="112" t="s">
        <v>83</v>
      </c>
      <c r="V343" s="114" t="s">
        <v>82</v>
      </c>
      <c r="W343" s="114" t="s">
        <v>84</v>
      </c>
      <c r="X343" s="114" t="s">
        <v>84</v>
      </c>
      <c r="Y343" s="224" t="e">
        <f>'Matriz POA 2024-TRABAJO'!#REF!</f>
        <v>#REF!</v>
      </c>
      <c r="Z343" s="224" t="e">
        <f>'Matriz POA 2024-TRABAJO'!#REF!</f>
        <v>#REF!</v>
      </c>
      <c r="AA343" s="224" t="e">
        <f>'Matriz POA 2024-TRABAJO'!#REF!</f>
        <v>#REF!</v>
      </c>
      <c r="AB343" s="279">
        <v>0</v>
      </c>
      <c r="AC343" s="279">
        <v>0</v>
      </c>
      <c r="AD343" s="279">
        <v>0</v>
      </c>
      <c r="AE343" s="279">
        <v>0</v>
      </c>
      <c r="AF343" s="279">
        <v>0</v>
      </c>
      <c r="AG343" s="279">
        <v>0</v>
      </c>
      <c r="AH343" s="279">
        <v>0</v>
      </c>
      <c r="AI343" s="279">
        <v>0</v>
      </c>
      <c r="AJ343" s="279">
        <v>0</v>
      </c>
      <c r="AK343" s="279">
        <v>0</v>
      </c>
      <c r="AL343" s="279">
        <v>0</v>
      </c>
      <c r="AM343" s="279">
        <v>0</v>
      </c>
      <c r="AN343" s="224" t="e">
        <f>SUM(#REF!)</f>
        <v>#REF!</v>
      </c>
      <c r="AO343" s="224">
        <f t="shared" si="41"/>
        <v>0</v>
      </c>
      <c r="AP343" s="224" t="e">
        <f t="shared" si="47"/>
        <v>#REF!</v>
      </c>
      <c r="AQ343" s="224"/>
      <c r="AR343" s="224"/>
      <c r="AS343" s="224"/>
      <c r="AT343" s="224" t="str">
        <f>IFERROR(VLOOKUP($A343,'Constancias POA'!$A$2:$DH$9993,17,FALSE),"")</f>
        <v/>
      </c>
      <c r="AU343" s="224" t="str">
        <f t="shared" si="42"/>
        <v/>
      </c>
      <c r="AV343" s="224" t="str">
        <f>IFERROR(VLOOKUP($A343,CP!$A$1:$U$7992,18,FALSE),"")</f>
        <v/>
      </c>
      <c r="AW343" s="224" t="str">
        <f>IFERROR(VLOOKUP($A343,CP!$A$1:$U$7992,19,FALSE),"")</f>
        <v/>
      </c>
      <c r="AX343" s="224" t="str">
        <f>IFERROR(VLOOKUP($A343,CP!$A$1:$U$7992,20,FALSE),"")</f>
        <v/>
      </c>
      <c r="AY343" s="224" t="str">
        <f>IFERROR(VLOOKUP($A343,CP!$A$1:$U$1,21,FALSE),"")</f>
        <v/>
      </c>
      <c r="AZ343" s="224" t="str">
        <f>IFERROR(VLOOKUP(A343,Devengado!$A$1:AJ1,35,FALSE),"")</f>
        <v/>
      </c>
      <c r="BA343" s="224" t="str">
        <f t="shared" si="43"/>
        <v/>
      </c>
      <c r="BB343" s="224" t="str">
        <f>IFERROR(AZ343/#REF!,"")</f>
        <v/>
      </c>
      <c r="BC343" s="224" t="str">
        <f>IFERROR(VLOOKUP($A343,Devengado!$A$1:$AI$1,22,FALSE),"")</f>
        <v/>
      </c>
      <c r="BD343" s="224" t="str">
        <f>IFERROR(VLOOKUP($A343,Devengado!$A$1:$AI$1,23,FALSE),"")</f>
        <v/>
      </c>
      <c r="BE343" s="224" t="str">
        <f>IFERROR(VLOOKUP($A343,Devengado!$A$1:$AI$1,24,FALSE),"")</f>
        <v/>
      </c>
      <c r="BF343" s="224" t="str">
        <f>IFERROR(VLOOKUP($A343,Devengado!$A$1:$AI$1,25,FALSE),"")</f>
        <v/>
      </c>
      <c r="BG343" s="224" t="str">
        <f>IFERROR(VLOOKUP($A343,Devengado!$A$1:$AI$1,26,FALSE),"")</f>
        <v/>
      </c>
      <c r="BH343" s="224" t="str">
        <f>IFERROR(VLOOKUP($A343,Devengado!$A$1:$AI$1,27,FALSE),"")</f>
        <v/>
      </c>
      <c r="BI343" s="224" t="str">
        <f>IFERROR(VLOOKUP($A343,Devengado!$A$1:$AI$1,28,FALSE),"")</f>
        <v/>
      </c>
      <c r="BJ343" s="224" t="str">
        <f>IFERROR(VLOOKUP($A343,Devengado!$A$1:$AI$1,29,FALSE),"")</f>
        <v/>
      </c>
      <c r="BK343" s="224" t="str">
        <f>IFERROR(VLOOKUP($A343,Devengado!$A$1:$AI$1,30,FALSE),"")</f>
        <v/>
      </c>
      <c r="BL343" s="224" t="str">
        <f>IFERROR(VLOOKUP($A343,Devengado!$A$1:$AI$1,31,FALSE),"")</f>
        <v/>
      </c>
      <c r="BM343" s="224" t="str">
        <f>IFERROR(VLOOKUP($A343,Devengado!$A$1:$AI$1,32,FALSE),"")</f>
        <v/>
      </c>
      <c r="BN343" s="224" t="str">
        <f>IFERROR(VLOOKUP($A343,Devengado!$A$1:$AI$1,33,FALSE),"")</f>
        <v/>
      </c>
      <c r="BO343" s="224">
        <f t="shared" si="44"/>
        <v>0</v>
      </c>
      <c r="BP343" s="224" t="str">
        <f t="shared" si="45"/>
        <v/>
      </c>
      <c r="BQ343" s="207"/>
      <c r="BR343" s="207" t="str">
        <f t="shared" si="46"/>
        <v>53</v>
      </c>
    </row>
    <row r="344" spans="1:70" s="225" customFormat="1" ht="25.5" customHeight="1">
      <c r="A344" s="207">
        <v>340</v>
      </c>
      <c r="B344" s="112" t="s">
        <v>348</v>
      </c>
      <c r="C344" s="112" t="s">
        <v>77</v>
      </c>
      <c r="D344" s="112" t="s">
        <v>77</v>
      </c>
      <c r="E344" s="112" t="s">
        <v>76</v>
      </c>
      <c r="F344" s="112" t="s">
        <v>77</v>
      </c>
      <c r="G344" s="112" t="s">
        <v>77</v>
      </c>
      <c r="H344" s="112" t="s">
        <v>77</v>
      </c>
      <c r="I344" s="112" t="s">
        <v>77</v>
      </c>
      <c r="J344" s="112" t="s">
        <v>77</v>
      </c>
      <c r="K344" s="112" t="s">
        <v>77</v>
      </c>
      <c r="L344" s="112" t="s">
        <v>85</v>
      </c>
      <c r="M344" s="112" t="s">
        <v>368</v>
      </c>
      <c r="N344" s="118" t="s">
        <v>350</v>
      </c>
      <c r="O344" s="118" t="s">
        <v>111</v>
      </c>
      <c r="P344" s="118" t="s">
        <v>81</v>
      </c>
      <c r="Q344" s="118" t="s">
        <v>112</v>
      </c>
      <c r="R344" s="115" t="str">
        <f t="shared" si="40"/>
        <v>53</v>
      </c>
      <c r="S344" s="124">
        <v>530104</v>
      </c>
      <c r="T344" s="122" t="str">
        <f>VLOOKUP(S344,ITEM!$C$1:$D$156,2,FALSE)</f>
        <v>Energía Eléctrica</v>
      </c>
      <c r="U344" s="112" t="s">
        <v>83</v>
      </c>
      <c r="V344" s="114" t="s">
        <v>82</v>
      </c>
      <c r="W344" s="114" t="s">
        <v>84</v>
      </c>
      <c r="X344" s="114" t="s">
        <v>84</v>
      </c>
      <c r="Y344" s="224" t="e">
        <f>'Matriz POA 2024-TRABAJO'!#REF!</f>
        <v>#REF!</v>
      </c>
      <c r="Z344" s="224" t="e">
        <f>'Matriz POA 2024-TRABAJO'!#REF!</f>
        <v>#REF!</v>
      </c>
      <c r="AA344" s="224" t="e">
        <f>'Matriz POA 2024-TRABAJO'!#REF!</f>
        <v>#REF!</v>
      </c>
      <c r="AB344" s="279"/>
      <c r="AC344" s="279"/>
      <c r="AD344" s="279"/>
      <c r="AE344" s="279"/>
      <c r="AF344" s="279"/>
      <c r="AG344" s="279"/>
      <c r="AH344" s="279"/>
      <c r="AI344" s="279"/>
      <c r="AJ344" s="279"/>
      <c r="AK344" s="279"/>
      <c r="AL344" s="279"/>
      <c r="AM344" s="279"/>
      <c r="AN344" s="224" t="e">
        <f>SUM(#REF!)</f>
        <v>#REF!</v>
      </c>
      <c r="AO344" s="224">
        <f t="shared" si="41"/>
        <v>0</v>
      </c>
      <c r="AP344" s="224" t="e">
        <f t="shared" si="47"/>
        <v>#REF!</v>
      </c>
      <c r="AQ344" s="224"/>
      <c r="AR344" s="224"/>
      <c r="AS344" s="224"/>
      <c r="AT344" s="224" t="str">
        <f>IFERROR(VLOOKUP($A344,'Constancias POA'!$A$2:$DH$9993,17,FALSE),"")</f>
        <v/>
      </c>
      <c r="AU344" s="224" t="str">
        <f t="shared" si="42"/>
        <v/>
      </c>
      <c r="AV344" s="224" t="str">
        <f>IFERROR(VLOOKUP($A344,CP!$A$1:$U$7992,18,FALSE),"")</f>
        <v/>
      </c>
      <c r="AW344" s="224" t="str">
        <f>IFERROR(VLOOKUP($A344,CP!$A$1:$U$7992,19,FALSE),"")</f>
        <v/>
      </c>
      <c r="AX344" s="224" t="str">
        <f>IFERROR(VLOOKUP($A344,CP!$A$1:$U$7992,20,FALSE),"")</f>
        <v/>
      </c>
      <c r="AY344" s="224" t="str">
        <f>IFERROR(VLOOKUP($A344,CP!$A$1:$U$1,21,FALSE),"")</f>
        <v/>
      </c>
      <c r="AZ344" s="224" t="str">
        <f>IFERROR(VLOOKUP(A344,Devengado!$A$1:AJ1,35,FALSE),"")</f>
        <v/>
      </c>
      <c r="BA344" s="224" t="str">
        <f t="shared" si="43"/>
        <v/>
      </c>
      <c r="BB344" s="224" t="str">
        <f>IFERROR(AZ344/#REF!,"")</f>
        <v/>
      </c>
      <c r="BC344" s="224" t="str">
        <f>IFERROR(VLOOKUP($A344,Devengado!$A$1:$AI$1,22,FALSE),"")</f>
        <v/>
      </c>
      <c r="BD344" s="224" t="str">
        <f>IFERROR(VLOOKUP($A344,Devengado!$A$1:$AI$1,23,FALSE),"")</f>
        <v/>
      </c>
      <c r="BE344" s="224" t="str">
        <f>IFERROR(VLOOKUP($A344,Devengado!$A$1:$AI$1,24,FALSE),"")</f>
        <v/>
      </c>
      <c r="BF344" s="224" t="str">
        <f>IFERROR(VLOOKUP($A344,Devengado!$A$1:$AI$1,25,FALSE),"")</f>
        <v/>
      </c>
      <c r="BG344" s="224" t="str">
        <f>IFERROR(VLOOKUP($A344,Devengado!$A$1:$AI$1,26,FALSE),"")</f>
        <v/>
      </c>
      <c r="BH344" s="224" t="str">
        <f>IFERROR(VLOOKUP($A344,Devengado!$A$1:$AI$1,27,FALSE),"")</f>
        <v/>
      </c>
      <c r="BI344" s="224" t="str">
        <f>IFERROR(VLOOKUP($A344,Devengado!$A$1:$AI$1,28,FALSE),"")</f>
        <v/>
      </c>
      <c r="BJ344" s="224" t="str">
        <f>IFERROR(VLOOKUP($A344,Devengado!$A$1:$AI$1,29,FALSE),"")</f>
        <v/>
      </c>
      <c r="BK344" s="224" t="str">
        <f>IFERROR(VLOOKUP($A344,Devengado!$A$1:$AI$1,30,FALSE),"")</f>
        <v/>
      </c>
      <c r="BL344" s="224" t="str">
        <f>IFERROR(VLOOKUP($A344,Devengado!$A$1:$AI$1,31,FALSE),"")</f>
        <v/>
      </c>
      <c r="BM344" s="224" t="str">
        <f>IFERROR(VLOOKUP($A344,Devengado!$A$1:$AI$1,32,FALSE),"")</f>
        <v/>
      </c>
      <c r="BN344" s="224" t="str">
        <f>IFERROR(VLOOKUP($A344,Devengado!$A$1:$AI$1,33,FALSE),"")</f>
        <v/>
      </c>
      <c r="BO344" s="224">
        <f t="shared" si="44"/>
        <v>0</v>
      </c>
      <c r="BP344" s="224" t="str">
        <f t="shared" si="45"/>
        <v/>
      </c>
      <c r="BQ344" s="207"/>
      <c r="BR344" s="207" t="str">
        <f t="shared" si="46"/>
        <v>53</v>
      </c>
    </row>
    <row r="345" spans="1:70" s="225" customFormat="1" ht="25.5" customHeight="1">
      <c r="A345" s="207">
        <v>341</v>
      </c>
      <c r="B345" s="112" t="s">
        <v>348</v>
      </c>
      <c r="C345" s="112" t="s">
        <v>77</v>
      </c>
      <c r="D345" s="112" t="s">
        <v>77</v>
      </c>
      <c r="E345" s="112" t="s">
        <v>76</v>
      </c>
      <c r="F345" s="112" t="s">
        <v>77</v>
      </c>
      <c r="G345" s="112" t="s">
        <v>77</v>
      </c>
      <c r="H345" s="112" t="s">
        <v>77</v>
      </c>
      <c r="I345" s="112" t="s">
        <v>77</v>
      </c>
      <c r="J345" s="112" t="s">
        <v>77</v>
      </c>
      <c r="K345" s="112" t="s">
        <v>77</v>
      </c>
      <c r="L345" s="112" t="s">
        <v>87</v>
      </c>
      <c r="M345" s="112" t="s">
        <v>368</v>
      </c>
      <c r="N345" s="118" t="s">
        <v>350</v>
      </c>
      <c r="O345" s="118" t="s">
        <v>111</v>
      </c>
      <c r="P345" s="118" t="s">
        <v>81</v>
      </c>
      <c r="Q345" s="118" t="s">
        <v>112</v>
      </c>
      <c r="R345" s="115" t="str">
        <f t="shared" si="40"/>
        <v>53</v>
      </c>
      <c r="S345" s="124">
        <v>530104</v>
      </c>
      <c r="T345" s="122" t="str">
        <f>VLOOKUP(S345,ITEM!$C$1:$D$156,2,FALSE)</f>
        <v>Energía Eléctrica</v>
      </c>
      <c r="U345" s="112" t="s">
        <v>83</v>
      </c>
      <c r="V345" s="114" t="s">
        <v>82</v>
      </c>
      <c r="W345" s="114" t="s">
        <v>84</v>
      </c>
      <c r="X345" s="114" t="s">
        <v>84</v>
      </c>
      <c r="Y345" s="224" t="e">
        <f>'Matriz POA 2024-TRABAJO'!#REF!</f>
        <v>#REF!</v>
      </c>
      <c r="Z345" s="224" t="e">
        <f>'Matriz POA 2024-TRABAJO'!#REF!</f>
        <v>#REF!</v>
      </c>
      <c r="AA345" s="224" t="e">
        <f>'Matriz POA 2024-TRABAJO'!#REF!</f>
        <v>#REF!</v>
      </c>
      <c r="AB345" s="279">
        <v>0</v>
      </c>
      <c r="AC345" s="279">
        <v>0</v>
      </c>
      <c r="AD345" s="279">
        <v>0</v>
      </c>
      <c r="AE345" s="279">
        <v>0</v>
      </c>
      <c r="AF345" s="279">
        <v>0</v>
      </c>
      <c r="AG345" s="279">
        <v>0</v>
      </c>
      <c r="AH345" s="279">
        <v>0</v>
      </c>
      <c r="AI345" s="279">
        <v>0</v>
      </c>
      <c r="AJ345" s="279">
        <v>0</v>
      </c>
      <c r="AK345" s="279">
        <v>0</v>
      </c>
      <c r="AL345" s="279">
        <v>0</v>
      </c>
      <c r="AM345" s="279">
        <v>0</v>
      </c>
      <c r="AN345" s="224" t="e">
        <f>SUM(#REF!)</f>
        <v>#REF!</v>
      </c>
      <c r="AO345" s="224">
        <f t="shared" si="41"/>
        <v>0</v>
      </c>
      <c r="AP345" s="224" t="e">
        <f t="shared" si="47"/>
        <v>#REF!</v>
      </c>
      <c r="AQ345" s="224"/>
      <c r="AR345" s="224"/>
      <c r="AS345" s="224"/>
      <c r="AT345" s="224" t="str">
        <f>IFERROR(VLOOKUP($A345,'Constancias POA'!$A$2:$DH$9993,17,FALSE),"")</f>
        <v/>
      </c>
      <c r="AU345" s="224" t="str">
        <f t="shared" si="42"/>
        <v/>
      </c>
      <c r="AV345" s="224" t="str">
        <f>IFERROR(VLOOKUP($A345,CP!$A$1:$U$7992,18,FALSE),"")</f>
        <v/>
      </c>
      <c r="AW345" s="224" t="str">
        <f>IFERROR(VLOOKUP($A345,CP!$A$1:$U$7992,19,FALSE),"")</f>
        <v/>
      </c>
      <c r="AX345" s="224" t="str">
        <f>IFERROR(VLOOKUP($A345,CP!$A$1:$U$7992,20,FALSE),"")</f>
        <v/>
      </c>
      <c r="AY345" s="224" t="str">
        <f>IFERROR(VLOOKUP($A345,CP!$A$1:$U$1,21,FALSE),"")</f>
        <v/>
      </c>
      <c r="AZ345" s="224" t="str">
        <f>IFERROR(VLOOKUP(A345,Devengado!$A$1:AJ1,35,FALSE),"")</f>
        <v/>
      </c>
      <c r="BA345" s="224" t="str">
        <f t="shared" si="43"/>
        <v/>
      </c>
      <c r="BB345" s="224" t="str">
        <f>IFERROR(AZ345/#REF!,"")</f>
        <v/>
      </c>
      <c r="BC345" s="224" t="str">
        <f>IFERROR(VLOOKUP($A345,Devengado!$A$1:$AI$1,22,FALSE),"")</f>
        <v/>
      </c>
      <c r="BD345" s="224" t="str">
        <f>IFERROR(VLOOKUP($A345,Devengado!$A$1:$AI$1,23,FALSE),"")</f>
        <v/>
      </c>
      <c r="BE345" s="224" t="str">
        <f>IFERROR(VLOOKUP($A345,Devengado!$A$1:$AI$1,24,FALSE),"")</f>
        <v/>
      </c>
      <c r="BF345" s="224" t="str">
        <f>IFERROR(VLOOKUP($A345,Devengado!$A$1:$AI$1,25,FALSE),"")</f>
        <v/>
      </c>
      <c r="BG345" s="224" t="str">
        <f>IFERROR(VLOOKUP($A345,Devengado!$A$1:$AI$1,26,FALSE),"")</f>
        <v/>
      </c>
      <c r="BH345" s="224" t="str">
        <f>IFERROR(VLOOKUP($A345,Devengado!$A$1:$AI$1,27,FALSE),"")</f>
        <v/>
      </c>
      <c r="BI345" s="224" t="str">
        <f>IFERROR(VLOOKUP($A345,Devengado!$A$1:$AI$1,28,FALSE),"")</f>
        <v/>
      </c>
      <c r="BJ345" s="224" t="str">
        <f>IFERROR(VLOOKUP($A345,Devengado!$A$1:$AI$1,29,FALSE),"")</f>
        <v/>
      </c>
      <c r="BK345" s="224" t="str">
        <f>IFERROR(VLOOKUP($A345,Devengado!$A$1:$AI$1,30,FALSE),"")</f>
        <v/>
      </c>
      <c r="BL345" s="224" t="str">
        <f>IFERROR(VLOOKUP($A345,Devengado!$A$1:$AI$1,31,FALSE),"")</f>
        <v/>
      </c>
      <c r="BM345" s="224" t="str">
        <f>IFERROR(VLOOKUP($A345,Devengado!$A$1:$AI$1,32,FALSE),"")</f>
        <v/>
      </c>
      <c r="BN345" s="224" t="str">
        <f>IFERROR(VLOOKUP($A345,Devengado!$A$1:$AI$1,33,FALSE),"")</f>
        <v/>
      </c>
      <c r="BO345" s="224">
        <f t="shared" si="44"/>
        <v>0</v>
      </c>
      <c r="BP345" s="224" t="str">
        <f t="shared" si="45"/>
        <v/>
      </c>
      <c r="BQ345" s="207"/>
      <c r="BR345" s="207" t="str">
        <f t="shared" si="46"/>
        <v>53</v>
      </c>
    </row>
    <row r="346" spans="1:70" s="225" customFormat="1" ht="25.5" customHeight="1">
      <c r="A346" s="207">
        <v>342</v>
      </c>
      <c r="B346" s="112" t="s">
        <v>348</v>
      </c>
      <c r="C346" s="112" t="s">
        <v>77</v>
      </c>
      <c r="D346" s="112" t="s">
        <v>77</v>
      </c>
      <c r="E346" s="112" t="s">
        <v>76</v>
      </c>
      <c r="F346" s="112" t="s">
        <v>77</v>
      </c>
      <c r="G346" s="112" t="s">
        <v>77</v>
      </c>
      <c r="H346" s="112" t="s">
        <v>77</v>
      </c>
      <c r="I346" s="112" t="s">
        <v>77</v>
      </c>
      <c r="J346" s="112" t="s">
        <v>77</v>
      </c>
      <c r="K346" s="112" t="s">
        <v>77</v>
      </c>
      <c r="L346" s="112" t="s">
        <v>87</v>
      </c>
      <c r="M346" s="112" t="s">
        <v>369</v>
      </c>
      <c r="N346" s="118" t="s">
        <v>350</v>
      </c>
      <c r="O346" s="118" t="s">
        <v>111</v>
      </c>
      <c r="P346" s="118" t="s">
        <v>81</v>
      </c>
      <c r="Q346" s="118" t="s">
        <v>112</v>
      </c>
      <c r="R346" s="115" t="str">
        <f t="shared" si="40"/>
        <v>53</v>
      </c>
      <c r="S346" s="124">
        <v>530104</v>
      </c>
      <c r="T346" s="122" t="str">
        <f>VLOOKUP(S346,ITEM!$C$1:$D$156,2,FALSE)</f>
        <v>Energía Eléctrica</v>
      </c>
      <c r="U346" s="112" t="s">
        <v>83</v>
      </c>
      <c r="V346" s="114" t="s">
        <v>82</v>
      </c>
      <c r="W346" s="114" t="s">
        <v>84</v>
      </c>
      <c r="X346" s="114" t="s">
        <v>84</v>
      </c>
      <c r="Y346" s="224" t="e">
        <f>'Matriz POA 2024-TRABAJO'!#REF!</f>
        <v>#REF!</v>
      </c>
      <c r="Z346" s="224" t="e">
        <f>'Matriz POA 2024-TRABAJO'!#REF!</f>
        <v>#REF!</v>
      </c>
      <c r="AA346" s="224" t="e">
        <f>'Matriz POA 2024-TRABAJO'!#REF!</f>
        <v>#REF!</v>
      </c>
      <c r="AB346" s="279"/>
      <c r="AC346" s="279">
        <v>0</v>
      </c>
      <c r="AD346" s="279">
        <v>0</v>
      </c>
      <c r="AE346" s="279">
        <v>0</v>
      </c>
      <c r="AF346" s="279">
        <v>0</v>
      </c>
      <c r="AG346" s="279">
        <v>0</v>
      </c>
      <c r="AH346" s="279">
        <v>0</v>
      </c>
      <c r="AI346" s="279">
        <v>0</v>
      </c>
      <c r="AJ346" s="279">
        <v>0</v>
      </c>
      <c r="AK346" s="279">
        <v>0</v>
      </c>
      <c r="AL346" s="279">
        <v>0</v>
      </c>
      <c r="AM346" s="279">
        <v>0</v>
      </c>
      <c r="AN346" s="224" t="e">
        <f>SUM(#REF!)</f>
        <v>#REF!</v>
      </c>
      <c r="AO346" s="224">
        <f t="shared" si="41"/>
        <v>0</v>
      </c>
      <c r="AP346" s="224" t="e">
        <f t="shared" si="47"/>
        <v>#REF!</v>
      </c>
      <c r="AQ346" s="224"/>
      <c r="AR346" s="224"/>
      <c r="AS346" s="224"/>
      <c r="AT346" s="224" t="str">
        <f>IFERROR(VLOOKUP($A346,'Constancias POA'!$A$2:$DH$9993,17,FALSE),"")</f>
        <v/>
      </c>
      <c r="AU346" s="224" t="str">
        <f t="shared" si="42"/>
        <v/>
      </c>
      <c r="AV346" s="224" t="str">
        <f>IFERROR(VLOOKUP($A346,CP!$A$1:$U$7992,18,FALSE),"")</f>
        <v/>
      </c>
      <c r="AW346" s="224" t="str">
        <f>IFERROR(VLOOKUP($A346,CP!$A$1:$U$7992,19,FALSE),"")</f>
        <v/>
      </c>
      <c r="AX346" s="224" t="str">
        <f>IFERROR(VLOOKUP($A346,CP!$A$1:$U$7992,20,FALSE),"")</f>
        <v/>
      </c>
      <c r="AY346" s="224" t="str">
        <f>IFERROR(VLOOKUP($A346,CP!$A$1:$U$1,21,FALSE),"")</f>
        <v/>
      </c>
      <c r="AZ346" s="224" t="str">
        <f>IFERROR(VLOOKUP(A346,Devengado!$A$1:AJ1,35,FALSE),"")</f>
        <v/>
      </c>
      <c r="BA346" s="224" t="str">
        <f t="shared" si="43"/>
        <v/>
      </c>
      <c r="BB346" s="224" t="str">
        <f>IFERROR(AZ346/#REF!,"")</f>
        <v/>
      </c>
      <c r="BC346" s="224" t="str">
        <f>IFERROR(VLOOKUP($A346,Devengado!$A$1:$AI$1,22,FALSE),"")</f>
        <v/>
      </c>
      <c r="BD346" s="224" t="str">
        <f>IFERROR(VLOOKUP($A346,Devengado!$A$1:$AI$1,23,FALSE),"")</f>
        <v/>
      </c>
      <c r="BE346" s="224" t="str">
        <f>IFERROR(VLOOKUP($A346,Devengado!$A$1:$AI$1,24,FALSE),"")</f>
        <v/>
      </c>
      <c r="BF346" s="224" t="str">
        <f>IFERROR(VLOOKUP($A346,Devengado!$A$1:$AI$1,25,FALSE),"")</f>
        <v/>
      </c>
      <c r="BG346" s="224" t="str">
        <f>IFERROR(VLOOKUP($A346,Devengado!$A$1:$AI$1,26,FALSE),"")</f>
        <v/>
      </c>
      <c r="BH346" s="224" t="str">
        <f>IFERROR(VLOOKUP($A346,Devengado!$A$1:$AI$1,27,FALSE),"")</f>
        <v/>
      </c>
      <c r="BI346" s="224" t="str">
        <f>IFERROR(VLOOKUP($A346,Devengado!$A$1:$AI$1,28,FALSE),"")</f>
        <v/>
      </c>
      <c r="BJ346" s="224" t="str">
        <f>IFERROR(VLOOKUP($A346,Devengado!$A$1:$AI$1,29,FALSE),"")</f>
        <v/>
      </c>
      <c r="BK346" s="224" t="str">
        <f>IFERROR(VLOOKUP($A346,Devengado!$A$1:$AI$1,30,FALSE),"")</f>
        <v/>
      </c>
      <c r="BL346" s="224" t="str">
        <f>IFERROR(VLOOKUP($A346,Devengado!$A$1:$AI$1,31,FALSE),"")</f>
        <v/>
      </c>
      <c r="BM346" s="224" t="str">
        <f>IFERROR(VLOOKUP($A346,Devengado!$A$1:$AI$1,32,FALSE),"")</f>
        <v/>
      </c>
      <c r="BN346" s="224" t="str">
        <f>IFERROR(VLOOKUP($A346,Devengado!$A$1:$AI$1,33,FALSE),"")</f>
        <v/>
      </c>
      <c r="BO346" s="224">
        <f t="shared" si="44"/>
        <v>0</v>
      </c>
      <c r="BP346" s="224" t="str">
        <f t="shared" si="45"/>
        <v/>
      </c>
      <c r="BQ346" s="207"/>
      <c r="BR346" s="207" t="str">
        <f t="shared" si="46"/>
        <v>53</v>
      </c>
    </row>
    <row r="347" spans="1:70" s="225" customFormat="1" ht="25.5" customHeight="1">
      <c r="A347" s="207">
        <v>343</v>
      </c>
      <c r="B347" s="112" t="s">
        <v>348</v>
      </c>
      <c r="C347" s="112" t="s">
        <v>77</v>
      </c>
      <c r="D347" s="112" t="s">
        <v>77</v>
      </c>
      <c r="E347" s="112" t="s">
        <v>76</v>
      </c>
      <c r="F347" s="112" t="s">
        <v>77</v>
      </c>
      <c r="G347" s="112" t="s">
        <v>77</v>
      </c>
      <c r="H347" s="112" t="s">
        <v>77</v>
      </c>
      <c r="I347" s="112" t="s">
        <v>77</v>
      </c>
      <c r="J347" s="112" t="s">
        <v>77</v>
      </c>
      <c r="K347" s="112" t="s">
        <v>77</v>
      </c>
      <c r="L347" s="112" t="s">
        <v>85</v>
      </c>
      <c r="M347" s="112" t="s">
        <v>370</v>
      </c>
      <c r="N347" s="118" t="s">
        <v>350</v>
      </c>
      <c r="O347" s="118" t="s">
        <v>111</v>
      </c>
      <c r="P347" s="118" t="s">
        <v>81</v>
      </c>
      <c r="Q347" s="118" t="s">
        <v>112</v>
      </c>
      <c r="R347" s="115" t="str">
        <f t="shared" si="40"/>
        <v>53</v>
      </c>
      <c r="S347" s="124">
        <v>530105</v>
      </c>
      <c r="T347" s="122" t="str">
        <f>VLOOKUP(S347,ITEM!$C$1:$D$156,2,FALSE)</f>
        <v>Telecomunicaciones</v>
      </c>
      <c r="U347" s="112" t="s">
        <v>83</v>
      </c>
      <c r="V347" s="114" t="s">
        <v>82</v>
      </c>
      <c r="W347" s="114" t="s">
        <v>84</v>
      </c>
      <c r="X347" s="114" t="s">
        <v>84</v>
      </c>
      <c r="Y347" s="224" t="e">
        <f>'Matriz POA 2024-TRABAJO'!#REF!</f>
        <v>#REF!</v>
      </c>
      <c r="Z347" s="224" t="e">
        <f>'Matriz POA 2024-TRABAJO'!#REF!</f>
        <v>#REF!</v>
      </c>
      <c r="AA347" s="224" t="e">
        <f>'Matriz POA 2024-TRABAJO'!#REF!</f>
        <v>#REF!</v>
      </c>
      <c r="AB347" s="279">
        <v>0</v>
      </c>
      <c r="AC347" s="279">
        <v>0</v>
      </c>
      <c r="AD347" s="279">
        <v>0</v>
      </c>
      <c r="AE347" s="279">
        <v>0</v>
      </c>
      <c r="AF347" s="279">
        <v>0</v>
      </c>
      <c r="AG347" s="279">
        <v>0</v>
      </c>
      <c r="AH347" s="279">
        <v>0</v>
      </c>
      <c r="AI347" s="279">
        <v>0</v>
      </c>
      <c r="AJ347" s="279">
        <v>0</v>
      </c>
      <c r="AK347" s="279">
        <v>0</v>
      </c>
      <c r="AL347" s="279">
        <v>0</v>
      </c>
      <c r="AM347" s="279"/>
      <c r="AN347" s="224" t="e">
        <f>SUM(#REF!)</f>
        <v>#REF!</v>
      </c>
      <c r="AO347" s="224">
        <f t="shared" si="41"/>
        <v>0</v>
      </c>
      <c r="AP347" s="224" t="e">
        <f t="shared" si="47"/>
        <v>#REF!</v>
      </c>
      <c r="AQ347" s="224"/>
      <c r="AR347" s="224"/>
      <c r="AS347" s="224"/>
      <c r="AT347" s="224" t="str">
        <f>IFERROR(VLOOKUP($A347,'Constancias POA'!$A$2:$DH$9993,17,FALSE),"")</f>
        <v/>
      </c>
      <c r="AU347" s="224" t="str">
        <f t="shared" si="42"/>
        <v/>
      </c>
      <c r="AV347" s="224" t="str">
        <f>IFERROR(VLOOKUP($A347,CP!$A$1:$U$7992,18,FALSE),"")</f>
        <v/>
      </c>
      <c r="AW347" s="224" t="str">
        <f>IFERROR(VLOOKUP($A347,CP!$A$1:$U$7992,19,FALSE),"")</f>
        <v/>
      </c>
      <c r="AX347" s="224" t="str">
        <f>IFERROR(VLOOKUP($A347,CP!$A$1:$U$7992,20,FALSE),"")</f>
        <v/>
      </c>
      <c r="AY347" s="224" t="str">
        <f>IFERROR(VLOOKUP($A347,CP!$A$1:$U$1,21,FALSE),"")</f>
        <v/>
      </c>
      <c r="AZ347" s="224" t="str">
        <f>IFERROR(VLOOKUP(A347,Devengado!$A$1:AJ1,35,FALSE),"")</f>
        <v/>
      </c>
      <c r="BA347" s="224" t="str">
        <f t="shared" si="43"/>
        <v/>
      </c>
      <c r="BB347" s="224" t="str">
        <f>IFERROR(AZ347/#REF!,"")</f>
        <v/>
      </c>
      <c r="BC347" s="224" t="str">
        <f>IFERROR(VLOOKUP($A347,Devengado!$A$1:$AI$1,22,FALSE),"")</f>
        <v/>
      </c>
      <c r="BD347" s="224" t="str">
        <f>IFERROR(VLOOKUP($A347,Devengado!$A$1:$AI$1,23,FALSE),"")</f>
        <v/>
      </c>
      <c r="BE347" s="224" t="str">
        <f>IFERROR(VLOOKUP($A347,Devengado!$A$1:$AI$1,24,FALSE),"")</f>
        <v/>
      </c>
      <c r="BF347" s="224" t="str">
        <f>IFERROR(VLOOKUP($A347,Devengado!$A$1:$AI$1,25,FALSE),"")</f>
        <v/>
      </c>
      <c r="BG347" s="224" t="str">
        <f>IFERROR(VLOOKUP($A347,Devengado!$A$1:$AI$1,26,FALSE),"")</f>
        <v/>
      </c>
      <c r="BH347" s="224" t="str">
        <f>IFERROR(VLOOKUP($A347,Devengado!$A$1:$AI$1,27,FALSE),"")</f>
        <v/>
      </c>
      <c r="BI347" s="224" t="str">
        <f>IFERROR(VLOOKUP($A347,Devengado!$A$1:$AI$1,28,FALSE),"")</f>
        <v/>
      </c>
      <c r="BJ347" s="224" t="str">
        <f>IFERROR(VLOOKUP($A347,Devengado!$A$1:$AI$1,29,FALSE),"")</f>
        <v/>
      </c>
      <c r="BK347" s="224" t="str">
        <f>IFERROR(VLOOKUP($A347,Devengado!$A$1:$AI$1,30,FALSE),"")</f>
        <v/>
      </c>
      <c r="BL347" s="224" t="str">
        <f>IFERROR(VLOOKUP($A347,Devengado!$A$1:$AI$1,31,FALSE),"")</f>
        <v/>
      </c>
      <c r="BM347" s="224" t="str">
        <f>IFERROR(VLOOKUP($A347,Devengado!$A$1:$AI$1,32,FALSE),"")</f>
        <v/>
      </c>
      <c r="BN347" s="224" t="str">
        <f>IFERROR(VLOOKUP($A347,Devengado!$A$1:$AI$1,33,FALSE),"")</f>
        <v/>
      </c>
      <c r="BO347" s="224">
        <f t="shared" si="44"/>
        <v>0</v>
      </c>
      <c r="BP347" s="224" t="str">
        <f t="shared" si="45"/>
        <v/>
      </c>
      <c r="BQ347" s="207"/>
      <c r="BR347" s="207" t="str">
        <f t="shared" si="46"/>
        <v>53</v>
      </c>
    </row>
    <row r="348" spans="1:70" s="225" customFormat="1" ht="25.5" customHeight="1">
      <c r="A348" s="207">
        <v>344</v>
      </c>
      <c r="B348" s="112" t="s">
        <v>348</v>
      </c>
      <c r="C348" s="112" t="s">
        <v>77</v>
      </c>
      <c r="D348" s="112" t="s">
        <v>77</v>
      </c>
      <c r="E348" s="112" t="s">
        <v>76</v>
      </c>
      <c r="F348" s="112" t="s">
        <v>77</v>
      </c>
      <c r="G348" s="112" t="s">
        <v>77</v>
      </c>
      <c r="H348" s="112" t="s">
        <v>77</v>
      </c>
      <c r="I348" s="112" t="s">
        <v>77</v>
      </c>
      <c r="J348" s="112" t="s">
        <v>77</v>
      </c>
      <c r="K348" s="112" t="s">
        <v>77</v>
      </c>
      <c r="L348" s="112" t="s">
        <v>87</v>
      </c>
      <c r="M348" s="112" t="s">
        <v>370</v>
      </c>
      <c r="N348" s="118" t="s">
        <v>350</v>
      </c>
      <c r="O348" s="118" t="s">
        <v>111</v>
      </c>
      <c r="P348" s="118" t="s">
        <v>81</v>
      </c>
      <c r="Q348" s="118" t="s">
        <v>112</v>
      </c>
      <c r="R348" s="115" t="str">
        <f t="shared" si="40"/>
        <v>53</v>
      </c>
      <c r="S348" s="124">
        <v>530105</v>
      </c>
      <c r="T348" s="122" t="str">
        <f>VLOOKUP(S348,ITEM!$C$1:$D$156,2,FALSE)</f>
        <v>Telecomunicaciones</v>
      </c>
      <c r="U348" s="112" t="s">
        <v>83</v>
      </c>
      <c r="V348" s="114" t="s">
        <v>82</v>
      </c>
      <c r="W348" s="114" t="s">
        <v>84</v>
      </c>
      <c r="X348" s="114" t="s">
        <v>84</v>
      </c>
      <c r="Y348" s="224" t="e">
        <f>'Matriz POA 2024-TRABAJO'!#REF!</f>
        <v>#REF!</v>
      </c>
      <c r="Z348" s="224" t="e">
        <f>'Matriz POA 2024-TRABAJO'!#REF!</f>
        <v>#REF!</v>
      </c>
      <c r="AA348" s="224" t="e">
        <f>'Matriz POA 2024-TRABAJO'!#REF!</f>
        <v>#REF!</v>
      </c>
      <c r="AB348" s="279">
        <v>0</v>
      </c>
      <c r="AC348" s="279">
        <v>0</v>
      </c>
      <c r="AD348" s="279">
        <v>0</v>
      </c>
      <c r="AE348" s="279">
        <v>0</v>
      </c>
      <c r="AF348" s="279">
        <v>0</v>
      </c>
      <c r="AG348" s="279">
        <v>0</v>
      </c>
      <c r="AH348" s="279">
        <v>0</v>
      </c>
      <c r="AI348" s="279">
        <v>0</v>
      </c>
      <c r="AJ348" s="279">
        <v>0</v>
      </c>
      <c r="AK348" s="279">
        <v>0</v>
      </c>
      <c r="AL348" s="279">
        <v>0</v>
      </c>
      <c r="AM348" s="279">
        <v>0</v>
      </c>
      <c r="AN348" s="224" t="e">
        <f>SUM(#REF!)</f>
        <v>#REF!</v>
      </c>
      <c r="AO348" s="224">
        <f t="shared" si="41"/>
        <v>0</v>
      </c>
      <c r="AP348" s="224" t="e">
        <f t="shared" si="47"/>
        <v>#REF!</v>
      </c>
      <c r="AQ348" s="224"/>
      <c r="AR348" s="224"/>
      <c r="AS348" s="224"/>
      <c r="AT348" s="224" t="str">
        <f>IFERROR(VLOOKUP($A348,'Constancias POA'!$A$2:$DH$9993,17,FALSE),"")</f>
        <v/>
      </c>
      <c r="AU348" s="224" t="str">
        <f t="shared" si="42"/>
        <v/>
      </c>
      <c r="AV348" s="224" t="str">
        <f>IFERROR(VLOOKUP($A348,CP!$A$1:$U$7992,18,FALSE),"")</f>
        <v/>
      </c>
      <c r="AW348" s="224" t="str">
        <f>IFERROR(VLOOKUP($A348,CP!$A$1:$U$7992,19,FALSE),"")</f>
        <v/>
      </c>
      <c r="AX348" s="224" t="str">
        <f>IFERROR(VLOOKUP($A348,CP!$A$1:$U$7992,20,FALSE),"")</f>
        <v/>
      </c>
      <c r="AY348" s="224" t="str">
        <f>IFERROR(VLOOKUP($A348,CP!$A$1:$U$1,21,FALSE),"")</f>
        <v/>
      </c>
      <c r="AZ348" s="224" t="str">
        <f>IFERROR(VLOOKUP(A348,Devengado!$A$1:AJ1,35,FALSE),"")</f>
        <v/>
      </c>
      <c r="BA348" s="224" t="str">
        <f t="shared" si="43"/>
        <v/>
      </c>
      <c r="BB348" s="224" t="str">
        <f>IFERROR(AZ348/#REF!,"")</f>
        <v/>
      </c>
      <c r="BC348" s="224" t="str">
        <f>IFERROR(VLOOKUP($A348,Devengado!$A$1:$AI$1,22,FALSE),"")</f>
        <v/>
      </c>
      <c r="BD348" s="224" t="str">
        <f>IFERROR(VLOOKUP($A348,Devengado!$A$1:$AI$1,23,FALSE),"")</f>
        <v/>
      </c>
      <c r="BE348" s="224" t="str">
        <f>IFERROR(VLOOKUP($A348,Devengado!$A$1:$AI$1,24,FALSE),"")</f>
        <v/>
      </c>
      <c r="BF348" s="224" t="str">
        <f>IFERROR(VLOOKUP($A348,Devengado!$A$1:$AI$1,25,FALSE),"")</f>
        <v/>
      </c>
      <c r="BG348" s="224" t="str">
        <f>IFERROR(VLOOKUP($A348,Devengado!$A$1:$AI$1,26,FALSE),"")</f>
        <v/>
      </c>
      <c r="BH348" s="224" t="str">
        <f>IFERROR(VLOOKUP($A348,Devengado!$A$1:$AI$1,27,FALSE),"")</f>
        <v/>
      </c>
      <c r="BI348" s="224" t="str">
        <f>IFERROR(VLOOKUP($A348,Devengado!$A$1:$AI$1,28,FALSE),"")</f>
        <v/>
      </c>
      <c r="BJ348" s="224" t="str">
        <f>IFERROR(VLOOKUP($A348,Devengado!$A$1:$AI$1,29,FALSE),"")</f>
        <v/>
      </c>
      <c r="BK348" s="224" t="str">
        <f>IFERROR(VLOOKUP($A348,Devengado!$A$1:$AI$1,30,FALSE),"")</f>
        <v/>
      </c>
      <c r="BL348" s="224" t="str">
        <f>IFERROR(VLOOKUP($A348,Devengado!$A$1:$AI$1,31,FALSE),"")</f>
        <v/>
      </c>
      <c r="BM348" s="224" t="str">
        <f>IFERROR(VLOOKUP($A348,Devengado!$A$1:$AI$1,32,FALSE),"")</f>
        <v/>
      </c>
      <c r="BN348" s="224" t="str">
        <f>IFERROR(VLOOKUP($A348,Devengado!$A$1:$AI$1,33,FALSE),"")</f>
        <v/>
      </c>
      <c r="BO348" s="224">
        <f t="shared" si="44"/>
        <v>0</v>
      </c>
      <c r="BP348" s="224" t="str">
        <f t="shared" si="45"/>
        <v/>
      </c>
      <c r="BQ348" s="207"/>
      <c r="BR348" s="207" t="str">
        <f t="shared" si="46"/>
        <v>53</v>
      </c>
    </row>
    <row r="349" spans="1:70" s="225" customFormat="1" ht="25.5" customHeight="1">
      <c r="A349" s="207">
        <v>345</v>
      </c>
      <c r="B349" s="112" t="s">
        <v>348</v>
      </c>
      <c r="C349" s="112" t="s">
        <v>77</v>
      </c>
      <c r="D349" s="112" t="s">
        <v>77</v>
      </c>
      <c r="E349" s="112" t="s">
        <v>76</v>
      </c>
      <c r="F349" s="112" t="s">
        <v>77</v>
      </c>
      <c r="G349" s="112" t="s">
        <v>77</v>
      </c>
      <c r="H349" s="112" t="s">
        <v>77</v>
      </c>
      <c r="I349" s="112" t="s">
        <v>77</v>
      </c>
      <c r="J349" s="112" t="s">
        <v>77</v>
      </c>
      <c r="K349" s="112" t="s">
        <v>77</v>
      </c>
      <c r="L349" s="112" t="s">
        <v>85</v>
      </c>
      <c r="M349" s="112" t="s">
        <v>371</v>
      </c>
      <c r="N349" s="118" t="s">
        <v>350</v>
      </c>
      <c r="O349" s="118" t="s">
        <v>111</v>
      </c>
      <c r="P349" s="118" t="s">
        <v>81</v>
      </c>
      <c r="Q349" s="118" t="s">
        <v>112</v>
      </c>
      <c r="R349" s="115" t="str">
        <f t="shared" si="40"/>
        <v>53</v>
      </c>
      <c r="S349" s="124">
        <v>530203</v>
      </c>
      <c r="T349" s="122" t="str">
        <f>VLOOKUP(S349,ITEM!$C$1:$D$156,2,FALSE)</f>
        <v>Almacenamiento, Embalaje, Desembalaje, Envase, Desenvase y Recarga de Extintores</v>
      </c>
      <c r="U349" s="112" t="s">
        <v>83</v>
      </c>
      <c r="V349" s="114" t="s">
        <v>82</v>
      </c>
      <c r="W349" s="114" t="s">
        <v>84</v>
      </c>
      <c r="X349" s="114" t="s">
        <v>84</v>
      </c>
      <c r="Y349" s="224" t="e">
        <f>'Matriz POA 2024-TRABAJO'!#REF!</f>
        <v>#REF!</v>
      </c>
      <c r="Z349" s="224" t="e">
        <f>'Matriz POA 2024-TRABAJO'!#REF!</f>
        <v>#REF!</v>
      </c>
      <c r="AA349" s="224" t="e">
        <f>'Matriz POA 2024-TRABAJO'!#REF!</f>
        <v>#REF!</v>
      </c>
      <c r="AB349" s="279">
        <v>0</v>
      </c>
      <c r="AC349" s="279">
        <v>0</v>
      </c>
      <c r="AD349" s="279">
        <v>2241.71</v>
      </c>
      <c r="AE349" s="279">
        <v>0</v>
      </c>
      <c r="AF349" s="279">
        <v>0</v>
      </c>
      <c r="AG349" s="279">
        <v>0</v>
      </c>
      <c r="AH349" s="279">
        <v>0</v>
      </c>
      <c r="AI349" s="279">
        <v>0</v>
      </c>
      <c r="AJ349" s="279">
        <v>0</v>
      </c>
      <c r="AK349" s="279">
        <v>0</v>
      </c>
      <c r="AL349" s="279">
        <v>0</v>
      </c>
      <c r="AM349" s="279"/>
      <c r="AN349" s="224" t="e">
        <f>SUM(#REF!)</f>
        <v>#REF!</v>
      </c>
      <c r="AO349" s="224">
        <f t="shared" si="41"/>
        <v>2241.71</v>
      </c>
      <c r="AP349" s="224" t="e">
        <f t="shared" si="47"/>
        <v>#REF!</v>
      </c>
      <c r="AQ349" s="224"/>
      <c r="AR349" s="224"/>
      <c r="AS349" s="224"/>
      <c r="AT349" s="224" t="str">
        <f>IFERROR(VLOOKUP($A349,'Constancias POA'!$A$2:$DH$9993,17,FALSE),"")</f>
        <v/>
      </c>
      <c r="AU349" s="224" t="str">
        <f t="shared" si="42"/>
        <v/>
      </c>
      <c r="AV349" s="224" t="str">
        <f>IFERROR(VLOOKUP($A349,CP!$A$1:$U$7992,18,FALSE),"")</f>
        <v/>
      </c>
      <c r="AW349" s="224" t="str">
        <f>IFERROR(VLOOKUP($A349,CP!$A$1:$U$7992,19,FALSE),"")</f>
        <v/>
      </c>
      <c r="AX349" s="224" t="str">
        <f>IFERROR(VLOOKUP($A349,CP!$A$1:$U$7992,20,FALSE),"")</f>
        <v/>
      </c>
      <c r="AY349" s="224" t="str">
        <f>IFERROR(VLOOKUP($A349,CP!$A$1:$U$1,21,FALSE),"")</f>
        <v/>
      </c>
      <c r="AZ349" s="224" t="str">
        <f>IFERROR(VLOOKUP(A349,Devengado!$A$1:AJ1,35,FALSE),"")</f>
        <v/>
      </c>
      <c r="BA349" s="224" t="str">
        <f t="shared" si="43"/>
        <v/>
      </c>
      <c r="BB349" s="224" t="str">
        <f>IFERROR(AZ349/#REF!,"")</f>
        <v/>
      </c>
      <c r="BC349" s="224" t="str">
        <f>IFERROR(VLOOKUP($A349,Devengado!$A$1:$AI$1,22,FALSE),"")</f>
        <v/>
      </c>
      <c r="BD349" s="224" t="str">
        <f>IFERROR(VLOOKUP($A349,Devengado!$A$1:$AI$1,23,FALSE),"")</f>
        <v/>
      </c>
      <c r="BE349" s="224" t="str">
        <f>IFERROR(VLOOKUP($A349,Devengado!$A$1:$AI$1,24,FALSE),"")</f>
        <v/>
      </c>
      <c r="BF349" s="224" t="str">
        <f>IFERROR(VLOOKUP($A349,Devengado!$A$1:$AI$1,25,FALSE),"")</f>
        <v/>
      </c>
      <c r="BG349" s="224" t="str">
        <f>IFERROR(VLOOKUP($A349,Devengado!$A$1:$AI$1,26,FALSE),"")</f>
        <v/>
      </c>
      <c r="BH349" s="224" t="str">
        <f>IFERROR(VLOOKUP($A349,Devengado!$A$1:$AI$1,27,FALSE),"")</f>
        <v/>
      </c>
      <c r="BI349" s="224" t="str">
        <f>IFERROR(VLOOKUP($A349,Devengado!$A$1:$AI$1,28,FALSE),"")</f>
        <v/>
      </c>
      <c r="BJ349" s="224" t="str">
        <f>IFERROR(VLOOKUP($A349,Devengado!$A$1:$AI$1,29,FALSE),"")</f>
        <v/>
      </c>
      <c r="BK349" s="224" t="str">
        <f>IFERROR(VLOOKUP($A349,Devengado!$A$1:$AI$1,30,FALSE),"")</f>
        <v/>
      </c>
      <c r="BL349" s="224" t="str">
        <f>IFERROR(VLOOKUP($A349,Devengado!$A$1:$AI$1,31,FALSE),"")</f>
        <v/>
      </c>
      <c r="BM349" s="224" t="str">
        <f>IFERROR(VLOOKUP($A349,Devengado!$A$1:$AI$1,32,FALSE),"")</f>
        <v/>
      </c>
      <c r="BN349" s="224" t="str">
        <f>IFERROR(VLOOKUP($A349,Devengado!$A$1:$AI$1,33,FALSE),"")</f>
        <v/>
      </c>
      <c r="BO349" s="224">
        <f t="shared" si="44"/>
        <v>0</v>
      </c>
      <c r="BP349" s="224" t="str">
        <f t="shared" si="45"/>
        <v/>
      </c>
      <c r="BQ349" s="207"/>
      <c r="BR349" s="207" t="str">
        <f t="shared" si="46"/>
        <v>53</v>
      </c>
    </row>
    <row r="350" spans="1:70" s="225" customFormat="1" ht="25.5" customHeight="1">
      <c r="A350" s="207">
        <v>346</v>
      </c>
      <c r="B350" s="112" t="s">
        <v>348</v>
      </c>
      <c r="C350" s="112" t="s">
        <v>77</v>
      </c>
      <c r="D350" s="112" t="s">
        <v>77</v>
      </c>
      <c r="E350" s="112" t="s">
        <v>76</v>
      </c>
      <c r="F350" s="112" t="s">
        <v>77</v>
      </c>
      <c r="G350" s="112" t="s">
        <v>77</v>
      </c>
      <c r="H350" s="112" t="s">
        <v>77</v>
      </c>
      <c r="I350" s="112" t="s">
        <v>77</v>
      </c>
      <c r="J350" s="112" t="s">
        <v>77</v>
      </c>
      <c r="K350" s="112" t="s">
        <v>77</v>
      </c>
      <c r="L350" s="112" t="s">
        <v>85</v>
      </c>
      <c r="M350" s="112" t="s">
        <v>372</v>
      </c>
      <c r="N350" s="118" t="s">
        <v>350</v>
      </c>
      <c r="O350" s="118" t="s">
        <v>111</v>
      </c>
      <c r="P350" s="118" t="s">
        <v>81</v>
      </c>
      <c r="Q350" s="118" t="s">
        <v>112</v>
      </c>
      <c r="R350" s="115" t="str">
        <f t="shared" si="40"/>
        <v>53</v>
      </c>
      <c r="S350" s="124">
        <v>530208</v>
      </c>
      <c r="T350" s="122" t="str">
        <f>VLOOKUP(S350,ITEM!$C$1:$D$156,2,FALSE)</f>
        <v>Servicio de Seguridad y Vigilancia</v>
      </c>
      <c r="U350" s="112" t="s">
        <v>83</v>
      </c>
      <c r="V350" s="114" t="s">
        <v>82</v>
      </c>
      <c r="W350" s="114" t="s">
        <v>84</v>
      </c>
      <c r="X350" s="114" t="s">
        <v>84</v>
      </c>
      <c r="Y350" s="224" t="e">
        <f>'Matriz POA 2024-TRABAJO'!#REF!</f>
        <v>#REF!</v>
      </c>
      <c r="Z350" s="224" t="e">
        <f>'Matriz POA 2024-TRABAJO'!#REF!</f>
        <v>#REF!</v>
      </c>
      <c r="AA350" s="224" t="e">
        <f>'Matriz POA 2024-TRABAJO'!#REF!</f>
        <v>#REF!</v>
      </c>
      <c r="AB350" s="223"/>
      <c r="AC350" s="223"/>
      <c r="AD350" s="223"/>
      <c r="AE350" s="223"/>
      <c r="AF350" s="223"/>
      <c r="AG350" s="223"/>
      <c r="AH350" s="223"/>
      <c r="AI350" s="223"/>
      <c r="AJ350" s="223"/>
      <c r="AK350" s="223"/>
      <c r="AL350" s="223"/>
      <c r="AM350" s="223"/>
      <c r="AN350" s="224" t="e">
        <f>SUM(#REF!)</f>
        <v>#REF!</v>
      </c>
      <c r="AO350" s="224">
        <f t="shared" si="41"/>
        <v>0</v>
      </c>
      <c r="AP350" s="224" t="e">
        <f t="shared" si="47"/>
        <v>#REF!</v>
      </c>
      <c r="AQ350" s="224"/>
      <c r="AR350" s="224"/>
      <c r="AS350" s="224"/>
      <c r="AT350" s="224" t="str">
        <f>IFERROR(VLOOKUP($A350,'Constancias POA'!$A$2:$DH$9993,17,FALSE),"")</f>
        <v/>
      </c>
      <c r="AU350" s="224" t="str">
        <f t="shared" si="42"/>
        <v/>
      </c>
      <c r="AV350" s="224" t="str">
        <f>IFERROR(VLOOKUP($A350,CP!$A$1:$U$7992,18,FALSE),"")</f>
        <v/>
      </c>
      <c r="AW350" s="224" t="str">
        <f>IFERROR(VLOOKUP($A350,CP!$A$1:$U$7992,19,FALSE),"")</f>
        <v/>
      </c>
      <c r="AX350" s="224" t="str">
        <f>IFERROR(VLOOKUP($A350,CP!$A$1:$U$7992,20,FALSE),"")</f>
        <v/>
      </c>
      <c r="AY350" s="224" t="str">
        <f>IFERROR(VLOOKUP($A350,CP!$A$1:$U$1,21,FALSE),"")</f>
        <v/>
      </c>
      <c r="AZ350" s="224" t="str">
        <f>IFERROR(VLOOKUP(A350,Devengado!$A$1:AJ1,35,FALSE),"")</f>
        <v/>
      </c>
      <c r="BA350" s="224" t="str">
        <f t="shared" si="43"/>
        <v/>
      </c>
      <c r="BB350" s="224" t="str">
        <f>IFERROR(AZ350/#REF!,"")</f>
        <v/>
      </c>
      <c r="BC350" s="224" t="str">
        <f>IFERROR(VLOOKUP($A350,Devengado!$A$1:$AI$1,22,FALSE),"")</f>
        <v/>
      </c>
      <c r="BD350" s="224" t="str">
        <f>IFERROR(VLOOKUP($A350,Devengado!$A$1:$AI$1,23,FALSE),"")</f>
        <v/>
      </c>
      <c r="BE350" s="224" t="str">
        <f>IFERROR(VLOOKUP($A350,Devengado!$A$1:$AI$1,24,FALSE),"")</f>
        <v/>
      </c>
      <c r="BF350" s="224" t="str">
        <f>IFERROR(VLOOKUP($A350,Devengado!$A$1:$AI$1,25,FALSE),"")</f>
        <v/>
      </c>
      <c r="BG350" s="224" t="str">
        <f>IFERROR(VLOOKUP($A350,Devengado!$A$1:$AI$1,26,FALSE),"")</f>
        <v/>
      </c>
      <c r="BH350" s="224" t="str">
        <f>IFERROR(VLOOKUP($A350,Devengado!$A$1:$AI$1,27,FALSE),"")</f>
        <v/>
      </c>
      <c r="BI350" s="224" t="str">
        <f>IFERROR(VLOOKUP($A350,Devengado!$A$1:$AI$1,28,FALSE),"")</f>
        <v/>
      </c>
      <c r="BJ350" s="224" t="str">
        <f>IFERROR(VLOOKUP($A350,Devengado!$A$1:$AI$1,29,FALSE),"")</f>
        <v/>
      </c>
      <c r="BK350" s="224" t="str">
        <f>IFERROR(VLOOKUP($A350,Devengado!$A$1:$AI$1,30,FALSE),"")</f>
        <v/>
      </c>
      <c r="BL350" s="224" t="str">
        <f>IFERROR(VLOOKUP($A350,Devengado!$A$1:$AI$1,31,FALSE),"")</f>
        <v/>
      </c>
      <c r="BM350" s="224" t="str">
        <f>IFERROR(VLOOKUP($A350,Devengado!$A$1:$AI$1,32,FALSE),"")</f>
        <v/>
      </c>
      <c r="BN350" s="224" t="str">
        <f>IFERROR(VLOOKUP($A350,Devengado!$A$1:$AI$1,33,FALSE),"")</f>
        <v/>
      </c>
      <c r="BO350" s="224">
        <f t="shared" si="44"/>
        <v>0</v>
      </c>
      <c r="BP350" s="224" t="str">
        <f t="shared" si="45"/>
        <v/>
      </c>
      <c r="BQ350" s="207"/>
      <c r="BR350" s="207" t="str">
        <f t="shared" si="46"/>
        <v>53</v>
      </c>
    </row>
    <row r="351" spans="1:70" s="225" customFormat="1" ht="25.5" customHeight="1">
      <c r="A351" s="207">
        <v>347</v>
      </c>
      <c r="B351" s="112" t="s">
        <v>348</v>
      </c>
      <c r="C351" s="112" t="s">
        <v>77</v>
      </c>
      <c r="D351" s="112" t="s">
        <v>77</v>
      </c>
      <c r="E351" s="112" t="s">
        <v>76</v>
      </c>
      <c r="F351" s="112" t="s">
        <v>77</v>
      </c>
      <c r="G351" s="112" t="s">
        <v>77</v>
      </c>
      <c r="H351" s="112" t="s">
        <v>77</v>
      </c>
      <c r="I351" s="112" t="s">
        <v>77</v>
      </c>
      <c r="J351" s="112" t="s">
        <v>77</v>
      </c>
      <c r="K351" s="112" t="s">
        <v>77</v>
      </c>
      <c r="L351" s="112" t="s">
        <v>78</v>
      </c>
      <c r="M351" s="113" t="s">
        <v>372</v>
      </c>
      <c r="N351" s="118" t="s">
        <v>350</v>
      </c>
      <c r="O351" s="118" t="s">
        <v>111</v>
      </c>
      <c r="P351" s="118" t="s">
        <v>81</v>
      </c>
      <c r="Q351" s="118" t="s">
        <v>112</v>
      </c>
      <c r="R351" s="115" t="str">
        <f t="shared" si="40"/>
        <v>53</v>
      </c>
      <c r="S351" s="112">
        <v>530208</v>
      </c>
      <c r="T351" s="122" t="str">
        <f>VLOOKUP(S351,ITEM!$C$1:$D$156,2,FALSE)</f>
        <v>Servicio de Seguridad y Vigilancia</v>
      </c>
      <c r="U351" s="112" t="s">
        <v>83</v>
      </c>
      <c r="V351" s="114" t="s">
        <v>82</v>
      </c>
      <c r="W351" s="114" t="s">
        <v>84</v>
      </c>
      <c r="X351" s="114" t="s">
        <v>84</v>
      </c>
      <c r="Y351" s="224" t="e">
        <f>'Matriz POA 2024-TRABAJO'!#REF!</f>
        <v>#REF!</v>
      </c>
      <c r="Z351" s="224" t="e">
        <f>'Matriz POA 2024-TRABAJO'!#REF!</f>
        <v>#REF!</v>
      </c>
      <c r="AA351" s="272" t="e">
        <f>'Matriz POA 2024-TRABAJO'!#REF!</f>
        <v>#REF!</v>
      </c>
      <c r="AB351" s="271">
        <v>48000</v>
      </c>
      <c r="AC351" s="271">
        <v>48000</v>
      </c>
      <c r="AD351" s="271">
        <v>48000</v>
      </c>
      <c r="AE351" s="271">
        <v>48000</v>
      </c>
      <c r="AF351" s="271">
        <v>48000</v>
      </c>
      <c r="AG351" s="271">
        <v>48000</v>
      </c>
      <c r="AH351" s="271">
        <v>48000</v>
      </c>
      <c r="AI351" s="271">
        <v>48000</v>
      </c>
      <c r="AJ351" s="271">
        <v>48000</v>
      </c>
      <c r="AK351" s="273">
        <v>48000</v>
      </c>
      <c r="AL351" s="273">
        <v>0</v>
      </c>
      <c r="AM351" s="273">
        <v>0</v>
      </c>
      <c r="AN351" s="272" t="e">
        <f>SUM(#REF!)</f>
        <v>#REF!</v>
      </c>
      <c r="AO351" s="224">
        <f t="shared" si="41"/>
        <v>480000</v>
      </c>
      <c r="AP351" s="224" t="e">
        <f t="shared" si="47"/>
        <v>#REF!</v>
      </c>
      <c r="AQ351" s="224"/>
      <c r="AR351" s="224"/>
      <c r="AS351" s="224"/>
      <c r="AT351" s="224" t="str">
        <f>IFERROR(VLOOKUP($A351,'Constancias POA'!$A$2:$DH$9993,17,FALSE),"")</f>
        <v/>
      </c>
      <c r="AU351" s="224" t="str">
        <f t="shared" si="42"/>
        <v/>
      </c>
      <c r="AV351" s="224" t="str">
        <f>IFERROR(VLOOKUP($A351,CP!$A$1:$U$7992,18,FALSE),"")</f>
        <v/>
      </c>
      <c r="AW351" s="224" t="str">
        <f>IFERROR(VLOOKUP($A351,CP!$A$1:$U$7992,19,FALSE),"")</f>
        <v/>
      </c>
      <c r="AX351" s="224" t="str">
        <f>IFERROR(VLOOKUP($A351,CP!$A$1:$U$7992,20,FALSE),"")</f>
        <v/>
      </c>
      <c r="AY351" s="224" t="str">
        <f>IFERROR(VLOOKUP($A351,CP!$A$1:$U$1,21,FALSE),"")</f>
        <v/>
      </c>
      <c r="AZ351" s="224" t="str">
        <f>IFERROR(VLOOKUP(A351,Devengado!$A$1:AJ1,35,FALSE),"")</f>
        <v/>
      </c>
      <c r="BA351" s="224" t="str">
        <f t="shared" si="43"/>
        <v/>
      </c>
      <c r="BB351" s="224" t="str">
        <f>IFERROR(AZ351/#REF!,"")</f>
        <v/>
      </c>
      <c r="BC351" s="224" t="str">
        <f>IFERROR(VLOOKUP($A351,Devengado!$A$1:$AI$1,22,FALSE),"")</f>
        <v/>
      </c>
      <c r="BD351" s="224" t="str">
        <f>IFERROR(VLOOKUP($A351,Devengado!$A$1:$AI$1,23,FALSE),"")</f>
        <v/>
      </c>
      <c r="BE351" s="224" t="str">
        <f>IFERROR(VLOOKUP($A351,Devengado!$A$1:$AI$1,24,FALSE),"")</f>
        <v/>
      </c>
      <c r="BF351" s="224" t="str">
        <f>IFERROR(VLOOKUP($A351,Devengado!$A$1:$AI$1,25,FALSE),"")</f>
        <v/>
      </c>
      <c r="BG351" s="224" t="str">
        <f>IFERROR(VLOOKUP($A351,Devengado!$A$1:$AI$1,26,FALSE),"")</f>
        <v/>
      </c>
      <c r="BH351" s="224" t="str">
        <f>IFERROR(VLOOKUP($A351,Devengado!$A$1:$AI$1,27,FALSE),"")</f>
        <v/>
      </c>
      <c r="BI351" s="224" t="str">
        <f>IFERROR(VLOOKUP($A351,Devengado!$A$1:$AI$1,28,FALSE),"")</f>
        <v/>
      </c>
      <c r="BJ351" s="224" t="str">
        <f>IFERROR(VLOOKUP($A351,Devengado!$A$1:$AI$1,29,FALSE),"")</f>
        <v/>
      </c>
      <c r="BK351" s="224" t="str">
        <f>IFERROR(VLOOKUP($A351,Devengado!$A$1:$AI$1,30,FALSE),"")</f>
        <v/>
      </c>
      <c r="BL351" s="224" t="str">
        <f>IFERROR(VLOOKUP($A351,Devengado!$A$1:$AI$1,31,FALSE),"")</f>
        <v/>
      </c>
      <c r="BM351" s="224" t="str">
        <f>IFERROR(VLOOKUP($A351,Devengado!$A$1:$AI$1,32,FALSE),"")</f>
        <v/>
      </c>
      <c r="BN351" s="224" t="str">
        <f>IFERROR(VLOOKUP($A351,Devengado!$A$1:$AI$1,33,FALSE),"")</f>
        <v/>
      </c>
      <c r="BO351" s="224">
        <f t="shared" si="44"/>
        <v>0</v>
      </c>
      <c r="BP351" s="224" t="str">
        <f t="shared" si="45"/>
        <v/>
      </c>
      <c r="BQ351" s="207"/>
      <c r="BR351" s="207" t="str">
        <f t="shared" si="46"/>
        <v>53</v>
      </c>
    </row>
    <row r="352" spans="1:70" s="225" customFormat="1" ht="25.5" customHeight="1">
      <c r="A352" s="207">
        <v>348</v>
      </c>
      <c r="B352" s="112" t="s">
        <v>348</v>
      </c>
      <c r="C352" s="112" t="s">
        <v>77</v>
      </c>
      <c r="D352" s="112" t="s">
        <v>77</v>
      </c>
      <c r="E352" s="112" t="s">
        <v>76</v>
      </c>
      <c r="F352" s="112" t="s">
        <v>77</v>
      </c>
      <c r="G352" s="112" t="s">
        <v>77</v>
      </c>
      <c r="H352" s="112" t="s">
        <v>77</v>
      </c>
      <c r="I352" s="112" t="s">
        <v>77</v>
      </c>
      <c r="J352" s="112" t="s">
        <v>77</v>
      </c>
      <c r="K352" s="112" t="s">
        <v>77</v>
      </c>
      <c r="L352" s="112" t="s">
        <v>87</v>
      </c>
      <c r="M352" s="113" t="s">
        <v>373</v>
      </c>
      <c r="N352" s="118" t="s">
        <v>350</v>
      </c>
      <c r="O352" s="118" t="s">
        <v>111</v>
      </c>
      <c r="P352" s="118" t="s">
        <v>81</v>
      </c>
      <c r="Q352" s="118" t="s">
        <v>112</v>
      </c>
      <c r="R352" s="115" t="str">
        <f t="shared" si="40"/>
        <v>53</v>
      </c>
      <c r="S352" s="112">
        <v>530209</v>
      </c>
      <c r="T352" s="122" t="str">
        <f>VLOOKUP(S352,ITEM!$C$1:$D$156,2,FALSE)</f>
        <v>Servicios de Aseo, Lavado de Vestimenta de Trabajo, Fumigación, Desinfección,  Limpieza de Instalaciones, manejo
de desechos contaminados, recuperación y clasificación de materiales reciclables.</v>
      </c>
      <c r="U352" s="112" t="s">
        <v>83</v>
      </c>
      <c r="V352" s="114" t="s">
        <v>82</v>
      </c>
      <c r="W352" s="114" t="s">
        <v>84</v>
      </c>
      <c r="X352" s="114" t="s">
        <v>84</v>
      </c>
      <c r="Y352" s="224" t="e">
        <f>'Matriz POA 2024-TRABAJO'!#REF!</f>
        <v>#REF!</v>
      </c>
      <c r="Z352" s="224" t="e">
        <f>'Matriz POA 2024-TRABAJO'!#REF!</f>
        <v>#REF!</v>
      </c>
      <c r="AA352" s="224" t="e">
        <f>'Matriz POA 2024-TRABAJO'!#REF!</f>
        <v>#REF!</v>
      </c>
      <c r="AB352" s="279">
        <v>12771</v>
      </c>
      <c r="AC352" s="279">
        <v>0</v>
      </c>
      <c r="AD352" s="279">
        <v>0</v>
      </c>
      <c r="AE352" s="279">
        <v>0</v>
      </c>
      <c r="AF352" s="279">
        <v>0</v>
      </c>
      <c r="AG352" s="279">
        <v>0</v>
      </c>
      <c r="AH352" s="279">
        <v>0</v>
      </c>
      <c r="AI352" s="279">
        <v>0</v>
      </c>
      <c r="AJ352" s="279">
        <v>0</v>
      </c>
      <c r="AK352" s="279">
        <v>0</v>
      </c>
      <c r="AL352" s="279">
        <v>0</v>
      </c>
      <c r="AM352" s="279">
        <v>0</v>
      </c>
      <c r="AN352" s="224" t="e">
        <f>SUM(#REF!)</f>
        <v>#REF!</v>
      </c>
      <c r="AO352" s="224">
        <f t="shared" si="41"/>
        <v>12771</v>
      </c>
      <c r="AP352" s="224" t="e">
        <f t="shared" si="47"/>
        <v>#REF!</v>
      </c>
      <c r="AQ352" s="224"/>
      <c r="AR352" s="224"/>
      <c r="AS352" s="224"/>
      <c r="AT352" s="224" t="str">
        <f>IFERROR(VLOOKUP($A352,'Constancias POA'!$A$2:$DH$9993,17,FALSE),"")</f>
        <v/>
      </c>
      <c r="AU352" s="224" t="str">
        <f t="shared" si="42"/>
        <v/>
      </c>
      <c r="AV352" s="224" t="str">
        <f>IFERROR(VLOOKUP($A352,CP!$A$1:$U$7992,18,FALSE),"")</f>
        <v/>
      </c>
      <c r="AW352" s="224" t="str">
        <f>IFERROR(VLOOKUP($A352,CP!$A$1:$U$7992,19,FALSE),"")</f>
        <v/>
      </c>
      <c r="AX352" s="224" t="str">
        <f>IFERROR(VLOOKUP($A352,CP!$A$1:$U$7992,20,FALSE),"")</f>
        <v/>
      </c>
      <c r="AY352" s="224" t="str">
        <f>IFERROR(VLOOKUP($A352,CP!$A$1:$U$1,21,FALSE),"")</f>
        <v/>
      </c>
      <c r="AZ352" s="224" t="str">
        <f>IFERROR(VLOOKUP(A352,Devengado!$A$1:AJ1,35,FALSE),"")</f>
        <v/>
      </c>
      <c r="BA352" s="224" t="str">
        <f t="shared" si="43"/>
        <v/>
      </c>
      <c r="BB352" s="224" t="str">
        <f>IFERROR(AZ352/#REF!,"")</f>
        <v/>
      </c>
      <c r="BC352" s="224" t="str">
        <f>IFERROR(VLOOKUP($A352,Devengado!$A$1:$AI$1,22,FALSE),"")</f>
        <v/>
      </c>
      <c r="BD352" s="224" t="str">
        <f>IFERROR(VLOOKUP($A352,Devengado!$A$1:$AI$1,23,FALSE),"")</f>
        <v/>
      </c>
      <c r="BE352" s="224" t="str">
        <f>IFERROR(VLOOKUP($A352,Devengado!$A$1:$AI$1,24,FALSE),"")</f>
        <v/>
      </c>
      <c r="BF352" s="224" t="str">
        <f>IFERROR(VLOOKUP($A352,Devengado!$A$1:$AI$1,25,FALSE),"")</f>
        <v/>
      </c>
      <c r="BG352" s="224" t="str">
        <f>IFERROR(VLOOKUP($A352,Devengado!$A$1:$AI$1,26,FALSE),"")</f>
        <v/>
      </c>
      <c r="BH352" s="224" t="str">
        <f>IFERROR(VLOOKUP($A352,Devengado!$A$1:$AI$1,27,FALSE),"")</f>
        <v/>
      </c>
      <c r="BI352" s="224" t="str">
        <f>IFERROR(VLOOKUP($A352,Devengado!$A$1:$AI$1,28,FALSE),"")</f>
        <v/>
      </c>
      <c r="BJ352" s="224" t="str">
        <f>IFERROR(VLOOKUP($A352,Devengado!$A$1:$AI$1,29,FALSE),"")</f>
        <v/>
      </c>
      <c r="BK352" s="224" t="str">
        <f>IFERROR(VLOOKUP($A352,Devengado!$A$1:$AI$1,30,FALSE),"")</f>
        <v/>
      </c>
      <c r="BL352" s="224" t="str">
        <f>IFERROR(VLOOKUP($A352,Devengado!$A$1:$AI$1,31,FALSE),"")</f>
        <v/>
      </c>
      <c r="BM352" s="224" t="str">
        <f>IFERROR(VLOOKUP($A352,Devengado!$A$1:$AI$1,32,FALSE),"")</f>
        <v/>
      </c>
      <c r="BN352" s="224" t="str">
        <f>IFERROR(VLOOKUP($A352,Devengado!$A$1:$AI$1,33,FALSE),"")</f>
        <v/>
      </c>
      <c r="BO352" s="224">
        <f t="shared" si="44"/>
        <v>0</v>
      </c>
      <c r="BP352" s="224" t="str">
        <f t="shared" si="45"/>
        <v/>
      </c>
      <c r="BQ352" s="207"/>
      <c r="BR352" s="207" t="str">
        <f t="shared" si="46"/>
        <v>53</v>
      </c>
    </row>
    <row r="353" spans="1:70" s="225" customFormat="1" ht="25.5" customHeight="1">
      <c r="A353" s="207">
        <v>349</v>
      </c>
      <c r="B353" s="112" t="s">
        <v>348</v>
      </c>
      <c r="C353" s="112" t="s">
        <v>77</v>
      </c>
      <c r="D353" s="112" t="s">
        <v>77</v>
      </c>
      <c r="E353" s="112" t="s">
        <v>76</v>
      </c>
      <c r="F353" s="112" t="s">
        <v>77</v>
      </c>
      <c r="G353" s="112" t="s">
        <v>77</v>
      </c>
      <c r="H353" s="112" t="s">
        <v>77</v>
      </c>
      <c r="I353" s="112" t="s">
        <v>77</v>
      </c>
      <c r="J353" s="112" t="s">
        <v>77</v>
      </c>
      <c r="K353" s="112" t="s">
        <v>77</v>
      </c>
      <c r="L353" s="112" t="s">
        <v>85</v>
      </c>
      <c r="M353" s="113" t="s">
        <v>373</v>
      </c>
      <c r="N353" s="118" t="s">
        <v>350</v>
      </c>
      <c r="O353" s="118" t="s">
        <v>111</v>
      </c>
      <c r="P353" s="118" t="s">
        <v>81</v>
      </c>
      <c r="Q353" s="118" t="s">
        <v>112</v>
      </c>
      <c r="R353" s="115" t="str">
        <f t="shared" si="40"/>
        <v>53</v>
      </c>
      <c r="S353" s="112">
        <v>530209</v>
      </c>
      <c r="T353" s="122" t="str">
        <f>VLOOKUP(S353,ITEM!$C$1:$D$156,2,FALSE)</f>
        <v>Servicios de Aseo, Lavado de Vestimenta de Trabajo, Fumigación, Desinfección,  Limpieza de Instalaciones, manejo
de desechos contaminados, recuperación y clasificación de materiales reciclables.</v>
      </c>
      <c r="U353" s="112" t="s">
        <v>83</v>
      </c>
      <c r="V353" s="114" t="s">
        <v>82</v>
      </c>
      <c r="W353" s="114" t="s">
        <v>84</v>
      </c>
      <c r="X353" s="114" t="s">
        <v>84</v>
      </c>
      <c r="Y353" s="224" t="e">
        <f>'Matriz POA 2024-TRABAJO'!#REF!</f>
        <v>#REF!</v>
      </c>
      <c r="Z353" s="224" t="e">
        <f>'Matriz POA 2024-TRABAJO'!#REF!</f>
        <v>#REF!</v>
      </c>
      <c r="AA353" s="224" t="e">
        <f>'Matriz POA 2024-TRABAJO'!#REF!</f>
        <v>#REF!</v>
      </c>
      <c r="AB353" s="279">
        <v>0</v>
      </c>
      <c r="AC353" s="279">
        <v>0</v>
      </c>
      <c r="AD353" s="279">
        <v>0</v>
      </c>
      <c r="AE353" s="279">
        <v>0</v>
      </c>
      <c r="AF353" s="279">
        <v>0</v>
      </c>
      <c r="AG353" s="279">
        <v>0</v>
      </c>
      <c r="AH353" s="279">
        <v>0</v>
      </c>
      <c r="AI353" s="279">
        <v>0</v>
      </c>
      <c r="AJ353" s="279">
        <v>0</v>
      </c>
      <c r="AK353" s="279">
        <v>0</v>
      </c>
      <c r="AL353" s="279">
        <v>0</v>
      </c>
      <c r="AM353" s="279">
        <v>0</v>
      </c>
      <c r="AN353" s="224" t="e">
        <f>SUM(#REF!)</f>
        <v>#REF!</v>
      </c>
      <c r="AO353" s="224">
        <f t="shared" si="41"/>
        <v>0</v>
      </c>
      <c r="AP353" s="224" t="e">
        <f t="shared" si="47"/>
        <v>#REF!</v>
      </c>
      <c r="AQ353" s="224"/>
      <c r="AR353" s="224"/>
      <c r="AS353" s="224"/>
      <c r="AT353" s="224" t="str">
        <f>IFERROR(VLOOKUP($A353,'Constancias POA'!$A$2:$DH$9993,17,FALSE),"")</f>
        <v/>
      </c>
      <c r="AU353" s="224" t="str">
        <f t="shared" si="42"/>
        <v/>
      </c>
      <c r="AV353" s="224" t="str">
        <f>IFERROR(VLOOKUP($A353,CP!$A$1:$U$7992,18,FALSE),"")</f>
        <v/>
      </c>
      <c r="AW353" s="224" t="str">
        <f>IFERROR(VLOOKUP($A353,CP!$A$1:$U$7992,19,FALSE),"")</f>
        <v/>
      </c>
      <c r="AX353" s="224" t="str">
        <f>IFERROR(VLOOKUP($A353,CP!$A$1:$U$7992,20,FALSE),"")</f>
        <v/>
      </c>
      <c r="AY353" s="224" t="str">
        <f>IFERROR(VLOOKUP($A353,CP!$A$1:$U$1,21,FALSE),"")</f>
        <v/>
      </c>
      <c r="AZ353" s="224" t="str">
        <f>IFERROR(VLOOKUP(A353,Devengado!$A$1:AJ1,35,FALSE),"")</f>
        <v/>
      </c>
      <c r="BA353" s="224" t="str">
        <f t="shared" si="43"/>
        <v/>
      </c>
      <c r="BB353" s="224" t="str">
        <f>IFERROR(AZ353/#REF!,"")</f>
        <v/>
      </c>
      <c r="BC353" s="224" t="str">
        <f>IFERROR(VLOOKUP($A353,Devengado!$A$1:$AI$1,22,FALSE),"")</f>
        <v/>
      </c>
      <c r="BD353" s="224" t="str">
        <f>IFERROR(VLOOKUP($A353,Devengado!$A$1:$AI$1,23,FALSE),"")</f>
        <v/>
      </c>
      <c r="BE353" s="224" t="str">
        <f>IFERROR(VLOOKUP($A353,Devengado!$A$1:$AI$1,24,FALSE),"")</f>
        <v/>
      </c>
      <c r="BF353" s="224" t="str">
        <f>IFERROR(VLOOKUP($A353,Devengado!$A$1:$AI$1,25,FALSE),"")</f>
        <v/>
      </c>
      <c r="BG353" s="224" t="str">
        <f>IFERROR(VLOOKUP($A353,Devengado!$A$1:$AI$1,26,FALSE),"")</f>
        <v/>
      </c>
      <c r="BH353" s="224" t="str">
        <f>IFERROR(VLOOKUP($A353,Devengado!$A$1:$AI$1,27,FALSE),"")</f>
        <v/>
      </c>
      <c r="BI353" s="224" t="str">
        <f>IFERROR(VLOOKUP($A353,Devengado!$A$1:$AI$1,28,FALSE),"")</f>
        <v/>
      </c>
      <c r="BJ353" s="224" t="str">
        <f>IFERROR(VLOOKUP($A353,Devengado!$A$1:$AI$1,29,FALSE),"")</f>
        <v/>
      </c>
      <c r="BK353" s="224" t="str">
        <f>IFERROR(VLOOKUP($A353,Devengado!$A$1:$AI$1,30,FALSE),"")</f>
        <v/>
      </c>
      <c r="BL353" s="224" t="str">
        <f>IFERROR(VLOOKUP($A353,Devengado!$A$1:$AI$1,31,FALSE),"")</f>
        <v/>
      </c>
      <c r="BM353" s="224" t="str">
        <f>IFERROR(VLOOKUP($A353,Devengado!$A$1:$AI$1,32,FALSE),"")</f>
        <v/>
      </c>
      <c r="BN353" s="224" t="str">
        <f>IFERROR(VLOOKUP($A353,Devengado!$A$1:$AI$1,33,FALSE),"")</f>
        <v/>
      </c>
      <c r="BO353" s="224">
        <f t="shared" si="44"/>
        <v>0</v>
      </c>
      <c r="BP353" s="224" t="str">
        <f t="shared" si="45"/>
        <v/>
      </c>
      <c r="BQ353" s="207"/>
      <c r="BR353" s="207" t="str">
        <f t="shared" si="46"/>
        <v>53</v>
      </c>
    </row>
    <row r="354" spans="1:70" s="225" customFormat="1" ht="25.5" customHeight="1">
      <c r="A354" s="207">
        <v>350</v>
      </c>
      <c r="B354" s="112" t="s">
        <v>348</v>
      </c>
      <c r="C354" s="112" t="s">
        <v>77</v>
      </c>
      <c r="D354" s="112" t="s">
        <v>77</v>
      </c>
      <c r="E354" s="112" t="s">
        <v>76</v>
      </c>
      <c r="F354" s="112" t="s">
        <v>77</v>
      </c>
      <c r="G354" s="112" t="s">
        <v>77</v>
      </c>
      <c r="H354" s="112" t="s">
        <v>77</v>
      </c>
      <c r="I354" s="112" t="s">
        <v>77</v>
      </c>
      <c r="J354" s="112" t="s">
        <v>77</v>
      </c>
      <c r="K354" s="112" t="s">
        <v>77</v>
      </c>
      <c r="L354" s="112" t="s">
        <v>78</v>
      </c>
      <c r="M354" s="113" t="s">
        <v>373</v>
      </c>
      <c r="N354" s="118" t="s">
        <v>350</v>
      </c>
      <c r="O354" s="118" t="s">
        <v>111</v>
      </c>
      <c r="P354" s="118" t="s">
        <v>81</v>
      </c>
      <c r="Q354" s="118" t="s">
        <v>112</v>
      </c>
      <c r="R354" s="115" t="str">
        <f t="shared" si="40"/>
        <v>53</v>
      </c>
      <c r="S354" s="112">
        <v>530209</v>
      </c>
      <c r="T354" s="122" t="str">
        <f>VLOOKUP(S354,ITEM!$C$1:$D$156,2,FALSE)</f>
        <v>Servicios de Aseo, Lavado de Vestimenta de Trabajo, Fumigación, Desinfección,  Limpieza de Instalaciones, manejo
de desechos contaminados, recuperación y clasificación de materiales reciclables.</v>
      </c>
      <c r="U354" s="112" t="s">
        <v>83</v>
      </c>
      <c r="V354" s="114" t="s">
        <v>82</v>
      </c>
      <c r="W354" s="114" t="s">
        <v>84</v>
      </c>
      <c r="X354" s="114" t="s">
        <v>84</v>
      </c>
      <c r="Y354" s="224" t="e">
        <f>'Matriz POA 2024-TRABAJO'!#REF!</f>
        <v>#REF!</v>
      </c>
      <c r="Z354" s="224" t="e">
        <f>'Matriz POA 2024-TRABAJO'!#REF!</f>
        <v>#REF!</v>
      </c>
      <c r="AA354" s="272" t="e">
        <f>'Matriz POA 2024-TRABAJO'!#REF!</f>
        <v>#REF!</v>
      </c>
      <c r="AB354" s="273">
        <v>11175.27</v>
      </c>
      <c r="AC354" s="273">
        <v>11175.27</v>
      </c>
      <c r="AD354" s="273">
        <v>11175.27</v>
      </c>
      <c r="AE354" s="273">
        <v>11175.27</v>
      </c>
      <c r="AF354" s="273">
        <v>11175.27</v>
      </c>
      <c r="AG354" s="273">
        <v>11175.27</v>
      </c>
      <c r="AH354" s="273">
        <v>11175.27</v>
      </c>
      <c r="AI354" s="273">
        <v>11175.27</v>
      </c>
      <c r="AJ354" s="273">
        <v>11175.27</v>
      </c>
      <c r="AK354" s="273">
        <v>11175.27</v>
      </c>
      <c r="AL354" s="273">
        <v>11175.27</v>
      </c>
      <c r="AM354" s="273">
        <v>0</v>
      </c>
      <c r="AN354" s="272" t="e">
        <f>SUM(#REF!)</f>
        <v>#REF!</v>
      </c>
      <c r="AO354" s="224">
        <f t="shared" si="41"/>
        <v>122927.97000000003</v>
      </c>
      <c r="AP354" s="224" t="e">
        <f t="shared" si="47"/>
        <v>#REF!</v>
      </c>
      <c r="AQ354" s="224"/>
      <c r="AR354" s="224"/>
      <c r="AS354" s="224"/>
      <c r="AT354" s="224" t="str">
        <f>IFERROR(VLOOKUP($A354,'Constancias POA'!$A$2:$DH$9993,17,FALSE),"")</f>
        <v/>
      </c>
      <c r="AU354" s="224" t="str">
        <f t="shared" si="42"/>
        <v/>
      </c>
      <c r="AV354" s="224" t="str">
        <f>IFERROR(VLOOKUP($A354,CP!$A$1:$U$7992,18,FALSE),"")</f>
        <v/>
      </c>
      <c r="AW354" s="224" t="str">
        <f>IFERROR(VLOOKUP($A354,CP!$A$1:$U$7992,19,FALSE),"")</f>
        <v/>
      </c>
      <c r="AX354" s="224" t="str">
        <f>IFERROR(VLOOKUP($A354,CP!$A$1:$U$7992,20,FALSE),"")</f>
        <v/>
      </c>
      <c r="AY354" s="224" t="str">
        <f>IFERROR(VLOOKUP($A354,CP!$A$1:$U$1,21,FALSE),"")</f>
        <v/>
      </c>
      <c r="AZ354" s="224" t="str">
        <f>IFERROR(VLOOKUP(A354,Devengado!$A$1:AJ1,35,FALSE),"")</f>
        <v/>
      </c>
      <c r="BA354" s="224" t="str">
        <f t="shared" si="43"/>
        <v/>
      </c>
      <c r="BB354" s="224" t="str">
        <f>IFERROR(AZ354/#REF!,"")</f>
        <v/>
      </c>
      <c r="BC354" s="224" t="str">
        <f>IFERROR(VLOOKUP($A354,Devengado!$A$1:$AI$1,22,FALSE),"")</f>
        <v/>
      </c>
      <c r="BD354" s="224" t="str">
        <f>IFERROR(VLOOKUP($A354,Devengado!$A$1:$AI$1,23,FALSE),"")</f>
        <v/>
      </c>
      <c r="BE354" s="224" t="str">
        <f>IFERROR(VLOOKUP($A354,Devengado!$A$1:$AI$1,24,FALSE),"")</f>
        <v/>
      </c>
      <c r="BF354" s="224" t="str">
        <f>IFERROR(VLOOKUP($A354,Devengado!$A$1:$AI$1,25,FALSE),"")</f>
        <v/>
      </c>
      <c r="BG354" s="224" t="str">
        <f>IFERROR(VLOOKUP($A354,Devengado!$A$1:$AI$1,26,FALSE),"")</f>
        <v/>
      </c>
      <c r="BH354" s="224" t="str">
        <f>IFERROR(VLOOKUP($A354,Devengado!$A$1:$AI$1,27,FALSE),"")</f>
        <v/>
      </c>
      <c r="BI354" s="224" t="str">
        <f>IFERROR(VLOOKUP($A354,Devengado!$A$1:$AI$1,28,FALSE),"")</f>
        <v/>
      </c>
      <c r="BJ354" s="224" t="str">
        <f>IFERROR(VLOOKUP($A354,Devengado!$A$1:$AI$1,29,FALSE),"")</f>
        <v/>
      </c>
      <c r="BK354" s="224" t="str">
        <f>IFERROR(VLOOKUP($A354,Devengado!$A$1:$AI$1,30,FALSE),"")</f>
        <v/>
      </c>
      <c r="BL354" s="224" t="str">
        <f>IFERROR(VLOOKUP($A354,Devengado!$A$1:$AI$1,31,FALSE),"")</f>
        <v/>
      </c>
      <c r="BM354" s="224" t="str">
        <f>IFERROR(VLOOKUP($A354,Devengado!$A$1:$AI$1,32,FALSE),"")</f>
        <v/>
      </c>
      <c r="BN354" s="224" t="str">
        <f>IFERROR(VLOOKUP($A354,Devengado!$A$1:$AI$1,33,FALSE),"")</f>
        <v/>
      </c>
      <c r="BO354" s="224">
        <f t="shared" si="44"/>
        <v>0</v>
      </c>
      <c r="BP354" s="224" t="str">
        <f t="shared" si="45"/>
        <v/>
      </c>
      <c r="BQ354" s="207"/>
      <c r="BR354" s="207" t="str">
        <f t="shared" si="46"/>
        <v>53</v>
      </c>
    </row>
    <row r="355" spans="1:70" s="225" customFormat="1" ht="25.5" customHeight="1">
      <c r="A355" s="207">
        <v>351</v>
      </c>
      <c r="B355" s="112" t="s">
        <v>348</v>
      </c>
      <c r="C355" s="112" t="s">
        <v>77</v>
      </c>
      <c r="D355" s="112" t="s">
        <v>77</v>
      </c>
      <c r="E355" s="112" t="s">
        <v>76</v>
      </c>
      <c r="F355" s="112" t="s">
        <v>77</v>
      </c>
      <c r="G355" s="112" t="s">
        <v>77</v>
      </c>
      <c r="H355" s="112" t="s">
        <v>77</v>
      </c>
      <c r="I355" s="112" t="s">
        <v>77</v>
      </c>
      <c r="J355" s="112" t="s">
        <v>77</v>
      </c>
      <c r="K355" s="112" t="s">
        <v>77</v>
      </c>
      <c r="L355" s="112" t="s">
        <v>85</v>
      </c>
      <c r="M355" s="113" t="s">
        <v>374</v>
      </c>
      <c r="N355" s="118" t="s">
        <v>350</v>
      </c>
      <c r="O355" s="118" t="s">
        <v>111</v>
      </c>
      <c r="P355" s="118" t="s">
        <v>81</v>
      </c>
      <c r="Q355" s="118" t="s">
        <v>112</v>
      </c>
      <c r="R355" s="115" t="str">
        <f t="shared" si="40"/>
        <v>53</v>
      </c>
      <c r="S355" s="112">
        <v>530255</v>
      </c>
      <c r="T355" s="122" t="str">
        <f>VLOOKUP(S355,ITEM!$C$1:$D$156,2,FALSE)</f>
        <v>Combustibles</v>
      </c>
      <c r="U355" s="112" t="s">
        <v>83</v>
      </c>
      <c r="V355" s="114" t="s">
        <v>82</v>
      </c>
      <c r="W355" s="114" t="s">
        <v>84</v>
      </c>
      <c r="X355" s="114" t="s">
        <v>84</v>
      </c>
      <c r="Y355" s="224" t="e">
        <f>'Matriz POA 2024-TRABAJO'!#REF!</f>
        <v>#REF!</v>
      </c>
      <c r="Z355" s="224" t="e">
        <f>'Matriz POA 2024-TRABAJO'!#REF!</f>
        <v>#REF!</v>
      </c>
      <c r="AA355" s="272" t="e">
        <f>'Matriz POA 2024-TRABAJO'!#REF!</f>
        <v>#REF!</v>
      </c>
      <c r="AB355" s="273">
        <v>0</v>
      </c>
      <c r="AC355" s="273">
        <v>0</v>
      </c>
      <c r="AD355" s="273">
        <v>2000</v>
      </c>
      <c r="AE355" s="273">
        <v>0</v>
      </c>
      <c r="AF355" s="273">
        <v>0</v>
      </c>
      <c r="AG355" s="273">
        <v>0</v>
      </c>
      <c r="AH355" s="273">
        <v>0</v>
      </c>
      <c r="AI355" s="273">
        <v>0</v>
      </c>
      <c r="AJ355" s="273">
        <v>0</v>
      </c>
      <c r="AK355" s="273">
        <v>0</v>
      </c>
      <c r="AL355" s="273">
        <v>0</v>
      </c>
      <c r="AM355" s="273">
        <v>0</v>
      </c>
      <c r="AN355" s="272" t="e">
        <f>SUM(#REF!)</f>
        <v>#REF!</v>
      </c>
      <c r="AO355" s="224">
        <f t="shared" si="41"/>
        <v>2000</v>
      </c>
      <c r="AP355" s="224" t="e">
        <f t="shared" si="47"/>
        <v>#REF!</v>
      </c>
      <c r="AQ355" s="224"/>
      <c r="AR355" s="224"/>
      <c r="AS355" s="224"/>
      <c r="AT355" s="224" t="str">
        <f>IFERROR(VLOOKUP($A355,'Constancias POA'!$A$2:$DH$9993,17,FALSE),"")</f>
        <v/>
      </c>
      <c r="AU355" s="224" t="str">
        <f t="shared" si="42"/>
        <v/>
      </c>
      <c r="AV355" s="224" t="str">
        <f>IFERROR(VLOOKUP($A355,CP!$A$1:$U$7992,18,FALSE),"")</f>
        <v/>
      </c>
      <c r="AW355" s="224" t="str">
        <f>IFERROR(VLOOKUP($A355,CP!$A$1:$U$7992,19,FALSE),"")</f>
        <v/>
      </c>
      <c r="AX355" s="224" t="str">
        <f>IFERROR(VLOOKUP($A355,CP!$A$1:$U$7992,20,FALSE),"")</f>
        <v/>
      </c>
      <c r="AY355" s="224" t="str">
        <f>IFERROR(VLOOKUP($A355,CP!$A$1:$U$1,21,FALSE),"")</f>
        <v/>
      </c>
      <c r="AZ355" s="224" t="str">
        <f>IFERROR(VLOOKUP(A355,Devengado!$A$1:AJ1,35,FALSE),"")</f>
        <v/>
      </c>
      <c r="BA355" s="224" t="str">
        <f t="shared" si="43"/>
        <v/>
      </c>
      <c r="BB355" s="224" t="str">
        <f>IFERROR(AZ355/#REF!,"")</f>
        <v/>
      </c>
      <c r="BC355" s="224" t="str">
        <f>IFERROR(VLOOKUP($A355,Devengado!$A$1:$AI$1,22,FALSE),"")</f>
        <v/>
      </c>
      <c r="BD355" s="224" t="str">
        <f>IFERROR(VLOOKUP($A355,Devengado!$A$1:$AI$1,23,FALSE),"")</f>
        <v/>
      </c>
      <c r="BE355" s="224" t="str">
        <f>IFERROR(VLOOKUP($A355,Devengado!$A$1:$AI$1,24,FALSE),"")</f>
        <v/>
      </c>
      <c r="BF355" s="224" t="str">
        <f>IFERROR(VLOOKUP($A355,Devengado!$A$1:$AI$1,25,FALSE),"")</f>
        <v/>
      </c>
      <c r="BG355" s="224" t="str">
        <f>IFERROR(VLOOKUP($A355,Devengado!$A$1:$AI$1,26,FALSE),"")</f>
        <v/>
      </c>
      <c r="BH355" s="224" t="str">
        <f>IFERROR(VLOOKUP($A355,Devengado!$A$1:$AI$1,27,FALSE),"")</f>
        <v/>
      </c>
      <c r="BI355" s="224" t="str">
        <f>IFERROR(VLOOKUP($A355,Devengado!$A$1:$AI$1,28,FALSE),"")</f>
        <v/>
      </c>
      <c r="BJ355" s="224" t="str">
        <f>IFERROR(VLOOKUP($A355,Devengado!$A$1:$AI$1,29,FALSE),"")</f>
        <v/>
      </c>
      <c r="BK355" s="224" t="str">
        <f>IFERROR(VLOOKUP($A355,Devengado!$A$1:$AI$1,30,FALSE),"")</f>
        <v/>
      </c>
      <c r="BL355" s="224" t="str">
        <f>IFERROR(VLOOKUP($A355,Devengado!$A$1:$AI$1,31,FALSE),"")</f>
        <v/>
      </c>
      <c r="BM355" s="224" t="str">
        <f>IFERROR(VLOOKUP($A355,Devengado!$A$1:$AI$1,32,FALSE),"")</f>
        <v/>
      </c>
      <c r="BN355" s="224" t="str">
        <f>IFERROR(VLOOKUP($A355,Devengado!$A$1:$AI$1,33,FALSE),"")</f>
        <v/>
      </c>
      <c r="BO355" s="224">
        <f t="shared" si="44"/>
        <v>0</v>
      </c>
      <c r="BP355" s="224" t="str">
        <f t="shared" si="45"/>
        <v/>
      </c>
      <c r="BQ355" s="207"/>
      <c r="BR355" s="207" t="str">
        <f t="shared" si="46"/>
        <v>53</v>
      </c>
    </row>
    <row r="356" spans="1:70" s="225" customFormat="1" ht="25.5" customHeight="1">
      <c r="A356" s="207">
        <v>352</v>
      </c>
      <c r="B356" s="112" t="s">
        <v>348</v>
      </c>
      <c r="C356" s="112" t="s">
        <v>77</v>
      </c>
      <c r="D356" s="112" t="s">
        <v>77</v>
      </c>
      <c r="E356" s="112" t="s">
        <v>76</v>
      </c>
      <c r="F356" s="112" t="s">
        <v>77</v>
      </c>
      <c r="G356" s="112" t="s">
        <v>77</v>
      </c>
      <c r="H356" s="112" t="s">
        <v>77</v>
      </c>
      <c r="I356" s="112" t="s">
        <v>77</v>
      </c>
      <c r="J356" s="112" t="s">
        <v>77</v>
      </c>
      <c r="K356" s="112" t="s">
        <v>77</v>
      </c>
      <c r="L356" s="112" t="s">
        <v>85</v>
      </c>
      <c r="M356" s="112" t="s">
        <v>375</v>
      </c>
      <c r="N356" s="118" t="s">
        <v>350</v>
      </c>
      <c r="O356" s="118" t="s">
        <v>111</v>
      </c>
      <c r="P356" s="118" t="s">
        <v>81</v>
      </c>
      <c r="Q356" s="118" t="s">
        <v>112</v>
      </c>
      <c r="R356" s="115" t="str">
        <f t="shared" si="40"/>
        <v>53</v>
      </c>
      <c r="S356" s="124">
        <v>530301</v>
      </c>
      <c r="T356" s="122" t="str">
        <f>VLOOKUP(S356,ITEM!$C$1:$D$156,2,FALSE)</f>
        <v>Pasajes al Interior</v>
      </c>
      <c r="U356" s="112" t="s">
        <v>83</v>
      </c>
      <c r="V356" s="114" t="s">
        <v>82</v>
      </c>
      <c r="W356" s="114" t="s">
        <v>84</v>
      </c>
      <c r="X356" s="114" t="s">
        <v>84</v>
      </c>
      <c r="Y356" s="224" t="e">
        <f>'Matriz POA 2024-TRABAJO'!#REF!</f>
        <v>#REF!</v>
      </c>
      <c r="Z356" s="224" t="e">
        <f>'Matriz POA 2024-TRABAJO'!#REF!</f>
        <v>#REF!</v>
      </c>
      <c r="AA356" s="272" t="e">
        <f>'Matriz POA 2024-TRABAJO'!#REF!</f>
        <v>#REF!</v>
      </c>
      <c r="AB356" s="273">
        <v>0</v>
      </c>
      <c r="AC356" s="273">
        <v>0</v>
      </c>
      <c r="AD356" s="273">
        <v>4000</v>
      </c>
      <c r="AE356" s="273">
        <v>0</v>
      </c>
      <c r="AF356" s="273">
        <v>0</v>
      </c>
      <c r="AG356" s="273">
        <v>0</v>
      </c>
      <c r="AH356" s="273">
        <v>0</v>
      </c>
      <c r="AI356" s="273">
        <v>0</v>
      </c>
      <c r="AJ356" s="273">
        <v>0</v>
      </c>
      <c r="AK356" s="273">
        <v>0</v>
      </c>
      <c r="AL356" s="273">
        <v>0</v>
      </c>
      <c r="AM356" s="273">
        <v>0</v>
      </c>
      <c r="AN356" s="272" t="e">
        <f>SUM(#REF!)</f>
        <v>#REF!</v>
      </c>
      <c r="AO356" s="224">
        <f t="shared" si="41"/>
        <v>4000</v>
      </c>
      <c r="AP356" s="224" t="e">
        <f t="shared" si="47"/>
        <v>#REF!</v>
      </c>
      <c r="AQ356" s="224"/>
      <c r="AR356" s="224"/>
      <c r="AS356" s="224"/>
      <c r="AT356" s="224" t="str">
        <f>IFERROR(VLOOKUP($A356,'Constancias POA'!$A$2:$DH$9993,17,FALSE),"")</f>
        <v/>
      </c>
      <c r="AU356" s="224" t="str">
        <f t="shared" si="42"/>
        <v/>
      </c>
      <c r="AV356" s="224" t="str">
        <f>IFERROR(VLOOKUP($A356,CP!$A$1:$U$7992,18,FALSE),"")</f>
        <v/>
      </c>
      <c r="AW356" s="224" t="str">
        <f>IFERROR(VLOOKUP($A356,CP!$A$1:$U$7992,19,FALSE),"")</f>
        <v/>
      </c>
      <c r="AX356" s="224" t="str">
        <f>IFERROR(VLOOKUP($A356,CP!$A$1:$U$7992,20,FALSE),"")</f>
        <v/>
      </c>
      <c r="AY356" s="224" t="str">
        <f>IFERROR(VLOOKUP($A356,CP!$A$1:$U$1,21,FALSE),"")</f>
        <v/>
      </c>
      <c r="AZ356" s="224" t="str">
        <f>IFERROR(VLOOKUP(A356,Devengado!$A$1:AJ1,35,FALSE),"")</f>
        <v/>
      </c>
      <c r="BA356" s="224" t="str">
        <f t="shared" si="43"/>
        <v/>
      </c>
      <c r="BB356" s="224" t="str">
        <f>IFERROR(AZ356/#REF!,"")</f>
        <v/>
      </c>
      <c r="BC356" s="224" t="str">
        <f>IFERROR(VLOOKUP($A356,Devengado!$A$1:$AI$1,22,FALSE),"")</f>
        <v/>
      </c>
      <c r="BD356" s="224" t="str">
        <f>IFERROR(VLOOKUP($A356,Devengado!$A$1:$AI$1,23,FALSE),"")</f>
        <v/>
      </c>
      <c r="BE356" s="224" t="str">
        <f>IFERROR(VLOOKUP($A356,Devengado!$A$1:$AI$1,24,FALSE),"")</f>
        <v/>
      </c>
      <c r="BF356" s="224" t="str">
        <f>IFERROR(VLOOKUP($A356,Devengado!$A$1:$AI$1,25,FALSE),"")</f>
        <v/>
      </c>
      <c r="BG356" s="224" t="str">
        <f>IFERROR(VLOOKUP($A356,Devengado!$A$1:$AI$1,26,FALSE),"")</f>
        <v/>
      </c>
      <c r="BH356" s="224" t="str">
        <f>IFERROR(VLOOKUP($A356,Devengado!$A$1:$AI$1,27,FALSE),"")</f>
        <v/>
      </c>
      <c r="BI356" s="224" t="str">
        <f>IFERROR(VLOOKUP($A356,Devengado!$A$1:$AI$1,28,FALSE),"")</f>
        <v/>
      </c>
      <c r="BJ356" s="224" t="str">
        <f>IFERROR(VLOOKUP($A356,Devengado!$A$1:$AI$1,29,FALSE),"")</f>
        <v/>
      </c>
      <c r="BK356" s="224" t="str">
        <f>IFERROR(VLOOKUP($A356,Devengado!$A$1:$AI$1,30,FALSE),"")</f>
        <v/>
      </c>
      <c r="BL356" s="224" t="str">
        <f>IFERROR(VLOOKUP($A356,Devengado!$A$1:$AI$1,31,FALSE),"")</f>
        <v/>
      </c>
      <c r="BM356" s="224" t="str">
        <f>IFERROR(VLOOKUP($A356,Devengado!$A$1:$AI$1,32,FALSE),"")</f>
        <v/>
      </c>
      <c r="BN356" s="224" t="str">
        <f>IFERROR(VLOOKUP($A356,Devengado!$A$1:$AI$1,33,FALSE),"")</f>
        <v/>
      </c>
      <c r="BO356" s="224">
        <f t="shared" si="44"/>
        <v>0</v>
      </c>
      <c r="BP356" s="224" t="str">
        <f t="shared" si="45"/>
        <v/>
      </c>
      <c r="BQ356" s="207"/>
      <c r="BR356" s="207" t="str">
        <f t="shared" si="46"/>
        <v>53</v>
      </c>
    </row>
    <row r="357" spans="1:70" s="225" customFormat="1" ht="25.5" customHeight="1">
      <c r="A357" s="207">
        <v>353</v>
      </c>
      <c r="B357" s="112" t="s">
        <v>348</v>
      </c>
      <c r="C357" s="112" t="s">
        <v>77</v>
      </c>
      <c r="D357" s="112" t="s">
        <v>77</v>
      </c>
      <c r="E357" s="112" t="s">
        <v>76</v>
      </c>
      <c r="F357" s="112" t="s">
        <v>77</v>
      </c>
      <c r="G357" s="112" t="s">
        <v>77</v>
      </c>
      <c r="H357" s="112" t="s">
        <v>77</v>
      </c>
      <c r="I357" s="112" t="s">
        <v>77</v>
      </c>
      <c r="J357" s="112" t="s">
        <v>77</v>
      </c>
      <c r="K357" s="112" t="s">
        <v>77</v>
      </c>
      <c r="L357" s="112" t="s">
        <v>85</v>
      </c>
      <c r="M357" s="112" t="s">
        <v>376</v>
      </c>
      <c r="N357" s="118" t="s">
        <v>350</v>
      </c>
      <c r="O357" s="118" t="s">
        <v>111</v>
      </c>
      <c r="P357" s="118" t="s">
        <v>81</v>
      </c>
      <c r="Q357" s="118" t="s">
        <v>112</v>
      </c>
      <c r="R357" s="115" t="str">
        <f t="shared" si="40"/>
        <v>53</v>
      </c>
      <c r="S357" s="112">
        <v>530303</v>
      </c>
      <c r="T357" s="122" t="str">
        <f>VLOOKUP(S357,ITEM!$C$1:$D$156,2,FALSE)</f>
        <v>Viáticos y Subsistencias en el Interior</v>
      </c>
      <c r="U357" s="112" t="s">
        <v>83</v>
      </c>
      <c r="V357" s="114" t="s">
        <v>82</v>
      </c>
      <c r="W357" s="114" t="s">
        <v>84</v>
      </c>
      <c r="X357" s="114" t="s">
        <v>84</v>
      </c>
      <c r="Y357" s="224" t="e">
        <f>'Matriz POA 2024-TRABAJO'!#REF!</f>
        <v>#REF!</v>
      </c>
      <c r="Z357" s="224" t="e">
        <f>'Matriz POA 2024-TRABAJO'!#REF!</f>
        <v>#REF!</v>
      </c>
      <c r="AA357" s="272" t="e">
        <f>'Matriz POA 2024-TRABAJO'!#REF!</f>
        <v>#REF!</v>
      </c>
      <c r="AB357" s="273">
        <v>0</v>
      </c>
      <c r="AC357" s="273"/>
      <c r="AD357" s="273">
        <v>3500</v>
      </c>
      <c r="AE357" s="273">
        <v>0</v>
      </c>
      <c r="AF357" s="273">
        <v>0</v>
      </c>
      <c r="AG357" s="273">
        <v>0</v>
      </c>
      <c r="AH357" s="273">
        <v>0</v>
      </c>
      <c r="AI357" s="273">
        <v>0</v>
      </c>
      <c r="AJ357" s="273">
        <v>0</v>
      </c>
      <c r="AK357" s="273">
        <v>0</v>
      </c>
      <c r="AL357" s="273">
        <v>0</v>
      </c>
      <c r="AM357" s="273">
        <v>0</v>
      </c>
      <c r="AN357" s="272" t="e">
        <f>SUM(#REF!)</f>
        <v>#REF!</v>
      </c>
      <c r="AO357" s="224">
        <f t="shared" si="41"/>
        <v>3500</v>
      </c>
      <c r="AP357" s="224" t="e">
        <f t="shared" si="47"/>
        <v>#REF!</v>
      </c>
      <c r="AQ357" s="224"/>
      <c r="AR357" s="224"/>
      <c r="AS357" s="224"/>
      <c r="AT357" s="224" t="str">
        <f>IFERROR(VLOOKUP($A357,'Constancias POA'!$A$2:$DH$9993,17,FALSE),"")</f>
        <v/>
      </c>
      <c r="AU357" s="224" t="str">
        <f t="shared" si="42"/>
        <v/>
      </c>
      <c r="AV357" s="224" t="str">
        <f>IFERROR(VLOOKUP($A357,CP!$A$1:$U$7992,18,FALSE),"")</f>
        <v/>
      </c>
      <c r="AW357" s="224" t="str">
        <f>IFERROR(VLOOKUP($A357,CP!$A$1:$U$7992,19,FALSE),"")</f>
        <v/>
      </c>
      <c r="AX357" s="224" t="str">
        <f>IFERROR(VLOOKUP($A357,CP!$A$1:$U$7992,20,FALSE),"")</f>
        <v/>
      </c>
      <c r="AY357" s="224" t="str">
        <f>IFERROR(VLOOKUP($A357,CP!$A$1:$U$1,21,FALSE),"")</f>
        <v/>
      </c>
      <c r="AZ357" s="224" t="str">
        <f>IFERROR(VLOOKUP(A357,Devengado!$A$1:AJ1,35,FALSE),"")</f>
        <v/>
      </c>
      <c r="BA357" s="224" t="str">
        <f t="shared" si="43"/>
        <v/>
      </c>
      <c r="BB357" s="224" t="str">
        <f>IFERROR(AZ357/#REF!,"")</f>
        <v/>
      </c>
      <c r="BC357" s="224" t="str">
        <f>IFERROR(VLOOKUP($A357,Devengado!$A$1:$AI$1,22,FALSE),"")</f>
        <v/>
      </c>
      <c r="BD357" s="224" t="str">
        <f>IFERROR(VLOOKUP($A357,Devengado!$A$1:$AI$1,23,FALSE),"")</f>
        <v/>
      </c>
      <c r="BE357" s="224" t="str">
        <f>IFERROR(VLOOKUP($A357,Devengado!$A$1:$AI$1,24,FALSE),"")</f>
        <v/>
      </c>
      <c r="BF357" s="224" t="str">
        <f>IFERROR(VLOOKUP($A357,Devengado!$A$1:$AI$1,25,FALSE),"")</f>
        <v/>
      </c>
      <c r="BG357" s="224" t="str">
        <f>IFERROR(VLOOKUP($A357,Devengado!$A$1:$AI$1,26,FALSE),"")</f>
        <v/>
      </c>
      <c r="BH357" s="224" t="str">
        <f>IFERROR(VLOOKUP($A357,Devengado!$A$1:$AI$1,27,FALSE),"")</f>
        <v/>
      </c>
      <c r="BI357" s="224" t="str">
        <f>IFERROR(VLOOKUP($A357,Devengado!$A$1:$AI$1,28,FALSE),"")</f>
        <v/>
      </c>
      <c r="BJ357" s="224" t="str">
        <f>IFERROR(VLOOKUP($A357,Devengado!$A$1:$AI$1,29,FALSE),"")</f>
        <v/>
      </c>
      <c r="BK357" s="224" t="str">
        <f>IFERROR(VLOOKUP($A357,Devengado!$A$1:$AI$1,30,FALSE),"")</f>
        <v/>
      </c>
      <c r="BL357" s="224" t="str">
        <f>IFERROR(VLOOKUP($A357,Devengado!$A$1:$AI$1,31,FALSE),"")</f>
        <v/>
      </c>
      <c r="BM357" s="224" t="str">
        <f>IFERROR(VLOOKUP($A357,Devengado!$A$1:$AI$1,32,FALSE),"")</f>
        <v/>
      </c>
      <c r="BN357" s="224" t="str">
        <f>IFERROR(VLOOKUP($A357,Devengado!$A$1:$AI$1,33,FALSE),"")</f>
        <v/>
      </c>
      <c r="BO357" s="224">
        <f t="shared" si="44"/>
        <v>0</v>
      </c>
      <c r="BP357" s="224" t="str">
        <f t="shared" si="45"/>
        <v/>
      </c>
      <c r="BQ357" s="207"/>
      <c r="BR357" s="207" t="str">
        <f t="shared" si="46"/>
        <v>53</v>
      </c>
    </row>
    <row r="358" spans="1:70" s="225" customFormat="1" ht="25.5" customHeight="1">
      <c r="A358" s="207">
        <v>354</v>
      </c>
      <c r="B358" s="112" t="s">
        <v>348</v>
      </c>
      <c r="C358" s="112" t="s">
        <v>77</v>
      </c>
      <c r="D358" s="112" t="s">
        <v>77</v>
      </c>
      <c r="E358" s="112" t="s">
        <v>76</v>
      </c>
      <c r="F358" s="112" t="s">
        <v>77</v>
      </c>
      <c r="G358" s="112" t="s">
        <v>77</v>
      </c>
      <c r="H358" s="112" t="s">
        <v>77</v>
      </c>
      <c r="I358" s="112" t="s">
        <v>77</v>
      </c>
      <c r="J358" s="112" t="s">
        <v>77</v>
      </c>
      <c r="K358" s="112" t="s">
        <v>77</v>
      </c>
      <c r="L358" s="112" t="s">
        <v>85</v>
      </c>
      <c r="M358" s="113" t="s">
        <v>377</v>
      </c>
      <c r="N358" s="118" t="s">
        <v>350</v>
      </c>
      <c r="O358" s="118" t="s">
        <v>111</v>
      </c>
      <c r="P358" s="118" t="s">
        <v>81</v>
      </c>
      <c r="Q358" s="118" t="s">
        <v>112</v>
      </c>
      <c r="R358" s="115" t="str">
        <f t="shared" si="40"/>
        <v>53</v>
      </c>
      <c r="S358" s="112">
        <v>530404</v>
      </c>
      <c r="T358" s="122" t="str">
        <f>VLOOKUP(S358,ITEM!$C$1:$D$156,2,FALSE)</f>
        <v>Maquinarias y Equipos (Instalación, Mantenimiento y Reparación)</v>
      </c>
      <c r="U358" s="112" t="s">
        <v>83</v>
      </c>
      <c r="V358" s="114" t="s">
        <v>82</v>
      </c>
      <c r="W358" s="114" t="s">
        <v>84</v>
      </c>
      <c r="X358" s="114" t="s">
        <v>84</v>
      </c>
      <c r="Y358" s="224" t="e">
        <f>'Matriz POA 2024-TRABAJO'!#REF!</f>
        <v>#REF!</v>
      </c>
      <c r="Z358" s="224" t="e">
        <f>'Matriz POA 2024-TRABAJO'!#REF!</f>
        <v>#REF!</v>
      </c>
      <c r="AA358" s="272" t="e">
        <f>'Matriz POA 2024-TRABAJO'!#REF!</f>
        <v>#REF!</v>
      </c>
      <c r="AB358" s="273">
        <v>0</v>
      </c>
      <c r="AC358" s="273">
        <v>0</v>
      </c>
      <c r="AD358" s="273"/>
      <c r="AE358" s="273">
        <v>750</v>
      </c>
      <c r="AF358" s="273"/>
      <c r="AG358" s="273">
        <v>0</v>
      </c>
      <c r="AH358" s="273"/>
      <c r="AI358" s="273">
        <v>0</v>
      </c>
      <c r="AJ358" s="273">
        <v>750</v>
      </c>
      <c r="AK358" s="273">
        <v>0</v>
      </c>
      <c r="AL358" s="273" t="s">
        <v>378</v>
      </c>
      <c r="AM358" s="273">
        <v>0</v>
      </c>
      <c r="AN358" s="272" t="e">
        <f>SUM(#REF!)</f>
        <v>#REF!</v>
      </c>
      <c r="AO358" s="224">
        <f t="shared" si="41"/>
        <v>1500</v>
      </c>
      <c r="AP358" s="224" t="e">
        <f t="shared" si="47"/>
        <v>#REF!</v>
      </c>
      <c r="AQ358" s="224"/>
      <c r="AR358" s="224"/>
      <c r="AS358" s="224"/>
      <c r="AT358" s="224" t="str">
        <f>IFERROR(VLOOKUP($A358,'Constancias POA'!$A$2:$DH$9993,17,FALSE),"")</f>
        <v/>
      </c>
      <c r="AU358" s="224" t="str">
        <f t="shared" si="42"/>
        <v/>
      </c>
      <c r="AV358" s="224" t="str">
        <f>IFERROR(VLOOKUP($A358,CP!$A$1:$U$7992,18,FALSE),"")</f>
        <v/>
      </c>
      <c r="AW358" s="224" t="str">
        <f>IFERROR(VLOOKUP($A358,CP!$A$1:$U$7992,19,FALSE),"")</f>
        <v/>
      </c>
      <c r="AX358" s="224" t="str">
        <f>IFERROR(VLOOKUP($A358,CP!$A$1:$U$7992,20,FALSE),"")</f>
        <v/>
      </c>
      <c r="AY358" s="224" t="str">
        <f>IFERROR(VLOOKUP($A358,CP!$A$1:$U$1,21,FALSE),"")</f>
        <v/>
      </c>
      <c r="AZ358" s="224" t="str">
        <f>IFERROR(VLOOKUP(A358,Devengado!$A$1:AJ1,35,FALSE),"")</f>
        <v/>
      </c>
      <c r="BA358" s="224" t="str">
        <f t="shared" si="43"/>
        <v/>
      </c>
      <c r="BB358" s="224" t="str">
        <f>IFERROR(AZ358/#REF!,"")</f>
        <v/>
      </c>
      <c r="BC358" s="224" t="str">
        <f>IFERROR(VLOOKUP($A358,Devengado!$A$1:$AI$1,22,FALSE),"")</f>
        <v/>
      </c>
      <c r="BD358" s="224" t="str">
        <f>IFERROR(VLOOKUP($A358,Devengado!$A$1:$AI$1,23,FALSE),"")</f>
        <v/>
      </c>
      <c r="BE358" s="224" t="str">
        <f>IFERROR(VLOOKUP($A358,Devengado!$A$1:$AI$1,24,FALSE),"")</f>
        <v/>
      </c>
      <c r="BF358" s="224" t="str">
        <f>IFERROR(VLOOKUP($A358,Devengado!$A$1:$AI$1,25,FALSE),"")</f>
        <v/>
      </c>
      <c r="BG358" s="224" t="str">
        <f>IFERROR(VLOOKUP($A358,Devengado!$A$1:$AI$1,26,FALSE),"")</f>
        <v/>
      </c>
      <c r="BH358" s="224" t="str">
        <f>IFERROR(VLOOKUP($A358,Devengado!$A$1:$AI$1,27,FALSE),"")</f>
        <v/>
      </c>
      <c r="BI358" s="224" t="str">
        <f>IFERROR(VLOOKUP($A358,Devengado!$A$1:$AI$1,28,FALSE),"")</f>
        <v/>
      </c>
      <c r="BJ358" s="224" t="str">
        <f>IFERROR(VLOOKUP($A358,Devengado!$A$1:$AI$1,29,FALSE),"")</f>
        <v/>
      </c>
      <c r="BK358" s="224" t="str">
        <f>IFERROR(VLOOKUP($A358,Devengado!$A$1:$AI$1,30,FALSE),"")</f>
        <v/>
      </c>
      <c r="BL358" s="224" t="str">
        <f>IFERROR(VLOOKUP($A358,Devengado!$A$1:$AI$1,31,FALSE),"")</f>
        <v/>
      </c>
      <c r="BM358" s="224" t="str">
        <f>IFERROR(VLOOKUP($A358,Devengado!$A$1:$AI$1,32,FALSE),"")</f>
        <v/>
      </c>
      <c r="BN358" s="224" t="str">
        <f>IFERROR(VLOOKUP($A358,Devengado!$A$1:$AI$1,33,FALSE),"")</f>
        <v/>
      </c>
      <c r="BO358" s="224">
        <f t="shared" si="44"/>
        <v>0</v>
      </c>
      <c r="BP358" s="224" t="str">
        <f t="shared" si="45"/>
        <v/>
      </c>
      <c r="BQ358" s="207"/>
      <c r="BR358" s="207" t="str">
        <f t="shared" si="46"/>
        <v>53</v>
      </c>
    </row>
    <row r="359" spans="1:70" s="225" customFormat="1" ht="25.5" customHeight="1">
      <c r="A359" s="207">
        <v>355</v>
      </c>
      <c r="B359" s="112" t="s">
        <v>348</v>
      </c>
      <c r="C359" s="112" t="s">
        <v>77</v>
      </c>
      <c r="D359" s="112" t="s">
        <v>77</v>
      </c>
      <c r="E359" s="112" t="s">
        <v>76</v>
      </c>
      <c r="F359" s="112" t="s">
        <v>77</v>
      </c>
      <c r="G359" s="112" t="s">
        <v>77</v>
      </c>
      <c r="H359" s="112" t="s">
        <v>77</v>
      </c>
      <c r="I359" s="112" t="s">
        <v>77</v>
      </c>
      <c r="J359" s="112" t="s">
        <v>77</v>
      </c>
      <c r="K359" s="112" t="s">
        <v>77</v>
      </c>
      <c r="L359" s="112" t="s">
        <v>85</v>
      </c>
      <c r="M359" s="113" t="s">
        <v>379</v>
      </c>
      <c r="N359" s="118" t="s">
        <v>350</v>
      </c>
      <c r="O359" s="118" t="s">
        <v>111</v>
      </c>
      <c r="P359" s="118" t="s">
        <v>81</v>
      </c>
      <c r="Q359" s="118" t="s">
        <v>112</v>
      </c>
      <c r="R359" s="115" t="str">
        <f t="shared" si="40"/>
        <v>53</v>
      </c>
      <c r="S359" s="112">
        <v>530405</v>
      </c>
      <c r="T359" s="122" t="str">
        <f>VLOOKUP(S359,ITEM!$C$1:$D$156,2,FALSE)</f>
        <v>Vehículos (Servicio para Mantenimiento y Reparación)</v>
      </c>
      <c r="U359" s="112" t="s">
        <v>83</v>
      </c>
      <c r="V359" s="114" t="s">
        <v>82</v>
      </c>
      <c r="W359" s="114" t="s">
        <v>84</v>
      </c>
      <c r="X359" s="114" t="s">
        <v>84</v>
      </c>
      <c r="Y359" s="224" t="e">
        <f>'Matriz POA 2024-TRABAJO'!#REF!</f>
        <v>#REF!</v>
      </c>
      <c r="Z359" s="224" t="e">
        <f>'Matriz POA 2024-TRABAJO'!#REF!</f>
        <v>#REF!</v>
      </c>
      <c r="AA359" s="272" t="e">
        <f>'Matriz POA 2024-TRABAJO'!#REF!</f>
        <v>#REF!</v>
      </c>
      <c r="AB359" s="273">
        <v>0</v>
      </c>
      <c r="AC359" s="273">
        <v>0</v>
      </c>
      <c r="AD359" s="273">
        <v>400</v>
      </c>
      <c r="AE359" s="273">
        <v>0</v>
      </c>
      <c r="AF359" s="273">
        <v>0</v>
      </c>
      <c r="AG359" s="273">
        <v>0</v>
      </c>
      <c r="AH359" s="273">
        <v>0</v>
      </c>
      <c r="AI359" s="273">
        <v>0</v>
      </c>
      <c r="AJ359" s="273">
        <v>400</v>
      </c>
      <c r="AK359" s="273">
        <v>0</v>
      </c>
      <c r="AL359" s="273">
        <v>0</v>
      </c>
      <c r="AM359" s="273">
        <v>0</v>
      </c>
      <c r="AN359" s="272" t="e">
        <f>SUM(#REF!)</f>
        <v>#REF!</v>
      </c>
      <c r="AO359" s="224">
        <f t="shared" si="41"/>
        <v>800</v>
      </c>
      <c r="AP359" s="224" t="e">
        <f t="shared" si="47"/>
        <v>#REF!</v>
      </c>
      <c r="AQ359" s="224"/>
      <c r="AR359" s="224"/>
      <c r="AS359" s="224"/>
      <c r="AT359" s="224" t="str">
        <f>IFERROR(VLOOKUP($A359,'Constancias POA'!$A$2:$DH$9993,17,FALSE),"")</f>
        <v/>
      </c>
      <c r="AU359" s="224" t="str">
        <f t="shared" si="42"/>
        <v/>
      </c>
      <c r="AV359" s="224" t="str">
        <f>IFERROR(VLOOKUP($A359,CP!$A$1:$U$7992,18,FALSE),"")</f>
        <v/>
      </c>
      <c r="AW359" s="224" t="str">
        <f>IFERROR(VLOOKUP($A359,CP!$A$1:$U$7992,19,FALSE),"")</f>
        <v/>
      </c>
      <c r="AX359" s="224" t="str">
        <f>IFERROR(VLOOKUP($A359,CP!$A$1:$U$7992,20,FALSE),"")</f>
        <v/>
      </c>
      <c r="AY359" s="224" t="str">
        <f>IFERROR(VLOOKUP($A359,CP!$A$1:$U$1,21,FALSE),"")</f>
        <v/>
      </c>
      <c r="AZ359" s="224" t="str">
        <f>IFERROR(VLOOKUP(A359,Devengado!$A$1:AJ1,35,FALSE),"")</f>
        <v/>
      </c>
      <c r="BA359" s="224" t="str">
        <f t="shared" si="43"/>
        <v/>
      </c>
      <c r="BB359" s="224" t="str">
        <f>IFERROR(AZ359/#REF!,"")</f>
        <v/>
      </c>
      <c r="BC359" s="224" t="str">
        <f>IFERROR(VLOOKUP($A359,Devengado!$A$1:$AI$1,22,FALSE),"")</f>
        <v/>
      </c>
      <c r="BD359" s="224" t="str">
        <f>IFERROR(VLOOKUP($A359,Devengado!$A$1:$AI$1,23,FALSE),"")</f>
        <v/>
      </c>
      <c r="BE359" s="224" t="str">
        <f>IFERROR(VLOOKUP($A359,Devengado!$A$1:$AI$1,24,FALSE),"")</f>
        <v/>
      </c>
      <c r="BF359" s="224" t="str">
        <f>IFERROR(VLOOKUP($A359,Devengado!$A$1:$AI$1,25,FALSE),"")</f>
        <v/>
      </c>
      <c r="BG359" s="224" t="str">
        <f>IFERROR(VLOOKUP($A359,Devengado!$A$1:$AI$1,26,FALSE),"")</f>
        <v/>
      </c>
      <c r="BH359" s="224" t="str">
        <f>IFERROR(VLOOKUP($A359,Devengado!$A$1:$AI$1,27,FALSE),"")</f>
        <v/>
      </c>
      <c r="BI359" s="224" t="str">
        <f>IFERROR(VLOOKUP($A359,Devengado!$A$1:$AI$1,28,FALSE),"")</f>
        <v/>
      </c>
      <c r="BJ359" s="224" t="str">
        <f>IFERROR(VLOOKUP($A359,Devengado!$A$1:$AI$1,29,FALSE),"")</f>
        <v/>
      </c>
      <c r="BK359" s="224" t="str">
        <f>IFERROR(VLOOKUP($A359,Devengado!$A$1:$AI$1,30,FALSE),"")</f>
        <v/>
      </c>
      <c r="BL359" s="224" t="str">
        <f>IFERROR(VLOOKUP($A359,Devengado!$A$1:$AI$1,31,FALSE),"")</f>
        <v/>
      </c>
      <c r="BM359" s="224" t="str">
        <f>IFERROR(VLOOKUP($A359,Devengado!$A$1:$AI$1,32,FALSE),"")</f>
        <v/>
      </c>
      <c r="BN359" s="224" t="str">
        <f>IFERROR(VLOOKUP($A359,Devengado!$A$1:$AI$1,33,FALSE),"")</f>
        <v/>
      </c>
      <c r="BO359" s="224">
        <f t="shared" si="44"/>
        <v>0</v>
      </c>
      <c r="BP359" s="224" t="str">
        <f t="shared" si="45"/>
        <v/>
      </c>
      <c r="BQ359" s="207"/>
      <c r="BR359" s="207" t="str">
        <f t="shared" si="46"/>
        <v>53</v>
      </c>
    </row>
    <row r="360" spans="1:70" s="225" customFormat="1" ht="25.5" customHeight="1">
      <c r="A360" s="207">
        <v>356</v>
      </c>
      <c r="B360" s="112" t="s">
        <v>348</v>
      </c>
      <c r="C360" s="112" t="s">
        <v>77</v>
      </c>
      <c r="D360" s="112" t="s">
        <v>77</v>
      </c>
      <c r="E360" s="112" t="s">
        <v>76</v>
      </c>
      <c r="F360" s="112" t="s">
        <v>77</v>
      </c>
      <c r="G360" s="112" t="s">
        <v>77</v>
      </c>
      <c r="H360" s="112" t="s">
        <v>77</v>
      </c>
      <c r="I360" s="112" t="s">
        <v>77</v>
      </c>
      <c r="J360" s="112" t="s">
        <v>77</v>
      </c>
      <c r="K360" s="112" t="s">
        <v>77</v>
      </c>
      <c r="L360" s="112" t="s">
        <v>85</v>
      </c>
      <c r="M360" s="112" t="s">
        <v>380</v>
      </c>
      <c r="N360" s="118" t="s">
        <v>350</v>
      </c>
      <c r="O360" s="118" t="s">
        <v>111</v>
      </c>
      <c r="P360" s="118" t="s">
        <v>81</v>
      </c>
      <c r="Q360" s="118" t="s">
        <v>112</v>
      </c>
      <c r="R360" s="115" t="str">
        <f t="shared" si="40"/>
        <v>53</v>
      </c>
      <c r="S360" s="124">
        <v>530601</v>
      </c>
      <c r="T360" s="122" t="str">
        <f>VLOOKUP(S360,ITEM!$C$1:$D$156,2,FALSE)</f>
        <v>Consultoría, Asesoría e Investigación Especializada</v>
      </c>
      <c r="U360" s="112" t="s">
        <v>83</v>
      </c>
      <c r="V360" s="114" t="s">
        <v>82</v>
      </c>
      <c r="W360" s="114" t="s">
        <v>84</v>
      </c>
      <c r="X360" s="114" t="s">
        <v>84</v>
      </c>
      <c r="Y360" s="224" t="e">
        <f>'Matriz POA 2024-TRABAJO'!#REF!</f>
        <v>#REF!</v>
      </c>
      <c r="Z360" s="224" t="e">
        <f>'Matriz POA 2024-TRABAJO'!#REF!</f>
        <v>#REF!</v>
      </c>
      <c r="AA360" s="224" t="e">
        <f>'Matriz POA 2024-TRABAJO'!#REF!</f>
        <v>#REF!</v>
      </c>
      <c r="AB360" s="279">
        <v>0</v>
      </c>
      <c r="AC360" s="279">
        <v>0</v>
      </c>
      <c r="AD360" s="279">
        <v>0</v>
      </c>
      <c r="AE360" s="279">
        <v>0</v>
      </c>
      <c r="AF360" s="279">
        <v>0</v>
      </c>
      <c r="AG360" s="279">
        <v>0</v>
      </c>
      <c r="AH360" s="279">
        <v>0</v>
      </c>
      <c r="AI360" s="279">
        <v>0</v>
      </c>
      <c r="AJ360" s="279">
        <v>0</v>
      </c>
      <c r="AK360" s="279">
        <v>0</v>
      </c>
      <c r="AL360" s="279">
        <v>0</v>
      </c>
      <c r="AM360" s="279">
        <v>0</v>
      </c>
      <c r="AN360" s="224" t="e">
        <f>SUM(#REF!)</f>
        <v>#REF!</v>
      </c>
      <c r="AO360" s="224">
        <f t="shared" si="41"/>
        <v>0</v>
      </c>
      <c r="AP360" s="224" t="e">
        <f t="shared" si="47"/>
        <v>#REF!</v>
      </c>
      <c r="AQ360" s="224"/>
      <c r="AR360" s="224"/>
      <c r="AS360" s="224"/>
      <c r="AT360" s="224" t="str">
        <f>IFERROR(VLOOKUP($A360,'Constancias POA'!$A$2:$DH$9993,17,FALSE),"")</f>
        <v/>
      </c>
      <c r="AU360" s="224" t="str">
        <f t="shared" si="42"/>
        <v/>
      </c>
      <c r="AV360" s="224" t="str">
        <f>IFERROR(VLOOKUP($A360,CP!$A$1:$U$7992,18,FALSE),"")</f>
        <v/>
      </c>
      <c r="AW360" s="224" t="str">
        <f>IFERROR(VLOOKUP($A360,CP!$A$1:$U$7992,19,FALSE),"")</f>
        <v/>
      </c>
      <c r="AX360" s="224" t="str">
        <f>IFERROR(VLOOKUP($A360,CP!$A$1:$U$7992,20,FALSE),"")</f>
        <v/>
      </c>
      <c r="AY360" s="224" t="str">
        <f>IFERROR(VLOOKUP($A360,CP!$A$1:$U$1,21,FALSE),"")</f>
        <v/>
      </c>
      <c r="AZ360" s="224" t="str">
        <f>IFERROR(VLOOKUP(A360,Devengado!$A$1:AJ1,35,FALSE),"")</f>
        <v/>
      </c>
      <c r="BA360" s="224" t="str">
        <f t="shared" si="43"/>
        <v/>
      </c>
      <c r="BB360" s="224" t="str">
        <f>IFERROR(AZ360/#REF!,"")</f>
        <v/>
      </c>
      <c r="BC360" s="224" t="str">
        <f>IFERROR(VLOOKUP($A360,Devengado!$A$1:$AI$1,22,FALSE),"")</f>
        <v/>
      </c>
      <c r="BD360" s="224" t="str">
        <f>IFERROR(VLOOKUP($A360,Devengado!$A$1:$AI$1,23,FALSE),"")</f>
        <v/>
      </c>
      <c r="BE360" s="224" t="str">
        <f>IFERROR(VLOOKUP($A360,Devengado!$A$1:$AI$1,24,FALSE),"")</f>
        <v/>
      </c>
      <c r="BF360" s="224" t="str">
        <f>IFERROR(VLOOKUP($A360,Devengado!$A$1:$AI$1,25,FALSE),"")</f>
        <v/>
      </c>
      <c r="BG360" s="224" t="str">
        <f>IFERROR(VLOOKUP($A360,Devengado!$A$1:$AI$1,26,FALSE),"")</f>
        <v/>
      </c>
      <c r="BH360" s="224" t="str">
        <f>IFERROR(VLOOKUP($A360,Devengado!$A$1:$AI$1,27,FALSE),"")</f>
        <v/>
      </c>
      <c r="BI360" s="224" t="str">
        <f>IFERROR(VLOOKUP($A360,Devengado!$A$1:$AI$1,28,FALSE),"")</f>
        <v/>
      </c>
      <c r="BJ360" s="224" t="str">
        <f>IFERROR(VLOOKUP($A360,Devengado!$A$1:$AI$1,29,FALSE),"")</f>
        <v/>
      </c>
      <c r="BK360" s="224" t="str">
        <f>IFERROR(VLOOKUP($A360,Devengado!$A$1:$AI$1,30,FALSE),"")</f>
        <v/>
      </c>
      <c r="BL360" s="224" t="str">
        <f>IFERROR(VLOOKUP($A360,Devengado!$A$1:$AI$1,31,FALSE),"")</f>
        <v/>
      </c>
      <c r="BM360" s="224" t="str">
        <f>IFERROR(VLOOKUP($A360,Devengado!$A$1:$AI$1,32,FALSE),"")</f>
        <v/>
      </c>
      <c r="BN360" s="224" t="str">
        <f>IFERROR(VLOOKUP($A360,Devengado!$A$1:$AI$1,33,FALSE),"")</f>
        <v/>
      </c>
      <c r="BO360" s="224">
        <f t="shared" si="44"/>
        <v>0</v>
      </c>
      <c r="BP360" s="224" t="str">
        <f t="shared" si="45"/>
        <v/>
      </c>
      <c r="BQ360" s="207"/>
      <c r="BR360" s="207" t="str">
        <f t="shared" si="46"/>
        <v>53</v>
      </c>
    </row>
    <row r="361" spans="1:70" s="225" customFormat="1" ht="25.5" customHeight="1">
      <c r="A361" s="207">
        <v>357</v>
      </c>
      <c r="B361" s="112" t="s">
        <v>348</v>
      </c>
      <c r="C361" s="112" t="s">
        <v>77</v>
      </c>
      <c r="D361" s="112" t="s">
        <v>77</v>
      </c>
      <c r="E361" s="112" t="s">
        <v>76</v>
      </c>
      <c r="F361" s="112" t="s">
        <v>77</v>
      </c>
      <c r="G361" s="112" t="s">
        <v>77</v>
      </c>
      <c r="H361" s="112" t="s">
        <v>77</v>
      </c>
      <c r="I361" s="112" t="s">
        <v>77</v>
      </c>
      <c r="J361" s="112" t="s">
        <v>77</v>
      </c>
      <c r="K361" s="112" t="s">
        <v>77</v>
      </c>
      <c r="L361" s="112" t="s">
        <v>85</v>
      </c>
      <c r="M361" s="112" t="s">
        <v>381</v>
      </c>
      <c r="N361" s="118" t="s">
        <v>350</v>
      </c>
      <c r="O361" s="118" t="s">
        <v>111</v>
      </c>
      <c r="P361" s="118" t="s">
        <v>81</v>
      </c>
      <c r="Q361" s="118" t="s">
        <v>112</v>
      </c>
      <c r="R361" s="115" t="str">
        <f t="shared" si="40"/>
        <v>53</v>
      </c>
      <c r="S361" s="124">
        <v>530606</v>
      </c>
      <c r="T361" s="122" t="str">
        <f>VLOOKUP(S361,ITEM!$C$1:$D$156,2,FALSE)</f>
        <v>Honorarios por Contratos Civiles de Servicios</v>
      </c>
      <c r="U361" s="112" t="s">
        <v>83</v>
      </c>
      <c r="V361" s="114" t="s">
        <v>82</v>
      </c>
      <c r="W361" s="114" t="s">
        <v>84</v>
      </c>
      <c r="X361" s="114" t="s">
        <v>84</v>
      </c>
      <c r="Y361" s="224" t="e">
        <f>'Matriz POA 2024-TRABAJO'!#REF!</f>
        <v>#REF!</v>
      </c>
      <c r="Z361" s="224" t="e">
        <f>'Matriz POA 2024-TRABAJO'!#REF!</f>
        <v>#REF!</v>
      </c>
      <c r="AA361" s="272" t="e">
        <f>'Matriz POA 2024-TRABAJO'!#REF!</f>
        <v>#REF!</v>
      </c>
      <c r="AB361" s="273">
        <v>0</v>
      </c>
      <c r="AC361" s="273">
        <v>0</v>
      </c>
      <c r="AD361" s="273">
        <v>0</v>
      </c>
      <c r="AE361" s="273">
        <v>0</v>
      </c>
      <c r="AF361" s="273">
        <v>5437.5</v>
      </c>
      <c r="AG361" s="273">
        <v>5437.5</v>
      </c>
      <c r="AH361" s="273">
        <v>5437.5</v>
      </c>
      <c r="AI361" s="273">
        <v>5437.5</v>
      </c>
      <c r="AJ361" s="273">
        <v>5437.5</v>
      </c>
      <c r="AK361" s="273">
        <v>5437.5</v>
      </c>
      <c r="AL361" s="273">
        <v>5437.5</v>
      </c>
      <c r="AM361" s="273">
        <v>5437.5</v>
      </c>
      <c r="AN361" s="272" t="e">
        <f>SUM(#REF!)</f>
        <v>#REF!</v>
      </c>
      <c r="AO361" s="224">
        <f t="shared" si="41"/>
        <v>43500</v>
      </c>
      <c r="AP361" s="224" t="e">
        <f t="shared" si="47"/>
        <v>#REF!</v>
      </c>
      <c r="AQ361" s="224"/>
      <c r="AR361" s="224"/>
      <c r="AS361" s="224"/>
      <c r="AT361" s="224" t="str">
        <f>IFERROR(VLOOKUP($A361,'Constancias POA'!$A$2:$DH$9993,17,FALSE),"")</f>
        <v/>
      </c>
      <c r="AU361" s="224" t="str">
        <f t="shared" si="42"/>
        <v/>
      </c>
      <c r="AV361" s="224" t="str">
        <f>IFERROR(VLOOKUP($A361,CP!$A$1:$U$7992,18,FALSE),"")</f>
        <v/>
      </c>
      <c r="AW361" s="224" t="str">
        <f>IFERROR(VLOOKUP($A361,CP!$A$1:$U$7992,19,FALSE),"")</f>
        <v/>
      </c>
      <c r="AX361" s="224" t="str">
        <f>IFERROR(VLOOKUP($A361,CP!$A$1:$U$7992,20,FALSE),"")</f>
        <v/>
      </c>
      <c r="AY361" s="224" t="str">
        <f>IFERROR(VLOOKUP($A361,CP!$A$1:$U$1,21,FALSE),"")</f>
        <v/>
      </c>
      <c r="AZ361" s="224" t="str">
        <f>IFERROR(VLOOKUP(A361,Devengado!$A$1:AJ1,35,FALSE),"")</f>
        <v/>
      </c>
      <c r="BA361" s="224" t="str">
        <f t="shared" si="43"/>
        <v/>
      </c>
      <c r="BB361" s="224" t="str">
        <f>IFERROR(AZ361/#REF!,"")</f>
        <v/>
      </c>
      <c r="BC361" s="224" t="str">
        <f>IFERROR(VLOOKUP($A361,Devengado!$A$1:$AI$1,22,FALSE),"")</f>
        <v/>
      </c>
      <c r="BD361" s="224" t="str">
        <f>IFERROR(VLOOKUP($A361,Devengado!$A$1:$AI$1,23,FALSE),"")</f>
        <v/>
      </c>
      <c r="BE361" s="224" t="str">
        <f>IFERROR(VLOOKUP($A361,Devengado!$A$1:$AI$1,24,FALSE),"")</f>
        <v/>
      </c>
      <c r="BF361" s="224" t="str">
        <f>IFERROR(VLOOKUP($A361,Devengado!$A$1:$AI$1,25,FALSE),"")</f>
        <v/>
      </c>
      <c r="BG361" s="224" t="str">
        <f>IFERROR(VLOOKUP($A361,Devengado!$A$1:$AI$1,26,FALSE),"")</f>
        <v/>
      </c>
      <c r="BH361" s="224" t="str">
        <f>IFERROR(VLOOKUP($A361,Devengado!$A$1:$AI$1,27,FALSE),"")</f>
        <v/>
      </c>
      <c r="BI361" s="224" t="str">
        <f>IFERROR(VLOOKUP($A361,Devengado!$A$1:$AI$1,28,FALSE),"")</f>
        <v/>
      </c>
      <c r="BJ361" s="224" t="str">
        <f>IFERROR(VLOOKUP($A361,Devengado!$A$1:$AI$1,29,FALSE),"")</f>
        <v/>
      </c>
      <c r="BK361" s="224" t="str">
        <f>IFERROR(VLOOKUP($A361,Devengado!$A$1:$AI$1,30,FALSE),"")</f>
        <v/>
      </c>
      <c r="BL361" s="224" t="str">
        <f>IFERROR(VLOOKUP($A361,Devengado!$A$1:$AI$1,31,FALSE),"")</f>
        <v/>
      </c>
      <c r="BM361" s="224" t="str">
        <f>IFERROR(VLOOKUP($A361,Devengado!$A$1:$AI$1,32,FALSE),"")</f>
        <v/>
      </c>
      <c r="BN361" s="224" t="str">
        <f>IFERROR(VLOOKUP($A361,Devengado!$A$1:$AI$1,33,FALSE),"")</f>
        <v/>
      </c>
      <c r="BO361" s="224">
        <f t="shared" si="44"/>
        <v>0</v>
      </c>
      <c r="BP361" s="224" t="str">
        <f t="shared" si="45"/>
        <v/>
      </c>
      <c r="BQ361" s="207"/>
      <c r="BR361" s="207" t="str">
        <f t="shared" si="46"/>
        <v>53</v>
      </c>
    </row>
    <row r="362" spans="1:70" s="225" customFormat="1" ht="25.5" customHeight="1">
      <c r="A362" s="207">
        <v>358</v>
      </c>
      <c r="B362" s="112" t="s">
        <v>348</v>
      </c>
      <c r="C362" s="112" t="s">
        <v>77</v>
      </c>
      <c r="D362" s="112" t="s">
        <v>77</v>
      </c>
      <c r="E362" s="112" t="s">
        <v>76</v>
      </c>
      <c r="F362" s="112" t="s">
        <v>77</v>
      </c>
      <c r="G362" s="112" t="s">
        <v>77</v>
      </c>
      <c r="H362" s="112" t="s">
        <v>77</v>
      </c>
      <c r="I362" s="112" t="s">
        <v>77</v>
      </c>
      <c r="J362" s="112" t="s">
        <v>77</v>
      </c>
      <c r="K362" s="112" t="s">
        <v>77</v>
      </c>
      <c r="L362" s="112" t="s">
        <v>85</v>
      </c>
      <c r="M362" s="112" t="s">
        <v>382</v>
      </c>
      <c r="N362" s="118" t="s">
        <v>350</v>
      </c>
      <c r="O362" s="118" t="s">
        <v>111</v>
      </c>
      <c r="P362" s="118" t="s">
        <v>81</v>
      </c>
      <c r="Q362" s="118" t="s">
        <v>112</v>
      </c>
      <c r="R362" s="115" t="str">
        <f t="shared" si="40"/>
        <v>53</v>
      </c>
      <c r="S362" s="124">
        <v>530702</v>
      </c>
      <c r="T362" s="122" t="e">
        <f>VLOOKUP(S362,ITEM!$C$1:$D$156,2,FALSE)</f>
        <v>#N/A</v>
      </c>
      <c r="U362" s="112" t="s">
        <v>83</v>
      </c>
      <c r="V362" s="114" t="s">
        <v>82</v>
      </c>
      <c r="W362" s="114" t="s">
        <v>84</v>
      </c>
      <c r="X362" s="114" t="s">
        <v>84</v>
      </c>
      <c r="Y362" s="224" t="e">
        <f>'Matriz POA 2024-TRABAJO'!#REF!</f>
        <v>#REF!</v>
      </c>
      <c r="Z362" s="224" t="e">
        <f>'Matriz POA 2024-TRABAJO'!#REF!</f>
        <v>#REF!</v>
      </c>
      <c r="AA362" s="224" t="e">
        <f>'Matriz POA 2024-TRABAJO'!#REF!</f>
        <v>#REF!</v>
      </c>
      <c r="AB362" s="279">
        <v>0</v>
      </c>
      <c r="AC362" s="279">
        <v>0</v>
      </c>
      <c r="AD362" s="279">
        <v>0</v>
      </c>
      <c r="AE362" s="279">
        <v>0</v>
      </c>
      <c r="AF362" s="279">
        <v>0</v>
      </c>
      <c r="AG362" s="279">
        <v>0</v>
      </c>
      <c r="AH362" s="279">
        <v>0</v>
      </c>
      <c r="AI362" s="279">
        <v>0</v>
      </c>
      <c r="AJ362" s="279">
        <v>0</v>
      </c>
      <c r="AK362" s="279">
        <v>0</v>
      </c>
      <c r="AL362" s="279">
        <v>0</v>
      </c>
      <c r="AM362" s="279">
        <v>0</v>
      </c>
      <c r="AN362" s="224" t="e">
        <f>SUM(#REF!)</f>
        <v>#REF!</v>
      </c>
      <c r="AO362" s="224">
        <f t="shared" si="41"/>
        <v>0</v>
      </c>
      <c r="AP362" s="224" t="e">
        <f t="shared" si="47"/>
        <v>#REF!</v>
      </c>
      <c r="AQ362" s="224"/>
      <c r="AR362" s="224"/>
      <c r="AS362" s="224"/>
      <c r="AT362" s="224" t="str">
        <f>IFERROR(VLOOKUP($A362,'Constancias POA'!$A$2:$DH$9993,17,FALSE),"")</f>
        <v/>
      </c>
      <c r="AU362" s="224" t="str">
        <f t="shared" si="42"/>
        <v/>
      </c>
      <c r="AV362" s="224" t="str">
        <f>IFERROR(VLOOKUP($A362,CP!$A$1:$U$7992,18,FALSE),"")</f>
        <v/>
      </c>
      <c r="AW362" s="224" t="str">
        <f>IFERROR(VLOOKUP($A362,CP!$A$1:$U$7992,19,FALSE),"")</f>
        <v/>
      </c>
      <c r="AX362" s="224" t="str">
        <f>IFERROR(VLOOKUP($A362,CP!$A$1:$U$7992,20,FALSE),"")</f>
        <v/>
      </c>
      <c r="AY362" s="224" t="str">
        <f>IFERROR(VLOOKUP($A362,CP!$A$1:$U$1,21,FALSE),"")</f>
        <v/>
      </c>
      <c r="AZ362" s="224" t="str">
        <f>IFERROR(VLOOKUP(A362,Devengado!$A$1:AJ1,35,FALSE),"")</f>
        <v/>
      </c>
      <c r="BA362" s="224" t="str">
        <f t="shared" si="43"/>
        <v/>
      </c>
      <c r="BB362" s="224" t="str">
        <f>IFERROR(AZ362/#REF!,"")</f>
        <v/>
      </c>
      <c r="BC362" s="224" t="str">
        <f>IFERROR(VLOOKUP($A362,Devengado!$A$1:$AI$1,22,FALSE),"")</f>
        <v/>
      </c>
      <c r="BD362" s="224" t="str">
        <f>IFERROR(VLOOKUP($A362,Devengado!$A$1:$AI$1,23,FALSE),"")</f>
        <v/>
      </c>
      <c r="BE362" s="224" t="str">
        <f>IFERROR(VLOOKUP($A362,Devengado!$A$1:$AI$1,24,FALSE),"")</f>
        <v/>
      </c>
      <c r="BF362" s="224" t="str">
        <f>IFERROR(VLOOKUP($A362,Devengado!$A$1:$AI$1,25,FALSE),"")</f>
        <v/>
      </c>
      <c r="BG362" s="224" t="str">
        <f>IFERROR(VLOOKUP($A362,Devengado!$A$1:$AI$1,26,FALSE),"")</f>
        <v/>
      </c>
      <c r="BH362" s="224" t="str">
        <f>IFERROR(VLOOKUP($A362,Devengado!$A$1:$AI$1,27,FALSE),"")</f>
        <v/>
      </c>
      <c r="BI362" s="224" t="str">
        <f>IFERROR(VLOOKUP($A362,Devengado!$A$1:$AI$1,28,FALSE),"")</f>
        <v/>
      </c>
      <c r="BJ362" s="224" t="str">
        <f>IFERROR(VLOOKUP($A362,Devengado!$A$1:$AI$1,29,FALSE),"")</f>
        <v/>
      </c>
      <c r="BK362" s="224" t="str">
        <f>IFERROR(VLOOKUP($A362,Devengado!$A$1:$AI$1,30,FALSE),"")</f>
        <v/>
      </c>
      <c r="BL362" s="224" t="str">
        <f>IFERROR(VLOOKUP($A362,Devengado!$A$1:$AI$1,31,FALSE),"")</f>
        <v/>
      </c>
      <c r="BM362" s="224" t="str">
        <f>IFERROR(VLOOKUP($A362,Devengado!$A$1:$AI$1,32,FALSE),"")</f>
        <v/>
      </c>
      <c r="BN362" s="224" t="str">
        <f>IFERROR(VLOOKUP($A362,Devengado!$A$1:$AI$1,33,FALSE),"")</f>
        <v/>
      </c>
      <c r="BO362" s="224">
        <f t="shared" si="44"/>
        <v>0</v>
      </c>
      <c r="BP362" s="224" t="str">
        <f t="shared" si="45"/>
        <v/>
      </c>
      <c r="BQ362" s="207"/>
      <c r="BR362" s="207" t="str">
        <f t="shared" si="46"/>
        <v>53</v>
      </c>
    </row>
    <row r="363" spans="1:70" s="225" customFormat="1" ht="25.5" customHeight="1">
      <c r="A363" s="207">
        <v>359</v>
      </c>
      <c r="B363" s="112" t="s">
        <v>348</v>
      </c>
      <c r="C363" s="112" t="s">
        <v>77</v>
      </c>
      <c r="D363" s="112" t="s">
        <v>77</v>
      </c>
      <c r="E363" s="112" t="s">
        <v>76</v>
      </c>
      <c r="F363" s="112" t="s">
        <v>77</v>
      </c>
      <c r="G363" s="112" t="s">
        <v>77</v>
      </c>
      <c r="H363" s="112" t="s">
        <v>77</v>
      </c>
      <c r="I363" s="112" t="s">
        <v>77</v>
      </c>
      <c r="J363" s="112" t="s">
        <v>77</v>
      </c>
      <c r="K363" s="112" t="s">
        <v>77</v>
      </c>
      <c r="L363" s="112" t="s">
        <v>85</v>
      </c>
      <c r="M363" s="113" t="s">
        <v>383</v>
      </c>
      <c r="N363" s="118" t="s">
        <v>350</v>
      </c>
      <c r="O363" s="118" t="s">
        <v>111</v>
      </c>
      <c r="P363" s="118" t="s">
        <v>81</v>
      </c>
      <c r="Q363" s="118" t="s">
        <v>112</v>
      </c>
      <c r="R363" s="115" t="str">
        <f t="shared" si="40"/>
        <v>53</v>
      </c>
      <c r="S363" s="112">
        <v>530703</v>
      </c>
      <c r="T363" s="122" t="e">
        <f>VLOOKUP(S363,ITEM!$C$1:$D$156,2,FALSE)</f>
        <v>#N/A</v>
      </c>
      <c r="U363" s="112" t="s">
        <v>83</v>
      </c>
      <c r="V363" s="114" t="s">
        <v>82</v>
      </c>
      <c r="W363" s="114" t="s">
        <v>84</v>
      </c>
      <c r="X363" s="114" t="s">
        <v>84</v>
      </c>
      <c r="Y363" s="224" t="e">
        <f>'Matriz POA 2024-TRABAJO'!#REF!</f>
        <v>#REF!</v>
      </c>
      <c r="Z363" s="224" t="e">
        <f>'Matriz POA 2024-TRABAJO'!#REF!</f>
        <v>#REF!</v>
      </c>
      <c r="AA363" s="272" t="e">
        <f>'Matriz POA 2024-TRABAJO'!#REF!</f>
        <v>#REF!</v>
      </c>
      <c r="AB363" s="273">
        <v>0</v>
      </c>
      <c r="AC363" s="273">
        <v>0</v>
      </c>
      <c r="AD363" s="273">
        <v>0</v>
      </c>
      <c r="AE363" s="273">
        <v>250</v>
      </c>
      <c r="AF363" s="273">
        <v>250</v>
      </c>
      <c r="AG363" s="273">
        <v>250</v>
      </c>
      <c r="AH363" s="273">
        <v>250</v>
      </c>
      <c r="AI363" s="273">
        <v>250</v>
      </c>
      <c r="AJ363" s="273">
        <v>250</v>
      </c>
      <c r="AK363" s="273">
        <v>250</v>
      </c>
      <c r="AL363" s="273">
        <v>250</v>
      </c>
      <c r="AM363" s="273">
        <v>250</v>
      </c>
      <c r="AN363" s="272" t="e">
        <f>SUM(#REF!)</f>
        <v>#REF!</v>
      </c>
      <c r="AO363" s="224">
        <f t="shared" si="41"/>
        <v>2250</v>
      </c>
      <c r="AP363" s="224" t="e">
        <f t="shared" si="47"/>
        <v>#REF!</v>
      </c>
      <c r="AQ363" s="224"/>
      <c r="AR363" s="224"/>
      <c r="AS363" s="224"/>
      <c r="AT363" s="224" t="str">
        <f>IFERROR(VLOOKUP($A363,'Constancias POA'!$A$2:$DH$9993,17,FALSE),"")</f>
        <v/>
      </c>
      <c r="AU363" s="224" t="str">
        <f t="shared" si="42"/>
        <v/>
      </c>
      <c r="AV363" s="224" t="str">
        <f>IFERROR(VLOOKUP($A363,CP!$A$1:$U$7992,18,FALSE),"")</f>
        <v/>
      </c>
      <c r="AW363" s="224" t="str">
        <f>IFERROR(VLOOKUP($A363,CP!$A$1:$U$7992,19,FALSE),"")</f>
        <v/>
      </c>
      <c r="AX363" s="224" t="str">
        <f>IFERROR(VLOOKUP($A363,CP!$A$1:$U$7992,20,FALSE),"")</f>
        <v/>
      </c>
      <c r="AY363" s="224" t="str">
        <f>IFERROR(VLOOKUP($A363,CP!$A$1:$U$1,21,FALSE),"")</f>
        <v/>
      </c>
      <c r="AZ363" s="224" t="str">
        <f>IFERROR(VLOOKUP(A363,Devengado!$A$1:AJ1,35,FALSE),"")</f>
        <v/>
      </c>
      <c r="BA363" s="224" t="str">
        <f t="shared" si="43"/>
        <v/>
      </c>
      <c r="BB363" s="224" t="str">
        <f>IFERROR(AZ363/#REF!,"")</f>
        <v/>
      </c>
      <c r="BC363" s="224" t="str">
        <f>IFERROR(VLOOKUP($A363,Devengado!$A$1:$AI$1,22,FALSE),"")</f>
        <v/>
      </c>
      <c r="BD363" s="224" t="str">
        <f>IFERROR(VLOOKUP($A363,Devengado!$A$1:$AI$1,23,FALSE),"")</f>
        <v/>
      </c>
      <c r="BE363" s="224" t="str">
        <f>IFERROR(VLOOKUP($A363,Devengado!$A$1:$AI$1,24,FALSE),"")</f>
        <v/>
      </c>
      <c r="BF363" s="224" t="str">
        <f>IFERROR(VLOOKUP($A363,Devengado!$A$1:$AI$1,25,FALSE),"")</f>
        <v/>
      </c>
      <c r="BG363" s="224" t="str">
        <f>IFERROR(VLOOKUP($A363,Devengado!$A$1:$AI$1,26,FALSE),"")</f>
        <v/>
      </c>
      <c r="BH363" s="224" t="str">
        <f>IFERROR(VLOOKUP($A363,Devengado!$A$1:$AI$1,27,FALSE),"")</f>
        <v/>
      </c>
      <c r="BI363" s="224" t="str">
        <f>IFERROR(VLOOKUP($A363,Devengado!$A$1:$AI$1,28,FALSE),"")</f>
        <v/>
      </c>
      <c r="BJ363" s="224" t="str">
        <f>IFERROR(VLOOKUP($A363,Devengado!$A$1:$AI$1,29,FALSE),"")</f>
        <v/>
      </c>
      <c r="BK363" s="224" t="str">
        <f>IFERROR(VLOOKUP($A363,Devengado!$A$1:$AI$1,30,FALSE),"")</f>
        <v/>
      </c>
      <c r="BL363" s="224" t="str">
        <f>IFERROR(VLOOKUP($A363,Devengado!$A$1:$AI$1,31,FALSE),"")</f>
        <v/>
      </c>
      <c r="BM363" s="224" t="str">
        <f>IFERROR(VLOOKUP($A363,Devengado!$A$1:$AI$1,32,FALSE),"")</f>
        <v/>
      </c>
      <c r="BN363" s="224" t="str">
        <f>IFERROR(VLOOKUP($A363,Devengado!$A$1:$AI$1,33,FALSE),"")</f>
        <v/>
      </c>
      <c r="BO363" s="224">
        <f t="shared" si="44"/>
        <v>0</v>
      </c>
      <c r="BP363" s="224" t="str">
        <f t="shared" si="45"/>
        <v/>
      </c>
      <c r="BQ363" s="207"/>
      <c r="BR363" s="207" t="str">
        <f t="shared" si="46"/>
        <v>53</v>
      </c>
    </row>
    <row r="364" spans="1:70" s="225" customFormat="1" ht="25.5" customHeight="1">
      <c r="A364" s="207">
        <v>360</v>
      </c>
      <c r="B364" s="112" t="s">
        <v>348</v>
      </c>
      <c r="C364" s="112" t="s">
        <v>77</v>
      </c>
      <c r="D364" s="112" t="s">
        <v>77</v>
      </c>
      <c r="E364" s="112" t="s">
        <v>76</v>
      </c>
      <c r="F364" s="112" t="s">
        <v>77</v>
      </c>
      <c r="G364" s="112" t="s">
        <v>77</v>
      </c>
      <c r="H364" s="112" t="s">
        <v>77</v>
      </c>
      <c r="I364" s="112" t="s">
        <v>77</v>
      </c>
      <c r="J364" s="112" t="s">
        <v>77</v>
      </c>
      <c r="K364" s="112" t="s">
        <v>77</v>
      </c>
      <c r="L364" s="112" t="s">
        <v>87</v>
      </c>
      <c r="M364" s="113" t="s">
        <v>383</v>
      </c>
      <c r="N364" s="118" t="s">
        <v>350</v>
      </c>
      <c r="O364" s="118" t="s">
        <v>111</v>
      </c>
      <c r="P364" s="118" t="s">
        <v>81</v>
      </c>
      <c r="Q364" s="118" t="s">
        <v>112</v>
      </c>
      <c r="R364" s="115" t="str">
        <f t="shared" si="40"/>
        <v>53</v>
      </c>
      <c r="S364" s="112">
        <v>530703</v>
      </c>
      <c r="T364" s="122" t="e">
        <f>VLOOKUP(S364,ITEM!$C$1:$D$156,2,FALSE)</f>
        <v>#N/A</v>
      </c>
      <c r="U364" s="112" t="s">
        <v>83</v>
      </c>
      <c r="V364" s="114" t="s">
        <v>82</v>
      </c>
      <c r="W364" s="114" t="s">
        <v>84</v>
      </c>
      <c r="X364" s="114" t="s">
        <v>84</v>
      </c>
      <c r="Y364" s="224" t="e">
        <f>'Matriz POA 2024-TRABAJO'!#REF!</f>
        <v>#REF!</v>
      </c>
      <c r="Z364" s="224" t="e">
        <f>'Matriz POA 2024-TRABAJO'!#REF!</f>
        <v>#REF!</v>
      </c>
      <c r="AA364" s="272" t="e">
        <f>'Matriz POA 2024-TRABAJO'!#REF!</f>
        <v>#REF!</v>
      </c>
      <c r="AB364" s="273">
        <v>131.4</v>
      </c>
      <c r="AC364" s="273">
        <v>0</v>
      </c>
      <c r="AD364" s="273">
        <v>0</v>
      </c>
      <c r="AE364" s="273">
        <v>0</v>
      </c>
      <c r="AF364" s="273">
        <v>0</v>
      </c>
      <c r="AG364" s="273">
        <v>0</v>
      </c>
      <c r="AH364" s="273">
        <v>0</v>
      </c>
      <c r="AI364" s="273">
        <v>0</v>
      </c>
      <c r="AJ364" s="273">
        <v>0</v>
      </c>
      <c r="AK364" s="273">
        <v>0</v>
      </c>
      <c r="AL364" s="273">
        <v>0</v>
      </c>
      <c r="AM364" s="273">
        <v>0</v>
      </c>
      <c r="AN364" s="272" t="e">
        <f>SUM(#REF!)</f>
        <v>#REF!</v>
      </c>
      <c r="AO364" s="224">
        <f t="shared" si="41"/>
        <v>131.4</v>
      </c>
      <c r="AP364" s="224" t="e">
        <f t="shared" si="47"/>
        <v>#REF!</v>
      </c>
      <c r="AQ364" s="224"/>
      <c r="AR364" s="224"/>
      <c r="AS364" s="224"/>
      <c r="AT364" s="224" t="str">
        <f>IFERROR(VLOOKUP($A364,'Constancias POA'!$A$2:$DH$9993,17,FALSE),"")</f>
        <v/>
      </c>
      <c r="AU364" s="224" t="str">
        <f t="shared" si="42"/>
        <v/>
      </c>
      <c r="AV364" s="224" t="str">
        <f>IFERROR(VLOOKUP($A364,CP!$A$1:$U$7992,18,FALSE),"")</f>
        <v/>
      </c>
      <c r="AW364" s="224" t="str">
        <f>IFERROR(VLOOKUP($A364,CP!$A$1:$U$7992,19,FALSE),"")</f>
        <v/>
      </c>
      <c r="AX364" s="224" t="str">
        <f>IFERROR(VLOOKUP($A364,CP!$A$1:$U$7992,20,FALSE),"")</f>
        <v/>
      </c>
      <c r="AY364" s="224" t="str">
        <f>IFERROR(VLOOKUP($A364,CP!$A$1:$U$1,21,FALSE),"")</f>
        <v/>
      </c>
      <c r="AZ364" s="224" t="str">
        <f>IFERROR(VLOOKUP(A364,Devengado!$A$1:AJ1,35,FALSE),"")</f>
        <v/>
      </c>
      <c r="BA364" s="224" t="str">
        <f t="shared" si="43"/>
        <v/>
      </c>
      <c r="BB364" s="224" t="str">
        <f>IFERROR(AZ364/#REF!,"")</f>
        <v/>
      </c>
      <c r="BC364" s="224" t="str">
        <f>IFERROR(VLOOKUP($A364,Devengado!$A$1:$AI$1,22,FALSE),"")</f>
        <v/>
      </c>
      <c r="BD364" s="224" t="str">
        <f>IFERROR(VLOOKUP($A364,Devengado!$A$1:$AI$1,23,FALSE),"")</f>
        <v/>
      </c>
      <c r="BE364" s="224" t="str">
        <f>IFERROR(VLOOKUP($A364,Devengado!$A$1:$AI$1,24,FALSE),"")</f>
        <v/>
      </c>
      <c r="BF364" s="224" t="str">
        <f>IFERROR(VLOOKUP($A364,Devengado!$A$1:$AI$1,25,FALSE),"")</f>
        <v/>
      </c>
      <c r="BG364" s="224" t="str">
        <f>IFERROR(VLOOKUP($A364,Devengado!$A$1:$AI$1,26,FALSE),"")</f>
        <v/>
      </c>
      <c r="BH364" s="224" t="str">
        <f>IFERROR(VLOOKUP($A364,Devengado!$A$1:$AI$1,27,FALSE),"")</f>
        <v/>
      </c>
      <c r="BI364" s="224" t="str">
        <f>IFERROR(VLOOKUP($A364,Devengado!$A$1:$AI$1,28,FALSE),"")</f>
        <v/>
      </c>
      <c r="BJ364" s="224" t="str">
        <f>IFERROR(VLOOKUP($A364,Devengado!$A$1:$AI$1,29,FALSE),"")</f>
        <v/>
      </c>
      <c r="BK364" s="224" t="str">
        <f>IFERROR(VLOOKUP($A364,Devengado!$A$1:$AI$1,30,FALSE),"")</f>
        <v/>
      </c>
      <c r="BL364" s="224" t="str">
        <f>IFERROR(VLOOKUP($A364,Devengado!$A$1:$AI$1,31,FALSE),"")</f>
        <v/>
      </c>
      <c r="BM364" s="224" t="str">
        <f>IFERROR(VLOOKUP($A364,Devengado!$A$1:$AI$1,32,FALSE),"")</f>
        <v/>
      </c>
      <c r="BN364" s="224" t="str">
        <f>IFERROR(VLOOKUP($A364,Devengado!$A$1:$AI$1,33,FALSE),"")</f>
        <v/>
      </c>
      <c r="BO364" s="224">
        <f t="shared" si="44"/>
        <v>0</v>
      </c>
      <c r="BP364" s="224" t="str">
        <f t="shared" si="45"/>
        <v/>
      </c>
      <c r="BQ364" s="207"/>
      <c r="BR364" s="207" t="str">
        <f t="shared" si="46"/>
        <v>53</v>
      </c>
    </row>
    <row r="365" spans="1:70" s="225" customFormat="1" ht="25.5" customHeight="1">
      <c r="A365" s="207">
        <v>361</v>
      </c>
      <c r="B365" s="112" t="s">
        <v>348</v>
      </c>
      <c r="C365" s="112" t="s">
        <v>77</v>
      </c>
      <c r="D365" s="112" t="s">
        <v>77</v>
      </c>
      <c r="E365" s="112" t="s">
        <v>76</v>
      </c>
      <c r="F365" s="112" t="s">
        <v>77</v>
      </c>
      <c r="G365" s="112" t="s">
        <v>77</v>
      </c>
      <c r="H365" s="112" t="s">
        <v>77</v>
      </c>
      <c r="I365" s="112" t="s">
        <v>77</v>
      </c>
      <c r="J365" s="112" t="s">
        <v>77</v>
      </c>
      <c r="K365" s="112" t="s">
        <v>77</v>
      </c>
      <c r="L365" s="112" t="s">
        <v>85</v>
      </c>
      <c r="M365" s="113" t="s">
        <v>379</v>
      </c>
      <c r="N365" s="118" t="s">
        <v>350</v>
      </c>
      <c r="O365" s="118" t="s">
        <v>111</v>
      </c>
      <c r="P365" s="118" t="s">
        <v>81</v>
      </c>
      <c r="Q365" s="118" t="s">
        <v>112</v>
      </c>
      <c r="R365" s="115" t="str">
        <f t="shared" si="40"/>
        <v>53</v>
      </c>
      <c r="S365" s="112">
        <v>530803</v>
      </c>
      <c r="T365" s="122" t="e">
        <f>VLOOKUP(S365,ITEM!$C$1:$D$156,2,FALSE)</f>
        <v>#N/A</v>
      </c>
      <c r="U365" s="112" t="s">
        <v>83</v>
      </c>
      <c r="V365" s="114" t="s">
        <v>82</v>
      </c>
      <c r="W365" s="114" t="s">
        <v>84</v>
      </c>
      <c r="X365" s="114" t="s">
        <v>84</v>
      </c>
      <c r="Y365" s="224" t="e">
        <f>'Matriz POA 2024-TRABAJO'!#REF!</f>
        <v>#REF!</v>
      </c>
      <c r="Z365" s="224" t="e">
        <f>'Matriz POA 2024-TRABAJO'!#REF!</f>
        <v>#REF!</v>
      </c>
      <c r="AA365" s="272" t="e">
        <f>'Matriz POA 2024-TRABAJO'!#REF!</f>
        <v>#REF!</v>
      </c>
      <c r="AB365" s="273">
        <v>0</v>
      </c>
      <c r="AC365" s="273">
        <v>0</v>
      </c>
      <c r="AD365" s="273">
        <v>125</v>
      </c>
      <c r="AE365" s="273">
        <v>0</v>
      </c>
      <c r="AF365" s="273">
        <v>0</v>
      </c>
      <c r="AG365" s="273">
        <v>0</v>
      </c>
      <c r="AH365" s="273">
        <v>0</v>
      </c>
      <c r="AI365" s="273">
        <v>0</v>
      </c>
      <c r="AJ365" s="273">
        <v>125</v>
      </c>
      <c r="AK365" s="273">
        <v>0</v>
      </c>
      <c r="AL365" s="273">
        <v>0</v>
      </c>
      <c r="AM365" s="273">
        <v>0</v>
      </c>
      <c r="AN365" s="272" t="e">
        <f>SUM(#REF!)</f>
        <v>#REF!</v>
      </c>
      <c r="AO365" s="224">
        <f t="shared" si="41"/>
        <v>250</v>
      </c>
      <c r="AP365" s="224" t="e">
        <f t="shared" si="47"/>
        <v>#REF!</v>
      </c>
      <c r="AQ365" s="224"/>
      <c r="AR365" s="224"/>
      <c r="AS365" s="224"/>
      <c r="AT365" s="224" t="str">
        <f>IFERROR(VLOOKUP($A365,'Constancias POA'!$A$2:$DH$9993,17,FALSE),"")</f>
        <v/>
      </c>
      <c r="AU365" s="224" t="str">
        <f t="shared" si="42"/>
        <v/>
      </c>
      <c r="AV365" s="224" t="str">
        <f>IFERROR(VLOOKUP($A365,CP!$A$1:$U$7992,18,FALSE),"")</f>
        <v/>
      </c>
      <c r="AW365" s="224" t="str">
        <f>IFERROR(VLOOKUP($A365,CP!$A$1:$U$7992,19,FALSE),"")</f>
        <v/>
      </c>
      <c r="AX365" s="224" t="str">
        <f>IFERROR(VLOOKUP($A365,CP!$A$1:$U$7992,20,FALSE),"")</f>
        <v/>
      </c>
      <c r="AY365" s="224" t="str">
        <f>IFERROR(VLOOKUP($A365,CP!$A$1:$U$1,21,FALSE),"")</f>
        <v/>
      </c>
      <c r="AZ365" s="224" t="str">
        <f>IFERROR(VLOOKUP(A365,Devengado!$A$1:AJ1,35,FALSE),"")</f>
        <v/>
      </c>
      <c r="BA365" s="224" t="str">
        <f t="shared" si="43"/>
        <v/>
      </c>
      <c r="BB365" s="224" t="str">
        <f>IFERROR(AZ365/#REF!,"")</f>
        <v/>
      </c>
      <c r="BC365" s="224" t="str">
        <f>IFERROR(VLOOKUP($A365,Devengado!$A$1:$AI$1,22,FALSE),"")</f>
        <v/>
      </c>
      <c r="BD365" s="224" t="str">
        <f>IFERROR(VLOOKUP($A365,Devengado!$A$1:$AI$1,23,FALSE),"")</f>
        <v/>
      </c>
      <c r="BE365" s="224" t="str">
        <f>IFERROR(VLOOKUP($A365,Devengado!$A$1:$AI$1,24,FALSE),"")</f>
        <v/>
      </c>
      <c r="BF365" s="224" t="str">
        <f>IFERROR(VLOOKUP($A365,Devengado!$A$1:$AI$1,25,FALSE),"")</f>
        <v/>
      </c>
      <c r="BG365" s="224" t="str">
        <f>IFERROR(VLOOKUP($A365,Devengado!$A$1:$AI$1,26,FALSE),"")</f>
        <v/>
      </c>
      <c r="BH365" s="224" t="str">
        <f>IFERROR(VLOOKUP($A365,Devengado!$A$1:$AI$1,27,FALSE),"")</f>
        <v/>
      </c>
      <c r="BI365" s="224" t="str">
        <f>IFERROR(VLOOKUP($A365,Devengado!$A$1:$AI$1,28,FALSE),"")</f>
        <v/>
      </c>
      <c r="BJ365" s="224" t="str">
        <f>IFERROR(VLOOKUP($A365,Devengado!$A$1:$AI$1,29,FALSE),"")</f>
        <v/>
      </c>
      <c r="BK365" s="224" t="str">
        <f>IFERROR(VLOOKUP($A365,Devengado!$A$1:$AI$1,30,FALSE),"")</f>
        <v/>
      </c>
      <c r="BL365" s="224" t="str">
        <f>IFERROR(VLOOKUP($A365,Devengado!$A$1:$AI$1,31,FALSE),"")</f>
        <v/>
      </c>
      <c r="BM365" s="224" t="str">
        <f>IFERROR(VLOOKUP($A365,Devengado!$A$1:$AI$1,32,FALSE),"")</f>
        <v/>
      </c>
      <c r="BN365" s="224" t="str">
        <f>IFERROR(VLOOKUP($A365,Devengado!$A$1:$AI$1,33,FALSE),"")</f>
        <v/>
      </c>
      <c r="BO365" s="224">
        <f t="shared" si="44"/>
        <v>0</v>
      </c>
      <c r="BP365" s="224" t="str">
        <f t="shared" si="45"/>
        <v/>
      </c>
      <c r="BQ365" s="207"/>
      <c r="BR365" s="207" t="str">
        <f t="shared" si="46"/>
        <v>53</v>
      </c>
    </row>
    <row r="366" spans="1:70" s="225" customFormat="1" ht="25.5" customHeight="1">
      <c r="A366" s="207">
        <v>362</v>
      </c>
      <c r="B366" s="112" t="s">
        <v>348</v>
      </c>
      <c r="C366" s="112" t="s">
        <v>77</v>
      </c>
      <c r="D366" s="112" t="s">
        <v>77</v>
      </c>
      <c r="E366" s="112" t="s">
        <v>76</v>
      </c>
      <c r="F366" s="112" t="s">
        <v>77</v>
      </c>
      <c r="G366" s="112" t="s">
        <v>77</v>
      </c>
      <c r="H366" s="112" t="s">
        <v>77</v>
      </c>
      <c r="I366" s="112" t="s">
        <v>77</v>
      </c>
      <c r="J366" s="112" t="s">
        <v>77</v>
      </c>
      <c r="K366" s="112" t="s">
        <v>77</v>
      </c>
      <c r="L366" s="112" t="s">
        <v>85</v>
      </c>
      <c r="M366" s="113" t="s">
        <v>384</v>
      </c>
      <c r="N366" s="118" t="s">
        <v>350</v>
      </c>
      <c r="O366" s="118" t="s">
        <v>111</v>
      </c>
      <c r="P366" s="118" t="s">
        <v>81</v>
      </c>
      <c r="Q366" s="118" t="s">
        <v>112</v>
      </c>
      <c r="R366" s="115" t="str">
        <f t="shared" si="40"/>
        <v>53</v>
      </c>
      <c r="S366" s="112">
        <v>530811</v>
      </c>
      <c r="T366" s="122" t="e">
        <f>VLOOKUP(S366,ITEM!$C$1:$D$156,2,FALSE)</f>
        <v>#N/A</v>
      </c>
      <c r="U366" s="112" t="s">
        <v>83</v>
      </c>
      <c r="V366" s="114" t="s">
        <v>82</v>
      </c>
      <c r="W366" s="114" t="s">
        <v>84</v>
      </c>
      <c r="X366" s="114" t="s">
        <v>84</v>
      </c>
      <c r="Y366" s="224" t="e">
        <f>'Matriz POA 2024-TRABAJO'!#REF!</f>
        <v>#REF!</v>
      </c>
      <c r="Z366" s="224" t="e">
        <f>'Matriz POA 2024-TRABAJO'!#REF!</f>
        <v>#REF!</v>
      </c>
      <c r="AA366" s="224" t="e">
        <f>'Matriz POA 2024-TRABAJO'!#REF!</f>
        <v>#REF!</v>
      </c>
      <c r="AB366" s="279">
        <v>0</v>
      </c>
      <c r="AC366" s="279">
        <v>0</v>
      </c>
      <c r="AD366" s="279">
        <v>0</v>
      </c>
      <c r="AE366" s="279">
        <v>500</v>
      </c>
      <c r="AF366" s="279">
        <v>0</v>
      </c>
      <c r="AG366" s="279">
        <v>0</v>
      </c>
      <c r="AH366" s="279">
        <v>0</v>
      </c>
      <c r="AI366" s="279">
        <v>0</v>
      </c>
      <c r="AJ366" s="279">
        <v>0</v>
      </c>
      <c r="AK366" s="279">
        <v>0</v>
      </c>
      <c r="AL366" s="279">
        <v>0</v>
      </c>
      <c r="AM366" s="279">
        <v>0</v>
      </c>
      <c r="AN366" s="224" t="e">
        <f>SUM(#REF!)</f>
        <v>#REF!</v>
      </c>
      <c r="AO366" s="224">
        <f t="shared" si="41"/>
        <v>500</v>
      </c>
      <c r="AP366" s="224" t="e">
        <f t="shared" si="47"/>
        <v>#REF!</v>
      </c>
      <c r="AQ366" s="224"/>
      <c r="AR366" s="224"/>
      <c r="AS366" s="224"/>
      <c r="AT366" s="224" t="str">
        <f>IFERROR(VLOOKUP($A366,'Constancias POA'!$A$2:$DH$9993,17,FALSE),"")</f>
        <v/>
      </c>
      <c r="AU366" s="224" t="str">
        <f t="shared" si="42"/>
        <v/>
      </c>
      <c r="AV366" s="224" t="str">
        <f>IFERROR(VLOOKUP($A366,CP!$A$1:$U$7992,18,FALSE),"")</f>
        <v/>
      </c>
      <c r="AW366" s="224" t="str">
        <f>IFERROR(VLOOKUP($A366,CP!$A$1:$U$7992,19,FALSE),"")</f>
        <v/>
      </c>
      <c r="AX366" s="224" t="str">
        <f>IFERROR(VLOOKUP($A366,CP!$A$1:$U$7992,20,FALSE),"")</f>
        <v/>
      </c>
      <c r="AY366" s="224" t="str">
        <f>IFERROR(VLOOKUP($A366,CP!$A$1:$U$1,21,FALSE),"")</f>
        <v/>
      </c>
      <c r="AZ366" s="224" t="str">
        <f>IFERROR(VLOOKUP(A366,Devengado!$A$1:AJ1,35,FALSE),"")</f>
        <v/>
      </c>
      <c r="BA366" s="224" t="str">
        <f t="shared" si="43"/>
        <v/>
      </c>
      <c r="BB366" s="224" t="str">
        <f>IFERROR(AZ366/#REF!,"")</f>
        <v/>
      </c>
      <c r="BC366" s="224" t="str">
        <f>IFERROR(VLOOKUP($A366,Devengado!$A$1:$AI$1,22,FALSE),"")</f>
        <v/>
      </c>
      <c r="BD366" s="224" t="str">
        <f>IFERROR(VLOOKUP($A366,Devengado!$A$1:$AI$1,23,FALSE),"")</f>
        <v/>
      </c>
      <c r="BE366" s="224" t="str">
        <f>IFERROR(VLOOKUP($A366,Devengado!$A$1:$AI$1,24,FALSE),"")</f>
        <v/>
      </c>
      <c r="BF366" s="224" t="str">
        <f>IFERROR(VLOOKUP($A366,Devengado!$A$1:$AI$1,25,FALSE),"")</f>
        <v/>
      </c>
      <c r="BG366" s="224" t="str">
        <f>IFERROR(VLOOKUP($A366,Devengado!$A$1:$AI$1,26,FALSE),"")</f>
        <v/>
      </c>
      <c r="BH366" s="224" t="str">
        <f>IFERROR(VLOOKUP($A366,Devengado!$A$1:$AI$1,27,FALSE),"")</f>
        <v/>
      </c>
      <c r="BI366" s="224" t="str">
        <f>IFERROR(VLOOKUP($A366,Devengado!$A$1:$AI$1,28,FALSE),"")</f>
        <v/>
      </c>
      <c r="BJ366" s="224" t="str">
        <f>IFERROR(VLOOKUP($A366,Devengado!$A$1:$AI$1,29,FALSE),"")</f>
        <v/>
      </c>
      <c r="BK366" s="224" t="str">
        <f>IFERROR(VLOOKUP($A366,Devengado!$A$1:$AI$1,30,FALSE),"")</f>
        <v/>
      </c>
      <c r="BL366" s="224" t="str">
        <f>IFERROR(VLOOKUP($A366,Devengado!$A$1:$AI$1,31,FALSE),"")</f>
        <v/>
      </c>
      <c r="BM366" s="224" t="str">
        <f>IFERROR(VLOOKUP($A366,Devengado!$A$1:$AI$1,32,FALSE),"")</f>
        <v/>
      </c>
      <c r="BN366" s="224" t="str">
        <f>IFERROR(VLOOKUP($A366,Devengado!$A$1:$AI$1,33,FALSE),"")</f>
        <v/>
      </c>
      <c r="BO366" s="224">
        <f t="shared" si="44"/>
        <v>0</v>
      </c>
      <c r="BP366" s="224" t="str">
        <f t="shared" si="45"/>
        <v/>
      </c>
      <c r="BQ366" s="207"/>
      <c r="BR366" s="207" t="str">
        <f t="shared" si="46"/>
        <v>53</v>
      </c>
    </row>
    <row r="367" spans="1:70" s="225" customFormat="1" ht="25.5" customHeight="1">
      <c r="A367" s="207">
        <v>363</v>
      </c>
      <c r="B367" s="112" t="s">
        <v>348</v>
      </c>
      <c r="C367" s="112" t="s">
        <v>77</v>
      </c>
      <c r="D367" s="112" t="s">
        <v>77</v>
      </c>
      <c r="E367" s="112" t="s">
        <v>76</v>
      </c>
      <c r="F367" s="112" t="s">
        <v>77</v>
      </c>
      <c r="G367" s="112" t="s">
        <v>77</v>
      </c>
      <c r="H367" s="112" t="s">
        <v>77</v>
      </c>
      <c r="I367" s="112" t="s">
        <v>77</v>
      </c>
      <c r="J367" s="112" t="s">
        <v>77</v>
      </c>
      <c r="K367" s="112" t="s">
        <v>77</v>
      </c>
      <c r="L367" s="112" t="s">
        <v>85</v>
      </c>
      <c r="M367" s="112" t="s">
        <v>385</v>
      </c>
      <c r="N367" s="118" t="s">
        <v>350</v>
      </c>
      <c r="O367" s="118" t="s">
        <v>111</v>
      </c>
      <c r="P367" s="118" t="s">
        <v>81</v>
      </c>
      <c r="Q367" s="118" t="s">
        <v>112</v>
      </c>
      <c r="R367" s="115" t="str">
        <f t="shared" si="40"/>
        <v>53</v>
      </c>
      <c r="S367" s="124">
        <v>530811</v>
      </c>
      <c r="T367" s="122" t="e">
        <f>VLOOKUP(S367,ITEM!$C$1:$D$156,2,FALSE)</f>
        <v>#N/A</v>
      </c>
      <c r="U367" s="112" t="s">
        <v>83</v>
      </c>
      <c r="V367" s="114" t="s">
        <v>82</v>
      </c>
      <c r="W367" s="114" t="s">
        <v>84</v>
      </c>
      <c r="X367" s="114" t="s">
        <v>84</v>
      </c>
      <c r="Y367" s="224" t="e">
        <f>'Matriz POA 2024-TRABAJO'!#REF!</f>
        <v>#REF!</v>
      </c>
      <c r="Z367" s="224" t="e">
        <f>'Matriz POA 2024-TRABAJO'!#REF!</f>
        <v>#REF!</v>
      </c>
      <c r="AA367" s="272" t="e">
        <f>'Matriz POA 2024-TRABAJO'!#REF!</f>
        <v>#REF!</v>
      </c>
      <c r="AB367" s="273">
        <v>0</v>
      </c>
      <c r="AC367" s="273">
        <v>0</v>
      </c>
      <c r="AD367" s="273">
        <v>4000</v>
      </c>
      <c r="AE367" s="273">
        <v>0</v>
      </c>
      <c r="AF367" s="273">
        <v>0</v>
      </c>
      <c r="AG367" s="273">
        <v>0</v>
      </c>
      <c r="AH367" s="273">
        <v>0</v>
      </c>
      <c r="AI367" s="273">
        <v>0</v>
      </c>
      <c r="AJ367" s="273">
        <v>0</v>
      </c>
      <c r="AK367" s="273">
        <v>0</v>
      </c>
      <c r="AL367" s="273">
        <v>0</v>
      </c>
      <c r="AM367" s="273">
        <v>0</v>
      </c>
      <c r="AN367" s="272" t="e">
        <f>SUM(#REF!)</f>
        <v>#REF!</v>
      </c>
      <c r="AO367" s="224">
        <f t="shared" si="41"/>
        <v>4000</v>
      </c>
      <c r="AP367" s="224" t="e">
        <f t="shared" si="47"/>
        <v>#REF!</v>
      </c>
      <c r="AQ367" s="224"/>
      <c r="AR367" s="224"/>
      <c r="AS367" s="224"/>
      <c r="AT367" s="224" t="str">
        <f>IFERROR(VLOOKUP($A367,'Constancias POA'!$A$2:$DH$9993,17,FALSE),"")</f>
        <v/>
      </c>
      <c r="AU367" s="224" t="str">
        <f t="shared" si="42"/>
        <v/>
      </c>
      <c r="AV367" s="224" t="str">
        <f>IFERROR(VLOOKUP($A367,CP!$A$1:$U$7992,18,FALSE),"")</f>
        <v/>
      </c>
      <c r="AW367" s="224" t="str">
        <f>IFERROR(VLOOKUP($A367,CP!$A$1:$U$7992,19,FALSE),"")</f>
        <v/>
      </c>
      <c r="AX367" s="224" t="str">
        <f>IFERROR(VLOOKUP($A367,CP!$A$1:$U$7992,20,FALSE),"")</f>
        <v/>
      </c>
      <c r="AY367" s="224" t="str">
        <f>IFERROR(VLOOKUP($A367,CP!$A$1:$U$1,21,FALSE),"")</f>
        <v/>
      </c>
      <c r="AZ367" s="224" t="str">
        <f>IFERROR(VLOOKUP(A367,Devengado!$A$1:AJ1,35,FALSE),"")</f>
        <v/>
      </c>
      <c r="BA367" s="224" t="str">
        <f t="shared" si="43"/>
        <v/>
      </c>
      <c r="BB367" s="224" t="str">
        <f>IFERROR(AZ367/#REF!,"")</f>
        <v/>
      </c>
      <c r="BC367" s="224" t="str">
        <f>IFERROR(VLOOKUP($A367,Devengado!$A$1:$AI$1,22,FALSE),"")</f>
        <v/>
      </c>
      <c r="BD367" s="224" t="str">
        <f>IFERROR(VLOOKUP($A367,Devengado!$A$1:$AI$1,23,FALSE),"")</f>
        <v/>
      </c>
      <c r="BE367" s="224" t="str">
        <f>IFERROR(VLOOKUP($A367,Devengado!$A$1:$AI$1,24,FALSE),"")</f>
        <v/>
      </c>
      <c r="BF367" s="224" t="str">
        <f>IFERROR(VLOOKUP($A367,Devengado!$A$1:$AI$1,25,FALSE),"")</f>
        <v/>
      </c>
      <c r="BG367" s="224" t="str">
        <f>IFERROR(VLOOKUP($A367,Devengado!$A$1:$AI$1,26,FALSE),"")</f>
        <v/>
      </c>
      <c r="BH367" s="224" t="str">
        <f>IFERROR(VLOOKUP($A367,Devengado!$A$1:$AI$1,27,FALSE),"")</f>
        <v/>
      </c>
      <c r="BI367" s="224" t="str">
        <f>IFERROR(VLOOKUP($A367,Devengado!$A$1:$AI$1,28,FALSE),"")</f>
        <v/>
      </c>
      <c r="BJ367" s="224" t="str">
        <f>IFERROR(VLOOKUP($A367,Devengado!$A$1:$AI$1,29,FALSE),"")</f>
        <v/>
      </c>
      <c r="BK367" s="224" t="str">
        <f>IFERROR(VLOOKUP($A367,Devengado!$A$1:$AI$1,30,FALSE),"")</f>
        <v/>
      </c>
      <c r="BL367" s="224" t="str">
        <f>IFERROR(VLOOKUP($A367,Devengado!$A$1:$AI$1,31,FALSE),"")</f>
        <v/>
      </c>
      <c r="BM367" s="224" t="str">
        <f>IFERROR(VLOOKUP($A367,Devengado!$A$1:$AI$1,32,FALSE),"")</f>
        <v/>
      </c>
      <c r="BN367" s="224" t="str">
        <f>IFERROR(VLOOKUP($A367,Devengado!$A$1:$AI$1,33,FALSE),"")</f>
        <v/>
      </c>
      <c r="BO367" s="224">
        <f t="shared" si="44"/>
        <v>0</v>
      </c>
      <c r="BP367" s="224" t="str">
        <f t="shared" si="45"/>
        <v/>
      </c>
      <c r="BQ367" s="207"/>
      <c r="BR367" s="207" t="str">
        <f t="shared" si="46"/>
        <v>53</v>
      </c>
    </row>
    <row r="368" spans="1:70" s="225" customFormat="1" ht="25.5" customHeight="1">
      <c r="A368" s="207">
        <v>364</v>
      </c>
      <c r="B368" s="112" t="s">
        <v>348</v>
      </c>
      <c r="C368" s="112" t="s">
        <v>77</v>
      </c>
      <c r="D368" s="112" t="s">
        <v>77</v>
      </c>
      <c r="E368" s="112" t="s">
        <v>76</v>
      </c>
      <c r="F368" s="112" t="s">
        <v>77</v>
      </c>
      <c r="G368" s="112" t="s">
        <v>77</v>
      </c>
      <c r="H368" s="112" t="s">
        <v>77</v>
      </c>
      <c r="I368" s="112" t="s">
        <v>77</v>
      </c>
      <c r="J368" s="112" t="s">
        <v>77</v>
      </c>
      <c r="K368" s="112" t="s">
        <v>77</v>
      </c>
      <c r="L368" s="112" t="s">
        <v>85</v>
      </c>
      <c r="M368" s="113" t="s">
        <v>379</v>
      </c>
      <c r="N368" s="118" t="s">
        <v>350</v>
      </c>
      <c r="O368" s="118" t="s">
        <v>111</v>
      </c>
      <c r="P368" s="118" t="s">
        <v>81</v>
      </c>
      <c r="Q368" s="118" t="s">
        <v>112</v>
      </c>
      <c r="R368" s="115" t="str">
        <f t="shared" si="40"/>
        <v>53</v>
      </c>
      <c r="S368" s="112">
        <v>530813</v>
      </c>
      <c r="T368" s="122" t="e">
        <f>VLOOKUP(S368,ITEM!$C$1:$D$156,2,FALSE)</f>
        <v>#N/A</v>
      </c>
      <c r="U368" s="112" t="s">
        <v>83</v>
      </c>
      <c r="V368" s="114" t="s">
        <v>82</v>
      </c>
      <c r="W368" s="114" t="s">
        <v>84</v>
      </c>
      <c r="X368" s="114" t="s">
        <v>84</v>
      </c>
      <c r="Y368" s="224" t="e">
        <f>'Matriz POA 2024-TRABAJO'!#REF!</f>
        <v>#REF!</v>
      </c>
      <c r="Z368" s="224" t="e">
        <f>'Matriz POA 2024-TRABAJO'!#REF!</f>
        <v>#REF!</v>
      </c>
      <c r="AA368" s="272" t="e">
        <f>'Matriz POA 2024-TRABAJO'!#REF!</f>
        <v>#REF!</v>
      </c>
      <c r="AB368" s="273">
        <v>0</v>
      </c>
      <c r="AC368" s="273">
        <v>0</v>
      </c>
      <c r="AD368" s="273">
        <v>100</v>
      </c>
      <c r="AE368" s="273">
        <v>0</v>
      </c>
      <c r="AF368" s="273">
        <v>0</v>
      </c>
      <c r="AG368" s="273">
        <v>0</v>
      </c>
      <c r="AH368" s="273">
        <v>0</v>
      </c>
      <c r="AI368" s="273">
        <v>0</v>
      </c>
      <c r="AJ368" s="273">
        <v>100</v>
      </c>
      <c r="AK368" s="273">
        <v>0</v>
      </c>
      <c r="AL368" s="273">
        <v>0</v>
      </c>
      <c r="AM368" s="273">
        <v>0</v>
      </c>
      <c r="AN368" s="272" t="e">
        <f>SUM(#REF!)</f>
        <v>#REF!</v>
      </c>
      <c r="AO368" s="224">
        <f t="shared" si="41"/>
        <v>200</v>
      </c>
      <c r="AP368" s="224" t="e">
        <f t="shared" si="47"/>
        <v>#REF!</v>
      </c>
      <c r="AQ368" s="224"/>
      <c r="AR368" s="224"/>
      <c r="AS368" s="224"/>
      <c r="AT368" s="224" t="str">
        <f>IFERROR(VLOOKUP($A368,'Constancias POA'!$A$2:$DH$9993,17,FALSE),"")</f>
        <v/>
      </c>
      <c r="AU368" s="224" t="str">
        <f t="shared" si="42"/>
        <v/>
      </c>
      <c r="AV368" s="224" t="str">
        <f>IFERROR(VLOOKUP($A368,CP!$A$1:$U$7992,18,FALSE),"")</f>
        <v/>
      </c>
      <c r="AW368" s="224" t="str">
        <f>IFERROR(VLOOKUP($A368,CP!$A$1:$U$7992,19,FALSE),"")</f>
        <v/>
      </c>
      <c r="AX368" s="224" t="str">
        <f>IFERROR(VLOOKUP($A368,CP!$A$1:$U$7992,20,FALSE),"")</f>
        <v/>
      </c>
      <c r="AY368" s="224" t="str">
        <f>IFERROR(VLOOKUP($A368,CP!$A$1:$U$1,21,FALSE),"")</f>
        <v/>
      </c>
      <c r="AZ368" s="224" t="str">
        <f>IFERROR(VLOOKUP(A368,Devengado!$A$1:AJ1,35,FALSE),"")</f>
        <v/>
      </c>
      <c r="BA368" s="224" t="str">
        <f t="shared" si="43"/>
        <v/>
      </c>
      <c r="BB368" s="224" t="str">
        <f>IFERROR(AZ368/#REF!,"")</f>
        <v/>
      </c>
      <c r="BC368" s="224" t="str">
        <f>IFERROR(VLOOKUP($A368,Devengado!$A$1:$AI$1,22,FALSE),"")</f>
        <v/>
      </c>
      <c r="BD368" s="224" t="str">
        <f>IFERROR(VLOOKUP($A368,Devengado!$A$1:$AI$1,23,FALSE),"")</f>
        <v/>
      </c>
      <c r="BE368" s="224" t="str">
        <f>IFERROR(VLOOKUP($A368,Devengado!$A$1:$AI$1,24,FALSE),"")</f>
        <v/>
      </c>
      <c r="BF368" s="224" t="str">
        <f>IFERROR(VLOOKUP($A368,Devengado!$A$1:$AI$1,25,FALSE),"")</f>
        <v/>
      </c>
      <c r="BG368" s="224" t="str">
        <f>IFERROR(VLOOKUP($A368,Devengado!$A$1:$AI$1,26,FALSE),"")</f>
        <v/>
      </c>
      <c r="BH368" s="224" t="str">
        <f>IFERROR(VLOOKUP($A368,Devengado!$A$1:$AI$1,27,FALSE),"")</f>
        <v/>
      </c>
      <c r="BI368" s="224" t="str">
        <f>IFERROR(VLOOKUP($A368,Devengado!$A$1:$AI$1,28,FALSE),"")</f>
        <v/>
      </c>
      <c r="BJ368" s="224" t="str">
        <f>IFERROR(VLOOKUP($A368,Devengado!$A$1:$AI$1,29,FALSE),"")</f>
        <v/>
      </c>
      <c r="BK368" s="224" t="str">
        <f>IFERROR(VLOOKUP($A368,Devengado!$A$1:$AI$1,30,FALSE),"")</f>
        <v/>
      </c>
      <c r="BL368" s="224" t="str">
        <f>IFERROR(VLOOKUP($A368,Devengado!$A$1:$AI$1,31,FALSE),"")</f>
        <v/>
      </c>
      <c r="BM368" s="224" t="str">
        <f>IFERROR(VLOOKUP($A368,Devengado!$A$1:$AI$1,32,FALSE),"")</f>
        <v/>
      </c>
      <c r="BN368" s="224" t="str">
        <f>IFERROR(VLOOKUP($A368,Devengado!$A$1:$AI$1,33,FALSE),"")</f>
        <v/>
      </c>
      <c r="BO368" s="224">
        <f t="shared" si="44"/>
        <v>0</v>
      </c>
      <c r="BP368" s="224" t="str">
        <f t="shared" si="45"/>
        <v/>
      </c>
      <c r="BQ368" s="207"/>
      <c r="BR368" s="207" t="str">
        <f t="shared" si="46"/>
        <v>53</v>
      </c>
    </row>
    <row r="369" spans="1:70" s="225" customFormat="1" ht="25.5" customHeight="1">
      <c r="A369" s="207">
        <v>365</v>
      </c>
      <c r="B369" s="112" t="s">
        <v>348</v>
      </c>
      <c r="C369" s="112" t="s">
        <v>77</v>
      </c>
      <c r="D369" s="112" t="s">
        <v>77</v>
      </c>
      <c r="E369" s="112" t="s">
        <v>76</v>
      </c>
      <c r="F369" s="112" t="s">
        <v>77</v>
      </c>
      <c r="G369" s="112" t="s">
        <v>77</v>
      </c>
      <c r="H369" s="112" t="s">
        <v>77</v>
      </c>
      <c r="I369" s="112" t="s">
        <v>77</v>
      </c>
      <c r="J369" s="112" t="s">
        <v>77</v>
      </c>
      <c r="K369" s="112" t="s">
        <v>77</v>
      </c>
      <c r="L369" s="112" t="s">
        <v>85</v>
      </c>
      <c r="M369" s="112" t="s">
        <v>386</v>
      </c>
      <c r="N369" s="118" t="s">
        <v>350</v>
      </c>
      <c r="O369" s="118" t="s">
        <v>111</v>
      </c>
      <c r="P369" s="118" t="s">
        <v>81</v>
      </c>
      <c r="Q369" s="118" t="s">
        <v>112</v>
      </c>
      <c r="R369" s="115" t="str">
        <f t="shared" si="40"/>
        <v>53</v>
      </c>
      <c r="S369" s="133">
        <v>530829</v>
      </c>
      <c r="T369" s="122" t="e">
        <f>VLOOKUP(S369,ITEM!$C$1:$D$156,2,FALSE)</f>
        <v>#N/A</v>
      </c>
      <c r="U369" s="112" t="s">
        <v>83</v>
      </c>
      <c r="V369" s="114" t="s">
        <v>82</v>
      </c>
      <c r="W369" s="114" t="s">
        <v>84</v>
      </c>
      <c r="X369" s="114" t="s">
        <v>84</v>
      </c>
      <c r="Y369" s="224" t="e">
        <f>'Matriz POA 2024-TRABAJO'!#REF!</f>
        <v>#REF!</v>
      </c>
      <c r="Z369" s="224" t="e">
        <f>'Matriz POA 2024-TRABAJO'!#REF!</f>
        <v>#REF!</v>
      </c>
      <c r="AA369" s="272" t="e">
        <f>'Matriz POA 2024-TRABAJO'!#REF!</f>
        <v>#REF!</v>
      </c>
      <c r="AB369" s="273">
        <v>0</v>
      </c>
      <c r="AC369" s="273"/>
      <c r="AD369" s="273">
        <v>1500</v>
      </c>
      <c r="AE369" s="273">
        <v>0</v>
      </c>
      <c r="AF369" s="273">
        <v>0</v>
      </c>
      <c r="AG369" s="273">
        <v>0</v>
      </c>
      <c r="AH369" s="273">
        <v>0</v>
      </c>
      <c r="AI369" s="273">
        <v>0</v>
      </c>
      <c r="AJ369" s="273">
        <v>0</v>
      </c>
      <c r="AK369" s="273">
        <v>0</v>
      </c>
      <c r="AL369" s="273">
        <v>0</v>
      </c>
      <c r="AM369" s="273">
        <v>0</v>
      </c>
      <c r="AN369" s="272" t="e">
        <f>SUM(#REF!)</f>
        <v>#REF!</v>
      </c>
      <c r="AO369" s="224">
        <f t="shared" si="41"/>
        <v>1500</v>
      </c>
      <c r="AP369" s="224" t="e">
        <f t="shared" si="47"/>
        <v>#REF!</v>
      </c>
      <c r="AQ369" s="224"/>
      <c r="AR369" s="224"/>
      <c r="AS369" s="224"/>
      <c r="AT369" s="224" t="str">
        <f>IFERROR(VLOOKUP($A369,'Constancias POA'!$A$2:$DH$9993,17,FALSE),"")</f>
        <v/>
      </c>
      <c r="AU369" s="224" t="str">
        <f t="shared" si="42"/>
        <v/>
      </c>
      <c r="AV369" s="224" t="str">
        <f>IFERROR(VLOOKUP($A369,CP!$A$1:$U$7992,18,FALSE),"")</f>
        <v/>
      </c>
      <c r="AW369" s="224" t="str">
        <f>IFERROR(VLOOKUP($A369,CP!$A$1:$U$7992,19,FALSE),"")</f>
        <v/>
      </c>
      <c r="AX369" s="224" t="str">
        <f>IFERROR(VLOOKUP($A369,CP!$A$1:$U$7992,20,FALSE),"")</f>
        <v/>
      </c>
      <c r="AY369" s="224" t="str">
        <f>IFERROR(VLOOKUP($A369,CP!$A$1:$U$1,21,FALSE),"")</f>
        <v/>
      </c>
      <c r="AZ369" s="224" t="str">
        <f>IFERROR(VLOOKUP(A369,Devengado!$A$1:AJ1,35,FALSE),"")</f>
        <v/>
      </c>
      <c r="BA369" s="224" t="str">
        <f t="shared" si="43"/>
        <v/>
      </c>
      <c r="BB369" s="224" t="str">
        <f>IFERROR(AZ369/#REF!,"")</f>
        <v/>
      </c>
      <c r="BC369" s="224" t="str">
        <f>IFERROR(VLOOKUP($A369,Devengado!$A$1:$AI$1,22,FALSE),"")</f>
        <v/>
      </c>
      <c r="BD369" s="224" t="str">
        <f>IFERROR(VLOOKUP($A369,Devengado!$A$1:$AI$1,23,FALSE),"")</f>
        <v/>
      </c>
      <c r="BE369" s="224" t="str">
        <f>IFERROR(VLOOKUP($A369,Devengado!$A$1:$AI$1,24,FALSE),"")</f>
        <v/>
      </c>
      <c r="BF369" s="224" t="str">
        <f>IFERROR(VLOOKUP($A369,Devengado!$A$1:$AI$1,25,FALSE),"")</f>
        <v/>
      </c>
      <c r="BG369" s="224" t="str">
        <f>IFERROR(VLOOKUP($A369,Devengado!$A$1:$AI$1,26,FALSE),"")</f>
        <v/>
      </c>
      <c r="BH369" s="224" t="str">
        <f>IFERROR(VLOOKUP($A369,Devengado!$A$1:$AI$1,27,FALSE),"")</f>
        <v/>
      </c>
      <c r="BI369" s="224" t="str">
        <f>IFERROR(VLOOKUP($A369,Devengado!$A$1:$AI$1,28,FALSE),"")</f>
        <v/>
      </c>
      <c r="BJ369" s="224" t="str">
        <f>IFERROR(VLOOKUP($A369,Devengado!$A$1:$AI$1,29,FALSE),"")</f>
        <v/>
      </c>
      <c r="BK369" s="224" t="str">
        <f>IFERROR(VLOOKUP($A369,Devengado!$A$1:$AI$1,30,FALSE),"")</f>
        <v/>
      </c>
      <c r="BL369" s="224" t="str">
        <f>IFERROR(VLOOKUP($A369,Devengado!$A$1:$AI$1,31,FALSE),"")</f>
        <v/>
      </c>
      <c r="BM369" s="224" t="str">
        <f>IFERROR(VLOOKUP($A369,Devengado!$A$1:$AI$1,32,FALSE),"")</f>
        <v/>
      </c>
      <c r="BN369" s="224" t="str">
        <f>IFERROR(VLOOKUP($A369,Devengado!$A$1:$AI$1,33,FALSE),"")</f>
        <v/>
      </c>
      <c r="BO369" s="224">
        <f t="shared" si="44"/>
        <v>0</v>
      </c>
      <c r="BP369" s="224" t="str">
        <f t="shared" si="45"/>
        <v/>
      </c>
      <c r="BQ369" s="207"/>
      <c r="BR369" s="207" t="str">
        <f t="shared" si="46"/>
        <v>53</v>
      </c>
    </row>
    <row r="370" spans="1:70" s="225" customFormat="1" ht="25.5" customHeight="1">
      <c r="A370" s="207">
        <v>366</v>
      </c>
      <c r="B370" s="112" t="s">
        <v>348</v>
      </c>
      <c r="C370" s="112" t="s">
        <v>77</v>
      </c>
      <c r="D370" s="112" t="s">
        <v>77</v>
      </c>
      <c r="E370" s="112" t="s">
        <v>76</v>
      </c>
      <c r="F370" s="112" t="s">
        <v>77</v>
      </c>
      <c r="G370" s="112" t="s">
        <v>77</v>
      </c>
      <c r="H370" s="112" t="s">
        <v>77</v>
      </c>
      <c r="I370" s="112" t="s">
        <v>77</v>
      </c>
      <c r="J370" s="112" t="s">
        <v>77</v>
      </c>
      <c r="K370" s="112" t="s">
        <v>77</v>
      </c>
      <c r="L370" s="112" t="s">
        <v>85</v>
      </c>
      <c r="M370" s="112" t="s">
        <v>387</v>
      </c>
      <c r="N370" s="118" t="s">
        <v>350</v>
      </c>
      <c r="O370" s="118" t="s">
        <v>111</v>
      </c>
      <c r="P370" s="118" t="s">
        <v>81</v>
      </c>
      <c r="Q370" s="118" t="s">
        <v>112</v>
      </c>
      <c r="R370" s="115" t="str">
        <f t="shared" si="40"/>
        <v>53</v>
      </c>
      <c r="S370" s="124">
        <v>531403</v>
      </c>
      <c r="T370" s="122" t="e">
        <f>VLOOKUP(S370,ITEM!$C$1:$D$156,2,FALSE)</f>
        <v>#N/A</v>
      </c>
      <c r="U370" s="112" t="s">
        <v>83</v>
      </c>
      <c r="V370" s="114" t="s">
        <v>82</v>
      </c>
      <c r="W370" s="114" t="s">
        <v>84</v>
      </c>
      <c r="X370" s="114" t="s">
        <v>84</v>
      </c>
      <c r="Y370" s="224" t="e">
        <f>'Matriz POA 2024-TRABAJO'!#REF!</f>
        <v>#REF!</v>
      </c>
      <c r="Z370" s="224" t="e">
        <f>'Matriz POA 2024-TRABAJO'!#REF!</f>
        <v>#REF!</v>
      </c>
      <c r="AA370" s="224" t="e">
        <f>'Matriz POA 2024-TRABAJO'!#REF!</f>
        <v>#REF!</v>
      </c>
      <c r="AB370" s="279">
        <v>0</v>
      </c>
      <c r="AC370" s="279">
        <v>0</v>
      </c>
      <c r="AD370" s="279"/>
      <c r="AE370" s="279">
        <v>0</v>
      </c>
      <c r="AF370" s="279">
        <v>0</v>
      </c>
      <c r="AG370" s="279">
        <v>0</v>
      </c>
      <c r="AH370" s="279">
        <v>0</v>
      </c>
      <c r="AI370" s="279">
        <v>0</v>
      </c>
      <c r="AJ370" s="279">
        <v>0</v>
      </c>
      <c r="AK370" s="279">
        <v>0</v>
      </c>
      <c r="AL370" s="279">
        <v>0</v>
      </c>
      <c r="AM370" s="279">
        <v>0</v>
      </c>
      <c r="AN370" s="224" t="e">
        <f>SUM(#REF!)</f>
        <v>#REF!</v>
      </c>
      <c r="AO370" s="224">
        <f t="shared" si="41"/>
        <v>0</v>
      </c>
      <c r="AP370" s="224" t="e">
        <f t="shared" si="47"/>
        <v>#REF!</v>
      </c>
      <c r="AQ370" s="224"/>
      <c r="AR370" s="224"/>
      <c r="AS370" s="224"/>
      <c r="AT370" s="224" t="str">
        <f>IFERROR(VLOOKUP($A370,'Constancias POA'!$A$2:$DH$9993,17,FALSE),"")</f>
        <v/>
      </c>
      <c r="AU370" s="224" t="str">
        <f t="shared" si="42"/>
        <v/>
      </c>
      <c r="AV370" s="224" t="str">
        <f>IFERROR(VLOOKUP($A370,CP!$A$1:$U$7992,18,FALSE),"")</f>
        <v/>
      </c>
      <c r="AW370" s="224" t="str">
        <f>IFERROR(VLOOKUP($A370,CP!$A$1:$U$7992,19,FALSE),"")</f>
        <v/>
      </c>
      <c r="AX370" s="224" t="str">
        <f>IFERROR(VLOOKUP($A370,CP!$A$1:$U$7992,20,FALSE),"")</f>
        <v/>
      </c>
      <c r="AY370" s="224" t="str">
        <f>IFERROR(VLOOKUP($A370,CP!$A$1:$U$1,21,FALSE),"")</f>
        <v/>
      </c>
      <c r="AZ370" s="224" t="str">
        <f>IFERROR(VLOOKUP(A370,Devengado!$A$1:AJ1,35,FALSE),"")</f>
        <v/>
      </c>
      <c r="BA370" s="224" t="str">
        <f t="shared" si="43"/>
        <v/>
      </c>
      <c r="BB370" s="224" t="str">
        <f>IFERROR(AZ370/#REF!,"")</f>
        <v/>
      </c>
      <c r="BC370" s="224" t="str">
        <f>IFERROR(VLOOKUP($A370,Devengado!$A$1:$AI$1,22,FALSE),"")</f>
        <v/>
      </c>
      <c r="BD370" s="224" t="str">
        <f>IFERROR(VLOOKUP($A370,Devengado!$A$1:$AI$1,23,FALSE),"")</f>
        <v/>
      </c>
      <c r="BE370" s="224" t="str">
        <f>IFERROR(VLOOKUP($A370,Devengado!$A$1:$AI$1,24,FALSE),"")</f>
        <v/>
      </c>
      <c r="BF370" s="224" t="str">
        <f>IFERROR(VLOOKUP($A370,Devengado!$A$1:$AI$1,25,FALSE),"")</f>
        <v/>
      </c>
      <c r="BG370" s="224" t="str">
        <f>IFERROR(VLOOKUP($A370,Devengado!$A$1:$AI$1,26,FALSE),"")</f>
        <v/>
      </c>
      <c r="BH370" s="224" t="str">
        <f>IFERROR(VLOOKUP($A370,Devengado!$A$1:$AI$1,27,FALSE),"")</f>
        <v/>
      </c>
      <c r="BI370" s="224" t="str">
        <f>IFERROR(VLOOKUP($A370,Devengado!$A$1:$AI$1,28,FALSE),"")</f>
        <v/>
      </c>
      <c r="BJ370" s="224" t="str">
        <f>IFERROR(VLOOKUP($A370,Devengado!$A$1:$AI$1,29,FALSE),"")</f>
        <v/>
      </c>
      <c r="BK370" s="224" t="str">
        <f>IFERROR(VLOOKUP($A370,Devengado!$A$1:$AI$1,30,FALSE),"")</f>
        <v/>
      </c>
      <c r="BL370" s="224" t="str">
        <f>IFERROR(VLOOKUP($A370,Devengado!$A$1:$AI$1,31,FALSE),"")</f>
        <v/>
      </c>
      <c r="BM370" s="224" t="str">
        <f>IFERROR(VLOOKUP($A370,Devengado!$A$1:$AI$1,32,FALSE),"")</f>
        <v/>
      </c>
      <c r="BN370" s="224" t="str">
        <f>IFERROR(VLOOKUP($A370,Devengado!$A$1:$AI$1,33,FALSE),"")</f>
        <v/>
      </c>
      <c r="BO370" s="224">
        <f t="shared" si="44"/>
        <v>0</v>
      </c>
      <c r="BP370" s="224" t="str">
        <f t="shared" si="45"/>
        <v/>
      </c>
      <c r="BQ370" s="207"/>
      <c r="BR370" s="207" t="str">
        <f t="shared" si="46"/>
        <v>53</v>
      </c>
    </row>
    <row r="371" spans="1:70" s="225" customFormat="1" ht="25.5" customHeight="1">
      <c r="A371" s="207">
        <v>367</v>
      </c>
      <c r="B371" s="112" t="s">
        <v>348</v>
      </c>
      <c r="C371" s="112" t="s">
        <v>77</v>
      </c>
      <c r="D371" s="112" t="s">
        <v>77</v>
      </c>
      <c r="E371" s="112" t="s">
        <v>76</v>
      </c>
      <c r="F371" s="112" t="s">
        <v>77</v>
      </c>
      <c r="G371" s="112" t="s">
        <v>77</v>
      </c>
      <c r="H371" s="112" t="s">
        <v>77</v>
      </c>
      <c r="I371" s="112" t="s">
        <v>77</v>
      </c>
      <c r="J371" s="112" t="s">
        <v>77</v>
      </c>
      <c r="K371" s="112" t="s">
        <v>77</v>
      </c>
      <c r="L371" s="112" t="s">
        <v>85</v>
      </c>
      <c r="M371" s="112" t="s">
        <v>388</v>
      </c>
      <c r="N371" s="118" t="s">
        <v>350</v>
      </c>
      <c r="O371" s="118" t="s">
        <v>111</v>
      </c>
      <c r="P371" s="118" t="s">
        <v>81</v>
      </c>
      <c r="Q371" s="118" t="s">
        <v>112</v>
      </c>
      <c r="R371" s="115" t="str">
        <f t="shared" si="40"/>
        <v>53</v>
      </c>
      <c r="S371" s="124">
        <v>531601</v>
      </c>
      <c r="T371" s="122" t="e">
        <f>VLOOKUP(S371,ITEM!$C$1:$D$156,2,FALSE)</f>
        <v>#N/A</v>
      </c>
      <c r="U371" s="112" t="s">
        <v>83</v>
      </c>
      <c r="V371" s="114" t="s">
        <v>82</v>
      </c>
      <c r="W371" s="114" t="s">
        <v>84</v>
      </c>
      <c r="X371" s="114" t="s">
        <v>84</v>
      </c>
      <c r="Y371" s="224" t="e">
        <f>'Matriz POA 2024-TRABAJO'!#REF!</f>
        <v>#REF!</v>
      </c>
      <c r="Z371" s="224" t="e">
        <f>'Matriz POA 2024-TRABAJO'!#REF!</f>
        <v>#REF!</v>
      </c>
      <c r="AA371" s="272" t="e">
        <f>'Matriz POA 2024-TRABAJO'!#REF!</f>
        <v>#REF!</v>
      </c>
      <c r="AB371" s="273">
        <v>0</v>
      </c>
      <c r="AC371" s="273">
        <v>0</v>
      </c>
      <c r="AD371" s="273">
        <v>1000</v>
      </c>
      <c r="AE371" s="273">
        <v>0</v>
      </c>
      <c r="AF371" s="273">
        <v>0</v>
      </c>
      <c r="AG371" s="273">
        <v>0</v>
      </c>
      <c r="AH371" s="273">
        <v>0</v>
      </c>
      <c r="AI371" s="273">
        <v>0</v>
      </c>
      <c r="AJ371" s="273">
        <v>0</v>
      </c>
      <c r="AK371" s="273">
        <v>0</v>
      </c>
      <c r="AL371" s="273">
        <v>0</v>
      </c>
      <c r="AM371" s="273">
        <v>0</v>
      </c>
      <c r="AN371" s="272" t="e">
        <f>SUM(#REF!)</f>
        <v>#REF!</v>
      </c>
      <c r="AO371" s="224">
        <f t="shared" si="41"/>
        <v>1000</v>
      </c>
      <c r="AP371" s="224" t="e">
        <f t="shared" si="47"/>
        <v>#REF!</v>
      </c>
      <c r="AQ371" s="224"/>
      <c r="AR371" s="224"/>
      <c r="AS371" s="224"/>
      <c r="AT371" s="224" t="str">
        <f>IFERROR(VLOOKUP($A371,'Constancias POA'!$A$2:$DH$9993,17,FALSE),"")</f>
        <v/>
      </c>
      <c r="AU371" s="224" t="str">
        <f t="shared" si="42"/>
        <v/>
      </c>
      <c r="AV371" s="224" t="str">
        <f>IFERROR(VLOOKUP($A371,CP!$A$1:$U$7992,18,FALSE),"")</f>
        <v/>
      </c>
      <c r="AW371" s="224" t="str">
        <f>IFERROR(VLOOKUP($A371,CP!$A$1:$U$7992,19,FALSE),"")</f>
        <v/>
      </c>
      <c r="AX371" s="224" t="str">
        <f>IFERROR(VLOOKUP($A371,CP!$A$1:$U$7992,20,FALSE),"")</f>
        <v/>
      </c>
      <c r="AY371" s="224" t="str">
        <f>IFERROR(VLOOKUP($A371,CP!$A$1:$U$1,21,FALSE),"")</f>
        <v/>
      </c>
      <c r="AZ371" s="224" t="str">
        <f>IFERROR(VLOOKUP(A371,Devengado!$A$1:AJ1,35,FALSE),"")</f>
        <v/>
      </c>
      <c r="BA371" s="224" t="str">
        <f t="shared" si="43"/>
        <v/>
      </c>
      <c r="BB371" s="224" t="str">
        <f>IFERROR(AZ371/#REF!,"")</f>
        <v/>
      </c>
      <c r="BC371" s="224" t="str">
        <f>IFERROR(VLOOKUP($A371,Devengado!$A$1:$AI$1,22,FALSE),"")</f>
        <v/>
      </c>
      <c r="BD371" s="224" t="str">
        <f>IFERROR(VLOOKUP($A371,Devengado!$A$1:$AI$1,23,FALSE),"")</f>
        <v/>
      </c>
      <c r="BE371" s="224" t="str">
        <f>IFERROR(VLOOKUP($A371,Devengado!$A$1:$AI$1,24,FALSE),"")</f>
        <v/>
      </c>
      <c r="BF371" s="224" t="str">
        <f>IFERROR(VLOOKUP($A371,Devengado!$A$1:$AI$1,25,FALSE),"")</f>
        <v/>
      </c>
      <c r="BG371" s="224" t="str">
        <f>IFERROR(VLOOKUP($A371,Devengado!$A$1:$AI$1,26,FALSE),"")</f>
        <v/>
      </c>
      <c r="BH371" s="224" t="str">
        <f>IFERROR(VLOOKUP($A371,Devengado!$A$1:$AI$1,27,FALSE),"")</f>
        <v/>
      </c>
      <c r="BI371" s="224" t="str">
        <f>IFERROR(VLOOKUP($A371,Devengado!$A$1:$AI$1,28,FALSE),"")</f>
        <v/>
      </c>
      <c r="BJ371" s="224" t="str">
        <f>IFERROR(VLOOKUP($A371,Devengado!$A$1:$AI$1,29,FALSE),"")</f>
        <v/>
      </c>
      <c r="BK371" s="224" t="str">
        <f>IFERROR(VLOOKUP($A371,Devengado!$A$1:$AI$1,30,FALSE),"")</f>
        <v/>
      </c>
      <c r="BL371" s="224" t="str">
        <f>IFERROR(VLOOKUP($A371,Devengado!$A$1:$AI$1,31,FALSE),"")</f>
        <v/>
      </c>
      <c r="BM371" s="224" t="str">
        <f>IFERROR(VLOOKUP($A371,Devengado!$A$1:$AI$1,32,FALSE),"")</f>
        <v/>
      </c>
      <c r="BN371" s="224" t="str">
        <f>IFERROR(VLOOKUP($A371,Devengado!$A$1:$AI$1,33,FALSE),"")</f>
        <v/>
      </c>
      <c r="BO371" s="224">
        <f t="shared" si="44"/>
        <v>0</v>
      </c>
      <c r="BP371" s="224" t="str">
        <f t="shared" si="45"/>
        <v/>
      </c>
      <c r="BQ371" s="207"/>
      <c r="BR371" s="207" t="str">
        <f t="shared" si="46"/>
        <v>53</v>
      </c>
    </row>
    <row r="372" spans="1:70" s="225" customFormat="1" ht="25.5" customHeight="1">
      <c r="A372" s="207">
        <v>368</v>
      </c>
      <c r="B372" s="112" t="s">
        <v>348</v>
      </c>
      <c r="C372" s="112" t="s">
        <v>77</v>
      </c>
      <c r="D372" s="112" t="s">
        <v>77</v>
      </c>
      <c r="E372" s="112" t="s">
        <v>76</v>
      </c>
      <c r="F372" s="112" t="s">
        <v>77</v>
      </c>
      <c r="G372" s="112" t="s">
        <v>77</v>
      </c>
      <c r="H372" s="112" t="s">
        <v>77</v>
      </c>
      <c r="I372" s="112" t="s">
        <v>77</v>
      </c>
      <c r="J372" s="112" t="s">
        <v>77</v>
      </c>
      <c r="K372" s="112" t="s">
        <v>77</v>
      </c>
      <c r="L372" s="112" t="s">
        <v>85</v>
      </c>
      <c r="M372" s="112" t="s">
        <v>389</v>
      </c>
      <c r="N372" s="118" t="s">
        <v>350</v>
      </c>
      <c r="O372" s="118" t="s">
        <v>111</v>
      </c>
      <c r="P372" s="118" t="s">
        <v>81</v>
      </c>
      <c r="Q372" s="118" t="s">
        <v>112</v>
      </c>
      <c r="R372" s="115" t="str">
        <f t="shared" si="40"/>
        <v>57</v>
      </c>
      <c r="S372" s="124">
        <v>570102</v>
      </c>
      <c r="T372" s="122" t="e">
        <f>VLOOKUP(S372,ITEM!$C$1:$D$156,2,FALSE)</f>
        <v>#N/A</v>
      </c>
      <c r="U372" s="112" t="s">
        <v>83</v>
      </c>
      <c r="V372" s="114" t="s">
        <v>82</v>
      </c>
      <c r="W372" s="114" t="s">
        <v>84</v>
      </c>
      <c r="X372" s="114" t="s">
        <v>84</v>
      </c>
      <c r="Y372" s="224" t="e">
        <f>'Matriz POA 2024-TRABAJO'!#REF!</f>
        <v>#REF!</v>
      </c>
      <c r="Z372" s="224" t="e">
        <f>'Matriz POA 2024-TRABAJO'!#REF!</f>
        <v>#REF!</v>
      </c>
      <c r="AA372" s="224" t="e">
        <f>'Matriz POA 2024-TRABAJO'!#REF!</f>
        <v>#REF!</v>
      </c>
      <c r="AB372" s="279">
        <v>0</v>
      </c>
      <c r="AC372" s="279">
        <v>0</v>
      </c>
      <c r="AD372" s="279">
        <v>1000</v>
      </c>
      <c r="AE372" s="279">
        <v>0</v>
      </c>
      <c r="AF372" s="279">
        <v>0</v>
      </c>
      <c r="AG372" s="279">
        <v>0</v>
      </c>
      <c r="AH372" s="279">
        <v>0</v>
      </c>
      <c r="AI372" s="279">
        <v>0</v>
      </c>
      <c r="AJ372" s="279">
        <v>0</v>
      </c>
      <c r="AK372" s="279">
        <v>0</v>
      </c>
      <c r="AL372" s="279">
        <v>0</v>
      </c>
      <c r="AM372" s="279">
        <v>0</v>
      </c>
      <c r="AN372" s="224" t="e">
        <f>SUM(#REF!)</f>
        <v>#REF!</v>
      </c>
      <c r="AO372" s="224">
        <f t="shared" si="41"/>
        <v>1000</v>
      </c>
      <c r="AP372" s="224" t="e">
        <f t="shared" si="47"/>
        <v>#REF!</v>
      </c>
      <c r="AQ372" s="224"/>
      <c r="AR372" s="224"/>
      <c r="AS372" s="224"/>
      <c r="AT372" s="224" t="str">
        <f>IFERROR(VLOOKUP($A372,'Constancias POA'!$A$2:$DH$9993,17,FALSE),"")</f>
        <v/>
      </c>
      <c r="AU372" s="224" t="str">
        <f t="shared" si="42"/>
        <v/>
      </c>
      <c r="AV372" s="224" t="str">
        <f>IFERROR(VLOOKUP($A372,CP!$A$1:$U$7992,18,FALSE),"")</f>
        <v/>
      </c>
      <c r="AW372" s="224" t="str">
        <f>IFERROR(VLOOKUP($A372,CP!$A$1:$U$7992,19,FALSE),"")</f>
        <v/>
      </c>
      <c r="AX372" s="224" t="str">
        <f>IFERROR(VLOOKUP($A372,CP!$A$1:$U$7992,20,FALSE),"")</f>
        <v/>
      </c>
      <c r="AY372" s="224" t="str">
        <f>IFERROR(VLOOKUP($A372,CP!$A$1:$U$1,21,FALSE),"")</f>
        <v/>
      </c>
      <c r="AZ372" s="224" t="str">
        <f>IFERROR(VLOOKUP(A372,Devengado!$A$1:AJ1,35,FALSE),"")</f>
        <v/>
      </c>
      <c r="BA372" s="224" t="str">
        <f t="shared" si="43"/>
        <v/>
      </c>
      <c r="BB372" s="224" t="str">
        <f>IFERROR(AZ372/#REF!,"")</f>
        <v/>
      </c>
      <c r="BC372" s="224" t="str">
        <f>IFERROR(VLOOKUP($A372,Devengado!$A$1:$AI$1,22,FALSE),"")</f>
        <v/>
      </c>
      <c r="BD372" s="224" t="str">
        <f>IFERROR(VLOOKUP($A372,Devengado!$A$1:$AI$1,23,FALSE),"")</f>
        <v/>
      </c>
      <c r="BE372" s="224" t="str">
        <f>IFERROR(VLOOKUP($A372,Devengado!$A$1:$AI$1,24,FALSE),"")</f>
        <v/>
      </c>
      <c r="BF372" s="224" t="str">
        <f>IFERROR(VLOOKUP($A372,Devengado!$A$1:$AI$1,25,FALSE),"")</f>
        <v/>
      </c>
      <c r="BG372" s="224" t="str">
        <f>IFERROR(VLOOKUP($A372,Devengado!$A$1:$AI$1,26,FALSE),"")</f>
        <v/>
      </c>
      <c r="BH372" s="224" t="str">
        <f>IFERROR(VLOOKUP($A372,Devengado!$A$1:$AI$1,27,FALSE),"")</f>
        <v/>
      </c>
      <c r="BI372" s="224" t="str">
        <f>IFERROR(VLOOKUP($A372,Devengado!$A$1:$AI$1,28,FALSE),"")</f>
        <v/>
      </c>
      <c r="BJ372" s="224" t="str">
        <f>IFERROR(VLOOKUP($A372,Devengado!$A$1:$AI$1,29,FALSE),"")</f>
        <v/>
      </c>
      <c r="BK372" s="224" t="str">
        <f>IFERROR(VLOOKUP($A372,Devengado!$A$1:$AI$1,30,FALSE),"")</f>
        <v/>
      </c>
      <c r="BL372" s="224" t="str">
        <f>IFERROR(VLOOKUP($A372,Devengado!$A$1:$AI$1,31,FALSE),"")</f>
        <v/>
      </c>
      <c r="BM372" s="224" t="str">
        <f>IFERROR(VLOOKUP($A372,Devengado!$A$1:$AI$1,32,FALSE),"")</f>
        <v/>
      </c>
      <c r="BN372" s="224" t="str">
        <f>IFERROR(VLOOKUP($A372,Devengado!$A$1:$AI$1,33,FALSE),"")</f>
        <v/>
      </c>
      <c r="BO372" s="224">
        <f t="shared" si="44"/>
        <v>0</v>
      </c>
      <c r="BP372" s="224" t="str">
        <f t="shared" si="45"/>
        <v/>
      </c>
      <c r="BQ372" s="207"/>
      <c r="BR372" s="207" t="str">
        <f t="shared" si="46"/>
        <v>57</v>
      </c>
    </row>
    <row r="373" spans="1:70" s="225" customFormat="1" ht="25.5" customHeight="1">
      <c r="A373" s="207">
        <v>369</v>
      </c>
      <c r="B373" s="112" t="s">
        <v>348</v>
      </c>
      <c r="C373" s="112" t="s">
        <v>77</v>
      </c>
      <c r="D373" s="112" t="s">
        <v>77</v>
      </c>
      <c r="E373" s="112" t="s">
        <v>76</v>
      </c>
      <c r="F373" s="112" t="s">
        <v>77</v>
      </c>
      <c r="G373" s="112" t="s">
        <v>77</v>
      </c>
      <c r="H373" s="112" t="s">
        <v>77</v>
      </c>
      <c r="I373" s="112" t="s">
        <v>77</v>
      </c>
      <c r="J373" s="112" t="s">
        <v>77</v>
      </c>
      <c r="K373" s="112" t="s">
        <v>77</v>
      </c>
      <c r="L373" s="112" t="s">
        <v>85</v>
      </c>
      <c r="M373" s="112" t="s">
        <v>390</v>
      </c>
      <c r="N373" s="118" t="s">
        <v>350</v>
      </c>
      <c r="O373" s="118" t="s">
        <v>111</v>
      </c>
      <c r="P373" s="118" t="s">
        <v>81</v>
      </c>
      <c r="Q373" s="118" t="s">
        <v>112</v>
      </c>
      <c r="R373" s="115" t="str">
        <f t="shared" si="40"/>
        <v>57</v>
      </c>
      <c r="S373" s="124">
        <v>570102</v>
      </c>
      <c r="T373" s="122" t="e">
        <f>VLOOKUP(S373,ITEM!$C$1:$D$156,2,FALSE)</f>
        <v>#N/A</v>
      </c>
      <c r="U373" s="112" t="s">
        <v>83</v>
      </c>
      <c r="V373" s="114" t="s">
        <v>82</v>
      </c>
      <c r="W373" s="114" t="s">
        <v>84</v>
      </c>
      <c r="X373" s="114" t="s">
        <v>84</v>
      </c>
      <c r="Y373" s="224" t="e">
        <f>'Matriz POA 2024-TRABAJO'!#REF!</f>
        <v>#REF!</v>
      </c>
      <c r="Z373" s="224" t="e">
        <f>'Matriz POA 2024-TRABAJO'!#REF!</f>
        <v>#REF!</v>
      </c>
      <c r="AA373" s="224" t="e">
        <f>'Matriz POA 2024-TRABAJO'!#REF!</f>
        <v>#REF!</v>
      </c>
      <c r="AB373" s="279">
        <v>0</v>
      </c>
      <c r="AC373" s="279">
        <v>0</v>
      </c>
      <c r="AD373" s="279">
        <v>0</v>
      </c>
      <c r="AE373" s="279">
        <v>0</v>
      </c>
      <c r="AF373" s="279">
        <v>0</v>
      </c>
      <c r="AG373" s="279">
        <v>222.54</v>
      </c>
      <c r="AH373" s="279">
        <v>0</v>
      </c>
      <c r="AI373" s="279">
        <v>0</v>
      </c>
      <c r="AJ373" s="279">
        <v>0</v>
      </c>
      <c r="AK373" s="279">
        <v>0</v>
      </c>
      <c r="AL373" s="279">
        <v>0</v>
      </c>
      <c r="AM373" s="279">
        <v>0</v>
      </c>
      <c r="AN373" s="224" t="e">
        <f>SUM(#REF!)</f>
        <v>#REF!</v>
      </c>
      <c r="AO373" s="224">
        <f t="shared" si="41"/>
        <v>222.54</v>
      </c>
      <c r="AP373" s="224" t="e">
        <f t="shared" si="47"/>
        <v>#REF!</v>
      </c>
      <c r="AQ373" s="224"/>
      <c r="AR373" s="224"/>
      <c r="AS373" s="224"/>
      <c r="AT373" s="224" t="str">
        <f>IFERROR(VLOOKUP($A373,'Constancias POA'!$A$2:$DH$9993,17,FALSE),"")</f>
        <v/>
      </c>
      <c r="AU373" s="224" t="str">
        <f t="shared" si="42"/>
        <v/>
      </c>
      <c r="AV373" s="224" t="str">
        <f>IFERROR(VLOOKUP($A373,CP!$A$1:$U$7992,18,FALSE),"")</f>
        <v/>
      </c>
      <c r="AW373" s="224" t="str">
        <f>IFERROR(VLOOKUP($A373,CP!$A$1:$U$7992,19,FALSE),"")</f>
        <v/>
      </c>
      <c r="AX373" s="224" t="str">
        <f>IFERROR(VLOOKUP($A373,CP!$A$1:$U$7992,20,FALSE),"")</f>
        <v/>
      </c>
      <c r="AY373" s="224" t="str">
        <f>IFERROR(VLOOKUP($A373,CP!$A$1:$U$1,21,FALSE),"")</f>
        <v/>
      </c>
      <c r="AZ373" s="224" t="str">
        <f>IFERROR(VLOOKUP(A373,Devengado!$A$1:AJ1,35,FALSE),"")</f>
        <v/>
      </c>
      <c r="BA373" s="224" t="str">
        <f t="shared" si="43"/>
        <v/>
      </c>
      <c r="BB373" s="224" t="str">
        <f>IFERROR(AZ373/#REF!,"")</f>
        <v/>
      </c>
      <c r="BC373" s="224" t="str">
        <f>IFERROR(VLOOKUP($A373,Devengado!$A$1:$AI$1,22,FALSE),"")</f>
        <v/>
      </c>
      <c r="BD373" s="224" t="str">
        <f>IFERROR(VLOOKUP($A373,Devengado!$A$1:$AI$1,23,FALSE),"")</f>
        <v/>
      </c>
      <c r="BE373" s="224" t="str">
        <f>IFERROR(VLOOKUP($A373,Devengado!$A$1:$AI$1,24,FALSE),"")</f>
        <v/>
      </c>
      <c r="BF373" s="224" t="str">
        <f>IFERROR(VLOOKUP($A373,Devengado!$A$1:$AI$1,25,FALSE),"")</f>
        <v/>
      </c>
      <c r="BG373" s="224" t="str">
        <f>IFERROR(VLOOKUP($A373,Devengado!$A$1:$AI$1,26,FALSE),"")</f>
        <v/>
      </c>
      <c r="BH373" s="224" t="str">
        <f>IFERROR(VLOOKUP($A373,Devengado!$A$1:$AI$1,27,FALSE),"")</f>
        <v/>
      </c>
      <c r="BI373" s="224" t="str">
        <f>IFERROR(VLOOKUP($A373,Devengado!$A$1:$AI$1,28,FALSE),"")</f>
        <v/>
      </c>
      <c r="BJ373" s="224" t="str">
        <f>IFERROR(VLOOKUP($A373,Devengado!$A$1:$AI$1,29,FALSE),"")</f>
        <v/>
      </c>
      <c r="BK373" s="224" t="str">
        <f>IFERROR(VLOOKUP($A373,Devengado!$A$1:$AI$1,30,FALSE),"")</f>
        <v/>
      </c>
      <c r="BL373" s="224" t="str">
        <f>IFERROR(VLOOKUP($A373,Devengado!$A$1:$AI$1,31,FALSE),"")</f>
        <v/>
      </c>
      <c r="BM373" s="224" t="str">
        <f>IFERROR(VLOOKUP($A373,Devengado!$A$1:$AI$1,32,FALSE),"")</f>
        <v/>
      </c>
      <c r="BN373" s="224" t="str">
        <f>IFERROR(VLOOKUP($A373,Devengado!$A$1:$AI$1,33,FALSE),"")</f>
        <v/>
      </c>
      <c r="BO373" s="224">
        <f t="shared" si="44"/>
        <v>0</v>
      </c>
      <c r="BP373" s="224" t="str">
        <f t="shared" si="45"/>
        <v/>
      </c>
      <c r="BQ373" s="207"/>
      <c r="BR373" s="207" t="str">
        <f t="shared" si="46"/>
        <v>57</v>
      </c>
    </row>
    <row r="374" spans="1:70" s="225" customFormat="1" ht="25.5" customHeight="1">
      <c r="A374" s="207">
        <v>370</v>
      </c>
      <c r="B374" s="112" t="s">
        <v>348</v>
      </c>
      <c r="C374" s="112" t="s">
        <v>77</v>
      </c>
      <c r="D374" s="112" t="s">
        <v>77</v>
      </c>
      <c r="E374" s="112" t="s">
        <v>76</v>
      </c>
      <c r="F374" s="112" t="s">
        <v>77</v>
      </c>
      <c r="G374" s="112" t="s">
        <v>77</v>
      </c>
      <c r="H374" s="112" t="s">
        <v>77</v>
      </c>
      <c r="I374" s="112" t="s">
        <v>77</v>
      </c>
      <c r="J374" s="112" t="s">
        <v>77</v>
      </c>
      <c r="K374" s="112" t="s">
        <v>77</v>
      </c>
      <c r="L374" s="112" t="s">
        <v>85</v>
      </c>
      <c r="M374" s="112" t="s">
        <v>391</v>
      </c>
      <c r="N374" s="114" t="s">
        <v>350</v>
      </c>
      <c r="O374" s="114" t="s">
        <v>111</v>
      </c>
      <c r="P374" s="118" t="s">
        <v>81</v>
      </c>
      <c r="Q374" s="118" t="s">
        <v>112</v>
      </c>
      <c r="R374" s="115" t="str">
        <f t="shared" si="40"/>
        <v>99</v>
      </c>
      <c r="S374" s="124">
        <v>990101</v>
      </c>
      <c r="T374" s="122" t="e">
        <f>VLOOKUP(S374,ITEM!$C$1:$D$156,2,FALSE)</f>
        <v>#N/A</v>
      </c>
      <c r="U374" s="112" t="s">
        <v>83</v>
      </c>
      <c r="V374" s="112" t="s">
        <v>82</v>
      </c>
      <c r="W374" s="112" t="s">
        <v>84</v>
      </c>
      <c r="X374" s="112" t="s">
        <v>84</v>
      </c>
      <c r="Y374" s="224" t="e">
        <f>'Matriz POA 2024-TRABAJO'!#REF!</f>
        <v>#REF!</v>
      </c>
      <c r="Z374" s="224" t="e">
        <f>'Matriz POA 2024-TRABAJO'!#REF!</f>
        <v>#REF!</v>
      </c>
      <c r="AA374" s="224" t="e">
        <f>'Matriz POA 2024-TRABAJO'!#REF!</f>
        <v>#REF!</v>
      </c>
      <c r="AB374" s="140">
        <v>0</v>
      </c>
      <c r="AC374" s="140">
        <v>0</v>
      </c>
      <c r="AD374" s="140">
        <v>0</v>
      </c>
      <c r="AE374" s="140">
        <v>0</v>
      </c>
      <c r="AF374" s="140">
        <v>0</v>
      </c>
      <c r="AG374" s="140">
        <v>0</v>
      </c>
      <c r="AH374" s="140">
        <v>0</v>
      </c>
      <c r="AI374" s="140">
        <v>0</v>
      </c>
      <c r="AJ374" s="140">
        <v>0</v>
      </c>
      <c r="AK374" s="140">
        <v>0</v>
      </c>
      <c r="AL374" s="140">
        <v>0</v>
      </c>
      <c r="AM374" s="140">
        <v>0</v>
      </c>
      <c r="AN374" s="224" t="e">
        <f>SUM(#REF!)</f>
        <v>#REF!</v>
      </c>
      <c r="AO374" s="224">
        <f t="shared" si="41"/>
        <v>0</v>
      </c>
      <c r="AP374" s="224" t="e">
        <f t="shared" si="47"/>
        <v>#REF!</v>
      </c>
      <c r="AQ374" s="224"/>
      <c r="AR374" s="224"/>
      <c r="AS374" s="224"/>
      <c r="AT374" s="224" t="str">
        <f>IFERROR(VLOOKUP($A374,'Constancias POA'!$A$2:$DH$9993,17,FALSE),"")</f>
        <v/>
      </c>
      <c r="AU374" s="224" t="str">
        <f t="shared" si="42"/>
        <v/>
      </c>
      <c r="AV374" s="224" t="str">
        <f>IFERROR(VLOOKUP($A374,CP!$A$1:$U$7992,18,FALSE),"")</f>
        <v/>
      </c>
      <c r="AW374" s="224" t="str">
        <f>IFERROR(VLOOKUP($A374,CP!$A$1:$U$7992,19,FALSE),"")</f>
        <v/>
      </c>
      <c r="AX374" s="224" t="str">
        <f>IFERROR(VLOOKUP($A374,CP!$A$1:$U$7992,20,FALSE),"")</f>
        <v/>
      </c>
      <c r="AY374" s="224" t="str">
        <f>IFERROR(VLOOKUP($A374,CP!$A$1:$U$1,21,FALSE),"")</f>
        <v/>
      </c>
      <c r="AZ374" s="224" t="str">
        <f>IFERROR(VLOOKUP(A374,Devengado!$A$1:AJ1,35,FALSE),"")</f>
        <v/>
      </c>
      <c r="BA374" s="224" t="str">
        <f t="shared" si="43"/>
        <v/>
      </c>
      <c r="BB374" s="224" t="str">
        <f>IFERROR(AZ374/#REF!,"")</f>
        <v/>
      </c>
      <c r="BC374" s="224" t="str">
        <f>IFERROR(VLOOKUP($A374,Devengado!$A$1:$AI$1,22,FALSE),"")</f>
        <v/>
      </c>
      <c r="BD374" s="224" t="str">
        <f>IFERROR(VLOOKUP($A374,Devengado!$A$1:$AI$1,23,FALSE),"")</f>
        <v/>
      </c>
      <c r="BE374" s="224" t="str">
        <f>IFERROR(VLOOKUP($A374,Devengado!$A$1:$AI$1,24,FALSE),"")</f>
        <v/>
      </c>
      <c r="BF374" s="224" t="str">
        <f>IFERROR(VLOOKUP($A374,Devengado!$A$1:$AI$1,25,FALSE),"")</f>
        <v/>
      </c>
      <c r="BG374" s="224" t="str">
        <f>IFERROR(VLOOKUP($A374,Devengado!$A$1:$AI$1,26,FALSE),"")</f>
        <v/>
      </c>
      <c r="BH374" s="224" t="str">
        <f>IFERROR(VLOOKUP($A374,Devengado!$A$1:$AI$1,27,FALSE),"")</f>
        <v/>
      </c>
      <c r="BI374" s="224" t="str">
        <f>IFERROR(VLOOKUP($A374,Devengado!$A$1:$AI$1,28,FALSE),"")</f>
        <v/>
      </c>
      <c r="BJ374" s="224" t="str">
        <f>IFERROR(VLOOKUP($A374,Devengado!$A$1:$AI$1,29,FALSE),"")</f>
        <v/>
      </c>
      <c r="BK374" s="224" t="str">
        <f>IFERROR(VLOOKUP($A374,Devengado!$A$1:$AI$1,30,FALSE),"")</f>
        <v/>
      </c>
      <c r="BL374" s="224" t="str">
        <f>IFERROR(VLOOKUP($A374,Devengado!$A$1:$AI$1,31,FALSE),"")</f>
        <v/>
      </c>
      <c r="BM374" s="224" t="str">
        <f>IFERROR(VLOOKUP($A374,Devengado!$A$1:$AI$1,32,FALSE),"")</f>
        <v/>
      </c>
      <c r="BN374" s="224" t="str">
        <f>IFERROR(VLOOKUP($A374,Devengado!$A$1:$AI$1,33,FALSE),"")</f>
        <v/>
      </c>
      <c r="BO374" s="224">
        <f t="shared" si="44"/>
        <v>0</v>
      </c>
      <c r="BP374" s="224" t="str">
        <f t="shared" si="45"/>
        <v/>
      </c>
      <c r="BQ374" s="207"/>
      <c r="BR374" s="207" t="str">
        <f t="shared" si="46"/>
        <v>99</v>
      </c>
    </row>
    <row r="375" spans="1:70" s="225" customFormat="1" ht="25.5" customHeight="1">
      <c r="A375" s="207">
        <v>371</v>
      </c>
      <c r="B375" s="112" t="s">
        <v>348</v>
      </c>
      <c r="C375" s="112" t="s">
        <v>77</v>
      </c>
      <c r="D375" s="112" t="s">
        <v>77</v>
      </c>
      <c r="E375" s="112" t="s">
        <v>76</v>
      </c>
      <c r="F375" s="112" t="s">
        <v>77</v>
      </c>
      <c r="G375" s="112" t="s">
        <v>77</v>
      </c>
      <c r="H375" s="112" t="s">
        <v>77</v>
      </c>
      <c r="I375" s="112" t="s">
        <v>77</v>
      </c>
      <c r="J375" s="112" t="s">
        <v>77</v>
      </c>
      <c r="K375" s="112" t="s">
        <v>77</v>
      </c>
      <c r="L375" s="112" t="s">
        <v>85</v>
      </c>
      <c r="M375" s="113" t="s">
        <v>392</v>
      </c>
      <c r="N375" s="118" t="s">
        <v>350</v>
      </c>
      <c r="O375" s="118" t="s">
        <v>111</v>
      </c>
      <c r="P375" s="118" t="s">
        <v>81</v>
      </c>
      <c r="Q375" s="118" t="s">
        <v>112</v>
      </c>
      <c r="R375" s="115" t="str">
        <f t="shared" si="40"/>
        <v>53</v>
      </c>
      <c r="S375" s="112">
        <v>530804</v>
      </c>
      <c r="T375" s="122" t="e">
        <f>VLOOKUP(S375,ITEM!$C$1:$D$156,2,FALSE)</f>
        <v>#N/A</v>
      </c>
      <c r="U375" s="112" t="s">
        <v>83</v>
      </c>
      <c r="V375" s="114" t="s">
        <v>82</v>
      </c>
      <c r="W375" s="114" t="s">
        <v>84</v>
      </c>
      <c r="X375" s="114" t="s">
        <v>84</v>
      </c>
      <c r="Y375" s="224" t="e">
        <f>'Matriz POA 2024-TRABAJO'!#REF!</f>
        <v>#REF!</v>
      </c>
      <c r="Z375" s="224" t="e">
        <f>'Matriz POA 2024-TRABAJO'!#REF!</f>
        <v>#REF!</v>
      </c>
      <c r="AA375" s="272" t="e">
        <f>'Matriz POA 2024-TRABAJO'!#REF!</f>
        <v>#REF!</v>
      </c>
      <c r="AB375" s="273">
        <v>0</v>
      </c>
      <c r="AC375" s="273">
        <v>0</v>
      </c>
      <c r="AD375" s="273">
        <v>0</v>
      </c>
      <c r="AE375" s="273">
        <v>1500</v>
      </c>
      <c r="AF375" s="273">
        <v>0</v>
      </c>
      <c r="AG375" s="273">
        <v>0</v>
      </c>
      <c r="AH375" s="273">
        <v>0</v>
      </c>
      <c r="AI375" s="273">
        <v>0</v>
      </c>
      <c r="AJ375" s="273">
        <v>0</v>
      </c>
      <c r="AK375" s="273">
        <v>0</v>
      </c>
      <c r="AL375" s="273">
        <v>0</v>
      </c>
      <c r="AM375" s="273">
        <v>0</v>
      </c>
      <c r="AN375" s="272" t="e">
        <f>SUM(#REF!)</f>
        <v>#REF!</v>
      </c>
      <c r="AO375" s="224">
        <f t="shared" si="41"/>
        <v>1500</v>
      </c>
      <c r="AP375" s="224" t="e">
        <f t="shared" si="47"/>
        <v>#REF!</v>
      </c>
      <c r="AQ375" s="224"/>
      <c r="AR375" s="224"/>
      <c r="AS375" s="224"/>
      <c r="AT375" s="224" t="str">
        <f>IFERROR(VLOOKUP($A375,'Constancias POA'!$A$2:$DH$9993,17,FALSE),"")</f>
        <v/>
      </c>
      <c r="AU375" s="224" t="str">
        <f t="shared" si="42"/>
        <v/>
      </c>
      <c r="AV375" s="224" t="str">
        <f>IFERROR(VLOOKUP($A375,CP!$A$1:$U$7992,18,FALSE),"")</f>
        <v/>
      </c>
      <c r="AW375" s="224" t="str">
        <f>IFERROR(VLOOKUP($A375,CP!$A$1:$U$7992,19,FALSE),"")</f>
        <v/>
      </c>
      <c r="AX375" s="224" t="str">
        <f>IFERROR(VLOOKUP($A375,CP!$A$1:$U$7992,20,FALSE),"")</f>
        <v/>
      </c>
      <c r="AY375" s="224" t="str">
        <f>IFERROR(VLOOKUP($A375,CP!$A$1:$U$1,21,FALSE),"")</f>
        <v/>
      </c>
      <c r="AZ375" s="224" t="str">
        <f>IFERROR(VLOOKUP(A375,Devengado!$A$1:AJ1,35,FALSE),"")</f>
        <v/>
      </c>
      <c r="BA375" s="224" t="str">
        <f t="shared" si="43"/>
        <v/>
      </c>
      <c r="BB375" s="224" t="str">
        <f>IFERROR(AZ375/#REF!,"")</f>
        <v/>
      </c>
      <c r="BC375" s="224" t="str">
        <f>IFERROR(VLOOKUP($A375,Devengado!$A$1:$AI$1,22,FALSE),"")</f>
        <v/>
      </c>
      <c r="BD375" s="224" t="str">
        <f>IFERROR(VLOOKUP($A375,Devengado!$A$1:$AI$1,23,FALSE),"")</f>
        <v/>
      </c>
      <c r="BE375" s="224" t="str">
        <f>IFERROR(VLOOKUP($A375,Devengado!$A$1:$AI$1,24,FALSE),"")</f>
        <v/>
      </c>
      <c r="BF375" s="224" t="str">
        <f>IFERROR(VLOOKUP($A375,Devengado!$A$1:$AI$1,25,FALSE),"")</f>
        <v/>
      </c>
      <c r="BG375" s="224" t="str">
        <f>IFERROR(VLOOKUP($A375,Devengado!$A$1:$AI$1,26,FALSE),"")</f>
        <v/>
      </c>
      <c r="BH375" s="224" t="str">
        <f>IFERROR(VLOOKUP($A375,Devengado!$A$1:$AI$1,27,FALSE),"")</f>
        <v/>
      </c>
      <c r="BI375" s="224" t="str">
        <f>IFERROR(VLOOKUP($A375,Devengado!$A$1:$AI$1,28,FALSE),"")</f>
        <v/>
      </c>
      <c r="BJ375" s="224" t="str">
        <f>IFERROR(VLOOKUP($A375,Devengado!$A$1:$AI$1,29,FALSE),"")</f>
        <v/>
      </c>
      <c r="BK375" s="224" t="str">
        <f>IFERROR(VLOOKUP($A375,Devengado!$A$1:$AI$1,30,FALSE),"")</f>
        <v/>
      </c>
      <c r="BL375" s="224" t="str">
        <f>IFERROR(VLOOKUP($A375,Devengado!$A$1:$AI$1,31,FALSE),"")</f>
        <v/>
      </c>
      <c r="BM375" s="224" t="str">
        <f>IFERROR(VLOOKUP($A375,Devengado!$A$1:$AI$1,32,FALSE),"")</f>
        <v/>
      </c>
      <c r="BN375" s="224" t="str">
        <f>IFERROR(VLOOKUP($A375,Devengado!$A$1:$AI$1,33,FALSE),"")</f>
        <v/>
      </c>
      <c r="BO375" s="224">
        <f t="shared" si="44"/>
        <v>0</v>
      </c>
      <c r="BP375" s="224" t="str">
        <f t="shared" si="45"/>
        <v/>
      </c>
      <c r="BQ375" s="207"/>
      <c r="BR375" s="207" t="str">
        <f t="shared" si="46"/>
        <v>53</v>
      </c>
    </row>
    <row r="376" spans="1:70" s="225" customFormat="1" ht="25.5" customHeight="1">
      <c r="A376" s="207">
        <v>372</v>
      </c>
      <c r="B376" s="112" t="s">
        <v>348</v>
      </c>
      <c r="C376" s="112" t="s">
        <v>77</v>
      </c>
      <c r="D376" s="112" t="s">
        <v>77</v>
      </c>
      <c r="E376" s="112" t="s">
        <v>76</v>
      </c>
      <c r="F376" s="112" t="s">
        <v>77</v>
      </c>
      <c r="G376" s="112" t="s">
        <v>77</v>
      </c>
      <c r="H376" s="112" t="s">
        <v>77</v>
      </c>
      <c r="I376" s="112" t="s">
        <v>77</v>
      </c>
      <c r="J376" s="112" t="s">
        <v>77</v>
      </c>
      <c r="K376" s="112" t="s">
        <v>77</v>
      </c>
      <c r="L376" s="112" t="s">
        <v>85</v>
      </c>
      <c r="M376" s="113" t="s">
        <v>393</v>
      </c>
      <c r="N376" s="118" t="s">
        <v>350</v>
      </c>
      <c r="O376" s="118" t="s">
        <v>111</v>
      </c>
      <c r="P376" s="118" t="s">
        <v>81</v>
      </c>
      <c r="Q376" s="118" t="s">
        <v>112</v>
      </c>
      <c r="R376" s="115" t="str">
        <f t="shared" si="40"/>
        <v>53</v>
      </c>
      <c r="S376" s="112">
        <v>530404</v>
      </c>
      <c r="T376" s="122" t="str">
        <f>VLOOKUP(S376,ITEM!$C$1:$D$156,2,FALSE)</f>
        <v>Maquinarias y Equipos (Instalación, Mantenimiento y Reparación)</v>
      </c>
      <c r="U376" s="112" t="s">
        <v>83</v>
      </c>
      <c r="V376" s="114" t="s">
        <v>82</v>
      </c>
      <c r="W376" s="114" t="s">
        <v>84</v>
      </c>
      <c r="X376" s="114" t="s">
        <v>84</v>
      </c>
      <c r="Y376" s="224" t="e">
        <f>'Matriz POA 2024-TRABAJO'!#REF!</f>
        <v>#REF!</v>
      </c>
      <c r="Z376" s="224" t="e">
        <f>'Matriz POA 2024-TRABAJO'!#REF!</f>
        <v>#REF!</v>
      </c>
      <c r="AA376" s="272" t="e">
        <f>'Matriz POA 2024-TRABAJO'!#REF!</f>
        <v>#REF!</v>
      </c>
      <c r="AB376" s="273">
        <v>0</v>
      </c>
      <c r="AC376" s="273">
        <v>0</v>
      </c>
      <c r="AD376" s="273">
        <v>0</v>
      </c>
      <c r="AE376" s="273">
        <v>500</v>
      </c>
      <c r="AF376" s="273">
        <v>0</v>
      </c>
      <c r="AG376" s="273">
        <v>0</v>
      </c>
      <c r="AH376" s="273">
        <v>0</v>
      </c>
      <c r="AI376" s="273">
        <v>500</v>
      </c>
      <c r="AJ376" s="273">
        <v>0</v>
      </c>
      <c r="AK376" s="273">
        <v>0</v>
      </c>
      <c r="AL376" s="273">
        <v>0</v>
      </c>
      <c r="AM376" s="273">
        <v>0</v>
      </c>
      <c r="AN376" s="272" t="e">
        <f>SUM(#REF!)</f>
        <v>#REF!</v>
      </c>
      <c r="AO376" s="224">
        <f t="shared" si="41"/>
        <v>1000</v>
      </c>
      <c r="AP376" s="224" t="e">
        <f t="shared" si="47"/>
        <v>#REF!</v>
      </c>
      <c r="AQ376" s="224"/>
      <c r="AR376" s="224"/>
      <c r="AS376" s="224"/>
      <c r="AT376" s="224" t="str">
        <f>IFERROR(VLOOKUP($A376,'Constancias POA'!$A$2:$DH$9993,17,FALSE),"")</f>
        <v/>
      </c>
      <c r="AU376" s="224" t="str">
        <f t="shared" si="42"/>
        <v/>
      </c>
      <c r="AV376" s="224" t="str">
        <f>IFERROR(VLOOKUP($A376,CP!$A$1:$U$7992,18,FALSE),"")</f>
        <v/>
      </c>
      <c r="AW376" s="224" t="str">
        <f>IFERROR(VLOOKUP($A376,CP!$A$1:$U$7992,19,FALSE),"")</f>
        <v/>
      </c>
      <c r="AX376" s="224" t="str">
        <f>IFERROR(VLOOKUP($A376,CP!$A$1:$U$7992,20,FALSE),"")</f>
        <v/>
      </c>
      <c r="AY376" s="224" t="str">
        <f>IFERROR(VLOOKUP($A376,CP!$A$1:$U$1,21,FALSE),"")</f>
        <v/>
      </c>
      <c r="AZ376" s="224" t="str">
        <f>IFERROR(VLOOKUP(A376,Devengado!$A$1:AJ1,35,FALSE),"")</f>
        <v/>
      </c>
      <c r="BA376" s="224" t="str">
        <f t="shared" si="43"/>
        <v/>
      </c>
      <c r="BB376" s="224" t="str">
        <f>IFERROR(AZ376/#REF!,"")</f>
        <v/>
      </c>
      <c r="BC376" s="224" t="str">
        <f>IFERROR(VLOOKUP($A376,Devengado!$A$1:$AI$1,22,FALSE),"")</f>
        <v/>
      </c>
      <c r="BD376" s="224" t="str">
        <f>IFERROR(VLOOKUP($A376,Devengado!$A$1:$AI$1,23,FALSE),"")</f>
        <v/>
      </c>
      <c r="BE376" s="224" t="str">
        <f>IFERROR(VLOOKUP($A376,Devengado!$A$1:$AI$1,24,FALSE),"")</f>
        <v/>
      </c>
      <c r="BF376" s="224" t="str">
        <f>IFERROR(VLOOKUP($A376,Devengado!$A$1:$AI$1,25,FALSE),"")</f>
        <v/>
      </c>
      <c r="BG376" s="224" t="str">
        <f>IFERROR(VLOOKUP($A376,Devengado!$A$1:$AI$1,26,FALSE),"")</f>
        <v/>
      </c>
      <c r="BH376" s="224" t="str">
        <f>IFERROR(VLOOKUP($A376,Devengado!$A$1:$AI$1,27,FALSE),"")</f>
        <v/>
      </c>
      <c r="BI376" s="224" t="str">
        <f>IFERROR(VLOOKUP($A376,Devengado!$A$1:$AI$1,28,FALSE),"")</f>
        <v/>
      </c>
      <c r="BJ376" s="224" t="str">
        <f>IFERROR(VLOOKUP($A376,Devengado!$A$1:$AI$1,29,FALSE),"")</f>
        <v/>
      </c>
      <c r="BK376" s="224" t="str">
        <f>IFERROR(VLOOKUP($A376,Devengado!$A$1:$AI$1,30,FALSE),"")</f>
        <v/>
      </c>
      <c r="BL376" s="224" t="str">
        <f>IFERROR(VLOOKUP($A376,Devengado!$A$1:$AI$1,31,FALSE),"")</f>
        <v/>
      </c>
      <c r="BM376" s="224" t="str">
        <f>IFERROR(VLOOKUP($A376,Devengado!$A$1:$AI$1,32,FALSE),"")</f>
        <v/>
      </c>
      <c r="BN376" s="224" t="str">
        <f>IFERROR(VLOOKUP($A376,Devengado!$A$1:$AI$1,33,FALSE),"")</f>
        <v/>
      </c>
      <c r="BO376" s="224">
        <f t="shared" si="44"/>
        <v>0</v>
      </c>
      <c r="BP376" s="224" t="str">
        <f t="shared" si="45"/>
        <v/>
      </c>
      <c r="BQ376" s="207"/>
      <c r="BR376" s="207" t="str">
        <f t="shared" si="46"/>
        <v>53</v>
      </c>
    </row>
    <row r="377" spans="1:70" s="225" customFormat="1" ht="25.5" customHeight="1">
      <c r="A377" s="207">
        <v>373</v>
      </c>
      <c r="B377" s="112" t="s">
        <v>348</v>
      </c>
      <c r="C377" s="112" t="s">
        <v>77</v>
      </c>
      <c r="D377" s="112" t="s">
        <v>77</v>
      </c>
      <c r="E377" s="112" t="s">
        <v>76</v>
      </c>
      <c r="F377" s="112" t="s">
        <v>77</v>
      </c>
      <c r="G377" s="112" t="s">
        <v>77</v>
      </c>
      <c r="H377" s="112" t="s">
        <v>77</v>
      </c>
      <c r="I377" s="112" t="s">
        <v>77</v>
      </c>
      <c r="J377" s="112" t="s">
        <v>77</v>
      </c>
      <c r="K377" s="112" t="s">
        <v>77</v>
      </c>
      <c r="L377" s="112" t="s">
        <v>85</v>
      </c>
      <c r="M377" s="112" t="s">
        <v>394</v>
      </c>
      <c r="N377" s="118" t="s">
        <v>350</v>
      </c>
      <c r="O377" s="118" t="s">
        <v>111</v>
      </c>
      <c r="P377" s="118" t="s">
        <v>81</v>
      </c>
      <c r="Q377" s="118" t="s">
        <v>112</v>
      </c>
      <c r="R377" s="115" t="str">
        <f t="shared" si="40"/>
        <v>53</v>
      </c>
      <c r="S377" s="124">
        <v>530209</v>
      </c>
      <c r="T377" s="122" t="str">
        <f>VLOOKUP(S377,ITEM!$C$1:$D$156,2,FALSE)</f>
        <v>Servicios de Aseo, Lavado de Vestimenta de Trabajo, Fumigación, Desinfección,  Limpieza de Instalaciones, manejo
de desechos contaminados, recuperación y clasificación de materiales reciclables.</v>
      </c>
      <c r="U377" s="112" t="s">
        <v>83</v>
      </c>
      <c r="V377" s="114" t="s">
        <v>82</v>
      </c>
      <c r="W377" s="114" t="s">
        <v>84</v>
      </c>
      <c r="X377" s="114" t="s">
        <v>84</v>
      </c>
      <c r="Y377" s="224" t="e">
        <f>'Matriz POA 2024-TRABAJO'!#REF!</f>
        <v>#REF!</v>
      </c>
      <c r="Z377" s="224" t="e">
        <f>'Matriz POA 2024-TRABAJO'!#REF!</f>
        <v>#REF!</v>
      </c>
      <c r="AA377" s="272" t="e">
        <f>'Matriz POA 2024-TRABAJO'!#REF!</f>
        <v>#REF!</v>
      </c>
      <c r="AB377" s="273">
        <v>0</v>
      </c>
      <c r="AC377" s="273">
        <v>0</v>
      </c>
      <c r="AD377" s="273">
        <v>0</v>
      </c>
      <c r="AE377" s="273">
        <v>0</v>
      </c>
      <c r="AF377" s="273">
        <v>0</v>
      </c>
      <c r="AG377" s="273">
        <v>0</v>
      </c>
      <c r="AH377" s="273">
        <v>6000</v>
      </c>
      <c r="AI377" s="273">
        <v>0</v>
      </c>
      <c r="AJ377" s="273">
        <v>0</v>
      </c>
      <c r="AK377" s="273">
        <v>0</v>
      </c>
      <c r="AL377" s="273">
        <v>0</v>
      </c>
      <c r="AM377" s="273">
        <v>0</v>
      </c>
      <c r="AN377" s="272" t="e">
        <f>SUM(#REF!)</f>
        <v>#REF!</v>
      </c>
      <c r="AO377" s="224">
        <f t="shared" si="41"/>
        <v>6000</v>
      </c>
      <c r="AP377" s="224" t="e">
        <f t="shared" si="47"/>
        <v>#REF!</v>
      </c>
      <c r="AQ377" s="224"/>
      <c r="AR377" s="224"/>
      <c r="AS377" s="224"/>
      <c r="AT377" s="224" t="str">
        <f>IFERROR(VLOOKUP($A377,'Constancias POA'!$A$2:$DH$9993,17,FALSE),"")</f>
        <v/>
      </c>
      <c r="AU377" s="224" t="str">
        <f t="shared" si="42"/>
        <v/>
      </c>
      <c r="AV377" s="224" t="str">
        <f>IFERROR(VLOOKUP($A377,CP!$A$1:$U$7992,18,FALSE),"")</f>
        <v/>
      </c>
      <c r="AW377" s="224" t="str">
        <f>IFERROR(VLOOKUP($A377,CP!$A$1:$U$7992,19,FALSE),"")</f>
        <v/>
      </c>
      <c r="AX377" s="224" t="str">
        <f>IFERROR(VLOOKUP($A377,CP!$A$1:$U$7992,20,FALSE),"")</f>
        <v/>
      </c>
      <c r="AY377" s="224" t="str">
        <f>IFERROR(VLOOKUP($A377,CP!$A$1:$U$1,21,FALSE),"")</f>
        <v/>
      </c>
      <c r="AZ377" s="224" t="str">
        <f>IFERROR(VLOOKUP(A377,Devengado!$A$1:AJ1,35,FALSE),"")</f>
        <v/>
      </c>
      <c r="BA377" s="224" t="str">
        <f t="shared" si="43"/>
        <v/>
      </c>
      <c r="BB377" s="224" t="str">
        <f>IFERROR(AZ377/#REF!,"")</f>
        <v/>
      </c>
      <c r="BC377" s="224" t="str">
        <f>IFERROR(VLOOKUP($A377,Devengado!$A$1:$AI$1,22,FALSE),"")</f>
        <v/>
      </c>
      <c r="BD377" s="224" t="str">
        <f>IFERROR(VLOOKUP($A377,Devengado!$A$1:$AI$1,23,FALSE),"")</f>
        <v/>
      </c>
      <c r="BE377" s="224" t="str">
        <f>IFERROR(VLOOKUP($A377,Devengado!$A$1:$AI$1,24,FALSE),"")</f>
        <v/>
      </c>
      <c r="BF377" s="224" t="str">
        <f>IFERROR(VLOOKUP($A377,Devengado!$A$1:$AI$1,25,FALSE),"")</f>
        <v/>
      </c>
      <c r="BG377" s="224" t="str">
        <f>IFERROR(VLOOKUP($A377,Devengado!$A$1:$AI$1,26,FALSE),"")</f>
        <v/>
      </c>
      <c r="BH377" s="224" t="str">
        <f>IFERROR(VLOOKUP($A377,Devengado!$A$1:$AI$1,27,FALSE),"")</f>
        <v/>
      </c>
      <c r="BI377" s="224" t="str">
        <f>IFERROR(VLOOKUP($A377,Devengado!$A$1:$AI$1,28,FALSE),"")</f>
        <v/>
      </c>
      <c r="BJ377" s="224" t="str">
        <f>IFERROR(VLOOKUP($A377,Devengado!$A$1:$AI$1,29,FALSE),"")</f>
        <v/>
      </c>
      <c r="BK377" s="224" t="str">
        <f>IFERROR(VLOOKUP($A377,Devengado!$A$1:$AI$1,30,FALSE),"")</f>
        <v/>
      </c>
      <c r="BL377" s="224" t="str">
        <f>IFERROR(VLOOKUP($A377,Devengado!$A$1:$AI$1,31,FALSE),"")</f>
        <v/>
      </c>
      <c r="BM377" s="224" t="str">
        <f>IFERROR(VLOOKUP($A377,Devengado!$A$1:$AI$1,32,FALSE),"")</f>
        <v/>
      </c>
      <c r="BN377" s="224" t="str">
        <f>IFERROR(VLOOKUP($A377,Devengado!$A$1:$AI$1,33,FALSE),"")</f>
        <v/>
      </c>
      <c r="BO377" s="224">
        <f t="shared" si="44"/>
        <v>0</v>
      </c>
      <c r="BP377" s="224" t="str">
        <f t="shared" si="45"/>
        <v/>
      </c>
      <c r="BQ377" s="207"/>
      <c r="BR377" s="207" t="str">
        <f t="shared" si="46"/>
        <v>53</v>
      </c>
    </row>
    <row r="378" spans="1:70" s="225" customFormat="1" ht="25.5" customHeight="1">
      <c r="A378" s="207">
        <v>374</v>
      </c>
      <c r="B378" s="112" t="s">
        <v>348</v>
      </c>
      <c r="C378" s="112" t="s">
        <v>77</v>
      </c>
      <c r="D378" s="112" t="s">
        <v>77</v>
      </c>
      <c r="E378" s="112" t="s">
        <v>76</v>
      </c>
      <c r="F378" s="112" t="s">
        <v>77</v>
      </c>
      <c r="G378" s="112" t="s">
        <v>77</v>
      </c>
      <c r="H378" s="112" t="s">
        <v>77</v>
      </c>
      <c r="I378" s="112" t="s">
        <v>77</v>
      </c>
      <c r="J378" s="112" t="s">
        <v>77</v>
      </c>
      <c r="K378" s="112" t="s">
        <v>77</v>
      </c>
      <c r="L378" s="112" t="s">
        <v>85</v>
      </c>
      <c r="M378" s="112" t="s">
        <v>395</v>
      </c>
      <c r="N378" s="118" t="s">
        <v>350</v>
      </c>
      <c r="O378" s="118" t="s">
        <v>111</v>
      </c>
      <c r="P378" s="118" t="s">
        <v>81</v>
      </c>
      <c r="Q378" s="118" t="s">
        <v>112</v>
      </c>
      <c r="R378" s="115" t="str">
        <f t="shared" si="40"/>
        <v>53</v>
      </c>
      <c r="S378" s="124">
        <v>530408</v>
      </c>
      <c r="T378" s="122" t="str">
        <f>VLOOKUP(S378,ITEM!$C$1:$D$156,2,FALSE)</f>
        <v>Bienes Artísticos y Culturales</v>
      </c>
      <c r="U378" s="112" t="s">
        <v>83</v>
      </c>
      <c r="V378" s="114" t="s">
        <v>82</v>
      </c>
      <c r="W378" s="114" t="s">
        <v>84</v>
      </c>
      <c r="X378" s="114" t="s">
        <v>84</v>
      </c>
      <c r="Y378" s="224" t="e">
        <f>'Matriz POA 2024-TRABAJO'!#REF!</f>
        <v>#REF!</v>
      </c>
      <c r="Z378" s="224" t="e">
        <f>'Matriz POA 2024-TRABAJO'!#REF!</f>
        <v>#REF!</v>
      </c>
      <c r="AA378" s="224" t="e">
        <f>'Matriz POA 2024-TRABAJO'!#REF!</f>
        <v>#REF!</v>
      </c>
      <c r="AB378" s="279">
        <v>0</v>
      </c>
      <c r="AC378" s="279">
        <v>0</v>
      </c>
      <c r="AD378" s="279"/>
      <c r="AE378" s="279">
        <v>0</v>
      </c>
      <c r="AF378" s="279">
        <v>0</v>
      </c>
      <c r="AG378" s="279">
        <v>0</v>
      </c>
      <c r="AH378" s="279">
        <v>0</v>
      </c>
      <c r="AI378" s="279">
        <v>0</v>
      </c>
      <c r="AJ378" s="279">
        <v>0</v>
      </c>
      <c r="AK378" s="279">
        <v>0</v>
      </c>
      <c r="AL378" s="279">
        <v>0</v>
      </c>
      <c r="AM378" s="279">
        <v>0</v>
      </c>
      <c r="AN378" s="224" t="e">
        <f>SUM(#REF!)</f>
        <v>#REF!</v>
      </c>
      <c r="AO378" s="224">
        <f t="shared" si="41"/>
        <v>0</v>
      </c>
      <c r="AP378" s="224" t="e">
        <f t="shared" si="47"/>
        <v>#REF!</v>
      </c>
      <c r="AQ378" s="224"/>
      <c r="AR378" s="224"/>
      <c r="AS378" s="224"/>
      <c r="AT378" s="224" t="str">
        <f>IFERROR(VLOOKUP($A378,'Constancias POA'!$A$2:$DH$9993,17,FALSE),"")</f>
        <v/>
      </c>
      <c r="AU378" s="224" t="str">
        <f t="shared" si="42"/>
        <v/>
      </c>
      <c r="AV378" s="224" t="str">
        <f>IFERROR(VLOOKUP($A378,CP!$A$1:$U$7992,18,FALSE),"")</f>
        <v/>
      </c>
      <c r="AW378" s="224" t="str">
        <f>IFERROR(VLOOKUP($A378,CP!$A$1:$U$7992,19,FALSE),"")</f>
        <v/>
      </c>
      <c r="AX378" s="224" t="str">
        <f>IFERROR(VLOOKUP($A378,CP!$A$1:$U$7992,20,FALSE),"")</f>
        <v/>
      </c>
      <c r="AY378" s="224" t="str">
        <f>IFERROR(VLOOKUP($A378,CP!$A$1:$U$1,21,FALSE),"")</f>
        <v/>
      </c>
      <c r="AZ378" s="224" t="str">
        <f>IFERROR(VLOOKUP(A378,Devengado!$A$1:AJ1,35,FALSE),"")</f>
        <v/>
      </c>
      <c r="BA378" s="224" t="str">
        <f t="shared" si="43"/>
        <v/>
      </c>
      <c r="BB378" s="224" t="str">
        <f>IFERROR(AZ378/#REF!,"")</f>
        <v/>
      </c>
      <c r="BC378" s="224" t="str">
        <f>IFERROR(VLOOKUP($A378,Devengado!$A$1:$AI$1,22,FALSE),"")</f>
        <v/>
      </c>
      <c r="BD378" s="224" t="str">
        <f>IFERROR(VLOOKUP($A378,Devengado!$A$1:$AI$1,23,FALSE),"")</f>
        <v/>
      </c>
      <c r="BE378" s="224" t="str">
        <f>IFERROR(VLOOKUP($A378,Devengado!$A$1:$AI$1,24,FALSE),"")</f>
        <v/>
      </c>
      <c r="BF378" s="224" t="str">
        <f>IFERROR(VLOOKUP($A378,Devengado!$A$1:$AI$1,25,FALSE),"")</f>
        <v/>
      </c>
      <c r="BG378" s="224" t="str">
        <f>IFERROR(VLOOKUP($A378,Devengado!$A$1:$AI$1,26,FALSE),"")</f>
        <v/>
      </c>
      <c r="BH378" s="224" t="str">
        <f>IFERROR(VLOOKUP($A378,Devengado!$A$1:$AI$1,27,FALSE),"")</f>
        <v/>
      </c>
      <c r="BI378" s="224" t="str">
        <f>IFERROR(VLOOKUP($A378,Devengado!$A$1:$AI$1,28,FALSE),"")</f>
        <v/>
      </c>
      <c r="BJ378" s="224" t="str">
        <f>IFERROR(VLOOKUP($A378,Devengado!$A$1:$AI$1,29,FALSE),"")</f>
        <v/>
      </c>
      <c r="BK378" s="224" t="str">
        <f>IFERROR(VLOOKUP($A378,Devengado!$A$1:$AI$1,30,FALSE),"")</f>
        <v/>
      </c>
      <c r="BL378" s="224" t="str">
        <f>IFERROR(VLOOKUP($A378,Devengado!$A$1:$AI$1,31,FALSE),"")</f>
        <v/>
      </c>
      <c r="BM378" s="224" t="str">
        <f>IFERROR(VLOOKUP($A378,Devengado!$A$1:$AI$1,32,FALSE),"")</f>
        <v/>
      </c>
      <c r="BN378" s="224" t="str">
        <f>IFERROR(VLOOKUP($A378,Devengado!$A$1:$AI$1,33,FALSE),"")</f>
        <v/>
      </c>
      <c r="BO378" s="224">
        <f t="shared" si="44"/>
        <v>0</v>
      </c>
      <c r="BP378" s="224" t="str">
        <f t="shared" si="45"/>
        <v/>
      </c>
      <c r="BQ378" s="207"/>
      <c r="BR378" s="207" t="str">
        <f t="shared" si="46"/>
        <v>53</v>
      </c>
    </row>
    <row r="379" spans="1:70" s="225" customFormat="1" ht="25.5" customHeight="1">
      <c r="A379" s="207">
        <v>375</v>
      </c>
      <c r="B379" s="112" t="s">
        <v>348</v>
      </c>
      <c r="C379" s="112" t="s">
        <v>77</v>
      </c>
      <c r="D379" s="112" t="s">
        <v>77</v>
      </c>
      <c r="E379" s="112" t="s">
        <v>76</v>
      </c>
      <c r="F379" s="112" t="s">
        <v>77</v>
      </c>
      <c r="G379" s="112" t="s">
        <v>77</v>
      </c>
      <c r="H379" s="112" t="s">
        <v>77</v>
      </c>
      <c r="I379" s="112" t="s">
        <v>77</v>
      </c>
      <c r="J379" s="112" t="s">
        <v>77</v>
      </c>
      <c r="K379" s="112" t="s">
        <v>77</v>
      </c>
      <c r="L379" s="112" t="s">
        <v>85</v>
      </c>
      <c r="M379" s="112" t="s">
        <v>396</v>
      </c>
      <c r="N379" s="118" t="s">
        <v>350</v>
      </c>
      <c r="O379" s="118" t="s">
        <v>111</v>
      </c>
      <c r="P379" s="118" t="s">
        <v>81</v>
      </c>
      <c r="Q379" s="118" t="s">
        <v>112</v>
      </c>
      <c r="R379" s="115" t="str">
        <f t="shared" si="40"/>
        <v>53</v>
      </c>
      <c r="S379" s="124">
        <v>530812</v>
      </c>
      <c r="T379" s="122" t="e">
        <f>VLOOKUP(S379,ITEM!$C$1:$D$156,2,FALSE)</f>
        <v>#N/A</v>
      </c>
      <c r="U379" s="112" t="s">
        <v>83</v>
      </c>
      <c r="V379" s="114" t="s">
        <v>82</v>
      </c>
      <c r="W379" s="114" t="s">
        <v>84</v>
      </c>
      <c r="X379" s="114" t="s">
        <v>84</v>
      </c>
      <c r="Y379" s="224" t="e">
        <f>'Matriz POA 2024-TRABAJO'!#REF!</f>
        <v>#REF!</v>
      </c>
      <c r="Z379" s="224" t="e">
        <f>'Matriz POA 2024-TRABAJO'!#REF!</f>
        <v>#REF!</v>
      </c>
      <c r="AA379" s="272" t="e">
        <f>'Matriz POA 2024-TRABAJO'!#REF!</f>
        <v>#REF!</v>
      </c>
      <c r="AB379" s="273">
        <v>0</v>
      </c>
      <c r="AC379" s="273">
        <v>0</v>
      </c>
      <c r="AD379" s="273">
        <v>0</v>
      </c>
      <c r="AE379" s="273">
        <v>2000</v>
      </c>
      <c r="AF379" s="273">
        <v>0</v>
      </c>
      <c r="AG379" s="273">
        <v>0</v>
      </c>
      <c r="AH379" s="273">
        <v>0</v>
      </c>
      <c r="AI379" s="273">
        <v>0</v>
      </c>
      <c r="AJ379" s="273">
        <v>0</v>
      </c>
      <c r="AK379" s="273">
        <v>0</v>
      </c>
      <c r="AL379" s="273">
        <v>0</v>
      </c>
      <c r="AM379" s="273">
        <v>0</v>
      </c>
      <c r="AN379" s="272" t="e">
        <f>SUM(#REF!)</f>
        <v>#REF!</v>
      </c>
      <c r="AO379" s="224">
        <f t="shared" si="41"/>
        <v>2000</v>
      </c>
      <c r="AP379" s="224" t="e">
        <f t="shared" si="47"/>
        <v>#REF!</v>
      </c>
      <c r="AQ379" s="224"/>
      <c r="AR379" s="224"/>
      <c r="AS379" s="224"/>
      <c r="AT379" s="224" t="str">
        <f>IFERROR(VLOOKUP($A379,'Constancias POA'!$A$2:$DH$9993,17,FALSE),"")</f>
        <v/>
      </c>
      <c r="AU379" s="224" t="str">
        <f t="shared" si="42"/>
        <v/>
      </c>
      <c r="AV379" s="224" t="str">
        <f>IFERROR(VLOOKUP($A379,CP!$A$1:$U$7992,18,FALSE),"")</f>
        <v/>
      </c>
      <c r="AW379" s="224" t="str">
        <f>IFERROR(VLOOKUP($A379,CP!$A$1:$U$7992,19,FALSE),"")</f>
        <v/>
      </c>
      <c r="AX379" s="224" t="str">
        <f>IFERROR(VLOOKUP($A379,CP!$A$1:$U$7992,20,FALSE),"")</f>
        <v/>
      </c>
      <c r="AY379" s="224" t="str">
        <f>IFERROR(VLOOKUP($A379,CP!$A$1:$U$1,21,FALSE),"")</f>
        <v/>
      </c>
      <c r="AZ379" s="224" t="str">
        <f>IFERROR(VLOOKUP(A379,Devengado!$A$1:AJ1,35,FALSE),"")</f>
        <v/>
      </c>
      <c r="BA379" s="224" t="str">
        <f t="shared" si="43"/>
        <v/>
      </c>
      <c r="BB379" s="224" t="str">
        <f>IFERROR(AZ379/#REF!,"")</f>
        <v/>
      </c>
      <c r="BC379" s="224" t="str">
        <f>IFERROR(VLOOKUP($A379,Devengado!$A$1:$AI$1,22,FALSE),"")</f>
        <v/>
      </c>
      <c r="BD379" s="224" t="str">
        <f>IFERROR(VLOOKUP($A379,Devengado!$A$1:$AI$1,23,FALSE),"")</f>
        <v/>
      </c>
      <c r="BE379" s="224" t="str">
        <f>IFERROR(VLOOKUP($A379,Devengado!$A$1:$AI$1,24,FALSE),"")</f>
        <v/>
      </c>
      <c r="BF379" s="224" t="str">
        <f>IFERROR(VLOOKUP($A379,Devengado!$A$1:$AI$1,25,FALSE),"")</f>
        <v/>
      </c>
      <c r="BG379" s="224" t="str">
        <f>IFERROR(VLOOKUP($A379,Devengado!$A$1:$AI$1,26,FALSE),"")</f>
        <v/>
      </c>
      <c r="BH379" s="224" t="str">
        <f>IFERROR(VLOOKUP($A379,Devengado!$A$1:$AI$1,27,FALSE),"")</f>
        <v/>
      </c>
      <c r="BI379" s="224" t="str">
        <f>IFERROR(VLOOKUP($A379,Devengado!$A$1:$AI$1,28,FALSE),"")</f>
        <v/>
      </c>
      <c r="BJ379" s="224" t="str">
        <f>IFERROR(VLOOKUP($A379,Devengado!$A$1:$AI$1,29,FALSE),"")</f>
        <v/>
      </c>
      <c r="BK379" s="224" t="str">
        <f>IFERROR(VLOOKUP($A379,Devengado!$A$1:$AI$1,30,FALSE),"")</f>
        <v/>
      </c>
      <c r="BL379" s="224" t="str">
        <f>IFERROR(VLOOKUP($A379,Devengado!$A$1:$AI$1,31,FALSE),"")</f>
        <v/>
      </c>
      <c r="BM379" s="224" t="str">
        <f>IFERROR(VLOOKUP($A379,Devengado!$A$1:$AI$1,32,FALSE),"")</f>
        <v/>
      </c>
      <c r="BN379" s="224" t="str">
        <f>IFERROR(VLOOKUP($A379,Devengado!$A$1:$AI$1,33,FALSE),"")</f>
        <v/>
      </c>
      <c r="BO379" s="224">
        <f t="shared" si="44"/>
        <v>0</v>
      </c>
      <c r="BP379" s="224" t="str">
        <f t="shared" si="45"/>
        <v/>
      </c>
      <c r="BQ379" s="207"/>
      <c r="BR379" s="207" t="str">
        <f t="shared" si="46"/>
        <v>53</v>
      </c>
    </row>
    <row r="380" spans="1:70" s="225" customFormat="1" ht="25.5" customHeight="1">
      <c r="A380" s="207">
        <v>376</v>
      </c>
      <c r="B380" s="112" t="s">
        <v>348</v>
      </c>
      <c r="C380" s="112" t="s">
        <v>77</v>
      </c>
      <c r="D380" s="112" t="s">
        <v>77</v>
      </c>
      <c r="E380" s="112" t="s">
        <v>76</v>
      </c>
      <c r="F380" s="112" t="s">
        <v>77</v>
      </c>
      <c r="G380" s="112" t="s">
        <v>77</v>
      </c>
      <c r="H380" s="112" t="s">
        <v>77</v>
      </c>
      <c r="I380" s="112" t="s">
        <v>77</v>
      </c>
      <c r="J380" s="112" t="s">
        <v>77</v>
      </c>
      <c r="K380" s="112" t="s">
        <v>77</v>
      </c>
      <c r="L380" s="112" t="s">
        <v>85</v>
      </c>
      <c r="M380" s="112" t="s">
        <v>397</v>
      </c>
      <c r="N380" s="118" t="s">
        <v>350</v>
      </c>
      <c r="O380" s="118" t="s">
        <v>111</v>
      </c>
      <c r="P380" s="118" t="s">
        <v>81</v>
      </c>
      <c r="Q380" s="118" t="s">
        <v>112</v>
      </c>
      <c r="R380" s="115" t="str">
        <f t="shared" si="40"/>
        <v>53</v>
      </c>
      <c r="S380" s="124">
        <v>530601</v>
      </c>
      <c r="T380" s="122" t="str">
        <f>VLOOKUP(S380,ITEM!$C$1:$D$156,2,FALSE)</f>
        <v>Consultoría, Asesoría e Investigación Especializada</v>
      </c>
      <c r="U380" s="112" t="s">
        <v>83</v>
      </c>
      <c r="V380" s="114" t="s">
        <v>82</v>
      </c>
      <c r="W380" s="114" t="s">
        <v>84</v>
      </c>
      <c r="X380" s="114" t="s">
        <v>84</v>
      </c>
      <c r="Y380" s="224" t="e">
        <f>'Matriz POA 2024-TRABAJO'!#REF!</f>
        <v>#REF!</v>
      </c>
      <c r="Z380" s="224" t="e">
        <f>'Matriz POA 2024-TRABAJO'!#REF!</f>
        <v>#REF!</v>
      </c>
      <c r="AA380" s="224" t="e">
        <f>'Matriz POA 2024-TRABAJO'!#REF!</f>
        <v>#REF!</v>
      </c>
      <c r="AB380" s="279">
        <v>0</v>
      </c>
      <c r="AC380" s="279">
        <v>0</v>
      </c>
      <c r="AD380" s="279">
        <v>0</v>
      </c>
      <c r="AE380" s="279">
        <v>0</v>
      </c>
      <c r="AF380" s="279">
        <v>0</v>
      </c>
      <c r="AG380" s="279">
        <v>0</v>
      </c>
      <c r="AH380" s="279">
        <v>0</v>
      </c>
      <c r="AI380" s="279">
        <v>0</v>
      </c>
      <c r="AJ380" s="279">
        <v>0</v>
      </c>
      <c r="AK380" s="279">
        <v>0</v>
      </c>
      <c r="AL380" s="279">
        <v>0</v>
      </c>
      <c r="AM380" s="279">
        <v>0</v>
      </c>
      <c r="AN380" s="224" t="e">
        <f>SUM(#REF!)</f>
        <v>#REF!</v>
      </c>
      <c r="AO380" s="224">
        <f t="shared" si="41"/>
        <v>0</v>
      </c>
      <c r="AP380" s="224" t="e">
        <f t="shared" si="47"/>
        <v>#REF!</v>
      </c>
      <c r="AQ380" s="224"/>
      <c r="AR380" s="224"/>
      <c r="AS380" s="224"/>
      <c r="AT380" s="224" t="str">
        <f>IFERROR(VLOOKUP($A380,'Constancias POA'!$A$2:$DH$9993,17,FALSE),"")</f>
        <v/>
      </c>
      <c r="AU380" s="224" t="str">
        <f t="shared" si="42"/>
        <v/>
      </c>
      <c r="AV380" s="224" t="str">
        <f>IFERROR(VLOOKUP($A380,CP!$A$1:$U$7992,18,FALSE),"")</f>
        <v/>
      </c>
      <c r="AW380" s="224" t="str">
        <f>IFERROR(VLOOKUP($A380,CP!$A$1:$U$7992,19,FALSE),"")</f>
        <v/>
      </c>
      <c r="AX380" s="224" t="str">
        <f>IFERROR(VLOOKUP($A380,CP!$A$1:$U$7992,20,FALSE),"")</f>
        <v/>
      </c>
      <c r="AY380" s="224" t="str">
        <f>IFERROR(VLOOKUP($A380,CP!$A$1:$U$1,21,FALSE),"")</f>
        <v/>
      </c>
      <c r="AZ380" s="224" t="str">
        <f>IFERROR(VLOOKUP(A380,Devengado!$A$1:AJ1,35,FALSE),"")</f>
        <v/>
      </c>
      <c r="BA380" s="224" t="str">
        <f t="shared" si="43"/>
        <v/>
      </c>
      <c r="BB380" s="224" t="str">
        <f>IFERROR(AZ380/#REF!,"")</f>
        <v/>
      </c>
      <c r="BC380" s="224" t="str">
        <f>IFERROR(VLOOKUP($A380,Devengado!$A$1:$AI$1,22,FALSE),"")</f>
        <v/>
      </c>
      <c r="BD380" s="224" t="str">
        <f>IFERROR(VLOOKUP($A380,Devengado!$A$1:$AI$1,23,FALSE),"")</f>
        <v/>
      </c>
      <c r="BE380" s="224" t="str">
        <f>IFERROR(VLOOKUP($A380,Devengado!$A$1:$AI$1,24,FALSE),"")</f>
        <v/>
      </c>
      <c r="BF380" s="224" t="str">
        <f>IFERROR(VLOOKUP($A380,Devengado!$A$1:$AI$1,25,FALSE),"")</f>
        <v/>
      </c>
      <c r="BG380" s="224" t="str">
        <f>IFERROR(VLOOKUP($A380,Devengado!$A$1:$AI$1,26,FALSE),"")</f>
        <v/>
      </c>
      <c r="BH380" s="224" t="str">
        <f>IFERROR(VLOOKUP($A380,Devengado!$A$1:$AI$1,27,FALSE),"")</f>
        <v/>
      </c>
      <c r="BI380" s="224" t="str">
        <f>IFERROR(VLOOKUP($A380,Devengado!$A$1:$AI$1,28,FALSE),"")</f>
        <v/>
      </c>
      <c r="BJ380" s="224" t="str">
        <f>IFERROR(VLOOKUP($A380,Devengado!$A$1:$AI$1,29,FALSE),"")</f>
        <v/>
      </c>
      <c r="BK380" s="224" t="str">
        <f>IFERROR(VLOOKUP($A380,Devengado!$A$1:$AI$1,30,FALSE),"")</f>
        <v/>
      </c>
      <c r="BL380" s="224" t="str">
        <f>IFERROR(VLOOKUP($A380,Devengado!$A$1:$AI$1,31,FALSE),"")</f>
        <v/>
      </c>
      <c r="BM380" s="224" t="str">
        <f>IFERROR(VLOOKUP($A380,Devengado!$A$1:$AI$1,32,FALSE),"")</f>
        <v/>
      </c>
      <c r="BN380" s="224" t="str">
        <f>IFERROR(VLOOKUP($A380,Devengado!$A$1:$AI$1,33,FALSE),"")</f>
        <v/>
      </c>
      <c r="BO380" s="224">
        <f t="shared" si="44"/>
        <v>0</v>
      </c>
      <c r="BP380" s="224" t="str">
        <f t="shared" si="45"/>
        <v/>
      </c>
      <c r="BQ380" s="207"/>
      <c r="BR380" s="207" t="str">
        <f t="shared" si="46"/>
        <v>53</v>
      </c>
    </row>
    <row r="381" spans="1:70" s="225" customFormat="1" ht="25.5" customHeight="1">
      <c r="A381" s="207">
        <v>377</v>
      </c>
      <c r="B381" s="112" t="s">
        <v>348</v>
      </c>
      <c r="C381" s="112" t="s">
        <v>77</v>
      </c>
      <c r="D381" s="112" t="s">
        <v>77</v>
      </c>
      <c r="E381" s="112" t="s">
        <v>76</v>
      </c>
      <c r="F381" s="112" t="s">
        <v>77</v>
      </c>
      <c r="G381" s="112" t="s">
        <v>77</v>
      </c>
      <c r="H381" s="112" t="s">
        <v>77</v>
      </c>
      <c r="I381" s="112" t="s">
        <v>77</v>
      </c>
      <c r="J381" s="112" t="s">
        <v>77</v>
      </c>
      <c r="K381" s="112" t="s">
        <v>77</v>
      </c>
      <c r="L381" s="112" t="s">
        <v>85</v>
      </c>
      <c r="M381" s="112" t="s">
        <v>398</v>
      </c>
      <c r="N381" s="118" t="s">
        <v>350</v>
      </c>
      <c r="O381" s="118" t="s">
        <v>111</v>
      </c>
      <c r="P381" s="118" t="s">
        <v>81</v>
      </c>
      <c r="Q381" s="118" t="s">
        <v>112</v>
      </c>
      <c r="R381" s="115" t="str">
        <f t="shared" si="40"/>
        <v>53</v>
      </c>
      <c r="S381" s="124">
        <v>530601</v>
      </c>
      <c r="T381" s="122" t="str">
        <f>VLOOKUP(S381,ITEM!$C$1:$D$156,2,FALSE)</f>
        <v>Consultoría, Asesoría e Investigación Especializada</v>
      </c>
      <c r="U381" s="112" t="s">
        <v>83</v>
      </c>
      <c r="V381" s="114" t="s">
        <v>82</v>
      </c>
      <c r="W381" s="114" t="s">
        <v>84</v>
      </c>
      <c r="X381" s="114" t="s">
        <v>84</v>
      </c>
      <c r="Y381" s="224" t="e">
        <f>'Matriz POA 2024-TRABAJO'!#REF!</f>
        <v>#REF!</v>
      </c>
      <c r="Z381" s="224" t="e">
        <f>'Matriz POA 2024-TRABAJO'!#REF!</f>
        <v>#REF!</v>
      </c>
      <c r="AA381" s="224" t="e">
        <f>'Matriz POA 2024-TRABAJO'!#REF!</f>
        <v>#REF!</v>
      </c>
      <c r="AB381" s="279">
        <v>0</v>
      </c>
      <c r="AC381" s="279">
        <v>0</v>
      </c>
      <c r="AD381" s="279">
        <v>0</v>
      </c>
      <c r="AE381" s="279">
        <v>0</v>
      </c>
      <c r="AF381" s="279">
        <v>0</v>
      </c>
      <c r="AG381" s="279">
        <v>0</v>
      </c>
      <c r="AH381" s="279">
        <v>0</v>
      </c>
      <c r="AI381" s="279">
        <v>0</v>
      </c>
      <c r="AJ381" s="279">
        <v>0</v>
      </c>
      <c r="AK381" s="279">
        <v>0</v>
      </c>
      <c r="AL381" s="279">
        <v>0</v>
      </c>
      <c r="AM381" s="279">
        <v>0</v>
      </c>
      <c r="AN381" s="224" t="e">
        <f>SUM(#REF!)</f>
        <v>#REF!</v>
      </c>
      <c r="AO381" s="224">
        <f t="shared" si="41"/>
        <v>0</v>
      </c>
      <c r="AP381" s="224" t="e">
        <f t="shared" si="47"/>
        <v>#REF!</v>
      </c>
      <c r="AQ381" s="224"/>
      <c r="AR381" s="224"/>
      <c r="AS381" s="224"/>
      <c r="AT381" s="224" t="str">
        <f>IFERROR(VLOOKUP($A381,'Constancias POA'!$A$2:$DH$9993,17,FALSE),"")</f>
        <v/>
      </c>
      <c r="AU381" s="224" t="str">
        <f t="shared" si="42"/>
        <v/>
      </c>
      <c r="AV381" s="224" t="str">
        <f>IFERROR(VLOOKUP($A381,CP!$A$1:$U$7992,18,FALSE),"")</f>
        <v/>
      </c>
      <c r="AW381" s="224" t="str">
        <f>IFERROR(VLOOKUP($A381,CP!$A$1:$U$7992,19,FALSE),"")</f>
        <v/>
      </c>
      <c r="AX381" s="224" t="str">
        <f>IFERROR(VLOOKUP($A381,CP!$A$1:$U$7992,20,FALSE),"")</f>
        <v/>
      </c>
      <c r="AY381" s="224" t="str">
        <f>IFERROR(VLOOKUP($A381,CP!$A$1:$U$1,21,FALSE),"")</f>
        <v/>
      </c>
      <c r="AZ381" s="224" t="str">
        <f>IFERROR(VLOOKUP(A381,Devengado!$A$1:AJ1,35,FALSE),"")</f>
        <v/>
      </c>
      <c r="BA381" s="224" t="str">
        <f t="shared" si="43"/>
        <v/>
      </c>
      <c r="BB381" s="224" t="str">
        <f>IFERROR(AZ381/#REF!,"")</f>
        <v/>
      </c>
      <c r="BC381" s="224" t="str">
        <f>IFERROR(VLOOKUP($A381,Devengado!$A$1:$AI$1,22,FALSE),"")</f>
        <v/>
      </c>
      <c r="BD381" s="224" t="str">
        <f>IFERROR(VLOOKUP($A381,Devengado!$A$1:$AI$1,23,FALSE),"")</f>
        <v/>
      </c>
      <c r="BE381" s="224" t="str">
        <f>IFERROR(VLOOKUP($A381,Devengado!$A$1:$AI$1,24,FALSE),"")</f>
        <v/>
      </c>
      <c r="BF381" s="224" t="str">
        <f>IFERROR(VLOOKUP($A381,Devengado!$A$1:$AI$1,25,FALSE),"")</f>
        <v/>
      </c>
      <c r="BG381" s="224" t="str">
        <f>IFERROR(VLOOKUP($A381,Devengado!$A$1:$AI$1,26,FALSE),"")</f>
        <v/>
      </c>
      <c r="BH381" s="224" t="str">
        <f>IFERROR(VLOOKUP($A381,Devengado!$A$1:$AI$1,27,FALSE),"")</f>
        <v/>
      </c>
      <c r="BI381" s="224" t="str">
        <f>IFERROR(VLOOKUP($A381,Devengado!$A$1:$AI$1,28,FALSE),"")</f>
        <v/>
      </c>
      <c r="BJ381" s="224" t="str">
        <f>IFERROR(VLOOKUP($A381,Devengado!$A$1:$AI$1,29,FALSE),"")</f>
        <v/>
      </c>
      <c r="BK381" s="224" t="str">
        <f>IFERROR(VLOOKUP($A381,Devengado!$A$1:$AI$1,30,FALSE),"")</f>
        <v/>
      </c>
      <c r="BL381" s="224" t="str">
        <f>IFERROR(VLOOKUP($A381,Devengado!$A$1:$AI$1,31,FALSE),"")</f>
        <v/>
      </c>
      <c r="BM381" s="224" t="str">
        <f>IFERROR(VLOOKUP($A381,Devengado!$A$1:$AI$1,32,FALSE),"")</f>
        <v/>
      </c>
      <c r="BN381" s="224" t="str">
        <f>IFERROR(VLOOKUP($A381,Devengado!$A$1:$AI$1,33,FALSE),"")</f>
        <v/>
      </c>
      <c r="BO381" s="224">
        <f t="shared" si="44"/>
        <v>0</v>
      </c>
      <c r="BP381" s="224" t="str">
        <f t="shared" si="45"/>
        <v/>
      </c>
      <c r="BQ381" s="207"/>
      <c r="BR381" s="207" t="str">
        <f t="shared" si="46"/>
        <v>53</v>
      </c>
    </row>
    <row r="382" spans="1:70" s="225" customFormat="1" ht="25.5" customHeight="1">
      <c r="A382" s="207">
        <v>378</v>
      </c>
      <c r="B382" s="112" t="s">
        <v>348</v>
      </c>
      <c r="C382" s="112" t="s">
        <v>77</v>
      </c>
      <c r="D382" s="112" t="s">
        <v>77</v>
      </c>
      <c r="E382" s="112" t="s">
        <v>76</v>
      </c>
      <c r="F382" s="112" t="s">
        <v>77</v>
      </c>
      <c r="G382" s="112" t="s">
        <v>77</v>
      </c>
      <c r="H382" s="112" t="s">
        <v>77</v>
      </c>
      <c r="I382" s="112" t="s">
        <v>77</v>
      </c>
      <c r="J382" s="112" t="s">
        <v>77</v>
      </c>
      <c r="K382" s="112" t="s">
        <v>77</v>
      </c>
      <c r="L382" s="112" t="s">
        <v>85</v>
      </c>
      <c r="M382" s="112" t="s">
        <v>399</v>
      </c>
      <c r="N382" s="118" t="s">
        <v>350</v>
      </c>
      <c r="O382" s="118" t="s">
        <v>111</v>
      </c>
      <c r="P382" s="118" t="s">
        <v>81</v>
      </c>
      <c r="Q382" s="118" t="s">
        <v>112</v>
      </c>
      <c r="R382" s="115" t="str">
        <f t="shared" si="40"/>
        <v>53</v>
      </c>
      <c r="S382" s="124">
        <v>530601</v>
      </c>
      <c r="T382" s="122" t="str">
        <f>VLOOKUP(S382,ITEM!$C$1:$D$156,2,FALSE)</f>
        <v>Consultoría, Asesoría e Investigación Especializada</v>
      </c>
      <c r="U382" s="112" t="s">
        <v>83</v>
      </c>
      <c r="V382" s="114" t="s">
        <v>82</v>
      </c>
      <c r="W382" s="114" t="s">
        <v>84</v>
      </c>
      <c r="X382" s="114" t="s">
        <v>84</v>
      </c>
      <c r="Y382" s="224" t="e">
        <f>'Matriz POA 2024-TRABAJO'!#REF!</f>
        <v>#REF!</v>
      </c>
      <c r="Z382" s="224" t="e">
        <f>'Matriz POA 2024-TRABAJO'!#REF!</f>
        <v>#REF!</v>
      </c>
      <c r="AA382" s="224" t="e">
        <f>'Matriz POA 2024-TRABAJO'!#REF!</f>
        <v>#REF!</v>
      </c>
      <c r="AB382" s="279">
        <v>0</v>
      </c>
      <c r="AC382" s="279">
        <v>0</v>
      </c>
      <c r="AD382" s="279">
        <v>0</v>
      </c>
      <c r="AE382" s="279">
        <v>0</v>
      </c>
      <c r="AF382" s="279">
        <v>0</v>
      </c>
      <c r="AG382" s="279">
        <v>0</v>
      </c>
      <c r="AH382" s="279">
        <v>0</v>
      </c>
      <c r="AI382" s="279">
        <v>0</v>
      </c>
      <c r="AJ382" s="279">
        <v>0</v>
      </c>
      <c r="AK382" s="279">
        <v>0</v>
      </c>
      <c r="AL382" s="279">
        <v>0</v>
      </c>
      <c r="AM382" s="279">
        <v>0</v>
      </c>
      <c r="AN382" s="224" t="e">
        <f>SUM(#REF!)</f>
        <v>#REF!</v>
      </c>
      <c r="AO382" s="224">
        <f t="shared" si="41"/>
        <v>0</v>
      </c>
      <c r="AP382" s="224" t="e">
        <f t="shared" si="47"/>
        <v>#REF!</v>
      </c>
      <c r="AQ382" s="224"/>
      <c r="AR382" s="224"/>
      <c r="AS382" s="224"/>
      <c r="AT382" s="224" t="str">
        <f>IFERROR(VLOOKUP($A382,'Constancias POA'!$A$2:$DH$9993,17,FALSE),"")</f>
        <v/>
      </c>
      <c r="AU382" s="224" t="str">
        <f t="shared" si="42"/>
        <v/>
      </c>
      <c r="AV382" s="224" t="str">
        <f>IFERROR(VLOOKUP($A382,CP!$A$1:$U$7992,18,FALSE),"")</f>
        <v/>
      </c>
      <c r="AW382" s="224" t="str">
        <f>IFERROR(VLOOKUP($A382,CP!$A$1:$U$7992,19,FALSE),"")</f>
        <v/>
      </c>
      <c r="AX382" s="224" t="str">
        <f>IFERROR(VLOOKUP($A382,CP!$A$1:$U$7992,20,FALSE),"")</f>
        <v/>
      </c>
      <c r="AY382" s="224" t="str">
        <f>IFERROR(VLOOKUP($A382,CP!$A$1:$U$1,21,FALSE),"")</f>
        <v/>
      </c>
      <c r="AZ382" s="224" t="str">
        <f>IFERROR(VLOOKUP(A382,Devengado!$A$1:AJ1,35,FALSE),"")</f>
        <v/>
      </c>
      <c r="BA382" s="224" t="str">
        <f t="shared" si="43"/>
        <v/>
      </c>
      <c r="BB382" s="224" t="str">
        <f>IFERROR(AZ382/#REF!,"")</f>
        <v/>
      </c>
      <c r="BC382" s="224" t="str">
        <f>IFERROR(VLOOKUP($A382,Devengado!$A$1:$AI$1,22,FALSE),"")</f>
        <v/>
      </c>
      <c r="BD382" s="224" t="str">
        <f>IFERROR(VLOOKUP($A382,Devengado!$A$1:$AI$1,23,FALSE),"")</f>
        <v/>
      </c>
      <c r="BE382" s="224" t="str">
        <f>IFERROR(VLOOKUP($A382,Devengado!$A$1:$AI$1,24,FALSE),"")</f>
        <v/>
      </c>
      <c r="BF382" s="224" t="str">
        <f>IFERROR(VLOOKUP($A382,Devengado!$A$1:$AI$1,25,FALSE),"")</f>
        <v/>
      </c>
      <c r="BG382" s="224" t="str">
        <f>IFERROR(VLOOKUP($A382,Devengado!$A$1:$AI$1,26,FALSE),"")</f>
        <v/>
      </c>
      <c r="BH382" s="224" t="str">
        <f>IFERROR(VLOOKUP($A382,Devengado!$A$1:$AI$1,27,FALSE),"")</f>
        <v/>
      </c>
      <c r="BI382" s="224" t="str">
        <f>IFERROR(VLOOKUP($A382,Devengado!$A$1:$AI$1,28,FALSE),"")</f>
        <v/>
      </c>
      <c r="BJ382" s="224" t="str">
        <f>IFERROR(VLOOKUP($A382,Devengado!$A$1:$AI$1,29,FALSE),"")</f>
        <v/>
      </c>
      <c r="BK382" s="224" t="str">
        <f>IFERROR(VLOOKUP($A382,Devengado!$A$1:$AI$1,30,FALSE),"")</f>
        <v/>
      </c>
      <c r="BL382" s="224" t="str">
        <f>IFERROR(VLOOKUP($A382,Devengado!$A$1:$AI$1,31,FALSE),"")</f>
        <v/>
      </c>
      <c r="BM382" s="224" t="str">
        <f>IFERROR(VLOOKUP($A382,Devengado!$A$1:$AI$1,32,FALSE),"")</f>
        <v/>
      </c>
      <c r="BN382" s="224" t="str">
        <f>IFERROR(VLOOKUP($A382,Devengado!$A$1:$AI$1,33,FALSE),"")</f>
        <v/>
      </c>
      <c r="BO382" s="224">
        <f t="shared" si="44"/>
        <v>0</v>
      </c>
      <c r="BP382" s="224" t="str">
        <f t="shared" si="45"/>
        <v/>
      </c>
      <c r="BQ382" s="207"/>
      <c r="BR382" s="207" t="str">
        <f t="shared" si="46"/>
        <v>53</v>
      </c>
    </row>
    <row r="383" spans="1:70" s="225" customFormat="1" ht="25.5" customHeight="1">
      <c r="A383" s="207">
        <v>379</v>
      </c>
      <c r="B383" s="112" t="s">
        <v>348</v>
      </c>
      <c r="C383" s="112" t="s">
        <v>77</v>
      </c>
      <c r="D383" s="112" t="s">
        <v>77</v>
      </c>
      <c r="E383" s="112" t="s">
        <v>76</v>
      </c>
      <c r="F383" s="112" t="s">
        <v>77</v>
      </c>
      <c r="G383" s="112" t="s">
        <v>77</v>
      </c>
      <c r="H383" s="112" t="s">
        <v>77</v>
      </c>
      <c r="I383" s="112" t="s">
        <v>77</v>
      </c>
      <c r="J383" s="112" t="s">
        <v>77</v>
      </c>
      <c r="K383" s="112" t="s">
        <v>77</v>
      </c>
      <c r="L383" s="112" t="s">
        <v>85</v>
      </c>
      <c r="M383" s="112" t="s">
        <v>400</v>
      </c>
      <c r="N383" s="118" t="s">
        <v>350</v>
      </c>
      <c r="O383" s="118" t="s">
        <v>111</v>
      </c>
      <c r="P383" s="118" t="s">
        <v>81</v>
      </c>
      <c r="Q383" s="118" t="s">
        <v>112</v>
      </c>
      <c r="R383" s="115" t="str">
        <f t="shared" si="40"/>
        <v>53</v>
      </c>
      <c r="S383" s="124">
        <v>530601</v>
      </c>
      <c r="T383" s="122" t="str">
        <f>VLOOKUP(S383,ITEM!$C$1:$D$156,2,FALSE)</f>
        <v>Consultoría, Asesoría e Investigación Especializada</v>
      </c>
      <c r="U383" s="112" t="s">
        <v>83</v>
      </c>
      <c r="V383" s="114" t="s">
        <v>82</v>
      </c>
      <c r="W383" s="114" t="s">
        <v>84</v>
      </c>
      <c r="X383" s="114" t="s">
        <v>84</v>
      </c>
      <c r="Y383" s="224" t="e">
        <f>'Matriz POA 2024-TRABAJO'!#REF!</f>
        <v>#REF!</v>
      </c>
      <c r="Z383" s="224" t="e">
        <f>'Matriz POA 2024-TRABAJO'!#REF!</f>
        <v>#REF!</v>
      </c>
      <c r="AA383" s="224" t="e">
        <f>'Matriz POA 2024-TRABAJO'!#REF!</f>
        <v>#REF!</v>
      </c>
      <c r="AB383" s="279">
        <v>0</v>
      </c>
      <c r="AC383" s="279">
        <v>0</v>
      </c>
      <c r="AD383" s="279">
        <v>0</v>
      </c>
      <c r="AE383" s="279">
        <v>0</v>
      </c>
      <c r="AF383" s="279">
        <v>0</v>
      </c>
      <c r="AG383" s="279">
        <v>0</v>
      </c>
      <c r="AH383" s="279">
        <v>0</v>
      </c>
      <c r="AI383" s="279">
        <v>0</v>
      </c>
      <c r="AJ383" s="279">
        <v>0</v>
      </c>
      <c r="AK383" s="279">
        <v>0</v>
      </c>
      <c r="AL383" s="279">
        <v>0</v>
      </c>
      <c r="AM383" s="279">
        <v>0</v>
      </c>
      <c r="AN383" s="224" t="e">
        <f>SUM(#REF!)</f>
        <v>#REF!</v>
      </c>
      <c r="AO383" s="224">
        <f t="shared" si="41"/>
        <v>0</v>
      </c>
      <c r="AP383" s="224" t="e">
        <f t="shared" si="47"/>
        <v>#REF!</v>
      </c>
      <c r="AQ383" s="224"/>
      <c r="AR383" s="224"/>
      <c r="AS383" s="224"/>
      <c r="AT383" s="224" t="str">
        <f>IFERROR(VLOOKUP($A383,'Constancias POA'!$A$2:$DH$9993,17,FALSE),"")</f>
        <v/>
      </c>
      <c r="AU383" s="224" t="str">
        <f t="shared" si="42"/>
        <v/>
      </c>
      <c r="AV383" s="224" t="str">
        <f>IFERROR(VLOOKUP($A383,CP!$A$1:$U$7992,18,FALSE),"")</f>
        <v/>
      </c>
      <c r="AW383" s="224" t="str">
        <f>IFERROR(VLOOKUP($A383,CP!$A$1:$U$7992,19,FALSE),"")</f>
        <v/>
      </c>
      <c r="AX383" s="224" t="str">
        <f>IFERROR(VLOOKUP($A383,CP!$A$1:$U$7992,20,FALSE),"")</f>
        <v/>
      </c>
      <c r="AY383" s="224" t="str">
        <f>IFERROR(VLOOKUP($A383,CP!$A$1:$U$1,21,FALSE),"")</f>
        <v/>
      </c>
      <c r="AZ383" s="224" t="str">
        <f>IFERROR(VLOOKUP(A383,Devengado!$A$1:AJ1,35,FALSE),"")</f>
        <v/>
      </c>
      <c r="BA383" s="224" t="str">
        <f t="shared" si="43"/>
        <v/>
      </c>
      <c r="BB383" s="224" t="str">
        <f>IFERROR(AZ383/#REF!,"")</f>
        <v/>
      </c>
      <c r="BC383" s="224" t="str">
        <f>IFERROR(VLOOKUP($A383,Devengado!$A$1:$AI$1,22,FALSE),"")</f>
        <v/>
      </c>
      <c r="BD383" s="224" t="str">
        <f>IFERROR(VLOOKUP($A383,Devengado!$A$1:$AI$1,23,FALSE),"")</f>
        <v/>
      </c>
      <c r="BE383" s="224" t="str">
        <f>IFERROR(VLOOKUP($A383,Devengado!$A$1:$AI$1,24,FALSE),"")</f>
        <v/>
      </c>
      <c r="BF383" s="224" t="str">
        <f>IFERROR(VLOOKUP($A383,Devengado!$A$1:$AI$1,25,FALSE),"")</f>
        <v/>
      </c>
      <c r="BG383" s="224" t="str">
        <f>IFERROR(VLOOKUP($A383,Devengado!$A$1:$AI$1,26,FALSE),"")</f>
        <v/>
      </c>
      <c r="BH383" s="224" t="str">
        <f>IFERROR(VLOOKUP($A383,Devengado!$A$1:$AI$1,27,FALSE),"")</f>
        <v/>
      </c>
      <c r="BI383" s="224" t="str">
        <f>IFERROR(VLOOKUP($A383,Devengado!$A$1:$AI$1,28,FALSE),"")</f>
        <v/>
      </c>
      <c r="BJ383" s="224" t="str">
        <f>IFERROR(VLOOKUP($A383,Devengado!$A$1:$AI$1,29,FALSE),"")</f>
        <v/>
      </c>
      <c r="BK383" s="224" t="str">
        <f>IFERROR(VLOOKUP($A383,Devengado!$A$1:$AI$1,30,FALSE),"")</f>
        <v/>
      </c>
      <c r="BL383" s="224" t="str">
        <f>IFERROR(VLOOKUP($A383,Devengado!$A$1:$AI$1,31,FALSE),"")</f>
        <v/>
      </c>
      <c r="BM383" s="224" t="str">
        <f>IFERROR(VLOOKUP($A383,Devengado!$A$1:$AI$1,32,FALSE),"")</f>
        <v/>
      </c>
      <c r="BN383" s="224" t="str">
        <f>IFERROR(VLOOKUP($A383,Devengado!$A$1:$AI$1,33,FALSE),"")</f>
        <v/>
      </c>
      <c r="BO383" s="224">
        <f t="shared" si="44"/>
        <v>0</v>
      </c>
      <c r="BP383" s="224" t="str">
        <f t="shared" si="45"/>
        <v/>
      </c>
      <c r="BQ383" s="207"/>
      <c r="BR383" s="207" t="str">
        <f t="shared" si="46"/>
        <v>53</v>
      </c>
    </row>
    <row r="384" spans="1:70" s="225" customFormat="1" ht="25.5" customHeight="1">
      <c r="A384" s="207">
        <v>380</v>
      </c>
      <c r="B384" s="112" t="s">
        <v>348</v>
      </c>
      <c r="C384" s="112" t="s">
        <v>77</v>
      </c>
      <c r="D384" s="112" t="s">
        <v>77</v>
      </c>
      <c r="E384" s="112" t="s">
        <v>76</v>
      </c>
      <c r="F384" s="112" t="s">
        <v>77</v>
      </c>
      <c r="G384" s="112" t="s">
        <v>77</v>
      </c>
      <c r="H384" s="112" t="s">
        <v>77</v>
      </c>
      <c r="I384" s="112" t="s">
        <v>77</v>
      </c>
      <c r="J384" s="112" t="s">
        <v>77</v>
      </c>
      <c r="K384" s="112" t="s">
        <v>77</v>
      </c>
      <c r="L384" s="112" t="s">
        <v>85</v>
      </c>
      <c r="M384" s="112" t="s">
        <v>401</v>
      </c>
      <c r="N384" s="118" t="s">
        <v>350</v>
      </c>
      <c r="O384" s="118" t="s">
        <v>111</v>
      </c>
      <c r="P384" s="118" t="s">
        <v>81</v>
      </c>
      <c r="Q384" s="118" t="s">
        <v>112</v>
      </c>
      <c r="R384" s="115" t="str">
        <f t="shared" si="40"/>
        <v>53</v>
      </c>
      <c r="S384" s="124">
        <v>531403</v>
      </c>
      <c r="T384" s="122" t="e">
        <f>VLOOKUP(S384,ITEM!$C$1:$D$156,2,FALSE)</f>
        <v>#N/A</v>
      </c>
      <c r="U384" s="112" t="s">
        <v>83</v>
      </c>
      <c r="V384" s="114" t="s">
        <v>82</v>
      </c>
      <c r="W384" s="114" t="s">
        <v>84</v>
      </c>
      <c r="X384" s="114" t="s">
        <v>84</v>
      </c>
      <c r="Y384" s="224" t="e">
        <f>'Matriz POA 2024-TRABAJO'!#REF!</f>
        <v>#REF!</v>
      </c>
      <c r="Z384" s="224" t="e">
        <f>'Matriz POA 2024-TRABAJO'!#REF!</f>
        <v>#REF!</v>
      </c>
      <c r="AA384" s="224" t="e">
        <f>'Matriz POA 2024-TRABAJO'!#REF!</f>
        <v>#REF!</v>
      </c>
      <c r="AB384" s="279">
        <v>0</v>
      </c>
      <c r="AC384" s="279">
        <v>0</v>
      </c>
      <c r="AD384" s="279">
        <v>0</v>
      </c>
      <c r="AE384" s="279"/>
      <c r="AF384" s="279">
        <v>0</v>
      </c>
      <c r="AG384" s="279">
        <v>0</v>
      </c>
      <c r="AH384" s="279">
        <v>0</v>
      </c>
      <c r="AI384" s="279">
        <v>0</v>
      </c>
      <c r="AJ384" s="279">
        <v>0</v>
      </c>
      <c r="AK384" s="279">
        <v>0</v>
      </c>
      <c r="AL384" s="279">
        <v>0</v>
      </c>
      <c r="AM384" s="279">
        <v>0</v>
      </c>
      <c r="AN384" s="224" t="e">
        <f>SUM(#REF!)</f>
        <v>#REF!</v>
      </c>
      <c r="AO384" s="224">
        <f t="shared" si="41"/>
        <v>0</v>
      </c>
      <c r="AP384" s="224" t="e">
        <f t="shared" si="47"/>
        <v>#REF!</v>
      </c>
      <c r="AQ384" s="224"/>
      <c r="AR384" s="224"/>
      <c r="AS384" s="224"/>
      <c r="AT384" s="224" t="str">
        <f>IFERROR(VLOOKUP($A384,'Constancias POA'!$A$2:$DH$9993,17,FALSE),"")</f>
        <v/>
      </c>
      <c r="AU384" s="224" t="str">
        <f t="shared" si="42"/>
        <v/>
      </c>
      <c r="AV384" s="224" t="str">
        <f>IFERROR(VLOOKUP($A384,CP!$A$1:$U$7992,18,FALSE),"")</f>
        <v/>
      </c>
      <c r="AW384" s="224" t="str">
        <f>IFERROR(VLOOKUP($A384,CP!$A$1:$U$7992,19,FALSE),"")</f>
        <v/>
      </c>
      <c r="AX384" s="224" t="str">
        <f>IFERROR(VLOOKUP($A384,CP!$A$1:$U$7992,20,FALSE),"")</f>
        <v/>
      </c>
      <c r="AY384" s="224" t="str">
        <f>IFERROR(VLOOKUP($A384,CP!$A$1:$U$1,21,FALSE),"")</f>
        <v/>
      </c>
      <c r="AZ384" s="224" t="str">
        <f>IFERROR(VLOOKUP(A384,Devengado!$A$1:AJ1,35,FALSE),"")</f>
        <v/>
      </c>
      <c r="BA384" s="224" t="str">
        <f t="shared" si="43"/>
        <v/>
      </c>
      <c r="BB384" s="224" t="str">
        <f>IFERROR(AZ384/#REF!,"")</f>
        <v/>
      </c>
      <c r="BC384" s="224" t="str">
        <f>IFERROR(VLOOKUP($A384,Devengado!$A$1:$AI$1,22,FALSE),"")</f>
        <v/>
      </c>
      <c r="BD384" s="224" t="str">
        <f>IFERROR(VLOOKUP($A384,Devengado!$A$1:$AI$1,23,FALSE),"")</f>
        <v/>
      </c>
      <c r="BE384" s="224" t="str">
        <f>IFERROR(VLOOKUP($A384,Devengado!$A$1:$AI$1,24,FALSE),"")</f>
        <v/>
      </c>
      <c r="BF384" s="224" t="str">
        <f>IFERROR(VLOOKUP($A384,Devengado!$A$1:$AI$1,25,FALSE),"")</f>
        <v/>
      </c>
      <c r="BG384" s="224" t="str">
        <f>IFERROR(VLOOKUP($A384,Devengado!$A$1:$AI$1,26,FALSE),"")</f>
        <v/>
      </c>
      <c r="BH384" s="224" t="str">
        <f>IFERROR(VLOOKUP($A384,Devengado!$A$1:$AI$1,27,FALSE),"")</f>
        <v/>
      </c>
      <c r="BI384" s="224" t="str">
        <f>IFERROR(VLOOKUP($A384,Devengado!$A$1:$AI$1,28,FALSE),"")</f>
        <v/>
      </c>
      <c r="BJ384" s="224" t="str">
        <f>IFERROR(VLOOKUP($A384,Devengado!$A$1:$AI$1,29,FALSE),"")</f>
        <v/>
      </c>
      <c r="BK384" s="224" t="str">
        <f>IFERROR(VLOOKUP($A384,Devengado!$A$1:$AI$1,30,FALSE),"")</f>
        <v/>
      </c>
      <c r="BL384" s="224" t="str">
        <f>IFERROR(VLOOKUP($A384,Devengado!$A$1:$AI$1,31,FALSE),"")</f>
        <v/>
      </c>
      <c r="BM384" s="224" t="str">
        <f>IFERROR(VLOOKUP($A384,Devengado!$A$1:$AI$1,32,FALSE),"")</f>
        <v/>
      </c>
      <c r="BN384" s="224" t="str">
        <f>IFERROR(VLOOKUP($A384,Devengado!$A$1:$AI$1,33,FALSE),"")</f>
        <v/>
      </c>
      <c r="BO384" s="224">
        <f t="shared" si="44"/>
        <v>0</v>
      </c>
      <c r="BP384" s="224" t="str">
        <f t="shared" si="45"/>
        <v/>
      </c>
      <c r="BQ384" s="207"/>
      <c r="BR384" s="207" t="str">
        <f t="shared" si="46"/>
        <v>53</v>
      </c>
    </row>
    <row r="385" spans="1:70" s="225" customFormat="1" ht="25.5" customHeight="1">
      <c r="A385" s="207">
        <v>381</v>
      </c>
      <c r="B385" s="112" t="s">
        <v>348</v>
      </c>
      <c r="C385" s="112" t="s">
        <v>77</v>
      </c>
      <c r="D385" s="112" t="s">
        <v>77</v>
      </c>
      <c r="E385" s="112" t="s">
        <v>76</v>
      </c>
      <c r="F385" s="112" t="s">
        <v>77</v>
      </c>
      <c r="G385" s="112" t="s">
        <v>77</v>
      </c>
      <c r="H385" s="112" t="s">
        <v>77</v>
      </c>
      <c r="I385" s="112" t="s">
        <v>77</v>
      </c>
      <c r="J385" s="112" t="s">
        <v>77</v>
      </c>
      <c r="K385" s="112" t="s">
        <v>77</v>
      </c>
      <c r="L385" s="112" t="s">
        <v>85</v>
      </c>
      <c r="M385" s="112" t="s">
        <v>402</v>
      </c>
      <c r="N385" s="118" t="s">
        <v>350</v>
      </c>
      <c r="O385" s="118" t="s">
        <v>111</v>
      </c>
      <c r="P385" s="118" t="s">
        <v>81</v>
      </c>
      <c r="Q385" s="118" t="s">
        <v>112</v>
      </c>
      <c r="R385" s="115" t="str">
        <f t="shared" si="40"/>
        <v>53</v>
      </c>
      <c r="S385" s="124">
        <v>530204</v>
      </c>
      <c r="T385" s="122" t="str">
        <f>VLOOKUP(S385,ITEM!$C$1:$D$156,2,FALSE)</f>
        <v>Edición, Impresión, Reproducción, Publicaciones, Suscripciones, Fotocopiado, Traducción, Empastado, Enmarcación,
Serigrafía, Fotografía, Carnetización, Filmación e Imágenes Satelitales.</v>
      </c>
      <c r="U385" s="112" t="s">
        <v>83</v>
      </c>
      <c r="V385" s="114" t="s">
        <v>82</v>
      </c>
      <c r="W385" s="114" t="s">
        <v>84</v>
      </c>
      <c r="X385" s="114" t="s">
        <v>84</v>
      </c>
      <c r="Y385" s="224" t="e">
        <f>'Matriz POA 2024-TRABAJO'!#REF!</f>
        <v>#REF!</v>
      </c>
      <c r="Z385" s="224" t="e">
        <f>'Matriz POA 2024-TRABAJO'!#REF!</f>
        <v>#REF!</v>
      </c>
      <c r="AA385" s="224" t="e">
        <f>'Matriz POA 2024-TRABAJO'!#REF!</f>
        <v>#REF!</v>
      </c>
      <c r="AB385" s="279">
        <v>0</v>
      </c>
      <c r="AC385" s="279">
        <v>0</v>
      </c>
      <c r="AD385" s="279">
        <v>0</v>
      </c>
      <c r="AE385" s="279">
        <v>0</v>
      </c>
      <c r="AF385" s="279">
        <v>0</v>
      </c>
      <c r="AG385" s="279">
        <v>0</v>
      </c>
      <c r="AH385" s="279">
        <v>0</v>
      </c>
      <c r="AI385" s="279">
        <v>0</v>
      </c>
      <c r="AJ385" s="279">
        <v>0</v>
      </c>
      <c r="AK385" s="279">
        <v>0</v>
      </c>
      <c r="AL385" s="279">
        <v>0</v>
      </c>
      <c r="AM385" s="279">
        <v>0</v>
      </c>
      <c r="AN385" s="224" t="e">
        <f>SUM(#REF!)</f>
        <v>#REF!</v>
      </c>
      <c r="AO385" s="224">
        <f t="shared" si="41"/>
        <v>0</v>
      </c>
      <c r="AP385" s="224" t="e">
        <f t="shared" si="47"/>
        <v>#REF!</v>
      </c>
      <c r="AQ385" s="224"/>
      <c r="AR385" s="224"/>
      <c r="AS385" s="224"/>
      <c r="AT385" s="224" t="str">
        <f>IFERROR(VLOOKUP($A385,'Constancias POA'!$A$2:$DH$9993,17,FALSE),"")</f>
        <v/>
      </c>
      <c r="AU385" s="224" t="str">
        <f t="shared" si="42"/>
        <v/>
      </c>
      <c r="AV385" s="224" t="str">
        <f>IFERROR(VLOOKUP($A385,CP!$A$1:$U$7992,18,FALSE),"")</f>
        <v/>
      </c>
      <c r="AW385" s="224" t="str">
        <f>IFERROR(VLOOKUP($A385,CP!$A$1:$U$7992,19,FALSE),"")</f>
        <v/>
      </c>
      <c r="AX385" s="224" t="str">
        <f>IFERROR(VLOOKUP($A385,CP!$A$1:$U$7992,20,FALSE),"")</f>
        <v/>
      </c>
      <c r="AY385" s="224" t="str">
        <f>IFERROR(VLOOKUP($A385,CP!$A$1:$U$1,21,FALSE),"")</f>
        <v/>
      </c>
      <c r="AZ385" s="224" t="str">
        <f>IFERROR(VLOOKUP(A385,Devengado!$A$1:AJ1,35,FALSE),"")</f>
        <v/>
      </c>
      <c r="BA385" s="224" t="str">
        <f t="shared" si="43"/>
        <v/>
      </c>
      <c r="BB385" s="224" t="str">
        <f>IFERROR(AZ385/#REF!,"")</f>
        <v/>
      </c>
      <c r="BC385" s="224" t="str">
        <f>IFERROR(VLOOKUP($A385,Devengado!$A$1:$AI$1,22,FALSE),"")</f>
        <v/>
      </c>
      <c r="BD385" s="224" t="str">
        <f>IFERROR(VLOOKUP($A385,Devengado!$A$1:$AI$1,23,FALSE),"")</f>
        <v/>
      </c>
      <c r="BE385" s="224" t="str">
        <f>IFERROR(VLOOKUP($A385,Devengado!$A$1:$AI$1,24,FALSE),"")</f>
        <v/>
      </c>
      <c r="BF385" s="224" t="str">
        <f>IFERROR(VLOOKUP($A385,Devengado!$A$1:$AI$1,25,FALSE),"")</f>
        <v/>
      </c>
      <c r="BG385" s="224" t="str">
        <f>IFERROR(VLOOKUP($A385,Devengado!$A$1:$AI$1,26,FALSE),"")</f>
        <v/>
      </c>
      <c r="BH385" s="224" t="str">
        <f>IFERROR(VLOOKUP($A385,Devengado!$A$1:$AI$1,27,FALSE),"")</f>
        <v/>
      </c>
      <c r="BI385" s="224" t="str">
        <f>IFERROR(VLOOKUP($A385,Devengado!$A$1:$AI$1,28,FALSE),"")</f>
        <v/>
      </c>
      <c r="BJ385" s="224" t="str">
        <f>IFERROR(VLOOKUP($A385,Devengado!$A$1:$AI$1,29,FALSE),"")</f>
        <v/>
      </c>
      <c r="BK385" s="224" t="str">
        <f>IFERROR(VLOOKUP($A385,Devengado!$A$1:$AI$1,30,FALSE),"")</f>
        <v/>
      </c>
      <c r="BL385" s="224" t="str">
        <f>IFERROR(VLOOKUP($A385,Devengado!$A$1:$AI$1,31,FALSE),"")</f>
        <v/>
      </c>
      <c r="BM385" s="224" t="str">
        <f>IFERROR(VLOOKUP($A385,Devengado!$A$1:$AI$1,32,FALSE),"")</f>
        <v/>
      </c>
      <c r="BN385" s="224" t="str">
        <f>IFERROR(VLOOKUP($A385,Devengado!$A$1:$AI$1,33,FALSE),"")</f>
        <v/>
      </c>
      <c r="BO385" s="224">
        <f t="shared" si="44"/>
        <v>0</v>
      </c>
      <c r="BP385" s="224" t="str">
        <f t="shared" si="45"/>
        <v/>
      </c>
      <c r="BQ385" s="207"/>
      <c r="BR385" s="207" t="str">
        <f t="shared" si="46"/>
        <v>53</v>
      </c>
    </row>
    <row r="386" spans="1:70" s="225" customFormat="1" ht="25.5" customHeight="1">
      <c r="A386" s="207">
        <v>382</v>
      </c>
      <c r="B386" s="112" t="s">
        <v>348</v>
      </c>
      <c r="C386" s="112" t="s">
        <v>77</v>
      </c>
      <c r="D386" s="112" t="s">
        <v>77</v>
      </c>
      <c r="E386" s="112" t="s">
        <v>76</v>
      </c>
      <c r="F386" s="112" t="s">
        <v>77</v>
      </c>
      <c r="G386" s="112" t="s">
        <v>77</v>
      </c>
      <c r="H386" s="112" t="s">
        <v>77</v>
      </c>
      <c r="I386" s="112" t="s">
        <v>77</v>
      </c>
      <c r="J386" s="112" t="s">
        <v>77</v>
      </c>
      <c r="K386" s="112" t="s">
        <v>77</v>
      </c>
      <c r="L386" s="112" t="s">
        <v>85</v>
      </c>
      <c r="M386" s="112" t="s">
        <v>403</v>
      </c>
      <c r="N386" s="118" t="s">
        <v>350</v>
      </c>
      <c r="O386" s="118" t="s">
        <v>111</v>
      </c>
      <c r="P386" s="118" t="s">
        <v>81</v>
      </c>
      <c r="Q386" s="118" t="s">
        <v>112</v>
      </c>
      <c r="R386" s="115" t="str">
        <f t="shared" si="40"/>
        <v>53</v>
      </c>
      <c r="S386" s="124">
        <v>530601</v>
      </c>
      <c r="T386" s="122" t="str">
        <f>VLOOKUP(S386,ITEM!$C$1:$D$156,2,FALSE)</f>
        <v>Consultoría, Asesoría e Investigación Especializada</v>
      </c>
      <c r="U386" s="112" t="s">
        <v>83</v>
      </c>
      <c r="V386" s="114" t="s">
        <v>82</v>
      </c>
      <c r="W386" s="114" t="s">
        <v>84</v>
      </c>
      <c r="X386" s="114" t="s">
        <v>84</v>
      </c>
      <c r="Y386" s="224" t="e">
        <f>'Matriz POA 2024-TRABAJO'!#REF!</f>
        <v>#REF!</v>
      </c>
      <c r="Z386" s="224" t="e">
        <f>'Matriz POA 2024-TRABAJO'!#REF!</f>
        <v>#REF!</v>
      </c>
      <c r="AA386" s="224" t="e">
        <f>'Matriz POA 2024-TRABAJO'!#REF!</f>
        <v>#REF!</v>
      </c>
      <c r="AB386" s="279">
        <v>0</v>
      </c>
      <c r="AC386" s="279">
        <v>0</v>
      </c>
      <c r="AD386" s="279">
        <v>0</v>
      </c>
      <c r="AE386" s="279"/>
      <c r="AF386" s="279">
        <v>0</v>
      </c>
      <c r="AG386" s="279">
        <v>0</v>
      </c>
      <c r="AH386" s="279">
        <v>0</v>
      </c>
      <c r="AI386" s="279">
        <v>0</v>
      </c>
      <c r="AJ386" s="279">
        <v>0</v>
      </c>
      <c r="AK386" s="279">
        <v>0</v>
      </c>
      <c r="AL386" s="279">
        <v>0</v>
      </c>
      <c r="AM386" s="279">
        <v>0</v>
      </c>
      <c r="AN386" s="224" t="e">
        <f>SUM(#REF!)</f>
        <v>#REF!</v>
      </c>
      <c r="AO386" s="224">
        <f t="shared" si="41"/>
        <v>0</v>
      </c>
      <c r="AP386" s="224" t="e">
        <f t="shared" si="47"/>
        <v>#REF!</v>
      </c>
      <c r="AQ386" s="224"/>
      <c r="AR386" s="224"/>
      <c r="AS386" s="224"/>
      <c r="AT386" s="224" t="str">
        <f>IFERROR(VLOOKUP($A386,'Constancias POA'!$A$2:$DH$9993,17,FALSE),"")</f>
        <v/>
      </c>
      <c r="AU386" s="224" t="str">
        <f t="shared" si="42"/>
        <v/>
      </c>
      <c r="AV386" s="224" t="str">
        <f>IFERROR(VLOOKUP($A386,CP!$A$1:$U$7992,18,FALSE),"")</f>
        <v/>
      </c>
      <c r="AW386" s="224" t="str">
        <f>IFERROR(VLOOKUP($A386,CP!$A$1:$U$7992,19,FALSE),"")</f>
        <v/>
      </c>
      <c r="AX386" s="224" t="str">
        <f>IFERROR(VLOOKUP($A386,CP!$A$1:$U$7992,20,FALSE),"")</f>
        <v/>
      </c>
      <c r="AY386" s="224" t="str">
        <f>IFERROR(VLOOKUP($A386,CP!$A$1:$U$1,21,FALSE),"")</f>
        <v/>
      </c>
      <c r="AZ386" s="224" t="str">
        <f>IFERROR(VLOOKUP(A386,Devengado!$A$1:AJ1,35,FALSE),"")</f>
        <v/>
      </c>
      <c r="BA386" s="224" t="str">
        <f t="shared" si="43"/>
        <v/>
      </c>
      <c r="BB386" s="224" t="str">
        <f>IFERROR(AZ386/#REF!,"")</f>
        <v/>
      </c>
      <c r="BC386" s="224" t="str">
        <f>IFERROR(VLOOKUP($A386,Devengado!$A$1:$AI$1,22,FALSE),"")</f>
        <v/>
      </c>
      <c r="BD386" s="224" t="str">
        <f>IFERROR(VLOOKUP($A386,Devengado!$A$1:$AI$1,23,FALSE),"")</f>
        <v/>
      </c>
      <c r="BE386" s="224" t="str">
        <f>IFERROR(VLOOKUP($A386,Devengado!$A$1:$AI$1,24,FALSE),"")</f>
        <v/>
      </c>
      <c r="BF386" s="224" t="str">
        <f>IFERROR(VLOOKUP($A386,Devengado!$A$1:$AI$1,25,FALSE),"")</f>
        <v/>
      </c>
      <c r="BG386" s="224" t="str">
        <f>IFERROR(VLOOKUP($A386,Devengado!$A$1:$AI$1,26,FALSE),"")</f>
        <v/>
      </c>
      <c r="BH386" s="224" t="str">
        <f>IFERROR(VLOOKUP($A386,Devengado!$A$1:$AI$1,27,FALSE),"")</f>
        <v/>
      </c>
      <c r="BI386" s="224" t="str">
        <f>IFERROR(VLOOKUP($A386,Devengado!$A$1:$AI$1,28,FALSE),"")</f>
        <v/>
      </c>
      <c r="BJ386" s="224" t="str">
        <f>IFERROR(VLOOKUP($A386,Devengado!$A$1:$AI$1,29,FALSE),"")</f>
        <v/>
      </c>
      <c r="BK386" s="224" t="str">
        <f>IFERROR(VLOOKUP($A386,Devengado!$A$1:$AI$1,30,FALSE),"")</f>
        <v/>
      </c>
      <c r="BL386" s="224" t="str">
        <f>IFERROR(VLOOKUP($A386,Devengado!$A$1:$AI$1,31,FALSE),"")</f>
        <v/>
      </c>
      <c r="BM386" s="224" t="str">
        <f>IFERROR(VLOOKUP($A386,Devengado!$A$1:$AI$1,32,FALSE),"")</f>
        <v/>
      </c>
      <c r="BN386" s="224" t="str">
        <f>IFERROR(VLOOKUP($A386,Devengado!$A$1:$AI$1,33,FALSE),"")</f>
        <v/>
      </c>
      <c r="BO386" s="224">
        <f t="shared" si="44"/>
        <v>0</v>
      </c>
      <c r="BP386" s="224" t="str">
        <f t="shared" si="45"/>
        <v/>
      </c>
      <c r="BQ386" s="207"/>
      <c r="BR386" s="207" t="str">
        <f t="shared" si="46"/>
        <v>53</v>
      </c>
    </row>
    <row r="387" spans="1:70" s="225" customFormat="1" ht="25.5" customHeight="1">
      <c r="A387" s="207">
        <v>383</v>
      </c>
      <c r="B387" s="112" t="s">
        <v>348</v>
      </c>
      <c r="C387" s="112" t="s">
        <v>77</v>
      </c>
      <c r="D387" s="112" t="s">
        <v>77</v>
      </c>
      <c r="E387" s="112" t="s">
        <v>76</v>
      </c>
      <c r="F387" s="112" t="s">
        <v>77</v>
      </c>
      <c r="G387" s="112" t="s">
        <v>77</v>
      </c>
      <c r="H387" s="112" t="s">
        <v>77</v>
      </c>
      <c r="I387" s="112" t="s">
        <v>77</v>
      </c>
      <c r="J387" s="112" t="s">
        <v>77</v>
      </c>
      <c r="K387" s="112" t="s">
        <v>77</v>
      </c>
      <c r="L387" s="112" t="s">
        <v>85</v>
      </c>
      <c r="M387" s="112" t="s">
        <v>404</v>
      </c>
      <c r="N387" s="118" t="s">
        <v>350</v>
      </c>
      <c r="O387" s="118" t="s">
        <v>111</v>
      </c>
      <c r="P387" s="118" t="s">
        <v>81</v>
      </c>
      <c r="Q387" s="118" t="s">
        <v>112</v>
      </c>
      <c r="R387" s="115" t="str">
        <f t="shared" si="40"/>
        <v>53</v>
      </c>
      <c r="S387" s="124">
        <v>530601</v>
      </c>
      <c r="T387" s="122" t="str">
        <f>VLOOKUP(S387,ITEM!$C$1:$D$156,2,FALSE)</f>
        <v>Consultoría, Asesoría e Investigación Especializada</v>
      </c>
      <c r="U387" s="112" t="s">
        <v>83</v>
      </c>
      <c r="V387" s="114" t="s">
        <v>82</v>
      </c>
      <c r="W387" s="114" t="s">
        <v>84</v>
      </c>
      <c r="X387" s="114" t="s">
        <v>84</v>
      </c>
      <c r="Y387" s="224" t="e">
        <f>'Matriz POA 2024-TRABAJO'!#REF!</f>
        <v>#REF!</v>
      </c>
      <c r="Z387" s="224" t="e">
        <f>'Matriz POA 2024-TRABAJO'!#REF!</f>
        <v>#REF!</v>
      </c>
      <c r="AA387" s="224" t="e">
        <f>'Matriz POA 2024-TRABAJO'!#REF!</f>
        <v>#REF!</v>
      </c>
      <c r="AB387" s="279">
        <v>0</v>
      </c>
      <c r="AC387" s="279">
        <v>0</v>
      </c>
      <c r="AD387" s="279">
        <v>0</v>
      </c>
      <c r="AE387" s="279">
        <v>0</v>
      </c>
      <c r="AF387" s="279">
        <v>0</v>
      </c>
      <c r="AG387" s="279">
        <v>0</v>
      </c>
      <c r="AH387" s="279">
        <v>0</v>
      </c>
      <c r="AI387" s="279">
        <v>0</v>
      </c>
      <c r="AJ387" s="279">
        <v>0</v>
      </c>
      <c r="AK387" s="279">
        <v>0</v>
      </c>
      <c r="AL387" s="279">
        <v>0</v>
      </c>
      <c r="AM387" s="279">
        <v>0</v>
      </c>
      <c r="AN387" s="224" t="e">
        <f>SUM(#REF!)</f>
        <v>#REF!</v>
      </c>
      <c r="AO387" s="224">
        <f t="shared" si="41"/>
        <v>0</v>
      </c>
      <c r="AP387" s="224" t="e">
        <f t="shared" si="47"/>
        <v>#REF!</v>
      </c>
      <c r="AQ387" s="224"/>
      <c r="AR387" s="224"/>
      <c r="AS387" s="224"/>
      <c r="AT387" s="224" t="str">
        <f>IFERROR(VLOOKUP($A387,'Constancias POA'!$A$2:$DH$9993,17,FALSE),"")</f>
        <v/>
      </c>
      <c r="AU387" s="224" t="str">
        <f t="shared" si="42"/>
        <v/>
      </c>
      <c r="AV387" s="224" t="str">
        <f>IFERROR(VLOOKUP($A387,CP!$A$1:$U$7992,18,FALSE),"")</f>
        <v/>
      </c>
      <c r="AW387" s="224" t="str">
        <f>IFERROR(VLOOKUP($A387,CP!$A$1:$U$7992,19,FALSE),"")</f>
        <v/>
      </c>
      <c r="AX387" s="224" t="str">
        <f>IFERROR(VLOOKUP($A387,CP!$A$1:$U$7992,20,FALSE),"")</f>
        <v/>
      </c>
      <c r="AY387" s="224" t="str">
        <f>IFERROR(VLOOKUP($A387,CP!$A$1:$U$1,21,FALSE),"")</f>
        <v/>
      </c>
      <c r="AZ387" s="224" t="str">
        <f>IFERROR(VLOOKUP(A387,Devengado!$A$1:AJ1,35,FALSE),"")</f>
        <v/>
      </c>
      <c r="BA387" s="224" t="str">
        <f t="shared" si="43"/>
        <v/>
      </c>
      <c r="BB387" s="224" t="str">
        <f>IFERROR(AZ387/#REF!,"")</f>
        <v/>
      </c>
      <c r="BC387" s="224" t="str">
        <f>IFERROR(VLOOKUP($A387,Devengado!$A$1:$AI$1,22,FALSE),"")</f>
        <v/>
      </c>
      <c r="BD387" s="224" t="str">
        <f>IFERROR(VLOOKUP($A387,Devengado!$A$1:$AI$1,23,FALSE),"")</f>
        <v/>
      </c>
      <c r="BE387" s="224" t="str">
        <f>IFERROR(VLOOKUP($A387,Devengado!$A$1:$AI$1,24,FALSE),"")</f>
        <v/>
      </c>
      <c r="BF387" s="224" t="str">
        <f>IFERROR(VLOOKUP($A387,Devengado!$A$1:$AI$1,25,FALSE),"")</f>
        <v/>
      </c>
      <c r="BG387" s="224" t="str">
        <f>IFERROR(VLOOKUP($A387,Devengado!$A$1:$AI$1,26,FALSE),"")</f>
        <v/>
      </c>
      <c r="BH387" s="224" t="str">
        <f>IFERROR(VLOOKUP($A387,Devengado!$A$1:$AI$1,27,FALSE),"")</f>
        <v/>
      </c>
      <c r="BI387" s="224" t="str">
        <f>IFERROR(VLOOKUP($A387,Devengado!$A$1:$AI$1,28,FALSE),"")</f>
        <v/>
      </c>
      <c r="BJ387" s="224" t="str">
        <f>IFERROR(VLOOKUP($A387,Devengado!$A$1:$AI$1,29,FALSE),"")</f>
        <v/>
      </c>
      <c r="BK387" s="224" t="str">
        <f>IFERROR(VLOOKUP($A387,Devengado!$A$1:$AI$1,30,FALSE),"")</f>
        <v/>
      </c>
      <c r="BL387" s="224" t="str">
        <f>IFERROR(VLOOKUP($A387,Devengado!$A$1:$AI$1,31,FALSE),"")</f>
        <v/>
      </c>
      <c r="BM387" s="224" t="str">
        <f>IFERROR(VLOOKUP($A387,Devengado!$A$1:$AI$1,32,FALSE),"")</f>
        <v/>
      </c>
      <c r="BN387" s="224" t="str">
        <f>IFERROR(VLOOKUP($A387,Devengado!$A$1:$AI$1,33,FALSE),"")</f>
        <v/>
      </c>
      <c r="BO387" s="224">
        <f t="shared" si="44"/>
        <v>0</v>
      </c>
      <c r="BP387" s="224" t="str">
        <f t="shared" si="45"/>
        <v/>
      </c>
      <c r="BQ387" s="207"/>
      <c r="BR387" s="207" t="str">
        <f t="shared" si="46"/>
        <v>53</v>
      </c>
    </row>
    <row r="388" spans="1:70" s="225" customFormat="1" ht="25.5" customHeight="1">
      <c r="A388" s="207">
        <v>384</v>
      </c>
      <c r="B388" s="112" t="s">
        <v>348</v>
      </c>
      <c r="C388" s="112" t="s">
        <v>77</v>
      </c>
      <c r="D388" s="112" t="s">
        <v>77</v>
      </c>
      <c r="E388" s="112" t="s">
        <v>76</v>
      </c>
      <c r="F388" s="112" t="s">
        <v>77</v>
      </c>
      <c r="G388" s="112" t="s">
        <v>77</v>
      </c>
      <c r="H388" s="112" t="s">
        <v>77</v>
      </c>
      <c r="I388" s="112" t="s">
        <v>77</v>
      </c>
      <c r="J388" s="112" t="s">
        <v>77</v>
      </c>
      <c r="K388" s="112" t="s">
        <v>77</v>
      </c>
      <c r="L388" s="112" t="s">
        <v>85</v>
      </c>
      <c r="M388" s="112" t="s">
        <v>405</v>
      </c>
      <c r="N388" s="118" t="s">
        <v>350</v>
      </c>
      <c r="O388" s="118" t="s">
        <v>111</v>
      </c>
      <c r="P388" s="118" t="s">
        <v>81</v>
      </c>
      <c r="Q388" s="118" t="s">
        <v>112</v>
      </c>
      <c r="R388" s="115" t="str">
        <f t="shared" si="40"/>
        <v>53</v>
      </c>
      <c r="S388" s="124">
        <v>530611</v>
      </c>
      <c r="T388" s="122" t="e">
        <f>VLOOKUP(S388,ITEM!$C$1:$D$156,2,FALSE)</f>
        <v>#N/A</v>
      </c>
      <c r="U388" s="112" t="s">
        <v>83</v>
      </c>
      <c r="V388" s="114" t="s">
        <v>82</v>
      </c>
      <c r="W388" s="114" t="s">
        <v>84</v>
      </c>
      <c r="X388" s="114" t="s">
        <v>84</v>
      </c>
      <c r="Y388" s="224" t="e">
        <f>'Matriz POA 2024-TRABAJO'!#REF!</f>
        <v>#REF!</v>
      </c>
      <c r="Z388" s="224" t="e">
        <f>'Matriz POA 2024-TRABAJO'!#REF!</f>
        <v>#REF!</v>
      </c>
      <c r="AA388" s="224" t="e">
        <f>'Matriz POA 2024-TRABAJO'!#REF!</f>
        <v>#REF!</v>
      </c>
      <c r="AB388" s="279">
        <v>0</v>
      </c>
      <c r="AC388" s="279">
        <v>0</v>
      </c>
      <c r="AD388" s="279">
        <v>0</v>
      </c>
      <c r="AE388" s="279">
        <v>0</v>
      </c>
      <c r="AF388" s="279">
        <v>0</v>
      </c>
      <c r="AG388" s="279">
        <v>0</v>
      </c>
      <c r="AH388" s="279">
        <v>0</v>
      </c>
      <c r="AI388" s="279">
        <v>0</v>
      </c>
      <c r="AJ388" s="279">
        <v>0</v>
      </c>
      <c r="AK388" s="279">
        <v>0</v>
      </c>
      <c r="AL388" s="279">
        <v>0</v>
      </c>
      <c r="AM388" s="279">
        <v>0</v>
      </c>
      <c r="AN388" s="224" t="e">
        <f>SUM(#REF!)</f>
        <v>#REF!</v>
      </c>
      <c r="AO388" s="224">
        <f t="shared" si="41"/>
        <v>0</v>
      </c>
      <c r="AP388" s="224" t="e">
        <f t="shared" si="47"/>
        <v>#REF!</v>
      </c>
      <c r="AQ388" s="224"/>
      <c r="AR388" s="224"/>
      <c r="AS388" s="224"/>
      <c r="AT388" s="224" t="str">
        <f>IFERROR(VLOOKUP($A388,'Constancias POA'!$A$2:$DH$9993,17,FALSE),"")</f>
        <v/>
      </c>
      <c r="AU388" s="224" t="str">
        <f t="shared" si="42"/>
        <v/>
      </c>
      <c r="AV388" s="224" t="str">
        <f>IFERROR(VLOOKUP($A388,CP!$A$1:$U$7992,18,FALSE),"")</f>
        <v/>
      </c>
      <c r="AW388" s="224" t="str">
        <f>IFERROR(VLOOKUP($A388,CP!$A$1:$U$7992,19,FALSE),"")</f>
        <v/>
      </c>
      <c r="AX388" s="224" t="str">
        <f>IFERROR(VLOOKUP($A388,CP!$A$1:$U$7992,20,FALSE),"")</f>
        <v/>
      </c>
      <c r="AY388" s="224" t="str">
        <f>IFERROR(VLOOKUP($A388,CP!$A$1:$U$1,21,FALSE),"")</f>
        <v/>
      </c>
      <c r="AZ388" s="224" t="str">
        <f>IFERROR(VLOOKUP(A388,Devengado!$A$1:AJ1,35,FALSE),"")</f>
        <v/>
      </c>
      <c r="BA388" s="224" t="str">
        <f t="shared" si="43"/>
        <v/>
      </c>
      <c r="BB388" s="224" t="str">
        <f>IFERROR(AZ388/#REF!,"")</f>
        <v/>
      </c>
      <c r="BC388" s="224" t="str">
        <f>IFERROR(VLOOKUP($A388,Devengado!$A$1:$AI$1,22,FALSE),"")</f>
        <v/>
      </c>
      <c r="BD388" s="224" t="str">
        <f>IFERROR(VLOOKUP($A388,Devengado!$A$1:$AI$1,23,FALSE),"")</f>
        <v/>
      </c>
      <c r="BE388" s="224" t="str">
        <f>IFERROR(VLOOKUP($A388,Devengado!$A$1:$AI$1,24,FALSE),"")</f>
        <v/>
      </c>
      <c r="BF388" s="224" t="str">
        <f>IFERROR(VLOOKUP($A388,Devengado!$A$1:$AI$1,25,FALSE),"")</f>
        <v/>
      </c>
      <c r="BG388" s="224" t="str">
        <f>IFERROR(VLOOKUP($A388,Devengado!$A$1:$AI$1,26,FALSE),"")</f>
        <v/>
      </c>
      <c r="BH388" s="224" t="str">
        <f>IFERROR(VLOOKUP($A388,Devengado!$A$1:$AI$1,27,FALSE),"")</f>
        <v/>
      </c>
      <c r="BI388" s="224" t="str">
        <f>IFERROR(VLOOKUP($A388,Devengado!$A$1:$AI$1,28,FALSE),"")</f>
        <v/>
      </c>
      <c r="BJ388" s="224" t="str">
        <f>IFERROR(VLOOKUP($A388,Devengado!$A$1:$AI$1,29,FALSE),"")</f>
        <v/>
      </c>
      <c r="BK388" s="224" t="str">
        <f>IFERROR(VLOOKUP($A388,Devengado!$A$1:$AI$1,30,FALSE),"")</f>
        <v/>
      </c>
      <c r="BL388" s="224" t="str">
        <f>IFERROR(VLOOKUP($A388,Devengado!$A$1:$AI$1,31,FALSE),"")</f>
        <v/>
      </c>
      <c r="BM388" s="224" t="str">
        <f>IFERROR(VLOOKUP($A388,Devengado!$A$1:$AI$1,32,FALSE),"")</f>
        <v/>
      </c>
      <c r="BN388" s="224" t="str">
        <f>IFERROR(VLOOKUP($A388,Devengado!$A$1:$AI$1,33,FALSE),"")</f>
        <v/>
      </c>
      <c r="BO388" s="224">
        <f t="shared" si="44"/>
        <v>0</v>
      </c>
      <c r="BP388" s="224" t="str">
        <f t="shared" si="45"/>
        <v/>
      </c>
      <c r="BQ388" s="207"/>
      <c r="BR388" s="207" t="str">
        <f t="shared" si="46"/>
        <v>53</v>
      </c>
    </row>
    <row r="389" spans="1:70" s="225" customFormat="1" ht="25.5" customHeight="1">
      <c r="A389" s="207">
        <v>385</v>
      </c>
      <c r="B389" s="112" t="s">
        <v>348</v>
      </c>
      <c r="C389" s="112" t="s">
        <v>77</v>
      </c>
      <c r="D389" s="112" t="s">
        <v>77</v>
      </c>
      <c r="E389" s="112" t="s">
        <v>76</v>
      </c>
      <c r="F389" s="112" t="s">
        <v>77</v>
      </c>
      <c r="G389" s="112" t="s">
        <v>77</v>
      </c>
      <c r="H389" s="112" t="s">
        <v>77</v>
      </c>
      <c r="I389" s="112" t="s">
        <v>77</v>
      </c>
      <c r="J389" s="112" t="s">
        <v>77</v>
      </c>
      <c r="K389" s="112" t="s">
        <v>77</v>
      </c>
      <c r="L389" s="112" t="s">
        <v>85</v>
      </c>
      <c r="M389" s="112" t="s">
        <v>406</v>
      </c>
      <c r="N389" s="118" t="s">
        <v>350</v>
      </c>
      <c r="O389" s="118" t="s">
        <v>111</v>
      </c>
      <c r="P389" s="118" t="s">
        <v>81</v>
      </c>
      <c r="Q389" s="118" t="s">
        <v>112</v>
      </c>
      <c r="R389" s="115" t="str">
        <f t="shared" ref="R389:R452" si="48">LEFT(S389,2)</f>
        <v>53</v>
      </c>
      <c r="S389" s="124">
        <v>530402</v>
      </c>
      <c r="T389" s="122" t="str">
        <f>VLOOKUP(S389,ITEM!$C$1:$D$156,2,FALSE)</f>
        <v>Edificios, Locales, Residencias y Cableado Estructurado (Instalación, Mantenimiento y Reparación)</v>
      </c>
      <c r="U389" s="112" t="s">
        <v>83</v>
      </c>
      <c r="V389" s="114" t="s">
        <v>82</v>
      </c>
      <c r="W389" s="114" t="s">
        <v>84</v>
      </c>
      <c r="X389" s="114" t="s">
        <v>84</v>
      </c>
      <c r="Y389" s="224" t="e">
        <f>'Matriz POA 2024-TRABAJO'!#REF!</f>
        <v>#REF!</v>
      </c>
      <c r="Z389" s="224" t="e">
        <f>'Matriz POA 2024-TRABAJO'!#REF!</f>
        <v>#REF!</v>
      </c>
      <c r="AA389" s="272" t="e">
        <f>'Matriz POA 2024-TRABAJO'!#REF!</f>
        <v>#REF!</v>
      </c>
      <c r="AB389" s="273">
        <v>0</v>
      </c>
      <c r="AC389" s="273">
        <v>0</v>
      </c>
      <c r="AD389" s="273">
        <v>0</v>
      </c>
      <c r="AE389" s="273">
        <v>3997.6</v>
      </c>
      <c r="AF389" s="273">
        <v>0</v>
      </c>
      <c r="AG389" s="273">
        <v>0</v>
      </c>
      <c r="AH389" s="273">
        <v>0</v>
      </c>
      <c r="AI389" s="273">
        <v>0</v>
      </c>
      <c r="AJ389" s="273">
        <v>0</v>
      </c>
      <c r="AK389" s="273">
        <v>0</v>
      </c>
      <c r="AL389" s="273">
        <v>0</v>
      </c>
      <c r="AM389" s="273">
        <v>0</v>
      </c>
      <c r="AN389" s="272" t="e">
        <f>SUM(#REF!)</f>
        <v>#REF!</v>
      </c>
      <c r="AO389" s="224">
        <f t="shared" ref="AO389:AO452" si="49">SUM(AB389:AM389)</f>
        <v>3997.6</v>
      </c>
      <c r="AP389" s="224" t="e">
        <f t="shared" si="47"/>
        <v>#REF!</v>
      </c>
      <c r="AQ389" s="224"/>
      <c r="AR389" s="224"/>
      <c r="AS389" s="224"/>
      <c r="AT389" s="224" t="str">
        <f>IFERROR(VLOOKUP($A389,'Constancias POA'!$A$2:$DH$9993,17,FALSE),"")</f>
        <v/>
      </c>
      <c r="AU389" s="224" t="str">
        <f t="shared" ref="AU389:AU452" si="50">IFERROR(AA389-AT389,"")</f>
        <v/>
      </c>
      <c r="AV389" s="224" t="str">
        <f>IFERROR(VLOOKUP($A389,CP!$A$1:$U$7992,18,FALSE),"")</f>
        <v/>
      </c>
      <c r="AW389" s="224" t="str">
        <f>IFERROR(VLOOKUP($A389,CP!$A$1:$U$7992,19,FALSE),"")</f>
        <v/>
      </c>
      <c r="AX389" s="224" t="str">
        <f>IFERROR(VLOOKUP($A389,CP!$A$1:$U$7992,20,FALSE),"")</f>
        <v/>
      </c>
      <c r="AY389" s="224" t="str">
        <f>IFERROR(VLOOKUP($A389,CP!$A$1:$U$1,21,FALSE),"")</f>
        <v/>
      </c>
      <c r="AZ389" s="224" t="str">
        <f>IFERROR(VLOOKUP(A389,Devengado!$A$1:AJ1,35,FALSE),"")</f>
        <v/>
      </c>
      <c r="BA389" s="224" t="str">
        <f t="shared" ref="BA389:BA452" si="51">IFERROR((AA389-AZ389),"")</f>
        <v/>
      </c>
      <c r="BB389" s="224" t="str">
        <f>IFERROR(AZ389/#REF!,"")</f>
        <v/>
      </c>
      <c r="BC389" s="224" t="str">
        <f>IFERROR(VLOOKUP($A389,Devengado!$A$1:$AI$1,22,FALSE),"")</f>
        <v/>
      </c>
      <c r="BD389" s="224" t="str">
        <f>IFERROR(VLOOKUP($A389,Devengado!$A$1:$AI$1,23,FALSE),"")</f>
        <v/>
      </c>
      <c r="BE389" s="224" t="str">
        <f>IFERROR(VLOOKUP($A389,Devengado!$A$1:$AI$1,24,FALSE),"")</f>
        <v/>
      </c>
      <c r="BF389" s="224" t="str">
        <f>IFERROR(VLOOKUP($A389,Devengado!$A$1:$AI$1,25,FALSE),"")</f>
        <v/>
      </c>
      <c r="BG389" s="224" t="str">
        <f>IFERROR(VLOOKUP($A389,Devengado!$A$1:$AI$1,26,FALSE),"")</f>
        <v/>
      </c>
      <c r="BH389" s="224" t="str">
        <f>IFERROR(VLOOKUP($A389,Devengado!$A$1:$AI$1,27,FALSE),"")</f>
        <v/>
      </c>
      <c r="BI389" s="224" t="str">
        <f>IFERROR(VLOOKUP($A389,Devengado!$A$1:$AI$1,28,FALSE),"")</f>
        <v/>
      </c>
      <c r="BJ389" s="224" t="str">
        <f>IFERROR(VLOOKUP($A389,Devengado!$A$1:$AI$1,29,FALSE),"")</f>
        <v/>
      </c>
      <c r="BK389" s="224" t="str">
        <f>IFERROR(VLOOKUP($A389,Devengado!$A$1:$AI$1,30,FALSE),"")</f>
        <v/>
      </c>
      <c r="BL389" s="224" t="str">
        <f>IFERROR(VLOOKUP($A389,Devengado!$A$1:$AI$1,31,FALSE),"")</f>
        <v/>
      </c>
      <c r="BM389" s="224" t="str">
        <f>IFERROR(VLOOKUP($A389,Devengado!$A$1:$AI$1,32,FALSE),"")</f>
        <v/>
      </c>
      <c r="BN389" s="224" t="str">
        <f>IFERROR(VLOOKUP($A389,Devengado!$A$1:$AI$1,33,FALSE),"")</f>
        <v/>
      </c>
      <c r="BO389" s="224">
        <f t="shared" ref="BO389:BO452" si="52">SUM(BC389:BN389)</f>
        <v>0</v>
      </c>
      <c r="BP389" s="224" t="str">
        <f t="shared" ref="BP389:BP452" si="53">IFERROR(((AB389+AC389)-AZ389),"")</f>
        <v/>
      </c>
      <c r="BQ389" s="207"/>
      <c r="BR389" s="207" t="str">
        <f t="shared" ref="BR389:BR452" si="54">LEFT(R389,4)</f>
        <v>53</v>
      </c>
    </row>
    <row r="390" spans="1:70" s="225" customFormat="1" ht="25.5" customHeight="1">
      <c r="A390" s="207">
        <v>386</v>
      </c>
      <c r="B390" s="112" t="s">
        <v>348</v>
      </c>
      <c r="C390" s="112" t="s">
        <v>77</v>
      </c>
      <c r="D390" s="112" t="s">
        <v>77</v>
      </c>
      <c r="E390" s="112" t="s">
        <v>76</v>
      </c>
      <c r="F390" s="112" t="s">
        <v>77</v>
      </c>
      <c r="G390" s="112" t="s">
        <v>77</v>
      </c>
      <c r="H390" s="112" t="s">
        <v>77</v>
      </c>
      <c r="I390" s="112" t="s">
        <v>77</v>
      </c>
      <c r="J390" s="112" t="s">
        <v>77</v>
      </c>
      <c r="K390" s="112" t="s">
        <v>77</v>
      </c>
      <c r="L390" s="112" t="s">
        <v>85</v>
      </c>
      <c r="M390" s="112" t="s">
        <v>407</v>
      </c>
      <c r="N390" s="118" t="s">
        <v>350</v>
      </c>
      <c r="O390" s="118" t="s">
        <v>111</v>
      </c>
      <c r="P390" s="118" t="s">
        <v>81</v>
      </c>
      <c r="Q390" s="118" t="s">
        <v>112</v>
      </c>
      <c r="R390" s="115" t="str">
        <f t="shared" si="48"/>
        <v>53</v>
      </c>
      <c r="S390" s="124">
        <v>531403</v>
      </c>
      <c r="T390" s="122" t="e">
        <f>VLOOKUP(S390,ITEM!$C$1:$D$156,2,FALSE)</f>
        <v>#N/A</v>
      </c>
      <c r="U390" s="112" t="s">
        <v>83</v>
      </c>
      <c r="V390" s="114" t="s">
        <v>82</v>
      </c>
      <c r="W390" s="114" t="s">
        <v>84</v>
      </c>
      <c r="X390" s="114" t="s">
        <v>84</v>
      </c>
      <c r="Y390" s="224" t="e">
        <f>'Matriz POA 2024-TRABAJO'!#REF!</f>
        <v>#REF!</v>
      </c>
      <c r="Z390" s="224" t="e">
        <f>'Matriz POA 2024-TRABAJO'!#REF!</f>
        <v>#REF!</v>
      </c>
      <c r="AA390" s="272" t="e">
        <f>'Matriz POA 2024-TRABAJO'!#REF!</f>
        <v>#REF!</v>
      </c>
      <c r="AB390" s="273">
        <v>0</v>
      </c>
      <c r="AC390" s="273">
        <v>0</v>
      </c>
      <c r="AD390" s="273">
        <v>0</v>
      </c>
      <c r="AE390" s="273">
        <v>300</v>
      </c>
      <c r="AF390" s="273">
        <v>0</v>
      </c>
      <c r="AG390" s="273">
        <v>0</v>
      </c>
      <c r="AH390" s="273">
        <v>0</v>
      </c>
      <c r="AI390" s="273">
        <v>0</v>
      </c>
      <c r="AJ390" s="273">
        <v>0</v>
      </c>
      <c r="AK390" s="273">
        <v>0</v>
      </c>
      <c r="AL390" s="273">
        <v>0</v>
      </c>
      <c r="AM390" s="273">
        <v>0</v>
      </c>
      <c r="AN390" s="272" t="e">
        <f>SUM(#REF!)</f>
        <v>#REF!</v>
      </c>
      <c r="AO390" s="224">
        <f t="shared" si="49"/>
        <v>300</v>
      </c>
      <c r="AP390" s="224" t="e">
        <f t="shared" ref="AP390:AP453" si="55">+AO390-AA390</f>
        <v>#REF!</v>
      </c>
      <c r="AQ390" s="224"/>
      <c r="AR390" s="224"/>
      <c r="AS390" s="224"/>
      <c r="AT390" s="224" t="str">
        <f>IFERROR(VLOOKUP($A390,'Constancias POA'!$A$2:$DH$9993,17,FALSE),"")</f>
        <v/>
      </c>
      <c r="AU390" s="224" t="str">
        <f t="shared" si="50"/>
        <v/>
      </c>
      <c r="AV390" s="224" t="str">
        <f>IFERROR(VLOOKUP($A390,CP!$A$1:$U$7992,18,FALSE),"")</f>
        <v/>
      </c>
      <c r="AW390" s="224" t="str">
        <f>IFERROR(VLOOKUP($A390,CP!$A$1:$U$7992,19,FALSE),"")</f>
        <v/>
      </c>
      <c r="AX390" s="224" t="str">
        <f>IFERROR(VLOOKUP($A390,CP!$A$1:$U$7992,20,FALSE),"")</f>
        <v/>
      </c>
      <c r="AY390" s="224" t="str">
        <f>IFERROR(VLOOKUP($A390,CP!$A$1:$U$1,21,FALSE),"")</f>
        <v/>
      </c>
      <c r="AZ390" s="224" t="str">
        <f>IFERROR(VLOOKUP(A390,Devengado!$A$1:AJ1,35,FALSE),"")</f>
        <v/>
      </c>
      <c r="BA390" s="224" t="str">
        <f t="shared" si="51"/>
        <v/>
      </c>
      <c r="BB390" s="224" t="str">
        <f>IFERROR(AZ390/#REF!,"")</f>
        <v/>
      </c>
      <c r="BC390" s="224" t="str">
        <f>IFERROR(VLOOKUP($A390,Devengado!$A$1:$AI$1,22,FALSE),"")</f>
        <v/>
      </c>
      <c r="BD390" s="224" t="str">
        <f>IFERROR(VLOOKUP($A390,Devengado!$A$1:$AI$1,23,FALSE),"")</f>
        <v/>
      </c>
      <c r="BE390" s="224" t="str">
        <f>IFERROR(VLOOKUP($A390,Devengado!$A$1:$AI$1,24,FALSE),"")</f>
        <v/>
      </c>
      <c r="BF390" s="224" t="str">
        <f>IFERROR(VLOOKUP($A390,Devengado!$A$1:$AI$1,25,FALSE),"")</f>
        <v/>
      </c>
      <c r="BG390" s="224" t="str">
        <f>IFERROR(VLOOKUP($A390,Devengado!$A$1:$AI$1,26,FALSE),"")</f>
        <v/>
      </c>
      <c r="BH390" s="224" t="str">
        <f>IFERROR(VLOOKUP($A390,Devengado!$A$1:$AI$1,27,FALSE),"")</f>
        <v/>
      </c>
      <c r="BI390" s="224" t="str">
        <f>IFERROR(VLOOKUP($A390,Devengado!$A$1:$AI$1,28,FALSE),"")</f>
        <v/>
      </c>
      <c r="BJ390" s="224" t="str">
        <f>IFERROR(VLOOKUP($A390,Devengado!$A$1:$AI$1,29,FALSE),"")</f>
        <v/>
      </c>
      <c r="BK390" s="224" t="str">
        <f>IFERROR(VLOOKUP($A390,Devengado!$A$1:$AI$1,30,FALSE),"")</f>
        <v/>
      </c>
      <c r="BL390" s="224" t="str">
        <f>IFERROR(VLOOKUP($A390,Devengado!$A$1:$AI$1,31,FALSE),"")</f>
        <v/>
      </c>
      <c r="BM390" s="224" t="str">
        <f>IFERROR(VLOOKUP($A390,Devengado!$A$1:$AI$1,32,FALSE),"")</f>
        <v/>
      </c>
      <c r="BN390" s="224" t="str">
        <f>IFERROR(VLOOKUP($A390,Devengado!$A$1:$AI$1,33,FALSE),"")</f>
        <v/>
      </c>
      <c r="BO390" s="224">
        <f t="shared" si="52"/>
        <v>0</v>
      </c>
      <c r="BP390" s="224" t="str">
        <f t="shared" si="53"/>
        <v/>
      </c>
      <c r="BQ390" s="207"/>
      <c r="BR390" s="207" t="str">
        <f t="shared" si="54"/>
        <v>53</v>
      </c>
    </row>
    <row r="391" spans="1:70" s="225" customFormat="1" ht="25.5" customHeight="1">
      <c r="A391" s="207">
        <v>387</v>
      </c>
      <c r="B391" s="117" t="s">
        <v>408</v>
      </c>
      <c r="C391" s="112" t="s">
        <v>77</v>
      </c>
      <c r="D391" s="112" t="s">
        <v>77</v>
      </c>
      <c r="E391" s="112" t="s">
        <v>76</v>
      </c>
      <c r="F391" s="112" t="s">
        <v>77</v>
      </c>
      <c r="G391" s="112" t="s">
        <v>77</v>
      </c>
      <c r="H391" s="112" t="s">
        <v>77</v>
      </c>
      <c r="I391" s="112" t="s">
        <v>77</v>
      </c>
      <c r="J391" s="112" t="s">
        <v>77</v>
      </c>
      <c r="K391" s="112" t="s">
        <v>77</v>
      </c>
      <c r="L391" s="112" t="s">
        <v>85</v>
      </c>
      <c r="M391" s="112" t="s">
        <v>409</v>
      </c>
      <c r="N391" s="114" t="s">
        <v>410</v>
      </c>
      <c r="O391" s="118" t="s">
        <v>132</v>
      </c>
      <c r="P391" s="114" t="s">
        <v>81</v>
      </c>
      <c r="Q391" s="114" t="s">
        <v>112</v>
      </c>
      <c r="R391" s="115" t="str">
        <f t="shared" si="48"/>
        <v>51</v>
      </c>
      <c r="S391" s="112">
        <v>510105</v>
      </c>
      <c r="T391" s="122" t="str">
        <f>VLOOKUP(S391,ITEM!$C$1:$D$156,2,FALSE)</f>
        <v>Remuneraciones Unificadas</v>
      </c>
      <c r="U391" s="114">
        <v>1100</v>
      </c>
      <c r="V391" s="114" t="s">
        <v>82</v>
      </c>
      <c r="W391" s="114" t="s">
        <v>84</v>
      </c>
      <c r="X391" s="114" t="s">
        <v>84</v>
      </c>
      <c r="Y391" s="224" t="e">
        <f>'Matriz POA 2024-TRABAJO'!#REF!</f>
        <v>#REF!</v>
      </c>
      <c r="Z391" s="224" t="e">
        <f>'Matriz POA 2024-TRABAJO'!#REF!</f>
        <v>#REF!</v>
      </c>
      <c r="AA391" s="224" t="e">
        <f>'Matriz POA 2024-TRABAJO'!#REF!</f>
        <v>#REF!</v>
      </c>
      <c r="AB391" s="279"/>
      <c r="AC391" s="279">
        <v>0</v>
      </c>
      <c r="AD391" s="279">
        <v>0</v>
      </c>
      <c r="AE391" s="279">
        <v>0</v>
      </c>
      <c r="AF391" s="279">
        <v>0</v>
      </c>
      <c r="AG391" s="279">
        <v>0</v>
      </c>
      <c r="AH391" s="279">
        <v>0</v>
      </c>
      <c r="AI391" s="279">
        <v>0</v>
      </c>
      <c r="AJ391" s="279">
        <v>0</v>
      </c>
      <c r="AK391" s="279">
        <v>0</v>
      </c>
      <c r="AL391" s="279">
        <v>0</v>
      </c>
      <c r="AM391" s="279">
        <v>0</v>
      </c>
      <c r="AN391" s="224" t="e">
        <f>SUM(#REF!)</f>
        <v>#REF!</v>
      </c>
      <c r="AO391" s="224">
        <f t="shared" si="49"/>
        <v>0</v>
      </c>
      <c r="AP391" s="224" t="e">
        <f t="shared" si="55"/>
        <v>#REF!</v>
      </c>
      <c r="AQ391" s="224"/>
      <c r="AR391" s="224"/>
      <c r="AS391" s="224"/>
      <c r="AT391" s="224" t="str">
        <f>IFERROR(VLOOKUP($A391,'Constancias POA'!$A$2:$DH$9993,17,FALSE),"")</f>
        <v/>
      </c>
      <c r="AU391" s="224" t="str">
        <f t="shared" si="50"/>
        <v/>
      </c>
      <c r="AV391" s="224" t="str">
        <f>IFERROR(VLOOKUP($A391,CP!$A$1:$U$7992,18,FALSE),"")</f>
        <v/>
      </c>
      <c r="AW391" s="224" t="str">
        <f>IFERROR(VLOOKUP($A391,CP!$A$1:$U$7992,19,FALSE),"")</f>
        <v/>
      </c>
      <c r="AX391" s="224" t="str">
        <f>IFERROR(VLOOKUP($A391,CP!$A$1:$U$7992,20,FALSE),"")</f>
        <v/>
      </c>
      <c r="AY391" s="224" t="str">
        <f>IFERROR(VLOOKUP($A391,CP!$A$1:$U$1,21,FALSE),"")</f>
        <v/>
      </c>
      <c r="AZ391" s="224" t="str">
        <f>IFERROR(VLOOKUP(A391,Devengado!$A$1:AJ1,35,FALSE),"")</f>
        <v/>
      </c>
      <c r="BA391" s="224" t="str">
        <f t="shared" si="51"/>
        <v/>
      </c>
      <c r="BB391" s="224" t="str">
        <f>IFERROR(AZ391/#REF!,"")</f>
        <v/>
      </c>
      <c r="BC391" s="224" t="str">
        <f>IFERROR(VLOOKUP($A391,Devengado!$A$1:$AI$1,22,FALSE),"")</f>
        <v/>
      </c>
      <c r="BD391" s="224" t="str">
        <f>IFERROR(VLOOKUP($A391,Devengado!$A$1:$AI$1,23,FALSE),"")</f>
        <v/>
      </c>
      <c r="BE391" s="224" t="str">
        <f>IFERROR(VLOOKUP($A391,Devengado!$A$1:$AI$1,24,FALSE),"")</f>
        <v/>
      </c>
      <c r="BF391" s="224" t="str">
        <f>IFERROR(VLOOKUP($A391,Devengado!$A$1:$AI$1,25,FALSE),"")</f>
        <v/>
      </c>
      <c r="BG391" s="224" t="str">
        <f>IFERROR(VLOOKUP($A391,Devengado!$A$1:$AI$1,26,FALSE),"")</f>
        <v/>
      </c>
      <c r="BH391" s="224" t="str">
        <f>IFERROR(VLOOKUP($A391,Devengado!$A$1:$AI$1,27,FALSE),"")</f>
        <v/>
      </c>
      <c r="BI391" s="224" t="str">
        <f>IFERROR(VLOOKUP($A391,Devengado!$A$1:$AI$1,28,FALSE),"")</f>
        <v/>
      </c>
      <c r="BJ391" s="224" t="str">
        <f>IFERROR(VLOOKUP($A391,Devengado!$A$1:$AI$1,29,FALSE),"")</f>
        <v/>
      </c>
      <c r="BK391" s="224" t="str">
        <f>IFERROR(VLOOKUP($A391,Devengado!$A$1:$AI$1,30,FALSE),"")</f>
        <v/>
      </c>
      <c r="BL391" s="224" t="str">
        <f>IFERROR(VLOOKUP($A391,Devengado!$A$1:$AI$1,31,FALSE),"")</f>
        <v/>
      </c>
      <c r="BM391" s="224" t="str">
        <f>IFERROR(VLOOKUP($A391,Devengado!$A$1:$AI$1,32,FALSE),"")</f>
        <v/>
      </c>
      <c r="BN391" s="224" t="str">
        <f>IFERROR(VLOOKUP($A391,Devengado!$A$1:$AI$1,33,FALSE),"")</f>
        <v/>
      </c>
      <c r="BO391" s="224">
        <f t="shared" si="52"/>
        <v>0</v>
      </c>
      <c r="BP391" s="224" t="str">
        <f t="shared" si="53"/>
        <v/>
      </c>
      <c r="BQ391" s="207"/>
      <c r="BR391" s="207" t="str">
        <f t="shared" si="54"/>
        <v>51</v>
      </c>
    </row>
    <row r="392" spans="1:70" s="225" customFormat="1" ht="25.5" customHeight="1">
      <c r="A392" s="207">
        <v>388</v>
      </c>
      <c r="B392" s="112" t="s">
        <v>408</v>
      </c>
      <c r="C392" s="112" t="s">
        <v>77</v>
      </c>
      <c r="D392" s="112" t="s">
        <v>77</v>
      </c>
      <c r="E392" s="112" t="s">
        <v>76</v>
      </c>
      <c r="F392" s="112" t="s">
        <v>77</v>
      </c>
      <c r="G392" s="112" t="s">
        <v>77</v>
      </c>
      <c r="H392" s="112" t="s">
        <v>77</v>
      </c>
      <c r="I392" s="112" t="s">
        <v>77</v>
      </c>
      <c r="J392" s="112" t="s">
        <v>77</v>
      </c>
      <c r="K392" s="112" t="s">
        <v>77</v>
      </c>
      <c r="L392" s="112" t="s">
        <v>85</v>
      </c>
      <c r="M392" s="112" t="s">
        <v>411</v>
      </c>
      <c r="N392" s="114" t="s">
        <v>410</v>
      </c>
      <c r="O392" s="118" t="s">
        <v>132</v>
      </c>
      <c r="P392" s="114" t="s">
        <v>81</v>
      </c>
      <c r="Q392" s="114" t="s">
        <v>112</v>
      </c>
      <c r="R392" s="115" t="str">
        <f t="shared" si="48"/>
        <v>51</v>
      </c>
      <c r="S392" s="112">
        <v>510106</v>
      </c>
      <c r="T392" s="122" t="str">
        <f>VLOOKUP(S392,ITEM!$C$1:$D$156,2,FALSE)</f>
        <v>Salarios Unificados</v>
      </c>
      <c r="U392" s="114">
        <v>1100</v>
      </c>
      <c r="V392" s="114" t="s">
        <v>82</v>
      </c>
      <c r="W392" s="114" t="s">
        <v>84</v>
      </c>
      <c r="X392" s="114" t="s">
        <v>84</v>
      </c>
      <c r="Y392" s="224" t="e">
        <f>'Matriz POA 2024-TRABAJO'!#REF!</f>
        <v>#REF!</v>
      </c>
      <c r="Z392" s="224" t="e">
        <f>'Matriz POA 2024-TRABAJO'!#REF!</f>
        <v>#REF!</v>
      </c>
      <c r="AA392" s="224" t="e">
        <f>'Matriz POA 2024-TRABAJO'!#REF!</f>
        <v>#REF!</v>
      </c>
      <c r="AB392" s="279">
        <v>561</v>
      </c>
      <c r="AC392" s="279">
        <v>561</v>
      </c>
      <c r="AD392" s="279">
        <v>561</v>
      </c>
      <c r="AE392" s="279">
        <v>561</v>
      </c>
      <c r="AF392" s="279">
        <v>561</v>
      </c>
      <c r="AG392" s="279">
        <v>561</v>
      </c>
      <c r="AH392" s="279">
        <v>561</v>
      </c>
      <c r="AI392" s="279">
        <v>561</v>
      </c>
      <c r="AJ392" s="279">
        <v>561</v>
      </c>
      <c r="AK392" s="279">
        <v>561</v>
      </c>
      <c r="AL392" s="279">
        <v>561</v>
      </c>
      <c r="AM392" s="279">
        <v>561</v>
      </c>
      <c r="AN392" s="224" t="e">
        <f>SUM(#REF!)</f>
        <v>#REF!</v>
      </c>
      <c r="AO392" s="224">
        <f t="shared" si="49"/>
        <v>6732</v>
      </c>
      <c r="AP392" s="224" t="e">
        <f t="shared" si="55"/>
        <v>#REF!</v>
      </c>
      <c r="AQ392" s="224"/>
      <c r="AR392" s="224"/>
      <c r="AS392" s="224"/>
      <c r="AT392" s="224" t="str">
        <f>IFERROR(VLOOKUP($A392,'Constancias POA'!$A$2:$DH$9993,17,FALSE),"")</f>
        <v/>
      </c>
      <c r="AU392" s="224" t="str">
        <f t="shared" si="50"/>
        <v/>
      </c>
      <c r="AV392" s="224" t="str">
        <f>IFERROR(VLOOKUP($A392,CP!$A$1:$U$7992,18,FALSE),"")</f>
        <v/>
      </c>
      <c r="AW392" s="224" t="str">
        <f>IFERROR(VLOOKUP($A392,CP!$A$1:$U$7992,19,FALSE),"")</f>
        <v/>
      </c>
      <c r="AX392" s="224" t="str">
        <f>IFERROR(VLOOKUP($A392,CP!$A$1:$U$7992,20,FALSE),"")</f>
        <v/>
      </c>
      <c r="AY392" s="224" t="str">
        <f>IFERROR(VLOOKUP($A392,CP!$A$1:$U$1,21,FALSE),"")</f>
        <v/>
      </c>
      <c r="AZ392" s="224" t="str">
        <f>IFERROR(VLOOKUP(A392,Devengado!$A$1:AJ1,35,FALSE),"")</f>
        <v/>
      </c>
      <c r="BA392" s="224" t="str">
        <f t="shared" si="51"/>
        <v/>
      </c>
      <c r="BB392" s="224" t="str">
        <f>IFERROR(AZ392/#REF!,"")</f>
        <v/>
      </c>
      <c r="BC392" s="224" t="str">
        <f>IFERROR(VLOOKUP($A392,Devengado!$A$1:$AI$1,22,FALSE),"")</f>
        <v/>
      </c>
      <c r="BD392" s="224" t="str">
        <f>IFERROR(VLOOKUP($A392,Devengado!$A$1:$AI$1,23,FALSE),"")</f>
        <v/>
      </c>
      <c r="BE392" s="224" t="str">
        <f>IFERROR(VLOOKUP($A392,Devengado!$A$1:$AI$1,24,FALSE),"")</f>
        <v/>
      </c>
      <c r="BF392" s="224" t="str">
        <f>IFERROR(VLOOKUP($A392,Devengado!$A$1:$AI$1,25,FALSE),"")</f>
        <v/>
      </c>
      <c r="BG392" s="224" t="str">
        <f>IFERROR(VLOOKUP($A392,Devengado!$A$1:$AI$1,26,FALSE),"")</f>
        <v/>
      </c>
      <c r="BH392" s="224" t="str">
        <f>IFERROR(VLOOKUP($A392,Devengado!$A$1:$AI$1,27,FALSE),"")</f>
        <v/>
      </c>
      <c r="BI392" s="224" t="str">
        <f>IFERROR(VLOOKUP($A392,Devengado!$A$1:$AI$1,28,FALSE),"")</f>
        <v/>
      </c>
      <c r="BJ392" s="224" t="str">
        <f>IFERROR(VLOOKUP($A392,Devengado!$A$1:$AI$1,29,FALSE),"")</f>
        <v/>
      </c>
      <c r="BK392" s="224" t="str">
        <f>IFERROR(VLOOKUP($A392,Devengado!$A$1:$AI$1,30,FALSE),"")</f>
        <v/>
      </c>
      <c r="BL392" s="224" t="str">
        <f>IFERROR(VLOOKUP($A392,Devengado!$A$1:$AI$1,31,FALSE),"")</f>
        <v/>
      </c>
      <c r="BM392" s="224" t="str">
        <f>IFERROR(VLOOKUP($A392,Devengado!$A$1:$AI$1,32,FALSE),"")</f>
        <v/>
      </c>
      <c r="BN392" s="224" t="str">
        <f>IFERROR(VLOOKUP($A392,Devengado!$A$1:$AI$1,33,FALSE),"")</f>
        <v/>
      </c>
      <c r="BO392" s="224">
        <f t="shared" si="52"/>
        <v>0</v>
      </c>
      <c r="BP392" s="224" t="str">
        <f t="shared" si="53"/>
        <v/>
      </c>
      <c r="BQ392" s="207"/>
      <c r="BR392" s="207" t="str">
        <f t="shared" si="54"/>
        <v>51</v>
      </c>
    </row>
    <row r="393" spans="1:70" s="225" customFormat="1" ht="25.5" customHeight="1">
      <c r="A393" s="207">
        <v>389</v>
      </c>
      <c r="B393" s="119" t="s">
        <v>408</v>
      </c>
      <c r="C393" s="119" t="s">
        <v>77</v>
      </c>
      <c r="D393" s="112" t="s">
        <v>77</v>
      </c>
      <c r="E393" s="112" t="s">
        <v>76</v>
      </c>
      <c r="F393" s="112" t="s">
        <v>77</v>
      </c>
      <c r="G393" s="112" t="s">
        <v>77</v>
      </c>
      <c r="H393" s="112" t="s">
        <v>77</v>
      </c>
      <c r="I393" s="112" t="s">
        <v>77</v>
      </c>
      <c r="J393" s="112" t="s">
        <v>77</v>
      </c>
      <c r="K393" s="112" t="s">
        <v>77</v>
      </c>
      <c r="L393" s="112" t="s">
        <v>85</v>
      </c>
      <c r="M393" s="112" t="s">
        <v>354</v>
      </c>
      <c r="N393" s="118" t="s">
        <v>410</v>
      </c>
      <c r="O393" s="118" t="s">
        <v>132</v>
      </c>
      <c r="P393" s="114" t="s">
        <v>81</v>
      </c>
      <c r="Q393" s="114" t="s">
        <v>112</v>
      </c>
      <c r="R393" s="115" t="str">
        <f t="shared" si="48"/>
        <v>51</v>
      </c>
      <c r="S393" s="112">
        <v>510203</v>
      </c>
      <c r="T393" s="122" t="str">
        <f>VLOOKUP(S393,ITEM!$C$1:$D$156,2,FALSE)</f>
        <v>Decimo Tercer Sueldo</v>
      </c>
      <c r="U393" s="114">
        <v>1100</v>
      </c>
      <c r="V393" s="114" t="s">
        <v>82</v>
      </c>
      <c r="W393" s="114" t="s">
        <v>84</v>
      </c>
      <c r="X393" s="114" t="s">
        <v>84</v>
      </c>
      <c r="Y393" s="224" t="e">
        <f>'Matriz POA 2024-TRABAJO'!#REF!</f>
        <v>#REF!</v>
      </c>
      <c r="Z393" s="224" t="e">
        <f>'Matriz POA 2024-TRABAJO'!#REF!</f>
        <v>#REF!</v>
      </c>
      <c r="AA393" s="224" t="e">
        <f>'Matriz POA 2024-TRABAJO'!#REF!</f>
        <v>#REF!</v>
      </c>
      <c r="AB393" s="279">
        <v>1095.5899999999999</v>
      </c>
      <c r="AC393" s="279">
        <v>1095.5899999999999</v>
      </c>
      <c r="AD393" s="279">
        <v>1095.5899999999999</v>
      </c>
      <c r="AE393" s="279">
        <v>1095.5899999999999</v>
      </c>
      <c r="AF393" s="279">
        <v>1095.5899999999999</v>
      </c>
      <c r="AG393" s="279">
        <v>1095.5899999999999</v>
      </c>
      <c r="AH393" s="279">
        <v>1095.5899999999999</v>
      </c>
      <c r="AI393" s="279">
        <v>1045.5</v>
      </c>
      <c r="AJ393" s="279">
        <v>0</v>
      </c>
      <c r="AK393" s="279">
        <v>0</v>
      </c>
      <c r="AL393" s="279">
        <v>0</v>
      </c>
      <c r="AM393" s="279">
        <v>0</v>
      </c>
      <c r="AN393" s="224" t="e">
        <f>SUM(#REF!)</f>
        <v>#REF!</v>
      </c>
      <c r="AO393" s="224">
        <f t="shared" si="49"/>
        <v>8714.630000000001</v>
      </c>
      <c r="AP393" s="224" t="e">
        <f t="shared" si="55"/>
        <v>#REF!</v>
      </c>
      <c r="AQ393" s="224"/>
      <c r="AR393" s="224"/>
      <c r="AS393" s="224"/>
      <c r="AT393" s="224" t="str">
        <f>IFERROR(VLOOKUP($A393,'Constancias POA'!$A$2:$DH$9993,17,FALSE),"")</f>
        <v/>
      </c>
      <c r="AU393" s="224" t="str">
        <f t="shared" si="50"/>
        <v/>
      </c>
      <c r="AV393" s="224" t="str">
        <f>IFERROR(VLOOKUP($A393,CP!$A$1:$U$7992,18,FALSE),"")</f>
        <v/>
      </c>
      <c r="AW393" s="224" t="str">
        <f>IFERROR(VLOOKUP($A393,CP!$A$1:$U$7992,19,FALSE),"")</f>
        <v/>
      </c>
      <c r="AX393" s="224" t="str">
        <f>IFERROR(VLOOKUP($A393,CP!$A$1:$U$7992,20,FALSE),"")</f>
        <v/>
      </c>
      <c r="AY393" s="224" t="str">
        <f>IFERROR(VLOOKUP($A393,CP!$A$1:$U$1,21,FALSE),"")</f>
        <v/>
      </c>
      <c r="AZ393" s="224" t="str">
        <f>IFERROR(VLOOKUP(A393,Devengado!$A$1:AJ1,35,FALSE),"")</f>
        <v/>
      </c>
      <c r="BA393" s="224" t="str">
        <f t="shared" si="51"/>
        <v/>
      </c>
      <c r="BB393" s="224" t="str">
        <f>IFERROR(AZ393/#REF!,"")</f>
        <v/>
      </c>
      <c r="BC393" s="224" t="str">
        <f>IFERROR(VLOOKUP($A393,Devengado!$A$1:$AI$1,22,FALSE),"")</f>
        <v/>
      </c>
      <c r="BD393" s="224" t="str">
        <f>IFERROR(VLOOKUP($A393,Devengado!$A$1:$AI$1,23,FALSE),"")</f>
        <v/>
      </c>
      <c r="BE393" s="224" t="str">
        <f>IFERROR(VLOOKUP($A393,Devengado!$A$1:$AI$1,24,FALSE),"")</f>
        <v/>
      </c>
      <c r="BF393" s="224" t="str">
        <f>IFERROR(VLOOKUP($A393,Devengado!$A$1:$AI$1,25,FALSE),"")</f>
        <v/>
      </c>
      <c r="BG393" s="224" t="str">
        <f>IFERROR(VLOOKUP($A393,Devengado!$A$1:$AI$1,26,FALSE),"")</f>
        <v/>
      </c>
      <c r="BH393" s="224" t="str">
        <f>IFERROR(VLOOKUP($A393,Devengado!$A$1:$AI$1,27,FALSE),"")</f>
        <v/>
      </c>
      <c r="BI393" s="224" t="str">
        <f>IFERROR(VLOOKUP($A393,Devengado!$A$1:$AI$1,28,FALSE),"")</f>
        <v/>
      </c>
      <c r="BJ393" s="224" t="str">
        <f>IFERROR(VLOOKUP($A393,Devengado!$A$1:$AI$1,29,FALSE),"")</f>
        <v/>
      </c>
      <c r="BK393" s="224" t="str">
        <f>IFERROR(VLOOKUP($A393,Devengado!$A$1:$AI$1,30,FALSE),"")</f>
        <v/>
      </c>
      <c r="BL393" s="224" t="str">
        <f>IFERROR(VLOOKUP($A393,Devengado!$A$1:$AI$1,31,FALSE),"")</f>
        <v/>
      </c>
      <c r="BM393" s="224" t="str">
        <f>IFERROR(VLOOKUP($A393,Devengado!$A$1:$AI$1,32,FALSE),"")</f>
        <v/>
      </c>
      <c r="BN393" s="224" t="str">
        <f>IFERROR(VLOOKUP($A393,Devengado!$A$1:$AI$1,33,FALSE),"")</f>
        <v/>
      </c>
      <c r="BO393" s="224">
        <f t="shared" si="52"/>
        <v>0</v>
      </c>
      <c r="BP393" s="224" t="str">
        <f t="shared" si="53"/>
        <v/>
      </c>
      <c r="BQ393" s="207"/>
      <c r="BR393" s="207" t="str">
        <f t="shared" si="54"/>
        <v>51</v>
      </c>
    </row>
    <row r="394" spans="1:70" s="225" customFormat="1" ht="25.5" customHeight="1">
      <c r="A394" s="207">
        <v>390</v>
      </c>
      <c r="B394" s="119" t="s">
        <v>408</v>
      </c>
      <c r="C394" s="119" t="s">
        <v>77</v>
      </c>
      <c r="D394" s="112" t="s">
        <v>77</v>
      </c>
      <c r="E394" s="112" t="s">
        <v>76</v>
      </c>
      <c r="F394" s="112" t="s">
        <v>77</v>
      </c>
      <c r="G394" s="112" t="s">
        <v>77</v>
      </c>
      <c r="H394" s="112" t="s">
        <v>77</v>
      </c>
      <c r="I394" s="112" t="s">
        <v>77</v>
      </c>
      <c r="J394" s="112" t="s">
        <v>77</v>
      </c>
      <c r="K394" s="112" t="s">
        <v>77</v>
      </c>
      <c r="L394" s="112" t="s">
        <v>85</v>
      </c>
      <c r="M394" s="112" t="s">
        <v>355</v>
      </c>
      <c r="N394" s="118" t="s">
        <v>410</v>
      </c>
      <c r="O394" s="118" t="s">
        <v>132</v>
      </c>
      <c r="P394" s="114" t="s">
        <v>81</v>
      </c>
      <c r="Q394" s="114" t="s">
        <v>112</v>
      </c>
      <c r="R394" s="115" t="str">
        <f t="shared" si="48"/>
        <v>51</v>
      </c>
      <c r="S394" s="124">
        <v>510204</v>
      </c>
      <c r="T394" s="122" t="str">
        <f>VLOOKUP(S394,ITEM!$C$1:$D$156,2,FALSE)</f>
        <v>Decimo Cuarto Sueldo</v>
      </c>
      <c r="U394" s="114">
        <v>1100</v>
      </c>
      <c r="V394" s="114" t="s">
        <v>82</v>
      </c>
      <c r="W394" s="114" t="s">
        <v>84</v>
      </c>
      <c r="X394" s="114" t="s">
        <v>84</v>
      </c>
      <c r="Y394" s="224" t="e">
        <f>'Matriz POA 2024-TRABAJO'!#REF!</f>
        <v>#REF!</v>
      </c>
      <c r="Z394" s="224" t="e">
        <f>'Matriz POA 2024-TRABAJO'!#REF!</f>
        <v>#REF!</v>
      </c>
      <c r="AA394" s="224" t="e">
        <f>'Matriz POA 2024-TRABAJO'!#REF!</f>
        <v>#REF!</v>
      </c>
      <c r="AB394" s="279">
        <v>340.96</v>
      </c>
      <c r="AC394" s="279">
        <v>340.96</v>
      </c>
      <c r="AD394" s="279">
        <v>340.96</v>
      </c>
      <c r="AE394" s="279">
        <v>340.96</v>
      </c>
      <c r="AF394" s="279">
        <v>340.97</v>
      </c>
      <c r="AG394" s="279">
        <v>340.97</v>
      </c>
      <c r="AH394" s="279">
        <v>340.97</v>
      </c>
      <c r="AI394" s="279">
        <v>340.97</v>
      </c>
      <c r="AJ394" s="279">
        <v>340.97</v>
      </c>
      <c r="AK394" s="279">
        <v>340.97</v>
      </c>
      <c r="AL394" s="279">
        <v>340.97</v>
      </c>
      <c r="AM394" s="279">
        <v>340.97</v>
      </c>
      <c r="AN394" s="224" t="e">
        <f>SUM(#REF!)</f>
        <v>#REF!</v>
      </c>
      <c r="AO394" s="224">
        <f t="shared" si="49"/>
        <v>4091.6000000000013</v>
      </c>
      <c r="AP394" s="224" t="e">
        <f t="shared" si="55"/>
        <v>#REF!</v>
      </c>
      <c r="AQ394" s="224"/>
      <c r="AR394" s="224"/>
      <c r="AS394" s="224"/>
      <c r="AT394" s="224" t="str">
        <f>IFERROR(VLOOKUP($A394,'Constancias POA'!$A$2:$DH$9993,17,FALSE),"")</f>
        <v/>
      </c>
      <c r="AU394" s="224" t="str">
        <f t="shared" si="50"/>
        <v/>
      </c>
      <c r="AV394" s="224" t="str">
        <f>IFERROR(VLOOKUP($A394,CP!$A$1:$U$7992,18,FALSE),"")</f>
        <v/>
      </c>
      <c r="AW394" s="224" t="str">
        <f>IFERROR(VLOOKUP($A394,CP!$A$1:$U$7992,19,FALSE),"")</f>
        <v/>
      </c>
      <c r="AX394" s="224" t="str">
        <f>IFERROR(VLOOKUP($A394,CP!$A$1:$U$7992,20,FALSE),"")</f>
        <v/>
      </c>
      <c r="AY394" s="224" t="str">
        <f>IFERROR(VLOOKUP($A394,CP!$A$1:$U$1,21,FALSE),"")</f>
        <v/>
      </c>
      <c r="AZ394" s="224" t="str">
        <f>IFERROR(VLOOKUP(A394,Devengado!$A$1:AJ1,35,FALSE),"")</f>
        <v/>
      </c>
      <c r="BA394" s="224" t="str">
        <f t="shared" si="51"/>
        <v/>
      </c>
      <c r="BB394" s="224" t="str">
        <f>IFERROR(AZ394/#REF!,"")</f>
        <v/>
      </c>
      <c r="BC394" s="224" t="str">
        <f>IFERROR(VLOOKUP($A394,Devengado!$A$1:$AI$1,22,FALSE),"")</f>
        <v/>
      </c>
      <c r="BD394" s="224" t="str">
        <f>IFERROR(VLOOKUP($A394,Devengado!$A$1:$AI$1,23,FALSE),"")</f>
        <v/>
      </c>
      <c r="BE394" s="224" t="str">
        <f>IFERROR(VLOOKUP($A394,Devengado!$A$1:$AI$1,24,FALSE),"")</f>
        <v/>
      </c>
      <c r="BF394" s="224" t="str">
        <f>IFERROR(VLOOKUP($A394,Devengado!$A$1:$AI$1,25,FALSE),"")</f>
        <v/>
      </c>
      <c r="BG394" s="224" t="str">
        <f>IFERROR(VLOOKUP($A394,Devengado!$A$1:$AI$1,26,FALSE),"")</f>
        <v/>
      </c>
      <c r="BH394" s="224" t="str">
        <f>IFERROR(VLOOKUP($A394,Devengado!$A$1:$AI$1,27,FALSE),"")</f>
        <v/>
      </c>
      <c r="BI394" s="224" t="str">
        <f>IFERROR(VLOOKUP($A394,Devengado!$A$1:$AI$1,28,FALSE),"")</f>
        <v/>
      </c>
      <c r="BJ394" s="224" t="str">
        <f>IFERROR(VLOOKUP($A394,Devengado!$A$1:$AI$1,29,FALSE),"")</f>
        <v/>
      </c>
      <c r="BK394" s="224" t="str">
        <f>IFERROR(VLOOKUP($A394,Devengado!$A$1:$AI$1,30,FALSE),"")</f>
        <v/>
      </c>
      <c r="BL394" s="224" t="str">
        <f>IFERROR(VLOOKUP($A394,Devengado!$A$1:$AI$1,31,FALSE),"")</f>
        <v/>
      </c>
      <c r="BM394" s="224" t="str">
        <f>IFERROR(VLOOKUP($A394,Devengado!$A$1:$AI$1,32,FALSE),"")</f>
        <v/>
      </c>
      <c r="BN394" s="224" t="str">
        <f>IFERROR(VLOOKUP($A394,Devengado!$A$1:$AI$1,33,FALSE),"")</f>
        <v/>
      </c>
      <c r="BO394" s="224">
        <f t="shared" si="52"/>
        <v>0</v>
      </c>
      <c r="BP394" s="224" t="str">
        <f t="shared" si="53"/>
        <v/>
      </c>
      <c r="BQ394" s="207"/>
      <c r="BR394" s="207" t="str">
        <f t="shared" si="54"/>
        <v>51</v>
      </c>
    </row>
    <row r="395" spans="1:70" s="225" customFormat="1" ht="25.5" customHeight="1">
      <c r="A395" s="207">
        <v>391</v>
      </c>
      <c r="B395" s="119" t="s">
        <v>408</v>
      </c>
      <c r="C395" s="119" t="s">
        <v>77</v>
      </c>
      <c r="D395" s="112" t="s">
        <v>77</v>
      </c>
      <c r="E395" s="112" t="s">
        <v>76</v>
      </c>
      <c r="F395" s="112" t="s">
        <v>77</v>
      </c>
      <c r="G395" s="112" t="s">
        <v>77</v>
      </c>
      <c r="H395" s="112" t="s">
        <v>77</v>
      </c>
      <c r="I395" s="112" t="s">
        <v>77</v>
      </c>
      <c r="J395" s="112" t="s">
        <v>77</v>
      </c>
      <c r="K395" s="112" t="s">
        <v>77</v>
      </c>
      <c r="L395" s="112" t="s">
        <v>85</v>
      </c>
      <c r="M395" s="112" t="s">
        <v>412</v>
      </c>
      <c r="N395" s="118" t="s">
        <v>410</v>
      </c>
      <c r="O395" s="118" t="s">
        <v>132</v>
      </c>
      <c r="P395" s="114" t="s">
        <v>81</v>
      </c>
      <c r="Q395" s="114" t="s">
        <v>112</v>
      </c>
      <c r="R395" s="115" t="str">
        <f t="shared" si="48"/>
        <v>51</v>
      </c>
      <c r="S395" s="112">
        <v>510304</v>
      </c>
      <c r="T395" s="122" t="str">
        <f>VLOOKUP(S395,ITEM!$C$1:$D$156,2,FALSE)</f>
        <v>Compensación por Transporte</v>
      </c>
      <c r="U395" s="114">
        <v>1100</v>
      </c>
      <c r="V395" s="114" t="s">
        <v>82</v>
      </c>
      <c r="W395" s="114" t="s">
        <v>84</v>
      </c>
      <c r="X395" s="114" t="s">
        <v>84</v>
      </c>
      <c r="Y395" s="224" t="e">
        <f>'Matriz POA 2024-TRABAJO'!#REF!</f>
        <v>#REF!</v>
      </c>
      <c r="Z395" s="224" t="e">
        <f>'Matriz POA 2024-TRABAJO'!#REF!</f>
        <v>#REF!</v>
      </c>
      <c r="AA395" s="224" t="e">
        <f>'Matriz POA 2024-TRABAJO'!#REF!</f>
        <v>#REF!</v>
      </c>
      <c r="AB395" s="279">
        <v>10.58</v>
      </c>
      <c r="AC395" s="279">
        <v>10.58</v>
      </c>
      <c r="AD395" s="279">
        <v>10.58</v>
      </c>
      <c r="AE395" s="279">
        <v>10.58</v>
      </c>
      <c r="AF395" s="279">
        <v>10.58</v>
      </c>
      <c r="AG395" s="279">
        <v>10.58</v>
      </c>
      <c r="AH395" s="279">
        <v>10.58</v>
      </c>
      <c r="AI395" s="279">
        <v>10.58</v>
      </c>
      <c r="AJ395" s="279">
        <v>10.59</v>
      </c>
      <c r="AK395" s="279">
        <v>10.59</v>
      </c>
      <c r="AL395" s="279">
        <v>10.59</v>
      </c>
      <c r="AM395" s="279">
        <v>10.59</v>
      </c>
      <c r="AN395" s="224" t="e">
        <f>SUM(#REF!)</f>
        <v>#REF!</v>
      </c>
      <c r="AO395" s="224">
        <f t="shared" si="49"/>
        <v>127.00000000000001</v>
      </c>
      <c r="AP395" s="224" t="e">
        <f t="shared" si="55"/>
        <v>#REF!</v>
      </c>
      <c r="AQ395" s="224"/>
      <c r="AR395" s="224"/>
      <c r="AS395" s="224"/>
      <c r="AT395" s="224" t="str">
        <f>IFERROR(VLOOKUP($A395,'Constancias POA'!$A$2:$DH$9993,17,FALSE),"")</f>
        <v/>
      </c>
      <c r="AU395" s="224" t="str">
        <f t="shared" si="50"/>
        <v/>
      </c>
      <c r="AV395" s="224" t="str">
        <f>IFERROR(VLOOKUP($A395,CP!$A$1:$U$7992,18,FALSE),"")</f>
        <v/>
      </c>
      <c r="AW395" s="224" t="str">
        <f>IFERROR(VLOOKUP($A395,CP!$A$1:$U$7992,19,FALSE),"")</f>
        <v/>
      </c>
      <c r="AX395" s="224" t="str">
        <f>IFERROR(VLOOKUP($A395,CP!$A$1:$U$7992,20,FALSE),"")</f>
        <v/>
      </c>
      <c r="AY395" s="224" t="str">
        <f>IFERROR(VLOOKUP($A395,CP!$A$1:$U$1,21,FALSE),"")</f>
        <v/>
      </c>
      <c r="AZ395" s="224" t="str">
        <f>IFERROR(VLOOKUP(A395,Devengado!$A$1:AJ1,35,FALSE),"")</f>
        <v/>
      </c>
      <c r="BA395" s="224" t="str">
        <f t="shared" si="51"/>
        <v/>
      </c>
      <c r="BB395" s="224" t="str">
        <f>IFERROR(AZ395/#REF!,"")</f>
        <v/>
      </c>
      <c r="BC395" s="224" t="str">
        <f>IFERROR(VLOOKUP($A395,Devengado!$A$1:$AI$1,22,FALSE),"")</f>
        <v/>
      </c>
      <c r="BD395" s="224" t="str">
        <f>IFERROR(VLOOKUP($A395,Devengado!$A$1:$AI$1,23,FALSE),"")</f>
        <v/>
      </c>
      <c r="BE395" s="224" t="str">
        <f>IFERROR(VLOOKUP($A395,Devengado!$A$1:$AI$1,24,FALSE),"")</f>
        <v/>
      </c>
      <c r="BF395" s="224" t="str">
        <f>IFERROR(VLOOKUP($A395,Devengado!$A$1:$AI$1,25,FALSE),"")</f>
        <v/>
      </c>
      <c r="BG395" s="224" t="str">
        <f>IFERROR(VLOOKUP($A395,Devengado!$A$1:$AI$1,26,FALSE),"")</f>
        <v/>
      </c>
      <c r="BH395" s="224" t="str">
        <f>IFERROR(VLOOKUP($A395,Devengado!$A$1:$AI$1,27,FALSE),"")</f>
        <v/>
      </c>
      <c r="BI395" s="224" t="str">
        <f>IFERROR(VLOOKUP($A395,Devengado!$A$1:$AI$1,28,FALSE),"")</f>
        <v/>
      </c>
      <c r="BJ395" s="224" t="str">
        <f>IFERROR(VLOOKUP($A395,Devengado!$A$1:$AI$1,29,FALSE),"")</f>
        <v/>
      </c>
      <c r="BK395" s="224" t="str">
        <f>IFERROR(VLOOKUP($A395,Devengado!$A$1:$AI$1,30,FALSE),"")</f>
        <v/>
      </c>
      <c r="BL395" s="224" t="str">
        <f>IFERROR(VLOOKUP($A395,Devengado!$A$1:$AI$1,31,FALSE),"")</f>
        <v/>
      </c>
      <c r="BM395" s="224" t="str">
        <f>IFERROR(VLOOKUP($A395,Devengado!$A$1:$AI$1,32,FALSE),"")</f>
        <v/>
      </c>
      <c r="BN395" s="224" t="str">
        <f>IFERROR(VLOOKUP($A395,Devengado!$A$1:$AI$1,33,FALSE),"")</f>
        <v/>
      </c>
      <c r="BO395" s="224">
        <f t="shared" si="52"/>
        <v>0</v>
      </c>
      <c r="BP395" s="224" t="str">
        <f t="shared" si="53"/>
        <v/>
      </c>
      <c r="BQ395" s="207"/>
      <c r="BR395" s="207" t="str">
        <f t="shared" si="54"/>
        <v>51</v>
      </c>
    </row>
    <row r="396" spans="1:70" s="225" customFormat="1" ht="25.5" customHeight="1">
      <c r="A396" s="207">
        <v>392</v>
      </c>
      <c r="B396" s="119" t="s">
        <v>408</v>
      </c>
      <c r="C396" s="119" t="s">
        <v>77</v>
      </c>
      <c r="D396" s="112" t="s">
        <v>77</v>
      </c>
      <c r="E396" s="112" t="s">
        <v>76</v>
      </c>
      <c r="F396" s="112" t="s">
        <v>77</v>
      </c>
      <c r="G396" s="112" t="s">
        <v>77</v>
      </c>
      <c r="H396" s="112" t="s">
        <v>77</v>
      </c>
      <c r="I396" s="112" t="s">
        <v>77</v>
      </c>
      <c r="J396" s="112" t="s">
        <v>77</v>
      </c>
      <c r="K396" s="112" t="s">
        <v>77</v>
      </c>
      <c r="L396" s="112" t="s">
        <v>85</v>
      </c>
      <c r="M396" s="112" t="s">
        <v>359</v>
      </c>
      <c r="N396" s="118" t="s">
        <v>410</v>
      </c>
      <c r="O396" s="118" t="s">
        <v>132</v>
      </c>
      <c r="P396" s="114" t="s">
        <v>81</v>
      </c>
      <c r="Q396" s="114" t="s">
        <v>112</v>
      </c>
      <c r="R396" s="115" t="str">
        <f t="shared" si="48"/>
        <v>51</v>
      </c>
      <c r="S396" s="112">
        <v>510306</v>
      </c>
      <c r="T396" s="122" t="str">
        <f>VLOOKUP(S396,ITEM!$C$1:$D$156,2,FALSE)</f>
        <v>Alimentación</v>
      </c>
      <c r="U396" s="114">
        <v>1100</v>
      </c>
      <c r="V396" s="114" t="s">
        <v>82</v>
      </c>
      <c r="W396" s="114" t="s">
        <v>84</v>
      </c>
      <c r="X396" s="114" t="s">
        <v>84</v>
      </c>
      <c r="Y396" s="224" t="e">
        <f>'Matriz POA 2024-TRABAJO'!#REF!</f>
        <v>#REF!</v>
      </c>
      <c r="Z396" s="224" t="e">
        <f>'Matriz POA 2024-TRABAJO'!#REF!</f>
        <v>#REF!</v>
      </c>
      <c r="AA396" s="224" t="e">
        <f>'Matriz POA 2024-TRABAJO'!#REF!</f>
        <v>#REF!</v>
      </c>
      <c r="AB396" s="279">
        <v>74.08</v>
      </c>
      <c r="AC396" s="279">
        <v>74.08</v>
      </c>
      <c r="AD396" s="279">
        <v>74.08</v>
      </c>
      <c r="AE396" s="279">
        <v>74.08</v>
      </c>
      <c r="AF396" s="279">
        <v>74.08</v>
      </c>
      <c r="AG396" s="279">
        <v>74.08</v>
      </c>
      <c r="AH396" s="279">
        <v>74.08</v>
      </c>
      <c r="AI396" s="279">
        <v>74.08</v>
      </c>
      <c r="AJ396" s="279">
        <v>74.09</v>
      </c>
      <c r="AK396" s="279">
        <v>74.09</v>
      </c>
      <c r="AL396" s="279">
        <v>74.09</v>
      </c>
      <c r="AM396" s="279">
        <v>74.09</v>
      </c>
      <c r="AN396" s="224" t="e">
        <f>SUM(#REF!)</f>
        <v>#REF!</v>
      </c>
      <c r="AO396" s="224">
        <f t="shared" si="49"/>
        <v>889.00000000000011</v>
      </c>
      <c r="AP396" s="224" t="e">
        <f t="shared" si="55"/>
        <v>#REF!</v>
      </c>
      <c r="AQ396" s="224"/>
      <c r="AR396" s="224"/>
      <c r="AS396" s="224"/>
      <c r="AT396" s="224" t="str">
        <f>IFERROR(VLOOKUP($A396,'Constancias POA'!$A$2:$DH$9993,17,FALSE),"")</f>
        <v/>
      </c>
      <c r="AU396" s="224" t="str">
        <f t="shared" si="50"/>
        <v/>
      </c>
      <c r="AV396" s="224" t="str">
        <f>IFERROR(VLOOKUP($A396,CP!$A$1:$U$7992,18,FALSE),"")</f>
        <v/>
      </c>
      <c r="AW396" s="224" t="str">
        <f>IFERROR(VLOOKUP($A396,CP!$A$1:$U$7992,19,FALSE),"")</f>
        <v/>
      </c>
      <c r="AX396" s="224" t="str">
        <f>IFERROR(VLOOKUP($A396,CP!$A$1:$U$7992,20,FALSE),"")</f>
        <v/>
      </c>
      <c r="AY396" s="224" t="str">
        <f>IFERROR(VLOOKUP($A396,CP!$A$1:$U$1,21,FALSE),"")</f>
        <v/>
      </c>
      <c r="AZ396" s="224" t="str">
        <f>IFERROR(VLOOKUP(A396,Devengado!$A$1:AJ1,35,FALSE),"")</f>
        <v/>
      </c>
      <c r="BA396" s="224" t="str">
        <f t="shared" si="51"/>
        <v/>
      </c>
      <c r="BB396" s="224" t="str">
        <f>IFERROR(AZ396/#REF!,"")</f>
        <v/>
      </c>
      <c r="BC396" s="224" t="str">
        <f>IFERROR(VLOOKUP($A396,Devengado!$A$1:$AI$1,22,FALSE),"")</f>
        <v/>
      </c>
      <c r="BD396" s="224" t="str">
        <f>IFERROR(VLOOKUP($A396,Devengado!$A$1:$AI$1,23,FALSE),"")</f>
        <v/>
      </c>
      <c r="BE396" s="224" t="str">
        <f>IFERROR(VLOOKUP($A396,Devengado!$A$1:$AI$1,24,FALSE),"")</f>
        <v/>
      </c>
      <c r="BF396" s="224" t="str">
        <f>IFERROR(VLOOKUP($A396,Devengado!$A$1:$AI$1,25,FALSE),"")</f>
        <v/>
      </c>
      <c r="BG396" s="224" t="str">
        <f>IFERROR(VLOOKUP($A396,Devengado!$A$1:$AI$1,26,FALSE),"")</f>
        <v/>
      </c>
      <c r="BH396" s="224" t="str">
        <f>IFERROR(VLOOKUP($A396,Devengado!$A$1:$AI$1,27,FALSE),"")</f>
        <v/>
      </c>
      <c r="BI396" s="224" t="str">
        <f>IFERROR(VLOOKUP($A396,Devengado!$A$1:$AI$1,28,FALSE),"")</f>
        <v/>
      </c>
      <c r="BJ396" s="224" t="str">
        <f>IFERROR(VLOOKUP($A396,Devengado!$A$1:$AI$1,29,FALSE),"")</f>
        <v/>
      </c>
      <c r="BK396" s="224" t="str">
        <f>IFERROR(VLOOKUP($A396,Devengado!$A$1:$AI$1,30,FALSE),"")</f>
        <v/>
      </c>
      <c r="BL396" s="224" t="str">
        <f>IFERROR(VLOOKUP($A396,Devengado!$A$1:$AI$1,31,FALSE),"")</f>
        <v/>
      </c>
      <c r="BM396" s="224" t="str">
        <f>IFERROR(VLOOKUP($A396,Devengado!$A$1:$AI$1,32,FALSE),"")</f>
        <v/>
      </c>
      <c r="BN396" s="224" t="str">
        <f>IFERROR(VLOOKUP($A396,Devengado!$A$1:$AI$1,33,FALSE),"")</f>
        <v/>
      </c>
      <c r="BO396" s="224">
        <f t="shared" si="52"/>
        <v>0</v>
      </c>
      <c r="BP396" s="224" t="str">
        <f t="shared" si="53"/>
        <v/>
      </c>
      <c r="BQ396" s="207"/>
      <c r="BR396" s="207" t="str">
        <f t="shared" si="54"/>
        <v>51</v>
      </c>
    </row>
    <row r="397" spans="1:70" s="225" customFormat="1" ht="25.5" customHeight="1">
      <c r="A397" s="207">
        <v>393</v>
      </c>
      <c r="B397" s="119" t="s">
        <v>408</v>
      </c>
      <c r="C397" s="119" t="s">
        <v>77</v>
      </c>
      <c r="D397" s="112" t="s">
        <v>77</v>
      </c>
      <c r="E397" s="112" t="s">
        <v>76</v>
      </c>
      <c r="F397" s="112" t="s">
        <v>77</v>
      </c>
      <c r="G397" s="112" t="s">
        <v>77</v>
      </c>
      <c r="H397" s="112" t="s">
        <v>77</v>
      </c>
      <c r="I397" s="112" t="s">
        <v>77</v>
      </c>
      <c r="J397" s="112" t="s">
        <v>77</v>
      </c>
      <c r="K397" s="112" t="s">
        <v>77</v>
      </c>
      <c r="L397" s="112" t="s">
        <v>85</v>
      </c>
      <c r="M397" s="112" t="s">
        <v>413</v>
      </c>
      <c r="N397" s="118" t="s">
        <v>410</v>
      </c>
      <c r="O397" s="118" t="s">
        <v>132</v>
      </c>
      <c r="P397" s="114" t="s">
        <v>81</v>
      </c>
      <c r="Q397" s="114" t="s">
        <v>112</v>
      </c>
      <c r="R397" s="115" t="str">
        <f t="shared" si="48"/>
        <v>51</v>
      </c>
      <c r="S397" s="112">
        <v>510408</v>
      </c>
      <c r="T397" s="122" t="str">
        <f>VLOOKUP(S397,ITEM!$C$1:$D$156,2,FALSE)</f>
        <v>Subsidio de Antigüedad</v>
      </c>
      <c r="U397" s="114">
        <v>1100</v>
      </c>
      <c r="V397" s="114" t="s">
        <v>82</v>
      </c>
      <c r="W397" s="114" t="s">
        <v>84</v>
      </c>
      <c r="X397" s="114" t="s">
        <v>84</v>
      </c>
      <c r="Y397" s="224" t="e">
        <f>'Matriz POA 2024-TRABAJO'!#REF!</f>
        <v>#REF!</v>
      </c>
      <c r="Z397" s="224" t="e">
        <f>'Matriz POA 2024-TRABAJO'!#REF!</f>
        <v>#REF!</v>
      </c>
      <c r="AA397" s="224" t="e">
        <f>'Matriz POA 2024-TRABAJO'!#REF!</f>
        <v>#REF!</v>
      </c>
      <c r="AB397" s="279">
        <v>2.02</v>
      </c>
      <c r="AC397" s="279">
        <v>2.02</v>
      </c>
      <c r="AD397" s="279">
        <v>2.02</v>
      </c>
      <c r="AE397" s="279">
        <v>2.02</v>
      </c>
      <c r="AF397" s="279">
        <v>2.02</v>
      </c>
      <c r="AG397" s="279">
        <v>2.02</v>
      </c>
      <c r="AH397" s="279">
        <v>2.02</v>
      </c>
      <c r="AI397" s="279">
        <v>2.02</v>
      </c>
      <c r="AJ397" s="279">
        <v>2.02</v>
      </c>
      <c r="AK397" s="279">
        <v>2.02</v>
      </c>
      <c r="AL397" s="279">
        <v>2.02</v>
      </c>
      <c r="AM397" s="279">
        <v>1.97</v>
      </c>
      <c r="AN397" s="224" t="e">
        <f>SUM(#REF!)</f>
        <v>#REF!</v>
      </c>
      <c r="AO397" s="224">
        <f t="shared" si="49"/>
        <v>24.189999999999998</v>
      </c>
      <c r="AP397" s="224" t="e">
        <f t="shared" si="55"/>
        <v>#REF!</v>
      </c>
      <c r="AQ397" s="224"/>
      <c r="AR397" s="224"/>
      <c r="AS397" s="224"/>
      <c r="AT397" s="224" t="str">
        <f>IFERROR(VLOOKUP($A397,'Constancias POA'!$A$2:$DH$9993,17,FALSE),"")</f>
        <v/>
      </c>
      <c r="AU397" s="224" t="str">
        <f t="shared" si="50"/>
        <v/>
      </c>
      <c r="AV397" s="224" t="str">
        <f>IFERROR(VLOOKUP($A397,CP!$A$1:$U$7992,18,FALSE),"")</f>
        <v/>
      </c>
      <c r="AW397" s="224" t="str">
        <f>IFERROR(VLOOKUP($A397,CP!$A$1:$U$7992,19,FALSE),"")</f>
        <v/>
      </c>
      <c r="AX397" s="224" t="str">
        <f>IFERROR(VLOOKUP($A397,CP!$A$1:$U$7992,20,FALSE),"")</f>
        <v/>
      </c>
      <c r="AY397" s="224" t="str">
        <f>IFERROR(VLOOKUP($A397,CP!$A$1:$U$1,21,FALSE),"")</f>
        <v/>
      </c>
      <c r="AZ397" s="224" t="str">
        <f>IFERROR(VLOOKUP(A397,Devengado!$A$1:AJ1,35,FALSE),"")</f>
        <v/>
      </c>
      <c r="BA397" s="224" t="str">
        <f t="shared" si="51"/>
        <v/>
      </c>
      <c r="BB397" s="224" t="str">
        <f>IFERROR(AZ397/#REF!,"")</f>
        <v/>
      </c>
      <c r="BC397" s="224" t="str">
        <f>IFERROR(VLOOKUP($A397,Devengado!$A$1:$AI$1,22,FALSE),"")</f>
        <v/>
      </c>
      <c r="BD397" s="224" t="str">
        <f>IFERROR(VLOOKUP($A397,Devengado!$A$1:$AI$1,23,FALSE),"")</f>
        <v/>
      </c>
      <c r="BE397" s="224" t="str">
        <f>IFERROR(VLOOKUP($A397,Devengado!$A$1:$AI$1,24,FALSE),"")</f>
        <v/>
      </c>
      <c r="BF397" s="224" t="str">
        <f>IFERROR(VLOOKUP($A397,Devengado!$A$1:$AI$1,25,FALSE),"")</f>
        <v/>
      </c>
      <c r="BG397" s="224" t="str">
        <f>IFERROR(VLOOKUP($A397,Devengado!$A$1:$AI$1,26,FALSE),"")</f>
        <v/>
      </c>
      <c r="BH397" s="224" t="str">
        <f>IFERROR(VLOOKUP($A397,Devengado!$A$1:$AI$1,27,FALSE),"")</f>
        <v/>
      </c>
      <c r="BI397" s="224" t="str">
        <f>IFERROR(VLOOKUP($A397,Devengado!$A$1:$AI$1,28,FALSE),"")</f>
        <v/>
      </c>
      <c r="BJ397" s="224" t="str">
        <f>IFERROR(VLOOKUP($A397,Devengado!$A$1:$AI$1,29,FALSE),"")</f>
        <v/>
      </c>
      <c r="BK397" s="224" t="str">
        <f>IFERROR(VLOOKUP($A397,Devengado!$A$1:$AI$1,30,FALSE),"")</f>
        <v/>
      </c>
      <c r="BL397" s="224" t="str">
        <f>IFERROR(VLOOKUP($A397,Devengado!$A$1:$AI$1,31,FALSE),"")</f>
        <v/>
      </c>
      <c r="BM397" s="224" t="str">
        <f>IFERROR(VLOOKUP($A397,Devengado!$A$1:$AI$1,32,FALSE),"")</f>
        <v/>
      </c>
      <c r="BN397" s="224" t="str">
        <f>IFERROR(VLOOKUP($A397,Devengado!$A$1:$AI$1,33,FALSE),"")</f>
        <v/>
      </c>
      <c r="BO397" s="224">
        <f t="shared" si="52"/>
        <v>0</v>
      </c>
      <c r="BP397" s="224" t="str">
        <f t="shared" si="53"/>
        <v/>
      </c>
      <c r="BQ397" s="207"/>
      <c r="BR397" s="207" t="str">
        <f t="shared" si="54"/>
        <v>51</v>
      </c>
    </row>
    <row r="398" spans="1:70" s="225" customFormat="1" ht="25.5" customHeight="1">
      <c r="A398" s="207">
        <v>394</v>
      </c>
      <c r="B398" s="117" t="s">
        <v>408</v>
      </c>
      <c r="C398" s="112" t="s">
        <v>77</v>
      </c>
      <c r="D398" s="112" t="s">
        <v>77</v>
      </c>
      <c r="E398" s="112" t="s">
        <v>76</v>
      </c>
      <c r="F398" s="112" t="s">
        <v>77</v>
      </c>
      <c r="G398" s="112" t="s">
        <v>77</v>
      </c>
      <c r="H398" s="112" t="s">
        <v>77</v>
      </c>
      <c r="I398" s="112" t="s">
        <v>77</v>
      </c>
      <c r="J398" s="112" t="s">
        <v>77</v>
      </c>
      <c r="K398" s="112" t="s">
        <v>77</v>
      </c>
      <c r="L398" s="112" t="s">
        <v>85</v>
      </c>
      <c r="M398" s="112" t="s">
        <v>414</v>
      </c>
      <c r="N398" s="114" t="s">
        <v>410</v>
      </c>
      <c r="O398" s="118" t="s">
        <v>132</v>
      </c>
      <c r="P398" s="114" t="s">
        <v>81</v>
      </c>
      <c r="Q398" s="114" t="s">
        <v>112</v>
      </c>
      <c r="R398" s="115" t="str">
        <f t="shared" si="48"/>
        <v>51</v>
      </c>
      <c r="S398" s="112">
        <v>510401</v>
      </c>
      <c r="T398" s="122" t="str">
        <f>VLOOKUP(S398,ITEM!$C$1:$D$156,2,FALSE)</f>
        <v>Por Cargas Familiares</v>
      </c>
      <c r="U398" s="114">
        <v>1100</v>
      </c>
      <c r="V398" s="114" t="s">
        <v>82</v>
      </c>
      <c r="W398" s="114" t="s">
        <v>84</v>
      </c>
      <c r="X398" s="114" t="s">
        <v>84</v>
      </c>
      <c r="Y398" s="224" t="e">
        <f>'Matriz POA 2024-TRABAJO'!#REF!</f>
        <v>#REF!</v>
      </c>
      <c r="Z398" s="224" t="e">
        <f>'Matriz POA 2024-TRABAJO'!#REF!</f>
        <v>#REF!</v>
      </c>
      <c r="AA398" s="224" t="e">
        <f>'Matriz POA 2024-TRABAJO'!#REF!</f>
        <v>#REF!</v>
      </c>
      <c r="AB398" s="279">
        <v>15.34</v>
      </c>
      <c r="AC398" s="279">
        <v>15.34</v>
      </c>
      <c r="AD398" s="279">
        <v>15.34</v>
      </c>
      <c r="AE398" s="279">
        <v>15.34</v>
      </c>
      <c r="AF398" s="279">
        <v>15.34</v>
      </c>
      <c r="AG398" s="279">
        <v>15.34</v>
      </c>
      <c r="AH398" s="279">
        <v>15.34</v>
      </c>
      <c r="AI398" s="279">
        <v>15.34</v>
      </c>
      <c r="AJ398" s="279">
        <v>15.34</v>
      </c>
      <c r="AK398" s="279">
        <v>15.34</v>
      </c>
      <c r="AL398" s="279">
        <v>15.34</v>
      </c>
      <c r="AM398" s="279">
        <v>15.34</v>
      </c>
      <c r="AN398" s="224" t="e">
        <f>SUM(#REF!)</f>
        <v>#REF!</v>
      </c>
      <c r="AO398" s="224">
        <f t="shared" si="49"/>
        <v>184.08</v>
      </c>
      <c r="AP398" s="224" t="e">
        <f t="shared" si="55"/>
        <v>#REF!</v>
      </c>
      <c r="AQ398" s="224"/>
      <c r="AR398" s="224"/>
      <c r="AS398" s="224"/>
      <c r="AT398" s="224" t="str">
        <f>IFERROR(VLOOKUP($A398,'Constancias POA'!$A$2:$DH$9993,17,FALSE),"")</f>
        <v/>
      </c>
      <c r="AU398" s="224" t="str">
        <f t="shared" si="50"/>
        <v/>
      </c>
      <c r="AV398" s="224" t="str">
        <f>IFERROR(VLOOKUP($A398,CP!$A$1:$U$7992,18,FALSE),"")</f>
        <v/>
      </c>
      <c r="AW398" s="224" t="str">
        <f>IFERROR(VLOOKUP($A398,CP!$A$1:$U$7992,19,FALSE),"")</f>
        <v/>
      </c>
      <c r="AX398" s="224" t="str">
        <f>IFERROR(VLOOKUP($A398,CP!$A$1:$U$7992,20,FALSE),"")</f>
        <v/>
      </c>
      <c r="AY398" s="224" t="str">
        <f>IFERROR(VLOOKUP($A398,CP!$A$1:$U$1,21,FALSE),"")</f>
        <v/>
      </c>
      <c r="AZ398" s="224" t="str">
        <f>IFERROR(VLOOKUP(A398,Devengado!$A$1:AJ1,35,FALSE),"")</f>
        <v/>
      </c>
      <c r="BA398" s="224" t="str">
        <f t="shared" si="51"/>
        <v/>
      </c>
      <c r="BB398" s="224" t="str">
        <f>IFERROR(AZ398/#REF!,"")</f>
        <v/>
      </c>
      <c r="BC398" s="224" t="str">
        <f>IFERROR(VLOOKUP($A398,Devengado!$A$1:$AI$1,22,FALSE),"")</f>
        <v/>
      </c>
      <c r="BD398" s="224" t="str">
        <f>IFERROR(VLOOKUP($A398,Devengado!$A$1:$AI$1,23,FALSE),"")</f>
        <v/>
      </c>
      <c r="BE398" s="224" t="str">
        <f>IFERROR(VLOOKUP($A398,Devengado!$A$1:$AI$1,24,FALSE),"")</f>
        <v/>
      </c>
      <c r="BF398" s="224" t="str">
        <f>IFERROR(VLOOKUP($A398,Devengado!$A$1:$AI$1,25,FALSE),"")</f>
        <v/>
      </c>
      <c r="BG398" s="224" t="str">
        <f>IFERROR(VLOOKUP($A398,Devengado!$A$1:$AI$1,26,FALSE),"")</f>
        <v/>
      </c>
      <c r="BH398" s="224" t="str">
        <f>IFERROR(VLOOKUP($A398,Devengado!$A$1:$AI$1,27,FALSE),"")</f>
        <v/>
      </c>
      <c r="BI398" s="224" t="str">
        <f>IFERROR(VLOOKUP($A398,Devengado!$A$1:$AI$1,28,FALSE),"")</f>
        <v/>
      </c>
      <c r="BJ398" s="224" t="str">
        <f>IFERROR(VLOOKUP($A398,Devengado!$A$1:$AI$1,29,FALSE),"")</f>
        <v/>
      </c>
      <c r="BK398" s="224" t="str">
        <f>IFERROR(VLOOKUP($A398,Devengado!$A$1:$AI$1,30,FALSE),"")</f>
        <v/>
      </c>
      <c r="BL398" s="224" t="str">
        <f>IFERROR(VLOOKUP($A398,Devengado!$A$1:$AI$1,31,FALSE),"")</f>
        <v/>
      </c>
      <c r="BM398" s="224" t="str">
        <f>IFERROR(VLOOKUP($A398,Devengado!$A$1:$AI$1,32,FALSE),"")</f>
        <v/>
      </c>
      <c r="BN398" s="224" t="str">
        <f>IFERROR(VLOOKUP($A398,Devengado!$A$1:$AI$1,33,FALSE),"")</f>
        <v/>
      </c>
      <c r="BO398" s="224">
        <f t="shared" si="52"/>
        <v>0</v>
      </c>
      <c r="BP398" s="224" t="str">
        <f t="shared" si="53"/>
        <v/>
      </c>
      <c r="BQ398" s="207"/>
      <c r="BR398" s="207" t="str">
        <f t="shared" si="54"/>
        <v>51</v>
      </c>
    </row>
    <row r="399" spans="1:70" s="225" customFormat="1" ht="25.5" customHeight="1">
      <c r="A399" s="207">
        <v>395</v>
      </c>
      <c r="B399" s="117" t="s">
        <v>408</v>
      </c>
      <c r="C399" s="112" t="s">
        <v>77</v>
      </c>
      <c r="D399" s="112" t="s">
        <v>77</v>
      </c>
      <c r="E399" s="112" t="s">
        <v>76</v>
      </c>
      <c r="F399" s="112" t="s">
        <v>77</v>
      </c>
      <c r="G399" s="112" t="s">
        <v>77</v>
      </c>
      <c r="H399" s="112" t="s">
        <v>77</v>
      </c>
      <c r="I399" s="112" t="s">
        <v>77</v>
      </c>
      <c r="J399" s="112" t="s">
        <v>77</v>
      </c>
      <c r="K399" s="112" t="s">
        <v>77</v>
      </c>
      <c r="L399" s="112" t="s">
        <v>85</v>
      </c>
      <c r="M399" s="112" t="s">
        <v>415</v>
      </c>
      <c r="N399" s="114" t="s">
        <v>410</v>
      </c>
      <c r="O399" s="118" t="s">
        <v>132</v>
      </c>
      <c r="P399" s="114" t="s">
        <v>81</v>
      </c>
      <c r="Q399" s="114" t="s">
        <v>112</v>
      </c>
      <c r="R399" s="115" t="str">
        <f t="shared" si="48"/>
        <v>51</v>
      </c>
      <c r="S399" s="112">
        <v>510509</v>
      </c>
      <c r="T399" s="122" t="str">
        <f>VLOOKUP(S399,ITEM!$C$1:$D$156,2,FALSE)</f>
        <v>Horas Extraordinarias y Suplementarias</v>
      </c>
      <c r="U399" s="114">
        <v>1100</v>
      </c>
      <c r="V399" s="114" t="s">
        <v>82</v>
      </c>
      <c r="W399" s="114" t="s">
        <v>84</v>
      </c>
      <c r="X399" s="114" t="s">
        <v>84</v>
      </c>
      <c r="Y399" s="224" t="e">
        <f>'Matriz POA 2024-TRABAJO'!#REF!</f>
        <v>#REF!</v>
      </c>
      <c r="Z399" s="224" t="e">
        <f>'Matriz POA 2024-TRABAJO'!#REF!</f>
        <v>#REF!</v>
      </c>
      <c r="AA399" s="224" t="e">
        <f>'Matriz POA 2024-TRABAJO'!#REF!</f>
        <v>#REF!</v>
      </c>
      <c r="AB399" s="279">
        <v>22.5</v>
      </c>
      <c r="AC399" s="279">
        <v>22.5</v>
      </c>
      <c r="AD399" s="279">
        <v>22.5</v>
      </c>
      <c r="AE399" s="279">
        <v>22.5</v>
      </c>
      <c r="AF399" s="279">
        <v>22.5</v>
      </c>
      <c r="AG399" s="279">
        <v>22.5</v>
      </c>
      <c r="AH399" s="279">
        <v>22.49</v>
      </c>
      <c r="AI399" s="279">
        <v>22.49</v>
      </c>
      <c r="AJ399" s="279">
        <v>22.49</v>
      </c>
      <c r="AK399" s="279">
        <v>22.49</v>
      </c>
      <c r="AL399" s="279">
        <v>22.49</v>
      </c>
      <c r="AM399" s="279">
        <v>22.49</v>
      </c>
      <c r="AN399" s="224" t="e">
        <f>SUM(#REF!)</f>
        <v>#REF!</v>
      </c>
      <c r="AO399" s="224">
        <f t="shared" si="49"/>
        <v>269.94000000000005</v>
      </c>
      <c r="AP399" s="224" t="e">
        <f t="shared" si="55"/>
        <v>#REF!</v>
      </c>
      <c r="AQ399" s="224"/>
      <c r="AR399" s="224"/>
      <c r="AS399" s="224"/>
      <c r="AT399" s="224" t="str">
        <f>IFERROR(VLOOKUP($A399,'Constancias POA'!$A$2:$DH$9993,17,FALSE),"")</f>
        <v/>
      </c>
      <c r="AU399" s="224" t="str">
        <f t="shared" si="50"/>
        <v/>
      </c>
      <c r="AV399" s="224" t="str">
        <f>IFERROR(VLOOKUP($A399,CP!$A$1:$U$7992,18,FALSE),"")</f>
        <v/>
      </c>
      <c r="AW399" s="224" t="str">
        <f>IFERROR(VLOOKUP($A399,CP!$A$1:$U$7992,19,FALSE),"")</f>
        <v/>
      </c>
      <c r="AX399" s="224" t="str">
        <f>IFERROR(VLOOKUP($A399,CP!$A$1:$U$7992,20,FALSE),"")</f>
        <v/>
      </c>
      <c r="AY399" s="224" t="str">
        <f>IFERROR(VLOOKUP($A399,CP!$A$1:$U$1,21,FALSE),"")</f>
        <v/>
      </c>
      <c r="AZ399" s="224" t="str">
        <f>IFERROR(VLOOKUP(A399,Devengado!$A$1:AJ1,35,FALSE),"")</f>
        <v/>
      </c>
      <c r="BA399" s="224" t="str">
        <f t="shared" si="51"/>
        <v/>
      </c>
      <c r="BB399" s="224" t="str">
        <f>IFERROR(AZ399/#REF!,"")</f>
        <v/>
      </c>
      <c r="BC399" s="224" t="str">
        <f>IFERROR(VLOOKUP($A399,Devengado!$A$1:$AI$1,22,FALSE),"")</f>
        <v/>
      </c>
      <c r="BD399" s="224" t="str">
        <f>IFERROR(VLOOKUP($A399,Devengado!$A$1:$AI$1,23,FALSE),"")</f>
        <v/>
      </c>
      <c r="BE399" s="224" t="str">
        <f>IFERROR(VLOOKUP($A399,Devengado!$A$1:$AI$1,24,FALSE),"")</f>
        <v/>
      </c>
      <c r="BF399" s="224" t="str">
        <f>IFERROR(VLOOKUP($A399,Devengado!$A$1:$AI$1,25,FALSE),"")</f>
        <v/>
      </c>
      <c r="BG399" s="224" t="str">
        <f>IFERROR(VLOOKUP($A399,Devengado!$A$1:$AI$1,26,FALSE),"")</f>
        <v/>
      </c>
      <c r="BH399" s="224" t="str">
        <f>IFERROR(VLOOKUP($A399,Devengado!$A$1:$AI$1,27,FALSE),"")</f>
        <v/>
      </c>
      <c r="BI399" s="224" t="str">
        <f>IFERROR(VLOOKUP($A399,Devengado!$A$1:$AI$1,28,FALSE),"")</f>
        <v/>
      </c>
      <c r="BJ399" s="224" t="str">
        <f>IFERROR(VLOOKUP($A399,Devengado!$A$1:$AI$1,29,FALSE),"")</f>
        <v/>
      </c>
      <c r="BK399" s="224" t="str">
        <f>IFERROR(VLOOKUP($A399,Devengado!$A$1:$AI$1,30,FALSE),"")</f>
        <v/>
      </c>
      <c r="BL399" s="224" t="str">
        <f>IFERROR(VLOOKUP($A399,Devengado!$A$1:$AI$1,31,FALSE),"")</f>
        <v/>
      </c>
      <c r="BM399" s="224" t="str">
        <f>IFERROR(VLOOKUP($A399,Devengado!$A$1:$AI$1,32,FALSE),"")</f>
        <v/>
      </c>
      <c r="BN399" s="224" t="str">
        <f>IFERROR(VLOOKUP($A399,Devengado!$A$1:$AI$1,33,FALSE),"")</f>
        <v/>
      </c>
      <c r="BO399" s="224">
        <f t="shared" si="52"/>
        <v>0</v>
      </c>
      <c r="BP399" s="224" t="str">
        <f t="shared" si="53"/>
        <v/>
      </c>
      <c r="BQ399" s="207"/>
      <c r="BR399" s="207" t="str">
        <f t="shared" si="54"/>
        <v>51</v>
      </c>
    </row>
    <row r="400" spans="1:70" s="225" customFormat="1" ht="25.5" customHeight="1">
      <c r="A400" s="207">
        <v>396</v>
      </c>
      <c r="B400" s="117" t="s">
        <v>408</v>
      </c>
      <c r="C400" s="112" t="s">
        <v>77</v>
      </c>
      <c r="D400" s="112" t="s">
        <v>77</v>
      </c>
      <c r="E400" s="112" t="s">
        <v>76</v>
      </c>
      <c r="F400" s="112" t="s">
        <v>77</v>
      </c>
      <c r="G400" s="112" t="s">
        <v>77</v>
      </c>
      <c r="H400" s="112" t="s">
        <v>77</v>
      </c>
      <c r="I400" s="112" t="s">
        <v>77</v>
      </c>
      <c r="J400" s="112" t="s">
        <v>77</v>
      </c>
      <c r="K400" s="112" t="s">
        <v>77</v>
      </c>
      <c r="L400" s="112" t="s">
        <v>85</v>
      </c>
      <c r="M400" s="112" t="s">
        <v>363</v>
      </c>
      <c r="N400" s="114" t="s">
        <v>410</v>
      </c>
      <c r="O400" s="118" t="s">
        <v>132</v>
      </c>
      <c r="P400" s="114" t="s">
        <v>81</v>
      </c>
      <c r="Q400" s="114" t="s">
        <v>112</v>
      </c>
      <c r="R400" s="115" t="str">
        <f t="shared" si="48"/>
        <v>51</v>
      </c>
      <c r="S400" s="112">
        <v>510510</v>
      </c>
      <c r="T400" s="122" t="str">
        <f>VLOOKUP(S400,ITEM!$C$1:$D$156,2,FALSE)</f>
        <v>Servicios Personales por Contrato</v>
      </c>
      <c r="U400" s="114">
        <v>1100</v>
      </c>
      <c r="V400" s="114" t="s">
        <v>82</v>
      </c>
      <c r="W400" s="114" t="s">
        <v>84</v>
      </c>
      <c r="X400" s="114" t="s">
        <v>84</v>
      </c>
      <c r="Y400" s="224" t="e">
        <f>'Matriz POA 2024-TRABAJO'!#REF!</f>
        <v>#REF!</v>
      </c>
      <c r="Z400" s="224" t="e">
        <f>'Matriz POA 2024-TRABAJO'!#REF!</f>
        <v>#REF!</v>
      </c>
      <c r="AA400" s="224" t="e">
        <f>'Matriz POA 2024-TRABAJO'!#REF!</f>
        <v>#REF!</v>
      </c>
      <c r="AB400" s="279">
        <v>10657.49</v>
      </c>
      <c r="AC400" s="279">
        <v>10657.49</v>
      </c>
      <c r="AD400" s="279">
        <v>10657.49</v>
      </c>
      <c r="AE400" s="279">
        <v>10657.49</v>
      </c>
      <c r="AF400" s="279">
        <v>10657.49</v>
      </c>
      <c r="AG400" s="279">
        <v>10657.49</v>
      </c>
      <c r="AH400" s="279">
        <v>10657.49</v>
      </c>
      <c r="AI400" s="279">
        <v>8569.57</v>
      </c>
      <c r="AJ400" s="279">
        <v>0</v>
      </c>
      <c r="AK400" s="279">
        <v>0</v>
      </c>
      <c r="AL400" s="279">
        <v>0</v>
      </c>
      <c r="AM400" s="279">
        <v>0</v>
      </c>
      <c r="AN400" s="224" t="e">
        <f>SUM(#REF!)</f>
        <v>#REF!</v>
      </c>
      <c r="AO400" s="224">
        <f t="shared" si="49"/>
        <v>83172</v>
      </c>
      <c r="AP400" s="224" t="e">
        <f t="shared" si="55"/>
        <v>#REF!</v>
      </c>
      <c r="AQ400" s="224"/>
      <c r="AR400" s="224"/>
      <c r="AS400" s="224"/>
      <c r="AT400" s="224" t="str">
        <f>IFERROR(VLOOKUP($A400,'Constancias POA'!$A$2:$DH$9993,17,FALSE),"")</f>
        <v/>
      </c>
      <c r="AU400" s="224" t="str">
        <f t="shared" si="50"/>
        <v/>
      </c>
      <c r="AV400" s="224" t="str">
        <f>IFERROR(VLOOKUP($A400,CP!$A$1:$U$7992,18,FALSE),"")</f>
        <v/>
      </c>
      <c r="AW400" s="224" t="str">
        <f>IFERROR(VLOOKUP($A400,CP!$A$1:$U$7992,19,FALSE),"")</f>
        <v/>
      </c>
      <c r="AX400" s="224" t="str">
        <f>IFERROR(VLOOKUP($A400,CP!$A$1:$U$7992,20,FALSE),"")</f>
        <v/>
      </c>
      <c r="AY400" s="224" t="str">
        <f>IFERROR(VLOOKUP($A400,CP!$A$1:$U$1,21,FALSE),"")</f>
        <v/>
      </c>
      <c r="AZ400" s="224" t="str">
        <f>IFERROR(VLOOKUP(A400,Devengado!$A$1:AJ1,35,FALSE),"")</f>
        <v/>
      </c>
      <c r="BA400" s="224" t="str">
        <f t="shared" si="51"/>
        <v/>
      </c>
      <c r="BB400" s="224" t="str">
        <f>IFERROR(AZ400/#REF!,"")</f>
        <v/>
      </c>
      <c r="BC400" s="224" t="str">
        <f>IFERROR(VLOOKUP($A400,Devengado!$A$1:$AI$1,22,FALSE),"")</f>
        <v/>
      </c>
      <c r="BD400" s="224" t="str">
        <f>IFERROR(VLOOKUP($A400,Devengado!$A$1:$AI$1,23,FALSE),"")</f>
        <v/>
      </c>
      <c r="BE400" s="224" t="str">
        <f>IFERROR(VLOOKUP($A400,Devengado!$A$1:$AI$1,24,FALSE),"")</f>
        <v/>
      </c>
      <c r="BF400" s="224" t="str">
        <f>IFERROR(VLOOKUP($A400,Devengado!$A$1:$AI$1,25,FALSE),"")</f>
        <v/>
      </c>
      <c r="BG400" s="224" t="str">
        <f>IFERROR(VLOOKUP($A400,Devengado!$A$1:$AI$1,26,FALSE),"")</f>
        <v/>
      </c>
      <c r="BH400" s="224" t="str">
        <f>IFERROR(VLOOKUP($A400,Devengado!$A$1:$AI$1,27,FALSE),"")</f>
        <v/>
      </c>
      <c r="BI400" s="224" t="str">
        <f>IFERROR(VLOOKUP($A400,Devengado!$A$1:$AI$1,28,FALSE),"")</f>
        <v/>
      </c>
      <c r="BJ400" s="224" t="str">
        <f>IFERROR(VLOOKUP($A400,Devengado!$A$1:$AI$1,29,FALSE),"")</f>
        <v/>
      </c>
      <c r="BK400" s="224" t="str">
        <f>IFERROR(VLOOKUP($A400,Devengado!$A$1:$AI$1,30,FALSE),"")</f>
        <v/>
      </c>
      <c r="BL400" s="224" t="str">
        <f>IFERROR(VLOOKUP($A400,Devengado!$A$1:$AI$1,31,FALSE),"")</f>
        <v/>
      </c>
      <c r="BM400" s="224" t="str">
        <f>IFERROR(VLOOKUP($A400,Devengado!$A$1:$AI$1,32,FALSE),"")</f>
        <v/>
      </c>
      <c r="BN400" s="224" t="str">
        <f>IFERROR(VLOOKUP($A400,Devengado!$A$1:$AI$1,33,FALSE),"")</f>
        <v/>
      </c>
      <c r="BO400" s="224">
        <f t="shared" si="52"/>
        <v>0</v>
      </c>
      <c r="BP400" s="224" t="str">
        <f t="shared" si="53"/>
        <v/>
      </c>
      <c r="BQ400" s="207"/>
      <c r="BR400" s="207" t="str">
        <f t="shared" si="54"/>
        <v>51</v>
      </c>
    </row>
    <row r="401" spans="1:70" s="225" customFormat="1" ht="25.5" customHeight="1">
      <c r="A401" s="207">
        <v>397</v>
      </c>
      <c r="B401" s="117" t="s">
        <v>408</v>
      </c>
      <c r="C401" s="112" t="s">
        <v>77</v>
      </c>
      <c r="D401" s="112" t="s">
        <v>77</v>
      </c>
      <c r="E401" s="112" t="s">
        <v>76</v>
      </c>
      <c r="F401" s="112" t="s">
        <v>77</v>
      </c>
      <c r="G401" s="112" t="s">
        <v>77</v>
      </c>
      <c r="H401" s="112" t="s">
        <v>77</v>
      </c>
      <c r="I401" s="112" t="s">
        <v>77</v>
      </c>
      <c r="J401" s="112" t="s">
        <v>77</v>
      </c>
      <c r="K401" s="112" t="s">
        <v>77</v>
      </c>
      <c r="L401" s="112" t="s">
        <v>85</v>
      </c>
      <c r="M401" s="112" t="s">
        <v>416</v>
      </c>
      <c r="N401" s="114" t="s">
        <v>410</v>
      </c>
      <c r="O401" s="118" t="s">
        <v>132</v>
      </c>
      <c r="P401" s="114" t="s">
        <v>81</v>
      </c>
      <c r="Q401" s="114" t="s">
        <v>112</v>
      </c>
      <c r="R401" s="115" t="str">
        <f t="shared" si="48"/>
        <v>51</v>
      </c>
      <c r="S401" s="112">
        <v>510513</v>
      </c>
      <c r="T401" s="122" t="str">
        <f>VLOOKUP(S401,ITEM!$C$1:$D$156,2,FALSE)</f>
        <v>Encargos</v>
      </c>
      <c r="U401" s="114">
        <v>1100</v>
      </c>
      <c r="V401" s="114" t="s">
        <v>82</v>
      </c>
      <c r="W401" s="114" t="s">
        <v>84</v>
      </c>
      <c r="X401" s="114" t="s">
        <v>84</v>
      </c>
      <c r="Y401" s="224" t="e">
        <f>'Matriz POA 2024-TRABAJO'!#REF!</f>
        <v>#REF!</v>
      </c>
      <c r="Z401" s="224" t="e">
        <f>'Matriz POA 2024-TRABAJO'!#REF!</f>
        <v>#REF!</v>
      </c>
      <c r="AA401" s="224" t="e">
        <f>'Matriz POA 2024-TRABAJO'!#REF!</f>
        <v>#REF!</v>
      </c>
      <c r="AB401" s="279">
        <v>1222.6300000000001</v>
      </c>
      <c r="AC401" s="279">
        <v>1222.6300000000001</v>
      </c>
      <c r="AD401" s="279">
        <v>1222.6300000000001</v>
      </c>
      <c r="AE401" s="279">
        <v>1222.6300000000001</v>
      </c>
      <c r="AF401" s="279">
        <v>1222.6300000000001</v>
      </c>
      <c r="AG401" s="279">
        <v>1222.6300000000001</v>
      </c>
      <c r="AH401" s="279">
        <v>1222.6199999999999</v>
      </c>
      <c r="AI401" s="279">
        <v>1222.6199999999999</v>
      </c>
      <c r="AJ401" s="279">
        <v>1222.6199999999999</v>
      </c>
      <c r="AK401" s="279">
        <v>1222.6199999999999</v>
      </c>
      <c r="AL401" s="279">
        <v>1222.6199999999999</v>
      </c>
      <c r="AM401" s="279">
        <v>1222.6199999999999</v>
      </c>
      <c r="AN401" s="224" t="e">
        <f>SUM(#REF!)</f>
        <v>#REF!</v>
      </c>
      <c r="AO401" s="224">
        <f t="shared" si="49"/>
        <v>14671.499999999996</v>
      </c>
      <c r="AP401" s="224" t="e">
        <f t="shared" si="55"/>
        <v>#REF!</v>
      </c>
      <c r="AQ401" s="224"/>
      <c r="AR401" s="224"/>
      <c r="AS401" s="224"/>
      <c r="AT401" s="224" t="str">
        <f>IFERROR(VLOOKUP($A401,'Constancias POA'!$A$2:$DH$9993,17,FALSE),"")</f>
        <v/>
      </c>
      <c r="AU401" s="224" t="str">
        <f t="shared" si="50"/>
        <v/>
      </c>
      <c r="AV401" s="224" t="str">
        <f>IFERROR(VLOOKUP($A401,CP!$A$1:$U$7992,18,FALSE),"")</f>
        <v/>
      </c>
      <c r="AW401" s="224" t="str">
        <f>IFERROR(VLOOKUP($A401,CP!$A$1:$U$7992,19,FALSE),"")</f>
        <v/>
      </c>
      <c r="AX401" s="224" t="str">
        <f>IFERROR(VLOOKUP($A401,CP!$A$1:$U$7992,20,FALSE),"")</f>
        <v/>
      </c>
      <c r="AY401" s="224" t="str">
        <f>IFERROR(VLOOKUP($A401,CP!$A$1:$U$1,21,FALSE),"")</f>
        <v/>
      </c>
      <c r="AZ401" s="224" t="str">
        <f>IFERROR(VLOOKUP(A401,Devengado!$A$1:AJ1,35,FALSE),"")</f>
        <v/>
      </c>
      <c r="BA401" s="224" t="str">
        <f t="shared" si="51"/>
        <v/>
      </c>
      <c r="BB401" s="224" t="str">
        <f>IFERROR(AZ401/#REF!,"")</f>
        <v/>
      </c>
      <c r="BC401" s="224" t="str">
        <f>IFERROR(VLOOKUP($A401,Devengado!$A$1:$AI$1,22,FALSE),"")</f>
        <v/>
      </c>
      <c r="BD401" s="224" t="str">
        <f>IFERROR(VLOOKUP($A401,Devengado!$A$1:$AI$1,23,FALSE),"")</f>
        <v/>
      </c>
      <c r="BE401" s="224" t="str">
        <f>IFERROR(VLOOKUP($A401,Devengado!$A$1:$AI$1,24,FALSE),"")</f>
        <v/>
      </c>
      <c r="BF401" s="224" t="str">
        <f>IFERROR(VLOOKUP($A401,Devengado!$A$1:$AI$1,25,FALSE),"")</f>
        <v/>
      </c>
      <c r="BG401" s="224" t="str">
        <f>IFERROR(VLOOKUP($A401,Devengado!$A$1:$AI$1,26,FALSE),"")</f>
        <v/>
      </c>
      <c r="BH401" s="224" t="str">
        <f>IFERROR(VLOOKUP($A401,Devengado!$A$1:$AI$1,27,FALSE),"")</f>
        <v/>
      </c>
      <c r="BI401" s="224" t="str">
        <f>IFERROR(VLOOKUP($A401,Devengado!$A$1:$AI$1,28,FALSE),"")</f>
        <v/>
      </c>
      <c r="BJ401" s="224" t="str">
        <f>IFERROR(VLOOKUP($A401,Devengado!$A$1:$AI$1,29,FALSE),"")</f>
        <v/>
      </c>
      <c r="BK401" s="224" t="str">
        <f>IFERROR(VLOOKUP($A401,Devengado!$A$1:$AI$1,30,FALSE),"")</f>
        <v/>
      </c>
      <c r="BL401" s="224" t="str">
        <f>IFERROR(VLOOKUP($A401,Devengado!$A$1:$AI$1,31,FALSE),"")</f>
        <v/>
      </c>
      <c r="BM401" s="224" t="str">
        <f>IFERROR(VLOOKUP($A401,Devengado!$A$1:$AI$1,32,FALSE),"")</f>
        <v/>
      </c>
      <c r="BN401" s="224" t="str">
        <f>IFERROR(VLOOKUP($A401,Devengado!$A$1:$AI$1,33,FALSE),"")</f>
        <v/>
      </c>
      <c r="BO401" s="224">
        <f t="shared" si="52"/>
        <v>0</v>
      </c>
      <c r="BP401" s="224" t="str">
        <f t="shared" si="53"/>
        <v/>
      </c>
      <c r="BQ401" s="207"/>
      <c r="BR401" s="207" t="str">
        <f t="shared" si="54"/>
        <v>51</v>
      </c>
    </row>
    <row r="402" spans="1:70" s="225" customFormat="1" ht="25.5" customHeight="1">
      <c r="A402" s="207">
        <v>398</v>
      </c>
      <c r="B402" s="117" t="s">
        <v>408</v>
      </c>
      <c r="C402" s="112" t="s">
        <v>77</v>
      </c>
      <c r="D402" s="112" t="s">
        <v>77</v>
      </c>
      <c r="E402" s="112" t="s">
        <v>76</v>
      </c>
      <c r="F402" s="112" t="s">
        <v>77</v>
      </c>
      <c r="G402" s="112" t="s">
        <v>77</v>
      </c>
      <c r="H402" s="112" t="s">
        <v>77</v>
      </c>
      <c r="I402" s="112" t="s">
        <v>77</v>
      </c>
      <c r="J402" s="112" t="s">
        <v>77</v>
      </c>
      <c r="K402" s="112" t="s">
        <v>77</v>
      </c>
      <c r="L402" s="112" t="s">
        <v>85</v>
      </c>
      <c r="M402" s="112" t="s">
        <v>364</v>
      </c>
      <c r="N402" s="114" t="s">
        <v>410</v>
      </c>
      <c r="O402" s="118" t="s">
        <v>132</v>
      </c>
      <c r="P402" s="114" t="s">
        <v>81</v>
      </c>
      <c r="Q402" s="114" t="s">
        <v>112</v>
      </c>
      <c r="R402" s="115" t="str">
        <f t="shared" si="48"/>
        <v>51</v>
      </c>
      <c r="S402" s="124">
        <v>510601</v>
      </c>
      <c r="T402" s="122" t="str">
        <f>VLOOKUP(S402,ITEM!$C$1:$D$156,2,FALSE)</f>
        <v>Aporte Patronal</v>
      </c>
      <c r="U402" s="114">
        <v>1100</v>
      </c>
      <c r="V402" s="114" t="s">
        <v>82</v>
      </c>
      <c r="W402" s="114" t="s">
        <v>84</v>
      </c>
      <c r="X402" s="114" t="s">
        <v>84</v>
      </c>
      <c r="Y402" s="224" t="e">
        <f>'Matriz POA 2024-TRABAJO'!#REF!</f>
        <v>#REF!</v>
      </c>
      <c r="Z402" s="224" t="e">
        <f>'Matriz POA 2024-TRABAJO'!#REF!</f>
        <v>#REF!</v>
      </c>
      <c r="AA402" s="224" t="e">
        <f>'Matriz POA 2024-TRABAJO'!#REF!</f>
        <v>#REF!</v>
      </c>
      <c r="AB402" s="279">
        <v>2242.3000000000002</v>
      </c>
      <c r="AC402" s="279">
        <v>2242.3000000000002</v>
      </c>
      <c r="AD402" s="279">
        <v>2242.3000000000002</v>
      </c>
      <c r="AE402" s="279">
        <v>2242.3000000000002</v>
      </c>
      <c r="AF402" s="279">
        <v>1291.32</v>
      </c>
      <c r="AG402" s="279">
        <v>0</v>
      </c>
      <c r="AH402" s="279">
        <v>0</v>
      </c>
      <c r="AI402" s="279">
        <v>0</v>
      </c>
      <c r="AJ402" s="279">
        <v>0</v>
      </c>
      <c r="AK402" s="279">
        <v>0</v>
      </c>
      <c r="AL402" s="279">
        <v>0</v>
      </c>
      <c r="AM402" s="279">
        <v>0</v>
      </c>
      <c r="AN402" s="224" t="e">
        <f>SUM(#REF!)</f>
        <v>#REF!</v>
      </c>
      <c r="AO402" s="224">
        <f t="shared" si="49"/>
        <v>10260.52</v>
      </c>
      <c r="AP402" s="224" t="e">
        <f t="shared" si="55"/>
        <v>#REF!</v>
      </c>
      <c r="AQ402" s="224"/>
      <c r="AR402" s="224"/>
      <c r="AS402" s="224"/>
      <c r="AT402" s="224" t="str">
        <f>IFERROR(VLOOKUP($A402,'Constancias POA'!$A$2:$DH$9993,17,FALSE),"")</f>
        <v/>
      </c>
      <c r="AU402" s="224" t="str">
        <f t="shared" si="50"/>
        <v/>
      </c>
      <c r="AV402" s="224" t="str">
        <f>IFERROR(VLOOKUP($A402,CP!$A$1:$U$7992,18,FALSE),"")</f>
        <v/>
      </c>
      <c r="AW402" s="224" t="str">
        <f>IFERROR(VLOOKUP($A402,CP!$A$1:$U$7992,19,FALSE),"")</f>
        <v/>
      </c>
      <c r="AX402" s="224" t="str">
        <f>IFERROR(VLOOKUP($A402,CP!$A$1:$U$7992,20,FALSE),"")</f>
        <v/>
      </c>
      <c r="AY402" s="224" t="str">
        <f>IFERROR(VLOOKUP($A402,CP!$A$1:$U$1,21,FALSE),"")</f>
        <v/>
      </c>
      <c r="AZ402" s="224" t="str">
        <f>IFERROR(VLOOKUP(A402,Devengado!$A$1:AJ1,35,FALSE),"")</f>
        <v/>
      </c>
      <c r="BA402" s="224" t="str">
        <f t="shared" si="51"/>
        <v/>
      </c>
      <c r="BB402" s="224" t="str">
        <f>IFERROR(AZ402/#REF!,"")</f>
        <v/>
      </c>
      <c r="BC402" s="224" t="str">
        <f>IFERROR(VLOOKUP($A402,Devengado!$A$1:$AI$1,22,FALSE),"")</f>
        <v/>
      </c>
      <c r="BD402" s="224" t="str">
        <f>IFERROR(VLOOKUP($A402,Devengado!$A$1:$AI$1,23,FALSE),"")</f>
        <v/>
      </c>
      <c r="BE402" s="224" t="str">
        <f>IFERROR(VLOOKUP($A402,Devengado!$A$1:$AI$1,24,FALSE),"")</f>
        <v/>
      </c>
      <c r="BF402" s="224" t="str">
        <f>IFERROR(VLOOKUP($A402,Devengado!$A$1:$AI$1,25,FALSE),"")</f>
        <v/>
      </c>
      <c r="BG402" s="224" t="str">
        <f>IFERROR(VLOOKUP($A402,Devengado!$A$1:$AI$1,26,FALSE),"")</f>
        <v/>
      </c>
      <c r="BH402" s="224" t="str">
        <f>IFERROR(VLOOKUP($A402,Devengado!$A$1:$AI$1,27,FALSE),"")</f>
        <v/>
      </c>
      <c r="BI402" s="224" t="str">
        <f>IFERROR(VLOOKUP($A402,Devengado!$A$1:$AI$1,28,FALSE),"")</f>
        <v/>
      </c>
      <c r="BJ402" s="224" t="str">
        <f>IFERROR(VLOOKUP($A402,Devengado!$A$1:$AI$1,29,FALSE),"")</f>
        <v/>
      </c>
      <c r="BK402" s="224" t="str">
        <f>IFERROR(VLOOKUP($A402,Devengado!$A$1:$AI$1,30,FALSE),"")</f>
        <v/>
      </c>
      <c r="BL402" s="224" t="str">
        <f>IFERROR(VLOOKUP($A402,Devengado!$A$1:$AI$1,31,FALSE),"")</f>
        <v/>
      </c>
      <c r="BM402" s="224" t="str">
        <f>IFERROR(VLOOKUP($A402,Devengado!$A$1:$AI$1,32,FALSE),"")</f>
        <v/>
      </c>
      <c r="BN402" s="224" t="str">
        <f>IFERROR(VLOOKUP($A402,Devengado!$A$1:$AI$1,33,FALSE),"")</f>
        <v/>
      </c>
      <c r="BO402" s="224">
        <f t="shared" si="52"/>
        <v>0</v>
      </c>
      <c r="BP402" s="224" t="str">
        <f t="shared" si="53"/>
        <v/>
      </c>
      <c r="BQ402" s="207"/>
      <c r="BR402" s="207" t="str">
        <f t="shared" si="54"/>
        <v>51</v>
      </c>
    </row>
    <row r="403" spans="1:70" s="225" customFormat="1" ht="25.5" customHeight="1">
      <c r="A403" s="207">
        <v>399</v>
      </c>
      <c r="B403" s="117" t="s">
        <v>408</v>
      </c>
      <c r="C403" s="112" t="s">
        <v>77</v>
      </c>
      <c r="D403" s="112" t="s">
        <v>77</v>
      </c>
      <c r="E403" s="112" t="s">
        <v>76</v>
      </c>
      <c r="F403" s="112" t="s">
        <v>77</v>
      </c>
      <c r="G403" s="112" t="s">
        <v>77</v>
      </c>
      <c r="H403" s="112" t="s">
        <v>77</v>
      </c>
      <c r="I403" s="112" t="s">
        <v>77</v>
      </c>
      <c r="J403" s="112" t="s">
        <v>77</v>
      </c>
      <c r="K403" s="112" t="s">
        <v>77</v>
      </c>
      <c r="L403" s="112" t="s">
        <v>85</v>
      </c>
      <c r="M403" s="112" t="s">
        <v>365</v>
      </c>
      <c r="N403" s="114" t="s">
        <v>410</v>
      </c>
      <c r="O403" s="118" t="s">
        <v>132</v>
      </c>
      <c r="P403" s="114" t="s">
        <v>81</v>
      </c>
      <c r="Q403" s="114" t="s">
        <v>112</v>
      </c>
      <c r="R403" s="115" t="str">
        <f t="shared" si="48"/>
        <v>51</v>
      </c>
      <c r="S403" s="124">
        <v>510602</v>
      </c>
      <c r="T403" s="122" t="str">
        <f>VLOOKUP(S403,ITEM!$C$1:$D$156,2,FALSE)</f>
        <v>Fondo de Reserva</v>
      </c>
      <c r="U403" s="114">
        <v>1100</v>
      </c>
      <c r="V403" s="114" t="s">
        <v>82</v>
      </c>
      <c r="W403" s="114" t="s">
        <v>84</v>
      </c>
      <c r="X403" s="114" t="s">
        <v>84</v>
      </c>
      <c r="Y403" s="224" t="e">
        <f>'Matriz POA 2024-TRABAJO'!#REF!</f>
        <v>#REF!</v>
      </c>
      <c r="Z403" s="224" t="e">
        <f>'Matriz POA 2024-TRABAJO'!#REF!</f>
        <v>#REF!</v>
      </c>
      <c r="AA403" s="224" t="e">
        <f>'Matriz POA 2024-TRABAJO'!#REF!</f>
        <v>#REF!</v>
      </c>
      <c r="AB403" s="279">
        <v>1546.68</v>
      </c>
      <c r="AC403" s="279">
        <v>1546.68</v>
      </c>
      <c r="AD403" s="279">
        <v>1546.68</v>
      </c>
      <c r="AE403" s="279">
        <v>1546.68</v>
      </c>
      <c r="AF403" s="279">
        <v>1546.68</v>
      </c>
      <c r="AG403" s="279">
        <v>977.82</v>
      </c>
      <c r="AH403" s="279">
        <v>0</v>
      </c>
      <c r="AI403" s="279">
        <v>0</v>
      </c>
      <c r="AJ403" s="279">
        <v>0</v>
      </c>
      <c r="AK403" s="279">
        <v>0</v>
      </c>
      <c r="AL403" s="279">
        <v>0</v>
      </c>
      <c r="AM403" s="279">
        <v>0</v>
      </c>
      <c r="AN403" s="224" t="e">
        <f>SUM(#REF!)</f>
        <v>#REF!</v>
      </c>
      <c r="AO403" s="224">
        <f t="shared" si="49"/>
        <v>8711.2200000000012</v>
      </c>
      <c r="AP403" s="224" t="e">
        <f t="shared" si="55"/>
        <v>#REF!</v>
      </c>
      <c r="AQ403" s="224"/>
      <c r="AR403" s="224"/>
      <c r="AS403" s="224"/>
      <c r="AT403" s="224" t="str">
        <f>IFERROR(VLOOKUP($A403,'Constancias POA'!$A$2:$DH$9993,17,FALSE),"")</f>
        <v/>
      </c>
      <c r="AU403" s="224" t="str">
        <f t="shared" si="50"/>
        <v/>
      </c>
      <c r="AV403" s="224" t="str">
        <f>IFERROR(VLOOKUP($A403,CP!$A$1:$U$7992,18,FALSE),"")</f>
        <v/>
      </c>
      <c r="AW403" s="224" t="str">
        <f>IFERROR(VLOOKUP($A403,CP!$A$1:$U$7992,19,FALSE),"")</f>
        <v/>
      </c>
      <c r="AX403" s="224" t="str">
        <f>IFERROR(VLOOKUP($A403,CP!$A$1:$U$7992,20,FALSE),"")</f>
        <v/>
      </c>
      <c r="AY403" s="224" t="str">
        <f>IFERROR(VLOOKUP($A403,CP!$A$1:$U$1,21,FALSE),"")</f>
        <v/>
      </c>
      <c r="AZ403" s="224" t="str">
        <f>IFERROR(VLOOKUP(A403,Devengado!$A$1:AJ1,35,FALSE),"")</f>
        <v/>
      </c>
      <c r="BA403" s="224" t="str">
        <f t="shared" si="51"/>
        <v/>
      </c>
      <c r="BB403" s="224" t="str">
        <f>IFERROR(AZ403/#REF!,"")</f>
        <v/>
      </c>
      <c r="BC403" s="224" t="str">
        <f>IFERROR(VLOOKUP($A403,Devengado!$A$1:$AI$1,22,FALSE),"")</f>
        <v/>
      </c>
      <c r="BD403" s="224" t="str">
        <f>IFERROR(VLOOKUP($A403,Devengado!$A$1:$AI$1,23,FALSE),"")</f>
        <v/>
      </c>
      <c r="BE403" s="224" t="str">
        <f>IFERROR(VLOOKUP($A403,Devengado!$A$1:$AI$1,24,FALSE),"")</f>
        <v/>
      </c>
      <c r="BF403" s="224" t="str">
        <f>IFERROR(VLOOKUP($A403,Devengado!$A$1:$AI$1,25,FALSE),"")</f>
        <v/>
      </c>
      <c r="BG403" s="224" t="str">
        <f>IFERROR(VLOOKUP($A403,Devengado!$A$1:$AI$1,26,FALSE),"")</f>
        <v/>
      </c>
      <c r="BH403" s="224" t="str">
        <f>IFERROR(VLOOKUP($A403,Devengado!$A$1:$AI$1,27,FALSE),"")</f>
        <v/>
      </c>
      <c r="BI403" s="224" t="str">
        <f>IFERROR(VLOOKUP($A403,Devengado!$A$1:$AI$1,28,FALSE),"")</f>
        <v/>
      </c>
      <c r="BJ403" s="224" t="str">
        <f>IFERROR(VLOOKUP($A403,Devengado!$A$1:$AI$1,29,FALSE),"")</f>
        <v/>
      </c>
      <c r="BK403" s="224" t="str">
        <f>IFERROR(VLOOKUP($A403,Devengado!$A$1:$AI$1,30,FALSE),"")</f>
        <v/>
      </c>
      <c r="BL403" s="224" t="str">
        <f>IFERROR(VLOOKUP($A403,Devengado!$A$1:$AI$1,31,FALSE),"")</f>
        <v/>
      </c>
      <c r="BM403" s="224" t="str">
        <f>IFERROR(VLOOKUP($A403,Devengado!$A$1:$AI$1,32,FALSE),"")</f>
        <v/>
      </c>
      <c r="BN403" s="224" t="str">
        <f>IFERROR(VLOOKUP($A403,Devengado!$A$1:$AI$1,33,FALSE),"")</f>
        <v/>
      </c>
      <c r="BO403" s="224">
        <f t="shared" si="52"/>
        <v>0</v>
      </c>
      <c r="BP403" s="224" t="str">
        <f t="shared" si="53"/>
        <v/>
      </c>
      <c r="BQ403" s="207"/>
      <c r="BR403" s="207" t="str">
        <f t="shared" si="54"/>
        <v>51</v>
      </c>
    </row>
    <row r="404" spans="1:70" s="225" customFormat="1" ht="25.5" customHeight="1">
      <c r="A404" s="207">
        <v>400</v>
      </c>
      <c r="B404" s="117" t="s">
        <v>408</v>
      </c>
      <c r="C404" s="112" t="s">
        <v>77</v>
      </c>
      <c r="D404" s="112" t="s">
        <v>77</v>
      </c>
      <c r="E404" s="112" t="s">
        <v>76</v>
      </c>
      <c r="F404" s="112" t="s">
        <v>77</v>
      </c>
      <c r="G404" s="112" t="s">
        <v>77</v>
      </c>
      <c r="H404" s="112" t="s">
        <v>77</v>
      </c>
      <c r="I404" s="112" t="s">
        <v>77</v>
      </c>
      <c r="J404" s="112" t="s">
        <v>77</v>
      </c>
      <c r="K404" s="112" t="s">
        <v>77</v>
      </c>
      <c r="L404" s="112" t="s">
        <v>85</v>
      </c>
      <c r="M404" s="112" t="s">
        <v>417</v>
      </c>
      <c r="N404" s="114" t="s">
        <v>410</v>
      </c>
      <c r="O404" s="118" t="s">
        <v>132</v>
      </c>
      <c r="P404" s="114" t="s">
        <v>81</v>
      </c>
      <c r="Q404" s="114" t="s">
        <v>112</v>
      </c>
      <c r="R404" s="115" t="str">
        <f t="shared" si="48"/>
        <v>53</v>
      </c>
      <c r="S404" s="112">
        <v>530101</v>
      </c>
      <c r="T404" s="122" t="str">
        <f>VLOOKUP(S404,ITEM!$C$1:$D$156,2,FALSE)</f>
        <v>Agua Potable</v>
      </c>
      <c r="U404" s="112">
        <v>1101</v>
      </c>
      <c r="V404" s="114" t="s">
        <v>82</v>
      </c>
      <c r="W404" s="114" t="s">
        <v>84</v>
      </c>
      <c r="X404" s="114" t="s">
        <v>84</v>
      </c>
      <c r="Y404" s="224" t="e">
        <f>'Matriz POA 2024-TRABAJO'!#REF!</f>
        <v>#REF!</v>
      </c>
      <c r="Z404" s="224" t="e">
        <f>'Matriz POA 2024-TRABAJO'!#REF!</f>
        <v>#REF!</v>
      </c>
      <c r="AA404" s="224" t="e">
        <f>'Matriz POA 2024-TRABAJO'!#REF!</f>
        <v>#REF!</v>
      </c>
      <c r="AB404" s="279">
        <v>0</v>
      </c>
      <c r="AC404" s="279">
        <v>0</v>
      </c>
      <c r="AD404" s="279">
        <v>270.25</v>
      </c>
      <c r="AE404" s="279">
        <v>0</v>
      </c>
      <c r="AF404" s="279">
        <v>0</v>
      </c>
      <c r="AG404" s="279">
        <v>0</v>
      </c>
      <c r="AH404" s="279">
        <v>0</v>
      </c>
      <c r="AI404" s="279">
        <v>0</v>
      </c>
      <c r="AJ404" s="279">
        <v>0</v>
      </c>
      <c r="AK404" s="279">
        <v>0</v>
      </c>
      <c r="AL404" s="279">
        <v>0</v>
      </c>
      <c r="AM404" s="279">
        <v>0</v>
      </c>
      <c r="AN404" s="224" t="e">
        <f>SUM(#REF!)</f>
        <v>#REF!</v>
      </c>
      <c r="AO404" s="224">
        <f t="shared" si="49"/>
        <v>270.25</v>
      </c>
      <c r="AP404" s="224" t="e">
        <f t="shared" si="55"/>
        <v>#REF!</v>
      </c>
      <c r="AQ404" s="224"/>
      <c r="AR404" s="224"/>
      <c r="AS404" s="224"/>
      <c r="AT404" s="224" t="str">
        <f>IFERROR(VLOOKUP($A404,'Constancias POA'!$A$2:$DH$9993,17,FALSE),"")</f>
        <v/>
      </c>
      <c r="AU404" s="224" t="str">
        <f t="shared" si="50"/>
        <v/>
      </c>
      <c r="AV404" s="224" t="str">
        <f>IFERROR(VLOOKUP($A404,CP!$A$1:$U$7992,18,FALSE),"")</f>
        <v/>
      </c>
      <c r="AW404" s="224" t="str">
        <f>IFERROR(VLOOKUP($A404,CP!$A$1:$U$7992,19,FALSE),"")</f>
        <v/>
      </c>
      <c r="AX404" s="224" t="str">
        <f>IFERROR(VLOOKUP($A404,CP!$A$1:$U$7992,20,FALSE),"")</f>
        <v/>
      </c>
      <c r="AY404" s="224" t="str">
        <f>IFERROR(VLOOKUP($A404,CP!$A$1:$U$1,21,FALSE),"")</f>
        <v/>
      </c>
      <c r="AZ404" s="224" t="str">
        <f>IFERROR(VLOOKUP(A404,Devengado!$A$1:AJ1,35,FALSE),"")</f>
        <v/>
      </c>
      <c r="BA404" s="224" t="str">
        <f t="shared" si="51"/>
        <v/>
      </c>
      <c r="BB404" s="224" t="str">
        <f>IFERROR(AZ404/#REF!,"")</f>
        <v/>
      </c>
      <c r="BC404" s="224" t="str">
        <f>IFERROR(VLOOKUP($A404,Devengado!$A$1:$AI$1,22,FALSE),"")</f>
        <v/>
      </c>
      <c r="BD404" s="224" t="str">
        <f>IFERROR(VLOOKUP($A404,Devengado!$A$1:$AI$1,23,FALSE),"")</f>
        <v/>
      </c>
      <c r="BE404" s="224" t="str">
        <f>IFERROR(VLOOKUP($A404,Devengado!$A$1:$AI$1,24,FALSE),"")</f>
        <v/>
      </c>
      <c r="BF404" s="224" t="str">
        <f>IFERROR(VLOOKUP($A404,Devengado!$A$1:$AI$1,25,FALSE),"")</f>
        <v/>
      </c>
      <c r="BG404" s="224" t="str">
        <f>IFERROR(VLOOKUP($A404,Devengado!$A$1:$AI$1,26,FALSE),"")</f>
        <v/>
      </c>
      <c r="BH404" s="224" t="str">
        <f>IFERROR(VLOOKUP($A404,Devengado!$A$1:$AI$1,27,FALSE),"")</f>
        <v/>
      </c>
      <c r="BI404" s="224" t="str">
        <f>IFERROR(VLOOKUP($A404,Devengado!$A$1:$AI$1,28,FALSE),"")</f>
        <v/>
      </c>
      <c r="BJ404" s="224" t="str">
        <f>IFERROR(VLOOKUP($A404,Devengado!$A$1:$AI$1,29,FALSE),"")</f>
        <v/>
      </c>
      <c r="BK404" s="224" t="str">
        <f>IFERROR(VLOOKUP($A404,Devengado!$A$1:$AI$1,30,FALSE),"")</f>
        <v/>
      </c>
      <c r="BL404" s="224" t="str">
        <f>IFERROR(VLOOKUP($A404,Devengado!$A$1:$AI$1,31,FALSE),"")</f>
        <v/>
      </c>
      <c r="BM404" s="224" t="str">
        <f>IFERROR(VLOOKUP($A404,Devengado!$A$1:$AI$1,32,FALSE),"")</f>
        <v/>
      </c>
      <c r="BN404" s="224" t="str">
        <f>IFERROR(VLOOKUP($A404,Devengado!$A$1:$AI$1,33,FALSE),"")</f>
        <v/>
      </c>
      <c r="BO404" s="224">
        <f t="shared" si="52"/>
        <v>0</v>
      </c>
      <c r="BP404" s="224" t="str">
        <f t="shared" si="53"/>
        <v/>
      </c>
      <c r="BQ404" s="207"/>
      <c r="BR404" s="207" t="str">
        <f t="shared" si="54"/>
        <v>53</v>
      </c>
    </row>
    <row r="405" spans="1:70" s="225" customFormat="1" ht="25.5" customHeight="1">
      <c r="A405" s="207">
        <v>401</v>
      </c>
      <c r="B405" s="117" t="s">
        <v>408</v>
      </c>
      <c r="C405" s="112" t="s">
        <v>77</v>
      </c>
      <c r="D405" s="112" t="s">
        <v>77</v>
      </c>
      <c r="E405" s="112" t="s">
        <v>76</v>
      </c>
      <c r="F405" s="112" t="s">
        <v>77</v>
      </c>
      <c r="G405" s="112" t="s">
        <v>77</v>
      </c>
      <c r="H405" s="112" t="s">
        <v>77</v>
      </c>
      <c r="I405" s="112" t="s">
        <v>77</v>
      </c>
      <c r="J405" s="112" t="s">
        <v>77</v>
      </c>
      <c r="K405" s="112" t="s">
        <v>77</v>
      </c>
      <c r="L405" s="112" t="s">
        <v>85</v>
      </c>
      <c r="M405" s="112" t="s">
        <v>418</v>
      </c>
      <c r="N405" s="114" t="s">
        <v>410</v>
      </c>
      <c r="O405" s="118" t="s">
        <v>132</v>
      </c>
      <c r="P405" s="114" t="s">
        <v>81</v>
      </c>
      <c r="Q405" s="114" t="s">
        <v>112</v>
      </c>
      <c r="R405" s="115" t="str">
        <f t="shared" si="48"/>
        <v>53</v>
      </c>
      <c r="S405" s="112">
        <v>530104</v>
      </c>
      <c r="T405" s="122" t="str">
        <f>VLOOKUP(S405,ITEM!$C$1:$D$156,2,FALSE)</f>
        <v>Energía Eléctrica</v>
      </c>
      <c r="U405" s="112">
        <v>1101</v>
      </c>
      <c r="V405" s="114" t="s">
        <v>82</v>
      </c>
      <c r="W405" s="114" t="s">
        <v>84</v>
      </c>
      <c r="X405" s="114" t="s">
        <v>84</v>
      </c>
      <c r="Y405" s="224" t="e">
        <f>'Matriz POA 2024-TRABAJO'!#REF!</f>
        <v>#REF!</v>
      </c>
      <c r="Z405" s="224" t="e">
        <f>'Matriz POA 2024-TRABAJO'!#REF!</f>
        <v>#REF!</v>
      </c>
      <c r="AA405" s="224" t="e">
        <f>'Matriz POA 2024-TRABAJO'!#REF!</f>
        <v>#REF!</v>
      </c>
      <c r="AB405" s="279">
        <v>0</v>
      </c>
      <c r="AC405" s="279">
        <v>0</v>
      </c>
      <c r="AD405" s="279">
        <v>5000</v>
      </c>
      <c r="AE405" s="279">
        <v>0</v>
      </c>
      <c r="AF405" s="279">
        <v>0</v>
      </c>
      <c r="AG405" s="279">
        <v>0</v>
      </c>
      <c r="AH405" s="279">
        <v>0</v>
      </c>
      <c r="AI405" s="279">
        <v>0</v>
      </c>
      <c r="AJ405" s="279">
        <v>0</v>
      </c>
      <c r="AK405" s="279">
        <v>0</v>
      </c>
      <c r="AL405" s="279">
        <v>0</v>
      </c>
      <c r="AM405" s="279">
        <v>0</v>
      </c>
      <c r="AN405" s="224" t="e">
        <f>SUM(#REF!)</f>
        <v>#REF!</v>
      </c>
      <c r="AO405" s="224">
        <f t="shared" si="49"/>
        <v>5000</v>
      </c>
      <c r="AP405" s="224" t="e">
        <f t="shared" si="55"/>
        <v>#REF!</v>
      </c>
      <c r="AQ405" s="224"/>
      <c r="AR405" s="224"/>
      <c r="AS405" s="224"/>
      <c r="AT405" s="224" t="str">
        <f>IFERROR(VLOOKUP($A405,'Constancias POA'!$A$2:$DH$9993,17,FALSE),"")</f>
        <v/>
      </c>
      <c r="AU405" s="224" t="str">
        <f t="shared" si="50"/>
        <v/>
      </c>
      <c r="AV405" s="224" t="str">
        <f>IFERROR(VLOOKUP($A405,CP!$A$1:$U$7992,18,FALSE),"")</f>
        <v/>
      </c>
      <c r="AW405" s="224" t="str">
        <f>IFERROR(VLOOKUP($A405,CP!$A$1:$U$7992,19,FALSE),"")</f>
        <v/>
      </c>
      <c r="AX405" s="224" t="str">
        <f>IFERROR(VLOOKUP($A405,CP!$A$1:$U$7992,20,FALSE),"")</f>
        <v/>
      </c>
      <c r="AY405" s="224" t="str">
        <f>IFERROR(VLOOKUP($A405,CP!$A$1:$U$1,21,FALSE),"")</f>
        <v/>
      </c>
      <c r="AZ405" s="224" t="str">
        <f>IFERROR(VLOOKUP(A405,Devengado!$A$1:AJ1,35,FALSE),"")</f>
        <v/>
      </c>
      <c r="BA405" s="224" t="str">
        <f t="shared" si="51"/>
        <v/>
      </c>
      <c r="BB405" s="224" t="str">
        <f>IFERROR(AZ405/#REF!,"")</f>
        <v/>
      </c>
      <c r="BC405" s="224" t="str">
        <f>IFERROR(VLOOKUP($A405,Devengado!$A$1:$AI$1,22,FALSE),"")</f>
        <v/>
      </c>
      <c r="BD405" s="224" t="str">
        <f>IFERROR(VLOOKUP($A405,Devengado!$A$1:$AI$1,23,FALSE),"")</f>
        <v/>
      </c>
      <c r="BE405" s="224" t="str">
        <f>IFERROR(VLOOKUP($A405,Devengado!$A$1:$AI$1,24,FALSE),"")</f>
        <v/>
      </c>
      <c r="BF405" s="224" t="str">
        <f>IFERROR(VLOOKUP($A405,Devengado!$A$1:$AI$1,25,FALSE),"")</f>
        <v/>
      </c>
      <c r="BG405" s="224" t="str">
        <f>IFERROR(VLOOKUP($A405,Devengado!$A$1:$AI$1,26,FALSE),"")</f>
        <v/>
      </c>
      <c r="BH405" s="224" t="str">
        <f>IFERROR(VLOOKUP($A405,Devengado!$A$1:$AI$1,27,FALSE),"")</f>
        <v/>
      </c>
      <c r="BI405" s="224" t="str">
        <f>IFERROR(VLOOKUP($A405,Devengado!$A$1:$AI$1,28,FALSE),"")</f>
        <v/>
      </c>
      <c r="BJ405" s="224" t="str">
        <f>IFERROR(VLOOKUP($A405,Devengado!$A$1:$AI$1,29,FALSE),"")</f>
        <v/>
      </c>
      <c r="BK405" s="224" t="str">
        <f>IFERROR(VLOOKUP($A405,Devengado!$A$1:$AI$1,30,FALSE),"")</f>
        <v/>
      </c>
      <c r="BL405" s="224" t="str">
        <f>IFERROR(VLOOKUP($A405,Devengado!$A$1:$AI$1,31,FALSE),"")</f>
        <v/>
      </c>
      <c r="BM405" s="224" t="str">
        <f>IFERROR(VLOOKUP($A405,Devengado!$A$1:$AI$1,32,FALSE),"")</f>
        <v/>
      </c>
      <c r="BN405" s="224" t="str">
        <f>IFERROR(VLOOKUP($A405,Devengado!$A$1:$AI$1,33,FALSE),"")</f>
        <v/>
      </c>
      <c r="BO405" s="224">
        <f t="shared" si="52"/>
        <v>0</v>
      </c>
      <c r="BP405" s="224" t="str">
        <f t="shared" si="53"/>
        <v/>
      </c>
      <c r="BQ405" s="207"/>
      <c r="BR405" s="207" t="str">
        <f t="shared" si="54"/>
        <v>53</v>
      </c>
    </row>
    <row r="406" spans="1:70" s="225" customFormat="1" ht="25.5" customHeight="1">
      <c r="A406" s="207">
        <v>402</v>
      </c>
      <c r="B406" s="117" t="s">
        <v>408</v>
      </c>
      <c r="C406" s="112" t="s">
        <v>77</v>
      </c>
      <c r="D406" s="112" t="s">
        <v>77</v>
      </c>
      <c r="E406" s="112" t="s">
        <v>76</v>
      </c>
      <c r="F406" s="112" t="s">
        <v>77</v>
      </c>
      <c r="G406" s="112" t="s">
        <v>77</v>
      </c>
      <c r="H406" s="112" t="s">
        <v>77</v>
      </c>
      <c r="I406" s="112" t="s">
        <v>77</v>
      </c>
      <c r="J406" s="112" t="s">
        <v>77</v>
      </c>
      <c r="K406" s="112" t="s">
        <v>77</v>
      </c>
      <c r="L406" s="112" t="s">
        <v>85</v>
      </c>
      <c r="M406" s="112" t="s">
        <v>419</v>
      </c>
      <c r="N406" s="114" t="s">
        <v>410</v>
      </c>
      <c r="O406" s="118" t="s">
        <v>132</v>
      </c>
      <c r="P406" s="114" t="s">
        <v>81</v>
      </c>
      <c r="Q406" s="114" t="s">
        <v>112</v>
      </c>
      <c r="R406" s="115" t="str">
        <f t="shared" si="48"/>
        <v>53</v>
      </c>
      <c r="S406" s="112">
        <v>530208</v>
      </c>
      <c r="T406" s="122" t="str">
        <f>VLOOKUP(S406,ITEM!$C$1:$D$156,2,FALSE)</f>
        <v>Servicio de Seguridad y Vigilancia</v>
      </c>
      <c r="U406" s="112">
        <v>1101</v>
      </c>
      <c r="V406" s="114" t="s">
        <v>82</v>
      </c>
      <c r="W406" s="114" t="s">
        <v>84</v>
      </c>
      <c r="X406" s="114" t="s">
        <v>84</v>
      </c>
      <c r="Y406" s="224" t="e">
        <f>'Matriz POA 2024-TRABAJO'!#REF!</f>
        <v>#REF!</v>
      </c>
      <c r="Z406" s="224" t="e">
        <f>'Matriz POA 2024-TRABAJO'!#REF!</f>
        <v>#REF!</v>
      </c>
      <c r="AA406" s="224" t="e">
        <f>'Matriz POA 2024-TRABAJO'!#REF!</f>
        <v>#REF!</v>
      </c>
      <c r="AB406" s="279">
        <v>0</v>
      </c>
      <c r="AC406" s="279">
        <v>0</v>
      </c>
      <c r="AD406" s="279">
        <v>82284.83</v>
      </c>
      <c r="AE406" s="279">
        <v>0</v>
      </c>
      <c r="AF406" s="279">
        <v>0</v>
      </c>
      <c r="AG406" s="279">
        <v>0</v>
      </c>
      <c r="AH406" s="279">
        <v>0</v>
      </c>
      <c r="AI406" s="279">
        <v>0</v>
      </c>
      <c r="AJ406" s="279">
        <v>0</v>
      </c>
      <c r="AK406" s="279">
        <v>0</v>
      </c>
      <c r="AL406" s="279">
        <v>0</v>
      </c>
      <c r="AM406" s="279">
        <v>0</v>
      </c>
      <c r="AN406" s="224" t="e">
        <f>SUM(#REF!)</f>
        <v>#REF!</v>
      </c>
      <c r="AO406" s="224">
        <f t="shared" si="49"/>
        <v>82284.83</v>
      </c>
      <c r="AP406" s="224" t="e">
        <f t="shared" si="55"/>
        <v>#REF!</v>
      </c>
      <c r="AQ406" s="224"/>
      <c r="AR406" s="224"/>
      <c r="AS406" s="224"/>
      <c r="AT406" s="224" t="str">
        <f>IFERROR(VLOOKUP($A406,'Constancias POA'!$A$2:$DH$9993,17,FALSE),"")</f>
        <v/>
      </c>
      <c r="AU406" s="224" t="str">
        <f t="shared" si="50"/>
        <v/>
      </c>
      <c r="AV406" s="224" t="str">
        <f>IFERROR(VLOOKUP($A406,CP!$A$1:$U$7992,18,FALSE),"")</f>
        <v/>
      </c>
      <c r="AW406" s="224" t="str">
        <f>IFERROR(VLOOKUP($A406,CP!$A$1:$U$7992,19,FALSE),"")</f>
        <v/>
      </c>
      <c r="AX406" s="224" t="str">
        <f>IFERROR(VLOOKUP($A406,CP!$A$1:$U$7992,20,FALSE),"")</f>
        <v/>
      </c>
      <c r="AY406" s="224" t="str">
        <f>IFERROR(VLOOKUP($A406,CP!$A$1:$U$1,21,FALSE),"")</f>
        <v/>
      </c>
      <c r="AZ406" s="224" t="str">
        <f>IFERROR(VLOOKUP(A406,Devengado!$A$1:AJ1,35,FALSE),"")</f>
        <v/>
      </c>
      <c r="BA406" s="224" t="str">
        <f t="shared" si="51"/>
        <v/>
      </c>
      <c r="BB406" s="224" t="str">
        <f>IFERROR(AZ406/#REF!,"")</f>
        <v/>
      </c>
      <c r="BC406" s="224" t="str">
        <f>IFERROR(VLOOKUP($A406,Devengado!$A$1:$AI$1,22,FALSE),"")</f>
        <v/>
      </c>
      <c r="BD406" s="224" t="str">
        <f>IFERROR(VLOOKUP($A406,Devengado!$A$1:$AI$1,23,FALSE),"")</f>
        <v/>
      </c>
      <c r="BE406" s="224" t="str">
        <f>IFERROR(VLOOKUP($A406,Devengado!$A$1:$AI$1,24,FALSE),"")</f>
        <v/>
      </c>
      <c r="BF406" s="224" t="str">
        <f>IFERROR(VLOOKUP($A406,Devengado!$A$1:$AI$1,25,FALSE),"")</f>
        <v/>
      </c>
      <c r="BG406" s="224" t="str">
        <f>IFERROR(VLOOKUP($A406,Devengado!$A$1:$AI$1,26,FALSE),"")</f>
        <v/>
      </c>
      <c r="BH406" s="224" t="str">
        <f>IFERROR(VLOOKUP($A406,Devengado!$A$1:$AI$1,27,FALSE),"")</f>
        <v/>
      </c>
      <c r="BI406" s="224" t="str">
        <f>IFERROR(VLOOKUP($A406,Devengado!$A$1:$AI$1,28,FALSE),"")</f>
        <v/>
      </c>
      <c r="BJ406" s="224" t="str">
        <f>IFERROR(VLOOKUP($A406,Devengado!$A$1:$AI$1,29,FALSE),"")</f>
        <v/>
      </c>
      <c r="BK406" s="224" t="str">
        <f>IFERROR(VLOOKUP($A406,Devengado!$A$1:$AI$1,30,FALSE),"")</f>
        <v/>
      </c>
      <c r="BL406" s="224" t="str">
        <f>IFERROR(VLOOKUP($A406,Devengado!$A$1:$AI$1,31,FALSE),"")</f>
        <v/>
      </c>
      <c r="BM406" s="224" t="str">
        <f>IFERROR(VLOOKUP($A406,Devengado!$A$1:$AI$1,32,FALSE),"")</f>
        <v/>
      </c>
      <c r="BN406" s="224" t="str">
        <f>IFERROR(VLOOKUP($A406,Devengado!$A$1:$AI$1,33,FALSE),"")</f>
        <v/>
      </c>
      <c r="BO406" s="224">
        <f t="shared" si="52"/>
        <v>0</v>
      </c>
      <c r="BP406" s="224" t="str">
        <f t="shared" si="53"/>
        <v/>
      </c>
      <c r="BQ406" s="207"/>
      <c r="BR406" s="207" t="str">
        <f t="shared" si="54"/>
        <v>53</v>
      </c>
    </row>
    <row r="407" spans="1:70" s="225" customFormat="1" ht="25.5" customHeight="1">
      <c r="A407" s="207">
        <v>403</v>
      </c>
      <c r="B407" s="117" t="s">
        <v>408</v>
      </c>
      <c r="C407" s="112" t="s">
        <v>77</v>
      </c>
      <c r="D407" s="112" t="s">
        <v>77</v>
      </c>
      <c r="E407" s="112" t="s">
        <v>76</v>
      </c>
      <c r="F407" s="112" t="s">
        <v>77</v>
      </c>
      <c r="G407" s="112" t="s">
        <v>77</v>
      </c>
      <c r="H407" s="112" t="s">
        <v>77</v>
      </c>
      <c r="I407" s="112" t="s">
        <v>77</v>
      </c>
      <c r="J407" s="112" t="s">
        <v>77</v>
      </c>
      <c r="K407" s="112" t="s">
        <v>77</v>
      </c>
      <c r="L407" s="112" t="s">
        <v>85</v>
      </c>
      <c r="M407" s="112" t="s">
        <v>420</v>
      </c>
      <c r="N407" s="114" t="s">
        <v>410</v>
      </c>
      <c r="O407" s="118" t="s">
        <v>132</v>
      </c>
      <c r="P407" s="114" t="s">
        <v>81</v>
      </c>
      <c r="Q407" s="114" t="s">
        <v>112</v>
      </c>
      <c r="R407" s="115" t="str">
        <f t="shared" si="48"/>
        <v>53</v>
      </c>
      <c r="S407" s="112">
        <v>530209</v>
      </c>
      <c r="T407" s="122" t="str">
        <f>VLOOKUP(S407,ITEM!$C$1:$D$156,2,FALSE)</f>
        <v>Servicios de Aseo, Lavado de Vestimenta de Trabajo, Fumigación, Desinfección,  Limpieza de Instalaciones, manejo
de desechos contaminados, recuperación y clasificación de materiales reciclables.</v>
      </c>
      <c r="U407" s="112">
        <v>1101</v>
      </c>
      <c r="V407" s="114" t="s">
        <v>82</v>
      </c>
      <c r="W407" s="114" t="s">
        <v>84</v>
      </c>
      <c r="X407" s="114" t="s">
        <v>84</v>
      </c>
      <c r="Y407" s="224" t="e">
        <f>'Matriz POA 2024-TRABAJO'!#REF!</f>
        <v>#REF!</v>
      </c>
      <c r="Z407" s="224" t="e">
        <f>'Matriz POA 2024-TRABAJO'!#REF!</f>
        <v>#REF!</v>
      </c>
      <c r="AA407" s="224" t="e">
        <f>'Matriz POA 2024-TRABAJO'!#REF!</f>
        <v>#REF!</v>
      </c>
      <c r="AB407" s="279">
        <v>0</v>
      </c>
      <c r="AC407" s="279">
        <v>0</v>
      </c>
      <c r="AD407" s="279">
        <v>0</v>
      </c>
      <c r="AE407" s="279">
        <v>0</v>
      </c>
      <c r="AF407" s="279">
        <v>0</v>
      </c>
      <c r="AG407" s="279">
        <v>0</v>
      </c>
      <c r="AH407" s="279">
        <v>0</v>
      </c>
      <c r="AI407" s="279">
        <v>0</v>
      </c>
      <c r="AJ407" s="279">
        <v>0</v>
      </c>
      <c r="AK407" s="279">
        <v>0</v>
      </c>
      <c r="AL407" s="279">
        <v>0</v>
      </c>
      <c r="AM407" s="279">
        <v>0</v>
      </c>
      <c r="AN407" s="224" t="e">
        <f>SUM(#REF!)</f>
        <v>#REF!</v>
      </c>
      <c r="AO407" s="224">
        <f t="shared" si="49"/>
        <v>0</v>
      </c>
      <c r="AP407" s="224" t="e">
        <f t="shared" si="55"/>
        <v>#REF!</v>
      </c>
      <c r="AQ407" s="224"/>
      <c r="AR407" s="224"/>
      <c r="AS407" s="224"/>
      <c r="AT407" s="224" t="str">
        <f>IFERROR(VLOOKUP($A407,'Constancias POA'!$A$2:$DH$9993,17,FALSE),"")</f>
        <v/>
      </c>
      <c r="AU407" s="224" t="str">
        <f t="shared" si="50"/>
        <v/>
      </c>
      <c r="AV407" s="224" t="str">
        <f>IFERROR(VLOOKUP($A407,CP!$A$1:$U$7992,18,FALSE),"")</f>
        <v/>
      </c>
      <c r="AW407" s="224" t="str">
        <f>IFERROR(VLOOKUP($A407,CP!$A$1:$U$7992,19,FALSE),"")</f>
        <v/>
      </c>
      <c r="AX407" s="224" t="str">
        <f>IFERROR(VLOOKUP($A407,CP!$A$1:$U$7992,20,FALSE),"")</f>
        <v/>
      </c>
      <c r="AY407" s="224" t="str">
        <f>IFERROR(VLOOKUP($A407,CP!$A$1:$U$1,21,FALSE),"")</f>
        <v/>
      </c>
      <c r="AZ407" s="224" t="str">
        <f>IFERROR(VLOOKUP(A407,Devengado!$A$1:AJ1,35,FALSE),"")</f>
        <v/>
      </c>
      <c r="BA407" s="224" t="str">
        <f t="shared" si="51"/>
        <v/>
      </c>
      <c r="BB407" s="224" t="str">
        <f>IFERROR(AZ407/#REF!,"")</f>
        <v/>
      </c>
      <c r="BC407" s="224" t="str">
        <f>IFERROR(VLOOKUP($A407,Devengado!$A$1:$AI$1,22,FALSE),"")</f>
        <v/>
      </c>
      <c r="BD407" s="224" t="str">
        <f>IFERROR(VLOOKUP($A407,Devengado!$A$1:$AI$1,23,FALSE),"")</f>
        <v/>
      </c>
      <c r="BE407" s="224" t="str">
        <f>IFERROR(VLOOKUP($A407,Devengado!$A$1:$AI$1,24,FALSE),"")</f>
        <v/>
      </c>
      <c r="BF407" s="224" t="str">
        <f>IFERROR(VLOOKUP($A407,Devengado!$A$1:$AI$1,25,FALSE),"")</f>
        <v/>
      </c>
      <c r="BG407" s="224" t="str">
        <f>IFERROR(VLOOKUP($A407,Devengado!$A$1:$AI$1,26,FALSE),"")</f>
        <v/>
      </c>
      <c r="BH407" s="224" t="str">
        <f>IFERROR(VLOOKUP($A407,Devengado!$A$1:$AI$1,27,FALSE),"")</f>
        <v/>
      </c>
      <c r="BI407" s="224" t="str">
        <f>IFERROR(VLOOKUP($A407,Devengado!$A$1:$AI$1,28,FALSE),"")</f>
        <v/>
      </c>
      <c r="BJ407" s="224" t="str">
        <f>IFERROR(VLOOKUP($A407,Devengado!$A$1:$AI$1,29,FALSE),"")</f>
        <v/>
      </c>
      <c r="BK407" s="224" t="str">
        <f>IFERROR(VLOOKUP($A407,Devengado!$A$1:$AI$1,30,FALSE),"")</f>
        <v/>
      </c>
      <c r="BL407" s="224" t="str">
        <f>IFERROR(VLOOKUP($A407,Devengado!$A$1:$AI$1,31,FALSE),"")</f>
        <v/>
      </c>
      <c r="BM407" s="224" t="str">
        <f>IFERROR(VLOOKUP($A407,Devengado!$A$1:$AI$1,32,FALSE),"")</f>
        <v/>
      </c>
      <c r="BN407" s="224" t="str">
        <f>IFERROR(VLOOKUP($A407,Devengado!$A$1:$AI$1,33,FALSE),"")</f>
        <v/>
      </c>
      <c r="BO407" s="224">
        <f t="shared" si="52"/>
        <v>0</v>
      </c>
      <c r="BP407" s="224" t="str">
        <f t="shared" si="53"/>
        <v/>
      </c>
      <c r="BQ407" s="207"/>
      <c r="BR407" s="207" t="str">
        <f t="shared" si="54"/>
        <v>53</v>
      </c>
    </row>
    <row r="408" spans="1:70" s="225" customFormat="1" ht="25.5" customHeight="1">
      <c r="A408" s="207">
        <v>404</v>
      </c>
      <c r="B408" s="117" t="s">
        <v>408</v>
      </c>
      <c r="C408" s="112" t="s">
        <v>77</v>
      </c>
      <c r="D408" s="112" t="s">
        <v>77</v>
      </c>
      <c r="E408" s="112" t="s">
        <v>76</v>
      </c>
      <c r="F408" s="112" t="s">
        <v>77</v>
      </c>
      <c r="G408" s="112" t="s">
        <v>77</v>
      </c>
      <c r="H408" s="112" t="s">
        <v>77</v>
      </c>
      <c r="I408" s="112" t="s">
        <v>77</v>
      </c>
      <c r="J408" s="112" t="s">
        <v>77</v>
      </c>
      <c r="K408" s="112" t="s">
        <v>77</v>
      </c>
      <c r="L408" s="112" t="s">
        <v>85</v>
      </c>
      <c r="M408" s="112" t="s">
        <v>421</v>
      </c>
      <c r="N408" s="114" t="s">
        <v>410</v>
      </c>
      <c r="O408" s="118" t="s">
        <v>132</v>
      </c>
      <c r="P408" s="114" t="s">
        <v>81</v>
      </c>
      <c r="Q408" s="114" t="s">
        <v>112</v>
      </c>
      <c r="R408" s="115" t="str">
        <f t="shared" si="48"/>
        <v>53</v>
      </c>
      <c r="S408" s="112">
        <v>530303</v>
      </c>
      <c r="T408" s="122" t="str">
        <f>VLOOKUP(S408,ITEM!$C$1:$D$156,2,FALSE)</f>
        <v>Viáticos y Subsistencias en el Interior</v>
      </c>
      <c r="U408" s="112">
        <v>1101</v>
      </c>
      <c r="V408" s="114" t="s">
        <v>82</v>
      </c>
      <c r="W408" s="114" t="s">
        <v>84</v>
      </c>
      <c r="X408" s="114" t="s">
        <v>84</v>
      </c>
      <c r="Y408" s="224" t="e">
        <f>'Matriz POA 2024-TRABAJO'!#REF!</f>
        <v>#REF!</v>
      </c>
      <c r="Z408" s="224" t="e">
        <f>'Matriz POA 2024-TRABAJO'!#REF!</f>
        <v>#REF!</v>
      </c>
      <c r="AA408" s="224" t="e">
        <f>'Matriz POA 2024-TRABAJO'!#REF!</f>
        <v>#REF!</v>
      </c>
      <c r="AB408" s="279">
        <v>0</v>
      </c>
      <c r="AC408" s="279">
        <v>0</v>
      </c>
      <c r="AD408" s="279">
        <v>0</v>
      </c>
      <c r="AE408" s="279">
        <v>0</v>
      </c>
      <c r="AF408" s="279">
        <v>0</v>
      </c>
      <c r="AG408" s="279">
        <v>0</v>
      </c>
      <c r="AH408" s="279">
        <v>0</v>
      </c>
      <c r="AI408" s="279">
        <v>0</v>
      </c>
      <c r="AJ408" s="279">
        <v>0</v>
      </c>
      <c r="AK408" s="279">
        <v>0</v>
      </c>
      <c r="AL408" s="279">
        <v>0</v>
      </c>
      <c r="AM408" s="279">
        <v>0</v>
      </c>
      <c r="AN408" s="224" t="e">
        <f>SUM(#REF!)</f>
        <v>#REF!</v>
      </c>
      <c r="AO408" s="224">
        <f t="shared" si="49"/>
        <v>0</v>
      </c>
      <c r="AP408" s="224" t="e">
        <f t="shared" si="55"/>
        <v>#REF!</v>
      </c>
      <c r="AQ408" s="224"/>
      <c r="AR408" s="224"/>
      <c r="AS408" s="224"/>
      <c r="AT408" s="224" t="str">
        <f>IFERROR(VLOOKUP($A408,'Constancias POA'!$A$2:$DH$9993,17,FALSE),"")</f>
        <v/>
      </c>
      <c r="AU408" s="224" t="str">
        <f t="shared" si="50"/>
        <v/>
      </c>
      <c r="AV408" s="224" t="str">
        <f>IFERROR(VLOOKUP($A408,CP!$A$1:$U$7992,18,FALSE),"")</f>
        <v/>
      </c>
      <c r="AW408" s="224" t="str">
        <f>IFERROR(VLOOKUP($A408,CP!$A$1:$U$7992,19,FALSE),"")</f>
        <v/>
      </c>
      <c r="AX408" s="224" t="str">
        <f>IFERROR(VLOOKUP($A408,CP!$A$1:$U$7992,20,FALSE),"")</f>
        <v/>
      </c>
      <c r="AY408" s="224" t="str">
        <f>IFERROR(VLOOKUP($A408,CP!$A$1:$U$1,21,FALSE),"")</f>
        <v/>
      </c>
      <c r="AZ408" s="224" t="str">
        <f>IFERROR(VLOOKUP(A408,Devengado!$A$1:AJ1,35,FALSE),"")</f>
        <v/>
      </c>
      <c r="BA408" s="224" t="str">
        <f t="shared" si="51"/>
        <v/>
      </c>
      <c r="BB408" s="224" t="str">
        <f>IFERROR(AZ408/#REF!,"")</f>
        <v/>
      </c>
      <c r="BC408" s="224" t="str">
        <f>IFERROR(VLOOKUP($A408,Devengado!$A$1:$AI$1,22,FALSE),"")</f>
        <v/>
      </c>
      <c r="BD408" s="224" t="str">
        <f>IFERROR(VLOOKUP($A408,Devengado!$A$1:$AI$1,23,FALSE),"")</f>
        <v/>
      </c>
      <c r="BE408" s="224" t="str">
        <f>IFERROR(VLOOKUP($A408,Devengado!$A$1:$AI$1,24,FALSE),"")</f>
        <v/>
      </c>
      <c r="BF408" s="224" t="str">
        <f>IFERROR(VLOOKUP($A408,Devengado!$A$1:$AI$1,25,FALSE),"")</f>
        <v/>
      </c>
      <c r="BG408" s="224" t="str">
        <f>IFERROR(VLOOKUP($A408,Devengado!$A$1:$AI$1,26,FALSE),"")</f>
        <v/>
      </c>
      <c r="BH408" s="224" t="str">
        <f>IFERROR(VLOOKUP($A408,Devengado!$A$1:$AI$1,27,FALSE),"")</f>
        <v/>
      </c>
      <c r="BI408" s="224" t="str">
        <f>IFERROR(VLOOKUP($A408,Devengado!$A$1:$AI$1,28,FALSE),"")</f>
        <v/>
      </c>
      <c r="BJ408" s="224" t="str">
        <f>IFERROR(VLOOKUP($A408,Devengado!$A$1:$AI$1,29,FALSE),"")</f>
        <v/>
      </c>
      <c r="BK408" s="224" t="str">
        <f>IFERROR(VLOOKUP($A408,Devengado!$A$1:$AI$1,30,FALSE),"")</f>
        <v/>
      </c>
      <c r="BL408" s="224" t="str">
        <f>IFERROR(VLOOKUP($A408,Devengado!$A$1:$AI$1,31,FALSE),"")</f>
        <v/>
      </c>
      <c r="BM408" s="224" t="str">
        <f>IFERROR(VLOOKUP($A408,Devengado!$A$1:$AI$1,32,FALSE),"")</f>
        <v/>
      </c>
      <c r="BN408" s="224" t="str">
        <f>IFERROR(VLOOKUP($A408,Devengado!$A$1:$AI$1,33,FALSE),"")</f>
        <v/>
      </c>
      <c r="BO408" s="224">
        <f t="shared" si="52"/>
        <v>0</v>
      </c>
      <c r="BP408" s="224" t="str">
        <f t="shared" si="53"/>
        <v/>
      </c>
      <c r="BQ408" s="207"/>
      <c r="BR408" s="207" t="str">
        <f t="shared" si="54"/>
        <v>53</v>
      </c>
    </row>
    <row r="409" spans="1:70" s="225" customFormat="1" ht="25.5" customHeight="1">
      <c r="A409" s="207">
        <v>405</v>
      </c>
      <c r="B409" s="117" t="s">
        <v>408</v>
      </c>
      <c r="C409" s="112" t="s">
        <v>77</v>
      </c>
      <c r="D409" s="112" t="s">
        <v>77</v>
      </c>
      <c r="E409" s="112" t="s">
        <v>76</v>
      </c>
      <c r="F409" s="112" t="s">
        <v>77</v>
      </c>
      <c r="G409" s="112" t="s">
        <v>77</v>
      </c>
      <c r="H409" s="112" t="s">
        <v>77</v>
      </c>
      <c r="I409" s="112" t="s">
        <v>77</v>
      </c>
      <c r="J409" s="112" t="s">
        <v>77</v>
      </c>
      <c r="K409" s="112" t="s">
        <v>77</v>
      </c>
      <c r="L409" s="112" t="s">
        <v>85</v>
      </c>
      <c r="M409" s="112" t="s">
        <v>422</v>
      </c>
      <c r="N409" s="114" t="s">
        <v>410</v>
      </c>
      <c r="O409" s="118" t="s">
        <v>132</v>
      </c>
      <c r="P409" s="114" t="s">
        <v>81</v>
      </c>
      <c r="Q409" s="114" t="s">
        <v>112</v>
      </c>
      <c r="R409" s="115" t="str">
        <f t="shared" si="48"/>
        <v>53</v>
      </c>
      <c r="S409" s="112">
        <v>530802</v>
      </c>
      <c r="T409" s="122" t="e">
        <f>VLOOKUP(S409,ITEM!$C$1:$D$156,2,FALSE)</f>
        <v>#N/A</v>
      </c>
      <c r="U409" s="112">
        <v>1101</v>
      </c>
      <c r="V409" s="114" t="s">
        <v>82</v>
      </c>
      <c r="W409" s="114" t="s">
        <v>84</v>
      </c>
      <c r="X409" s="114" t="s">
        <v>84</v>
      </c>
      <c r="Y409" s="224" t="e">
        <f>'Matriz POA 2024-TRABAJO'!#REF!</f>
        <v>#REF!</v>
      </c>
      <c r="Z409" s="224" t="e">
        <f>'Matriz POA 2024-TRABAJO'!#REF!</f>
        <v>#REF!</v>
      </c>
      <c r="AA409" s="224" t="e">
        <f>'Matriz POA 2024-TRABAJO'!#REF!</f>
        <v>#REF!</v>
      </c>
      <c r="AB409" s="279">
        <v>0</v>
      </c>
      <c r="AC409" s="279">
        <v>0</v>
      </c>
      <c r="AD409" s="279">
        <v>0</v>
      </c>
      <c r="AE409" s="279">
        <v>0</v>
      </c>
      <c r="AF409" s="279">
        <v>0</v>
      </c>
      <c r="AG409" s="279">
        <v>0</v>
      </c>
      <c r="AH409" s="279">
        <v>0</v>
      </c>
      <c r="AI409" s="279">
        <v>0</v>
      </c>
      <c r="AJ409" s="279">
        <v>0</v>
      </c>
      <c r="AK409" s="279">
        <v>0</v>
      </c>
      <c r="AL409" s="279">
        <v>0</v>
      </c>
      <c r="AM409" s="279">
        <v>0</v>
      </c>
      <c r="AN409" s="224" t="e">
        <f>SUM(#REF!)</f>
        <v>#REF!</v>
      </c>
      <c r="AO409" s="224">
        <f t="shared" si="49"/>
        <v>0</v>
      </c>
      <c r="AP409" s="224" t="e">
        <f t="shared" si="55"/>
        <v>#REF!</v>
      </c>
      <c r="AQ409" s="224"/>
      <c r="AR409" s="224"/>
      <c r="AS409" s="224"/>
      <c r="AT409" s="224" t="str">
        <f>IFERROR(VLOOKUP($A409,'Constancias POA'!$A$2:$DH$9993,17,FALSE),"")</f>
        <v/>
      </c>
      <c r="AU409" s="224" t="str">
        <f t="shared" si="50"/>
        <v/>
      </c>
      <c r="AV409" s="224" t="str">
        <f>IFERROR(VLOOKUP($A409,CP!$A$1:$U$7992,18,FALSE),"")</f>
        <v/>
      </c>
      <c r="AW409" s="224" t="str">
        <f>IFERROR(VLOOKUP($A409,CP!$A$1:$U$7992,19,FALSE),"")</f>
        <v/>
      </c>
      <c r="AX409" s="224" t="str">
        <f>IFERROR(VLOOKUP($A409,CP!$A$1:$U$7992,20,FALSE),"")</f>
        <v/>
      </c>
      <c r="AY409" s="224" t="str">
        <f>IFERROR(VLOOKUP($A409,CP!$A$1:$U$1,21,FALSE),"")</f>
        <v/>
      </c>
      <c r="AZ409" s="224" t="str">
        <f>IFERROR(VLOOKUP(A409,Devengado!$A$1:AJ1,35,FALSE),"")</f>
        <v/>
      </c>
      <c r="BA409" s="224" t="str">
        <f t="shared" si="51"/>
        <v/>
      </c>
      <c r="BB409" s="224" t="str">
        <f>IFERROR(AZ409/#REF!,"")</f>
        <v/>
      </c>
      <c r="BC409" s="224" t="str">
        <f>IFERROR(VLOOKUP($A409,Devengado!$A$1:$AI$1,22,FALSE),"")</f>
        <v/>
      </c>
      <c r="BD409" s="224" t="str">
        <f>IFERROR(VLOOKUP($A409,Devengado!$A$1:$AI$1,23,FALSE),"")</f>
        <v/>
      </c>
      <c r="BE409" s="224" t="str">
        <f>IFERROR(VLOOKUP($A409,Devengado!$A$1:$AI$1,24,FALSE),"")</f>
        <v/>
      </c>
      <c r="BF409" s="224" t="str">
        <f>IFERROR(VLOOKUP($A409,Devengado!$A$1:$AI$1,25,FALSE),"")</f>
        <v/>
      </c>
      <c r="BG409" s="224" t="str">
        <f>IFERROR(VLOOKUP($A409,Devengado!$A$1:$AI$1,26,FALSE),"")</f>
        <v/>
      </c>
      <c r="BH409" s="224" t="str">
        <f>IFERROR(VLOOKUP($A409,Devengado!$A$1:$AI$1,27,FALSE),"")</f>
        <v/>
      </c>
      <c r="BI409" s="224" t="str">
        <f>IFERROR(VLOOKUP($A409,Devengado!$A$1:$AI$1,28,FALSE),"")</f>
        <v/>
      </c>
      <c r="BJ409" s="224" t="str">
        <f>IFERROR(VLOOKUP($A409,Devengado!$A$1:$AI$1,29,FALSE),"")</f>
        <v/>
      </c>
      <c r="BK409" s="224" t="str">
        <f>IFERROR(VLOOKUP($A409,Devengado!$A$1:$AI$1,30,FALSE),"")</f>
        <v/>
      </c>
      <c r="BL409" s="224" t="str">
        <f>IFERROR(VLOOKUP($A409,Devengado!$A$1:$AI$1,31,FALSE),"")</f>
        <v/>
      </c>
      <c r="BM409" s="224" t="str">
        <f>IFERROR(VLOOKUP($A409,Devengado!$A$1:$AI$1,32,FALSE),"")</f>
        <v/>
      </c>
      <c r="BN409" s="224" t="str">
        <f>IFERROR(VLOOKUP($A409,Devengado!$A$1:$AI$1,33,FALSE),"")</f>
        <v/>
      </c>
      <c r="BO409" s="224">
        <f t="shared" si="52"/>
        <v>0</v>
      </c>
      <c r="BP409" s="224" t="str">
        <f t="shared" si="53"/>
        <v/>
      </c>
      <c r="BQ409" s="207"/>
      <c r="BR409" s="207" t="str">
        <f t="shared" si="54"/>
        <v>53</v>
      </c>
    </row>
    <row r="410" spans="1:70" s="225" customFormat="1" ht="25.5" customHeight="1">
      <c r="A410" s="207">
        <v>406</v>
      </c>
      <c r="B410" s="117" t="s">
        <v>408</v>
      </c>
      <c r="C410" s="112" t="s">
        <v>77</v>
      </c>
      <c r="D410" s="112" t="s">
        <v>77</v>
      </c>
      <c r="E410" s="112" t="s">
        <v>76</v>
      </c>
      <c r="F410" s="112" t="s">
        <v>77</v>
      </c>
      <c r="G410" s="112" t="s">
        <v>77</v>
      </c>
      <c r="H410" s="112" t="s">
        <v>77</v>
      </c>
      <c r="I410" s="112" t="s">
        <v>77</v>
      </c>
      <c r="J410" s="112" t="s">
        <v>77</v>
      </c>
      <c r="K410" s="112" t="s">
        <v>77</v>
      </c>
      <c r="L410" s="112" t="s">
        <v>85</v>
      </c>
      <c r="M410" s="112" t="s">
        <v>423</v>
      </c>
      <c r="N410" s="114" t="s">
        <v>410</v>
      </c>
      <c r="O410" s="118" t="s">
        <v>132</v>
      </c>
      <c r="P410" s="114" t="s">
        <v>81</v>
      </c>
      <c r="Q410" s="114" t="s">
        <v>112</v>
      </c>
      <c r="R410" s="115" t="str">
        <f t="shared" si="48"/>
        <v>53</v>
      </c>
      <c r="S410" s="112">
        <v>530255</v>
      </c>
      <c r="T410" s="122" t="str">
        <f>VLOOKUP(S410,ITEM!$C$1:$D$156,2,FALSE)</f>
        <v>Combustibles</v>
      </c>
      <c r="U410" s="112">
        <v>1101</v>
      </c>
      <c r="V410" s="114" t="s">
        <v>82</v>
      </c>
      <c r="W410" s="114" t="s">
        <v>84</v>
      </c>
      <c r="X410" s="114" t="s">
        <v>84</v>
      </c>
      <c r="Y410" s="224" t="e">
        <f>'Matriz POA 2024-TRABAJO'!#REF!</f>
        <v>#REF!</v>
      </c>
      <c r="Z410" s="224" t="e">
        <f>'Matriz POA 2024-TRABAJO'!#REF!</f>
        <v>#REF!</v>
      </c>
      <c r="AA410" s="224" t="e">
        <f>'Matriz POA 2024-TRABAJO'!#REF!</f>
        <v>#REF!</v>
      </c>
      <c r="AB410" s="279">
        <v>0</v>
      </c>
      <c r="AC410" s="279">
        <v>0</v>
      </c>
      <c r="AD410" s="279">
        <v>0</v>
      </c>
      <c r="AE410" s="279">
        <v>0</v>
      </c>
      <c r="AF410" s="279">
        <v>0</v>
      </c>
      <c r="AG410" s="279">
        <v>0</v>
      </c>
      <c r="AH410" s="279">
        <v>0</v>
      </c>
      <c r="AI410" s="279">
        <v>0</v>
      </c>
      <c r="AJ410" s="279">
        <v>0</v>
      </c>
      <c r="AK410" s="279">
        <v>0</v>
      </c>
      <c r="AL410" s="279">
        <v>0</v>
      </c>
      <c r="AM410" s="279">
        <v>0</v>
      </c>
      <c r="AN410" s="224" t="e">
        <f>SUM(#REF!)</f>
        <v>#REF!</v>
      </c>
      <c r="AO410" s="224">
        <f t="shared" si="49"/>
        <v>0</v>
      </c>
      <c r="AP410" s="224" t="e">
        <f t="shared" si="55"/>
        <v>#REF!</v>
      </c>
      <c r="AQ410" s="224"/>
      <c r="AR410" s="224"/>
      <c r="AS410" s="224"/>
      <c r="AT410" s="224" t="str">
        <f>IFERROR(VLOOKUP($A410,'Constancias POA'!$A$2:$DH$9993,17,FALSE),"")</f>
        <v/>
      </c>
      <c r="AU410" s="224" t="str">
        <f t="shared" si="50"/>
        <v/>
      </c>
      <c r="AV410" s="224" t="str">
        <f>IFERROR(VLOOKUP($A410,CP!$A$1:$U$7992,18,FALSE),"")</f>
        <v/>
      </c>
      <c r="AW410" s="224" t="str">
        <f>IFERROR(VLOOKUP($A410,CP!$A$1:$U$7992,19,FALSE),"")</f>
        <v/>
      </c>
      <c r="AX410" s="224" t="str">
        <f>IFERROR(VLOOKUP($A410,CP!$A$1:$U$7992,20,FALSE),"")</f>
        <v/>
      </c>
      <c r="AY410" s="224" t="str">
        <f>IFERROR(VLOOKUP($A410,CP!$A$1:$U$1,21,FALSE),"")</f>
        <v/>
      </c>
      <c r="AZ410" s="224" t="str">
        <f>IFERROR(VLOOKUP(A410,Devengado!$A$1:AJ1,35,FALSE),"")</f>
        <v/>
      </c>
      <c r="BA410" s="224" t="str">
        <f t="shared" si="51"/>
        <v/>
      </c>
      <c r="BB410" s="224" t="str">
        <f>IFERROR(AZ410/#REF!,"")</f>
        <v/>
      </c>
      <c r="BC410" s="224" t="str">
        <f>IFERROR(VLOOKUP($A410,Devengado!$A$1:$AI$1,22,FALSE),"")</f>
        <v/>
      </c>
      <c r="BD410" s="224" t="str">
        <f>IFERROR(VLOOKUP($A410,Devengado!$A$1:$AI$1,23,FALSE),"")</f>
        <v/>
      </c>
      <c r="BE410" s="224" t="str">
        <f>IFERROR(VLOOKUP($A410,Devengado!$A$1:$AI$1,24,FALSE),"")</f>
        <v/>
      </c>
      <c r="BF410" s="224" t="str">
        <f>IFERROR(VLOOKUP($A410,Devengado!$A$1:$AI$1,25,FALSE),"")</f>
        <v/>
      </c>
      <c r="BG410" s="224" t="str">
        <f>IFERROR(VLOOKUP($A410,Devengado!$A$1:$AI$1,26,FALSE),"")</f>
        <v/>
      </c>
      <c r="BH410" s="224" t="str">
        <f>IFERROR(VLOOKUP($A410,Devengado!$A$1:$AI$1,27,FALSE),"")</f>
        <v/>
      </c>
      <c r="BI410" s="224" t="str">
        <f>IFERROR(VLOOKUP($A410,Devengado!$A$1:$AI$1,28,FALSE),"")</f>
        <v/>
      </c>
      <c r="BJ410" s="224" t="str">
        <f>IFERROR(VLOOKUP($A410,Devengado!$A$1:$AI$1,29,FALSE),"")</f>
        <v/>
      </c>
      <c r="BK410" s="224" t="str">
        <f>IFERROR(VLOOKUP($A410,Devengado!$A$1:$AI$1,30,FALSE),"")</f>
        <v/>
      </c>
      <c r="BL410" s="224" t="str">
        <f>IFERROR(VLOOKUP($A410,Devengado!$A$1:$AI$1,31,FALSE),"")</f>
        <v/>
      </c>
      <c r="BM410" s="224" t="str">
        <f>IFERROR(VLOOKUP($A410,Devengado!$A$1:$AI$1,32,FALSE),"")</f>
        <v/>
      </c>
      <c r="BN410" s="224" t="str">
        <f>IFERROR(VLOOKUP($A410,Devengado!$A$1:$AI$1,33,FALSE),"")</f>
        <v/>
      </c>
      <c r="BO410" s="224">
        <f t="shared" si="52"/>
        <v>0</v>
      </c>
      <c r="BP410" s="224" t="str">
        <f t="shared" si="53"/>
        <v/>
      </c>
      <c r="BQ410" s="207"/>
      <c r="BR410" s="207" t="str">
        <f t="shared" si="54"/>
        <v>53</v>
      </c>
    </row>
    <row r="411" spans="1:70" s="225" customFormat="1" ht="25.5" customHeight="1">
      <c r="A411" s="207">
        <v>407</v>
      </c>
      <c r="B411" s="117" t="s">
        <v>408</v>
      </c>
      <c r="C411" s="112" t="s">
        <v>77</v>
      </c>
      <c r="D411" s="112" t="s">
        <v>77</v>
      </c>
      <c r="E411" s="112" t="s">
        <v>76</v>
      </c>
      <c r="F411" s="112" t="s">
        <v>77</v>
      </c>
      <c r="G411" s="112" t="s">
        <v>77</v>
      </c>
      <c r="H411" s="112" t="s">
        <v>77</v>
      </c>
      <c r="I411" s="112" t="s">
        <v>77</v>
      </c>
      <c r="J411" s="112" t="s">
        <v>77</v>
      </c>
      <c r="K411" s="112" t="s">
        <v>77</v>
      </c>
      <c r="L411" s="112" t="s">
        <v>85</v>
      </c>
      <c r="M411" s="112" t="s">
        <v>424</v>
      </c>
      <c r="N411" s="114" t="s">
        <v>410</v>
      </c>
      <c r="O411" s="118" t="s">
        <v>132</v>
      </c>
      <c r="P411" s="114" t="s">
        <v>81</v>
      </c>
      <c r="Q411" s="114" t="s">
        <v>112</v>
      </c>
      <c r="R411" s="115" t="str">
        <f t="shared" si="48"/>
        <v>53</v>
      </c>
      <c r="S411" s="112">
        <v>530203</v>
      </c>
      <c r="T411" s="122" t="str">
        <f>VLOOKUP(S411,ITEM!$C$1:$D$156,2,FALSE)</f>
        <v>Almacenamiento, Embalaje, Desembalaje, Envase, Desenvase y Recarga de Extintores</v>
      </c>
      <c r="U411" s="112">
        <v>1101</v>
      </c>
      <c r="V411" s="114" t="s">
        <v>82</v>
      </c>
      <c r="W411" s="114" t="s">
        <v>84</v>
      </c>
      <c r="X411" s="114" t="s">
        <v>84</v>
      </c>
      <c r="Y411" s="224" t="e">
        <f>'Matriz POA 2024-TRABAJO'!#REF!</f>
        <v>#REF!</v>
      </c>
      <c r="Z411" s="224" t="e">
        <f>'Matriz POA 2024-TRABAJO'!#REF!</f>
        <v>#REF!</v>
      </c>
      <c r="AA411" s="224" t="e">
        <f>'Matriz POA 2024-TRABAJO'!#REF!</f>
        <v>#REF!</v>
      </c>
      <c r="AB411" s="279">
        <v>0</v>
      </c>
      <c r="AC411" s="279">
        <v>0</v>
      </c>
      <c r="AD411" s="279">
        <v>0</v>
      </c>
      <c r="AE411" s="279">
        <v>0</v>
      </c>
      <c r="AF411" s="279">
        <v>0</v>
      </c>
      <c r="AG411" s="279">
        <v>0</v>
      </c>
      <c r="AH411" s="279">
        <v>0</v>
      </c>
      <c r="AI411" s="279">
        <v>0</v>
      </c>
      <c r="AJ411" s="279">
        <v>0</v>
      </c>
      <c r="AK411" s="279">
        <v>0</v>
      </c>
      <c r="AL411" s="279">
        <v>0</v>
      </c>
      <c r="AM411" s="279">
        <v>0</v>
      </c>
      <c r="AN411" s="224" t="e">
        <f>SUM(#REF!)</f>
        <v>#REF!</v>
      </c>
      <c r="AO411" s="224">
        <f t="shared" si="49"/>
        <v>0</v>
      </c>
      <c r="AP411" s="224" t="e">
        <f t="shared" si="55"/>
        <v>#REF!</v>
      </c>
      <c r="AQ411" s="224"/>
      <c r="AR411" s="224"/>
      <c r="AS411" s="224"/>
      <c r="AT411" s="224" t="str">
        <f>IFERROR(VLOOKUP($A411,'Constancias POA'!$A$2:$DH$9993,17,FALSE),"")</f>
        <v/>
      </c>
      <c r="AU411" s="224" t="str">
        <f t="shared" si="50"/>
        <v/>
      </c>
      <c r="AV411" s="224" t="str">
        <f>IFERROR(VLOOKUP($A411,CP!$A$1:$U$7992,18,FALSE),"")</f>
        <v/>
      </c>
      <c r="AW411" s="224" t="str">
        <f>IFERROR(VLOOKUP($A411,CP!$A$1:$U$7992,19,FALSE),"")</f>
        <v/>
      </c>
      <c r="AX411" s="224" t="str">
        <f>IFERROR(VLOOKUP($A411,CP!$A$1:$U$7992,20,FALSE),"")</f>
        <v/>
      </c>
      <c r="AY411" s="224" t="str">
        <f>IFERROR(VLOOKUP($A411,CP!$A$1:$U$1,21,FALSE),"")</f>
        <v/>
      </c>
      <c r="AZ411" s="224" t="str">
        <f>IFERROR(VLOOKUP(A411,Devengado!$A$1:AJ1,35,FALSE),"")</f>
        <v/>
      </c>
      <c r="BA411" s="224" t="str">
        <f t="shared" si="51"/>
        <v/>
      </c>
      <c r="BB411" s="224" t="str">
        <f>IFERROR(AZ411/#REF!,"")</f>
        <v/>
      </c>
      <c r="BC411" s="224" t="str">
        <f>IFERROR(VLOOKUP($A411,Devengado!$A$1:$AI$1,22,FALSE),"")</f>
        <v/>
      </c>
      <c r="BD411" s="224" t="str">
        <f>IFERROR(VLOOKUP($A411,Devengado!$A$1:$AI$1,23,FALSE),"")</f>
        <v/>
      </c>
      <c r="BE411" s="224" t="str">
        <f>IFERROR(VLOOKUP($A411,Devengado!$A$1:$AI$1,24,FALSE),"")</f>
        <v/>
      </c>
      <c r="BF411" s="224" t="str">
        <f>IFERROR(VLOOKUP($A411,Devengado!$A$1:$AI$1,25,FALSE),"")</f>
        <v/>
      </c>
      <c r="BG411" s="224" t="str">
        <f>IFERROR(VLOOKUP($A411,Devengado!$A$1:$AI$1,26,FALSE),"")</f>
        <v/>
      </c>
      <c r="BH411" s="224" t="str">
        <f>IFERROR(VLOOKUP($A411,Devengado!$A$1:$AI$1,27,FALSE),"")</f>
        <v/>
      </c>
      <c r="BI411" s="224" t="str">
        <f>IFERROR(VLOOKUP($A411,Devengado!$A$1:$AI$1,28,FALSE),"")</f>
        <v/>
      </c>
      <c r="BJ411" s="224" t="str">
        <f>IFERROR(VLOOKUP($A411,Devengado!$A$1:$AI$1,29,FALSE),"")</f>
        <v/>
      </c>
      <c r="BK411" s="224" t="str">
        <f>IFERROR(VLOOKUP($A411,Devengado!$A$1:$AI$1,30,FALSE),"")</f>
        <v/>
      </c>
      <c r="BL411" s="224" t="str">
        <f>IFERROR(VLOOKUP($A411,Devengado!$A$1:$AI$1,31,FALSE),"")</f>
        <v/>
      </c>
      <c r="BM411" s="224" t="str">
        <f>IFERROR(VLOOKUP($A411,Devengado!$A$1:$AI$1,32,FALSE),"")</f>
        <v/>
      </c>
      <c r="BN411" s="224" t="str">
        <f>IFERROR(VLOOKUP($A411,Devengado!$A$1:$AI$1,33,FALSE),"")</f>
        <v/>
      </c>
      <c r="BO411" s="224">
        <f t="shared" si="52"/>
        <v>0</v>
      </c>
      <c r="BP411" s="224" t="str">
        <f t="shared" si="53"/>
        <v/>
      </c>
      <c r="BQ411" s="207"/>
      <c r="BR411" s="207" t="str">
        <f t="shared" si="54"/>
        <v>53</v>
      </c>
    </row>
    <row r="412" spans="1:70" s="225" customFormat="1" ht="25.5" customHeight="1">
      <c r="A412" s="207">
        <v>408</v>
      </c>
      <c r="B412" s="117" t="s">
        <v>408</v>
      </c>
      <c r="C412" s="112" t="s">
        <v>77</v>
      </c>
      <c r="D412" s="112" t="s">
        <v>77</v>
      </c>
      <c r="E412" s="112" t="s">
        <v>76</v>
      </c>
      <c r="F412" s="112" t="s">
        <v>77</v>
      </c>
      <c r="G412" s="112" t="s">
        <v>77</v>
      </c>
      <c r="H412" s="112" t="s">
        <v>77</v>
      </c>
      <c r="I412" s="112" t="s">
        <v>77</v>
      </c>
      <c r="J412" s="112" t="s">
        <v>77</v>
      </c>
      <c r="K412" s="112" t="s">
        <v>77</v>
      </c>
      <c r="L412" s="112" t="s">
        <v>85</v>
      </c>
      <c r="M412" s="112" t="s">
        <v>233</v>
      </c>
      <c r="N412" s="114" t="s">
        <v>410</v>
      </c>
      <c r="O412" s="118" t="s">
        <v>132</v>
      </c>
      <c r="P412" s="114" t="s">
        <v>81</v>
      </c>
      <c r="Q412" s="114" t="s">
        <v>112</v>
      </c>
      <c r="R412" s="115" t="str">
        <f t="shared" si="48"/>
        <v>53</v>
      </c>
      <c r="S412" s="112">
        <v>530704</v>
      </c>
      <c r="T412" s="122" t="e">
        <f>VLOOKUP(S412,ITEM!$C$1:$D$156,2,FALSE)</f>
        <v>#N/A</v>
      </c>
      <c r="U412" s="112">
        <v>1101</v>
      </c>
      <c r="V412" s="114" t="s">
        <v>82</v>
      </c>
      <c r="W412" s="114" t="s">
        <v>84</v>
      </c>
      <c r="X412" s="114" t="s">
        <v>84</v>
      </c>
      <c r="Y412" s="224" t="e">
        <f>'Matriz POA 2024-TRABAJO'!#REF!</f>
        <v>#REF!</v>
      </c>
      <c r="Z412" s="224" t="e">
        <f>'Matriz POA 2024-TRABAJO'!#REF!</f>
        <v>#REF!</v>
      </c>
      <c r="AA412" s="224" t="e">
        <f>'Matriz POA 2024-TRABAJO'!#REF!</f>
        <v>#REF!</v>
      </c>
      <c r="AB412" s="279">
        <v>0</v>
      </c>
      <c r="AC412" s="279">
        <v>0</v>
      </c>
      <c r="AD412" s="279">
        <v>0</v>
      </c>
      <c r="AE412" s="279">
        <v>0</v>
      </c>
      <c r="AF412" s="279">
        <v>0</v>
      </c>
      <c r="AG412" s="279">
        <v>0</v>
      </c>
      <c r="AH412" s="279">
        <v>0</v>
      </c>
      <c r="AI412" s="279">
        <v>0</v>
      </c>
      <c r="AJ412" s="279">
        <v>0</v>
      </c>
      <c r="AK412" s="279">
        <v>0</v>
      </c>
      <c r="AL412" s="279">
        <v>0</v>
      </c>
      <c r="AM412" s="279">
        <v>0</v>
      </c>
      <c r="AN412" s="224" t="e">
        <f>SUM(#REF!)</f>
        <v>#REF!</v>
      </c>
      <c r="AO412" s="224">
        <f t="shared" si="49"/>
        <v>0</v>
      </c>
      <c r="AP412" s="224" t="e">
        <f t="shared" si="55"/>
        <v>#REF!</v>
      </c>
      <c r="AQ412" s="224"/>
      <c r="AR412" s="224"/>
      <c r="AS412" s="224"/>
      <c r="AT412" s="224" t="str">
        <f>IFERROR(VLOOKUP($A412,'Constancias POA'!$A$2:$DH$9993,17,FALSE),"")</f>
        <v/>
      </c>
      <c r="AU412" s="224" t="str">
        <f t="shared" si="50"/>
        <v/>
      </c>
      <c r="AV412" s="224" t="str">
        <f>IFERROR(VLOOKUP($A412,CP!$A$1:$U$7992,18,FALSE),"")</f>
        <v/>
      </c>
      <c r="AW412" s="224" t="str">
        <f>IFERROR(VLOOKUP($A412,CP!$A$1:$U$7992,19,FALSE),"")</f>
        <v/>
      </c>
      <c r="AX412" s="224" t="str">
        <f>IFERROR(VLOOKUP($A412,CP!$A$1:$U$7992,20,FALSE),"")</f>
        <v/>
      </c>
      <c r="AY412" s="224" t="str">
        <f>IFERROR(VLOOKUP($A412,CP!$A$1:$U$1,21,FALSE),"")</f>
        <v/>
      </c>
      <c r="AZ412" s="224" t="str">
        <f>IFERROR(VLOOKUP(A412,Devengado!$A$1:AJ1,35,FALSE),"")</f>
        <v/>
      </c>
      <c r="BA412" s="224" t="str">
        <f t="shared" si="51"/>
        <v/>
      </c>
      <c r="BB412" s="224" t="str">
        <f>IFERROR(AZ412/#REF!,"")</f>
        <v/>
      </c>
      <c r="BC412" s="224" t="str">
        <f>IFERROR(VLOOKUP($A412,Devengado!$A$1:$AI$1,22,FALSE),"")</f>
        <v/>
      </c>
      <c r="BD412" s="224" t="str">
        <f>IFERROR(VLOOKUP($A412,Devengado!$A$1:$AI$1,23,FALSE),"")</f>
        <v/>
      </c>
      <c r="BE412" s="224" t="str">
        <f>IFERROR(VLOOKUP($A412,Devengado!$A$1:$AI$1,24,FALSE),"")</f>
        <v/>
      </c>
      <c r="BF412" s="224" t="str">
        <f>IFERROR(VLOOKUP($A412,Devengado!$A$1:$AI$1,25,FALSE),"")</f>
        <v/>
      </c>
      <c r="BG412" s="224" t="str">
        <f>IFERROR(VLOOKUP($A412,Devengado!$A$1:$AI$1,26,FALSE),"")</f>
        <v/>
      </c>
      <c r="BH412" s="224" t="str">
        <f>IFERROR(VLOOKUP($A412,Devengado!$A$1:$AI$1,27,FALSE),"")</f>
        <v/>
      </c>
      <c r="BI412" s="224" t="str">
        <f>IFERROR(VLOOKUP($A412,Devengado!$A$1:$AI$1,28,FALSE),"")</f>
        <v/>
      </c>
      <c r="BJ412" s="224" t="str">
        <f>IFERROR(VLOOKUP($A412,Devengado!$A$1:$AI$1,29,FALSE),"")</f>
        <v/>
      </c>
      <c r="BK412" s="224" t="str">
        <f>IFERROR(VLOOKUP($A412,Devengado!$A$1:$AI$1,30,FALSE),"")</f>
        <v/>
      </c>
      <c r="BL412" s="224" t="str">
        <f>IFERROR(VLOOKUP($A412,Devengado!$A$1:$AI$1,31,FALSE),"")</f>
        <v/>
      </c>
      <c r="BM412" s="224" t="str">
        <f>IFERROR(VLOOKUP($A412,Devengado!$A$1:$AI$1,32,FALSE),"")</f>
        <v/>
      </c>
      <c r="BN412" s="224" t="str">
        <f>IFERROR(VLOOKUP($A412,Devengado!$A$1:$AI$1,33,FALSE),"")</f>
        <v/>
      </c>
      <c r="BO412" s="224">
        <f t="shared" si="52"/>
        <v>0</v>
      </c>
      <c r="BP412" s="224" t="str">
        <f t="shared" si="53"/>
        <v/>
      </c>
      <c r="BQ412" s="207"/>
      <c r="BR412" s="207" t="str">
        <f t="shared" si="54"/>
        <v>53</v>
      </c>
    </row>
    <row r="413" spans="1:70" s="225" customFormat="1" ht="25.5" customHeight="1">
      <c r="A413" s="207">
        <v>409</v>
      </c>
      <c r="B413" s="117" t="s">
        <v>408</v>
      </c>
      <c r="C413" s="112" t="s">
        <v>77</v>
      </c>
      <c r="D413" s="112" t="s">
        <v>77</v>
      </c>
      <c r="E413" s="112" t="s">
        <v>76</v>
      </c>
      <c r="F413" s="112" t="s">
        <v>77</v>
      </c>
      <c r="G413" s="112" t="s">
        <v>77</v>
      </c>
      <c r="H413" s="112" t="s">
        <v>77</v>
      </c>
      <c r="I413" s="112" t="s">
        <v>77</v>
      </c>
      <c r="J413" s="112" t="s">
        <v>77</v>
      </c>
      <c r="K413" s="112" t="s">
        <v>77</v>
      </c>
      <c r="L413" s="112" t="s">
        <v>85</v>
      </c>
      <c r="M413" s="112" t="s">
        <v>425</v>
      </c>
      <c r="N413" s="114" t="s">
        <v>410</v>
      </c>
      <c r="O413" s="118" t="s">
        <v>132</v>
      </c>
      <c r="P413" s="114" t="s">
        <v>81</v>
      </c>
      <c r="Q413" s="114" t="s">
        <v>112</v>
      </c>
      <c r="R413" s="115" t="str">
        <f t="shared" si="48"/>
        <v>53</v>
      </c>
      <c r="S413" s="112">
        <v>530402</v>
      </c>
      <c r="T413" s="122" t="str">
        <f>VLOOKUP(S413,ITEM!$C$1:$D$156,2,FALSE)</f>
        <v>Edificios, Locales, Residencias y Cableado Estructurado (Instalación, Mantenimiento y Reparación)</v>
      </c>
      <c r="U413" s="112">
        <v>1101</v>
      </c>
      <c r="V413" s="114" t="s">
        <v>82</v>
      </c>
      <c r="W413" s="114" t="s">
        <v>84</v>
      </c>
      <c r="X413" s="114" t="s">
        <v>84</v>
      </c>
      <c r="Y413" s="224" t="e">
        <f>'Matriz POA 2024-TRABAJO'!#REF!</f>
        <v>#REF!</v>
      </c>
      <c r="Z413" s="224" t="e">
        <f>'Matriz POA 2024-TRABAJO'!#REF!</f>
        <v>#REF!</v>
      </c>
      <c r="AA413" s="224" t="e">
        <f>'Matriz POA 2024-TRABAJO'!#REF!</f>
        <v>#REF!</v>
      </c>
      <c r="AB413" s="279">
        <v>0</v>
      </c>
      <c r="AC413" s="279">
        <v>0</v>
      </c>
      <c r="AD413" s="279">
        <v>0</v>
      </c>
      <c r="AE413" s="279">
        <v>0</v>
      </c>
      <c r="AF413" s="279">
        <v>0</v>
      </c>
      <c r="AG413" s="279">
        <v>0</v>
      </c>
      <c r="AH413" s="279">
        <v>0</v>
      </c>
      <c r="AI413" s="279">
        <v>0</v>
      </c>
      <c r="AJ413" s="279">
        <v>0</v>
      </c>
      <c r="AK413" s="279">
        <v>0</v>
      </c>
      <c r="AL413" s="279">
        <v>0</v>
      </c>
      <c r="AM413" s="279">
        <v>0</v>
      </c>
      <c r="AN413" s="224" t="e">
        <f>SUM(#REF!)</f>
        <v>#REF!</v>
      </c>
      <c r="AO413" s="224">
        <f t="shared" si="49"/>
        <v>0</v>
      </c>
      <c r="AP413" s="224" t="e">
        <f t="shared" si="55"/>
        <v>#REF!</v>
      </c>
      <c r="AQ413" s="224"/>
      <c r="AR413" s="224"/>
      <c r="AS413" s="224"/>
      <c r="AT413" s="224" t="str">
        <f>IFERROR(VLOOKUP($A413,'Constancias POA'!$A$2:$DH$9993,17,FALSE),"")</f>
        <v/>
      </c>
      <c r="AU413" s="224" t="str">
        <f t="shared" si="50"/>
        <v/>
      </c>
      <c r="AV413" s="224" t="str">
        <f>IFERROR(VLOOKUP($A413,CP!$A$1:$U$7992,18,FALSE),"")</f>
        <v/>
      </c>
      <c r="AW413" s="224" t="str">
        <f>IFERROR(VLOOKUP($A413,CP!$A$1:$U$7992,19,FALSE),"")</f>
        <v/>
      </c>
      <c r="AX413" s="224" t="str">
        <f>IFERROR(VLOOKUP($A413,CP!$A$1:$U$7992,20,FALSE),"")</f>
        <v/>
      </c>
      <c r="AY413" s="224" t="str">
        <f>IFERROR(VLOOKUP($A413,CP!$A$1:$U$1,21,FALSE),"")</f>
        <v/>
      </c>
      <c r="AZ413" s="224" t="str">
        <f>IFERROR(VLOOKUP(A413,Devengado!$A$1:AJ1,35,FALSE),"")</f>
        <v/>
      </c>
      <c r="BA413" s="224" t="str">
        <f t="shared" si="51"/>
        <v/>
      </c>
      <c r="BB413" s="224" t="str">
        <f>IFERROR(AZ413/#REF!,"")</f>
        <v/>
      </c>
      <c r="BC413" s="224" t="str">
        <f>IFERROR(VLOOKUP($A413,Devengado!$A$1:$AI$1,22,FALSE),"")</f>
        <v/>
      </c>
      <c r="BD413" s="224" t="str">
        <f>IFERROR(VLOOKUP($A413,Devengado!$A$1:$AI$1,23,FALSE),"")</f>
        <v/>
      </c>
      <c r="BE413" s="224" t="str">
        <f>IFERROR(VLOOKUP($A413,Devengado!$A$1:$AI$1,24,FALSE),"")</f>
        <v/>
      </c>
      <c r="BF413" s="224" t="str">
        <f>IFERROR(VLOOKUP($A413,Devengado!$A$1:$AI$1,25,FALSE),"")</f>
        <v/>
      </c>
      <c r="BG413" s="224" t="str">
        <f>IFERROR(VLOOKUP($A413,Devengado!$A$1:$AI$1,26,FALSE),"")</f>
        <v/>
      </c>
      <c r="BH413" s="224" t="str">
        <f>IFERROR(VLOOKUP($A413,Devengado!$A$1:$AI$1,27,FALSE),"")</f>
        <v/>
      </c>
      <c r="BI413" s="224" t="str">
        <f>IFERROR(VLOOKUP($A413,Devengado!$A$1:$AI$1,28,FALSE),"")</f>
        <v/>
      </c>
      <c r="BJ413" s="224" t="str">
        <f>IFERROR(VLOOKUP($A413,Devengado!$A$1:$AI$1,29,FALSE),"")</f>
        <v/>
      </c>
      <c r="BK413" s="224" t="str">
        <f>IFERROR(VLOOKUP($A413,Devengado!$A$1:$AI$1,30,FALSE),"")</f>
        <v/>
      </c>
      <c r="BL413" s="224" t="str">
        <f>IFERROR(VLOOKUP($A413,Devengado!$A$1:$AI$1,31,FALSE),"")</f>
        <v/>
      </c>
      <c r="BM413" s="224" t="str">
        <f>IFERROR(VLOOKUP($A413,Devengado!$A$1:$AI$1,32,FALSE),"")</f>
        <v/>
      </c>
      <c r="BN413" s="224" t="str">
        <f>IFERROR(VLOOKUP($A413,Devengado!$A$1:$AI$1,33,FALSE),"")</f>
        <v/>
      </c>
      <c r="BO413" s="224">
        <f t="shared" si="52"/>
        <v>0</v>
      </c>
      <c r="BP413" s="224" t="str">
        <f t="shared" si="53"/>
        <v/>
      </c>
      <c r="BQ413" s="207"/>
      <c r="BR413" s="207" t="str">
        <f t="shared" si="54"/>
        <v>53</v>
      </c>
    </row>
    <row r="414" spans="1:70" s="225" customFormat="1" ht="25.5" customHeight="1">
      <c r="A414" s="207">
        <v>410</v>
      </c>
      <c r="B414" s="117" t="s">
        <v>408</v>
      </c>
      <c r="C414" s="112" t="s">
        <v>77</v>
      </c>
      <c r="D414" s="112" t="s">
        <v>77</v>
      </c>
      <c r="E414" s="112" t="s">
        <v>76</v>
      </c>
      <c r="F414" s="112" t="s">
        <v>77</v>
      </c>
      <c r="G414" s="112" t="s">
        <v>77</v>
      </c>
      <c r="H414" s="112" t="s">
        <v>77</v>
      </c>
      <c r="I414" s="112" t="s">
        <v>77</v>
      </c>
      <c r="J414" s="112" t="s">
        <v>77</v>
      </c>
      <c r="K414" s="112" t="s">
        <v>77</v>
      </c>
      <c r="L414" s="112" t="s">
        <v>85</v>
      </c>
      <c r="M414" s="112" t="s">
        <v>426</v>
      </c>
      <c r="N414" s="114" t="s">
        <v>410</v>
      </c>
      <c r="O414" s="118" t="s">
        <v>132</v>
      </c>
      <c r="P414" s="114" t="s">
        <v>81</v>
      </c>
      <c r="Q414" s="114" t="s">
        <v>112</v>
      </c>
      <c r="R414" s="115" t="str">
        <f t="shared" si="48"/>
        <v>57</v>
      </c>
      <c r="S414" s="112">
        <v>570102</v>
      </c>
      <c r="T414" s="122" t="e">
        <f>VLOOKUP(S414,ITEM!$C$1:$D$156,2,FALSE)</f>
        <v>#N/A</v>
      </c>
      <c r="U414" s="112">
        <v>1101</v>
      </c>
      <c r="V414" s="114" t="s">
        <v>82</v>
      </c>
      <c r="W414" s="114" t="s">
        <v>84</v>
      </c>
      <c r="X414" s="114" t="s">
        <v>84</v>
      </c>
      <c r="Y414" s="224" t="e">
        <f>'Matriz POA 2024-TRABAJO'!#REF!</f>
        <v>#REF!</v>
      </c>
      <c r="Z414" s="224" t="e">
        <f>'Matriz POA 2024-TRABAJO'!#REF!</f>
        <v>#REF!</v>
      </c>
      <c r="AA414" s="224" t="e">
        <f>'Matriz POA 2024-TRABAJO'!#REF!</f>
        <v>#REF!</v>
      </c>
      <c r="AB414" s="279"/>
      <c r="AC414" s="279">
        <v>109.59</v>
      </c>
      <c r="AD414" s="279">
        <v>25.2</v>
      </c>
      <c r="AE414" s="279"/>
      <c r="AF414" s="279"/>
      <c r="AG414" s="279"/>
      <c r="AH414" s="279"/>
      <c r="AI414" s="279"/>
      <c r="AJ414" s="279"/>
      <c r="AK414" s="279"/>
      <c r="AL414" s="279"/>
      <c r="AM414" s="279"/>
      <c r="AN414" s="224" t="e">
        <f>SUM(#REF!)</f>
        <v>#REF!</v>
      </c>
      <c r="AO414" s="224">
        <f t="shared" si="49"/>
        <v>134.79</v>
      </c>
      <c r="AP414" s="224" t="e">
        <f t="shared" si="55"/>
        <v>#REF!</v>
      </c>
      <c r="AQ414" s="224"/>
      <c r="AR414" s="224"/>
      <c r="AS414" s="224"/>
      <c r="AT414" s="224" t="str">
        <f>IFERROR(VLOOKUP($A414,'Constancias POA'!$A$2:$DH$9993,17,FALSE),"")</f>
        <v/>
      </c>
      <c r="AU414" s="224" t="str">
        <f t="shared" si="50"/>
        <v/>
      </c>
      <c r="AV414" s="224" t="str">
        <f>IFERROR(VLOOKUP($A414,CP!$A$1:$U$7992,18,FALSE),"")</f>
        <v/>
      </c>
      <c r="AW414" s="224" t="str">
        <f>IFERROR(VLOOKUP($A414,CP!$A$1:$U$7992,19,FALSE),"")</f>
        <v/>
      </c>
      <c r="AX414" s="224" t="str">
        <f>IFERROR(VLOOKUP($A414,CP!$A$1:$U$7992,20,FALSE),"")</f>
        <v/>
      </c>
      <c r="AY414" s="224" t="str">
        <f>IFERROR(VLOOKUP($A414,CP!$A$1:$U$1,21,FALSE),"")</f>
        <v/>
      </c>
      <c r="AZ414" s="224" t="str">
        <f>IFERROR(VLOOKUP(A414,Devengado!$A$1:AJ1,35,FALSE),"")</f>
        <v/>
      </c>
      <c r="BA414" s="224" t="str">
        <f t="shared" si="51"/>
        <v/>
      </c>
      <c r="BB414" s="224" t="str">
        <f>IFERROR(AZ414/#REF!,"")</f>
        <v/>
      </c>
      <c r="BC414" s="224" t="str">
        <f>IFERROR(VLOOKUP($A414,Devengado!$A$1:$AI$1,22,FALSE),"")</f>
        <v/>
      </c>
      <c r="BD414" s="224" t="str">
        <f>IFERROR(VLOOKUP($A414,Devengado!$A$1:$AI$1,23,FALSE),"")</f>
        <v/>
      </c>
      <c r="BE414" s="224" t="str">
        <f>IFERROR(VLOOKUP($A414,Devengado!$A$1:$AI$1,24,FALSE),"")</f>
        <v/>
      </c>
      <c r="BF414" s="224" t="str">
        <f>IFERROR(VLOOKUP($A414,Devengado!$A$1:$AI$1,25,FALSE),"")</f>
        <v/>
      </c>
      <c r="BG414" s="224" t="str">
        <f>IFERROR(VLOOKUP($A414,Devengado!$A$1:$AI$1,26,FALSE),"")</f>
        <v/>
      </c>
      <c r="BH414" s="224" t="str">
        <f>IFERROR(VLOOKUP($A414,Devengado!$A$1:$AI$1,27,FALSE),"")</f>
        <v/>
      </c>
      <c r="BI414" s="224" t="str">
        <f>IFERROR(VLOOKUP($A414,Devengado!$A$1:$AI$1,28,FALSE),"")</f>
        <v/>
      </c>
      <c r="BJ414" s="224" t="str">
        <f>IFERROR(VLOOKUP($A414,Devengado!$A$1:$AI$1,29,FALSE),"")</f>
        <v/>
      </c>
      <c r="BK414" s="224" t="str">
        <f>IFERROR(VLOOKUP($A414,Devengado!$A$1:$AI$1,30,FALSE),"")</f>
        <v/>
      </c>
      <c r="BL414" s="224" t="str">
        <f>IFERROR(VLOOKUP($A414,Devengado!$A$1:$AI$1,31,FALSE),"")</f>
        <v/>
      </c>
      <c r="BM414" s="224" t="str">
        <f>IFERROR(VLOOKUP($A414,Devengado!$A$1:$AI$1,32,FALSE),"")</f>
        <v/>
      </c>
      <c r="BN414" s="224" t="str">
        <f>IFERROR(VLOOKUP($A414,Devengado!$A$1:$AI$1,33,FALSE),"")</f>
        <v/>
      </c>
      <c r="BO414" s="224">
        <f t="shared" si="52"/>
        <v>0</v>
      </c>
      <c r="BP414" s="224" t="str">
        <f t="shared" si="53"/>
        <v/>
      </c>
      <c r="BQ414" s="207"/>
      <c r="BR414" s="207" t="str">
        <f t="shared" si="54"/>
        <v>57</v>
      </c>
    </row>
    <row r="415" spans="1:70" s="225" customFormat="1" ht="25.5" customHeight="1">
      <c r="A415" s="207">
        <v>411</v>
      </c>
      <c r="B415" s="117" t="s">
        <v>408</v>
      </c>
      <c r="C415" s="112" t="s">
        <v>77</v>
      </c>
      <c r="D415" s="112" t="s">
        <v>77</v>
      </c>
      <c r="E415" s="112" t="s">
        <v>76</v>
      </c>
      <c r="F415" s="112" t="s">
        <v>77</v>
      </c>
      <c r="G415" s="112" t="s">
        <v>77</v>
      </c>
      <c r="H415" s="112" t="s">
        <v>77</v>
      </c>
      <c r="I415" s="112" t="s">
        <v>77</v>
      </c>
      <c r="J415" s="112" t="s">
        <v>77</v>
      </c>
      <c r="K415" s="112" t="s">
        <v>77</v>
      </c>
      <c r="L415" s="112" t="s">
        <v>85</v>
      </c>
      <c r="M415" s="112" t="s">
        <v>427</v>
      </c>
      <c r="N415" s="114" t="s">
        <v>410</v>
      </c>
      <c r="O415" s="118" t="s">
        <v>132</v>
      </c>
      <c r="P415" s="114" t="s">
        <v>81</v>
      </c>
      <c r="Q415" s="114" t="s">
        <v>112</v>
      </c>
      <c r="R415" s="115" t="str">
        <f t="shared" si="48"/>
        <v>53</v>
      </c>
      <c r="S415" s="112">
        <v>530404</v>
      </c>
      <c r="T415" s="122" t="str">
        <f>VLOOKUP(S415,ITEM!$C$1:$D$156,2,FALSE)</f>
        <v>Maquinarias y Equipos (Instalación, Mantenimiento y Reparación)</v>
      </c>
      <c r="U415" s="112">
        <v>1101</v>
      </c>
      <c r="V415" s="114" t="s">
        <v>82</v>
      </c>
      <c r="W415" s="114" t="s">
        <v>84</v>
      </c>
      <c r="X415" s="114" t="s">
        <v>84</v>
      </c>
      <c r="Y415" s="224" t="e">
        <f>'Matriz POA 2024-TRABAJO'!#REF!</f>
        <v>#REF!</v>
      </c>
      <c r="Z415" s="224" t="e">
        <f>'Matriz POA 2024-TRABAJO'!#REF!</f>
        <v>#REF!</v>
      </c>
      <c r="AA415" s="224" t="e">
        <f>'Matriz POA 2024-TRABAJO'!#REF!</f>
        <v>#REF!</v>
      </c>
      <c r="AB415" s="279">
        <v>0</v>
      </c>
      <c r="AC415" s="279">
        <v>0</v>
      </c>
      <c r="AD415" s="279">
        <v>0</v>
      </c>
      <c r="AE415" s="279">
        <v>0</v>
      </c>
      <c r="AF415" s="279">
        <v>0</v>
      </c>
      <c r="AG415" s="279">
        <v>0</v>
      </c>
      <c r="AH415" s="279">
        <v>0</v>
      </c>
      <c r="AI415" s="279">
        <v>0</v>
      </c>
      <c r="AJ415" s="279">
        <v>0</v>
      </c>
      <c r="AK415" s="279">
        <v>0</v>
      </c>
      <c r="AL415" s="279">
        <v>0</v>
      </c>
      <c r="AM415" s="279">
        <v>0</v>
      </c>
      <c r="AN415" s="224" t="e">
        <f>SUM(#REF!)</f>
        <v>#REF!</v>
      </c>
      <c r="AO415" s="224">
        <f t="shared" si="49"/>
        <v>0</v>
      </c>
      <c r="AP415" s="224" t="e">
        <f t="shared" si="55"/>
        <v>#REF!</v>
      </c>
      <c r="AQ415" s="224"/>
      <c r="AR415" s="224"/>
      <c r="AS415" s="224"/>
      <c r="AT415" s="224" t="str">
        <f>IFERROR(VLOOKUP($A415,'Constancias POA'!$A$2:$DH$9993,17,FALSE),"")</f>
        <v/>
      </c>
      <c r="AU415" s="224" t="str">
        <f t="shared" si="50"/>
        <v/>
      </c>
      <c r="AV415" s="224" t="str">
        <f>IFERROR(VLOOKUP($A415,CP!$A$1:$U$7992,18,FALSE),"")</f>
        <v/>
      </c>
      <c r="AW415" s="224" t="str">
        <f>IFERROR(VLOOKUP($A415,CP!$A$1:$U$7992,19,FALSE),"")</f>
        <v/>
      </c>
      <c r="AX415" s="224" t="str">
        <f>IFERROR(VLOOKUP($A415,CP!$A$1:$U$7992,20,FALSE),"")</f>
        <v/>
      </c>
      <c r="AY415" s="224" t="str">
        <f>IFERROR(VLOOKUP($A415,CP!$A$1:$U$1,21,FALSE),"")</f>
        <v/>
      </c>
      <c r="AZ415" s="224" t="str">
        <f>IFERROR(VLOOKUP(A415,Devengado!$A$1:AJ1,35,FALSE),"")</f>
        <v/>
      </c>
      <c r="BA415" s="224" t="str">
        <f t="shared" si="51"/>
        <v/>
      </c>
      <c r="BB415" s="224" t="str">
        <f>IFERROR(AZ415/#REF!,"")</f>
        <v/>
      </c>
      <c r="BC415" s="224" t="str">
        <f>IFERROR(VLOOKUP($A415,Devengado!$A$1:$AI$1,22,FALSE),"")</f>
        <v/>
      </c>
      <c r="BD415" s="224" t="str">
        <f>IFERROR(VLOOKUP($A415,Devengado!$A$1:$AI$1,23,FALSE),"")</f>
        <v/>
      </c>
      <c r="BE415" s="224" t="str">
        <f>IFERROR(VLOOKUP($A415,Devengado!$A$1:$AI$1,24,FALSE),"")</f>
        <v/>
      </c>
      <c r="BF415" s="224" t="str">
        <f>IFERROR(VLOOKUP($A415,Devengado!$A$1:$AI$1,25,FALSE),"")</f>
        <v/>
      </c>
      <c r="BG415" s="224" t="str">
        <f>IFERROR(VLOOKUP($A415,Devengado!$A$1:$AI$1,26,FALSE),"")</f>
        <v/>
      </c>
      <c r="BH415" s="224" t="str">
        <f>IFERROR(VLOOKUP($A415,Devengado!$A$1:$AI$1,27,FALSE),"")</f>
        <v/>
      </c>
      <c r="BI415" s="224" t="str">
        <f>IFERROR(VLOOKUP($A415,Devengado!$A$1:$AI$1,28,FALSE),"")</f>
        <v/>
      </c>
      <c r="BJ415" s="224" t="str">
        <f>IFERROR(VLOOKUP($A415,Devengado!$A$1:$AI$1,29,FALSE),"")</f>
        <v/>
      </c>
      <c r="BK415" s="224" t="str">
        <f>IFERROR(VLOOKUP($A415,Devengado!$A$1:$AI$1,30,FALSE),"")</f>
        <v/>
      </c>
      <c r="BL415" s="224" t="str">
        <f>IFERROR(VLOOKUP($A415,Devengado!$A$1:$AI$1,31,FALSE),"")</f>
        <v/>
      </c>
      <c r="BM415" s="224" t="str">
        <f>IFERROR(VLOOKUP($A415,Devengado!$A$1:$AI$1,32,FALSE),"")</f>
        <v/>
      </c>
      <c r="BN415" s="224" t="str">
        <f>IFERROR(VLOOKUP($A415,Devengado!$A$1:$AI$1,33,FALSE),"")</f>
        <v/>
      </c>
      <c r="BO415" s="224">
        <f t="shared" si="52"/>
        <v>0</v>
      </c>
      <c r="BP415" s="224" t="str">
        <f t="shared" si="53"/>
        <v/>
      </c>
      <c r="BQ415" s="207"/>
      <c r="BR415" s="207" t="str">
        <f t="shared" si="54"/>
        <v>53</v>
      </c>
    </row>
    <row r="416" spans="1:70" s="225" customFormat="1" ht="25.5" customHeight="1">
      <c r="A416" s="207">
        <v>412</v>
      </c>
      <c r="B416" s="117" t="s">
        <v>408</v>
      </c>
      <c r="C416" s="112" t="s">
        <v>77</v>
      </c>
      <c r="D416" s="112" t="s">
        <v>77</v>
      </c>
      <c r="E416" s="112" t="s">
        <v>76</v>
      </c>
      <c r="F416" s="112" t="s">
        <v>77</v>
      </c>
      <c r="G416" s="112" t="s">
        <v>77</v>
      </c>
      <c r="H416" s="112" t="s">
        <v>77</v>
      </c>
      <c r="I416" s="112" t="s">
        <v>77</v>
      </c>
      <c r="J416" s="112" t="s">
        <v>77</v>
      </c>
      <c r="K416" s="112" t="s">
        <v>77</v>
      </c>
      <c r="L416" s="112" t="s">
        <v>85</v>
      </c>
      <c r="M416" s="112" t="s">
        <v>428</v>
      </c>
      <c r="N416" s="114" t="s">
        <v>410</v>
      </c>
      <c r="O416" s="118" t="s">
        <v>132</v>
      </c>
      <c r="P416" s="114" t="s">
        <v>81</v>
      </c>
      <c r="Q416" s="114" t="s">
        <v>112</v>
      </c>
      <c r="R416" s="115" t="str">
        <f t="shared" si="48"/>
        <v>53</v>
      </c>
      <c r="S416" s="112">
        <v>530802</v>
      </c>
      <c r="T416" s="122" t="e">
        <f>VLOOKUP(S416,ITEM!$C$1:$D$156,2,FALSE)</f>
        <v>#N/A</v>
      </c>
      <c r="U416" s="112">
        <v>1101</v>
      </c>
      <c r="V416" s="114" t="s">
        <v>112</v>
      </c>
      <c r="W416" s="114" t="s">
        <v>84</v>
      </c>
      <c r="X416" s="114" t="s">
        <v>84</v>
      </c>
      <c r="Y416" s="224" t="e">
        <f>'Matriz POA 2024-TRABAJO'!#REF!</f>
        <v>#REF!</v>
      </c>
      <c r="Z416" s="224" t="e">
        <f>'Matriz POA 2024-TRABAJO'!#REF!</f>
        <v>#REF!</v>
      </c>
      <c r="AA416" s="224" t="e">
        <f>'Matriz POA 2024-TRABAJO'!#REF!</f>
        <v>#REF!</v>
      </c>
      <c r="AB416" s="279">
        <v>0</v>
      </c>
      <c r="AC416" s="279">
        <v>0</v>
      </c>
      <c r="AD416" s="279">
        <v>0</v>
      </c>
      <c r="AE416" s="279">
        <v>0</v>
      </c>
      <c r="AF416" s="279">
        <v>0</v>
      </c>
      <c r="AG416" s="279">
        <v>0</v>
      </c>
      <c r="AH416" s="279">
        <v>0</v>
      </c>
      <c r="AI416" s="279">
        <v>0</v>
      </c>
      <c r="AJ416" s="279">
        <v>0</v>
      </c>
      <c r="AK416" s="279">
        <v>0</v>
      </c>
      <c r="AL416" s="279">
        <v>0</v>
      </c>
      <c r="AM416" s="279">
        <v>0</v>
      </c>
      <c r="AN416" s="224" t="e">
        <f>SUM(#REF!)</f>
        <v>#REF!</v>
      </c>
      <c r="AO416" s="224">
        <f t="shared" si="49"/>
        <v>0</v>
      </c>
      <c r="AP416" s="224" t="e">
        <f t="shared" si="55"/>
        <v>#REF!</v>
      </c>
      <c r="AQ416" s="224"/>
      <c r="AR416" s="224"/>
      <c r="AS416" s="224"/>
      <c r="AT416" s="224" t="str">
        <f>IFERROR(VLOOKUP($A416,'Constancias POA'!$A$2:$DH$9993,17,FALSE),"")</f>
        <v/>
      </c>
      <c r="AU416" s="224" t="str">
        <f t="shared" si="50"/>
        <v/>
      </c>
      <c r="AV416" s="224" t="str">
        <f>IFERROR(VLOOKUP($A416,CP!$A$1:$U$7992,18,FALSE),"")</f>
        <v/>
      </c>
      <c r="AW416" s="224" t="str">
        <f>IFERROR(VLOOKUP($A416,CP!$A$1:$U$7992,19,FALSE),"")</f>
        <v/>
      </c>
      <c r="AX416" s="224" t="str">
        <f>IFERROR(VLOOKUP($A416,CP!$A$1:$U$7992,20,FALSE),"")</f>
        <v/>
      </c>
      <c r="AY416" s="224" t="str">
        <f>IFERROR(VLOOKUP($A416,CP!$A$1:$U$1,21,FALSE),"")</f>
        <v/>
      </c>
      <c r="AZ416" s="224" t="str">
        <f>IFERROR(VLOOKUP(A416,Devengado!$A$1:AJ1,35,FALSE),"")</f>
        <v/>
      </c>
      <c r="BA416" s="224" t="str">
        <f t="shared" si="51"/>
        <v/>
      </c>
      <c r="BB416" s="224" t="str">
        <f>IFERROR(AZ416/#REF!,"")</f>
        <v/>
      </c>
      <c r="BC416" s="224" t="str">
        <f>IFERROR(VLOOKUP($A416,Devengado!$A$1:$AI$1,22,FALSE),"")</f>
        <v/>
      </c>
      <c r="BD416" s="224" t="str">
        <f>IFERROR(VLOOKUP($A416,Devengado!$A$1:$AI$1,23,FALSE),"")</f>
        <v/>
      </c>
      <c r="BE416" s="224" t="str">
        <f>IFERROR(VLOOKUP($A416,Devengado!$A$1:$AI$1,24,FALSE),"")</f>
        <v/>
      </c>
      <c r="BF416" s="224" t="str">
        <f>IFERROR(VLOOKUP($A416,Devengado!$A$1:$AI$1,25,FALSE),"")</f>
        <v/>
      </c>
      <c r="BG416" s="224" t="str">
        <f>IFERROR(VLOOKUP($A416,Devengado!$A$1:$AI$1,26,FALSE),"")</f>
        <v/>
      </c>
      <c r="BH416" s="224" t="str">
        <f>IFERROR(VLOOKUP($A416,Devengado!$A$1:$AI$1,27,FALSE),"")</f>
        <v/>
      </c>
      <c r="BI416" s="224" t="str">
        <f>IFERROR(VLOOKUP($A416,Devengado!$A$1:$AI$1,28,FALSE),"")</f>
        <v/>
      </c>
      <c r="BJ416" s="224" t="str">
        <f>IFERROR(VLOOKUP($A416,Devengado!$A$1:$AI$1,29,FALSE),"")</f>
        <v/>
      </c>
      <c r="BK416" s="224" t="str">
        <f>IFERROR(VLOOKUP($A416,Devengado!$A$1:$AI$1,30,FALSE),"")</f>
        <v/>
      </c>
      <c r="BL416" s="224" t="str">
        <f>IFERROR(VLOOKUP($A416,Devengado!$A$1:$AI$1,31,FALSE),"")</f>
        <v/>
      </c>
      <c r="BM416" s="224" t="str">
        <f>IFERROR(VLOOKUP($A416,Devengado!$A$1:$AI$1,32,FALSE),"")</f>
        <v/>
      </c>
      <c r="BN416" s="224" t="str">
        <f>IFERROR(VLOOKUP($A416,Devengado!$A$1:$AI$1,33,FALSE),"")</f>
        <v/>
      </c>
      <c r="BO416" s="224">
        <f t="shared" si="52"/>
        <v>0</v>
      </c>
      <c r="BP416" s="224" t="str">
        <f t="shared" si="53"/>
        <v/>
      </c>
      <c r="BQ416" s="207"/>
      <c r="BR416" s="207" t="str">
        <f t="shared" si="54"/>
        <v>53</v>
      </c>
    </row>
    <row r="417" spans="1:70" s="225" customFormat="1" ht="25.5" customHeight="1">
      <c r="A417" s="207">
        <v>413</v>
      </c>
      <c r="B417" s="117" t="s">
        <v>408</v>
      </c>
      <c r="C417" s="112" t="s">
        <v>77</v>
      </c>
      <c r="D417" s="112" t="s">
        <v>77</v>
      </c>
      <c r="E417" s="112" t="s">
        <v>76</v>
      </c>
      <c r="F417" s="112" t="s">
        <v>77</v>
      </c>
      <c r="G417" s="112" t="s">
        <v>77</v>
      </c>
      <c r="H417" s="112" t="s">
        <v>77</v>
      </c>
      <c r="I417" s="112" t="s">
        <v>77</v>
      </c>
      <c r="J417" s="112" t="s">
        <v>77</v>
      </c>
      <c r="K417" s="112" t="s">
        <v>77</v>
      </c>
      <c r="L417" s="112" t="s">
        <v>85</v>
      </c>
      <c r="M417" s="112" t="s">
        <v>428</v>
      </c>
      <c r="N417" s="114" t="s">
        <v>410</v>
      </c>
      <c r="O417" s="118" t="s">
        <v>132</v>
      </c>
      <c r="P417" s="114" t="s">
        <v>81</v>
      </c>
      <c r="Q417" s="114" t="s">
        <v>112</v>
      </c>
      <c r="R417" s="115" t="str">
        <f t="shared" si="48"/>
        <v>53</v>
      </c>
      <c r="S417" s="112">
        <v>530255</v>
      </c>
      <c r="T417" s="122" t="str">
        <f>VLOOKUP(S417,ITEM!$C$1:$D$156,2,FALSE)</f>
        <v>Combustibles</v>
      </c>
      <c r="U417" s="112">
        <v>1101</v>
      </c>
      <c r="V417" s="114" t="s">
        <v>112</v>
      </c>
      <c r="W417" s="114" t="s">
        <v>84</v>
      </c>
      <c r="X417" s="114" t="s">
        <v>84</v>
      </c>
      <c r="Y417" s="224" t="e">
        <f>'Matriz POA 2024-TRABAJO'!#REF!</f>
        <v>#REF!</v>
      </c>
      <c r="Z417" s="224" t="e">
        <f>'Matriz POA 2024-TRABAJO'!#REF!</f>
        <v>#REF!</v>
      </c>
      <c r="AA417" s="224" t="e">
        <f>'Matriz POA 2024-TRABAJO'!#REF!</f>
        <v>#REF!</v>
      </c>
      <c r="AB417" s="279">
        <v>0</v>
      </c>
      <c r="AC417" s="279">
        <v>0</v>
      </c>
      <c r="AD417" s="279">
        <v>0</v>
      </c>
      <c r="AE417" s="279">
        <v>0</v>
      </c>
      <c r="AF417" s="279">
        <v>0</v>
      </c>
      <c r="AG417" s="279">
        <v>0</v>
      </c>
      <c r="AH417" s="279">
        <v>0</v>
      </c>
      <c r="AI417" s="279">
        <v>0</v>
      </c>
      <c r="AJ417" s="279">
        <v>0</v>
      </c>
      <c r="AK417" s="279">
        <v>0</v>
      </c>
      <c r="AL417" s="279">
        <v>0</v>
      </c>
      <c r="AM417" s="279">
        <v>0</v>
      </c>
      <c r="AN417" s="224" t="e">
        <f>SUM(#REF!)</f>
        <v>#REF!</v>
      </c>
      <c r="AO417" s="224">
        <f t="shared" si="49"/>
        <v>0</v>
      </c>
      <c r="AP417" s="224" t="e">
        <f t="shared" si="55"/>
        <v>#REF!</v>
      </c>
      <c r="AQ417" s="224"/>
      <c r="AR417" s="224"/>
      <c r="AS417" s="224"/>
      <c r="AT417" s="224" t="str">
        <f>IFERROR(VLOOKUP($A417,'Constancias POA'!$A$2:$DH$9993,17,FALSE),"")</f>
        <v/>
      </c>
      <c r="AU417" s="224" t="str">
        <f t="shared" si="50"/>
        <v/>
      </c>
      <c r="AV417" s="224" t="str">
        <f>IFERROR(VLOOKUP($A417,CP!$A$1:$U$7992,18,FALSE),"")</f>
        <v/>
      </c>
      <c r="AW417" s="224" t="str">
        <f>IFERROR(VLOOKUP($A417,CP!$A$1:$U$7992,19,FALSE),"")</f>
        <v/>
      </c>
      <c r="AX417" s="224" t="str">
        <f>IFERROR(VLOOKUP($A417,CP!$A$1:$U$7992,20,FALSE),"")</f>
        <v/>
      </c>
      <c r="AY417" s="224" t="str">
        <f>IFERROR(VLOOKUP($A417,CP!$A$1:$U$1,21,FALSE),"")</f>
        <v/>
      </c>
      <c r="AZ417" s="224" t="str">
        <f>IFERROR(VLOOKUP(A417,Devengado!$A$1:AJ1,35,FALSE),"")</f>
        <v/>
      </c>
      <c r="BA417" s="224" t="str">
        <f t="shared" si="51"/>
        <v/>
      </c>
      <c r="BB417" s="224" t="str">
        <f>IFERROR(AZ417/#REF!,"")</f>
        <v/>
      </c>
      <c r="BC417" s="224" t="str">
        <f>IFERROR(VLOOKUP($A417,Devengado!$A$1:$AI$1,22,FALSE),"")</f>
        <v/>
      </c>
      <c r="BD417" s="224" t="str">
        <f>IFERROR(VLOOKUP($A417,Devengado!$A$1:$AI$1,23,FALSE),"")</f>
        <v/>
      </c>
      <c r="BE417" s="224" t="str">
        <f>IFERROR(VLOOKUP($A417,Devengado!$A$1:$AI$1,24,FALSE),"")</f>
        <v/>
      </c>
      <c r="BF417" s="224" t="str">
        <f>IFERROR(VLOOKUP($A417,Devengado!$A$1:$AI$1,25,FALSE),"")</f>
        <v/>
      </c>
      <c r="BG417" s="224" t="str">
        <f>IFERROR(VLOOKUP($A417,Devengado!$A$1:$AI$1,26,FALSE),"")</f>
        <v/>
      </c>
      <c r="BH417" s="224" t="str">
        <f>IFERROR(VLOOKUP($A417,Devengado!$A$1:$AI$1,27,FALSE),"")</f>
        <v/>
      </c>
      <c r="BI417" s="224" t="str">
        <f>IFERROR(VLOOKUP($A417,Devengado!$A$1:$AI$1,28,FALSE),"")</f>
        <v/>
      </c>
      <c r="BJ417" s="224" t="str">
        <f>IFERROR(VLOOKUP($A417,Devengado!$A$1:$AI$1,29,FALSE),"")</f>
        <v/>
      </c>
      <c r="BK417" s="224" t="str">
        <f>IFERROR(VLOOKUP($A417,Devengado!$A$1:$AI$1,30,FALSE),"")</f>
        <v/>
      </c>
      <c r="BL417" s="224" t="str">
        <f>IFERROR(VLOOKUP($A417,Devengado!$A$1:$AI$1,31,FALSE),"")</f>
        <v/>
      </c>
      <c r="BM417" s="224" t="str">
        <f>IFERROR(VLOOKUP($A417,Devengado!$A$1:$AI$1,32,FALSE),"")</f>
        <v/>
      </c>
      <c r="BN417" s="224" t="str">
        <f>IFERROR(VLOOKUP($A417,Devengado!$A$1:$AI$1,33,FALSE),"")</f>
        <v/>
      </c>
      <c r="BO417" s="224">
        <f t="shared" si="52"/>
        <v>0</v>
      </c>
      <c r="BP417" s="224" t="str">
        <f t="shared" si="53"/>
        <v/>
      </c>
      <c r="BQ417" s="207"/>
      <c r="BR417" s="207" t="str">
        <f t="shared" si="54"/>
        <v>53</v>
      </c>
    </row>
    <row r="418" spans="1:70" s="225" customFormat="1" ht="25.5" customHeight="1">
      <c r="A418" s="207">
        <v>414</v>
      </c>
      <c r="B418" s="117" t="s">
        <v>408</v>
      </c>
      <c r="C418" s="112" t="s">
        <v>77</v>
      </c>
      <c r="D418" s="112" t="s">
        <v>77</v>
      </c>
      <c r="E418" s="112" t="s">
        <v>76</v>
      </c>
      <c r="F418" s="112" t="s">
        <v>77</v>
      </c>
      <c r="G418" s="112" t="s">
        <v>77</v>
      </c>
      <c r="H418" s="112" t="s">
        <v>77</v>
      </c>
      <c r="I418" s="112" t="s">
        <v>77</v>
      </c>
      <c r="J418" s="112" t="s">
        <v>77</v>
      </c>
      <c r="K418" s="112" t="s">
        <v>77</v>
      </c>
      <c r="L418" s="112" t="s">
        <v>85</v>
      </c>
      <c r="M418" s="112" t="s">
        <v>428</v>
      </c>
      <c r="N418" s="114" t="s">
        <v>410</v>
      </c>
      <c r="O418" s="118" t="s">
        <v>132</v>
      </c>
      <c r="P418" s="114" t="s">
        <v>81</v>
      </c>
      <c r="Q418" s="114" t="s">
        <v>112</v>
      </c>
      <c r="R418" s="115" t="str">
        <f t="shared" si="48"/>
        <v>53</v>
      </c>
      <c r="S418" s="112">
        <v>530404</v>
      </c>
      <c r="T418" s="122" t="str">
        <f>VLOOKUP(S418,ITEM!$C$1:$D$156,2,FALSE)</f>
        <v>Maquinarias y Equipos (Instalación, Mantenimiento y Reparación)</v>
      </c>
      <c r="U418" s="112">
        <v>1101</v>
      </c>
      <c r="V418" s="114" t="s">
        <v>112</v>
      </c>
      <c r="W418" s="114" t="s">
        <v>84</v>
      </c>
      <c r="X418" s="114" t="s">
        <v>84</v>
      </c>
      <c r="Y418" s="224" t="e">
        <f>'Matriz POA 2024-TRABAJO'!#REF!</f>
        <v>#REF!</v>
      </c>
      <c r="Z418" s="224" t="e">
        <f>'Matriz POA 2024-TRABAJO'!#REF!</f>
        <v>#REF!</v>
      </c>
      <c r="AA418" s="224" t="e">
        <f>'Matriz POA 2024-TRABAJO'!#REF!</f>
        <v>#REF!</v>
      </c>
      <c r="AB418" s="279">
        <v>0</v>
      </c>
      <c r="AC418" s="279">
        <v>0</v>
      </c>
      <c r="AD418" s="279">
        <v>0</v>
      </c>
      <c r="AE418" s="279">
        <v>0</v>
      </c>
      <c r="AF418" s="279">
        <v>0</v>
      </c>
      <c r="AG418" s="279">
        <v>0</v>
      </c>
      <c r="AH418" s="279">
        <v>0</v>
      </c>
      <c r="AI418" s="279">
        <v>0</v>
      </c>
      <c r="AJ418" s="279">
        <v>0</v>
      </c>
      <c r="AK418" s="279">
        <v>0</v>
      </c>
      <c r="AL418" s="279">
        <v>0</v>
      </c>
      <c r="AM418" s="279">
        <v>0</v>
      </c>
      <c r="AN418" s="224" t="e">
        <f>SUM(#REF!)</f>
        <v>#REF!</v>
      </c>
      <c r="AO418" s="224">
        <f t="shared" si="49"/>
        <v>0</v>
      </c>
      <c r="AP418" s="224" t="e">
        <f t="shared" si="55"/>
        <v>#REF!</v>
      </c>
      <c r="AQ418" s="224"/>
      <c r="AR418" s="224"/>
      <c r="AS418" s="224"/>
      <c r="AT418" s="224" t="str">
        <f>IFERROR(VLOOKUP($A418,'Constancias POA'!$A$2:$DH$9993,17,FALSE),"")</f>
        <v/>
      </c>
      <c r="AU418" s="224" t="str">
        <f t="shared" si="50"/>
        <v/>
      </c>
      <c r="AV418" s="224" t="str">
        <f>IFERROR(VLOOKUP($A418,CP!$A$1:$U$7992,18,FALSE),"")</f>
        <v/>
      </c>
      <c r="AW418" s="224" t="str">
        <f>IFERROR(VLOOKUP($A418,CP!$A$1:$U$7992,19,FALSE),"")</f>
        <v/>
      </c>
      <c r="AX418" s="224" t="str">
        <f>IFERROR(VLOOKUP($A418,CP!$A$1:$U$7992,20,FALSE),"")</f>
        <v/>
      </c>
      <c r="AY418" s="224" t="str">
        <f>IFERROR(VLOOKUP($A418,CP!$A$1:$U$1,21,FALSE),"")</f>
        <v/>
      </c>
      <c r="AZ418" s="224" t="str">
        <f>IFERROR(VLOOKUP(A418,Devengado!$A$1:AJ1,35,FALSE),"")</f>
        <v/>
      </c>
      <c r="BA418" s="224" t="str">
        <f t="shared" si="51"/>
        <v/>
      </c>
      <c r="BB418" s="224" t="str">
        <f>IFERROR(AZ418/#REF!,"")</f>
        <v/>
      </c>
      <c r="BC418" s="224" t="str">
        <f>IFERROR(VLOOKUP($A418,Devengado!$A$1:$AI$1,22,FALSE),"")</f>
        <v/>
      </c>
      <c r="BD418" s="224" t="str">
        <f>IFERROR(VLOOKUP($A418,Devengado!$A$1:$AI$1,23,FALSE),"")</f>
        <v/>
      </c>
      <c r="BE418" s="224" t="str">
        <f>IFERROR(VLOOKUP($A418,Devengado!$A$1:$AI$1,24,FALSE),"")</f>
        <v/>
      </c>
      <c r="BF418" s="224" t="str">
        <f>IFERROR(VLOOKUP($A418,Devengado!$A$1:$AI$1,25,FALSE),"")</f>
        <v/>
      </c>
      <c r="BG418" s="224" t="str">
        <f>IFERROR(VLOOKUP($A418,Devengado!$A$1:$AI$1,26,FALSE),"")</f>
        <v/>
      </c>
      <c r="BH418" s="224" t="str">
        <f>IFERROR(VLOOKUP($A418,Devengado!$A$1:$AI$1,27,FALSE),"")</f>
        <v/>
      </c>
      <c r="BI418" s="224" t="str">
        <f>IFERROR(VLOOKUP($A418,Devengado!$A$1:$AI$1,28,FALSE),"")</f>
        <v/>
      </c>
      <c r="BJ418" s="224" t="str">
        <f>IFERROR(VLOOKUP($A418,Devengado!$A$1:$AI$1,29,FALSE),"")</f>
        <v/>
      </c>
      <c r="BK418" s="224" t="str">
        <f>IFERROR(VLOOKUP($A418,Devengado!$A$1:$AI$1,30,FALSE),"")</f>
        <v/>
      </c>
      <c r="BL418" s="224" t="str">
        <f>IFERROR(VLOOKUP($A418,Devengado!$A$1:$AI$1,31,FALSE),"")</f>
        <v/>
      </c>
      <c r="BM418" s="224" t="str">
        <f>IFERROR(VLOOKUP($A418,Devengado!$A$1:$AI$1,32,FALSE),"")</f>
        <v/>
      </c>
      <c r="BN418" s="224" t="str">
        <f>IFERROR(VLOOKUP($A418,Devengado!$A$1:$AI$1,33,FALSE),"")</f>
        <v/>
      </c>
      <c r="BO418" s="224">
        <f t="shared" si="52"/>
        <v>0</v>
      </c>
      <c r="BP418" s="224" t="str">
        <f t="shared" si="53"/>
        <v/>
      </c>
      <c r="BQ418" s="207"/>
      <c r="BR418" s="207" t="str">
        <f t="shared" si="54"/>
        <v>53</v>
      </c>
    </row>
    <row r="419" spans="1:70" s="225" customFormat="1" ht="25.5" customHeight="1">
      <c r="A419" s="207">
        <v>415</v>
      </c>
      <c r="B419" s="112" t="s">
        <v>429</v>
      </c>
      <c r="C419" s="112" t="s">
        <v>77</v>
      </c>
      <c r="D419" s="112" t="s">
        <v>77</v>
      </c>
      <c r="E419" s="112" t="s">
        <v>76</v>
      </c>
      <c r="F419" s="112" t="s">
        <v>77</v>
      </c>
      <c r="G419" s="112" t="s">
        <v>77</v>
      </c>
      <c r="H419" s="112" t="s">
        <v>77</v>
      </c>
      <c r="I419" s="112" t="s">
        <v>77</v>
      </c>
      <c r="J419" s="112" t="s">
        <v>77</v>
      </c>
      <c r="K419" s="112" t="s">
        <v>77</v>
      </c>
      <c r="L419" s="112" t="s">
        <v>85</v>
      </c>
      <c r="M419" s="112" t="s">
        <v>351</v>
      </c>
      <c r="N419" s="114" t="s">
        <v>430</v>
      </c>
      <c r="O419" s="114" t="s">
        <v>111</v>
      </c>
      <c r="P419" s="114" t="s">
        <v>81</v>
      </c>
      <c r="Q419" s="114" t="s">
        <v>112</v>
      </c>
      <c r="R419" s="115" t="str">
        <f t="shared" si="48"/>
        <v>51</v>
      </c>
      <c r="S419" s="124">
        <v>510105</v>
      </c>
      <c r="T419" s="122" t="str">
        <f>VLOOKUP(S419,ITEM!$C$1:$D$156,2,FALSE)</f>
        <v>Remuneraciones Unificadas</v>
      </c>
      <c r="U419" s="112">
        <v>1300</v>
      </c>
      <c r="V419" s="114" t="s">
        <v>82</v>
      </c>
      <c r="W419" s="114" t="s">
        <v>84</v>
      </c>
      <c r="X419" s="114" t="s">
        <v>84</v>
      </c>
      <c r="Y419" s="224">
        <f>'Matriz POA 2024-TRABAJO'!AS5</f>
        <v>267752</v>
      </c>
      <c r="Z419" s="224">
        <f>'Matriz POA 2024-TRABAJO'!AT5</f>
        <v>0</v>
      </c>
      <c r="AA419" s="224">
        <f>'Matriz POA 2024-TRABAJO'!AU5</f>
        <v>267752</v>
      </c>
      <c r="AB419" s="279">
        <v>23081.33</v>
      </c>
      <c r="AC419" s="279">
        <v>23081.33</v>
      </c>
      <c r="AD419" s="279">
        <v>23081.33</v>
      </c>
      <c r="AE419" s="279">
        <v>23081.33</v>
      </c>
      <c r="AF419" s="279">
        <v>23081.33</v>
      </c>
      <c r="AG419" s="279">
        <v>23081.33</v>
      </c>
      <c r="AH419" s="279">
        <v>23081.33</v>
      </c>
      <c r="AI419" s="279">
        <v>23081.33</v>
      </c>
      <c r="AJ419" s="279">
        <v>23081.33</v>
      </c>
      <c r="AK419" s="279">
        <v>23081.33</v>
      </c>
      <c r="AL419" s="279">
        <v>23081.33</v>
      </c>
      <c r="AM419" s="279">
        <v>23081.41</v>
      </c>
      <c r="AN419" s="224" t="e">
        <f>SUM(#REF!)</f>
        <v>#REF!</v>
      </c>
      <c r="AO419" s="224">
        <f t="shared" si="49"/>
        <v>276976.04000000004</v>
      </c>
      <c r="AP419" s="224">
        <f t="shared" si="55"/>
        <v>9224.0400000000373</v>
      </c>
      <c r="AQ419" s="224"/>
      <c r="AR419" s="224"/>
      <c r="AS419" s="224"/>
      <c r="AT419" s="224">
        <f>IFERROR(VLOOKUP($A419,'Constancias POA'!$A$2:$DH$9993,17,FALSE),"")</f>
        <v>267752</v>
      </c>
      <c r="AU419" s="224">
        <f t="shared" si="50"/>
        <v>0</v>
      </c>
      <c r="AV419" s="224">
        <f>IFERROR(VLOOKUP($A419,CP!$A$1:$U$7992,18,FALSE),"")</f>
        <v>0</v>
      </c>
      <c r="AW419" s="224">
        <f>IFERROR(VLOOKUP($A419,CP!$A$1:$U$7992,19,FALSE),"")</f>
        <v>266098.40000000002</v>
      </c>
      <c r="AX419" s="224">
        <f>IFERROR(VLOOKUP($A419,CP!$A$1:$U$7992,20,FALSE),"")</f>
        <v>0</v>
      </c>
      <c r="AY419" s="224" t="str">
        <f>IFERROR(VLOOKUP($A419,CP!$A$1:$U$1,21,FALSE),"")</f>
        <v/>
      </c>
      <c r="AZ419" s="224" t="str">
        <f>IFERROR(VLOOKUP(A419,Devengado!$A$1:AJ1,35,FALSE),"")</f>
        <v/>
      </c>
      <c r="BA419" s="224" t="str">
        <f t="shared" si="51"/>
        <v/>
      </c>
      <c r="BB419" s="224" t="str">
        <f>IFERROR(AZ419/#REF!,"")</f>
        <v/>
      </c>
      <c r="BC419" s="224" t="str">
        <f>IFERROR(VLOOKUP($A419,Devengado!$A$1:$AI$1,22,FALSE),"")</f>
        <v/>
      </c>
      <c r="BD419" s="224" t="str">
        <f>IFERROR(VLOOKUP($A419,Devengado!$A$1:$AI$1,23,FALSE),"")</f>
        <v/>
      </c>
      <c r="BE419" s="224" t="str">
        <f>IFERROR(VLOOKUP($A419,Devengado!$A$1:$AI$1,24,FALSE),"")</f>
        <v/>
      </c>
      <c r="BF419" s="224" t="str">
        <f>IFERROR(VLOOKUP($A419,Devengado!$A$1:$AI$1,25,FALSE),"")</f>
        <v/>
      </c>
      <c r="BG419" s="224" t="str">
        <f>IFERROR(VLOOKUP($A419,Devengado!$A$1:$AI$1,26,FALSE),"")</f>
        <v/>
      </c>
      <c r="BH419" s="224" t="str">
        <f>IFERROR(VLOOKUP($A419,Devengado!$A$1:$AI$1,27,FALSE),"")</f>
        <v/>
      </c>
      <c r="BI419" s="224" t="str">
        <f>IFERROR(VLOOKUP($A419,Devengado!$A$1:$AI$1,28,FALSE),"")</f>
        <v/>
      </c>
      <c r="BJ419" s="224" t="str">
        <f>IFERROR(VLOOKUP($A419,Devengado!$A$1:$AI$1,29,FALSE),"")</f>
        <v/>
      </c>
      <c r="BK419" s="224" t="str">
        <f>IFERROR(VLOOKUP($A419,Devengado!$A$1:$AI$1,30,FALSE),"")</f>
        <v/>
      </c>
      <c r="BL419" s="224" t="str">
        <f>IFERROR(VLOOKUP($A419,Devengado!$A$1:$AI$1,31,FALSE),"")</f>
        <v/>
      </c>
      <c r="BM419" s="224" t="str">
        <f>IFERROR(VLOOKUP($A419,Devengado!$A$1:$AI$1,32,FALSE),"")</f>
        <v/>
      </c>
      <c r="BN419" s="224" t="str">
        <f>IFERROR(VLOOKUP($A419,Devengado!$A$1:$AI$1,33,FALSE),"")</f>
        <v/>
      </c>
      <c r="BO419" s="224">
        <f t="shared" si="52"/>
        <v>0</v>
      </c>
      <c r="BP419" s="224" t="str">
        <f t="shared" si="53"/>
        <v/>
      </c>
      <c r="BQ419" s="207"/>
      <c r="BR419" s="207" t="str">
        <f t="shared" si="54"/>
        <v>51</v>
      </c>
    </row>
    <row r="420" spans="1:70" s="225" customFormat="1" ht="25.5" customHeight="1">
      <c r="A420" s="207">
        <v>416</v>
      </c>
      <c r="B420" s="112" t="s">
        <v>429</v>
      </c>
      <c r="C420" s="112" t="s">
        <v>77</v>
      </c>
      <c r="D420" s="112" t="s">
        <v>77</v>
      </c>
      <c r="E420" s="112" t="s">
        <v>76</v>
      </c>
      <c r="F420" s="112" t="s">
        <v>77</v>
      </c>
      <c r="G420" s="112" t="s">
        <v>77</v>
      </c>
      <c r="H420" s="112" t="s">
        <v>77</v>
      </c>
      <c r="I420" s="112" t="s">
        <v>77</v>
      </c>
      <c r="J420" s="112" t="s">
        <v>77</v>
      </c>
      <c r="K420" s="112" t="s">
        <v>77</v>
      </c>
      <c r="L420" s="112" t="s">
        <v>85</v>
      </c>
      <c r="M420" s="114" t="s">
        <v>353</v>
      </c>
      <c r="N420" s="114" t="s">
        <v>430</v>
      </c>
      <c r="O420" s="114" t="s">
        <v>111</v>
      </c>
      <c r="P420" s="114" t="s">
        <v>81</v>
      </c>
      <c r="Q420" s="114" t="s">
        <v>112</v>
      </c>
      <c r="R420" s="115" t="str">
        <f t="shared" si="48"/>
        <v>51</v>
      </c>
      <c r="S420" s="124">
        <v>510106</v>
      </c>
      <c r="T420" s="122" t="str">
        <f>VLOOKUP(S420,ITEM!$C$1:$D$156,2,FALSE)</f>
        <v>Salarios Unificados</v>
      </c>
      <c r="U420" s="112">
        <v>1300</v>
      </c>
      <c r="V420" s="114" t="s">
        <v>82</v>
      </c>
      <c r="W420" s="114" t="s">
        <v>84</v>
      </c>
      <c r="X420" s="114" t="s">
        <v>84</v>
      </c>
      <c r="Y420" s="224">
        <f>'Matriz POA 2024-TRABAJO'!AS6</f>
        <v>68580</v>
      </c>
      <c r="Z420" s="224">
        <f>'Matriz POA 2024-TRABAJO'!AT6</f>
        <v>0</v>
      </c>
      <c r="AA420" s="224">
        <f>'Matriz POA 2024-TRABAJO'!AU6</f>
        <v>68580</v>
      </c>
      <c r="AB420" s="279">
        <v>5715</v>
      </c>
      <c r="AC420" s="279">
        <v>5715</v>
      </c>
      <c r="AD420" s="279">
        <v>5715</v>
      </c>
      <c r="AE420" s="279">
        <v>5715</v>
      </c>
      <c r="AF420" s="279">
        <v>5715</v>
      </c>
      <c r="AG420" s="279">
        <v>5715</v>
      </c>
      <c r="AH420" s="279">
        <v>5715</v>
      </c>
      <c r="AI420" s="279">
        <v>5715</v>
      </c>
      <c r="AJ420" s="279">
        <v>5715</v>
      </c>
      <c r="AK420" s="279">
        <v>5715</v>
      </c>
      <c r="AL420" s="279">
        <v>5715</v>
      </c>
      <c r="AM420" s="279">
        <v>5715</v>
      </c>
      <c r="AN420" s="224" t="e">
        <f>SUM(#REF!)</f>
        <v>#REF!</v>
      </c>
      <c r="AO420" s="224">
        <f t="shared" si="49"/>
        <v>68580</v>
      </c>
      <c r="AP420" s="224">
        <f t="shared" si="55"/>
        <v>0</v>
      </c>
      <c r="AQ420" s="224"/>
      <c r="AR420" s="224"/>
      <c r="AS420" s="224"/>
      <c r="AT420" s="224">
        <f>IFERROR(VLOOKUP($A420,'Constancias POA'!$A$2:$DH$9993,17,FALSE),"")</f>
        <v>68580</v>
      </c>
      <c r="AU420" s="224">
        <f t="shared" si="50"/>
        <v>0</v>
      </c>
      <c r="AV420" s="224">
        <f>IFERROR(VLOOKUP($A420,CP!$A$1:$U$7992,18,FALSE),"")</f>
        <v>0</v>
      </c>
      <c r="AW420" s="224">
        <f>IFERROR(VLOOKUP($A420,CP!$A$1:$U$7992,19,FALSE),"")</f>
        <v>68580</v>
      </c>
      <c r="AX420" s="224">
        <f>IFERROR(VLOOKUP($A420,CP!$A$1:$U$7992,20,FALSE),"")</f>
        <v>0</v>
      </c>
      <c r="AY420" s="224" t="str">
        <f>IFERROR(VLOOKUP($A420,CP!$A$1:$U$1,21,FALSE),"")</f>
        <v/>
      </c>
      <c r="AZ420" s="224" t="str">
        <f>IFERROR(VLOOKUP(A420,Devengado!$A$1:AJ1,35,FALSE),"")</f>
        <v/>
      </c>
      <c r="BA420" s="224" t="str">
        <f t="shared" si="51"/>
        <v/>
      </c>
      <c r="BB420" s="224" t="str">
        <f>IFERROR(AZ420/#REF!,"")</f>
        <v/>
      </c>
      <c r="BC420" s="224" t="str">
        <f>IFERROR(VLOOKUP($A420,Devengado!$A$1:$AI$1,22,FALSE),"")</f>
        <v/>
      </c>
      <c r="BD420" s="224" t="str">
        <f>IFERROR(VLOOKUP($A420,Devengado!$A$1:$AI$1,23,FALSE),"")</f>
        <v/>
      </c>
      <c r="BE420" s="224" t="str">
        <f>IFERROR(VLOOKUP($A420,Devengado!$A$1:$AI$1,24,FALSE),"")</f>
        <v/>
      </c>
      <c r="BF420" s="224" t="str">
        <f>IFERROR(VLOOKUP($A420,Devengado!$A$1:$AI$1,25,FALSE),"")</f>
        <v/>
      </c>
      <c r="BG420" s="224" t="str">
        <f>IFERROR(VLOOKUP($A420,Devengado!$A$1:$AI$1,26,FALSE),"")</f>
        <v/>
      </c>
      <c r="BH420" s="224" t="str">
        <f>IFERROR(VLOOKUP($A420,Devengado!$A$1:$AI$1,27,FALSE),"")</f>
        <v/>
      </c>
      <c r="BI420" s="224" t="str">
        <f>IFERROR(VLOOKUP($A420,Devengado!$A$1:$AI$1,28,FALSE),"")</f>
        <v/>
      </c>
      <c r="BJ420" s="224" t="str">
        <f>IFERROR(VLOOKUP($A420,Devengado!$A$1:$AI$1,29,FALSE),"")</f>
        <v/>
      </c>
      <c r="BK420" s="224" t="str">
        <f>IFERROR(VLOOKUP($A420,Devengado!$A$1:$AI$1,30,FALSE),"")</f>
        <v/>
      </c>
      <c r="BL420" s="224" t="str">
        <f>IFERROR(VLOOKUP($A420,Devengado!$A$1:$AI$1,31,FALSE),"")</f>
        <v/>
      </c>
      <c r="BM420" s="224" t="str">
        <f>IFERROR(VLOOKUP($A420,Devengado!$A$1:$AI$1,32,FALSE),"")</f>
        <v/>
      </c>
      <c r="BN420" s="224" t="str">
        <f>IFERROR(VLOOKUP($A420,Devengado!$A$1:$AI$1,33,FALSE),"")</f>
        <v/>
      </c>
      <c r="BO420" s="224">
        <f t="shared" si="52"/>
        <v>0</v>
      </c>
      <c r="BP420" s="224" t="str">
        <f t="shared" si="53"/>
        <v/>
      </c>
      <c r="BQ420" s="207"/>
      <c r="BR420" s="207" t="str">
        <f t="shared" si="54"/>
        <v>51</v>
      </c>
    </row>
    <row r="421" spans="1:70" s="225" customFormat="1" ht="25.5" customHeight="1">
      <c r="A421" s="207">
        <v>417</v>
      </c>
      <c r="B421" s="112" t="s">
        <v>429</v>
      </c>
      <c r="C421" s="112" t="s">
        <v>77</v>
      </c>
      <c r="D421" s="112" t="s">
        <v>77</v>
      </c>
      <c r="E421" s="112" t="s">
        <v>76</v>
      </c>
      <c r="F421" s="112" t="s">
        <v>77</v>
      </c>
      <c r="G421" s="112" t="s">
        <v>77</v>
      </c>
      <c r="H421" s="112" t="s">
        <v>77</v>
      </c>
      <c r="I421" s="112" t="s">
        <v>77</v>
      </c>
      <c r="J421" s="112" t="s">
        <v>77</v>
      </c>
      <c r="K421" s="112" t="s">
        <v>77</v>
      </c>
      <c r="L421" s="112" t="s">
        <v>85</v>
      </c>
      <c r="M421" s="112" t="s">
        <v>431</v>
      </c>
      <c r="N421" s="114" t="s">
        <v>430</v>
      </c>
      <c r="O421" s="114" t="s">
        <v>111</v>
      </c>
      <c r="P421" s="114" t="s">
        <v>81</v>
      </c>
      <c r="Q421" s="114" t="s">
        <v>112</v>
      </c>
      <c r="R421" s="115" t="str">
        <f t="shared" si="48"/>
        <v>51</v>
      </c>
      <c r="S421" s="124">
        <v>510203</v>
      </c>
      <c r="T421" s="122" t="str">
        <f>VLOOKUP(S421,ITEM!$C$1:$D$156,2,FALSE)</f>
        <v>Decimo Tercer Sueldo</v>
      </c>
      <c r="U421" s="112">
        <v>1300</v>
      </c>
      <c r="V421" s="114" t="s">
        <v>82</v>
      </c>
      <c r="W421" s="114" t="s">
        <v>84</v>
      </c>
      <c r="X421" s="114" t="s">
        <v>84</v>
      </c>
      <c r="Y421" s="224">
        <f>'Matriz POA 2024-TRABAJO'!AS7</f>
        <v>30689.07</v>
      </c>
      <c r="Z421" s="224">
        <f>'Matriz POA 2024-TRABAJO'!AT7</f>
        <v>0</v>
      </c>
      <c r="AA421" s="224">
        <f>'Matriz POA 2024-TRABAJO'!AU7</f>
        <v>30689.07</v>
      </c>
      <c r="AB421" s="279">
        <v>2675.14</v>
      </c>
      <c r="AC421" s="279">
        <v>2675.14</v>
      </c>
      <c r="AD421" s="279">
        <v>2675.14</v>
      </c>
      <c r="AE421" s="279">
        <v>2675.14</v>
      </c>
      <c r="AF421" s="279">
        <v>2675.14</v>
      </c>
      <c r="AG421" s="279">
        <v>2675.14</v>
      </c>
      <c r="AH421" s="279">
        <v>2675.14</v>
      </c>
      <c r="AI421" s="279">
        <v>2675.14</v>
      </c>
      <c r="AJ421" s="279">
        <v>2675.14</v>
      </c>
      <c r="AK421" s="279">
        <v>2675.14</v>
      </c>
      <c r="AL421" s="279">
        <v>2675.14</v>
      </c>
      <c r="AM421" s="279">
        <v>2674.53</v>
      </c>
      <c r="AN421" s="224" t="e">
        <f>SUM(#REF!)</f>
        <v>#REF!</v>
      </c>
      <c r="AO421" s="224">
        <f t="shared" si="49"/>
        <v>32101.069999999996</v>
      </c>
      <c r="AP421" s="224">
        <f t="shared" si="55"/>
        <v>1411.9999999999964</v>
      </c>
      <c r="AQ421" s="224"/>
      <c r="AR421" s="224"/>
      <c r="AS421" s="224"/>
      <c r="AT421" s="224">
        <f>IFERROR(VLOOKUP($A421,'Constancias POA'!$A$2:$DH$9993,17,FALSE),"")</f>
        <v>30689.07</v>
      </c>
      <c r="AU421" s="224">
        <f t="shared" si="50"/>
        <v>0</v>
      </c>
      <c r="AV421" s="224">
        <f>IFERROR(VLOOKUP($A421,CP!$A$1:$U$7992,18,FALSE),"")</f>
        <v>0</v>
      </c>
      <c r="AW421" s="224">
        <f>IFERROR(VLOOKUP($A421,CP!$A$1:$U$7992,19,FALSE),"")</f>
        <v>29180.79</v>
      </c>
      <c r="AX421" s="224">
        <f>IFERROR(VLOOKUP($A421,CP!$A$1:$U$7992,20,FALSE),"")</f>
        <v>0</v>
      </c>
      <c r="AY421" s="224" t="str">
        <f>IFERROR(VLOOKUP($A421,CP!$A$1:$U$1,21,FALSE),"")</f>
        <v/>
      </c>
      <c r="AZ421" s="224" t="str">
        <f>IFERROR(VLOOKUP(A421,Devengado!$A$1:AJ1,35,FALSE),"")</f>
        <v/>
      </c>
      <c r="BA421" s="224" t="str">
        <f t="shared" si="51"/>
        <v/>
      </c>
      <c r="BB421" s="224" t="str">
        <f>IFERROR(AZ421/#REF!,"")</f>
        <v/>
      </c>
      <c r="BC421" s="224" t="str">
        <f>IFERROR(VLOOKUP($A421,Devengado!$A$1:$AI$1,22,FALSE),"")</f>
        <v/>
      </c>
      <c r="BD421" s="224" t="str">
        <f>IFERROR(VLOOKUP($A421,Devengado!$A$1:$AI$1,23,FALSE),"")</f>
        <v/>
      </c>
      <c r="BE421" s="224" t="str">
        <f>IFERROR(VLOOKUP($A421,Devengado!$A$1:$AI$1,24,FALSE),"")</f>
        <v/>
      </c>
      <c r="BF421" s="224" t="str">
        <f>IFERROR(VLOOKUP($A421,Devengado!$A$1:$AI$1,25,FALSE),"")</f>
        <v/>
      </c>
      <c r="BG421" s="224" t="str">
        <f>IFERROR(VLOOKUP($A421,Devengado!$A$1:$AI$1,26,FALSE),"")</f>
        <v/>
      </c>
      <c r="BH421" s="224" t="str">
        <f>IFERROR(VLOOKUP($A421,Devengado!$A$1:$AI$1,27,FALSE),"")</f>
        <v/>
      </c>
      <c r="BI421" s="224" t="str">
        <f>IFERROR(VLOOKUP($A421,Devengado!$A$1:$AI$1,28,FALSE),"")</f>
        <v/>
      </c>
      <c r="BJ421" s="224" t="str">
        <f>IFERROR(VLOOKUP($A421,Devengado!$A$1:$AI$1,29,FALSE),"")</f>
        <v/>
      </c>
      <c r="BK421" s="224" t="str">
        <f>IFERROR(VLOOKUP($A421,Devengado!$A$1:$AI$1,30,FALSE),"")</f>
        <v/>
      </c>
      <c r="BL421" s="224" t="str">
        <f>IFERROR(VLOOKUP($A421,Devengado!$A$1:$AI$1,31,FALSE),"")</f>
        <v/>
      </c>
      <c r="BM421" s="224" t="str">
        <f>IFERROR(VLOOKUP($A421,Devengado!$A$1:$AI$1,32,FALSE),"")</f>
        <v/>
      </c>
      <c r="BN421" s="224" t="str">
        <f>IFERROR(VLOOKUP($A421,Devengado!$A$1:$AI$1,33,FALSE),"")</f>
        <v/>
      </c>
      <c r="BO421" s="224">
        <f t="shared" si="52"/>
        <v>0</v>
      </c>
      <c r="BP421" s="224" t="str">
        <f t="shared" si="53"/>
        <v/>
      </c>
      <c r="BQ421" s="207"/>
      <c r="BR421" s="207" t="str">
        <f t="shared" si="54"/>
        <v>51</v>
      </c>
    </row>
    <row r="422" spans="1:70" s="225" customFormat="1" ht="25.5" customHeight="1">
      <c r="A422" s="207">
        <v>418</v>
      </c>
      <c r="B422" s="112" t="s">
        <v>429</v>
      </c>
      <c r="C422" s="112" t="s">
        <v>77</v>
      </c>
      <c r="D422" s="112" t="s">
        <v>77</v>
      </c>
      <c r="E422" s="112" t="s">
        <v>76</v>
      </c>
      <c r="F422" s="112" t="s">
        <v>77</v>
      </c>
      <c r="G422" s="112" t="s">
        <v>77</v>
      </c>
      <c r="H422" s="112" t="s">
        <v>77</v>
      </c>
      <c r="I422" s="112" t="s">
        <v>77</v>
      </c>
      <c r="J422" s="112" t="s">
        <v>77</v>
      </c>
      <c r="K422" s="112" t="s">
        <v>77</v>
      </c>
      <c r="L422" s="112" t="s">
        <v>85</v>
      </c>
      <c r="M422" s="112" t="s">
        <v>432</v>
      </c>
      <c r="N422" s="114" t="s">
        <v>430</v>
      </c>
      <c r="O422" s="114" t="s">
        <v>111</v>
      </c>
      <c r="P422" s="114" t="s">
        <v>81</v>
      </c>
      <c r="Q422" s="114" t="s">
        <v>112</v>
      </c>
      <c r="R422" s="115" t="str">
        <f t="shared" si="48"/>
        <v>51</v>
      </c>
      <c r="S422" s="124">
        <v>510204</v>
      </c>
      <c r="T422" s="122" t="str">
        <f>VLOOKUP(S422,ITEM!$C$1:$D$156,2,FALSE)</f>
        <v>Decimo Cuarto Sueldo</v>
      </c>
      <c r="U422" s="112">
        <v>1300</v>
      </c>
      <c r="V422" s="114" t="s">
        <v>82</v>
      </c>
      <c r="W422" s="114" t="s">
        <v>84</v>
      </c>
      <c r="X422" s="114" t="s">
        <v>84</v>
      </c>
      <c r="Y422" s="224">
        <f>'Matriz POA 2024-TRABAJO'!AS8</f>
        <v>16817.650000000001</v>
      </c>
      <c r="Z422" s="224">
        <f>'Matriz POA 2024-TRABAJO'!AT8</f>
        <v>0</v>
      </c>
      <c r="AA422" s="224">
        <f>'Matriz POA 2024-TRABAJO'!AU8</f>
        <v>16817.650000000001</v>
      </c>
      <c r="AB422" s="279">
        <v>1463.97</v>
      </c>
      <c r="AC422" s="279">
        <v>1463.97</v>
      </c>
      <c r="AD422" s="279">
        <v>1463.97</v>
      </c>
      <c r="AE422" s="279">
        <v>1463.97</v>
      </c>
      <c r="AF422" s="279">
        <v>1463.97</v>
      </c>
      <c r="AG422" s="279">
        <v>1463.97</v>
      </c>
      <c r="AH422" s="279">
        <v>1463.97</v>
      </c>
      <c r="AI422" s="279">
        <v>1463.97</v>
      </c>
      <c r="AJ422" s="279">
        <v>1463.97</v>
      </c>
      <c r="AK422" s="279">
        <v>1463.97</v>
      </c>
      <c r="AL422" s="279">
        <v>1463.97</v>
      </c>
      <c r="AM422" s="279">
        <v>1463.98</v>
      </c>
      <c r="AN422" s="224" t="e">
        <f>SUM(#REF!)</f>
        <v>#REF!</v>
      </c>
      <c r="AO422" s="224">
        <f t="shared" si="49"/>
        <v>17567.649999999998</v>
      </c>
      <c r="AP422" s="224">
        <f t="shared" si="55"/>
        <v>749.99999999999636</v>
      </c>
      <c r="AQ422" s="224"/>
      <c r="AR422" s="224"/>
      <c r="AS422" s="224"/>
      <c r="AT422" s="224">
        <f>IFERROR(VLOOKUP($A422,'Constancias POA'!$A$2:$DH$9993,17,FALSE),"")</f>
        <v>16817.650000000001</v>
      </c>
      <c r="AU422" s="224">
        <f t="shared" si="50"/>
        <v>0</v>
      </c>
      <c r="AV422" s="224">
        <f>IFERROR(VLOOKUP($A422,CP!$A$1:$U$7992,18,FALSE),"")</f>
        <v>0</v>
      </c>
      <c r="AW422" s="224">
        <f>IFERROR(VLOOKUP($A422,CP!$A$1:$U$7992,19,FALSE),"")</f>
        <v>16495.419999999995</v>
      </c>
      <c r="AX422" s="224">
        <f>IFERROR(VLOOKUP($A422,CP!$A$1:$U$7992,20,FALSE),"")</f>
        <v>0</v>
      </c>
      <c r="AY422" s="224" t="str">
        <f>IFERROR(VLOOKUP($A422,CP!$A$1:$U$1,21,FALSE),"")</f>
        <v/>
      </c>
      <c r="AZ422" s="224" t="str">
        <f>IFERROR(VLOOKUP(A422,Devengado!$A$1:AJ1,35,FALSE),"")</f>
        <v/>
      </c>
      <c r="BA422" s="224" t="str">
        <f t="shared" si="51"/>
        <v/>
      </c>
      <c r="BB422" s="224" t="str">
        <f>IFERROR(AZ422/#REF!,"")</f>
        <v/>
      </c>
      <c r="BC422" s="224" t="str">
        <f>IFERROR(VLOOKUP($A422,Devengado!$A$1:$AI$1,22,FALSE),"")</f>
        <v/>
      </c>
      <c r="BD422" s="224" t="str">
        <f>IFERROR(VLOOKUP($A422,Devengado!$A$1:$AI$1,23,FALSE),"")</f>
        <v/>
      </c>
      <c r="BE422" s="224" t="str">
        <f>IFERROR(VLOOKUP($A422,Devengado!$A$1:$AI$1,24,FALSE),"")</f>
        <v/>
      </c>
      <c r="BF422" s="224" t="str">
        <f>IFERROR(VLOOKUP($A422,Devengado!$A$1:$AI$1,25,FALSE),"")</f>
        <v/>
      </c>
      <c r="BG422" s="224" t="str">
        <f>IFERROR(VLOOKUP($A422,Devengado!$A$1:$AI$1,26,FALSE),"")</f>
        <v/>
      </c>
      <c r="BH422" s="224" t="str">
        <f>IFERROR(VLOOKUP($A422,Devengado!$A$1:$AI$1,27,FALSE),"")</f>
        <v/>
      </c>
      <c r="BI422" s="224" t="str">
        <f>IFERROR(VLOOKUP($A422,Devengado!$A$1:$AI$1,28,FALSE),"")</f>
        <v/>
      </c>
      <c r="BJ422" s="224" t="str">
        <f>IFERROR(VLOOKUP($A422,Devengado!$A$1:$AI$1,29,FALSE),"")</f>
        <v/>
      </c>
      <c r="BK422" s="224" t="str">
        <f>IFERROR(VLOOKUP($A422,Devengado!$A$1:$AI$1,30,FALSE),"")</f>
        <v/>
      </c>
      <c r="BL422" s="224" t="str">
        <f>IFERROR(VLOOKUP($A422,Devengado!$A$1:$AI$1,31,FALSE),"")</f>
        <v/>
      </c>
      <c r="BM422" s="224" t="str">
        <f>IFERROR(VLOOKUP($A422,Devengado!$A$1:$AI$1,32,FALSE),"")</f>
        <v/>
      </c>
      <c r="BN422" s="224" t="str">
        <f>IFERROR(VLOOKUP($A422,Devengado!$A$1:$AI$1,33,FALSE),"")</f>
        <v/>
      </c>
      <c r="BO422" s="224">
        <f t="shared" si="52"/>
        <v>0</v>
      </c>
      <c r="BP422" s="224" t="str">
        <f t="shared" si="53"/>
        <v/>
      </c>
      <c r="BQ422" s="207"/>
      <c r="BR422" s="207" t="str">
        <f t="shared" si="54"/>
        <v>51</v>
      </c>
    </row>
    <row r="423" spans="1:70" s="225" customFormat="1" ht="15.75" customHeight="1">
      <c r="A423" s="207">
        <v>419</v>
      </c>
      <c r="B423" s="112" t="s">
        <v>429</v>
      </c>
      <c r="C423" s="112" t="s">
        <v>77</v>
      </c>
      <c r="D423" s="112" t="s">
        <v>77</v>
      </c>
      <c r="E423" s="112" t="s">
        <v>76</v>
      </c>
      <c r="F423" s="112" t="s">
        <v>77</v>
      </c>
      <c r="G423" s="112" t="s">
        <v>77</v>
      </c>
      <c r="H423" s="112" t="s">
        <v>77</v>
      </c>
      <c r="I423" s="112" t="s">
        <v>77</v>
      </c>
      <c r="J423" s="112" t="s">
        <v>77</v>
      </c>
      <c r="K423" s="112" t="s">
        <v>77</v>
      </c>
      <c r="L423" s="112" t="s">
        <v>85</v>
      </c>
      <c r="M423" s="114" t="s">
        <v>357</v>
      </c>
      <c r="N423" s="114" t="s">
        <v>430</v>
      </c>
      <c r="O423" s="114" t="s">
        <v>111</v>
      </c>
      <c r="P423" s="114" t="s">
        <v>81</v>
      </c>
      <c r="Q423" s="114" t="s">
        <v>112</v>
      </c>
      <c r="R423" s="115" t="str">
        <f t="shared" si="48"/>
        <v>51</v>
      </c>
      <c r="S423" s="124">
        <v>510304</v>
      </c>
      <c r="T423" s="122" t="str">
        <f>VLOOKUP(S423,ITEM!$C$1:$D$156,2,FALSE)</f>
        <v>Compensación por Transporte</v>
      </c>
      <c r="U423" s="112">
        <v>1300</v>
      </c>
      <c r="V423" s="114" t="s">
        <v>82</v>
      </c>
      <c r="W423" s="114" t="s">
        <v>84</v>
      </c>
      <c r="X423" s="114" t="s">
        <v>84</v>
      </c>
      <c r="Y423" s="224">
        <f>'Matriz POA 2024-TRABAJO'!AS9</f>
        <v>1313.5</v>
      </c>
      <c r="Z423" s="224">
        <f>'Matriz POA 2024-TRABAJO'!AT9</f>
        <v>0</v>
      </c>
      <c r="AA423" s="224">
        <f>'Matriz POA 2024-TRABAJO'!AU9</f>
        <v>1313.5</v>
      </c>
      <c r="AB423" s="325">
        <v>110</v>
      </c>
      <c r="AC423" s="325">
        <v>110</v>
      </c>
      <c r="AD423" s="325">
        <v>110</v>
      </c>
      <c r="AE423" s="325">
        <v>110</v>
      </c>
      <c r="AF423" s="325">
        <v>110</v>
      </c>
      <c r="AG423" s="325">
        <v>110</v>
      </c>
      <c r="AH423" s="325">
        <v>110</v>
      </c>
      <c r="AI423" s="325">
        <v>110</v>
      </c>
      <c r="AJ423" s="325">
        <v>110</v>
      </c>
      <c r="AK423" s="325">
        <v>110</v>
      </c>
      <c r="AL423" s="325">
        <v>110</v>
      </c>
      <c r="AM423" s="325">
        <v>110</v>
      </c>
      <c r="AN423" s="224" t="e">
        <f>SUM(#REF!)</f>
        <v>#REF!</v>
      </c>
      <c r="AO423" s="224">
        <f t="shared" si="49"/>
        <v>1320</v>
      </c>
      <c r="AP423" s="224">
        <f t="shared" si="55"/>
        <v>6.5</v>
      </c>
      <c r="AQ423" s="224"/>
      <c r="AR423" s="224"/>
      <c r="AS423" s="224"/>
      <c r="AT423" s="224" t="str">
        <f>IFERROR(VLOOKUP($A423,'Constancias POA'!$A$2:$DH$9993,17,FALSE),"")</f>
        <v/>
      </c>
      <c r="AU423" s="224" t="str">
        <f t="shared" si="50"/>
        <v/>
      </c>
      <c r="AV423" s="224">
        <f>IFERROR(VLOOKUP($A423,CP!$A$1:$U$7992,18,FALSE),"")</f>
        <v>0</v>
      </c>
      <c r="AW423" s="224">
        <f>IFERROR(VLOOKUP($A423,CP!$A$1:$U$7992,19,FALSE),"")</f>
        <v>1186</v>
      </c>
      <c r="AX423" s="224">
        <f>IFERROR(VLOOKUP($A423,CP!$A$1:$U$7992,20,FALSE),"")</f>
        <v>0</v>
      </c>
      <c r="AY423" s="224" t="str">
        <f>IFERROR(VLOOKUP($A423,CP!$A$1:$U$1,21,FALSE),"")</f>
        <v/>
      </c>
      <c r="AZ423" s="224" t="str">
        <f>IFERROR(VLOOKUP(A423,Devengado!$A$1:AJ1,35,FALSE),"")</f>
        <v/>
      </c>
      <c r="BA423" s="224" t="str">
        <f t="shared" si="51"/>
        <v/>
      </c>
      <c r="BB423" s="224" t="str">
        <f>IFERROR(AZ423/#REF!,"")</f>
        <v/>
      </c>
      <c r="BC423" s="224" t="str">
        <f>IFERROR(VLOOKUP($A423,Devengado!$A$1:$AI$1,22,FALSE),"")</f>
        <v/>
      </c>
      <c r="BD423" s="224" t="str">
        <f>IFERROR(VLOOKUP($A423,Devengado!$A$1:$AI$1,23,FALSE),"")</f>
        <v/>
      </c>
      <c r="BE423" s="224" t="str">
        <f>IFERROR(VLOOKUP($A423,Devengado!$A$1:$AI$1,24,FALSE),"")</f>
        <v/>
      </c>
      <c r="BF423" s="224" t="str">
        <f>IFERROR(VLOOKUP($A423,Devengado!$A$1:$AI$1,25,FALSE),"")</f>
        <v/>
      </c>
      <c r="BG423" s="224" t="str">
        <f>IFERROR(VLOOKUP($A423,Devengado!$A$1:$AI$1,26,FALSE),"")</f>
        <v/>
      </c>
      <c r="BH423" s="224" t="str">
        <f>IFERROR(VLOOKUP($A423,Devengado!$A$1:$AI$1,27,FALSE),"")</f>
        <v/>
      </c>
      <c r="BI423" s="224" t="str">
        <f>IFERROR(VLOOKUP($A423,Devengado!$A$1:$AI$1,28,FALSE),"")</f>
        <v/>
      </c>
      <c r="BJ423" s="224" t="str">
        <f>IFERROR(VLOOKUP($A423,Devengado!$A$1:$AI$1,29,FALSE),"")</f>
        <v/>
      </c>
      <c r="BK423" s="224" t="str">
        <f>IFERROR(VLOOKUP($A423,Devengado!$A$1:$AI$1,30,FALSE),"")</f>
        <v/>
      </c>
      <c r="BL423" s="224" t="str">
        <f>IFERROR(VLOOKUP($A423,Devengado!$A$1:$AI$1,31,FALSE),"")</f>
        <v/>
      </c>
      <c r="BM423" s="224" t="str">
        <f>IFERROR(VLOOKUP($A423,Devengado!$A$1:$AI$1,32,FALSE),"")</f>
        <v/>
      </c>
      <c r="BN423" s="224" t="str">
        <f>IFERROR(VLOOKUP($A423,Devengado!$A$1:$AI$1,33,FALSE),"")</f>
        <v/>
      </c>
      <c r="BO423" s="224">
        <f t="shared" si="52"/>
        <v>0</v>
      </c>
      <c r="BP423" s="224" t="str">
        <f t="shared" si="53"/>
        <v/>
      </c>
      <c r="BQ423" s="207"/>
      <c r="BR423" s="207" t="str">
        <f t="shared" si="54"/>
        <v>51</v>
      </c>
    </row>
    <row r="424" spans="1:70" s="225" customFormat="1" ht="15.75" customHeight="1">
      <c r="A424" s="207">
        <v>420</v>
      </c>
      <c r="B424" s="112" t="s">
        <v>429</v>
      </c>
      <c r="C424" s="112" t="s">
        <v>77</v>
      </c>
      <c r="D424" s="112" t="s">
        <v>77</v>
      </c>
      <c r="E424" s="112" t="s">
        <v>76</v>
      </c>
      <c r="F424" s="112" t="s">
        <v>77</v>
      </c>
      <c r="G424" s="112" t="s">
        <v>77</v>
      </c>
      <c r="H424" s="112" t="s">
        <v>77</v>
      </c>
      <c r="I424" s="112" t="s">
        <v>77</v>
      </c>
      <c r="J424" s="112" t="s">
        <v>77</v>
      </c>
      <c r="K424" s="112" t="s">
        <v>77</v>
      </c>
      <c r="L424" s="112" t="s">
        <v>85</v>
      </c>
      <c r="M424" s="114" t="s">
        <v>359</v>
      </c>
      <c r="N424" s="114" t="s">
        <v>430</v>
      </c>
      <c r="O424" s="114" t="s">
        <v>111</v>
      </c>
      <c r="P424" s="114" t="s">
        <v>81</v>
      </c>
      <c r="Q424" s="114" t="s">
        <v>112</v>
      </c>
      <c r="R424" s="115" t="str">
        <f t="shared" si="48"/>
        <v>51</v>
      </c>
      <c r="S424" s="124">
        <v>510306</v>
      </c>
      <c r="T424" s="122" t="str">
        <f>VLOOKUP(S424,ITEM!$C$1:$D$156,2,FALSE)</f>
        <v>Alimentación</v>
      </c>
      <c r="U424" s="112">
        <v>1300</v>
      </c>
      <c r="V424" s="114" t="s">
        <v>82</v>
      </c>
      <c r="W424" s="114" t="s">
        <v>84</v>
      </c>
      <c r="X424" s="114" t="s">
        <v>84</v>
      </c>
      <c r="Y424" s="224">
        <f>'Matriz POA 2024-TRABAJO'!AS10</f>
        <v>9194.5</v>
      </c>
      <c r="Z424" s="224">
        <f>'Matriz POA 2024-TRABAJO'!AT10</f>
        <v>0</v>
      </c>
      <c r="AA424" s="224">
        <f>'Matriz POA 2024-TRABAJO'!AU10</f>
        <v>9194.5</v>
      </c>
      <c r="AB424" s="294">
        <v>770</v>
      </c>
      <c r="AC424" s="294">
        <v>770</v>
      </c>
      <c r="AD424" s="294">
        <v>770</v>
      </c>
      <c r="AE424" s="294">
        <v>770</v>
      </c>
      <c r="AF424" s="294">
        <v>770</v>
      </c>
      <c r="AG424" s="294">
        <v>770</v>
      </c>
      <c r="AH424" s="294">
        <v>770</v>
      </c>
      <c r="AI424" s="294">
        <v>770</v>
      </c>
      <c r="AJ424" s="294">
        <v>770</v>
      </c>
      <c r="AK424" s="294">
        <v>770</v>
      </c>
      <c r="AL424" s="294">
        <v>770</v>
      </c>
      <c r="AM424" s="294">
        <v>770</v>
      </c>
      <c r="AN424" s="224" t="e">
        <f>SUM(#REF!)</f>
        <v>#REF!</v>
      </c>
      <c r="AO424" s="224">
        <f t="shared" si="49"/>
        <v>9240</v>
      </c>
      <c r="AP424" s="224">
        <f t="shared" si="55"/>
        <v>45.5</v>
      </c>
      <c r="AQ424" s="224"/>
      <c r="AR424" s="224"/>
      <c r="AS424" s="224"/>
      <c r="AT424" s="224" t="str">
        <f>IFERROR(VLOOKUP($A424,'Constancias POA'!$A$2:$DH$9993,17,FALSE),"")</f>
        <v/>
      </c>
      <c r="AU424" s="224" t="str">
        <f t="shared" si="50"/>
        <v/>
      </c>
      <c r="AV424" s="224">
        <f>IFERROR(VLOOKUP($A424,CP!$A$1:$U$7992,18,FALSE),"")</f>
        <v>0</v>
      </c>
      <c r="AW424" s="224">
        <f>IFERROR(VLOOKUP($A424,CP!$A$1:$U$7992,19,FALSE),"")</f>
        <v>8302</v>
      </c>
      <c r="AX424" s="224">
        <f>IFERROR(VLOOKUP($A424,CP!$A$1:$U$7992,20,FALSE),"")</f>
        <v>0</v>
      </c>
      <c r="AY424" s="224" t="str">
        <f>IFERROR(VLOOKUP($A424,CP!$A$1:$U$1,21,FALSE),"")</f>
        <v/>
      </c>
      <c r="AZ424" s="224" t="str">
        <f>IFERROR(VLOOKUP(A424,Devengado!$A$1:AJ1,35,FALSE),"")</f>
        <v/>
      </c>
      <c r="BA424" s="224" t="str">
        <f t="shared" si="51"/>
        <v/>
      </c>
      <c r="BB424" s="224" t="str">
        <f>IFERROR(AZ424/#REF!,"")</f>
        <v/>
      </c>
      <c r="BC424" s="224" t="str">
        <f>IFERROR(VLOOKUP($A424,Devengado!$A$1:$AI$1,22,FALSE),"")</f>
        <v/>
      </c>
      <c r="BD424" s="224" t="str">
        <f>IFERROR(VLOOKUP($A424,Devengado!$A$1:$AI$1,23,FALSE),"")</f>
        <v/>
      </c>
      <c r="BE424" s="224" t="str">
        <f>IFERROR(VLOOKUP($A424,Devengado!$A$1:$AI$1,24,FALSE),"")</f>
        <v/>
      </c>
      <c r="BF424" s="224" t="str">
        <f>IFERROR(VLOOKUP($A424,Devengado!$A$1:$AI$1,25,FALSE),"")</f>
        <v/>
      </c>
      <c r="BG424" s="224" t="str">
        <f>IFERROR(VLOOKUP($A424,Devengado!$A$1:$AI$1,26,FALSE),"")</f>
        <v/>
      </c>
      <c r="BH424" s="224" t="str">
        <f>IFERROR(VLOOKUP($A424,Devengado!$A$1:$AI$1,27,FALSE),"")</f>
        <v/>
      </c>
      <c r="BI424" s="224" t="str">
        <f>IFERROR(VLOOKUP($A424,Devengado!$A$1:$AI$1,28,FALSE),"")</f>
        <v/>
      </c>
      <c r="BJ424" s="224" t="str">
        <f>IFERROR(VLOOKUP($A424,Devengado!$A$1:$AI$1,29,FALSE),"")</f>
        <v/>
      </c>
      <c r="BK424" s="224" t="str">
        <f>IFERROR(VLOOKUP($A424,Devengado!$A$1:$AI$1,30,FALSE),"")</f>
        <v/>
      </c>
      <c r="BL424" s="224" t="str">
        <f>IFERROR(VLOOKUP($A424,Devengado!$A$1:$AI$1,31,FALSE),"")</f>
        <v/>
      </c>
      <c r="BM424" s="224" t="str">
        <f>IFERROR(VLOOKUP($A424,Devengado!$A$1:$AI$1,32,FALSE),"")</f>
        <v/>
      </c>
      <c r="BN424" s="224" t="str">
        <f>IFERROR(VLOOKUP($A424,Devengado!$A$1:$AI$1,33,FALSE),"")</f>
        <v/>
      </c>
      <c r="BO424" s="224">
        <f t="shared" si="52"/>
        <v>0</v>
      </c>
      <c r="BP424" s="224" t="str">
        <f t="shared" si="53"/>
        <v/>
      </c>
      <c r="BQ424" s="207"/>
      <c r="BR424" s="207" t="str">
        <f t="shared" si="54"/>
        <v>51</v>
      </c>
    </row>
    <row r="425" spans="1:70" s="225" customFormat="1" ht="15.75" customHeight="1">
      <c r="A425" s="207">
        <v>421</v>
      </c>
      <c r="B425" s="112" t="s">
        <v>429</v>
      </c>
      <c r="C425" s="112" t="s">
        <v>77</v>
      </c>
      <c r="D425" s="112" t="s">
        <v>77</v>
      </c>
      <c r="E425" s="112" t="s">
        <v>76</v>
      </c>
      <c r="F425" s="112" t="s">
        <v>77</v>
      </c>
      <c r="G425" s="112" t="s">
        <v>77</v>
      </c>
      <c r="H425" s="112" t="s">
        <v>77</v>
      </c>
      <c r="I425" s="112" t="s">
        <v>77</v>
      </c>
      <c r="J425" s="112" t="s">
        <v>77</v>
      </c>
      <c r="K425" s="112" t="s">
        <v>77</v>
      </c>
      <c r="L425" s="112" t="s">
        <v>85</v>
      </c>
      <c r="M425" s="114" t="s">
        <v>433</v>
      </c>
      <c r="N425" s="114" t="s">
        <v>430</v>
      </c>
      <c r="O425" s="114" t="s">
        <v>111</v>
      </c>
      <c r="P425" s="114" t="s">
        <v>81</v>
      </c>
      <c r="Q425" s="114" t="s">
        <v>112</v>
      </c>
      <c r="R425" s="115" t="str">
        <f t="shared" si="48"/>
        <v>51</v>
      </c>
      <c r="S425" s="124">
        <v>510401</v>
      </c>
      <c r="T425" s="122" t="str">
        <f>VLOOKUP(S425,ITEM!$C$1:$D$156,2,FALSE)</f>
        <v>Por Cargas Familiares</v>
      </c>
      <c r="U425" s="112">
        <v>1300</v>
      </c>
      <c r="V425" s="114" t="s">
        <v>82</v>
      </c>
      <c r="W425" s="114" t="s">
        <v>84</v>
      </c>
      <c r="X425" s="114" t="s">
        <v>84</v>
      </c>
      <c r="Y425" s="224">
        <f>'Matriz POA 2024-TRABAJO'!AS11</f>
        <v>417.72</v>
      </c>
      <c r="Z425" s="224">
        <f>'Matriz POA 2024-TRABAJO'!AT11</f>
        <v>0</v>
      </c>
      <c r="AA425" s="224">
        <f>'Matriz POA 2024-TRABAJO'!AU11</f>
        <v>417.72</v>
      </c>
      <c r="AB425" s="294">
        <v>37.76</v>
      </c>
      <c r="AC425" s="294">
        <v>37.76</v>
      </c>
      <c r="AD425" s="294">
        <v>37.76</v>
      </c>
      <c r="AE425" s="294">
        <v>37.76</v>
      </c>
      <c r="AF425" s="294">
        <v>37.76</v>
      </c>
      <c r="AG425" s="294">
        <v>37.76</v>
      </c>
      <c r="AH425" s="294">
        <v>37.76</v>
      </c>
      <c r="AI425" s="294">
        <v>37.76</v>
      </c>
      <c r="AJ425" s="294">
        <v>37.76</v>
      </c>
      <c r="AK425" s="294">
        <v>37.76</v>
      </c>
      <c r="AL425" s="294">
        <v>37.76</v>
      </c>
      <c r="AM425" s="294">
        <v>37.76</v>
      </c>
      <c r="AN425" s="224" t="e">
        <f>SUM(#REF!)</f>
        <v>#REF!</v>
      </c>
      <c r="AO425" s="224">
        <f t="shared" si="49"/>
        <v>453.11999999999995</v>
      </c>
      <c r="AP425" s="224">
        <f t="shared" si="55"/>
        <v>35.39999999999992</v>
      </c>
      <c r="AQ425" s="224"/>
      <c r="AR425" s="224"/>
      <c r="AS425" s="224"/>
      <c r="AT425" s="224" t="str">
        <f>IFERROR(VLOOKUP($A425,'Constancias POA'!$A$2:$DH$9993,17,FALSE),"")</f>
        <v/>
      </c>
      <c r="AU425" s="224" t="str">
        <f t="shared" si="50"/>
        <v/>
      </c>
      <c r="AV425" s="224">
        <f>IFERROR(VLOOKUP($A425,CP!$A$1:$U$7992,18,FALSE),"")</f>
        <v>0</v>
      </c>
      <c r="AW425" s="224">
        <f>IFERROR(VLOOKUP($A425,CP!$A$1:$U$7992,19,FALSE),"")</f>
        <v>396.47999999999996</v>
      </c>
      <c r="AX425" s="224">
        <f>IFERROR(VLOOKUP($A425,CP!$A$1:$U$7992,20,FALSE),"")</f>
        <v>0</v>
      </c>
      <c r="AY425" s="224" t="str">
        <f>IFERROR(VLOOKUP($A425,CP!$A$1:$U$1,21,FALSE),"")</f>
        <v/>
      </c>
      <c r="AZ425" s="224" t="str">
        <f>IFERROR(VLOOKUP(A425,Devengado!$A$1:AJ1,35,FALSE),"")</f>
        <v/>
      </c>
      <c r="BA425" s="224" t="str">
        <f t="shared" si="51"/>
        <v/>
      </c>
      <c r="BB425" s="224" t="str">
        <f>IFERROR(AZ425/#REF!,"")</f>
        <v/>
      </c>
      <c r="BC425" s="224" t="str">
        <f>IFERROR(VLOOKUP($A425,Devengado!$A$1:$AI$1,22,FALSE),"")</f>
        <v/>
      </c>
      <c r="BD425" s="224" t="str">
        <f>IFERROR(VLOOKUP($A425,Devengado!$A$1:$AI$1,23,FALSE),"")</f>
        <v/>
      </c>
      <c r="BE425" s="224" t="str">
        <f>IFERROR(VLOOKUP($A425,Devengado!$A$1:$AI$1,24,FALSE),"")</f>
        <v/>
      </c>
      <c r="BF425" s="224" t="str">
        <f>IFERROR(VLOOKUP($A425,Devengado!$A$1:$AI$1,25,FALSE),"")</f>
        <v/>
      </c>
      <c r="BG425" s="224" t="str">
        <f>IFERROR(VLOOKUP($A425,Devengado!$A$1:$AI$1,26,FALSE),"")</f>
        <v/>
      </c>
      <c r="BH425" s="224" t="str">
        <f>IFERROR(VLOOKUP($A425,Devengado!$A$1:$AI$1,27,FALSE),"")</f>
        <v/>
      </c>
      <c r="BI425" s="224" t="str">
        <f>IFERROR(VLOOKUP($A425,Devengado!$A$1:$AI$1,28,FALSE),"")</f>
        <v/>
      </c>
      <c r="BJ425" s="224" t="str">
        <f>IFERROR(VLOOKUP($A425,Devengado!$A$1:$AI$1,29,FALSE),"")</f>
        <v/>
      </c>
      <c r="BK425" s="224" t="str">
        <f>IFERROR(VLOOKUP($A425,Devengado!$A$1:$AI$1,30,FALSE),"")</f>
        <v/>
      </c>
      <c r="BL425" s="224" t="str">
        <f>IFERROR(VLOOKUP($A425,Devengado!$A$1:$AI$1,31,FALSE),"")</f>
        <v/>
      </c>
      <c r="BM425" s="224" t="str">
        <f>IFERROR(VLOOKUP($A425,Devengado!$A$1:$AI$1,32,FALSE),"")</f>
        <v/>
      </c>
      <c r="BN425" s="224" t="str">
        <f>IFERROR(VLOOKUP($A425,Devengado!$A$1:$AI$1,33,FALSE),"")</f>
        <v/>
      </c>
      <c r="BO425" s="224">
        <f t="shared" si="52"/>
        <v>0</v>
      </c>
      <c r="BP425" s="224" t="str">
        <f t="shared" si="53"/>
        <v/>
      </c>
      <c r="BQ425" s="207"/>
      <c r="BR425" s="207" t="str">
        <f t="shared" si="54"/>
        <v>51</v>
      </c>
    </row>
    <row r="426" spans="1:70" s="225" customFormat="1" ht="15.75" customHeight="1">
      <c r="A426" s="207">
        <v>422</v>
      </c>
      <c r="B426" s="112" t="s">
        <v>429</v>
      </c>
      <c r="C426" s="112" t="s">
        <v>77</v>
      </c>
      <c r="D426" s="112" t="s">
        <v>77</v>
      </c>
      <c r="E426" s="112" t="s">
        <v>76</v>
      </c>
      <c r="F426" s="112" t="s">
        <v>77</v>
      </c>
      <c r="G426" s="112" t="s">
        <v>77</v>
      </c>
      <c r="H426" s="112" t="s">
        <v>77</v>
      </c>
      <c r="I426" s="112" t="s">
        <v>77</v>
      </c>
      <c r="J426" s="112" t="s">
        <v>77</v>
      </c>
      <c r="K426" s="112" t="s">
        <v>77</v>
      </c>
      <c r="L426" s="112" t="s">
        <v>85</v>
      </c>
      <c r="M426" s="114" t="s">
        <v>362</v>
      </c>
      <c r="N426" s="114" t="s">
        <v>430</v>
      </c>
      <c r="O426" s="114" t="s">
        <v>111</v>
      </c>
      <c r="P426" s="114" t="s">
        <v>81</v>
      </c>
      <c r="Q426" s="114" t="s">
        <v>112</v>
      </c>
      <c r="R426" s="115" t="str">
        <f t="shared" si="48"/>
        <v>51</v>
      </c>
      <c r="S426" s="124">
        <v>510408</v>
      </c>
      <c r="T426" s="122" t="str">
        <f>VLOOKUP(S426,ITEM!$C$1:$D$156,2,FALSE)</f>
        <v>Subsidio de Antigüedad</v>
      </c>
      <c r="U426" s="112">
        <v>1300</v>
      </c>
      <c r="V426" s="114" t="s">
        <v>82</v>
      </c>
      <c r="W426" s="114" t="s">
        <v>84</v>
      </c>
      <c r="X426" s="114" t="s">
        <v>84</v>
      </c>
      <c r="Y426" s="224">
        <f>'Matriz POA 2024-TRABAJO'!AS12</f>
        <v>510</v>
      </c>
      <c r="Z426" s="224">
        <f>'Matriz POA 2024-TRABAJO'!AT12</f>
        <v>0</v>
      </c>
      <c r="AA426" s="224">
        <f>'Matriz POA 2024-TRABAJO'!AU12</f>
        <v>510</v>
      </c>
      <c r="AB426" s="294">
        <v>84.16</v>
      </c>
      <c r="AC426" s="294">
        <v>84.16</v>
      </c>
      <c r="AD426" s="294">
        <v>84.16</v>
      </c>
      <c r="AE426" s="294">
        <v>84.16</v>
      </c>
      <c r="AF426" s="294">
        <v>84.16</v>
      </c>
      <c r="AG426" s="294">
        <v>84.16</v>
      </c>
      <c r="AH426" s="294">
        <v>84.16</v>
      </c>
      <c r="AI426" s="294">
        <v>84.16</v>
      </c>
      <c r="AJ426" s="294">
        <v>84.16</v>
      </c>
      <c r="AK426" s="294">
        <v>84.16</v>
      </c>
      <c r="AL426" s="294">
        <v>84.16</v>
      </c>
      <c r="AM426" s="294">
        <v>84.24</v>
      </c>
      <c r="AN426" s="224" t="e">
        <f>SUM(#REF!)</f>
        <v>#REF!</v>
      </c>
      <c r="AO426" s="224">
        <f t="shared" si="49"/>
        <v>1009.9999999999998</v>
      </c>
      <c r="AP426" s="224">
        <f t="shared" si="55"/>
        <v>499.99999999999977</v>
      </c>
      <c r="AQ426" s="224"/>
      <c r="AR426" s="224"/>
      <c r="AS426" s="224"/>
      <c r="AT426" s="224" t="str">
        <f>IFERROR(VLOOKUP($A426,'Constancias POA'!$A$2:$DH$9993,17,FALSE),"")</f>
        <v/>
      </c>
      <c r="AU426" s="224" t="str">
        <f t="shared" si="50"/>
        <v/>
      </c>
      <c r="AV426" s="224">
        <f>IFERROR(VLOOKUP($A426,CP!$A$1:$U$7992,18,FALSE),"")</f>
        <v>0</v>
      </c>
      <c r="AW426" s="224">
        <f>IFERROR(VLOOKUP($A426,CP!$A$1:$U$7992,19,FALSE),"")</f>
        <v>443.82999999999993</v>
      </c>
      <c r="AX426" s="224">
        <f>IFERROR(VLOOKUP($A426,CP!$A$1:$U$7992,20,FALSE),"")</f>
        <v>0</v>
      </c>
      <c r="AY426" s="224" t="str">
        <f>IFERROR(VLOOKUP($A426,CP!$A$1:$U$1,21,FALSE),"")</f>
        <v/>
      </c>
      <c r="AZ426" s="224" t="str">
        <f>IFERROR(VLOOKUP(A426,Devengado!$A$1:AJ1,35,FALSE),"")</f>
        <v/>
      </c>
      <c r="BA426" s="224" t="str">
        <f t="shared" si="51"/>
        <v/>
      </c>
      <c r="BB426" s="224" t="str">
        <f>IFERROR(AZ426/#REF!,"")</f>
        <v/>
      </c>
      <c r="BC426" s="224" t="str">
        <f>IFERROR(VLOOKUP($A426,Devengado!$A$1:$AI$1,22,FALSE),"")</f>
        <v/>
      </c>
      <c r="BD426" s="224" t="str">
        <f>IFERROR(VLOOKUP($A426,Devengado!$A$1:$AI$1,23,FALSE),"")</f>
        <v/>
      </c>
      <c r="BE426" s="224" t="str">
        <f>IFERROR(VLOOKUP($A426,Devengado!$A$1:$AI$1,24,FALSE),"")</f>
        <v/>
      </c>
      <c r="BF426" s="224" t="str">
        <f>IFERROR(VLOOKUP($A426,Devengado!$A$1:$AI$1,25,FALSE),"")</f>
        <v/>
      </c>
      <c r="BG426" s="224" t="str">
        <f>IFERROR(VLOOKUP($A426,Devengado!$A$1:$AI$1,26,FALSE),"")</f>
        <v/>
      </c>
      <c r="BH426" s="224" t="str">
        <f>IFERROR(VLOOKUP($A426,Devengado!$A$1:$AI$1,27,FALSE),"")</f>
        <v/>
      </c>
      <c r="BI426" s="224" t="str">
        <f>IFERROR(VLOOKUP($A426,Devengado!$A$1:$AI$1,28,FALSE),"")</f>
        <v/>
      </c>
      <c r="BJ426" s="224" t="str">
        <f>IFERROR(VLOOKUP($A426,Devengado!$A$1:$AI$1,29,FALSE),"")</f>
        <v/>
      </c>
      <c r="BK426" s="224" t="str">
        <f>IFERROR(VLOOKUP($A426,Devengado!$A$1:$AI$1,30,FALSE),"")</f>
        <v/>
      </c>
      <c r="BL426" s="224" t="str">
        <f>IFERROR(VLOOKUP($A426,Devengado!$A$1:$AI$1,31,FALSE),"")</f>
        <v/>
      </c>
      <c r="BM426" s="224" t="str">
        <f>IFERROR(VLOOKUP($A426,Devengado!$A$1:$AI$1,32,FALSE),"")</f>
        <v/>
      </c>
      <c r="BN426" s="224" t="str">
        <f>IFERROR(VLOOKUP($A426,Devengado!$A$1:$AI$1,33,FALSE),"")</f>
        <v/>
      </c>
      <c r="BO426" s="224">
        <f t="shared" si="52"/>
        <v>0</v>
      </c>
      <c r="BP426" s="224" t="str">
        <f t="shared" si="53"/>
        <v/>
      </c>
      <c r="BQ426" s="207"/>
      <c r="BR426" s="207" t="str">
        <f t="shared" si="54"/>
        <v>51</v>
      </c>
    </row>
    <row r="427" spans="1:70" s="225" customFormat="1" ht="25.5" customHeight="1">
      <c r="A427" s="207">
        <v>423</v>
      </c>
      <c r="B427" s="112" t="s">
        <v>429</v>
      </c>
      <c r="C427" s="112" t="s">
        <v>77</v>
      </c>
      <c r="D427" s="112" t="s">
        <v>77</v>
      </c>
      <c r="E427" s="112" t="s">
        <v>76</v>
      </c>
      <c r="F427" s="112" t="s">
        <v>77</v>
      </c>
      <c r="G427" s="112" t="s">
        <v>77</v>
      </c>
      <c r="H427" s="112" t="s">
        <v>77</v>
      </c>
      <c r="I427" s="112" t="s">
        <v>77</v>
      </c>
      <c r="J427" s="112" t="s">
        <v>77</v>
      </c>
      <c r="K427" s="112" t="s">
        <v>77</v>
      </c>
      <c r="L427" s="112" t="s">
        <v>85</v>
      </c>
      <c r="M427" s="112" t="s">
        <v>363</v>
      </c>
      <c r="N427" s="114" t="s">
        <v>430</v>
      </c>
      <c r="O427" s="114" t="s">
        <v>111</v>
      </c>
      <c r="P427" s="114" t="s">
        <v>81</v>
      </c>
      <c r="Q427" s="114" t="s">
        <v>112</v>
      </c>
      <c r="R427" s="115" t="str">
        <f t="shared" si="48"/>
        <v>51</v>
      </c>
      <c r="S427" s="124">
        <v>510510</v>
      </c>
      <c r="T427" s="122" t="str">
        <f>VLOOKUP(S427,ITEM!$C$1:$D$156,2,FALSE)</f>
        <v>Servicios Personales por Contrato</v>
      </c>
      <c r="U427" s="112">
        <v>1300</v>
      </c>
      <c r="V427" s="114" t="s">
        <v>82</v>
      </c>
      <c r="W427" s="114" t="s">
        <v>84</v>
      </c>
      <c r="X427" s="114" t="s">
        <v>84</v>
      </c>
      <c r="Y427" s="224">
        <f>'Matriz POA 2024-TRABAJO'!AS13</f>
        <v>32136</v>
      </c>
      <c r="Z427" s="224">
        <f>'Matriz POA 2024-TRABAJO'!AT13</f>
        <v>0</v>
      </c>
      <c r="AA427" s="224">
        <f>'Matriz POA 2024-TRABAJO'!AU13</f>
        <v>32136</v>
      </c>
      <c r="AB427" s="279">
        <v>2678</v>
      </c>
      <c r="AC427" s="279">
        <v>2678</v>
      </c>
      <c r="AD427" s="279">
        <v>2678</v>
      </c>
      <c r="AE427" s="279">
        <v>2678</v>
      </c>
      <c r="AF427" s="279">
        <v>2678</v>
      </c>
      <c r="AG427" s="279">
        <v>2678</v>
      </c>
      <c r="AH427" s="279">
        <v>2678</v>
      </c>
      <c r="AI427" s="279">
        <v>2678</v>
      </c>
      <c r="AJ427" s="279">
        <v>2678</v>
      </c>
      <c r="AK427" s="279">
        <v>2678</v>
      </c>
      <c r="AL427" s="279">
        <v>2678</v>
      </c>
      <c r="AM427" s="279">
        <v>2678</v>
      </c>
      <c r="AN427" s="224" t="e">
        <f>SUM(#REF!)</f>
        <v>#REF!</v>
      </c>
      <c r="AO427" s="224">
        <f t="shared" si="49"/>
        <v>32136</v>
      </c>
      <c r="AP427" s="224">
        <f t="shared" si="55"/>
        <v>0</v>
      </c>
      <c r="AQ427" s="224"/>
      <c r="AR427" s="224"/>
      <c r="AS427" s="224"/>
      <c r="AT427" s="224">
        <f>IFERROR(VLOOKUP($A427,'Constancias POA'!$A$2:$DH$9993,17,FALSE),"")</f>
        <v>32136</v>
      </c>
      <c r="AU427" s="224">
        <f t="shared" si="50"/>
        <v>0</v>
      </c>
      <c r="AV427" s="224">
        <f>IFERROR(VLOOKUP($A427,CP!$A$1:$U$7992,18,FALSE),"")</f>
        <v>0</v>
      </c>
      <c r="AW427" s="224">
        <f>IFERROR(VLOOKUP($A427,CP!$A$1:$U$7992,19,FALSE),"")</f>
        <v>32136</v>
      </c>
      <c r="AX427" s="224">
        <f>IFERROR(VLOOKUP($A427,CP!$A$1:$U$7992,20,FALSE),"")</f>
        <v>0</v>
      </c>
      <c r="AY427" s="224" t="str">
        <f>IFERROR(VLOOKUP($A427,CP!$A$1:$U$1,21,FALSE),"")</f>
        <v/>
      </c>
      <c r="AZ427" s="224" t="str">
        <f>IFERROR(VLOOKUP(A427,Devengado!$A$1:AJ1,35,FALSE),"")</f>
        <v/>
      </c>
      <c r="BA427" s="224" t="str">
        <f t="shared" si="51"/>
        <v/>
      </c>
      <c r="BB427" s="224" t="str">
        <f>IFERROR(AZ427/#REF!,"")</f>
        <v/>
      </c>
      <c r="BC427" s="224" t="str">
        <f>IFERROR(VLOOKUP($A427,Devengado!$A$1:$AI$1,22,FALSE),"")</f>
        <v/>
      </c>
      <c r="BD427" s="224" t="str">
        <f>IFERROR(VLOOKUP($A427,Devengado!$A$1:$AI$1,23,FALSE),"")</f>
        <v/>
      </c>
      <c r="BE427" s="224" t="str">
        <f>IFERROR(VLOOKUP($A427,Devengado!$A$1:$AI$1,24,FALSE),"")</f>
        <v/>
      </c>
      <c r="BF427" s="224" t="str">
        <f>IFERROR(VLOOKUP($A427,Devengado!$A$1:$AI$1,25,FALSE),"")</f>
        <v/>
      </c>
      <c r="BG427" s="224" t="str">
        <f>IFERROR(VLOOKUP($A427,Devengado!$A$1:$AI$1,26,FALSE),"")</f>
        <v/>
      </c>
      <c r="BH427" s="224" t="str">
        <f>IFERROR(VLOOKUP($A427,Devengado!$A$1:$AI$1,27,FALSE),"")</f>
        <v/>
      </c>
      <c r="BI427" s="224" t="str">
        <f>IFERROR(VLOOKUP($A427,Devengado!$A$1:$AI$1,28,FALSE),"")</f>
        <v/>
      </c>
      <c r="BJ427" s="224" t="str">
        <f>IFERROR(VLOOKUP($A427,Devengado!$A$1:$AI$1,29,FALSE),"")</f>
        <v/>
      </c>
      <c r="BK427" s="224" t="str">
        <f>IFERROR(VLOOKUP($A427,Devengado!$A$1:$AI$1,30,FALSE),"")</f>
        <v/>
      </c>
      <c r="BL427" s="224" t="str">
        <f>IFERROR(VLOOKUP($A427,Devengado!$A$1:$AI$1,31,FALSE),"")</f>
        <v/>
      </c>
      <c r="BM427" s="224" t="str">
        <f>IFERROR(VLOOKUP($A427,Devengado!$A$1:$AI$1,32,FALSE),"")</f>
        <v/>
      </c>
      <c r="BN427" s="224" t="str">
        <f>IFERROR(VLOOKUP($A427,Devengado!$A$1:$AI$1,33,FALSE),"")</f>
        <v/>
      </c>
      <c r="BO427" s="224">
        <f t="shared" si="52"/>
        <v>0</v>
      </c>
      <c r="BP427" s="224" t="str">
        <f t="shared" si="53"/>
        <v/>
      </c>
      <c r="BQ427" s="207"/>
      <c r="BR427" s="207" t="str">
        <f t="shared" si="54"/>
        <v>51</v>
      </c>
    </row>
    <row r="428" spans="1:70" s="225" customFormat="1" ht="25.5" customHeight="1">
      <c r="A428" s="207">
        <v>424</v>
      </c>
      <c r="B428" s="112" t="s">
        <v>429</v>
      </c>
      <c r="C428" s="112" t="s">
        <v>77</v>
      </c>
      <c r="D428" s="112" t="s">
        <v>77</v>
      </c>
      <c r="E428" s="112" t="s">
        <v>76</v>
      </c>
      <c r="F428" s="112" t="s">
        <v>77</v>
      </c>
      <c r="G428" s="112" t="s">
        <v>77</v>
      </c>
      <c r="H428" s="112" t="s">
        <v>77</v>
      </c>
      <c r="I428" s="112" t="s">
        <v>77</v>
      </c>
      <c r="J428" s="112" t="s">
        <v>77</v>
      </c>
      <c r="K428" s="112" t="s">
        <v>77</v>
      </c>
      <c r="L428" s="112" t="s">
        <v>85</v>
      </c>
      <c r="M428" s="112" t="s">
        <v>434</v>
      </c>
      <c r="N428" s="114" t="s">
        <v>430</v>
      </c>
      <c r="O428" s="114" t="s">
        <v>111</v>
      </c>
      <c r="P428" s="114" t="s">
        <v>81</v>
      </c>
      <c r="Q428" s="114" t="s">
        <v>112</v>
      </c>
      <c r="R428" s="115" t="str">
        <f t="shared" si="48"/>
        <v>51</v>
      </c>
      <c r="S428" s="124">
        <v>510601</v>
      </c>
      <c r="T428" s="122" t="str">
        <f>VLOOKUP(S428,ITEM!$C$1:$D$156,2,FALSE)</f>
        <v>Aporte Patronal</v>
      </c>
      <c r="U428" s="112">
        <v>1300</v>
      </c>
      <c r="V428" s="114" t="s">
        <v>82</v>
      </c>
      <c r="W428" s="114" t="s">
        <v>84</v>
      </c>
      <c r="X428" s="114" t="s">
        <v>84</v>
      </c>
      <c r="Y428" s="224">
        <f>'Matriz POA 2024-TRABAJO'!AS14</f>
        <v>37997.769999999997</v>
      </c>
      <c r="Z428" s="224">
        <f>'Matriz POA 2024-TRABAJO'!AT14</f>
        <v>0</v>
      </c>
      <c r="AA428" s="224">
        <f>'Matriz POA 2024-TRABAJO'!AU14</f>
        <v>37997.769999999997</v>
      </c>
      <c r="AB428" s="279">
        <v>3231.88</v>
      </c>
      <c r="AC428" s="279">
        <v>3231.88</v>
      </c>
      <c r="AD428" s="279">
        <v>3231.88</v>
      </c>
      <c r="AE428" s="279">
        <v>3231.88</v>
      </c>
      <c r="AF428" s="279">
        <v>3231.88</v>
      </c>
      <c r="AG428" s="279">
        <v>3231.88</v>
      </c>
      <c r="AH428" s="279">
        <v>3231.88</v>
      </c>
      <c r="AI428" s="279">
        <v>3231.88</v>
      </c>
      <c r="AJ428" s="279">
        <v>3231.88</v>
      </c>
      <c r="AK428" s="279">
        <v>3231.88</v>
      </c>
      <c r="AL428" s="279">
        <v>3231.88</v>
      </c>
      <c r="AM428" s="279">
        <v>3231.88</v>
      </c>
      <c r="AN428" s="224" t="e">
        <f>SUM(#REF!)</f>
        <v>#REF!</v>
      </c>
      <c r="AO428" s="224">
        <f t="shared" si="49"/>
        <v>38782.560000000005</v>
      </c>
      <c r="AP428" s="224">
        <f t="shared" si="55"/>
        <v>784.79000000000815</v>
      </c>
      <c r="AQ428" s="224"/>
      <c r="AR428" s="224"/>
      <c r="AS428" s="224"/>
      <c r="AT428" s="224">
        <f>IFERROR(VLOOKUP($A428,'Constancias POA'!$A$2:$DH$9993,17,FALSE),"")</f>
        <v>37997.769999999997</v>
      </c>
      <c r="AU428" s="224">
        <f t="shared" si="50"/>
        <v>0</v>
      </c>
      <c r="AV428" s="224">
        <f>IFERROR(VLOOKUP($A428,CP!$A$1:$U$7992,18,FALSE),"")</f>
        <v>0</v>
      </c>
      <c r="AW428" s="224">
        <f>IFERROR(VLOOKUP($A428,CP!$A$1:$U$7992,19,FALSE),"")</f>
        <v>37446.300000000003</v>
      </c>
      <c r="AX428" s="224">
        <f>IFERROR(VLOOKUP($A428,CP!$A$1:$U$7992,20,FALSE),"")</f>
        <v>0</v>
      </c>
      <c r="AY428" s="224" t="str">
        <f>IFERROR(VLOOKUP($A428,CP!$A$1:$U$1,21,FALSE),"")</f>
        <v/>
      </c>
      <c r="AZ428" s="224" t="str">
        <f>IFERROR(VLOOKUP(A428,Devengado!$A$1:AJ1,35,FALSE),"")</f>
        <v/>
      </c>
      <c r="BA428" s="224" t="str">
        <f t="shared" si="51"/>
        <v/>
      </c>
      <c r="BB428" s="224" t="str">
        <f>IFERROR(AZ428/#REF!,"")</f>
        <v/>
      </c>
      <c r="BC428" s="224" t="str">
        <f>IFERROR(VLOOKUP($A428,Devengado!$A$1:$AI$1,22,FALSE),"")</f>
        <v/>
      </c>
      <c r="BD428" s="224" t="str">
        <f>IFERROR(VLOOKUP($A428,Devengado!$A$1:$AI$1,23,FALSE),"")</f>
        <v/>
      </c>
      <c r="BE428" s="224" t="str">
        <f>IFERROR(VLOOKUP($A428,Devengado!$A$1:$AI$1,24,FALSE),"")</f>
        <v/>
      </c>
      <c r="BF428" s="224" t="str">
        <f>IFERROR(VLOOKUP($A428,Devengado!$A$1:$AI$1,25,FALSE),"")</f>
        <v/>
      </c>
      <c r="BG428" s="224" t="str">
        <f>IFERROR(VLOOKUP($A428,Devengado!$A$1:$AI$1,26,FALSE),"")</f>
        <v/>
      </c>
      <c r="BH428" s="224" t="str">
        <f>IFERROR(VLOOKUP($A428,Devengado!$A$1:$AI$1,27,FALSE),"")</f>
        <v/>
      </c>
      <c r="BI428" s="224" t="str">
        <f>IFERROR(VLOOKUP($A428,Devengado!$A$1:$AI$1,28,FALSE),"")</f>
        <v/>
      </c>
      <c r="BJ428" s="224" t="str">
        <f>IFERROR(VLOOKUP($A428,Devengado!$A$1:$AI$1,29,FALSE),"")</f>
        <v/>
      </c>
      <c r="BK428" s="224" t="str">
        <f>IFERROR(VLOOKUP($A428,Devengado!$A$1:$AI$1,30,FALSE),"")</f>
        <v/>
      </c>
      <c r="BL428" s="224" t="str">
        <f>IFERROR(VLOOKUP($A428,Devengado!$A$1:$AI$1,31,FALSE),"")</f>
        <v/>
      </c>
      <c r="BM428" s="224" t="str">
        <f>IFERROR(VLOOKUP($A428,Devengado!$A$1:$AI$1,32,FALSE),"")</f>
        <v/>
      </c>
      <c r="BN428" s="224" t="str">
        <f>IFERROR(VLOOKUP($A428,Devengado!$A$1:$AI$1,33,FALSE),"")</f>
        <v/>
      </c>
      <c r="BO428" s="224">
        <f t="shared" si="52"/>
        <v>0</v>
      </c>
      <c r="BP428" s="224" t="str">
        <f t="shared" si="53"/>
        <v/>
      </c>
      <c r="BQ428" s="207"/>
      <c r="BR428" s="207" t="str">
        <f t="shared" si="54"/>
        <v>51</v>
      </c>
    </row>
    <row r="429" spans="1:70" s="225" customFormat="1" ht="25.5" customHeight="1">
      <c r="A429" s="207">
        <v>425</v>
      </c>
      <c r="B429" s="112" t="s">
        <v>429</v>
      </c>
      <c r="C429" s="112" t="s">
        <v>77</v>
      </c>
      <c r="D429" s="112" t="s">
        <v>77</v>
      </c>
      <c r="E429" s="112" t="s">
        <v>76</v>
      </c>
      <c r="F429" s="112" t="s">
        <v>77</v>
      </c>
      <c r="G429" s="112" t="s">
        <v>77</v>
      </c>
      <c r="H429" s="112" t="s">
        <v>77</v>
      </c>
      <c r="I429" s="112" t="s">
        <v>77</v>
      </c>
      <c r="J429" s="112" t="s">
        <v>77</v>
      </c>
      <c r="K429" s="112" t="s">
        <v>77</v>
      </c>
      <c r="L429" s="112" t="s">
        <v>85</v>
      </c>
      <c r="M429" s="112" t="s">
        <v>365</v>
      </c>
      <c r="N429" s="114" t="s">
        <v>430</v>
      </c>
      <c r="O429" s="114" t="s">
        <v>111</v>
      </c>
      <c r="P429" s="114" t="s">
        <v>81</v>
      </c>
      <c r="Q429" s="114" t="s">
        <v>112</v>
      </c>
      <c r="R429" s="115" t="str">
        <f t="shared" si="48"/>
        <v>51</v>
      </c>
      <c r="S429" s="124">
        <v>510602</v>
      </c>
      <c r="T429" s="122" t="str">
        <f>VLOOKUP(S429,ITEM!$C$1:$D$156,2,FALSE)</f>
        <v>Fondo de Reserva</v>
      </c>
      <c r="U429" s="112">
        <v>1300</v>
      </c>
      <c r="V429" s="114" t="s">
        <v>82</v>
      </c>
      <c r="W429" s="114" t="s">
        <v>84</v>
      </c>
      <c r="X429" s="114" t="s">
        <v>84</v>
      </c>
      <c r="Y429" s="224">
        <f>'Matriz POA 2024-TRABAJO'!AS15</f>
        <v>27570.59</v>
      </c>
      <c r="Z429" s="224">
        <f>'Matriz POA 2024-TRABAJO'!AT15</f>
        <v>0</v>
      </c>
      <c r="AA429" s="224">
        <f>'Matriz POA 2024-TRABAJO'!AU15</f>
        <v>27570.59</v>
      </c>
      <c r="AB429" s="279">
        <v>2456.4</v>
      </c>
      <c r="AC429" s="279">
        <v>2456.4</v>
      </c>
      <c r="AD429" s="279">
        <v>2456.4</v>
      </c>
      <c r="AE429" s="279">
        <v>2456.4</v>
      </c>
      <c r="AF429" s="279">
        <v>2456.4</v>
      </c>
      <c r="AG429" s="279">
        <v>2456.4</v>
      </c>
      <c r="AH429" s="279">
        <v>2456.4</v>
      </c>
      <c r="AI429" s="279">
        <v>2456.4</v>
      </c>
      <c r="AJ429" s="279">
        <v>2456.4</v>
      </c>
      <c r="AK429" s="279">
        <v>2456.4</v>
      </c>
      <c r="AL429" s="279">
        <v>2456.4</v>
      </c>
      <c r="AM429" s="279">
        <v>2456.41</v>
      </c>
      <c r="AN429" s="224" t="e">
        <f>SUM(#REF!)</f>
        <v>#REF!</v>
      </c>
      <c r="AO429" s="224">
        <f t="shared" si="49"/>
        <v>29476.810000000005</v>
      </c>
      <c r="AP429" s="224">
        <f t="shared" si="55"/>
        <v>1906.2200000000048</v>
      </c>
      <c r="AQ429" s="224"/>
      <c r="AR429" s="224"/>
      <c r="AS429" s="224"/>
      <c r="AT429" s="224">
        <f>IFERROR(VLOOKUP($A429,'Constancias POA'!$A$2:$DH$9993,17,FALSE),"")</f>
        <v>27570.59</v>
      </c>
      <c r="AU429" s="224">
        <f t="shared" si="50"/>
        <v>0</v>
      </c>
      <c r="AV429" s="224">
        <f>IFERROR(VLOOKUP($A429,CP!$A$1:$U$7992,18,FALSE),"")</f>
        <v>0</v>
      </c>
      <c r="AW429" s="224">
        <f>IFERROR(VLOOKUP($A429,CP!$A$1:$U$7992,19,FALSE),"")</f>
        <v>27296</v>
      </c>
      <c r="AX429" s="224">
        <f>IFERROR(VLOOKUP($A429,CP!$A$1:$U$7992,20,FALSE),"")</f>
        <v>0</v>
      </c>
      <c r="AY429" s="224" t="str">
        <f>IFERROR(VLOOKUP($A429,CP!$A$1:$U$1,21,FALSE),"")</f>
        <v/>
      </c>
      <c r="AZ429" s="224" t="str">
        <f>IFERROR(VLOOKUP(A429,Devengado!$A$1:AJ1,35,FALSE),"")</f>
        <v/>
      </c>
      <c r="BA429" s="224" t="str">
        <f t="shared" si="51"/>
        <v/>
      </c>
      <c r="BB429" s="224" t="str">
        <f>IFERROR(AZ429/#REF!,"")</f>
        <v/>
      </c>
      <c r="BC429" s="224" t="str">
        <f>IFERROR(VLOOKUP($A429,Devengado!$A$1:$AI$1,22,FALSE),"")</f>
        <v/>
      </c>
      <c r="BD429" s="224" t="str">
        <f>IFERROR(VLOOKUP($A429,Devengado!$A$1:$AI$1,23,FALSE),"")</f>
        <v/>
      </c>
      <c r="BE429" s="224" t="str">
        <f>IFERROR(VLOOKUP($A429,Devengado!$A$1:$AI$1,24,FALSE),"")</f>
        <v/>
      </c>
      <c r="BF429" s="224" t="str">
        <f>IFERROR(VLOOKUP($A429,Devengado!$A$1:$AI$1,25,FALSE),"")</f>
        <v/>
      </c>
      <c r="BG429" s="224" t="str">
        <f>IFERROR(VLOOKUP($A429,Devengado!$A$1:$AI$1,26,FALSE),"")</f>
        <v/>
      </c>
      <c r="BH429" s="224" t="str">
        <f>IFERROR(VLOOKUP($A429,Devengado!$A$1:$AI$1,27,FALSE),"")</f>
        <v/>
      </c>
      <c r="BI429" s="224" t="str">
        <f>IFERROR(VLOOKUP($A429,Devengado!$A$1:$AI$1,28,FALSE),"")</f>
        <v/>
      </c>
      <c r="BJ429" s="224" t="str">
        <f>IFERROR(VLOOKUP($A429,Devengado!$A$1:$AI$1,29,FALSE),"")</f>
        <v/>
      </c>
      <c r="BK429" s="224" t="str">
        <f>IFERROR(VLOOKUP($A429,Devengado!$A$1:$AI$1,30,FALSE),"")</f>
        <v/>
      </c>
      <c r="BL429" s="224" t="str">
        <f>IFERROR(VLOOKUP($A429,Devengado!$A$1:$AI$1,31,FALSE),"")</f>
        <v/>
      </c>
      <c r="BM429" s="224" t="str">
        <f>IFERROR(VLOOKUP($A429,Devengado!$A$1:$AI$1,32,FALSE),"")</f>
        <v/>
      </c>
      <c r="BN429" s="224" t="str">
        <f>IFERROR(VLOOKUP($A429,Devengado!$A$1:$AI$1,33,FALSE),"")</f>
        <v/>
      </c>
      <c r="BO429" s="224">
        <f t="shared" si="52"/>
        <v>0</v>
      </c>
      <c r="BP429" s="224" t="str">
        <f t="shared" si="53"/>
        <v/>
      </c>
      <c r="BQ429" s="207"/>
      <c r="BR429" s="207" t="str">
        <f t="shared" si="54"/>
        <v>51</v>
      </c>
    </row>
    <row r="430" spans="1:70" s="225" customFormat="1" ht="25.5" customHeight="1">
      <c r="A430" s="207">
        <v>426</v>
      </c>
      <c r="B430" s="112" t="s">
        <v>429</v>
      </c>
      <c r="C430" s="112" t="s">
        <v>77</v>
      </c>
      <c r="D430" s="112" t="s">
        <v>77</v>
      </c>
      <c r="E430" s="112" t="s">
        <v>76</v>
      </c>
      <c r="F430" s="112" t="s">
        <v>77</v>
      </c>
      <c r="G430" s="112" t="s">
        <v>77</v>
      </c>
      <c r="H430" s="112" t="s">
        <v>77</v>
      </c>
      <c r="I430" s="112" t="s">
        <v>77</v>
      </c>
      <c r="J430" s="112" t="s">
        <v>77</v>
      </c>
      <c r="K430" s="112" t="s">
        <v>77</v>
      </c>
      <c r="L430" s="112" t="s">
        <v>85</v>
      </c>
      <c r="M430" s="112" t="s">
        <v>435</v>
      </c>
      <c r="N430" s="114" t="s">
        <v>430</v>
      </c>
      <c r="O430" s="114" t="s">
        <v>111</v>
      </c>
      <c r="P430" s="114" t="s">
        <v>81</v>
      </c>
      <c r="Q430" s="114" t="s">
        <v>112</v>
      </c>
      <c r="R430" s="115" t="str">
        <f t="shared" si="48"/>
        <v>51</v>
      </c>
      <c r="S430" s="124">
        <v>510707</v>
      </c>
      <c r="T430" s="122" t="str">
        <f>VLOOKUP(S430,ITEM!$C$1:$D$156,2,FALSE)</f>
        <v>Compensación por Vacaciones no Gozadas por Cesación de Funciones</v>
      </c>
      <c r="U430" s="112">
        <v>1300</v>
      </c>
      <c r="V430" s="114" t="s">
        <v>82</v>
      </c>
      <c r="W430" s="114" t="s">
        <v>84</v>
      </c>
      <c r="X430" s="114" t="s">
        <v>84</v>
      </c>
      <c r="Y430" s="224">
        <f>'Matriz POA 2024-TRABAJO'!AS16</f>
        <v>0</v>
      </c>
      <c r="Z430" s="224">
        <f>'Matriz POA 2024-TRABAJO'!AT16</f>
        <v>0</v>
      </c>
      <c r="AA430" s="224">
        <f>'Matriz POA 2024-TRABAJO'!AU16</f>
        <v>0</v>
      </c>
      <c r="AB430" s="279"/>
      <c r="AC430" s="279"/>
      <c r="AD430" s="279"/>
      <c r="AE430" s="279"/>
      <c r="AF430" s="279"/>
      <c r="AG430" s="279"/>
      <c r="AH430" s="279"/>
      <c r="AI430" s="279"/>
      <c r="AJ430" s="279"/>
      <c r="AK430" s="279"/>
      <c r="AL430" s="279"/>
      <c r="AM430" s="279"/>
      <c r="AN430" s="224" t="e">
        <f>SUM(#REF!)</f>
        <v>#REF!</v>
      </c>
      <c r="AO430" s="224">
        <f t="shared" si="49"/>
        <v>0</v>
      </c>
      <c r="AP430" s="224">
        <f t="shared" si="55"/>
        <v>0</v>
      </c>
      <c r="AQ430" s="224"/>
      <c r="AR430" s="224"/>
      <c r="AS430" s="224"/>
      <c r="AT430" s="224" t="str">
        <f>IFERROR(VLOOKUP($A430,'Constancias POA'!$A$2:$DH$9993,17,FALSE),"")</f>
        <v/>
      </c>
      <c r="AU430" s="224" t="str">
        <f t="shared" si="50"/>
        <v/>
      </c>
      <c r="AV430" s="224" t="str">
        <f>IFERROR(VLOOKUP($A430,CP!$A$1:$U$7992,18,FALSE),"")</f>
        <v/>
      </c>
      <c r="AW430" s="224" t="str">
        <f>IFERROR(VLOOKUP($A430,CP!$A$1:$U$7992,19,FALSE),"")</f>
        <v/>
      </c>
      <c r="AX430" s="224" t="str">
        <f>IFERROR(VLOOKUP($A430,CP!$A$1:$U$7992,20,FALSE),"")</f>
        <v/>
      </c>
      <c r="AY430" s="224" t="str">
        <f>IFERROR(VLOOKUP($A430,CP!$A$1:$U$1,21,FALSE),"")</f>
        <v/>
      </c>
      <c r="AZ430" s="224" t="str">
        <f>IFERROR(VLOOKUP(A430,Devengado!$A$1:AJ1,35,FALSE),"")</f>
        <v/>
      </c>
      <c r="BA430" s="224" t="str">
        <f t="shared" si="51"/>
        <v/>
      </c>
      <c r="BB430" s="224" t="str">
        <f>IFERROR(AZ430/#REF!,"")</f>
        <v/>
      </c>
      <c r="BC430" s="224" t="str">
        <f>IFERROR(VLOOKUP($A430,Devengado!$A$1:$AI$1,22,FALSE),"")</f>
        <v/>
      </c>
      <c r="BD430" s="224" t="str">
        <f>IFERROR(VLOOKUP($A430,Devengado!$A$1:$AI$1,23,FALSE),"")</f>
        <v/>
      </c>
      <c r="BE430" s="224" t="str">
        <f>IFERROR(VLOOKUP($A430,Devengado!$A$1:$AI$1,24,FALSE),"")</f>
        <v/>
      </c>
      <c r="BF430" s="224" t="str">
        <f>IFERROR(VLOOKUP($A430,Devengado!$A$1:$AI$1,25,FALSE),"")</f>
        <v/>
      </c>
      <c r="BG430" s="224" t="str">
        <f>IFERROR(VLOOKUP($A430,Devengado!$A$1:$AI$1,26,FALSE),"")</f>
        <v/>
      </c>
      <c r="BH430" s="224" t="str">
        <f>IFERROR(VLOOKUP($A430,Devengado!$A$1:$AI$1,27,FALSE),"")</f>
        <v/>
      </c>
      <c r="BI430" s="224" t="str">
        <f>IFERROR(VLOOKUP($A430,Devengado!$A$1:$AI$1,28,FALSE),"")</f>
        <v/>
      </c>
      <c r="BJ430" s="224" t="str">
        <f>IFERROR(VLOOKUP($A430,Devengado!$A$1:$AI$1,29,FALSE),"")</f>
        <v/>
      </c>
      <c r="BK430" s="224" t="str">
        <f>IFERROR(VLOOKUP($A430,Devengado!$A$1:$AI$1,30,FALSE),"")</f>
        <v/>
      </c>
      <c r="BL430" s="224" t="str">
        <f>IFERROR(VLOOKUP($A430,Devengado!$A$1:$AI$1,31,FALSE),"")</f>
        <v/>
      </c>
      <c r="BM430" s="224" t="str">
        <f>IFERROR(VLOOKUP($A430,Devengado!$A$1:$AI$1,32,FALSE),"")</f>
        <v/>
      </c>
      <c r="BN430" s="224" t="str">
        <f>IFERROR(VLOOKUP($A430,Devengado!$A$1:$AI$1,33,FALSE),"")</f>
        <v/>
      </c>
      <c r="BO430" s="224">
        <f t="shared" si="52"/>
        <v>0</v>
      </c>
      <c r="BP430" s="224" t="str">
        <f t="shared" si="53"/>
        <v/>
      </c>
      <c r="BQ430" s="207"/>
      <c r="BR430" s="207" t="str">
        <f t="shared" si="54"/>
        <v>51</v>
      </c>
    </row>
    <row r="431" spans="1:70" s="225" customFormat="1" ht="25.5" customHeight="1">
      <c r="A431" s="207">
        <v>427</v>
      </c>
      <c r="B431" s="112" t="s">
        <v>429</v>
      </c>
      <c r="C431" s="112" t="s">
        <v>77</v>
      </c>
      <c r="D431" s="112" t="s">
        <v>77</v>
      </c>
      <c r="E431" s="112" t="s">
        <v>76</v>
      </c>
      <c r="F431" s="112" t="s">
        <v>77</v>
      </c>
      <c r="G431" s="112" t="s">
        <v>77</v>
      </c>
      <c r="H431" s="112" t="s">
        <v>77</v>
      </c>
      <c r="I431" s="112" t="s">
        <v>77</v>
      </c>
      <c r="J431" s="112" t="s">
        <v>77</v>
      </c>
      <c r="K431" s="112" t="s">
        <v>77</v>
      </c>
      <c r="L431" s="112" t="s">
        <v>85</v>
      </c>
      <c r="M431" s="124" t="s">
        <v>436</v>
      </c>
      <c r="N431" s="114" t="s">
        <v>430</v>
      </c>
      <c r="O431" s="114" t="s">
        <v>111</v>
      </c>
      <c r="P431" s="114" t="s">
        <v>81</v>
      </c>
      <c r="Q431" s="114" t="s">
        <v>112</v>
      </c>
      <c r="R431" s="115" t="str">
        <f t="shared" si="48"/>
        <v>53</v>
      </c>
      <c r="S431" s="124">
        <v>530105</v>
      </c>
      <c r="T431" s="122" t="str">
        <f>VLOOKUP(S431,ITEM!$C$1:$D$156,2,FALSE)</f>
        <v>Telecomunicaciones</v>
      </c>
      <c r="U431" s="112">
        <v>1308</v>
      </c>
      <c r="V431" s="114" t="s">
        <v>82</v>
      </c>
      <c r="W431" s="114" t="s">
        <v>84</v>
      </c>
      <c r="X431" s="114" t="s">
        <v>84</v>
      </c>
      <c r="Y431" s="224">
        <f>'Matriz POA 2024-TRABAJO'!AS17</f>
        <v>0</v>
      </c>
      <c r="Z431" s="224">
        <f>'Matriz POA 2024-TRABAJO'!AT17</f>
        <v>0</v>
      </c>
      <c r="AA431" s="224">
        <f>'Matriz POA 2024-TRABAJO'!AU17</f>
        <v>0</v>
      </c>
      <c r="AB431" s="279">
        <v>0</v>
      </c>
      <c r="AC431" s="279">
        <v>50</v>
      </c>
      <c r="AD431" s="279">
        <v>50</v>
      </c>
      <c r="AE431" s="279">
        <v>50</v>
      </c>
      <c r="AF431" s="279">
        <v>50</v>
      </c>
      <c r="AG431" s="279">
        <v>50</v>
      </c>
      <c r="AH431" s="279">
        <v>50</v>
      </c>
      <c r="AI431" s="279">
        <v>50</v>
      </c>
      <c r="AJ431" s="279">
        <v>50</v>
      </c>
      <c r="AK431" s="279">
        <v>50</v>
      </c>
      <c r="AL431" s="279">
        <v>50</v>
      </c>
      <c r="AM431" s="279">
        <v>0</v>
      </c>
      <c r="AN431" s="224" t="e">
        <f>SUM(#REF!)</f>
        <v>#REF!</v>
      </c>
      <c r="AO431" s="224">
        <f t="shared" si="49"/>
        <v>500</v>
      </c>
      <c r="AP431" s="224">
        <f t="shared" si="55"/>
        <v>500</v>
      </c>
      <c r="AQ431" s="224"/>
      <c r="AR431" s="224"/>
      <c r="AS431" s="224"/>
      <c r="AT431" s="224">
        <f>IFERROR(VLOOKUP($A431,'Constancias POA'!$A$2:$DH$9993,17,FALSE),"")</f>
        <v>0</v>
      </c>
      <c r="AU431" s="224">
        <f t="shared" si="50"/>
        <v>0</v>
      </c>
      <c r="AV431" s="224">
        <f>IFERROR(VLOOKUP($A431,CP!$A$1:$U$7992,18,FALSE),"")</f>
        <v>0</v>
      </c>
      <c r="AW431" s="224">
        <f>IFERROR(VLOOKUP($A431,CP!$A$1:$U$7992,19,FALSE),"")</f>
        <v>0</v>
      </c>
      <c r="AX431" s="224">
        <f>IFERROR(VLOOKUP($A431,CP!$A$1:$U$7992,20,FALSE),"")</f>
        <v>0</v>
      </c>
      <c r="AY431" s="224" t="str">
        <f>IFERROR(VLOOKUP($A431,CP!$A$1:$U$1,21,FALSE),"")</f>
        <v/>
      </c>
      <c r="AZ431" s="224" t="str">
        <f>IFERROR(VLOOKUP(A431,Devengado!$A$1:AJ1,35,FALSE),"")</f>
        <v/>
      </c>
      <c r="BA431" s="224" t="str">
        <f t="shared" si="51"/>
        <v/>
      </c>
      <c r="BB431" s="224" t="str">
        <f>IFERROR(AZ431/#REF!,"")</f>
        <v/>
      </c>
      <c r="BC431" s="224" t="str">
        <f>IFERROR(VLOOKUP($A431,Devengado!$A$1:$AI$1,22,FALSE),"")</f>
        <v/>
      </c>
      <c r="BD431" s="224" t="str">
        <f>IFERROR(VLOOKUP($A431,Devengado!$A$1:$AI$1,23,FALSE),"")</f>
        <v/>
      </c>
      <c r="BE431" s="224" t="str">
        <f>IFERROR(VLOOKUP($A431,Devengado!$A$1:$AI$1,24,FALSE),"")</f>
        <v/>
      </c>
      <c r="BF431" s="224" t="str">
        <f>IFERROR(VLOOKUP($A431,Devengado!$A$1:$AI$1,25,FALSE),"")</f>
        <v/>
      </c>
      <c r="BG431" s="224" t="str">
        <f>IFERROR(VLOOKUP($A431,Devengado!$A$1:$AI$1,26,FALSE),"")</f>
        <v/>
      </c>
      <c r="BH431" s="224" t="str">
        <f>IFERROR(VLOOKUP($A431,Devengado!$A$1:$AI$1,27,FALSE),"")</f>
        <v/>
      </c>
      <c r="BI431" s="224" t="str">
        <f>IFERROR(VLOOKUP($A431,Devengado!$A$1:$AI$1,28,FALSE),"")</f>
        <v/>
      </c>
      <c r="BJ431" s="224" t="str">
        <f>IFERROR(VLOOKUP($A431,Devengado!$A$1:$AI$1,29,FALSE),"")</f>
        <v/>
      </c>
      <c r="BK431" s="224" t="str">
        <f>IFERROR(VLOOKUP($A431,Devengado!$A$1:$AI$1,30,FALSE),"")</f>
        <v/>
      </c>
      <c r="BL431" s="224" t="str">
        <f>IFERROR(VLOOKUP($A431,Devengado!$A$1:$AI$1,31,FALSE),"")</f>
        <v/>
      </c>
      <c r="BM431" s="224" t="str">
        <f>IFERROR(VLOOKUP($A431,Devengado!$A$1:$AI$1,32,FALSE),"")</f>
        <v/>
      </c>
      <c r="BN431" s="224" t="str">
        <f>IFERROR(VLOOKUP($A431,Devengado!$A$1:$AI$1,33,FALSE),"")</f>
        <v/>
      </c>
      <c r="BO431" s="224">
        <f t="shared" si="52"/>
        <v>0</v>
      </c>
      <c r="BP431" s="224" t="str">
        <f t="shared" si="53"/>
        <v/>
      </c>
      <c r="BQ431" s="207"/>
      <c r="BR431" s="207" t="str">
        <f t="shared" si="54"/>
        <v>53</v>
      </c>
    </row>
    <row r="432" spans="1:70" s="225" customFormat="1" ht="25.5" customHeight="1">
      <c r="A432" s="207">
        <v>428</v>
      </c>
      <c r="B432" s="112" t="s">
        <v>429</v>
      </c>
      <c r="C432" s="112" t="s">
        <v>77</v>
      </c>
      <c r="D432" s="112" t="s">
        <v>77</v>
      </c>
      <c r="E432" s="112" t="s">
        <v>76</v>
      </c>
      <c r="F432" s="112" t="s">
        <v>77</v>
      </c>
      <c r="G432" s="112" t="s">
        <v>77</v>
      </c>
      <c r="H432" s="112" t="s">
        <v>77</v>
      </c>
      <c r="I432" s="112" t="s">
        <v>77</v>
      </c>
      <c r="J432" s="112" t="s">
        <v>77</v>
      </c>
      <c r="K432" s="112" t="s">
        <v>77</v>
      </c>
      <c r="L432" s="112" t="s">
        <v>85</v>
      </c>
      <c r="M432" s="124" t="s">
        <v>437</v>
      </c>
      <c r="N432" s="114" t="s">
        <v>430</v>
      </c>
      <c r="O432" s="114" t="s">
        <v>111</v>
      </c>
      <c r="P432" s="114" t="s">
        <v>81</v>
      </c>
      <c r="Q432" s="114" t="s">
        <v>112</v>
      </c>
      <c r="R432" s="115" t="str">
        <f t="shared" si="48"/>
        <v>53</v>
      </c>
      <c r="S432" s="124">
        <v>530105</v>
      </c>
      <c r="T432" s="122" t="str">
        <f>VLOOKUP(S432,ITEM!$C$1:$D$156,2,FALSE)</f>
        <v>Telecomunicaciones</v>
      </c>
      <c r="U432" s="112">
        <v>1314</v>
      </c>
      <c r="V432" s="114" t="s">
        <v>82</v>
      </c>
      <c r="W432" s="114" t="s">
        <v>84</v>
      </c>
      <c r="X432" s="114" t="s">
        <v>84</v>
      </c>
      <c r="Y432" s="224">
        <f>'Matriz POA 2024-TRABAJO'!AS18</f>
        <v>0</v>
      </c>
      <c r="Z432" s="224">
        <f>'Matriz POA 2024-TRABAJO'!AT18</f>
        <v>0</v>
      </c>
      <c r="AA432" s="224">
        <f>'Matriz POA 2024-TRABAJO'!AU18</f>
        <v>0</v>
      </c>
      <c r="AB432" s="279">
        <v>0</v>
      </c>
      <c r="AC432" s="279">
        <v>50</v>
      </c>
      <c r="AD432" s="279">
        <v>50</v>
      </c>
      <c r="AE432" s="279">
        <v>50</v>
      </c>
      <c r="AF432" s="279">
        <v>50</v>
      </c>
      <c r="AG432" s="279">
        <v>50</v>
      </c>
      <c r="AH432" s="279">
        <v>50</v>
      </c>
      <c r="AI432" s="279">
        <v>50</v>
      </c>
      <c r="AJ432" s="279">
        <v>50</v>
      </c>
      <c r="AK432" s="279">
        <v>50</v>
      </c>
      <c r="AL432" s="279">
        <v>50</v>
      </c>
      <c r="AM432" s="279">
        <v>0</v>
      </c>
      <c r="AN432" s="224" t="e">
        <f>SUM(#REF!)</f>
        <v>#REF!</v>
      </c>
      <c r="AO432" s="224">
        <f t="shared" si="49"/>
        <v>500</v>
      </c>
      <c r="AP432" s="224">
        <f t="shared" si="55"/>
        <v>500</v>
      </c>
      <c r="AQ432" s="224"/>
      <c r="AR432" s="224"/>
      <c r="AS432" s="224"/>
      <c r="AT432" s="224">
        <f>IFERROR(VLOOKUP($A432,'Constancias POA'!$A$2:$DH$9993,17,FALSE),"")</f>
        <v>0</v>
      </c>
      <c r="AU432" s="224">
        <f t="shared" si="50"/>
        <v>0</v>
      </c>
      <c r="AV432" s="224">
        <f>IFERROR(VLOOKUP($A432,CP!$A$1:$U$7992,18,FALSE),"")</f>
        <v>0</v>
      </c>
      <c r="AW432" s="224">
        <f>IFERROR(VLOOKUP($A432,CP!$A$1:$U$7992,19,FALSE),"")</f>
        <v>0</v>
      </c>
      <c r="AX432" s="224">
        <f>IFERROR(VLOOKUP($A432,CP!$A$1:$U$7992,20,FALSE),"")</f>
        <v>0</v>
      </c>
      <c r="AY432" s="224" t="str">
        <f>IFERROR(VLOOKUP($A432,CP!$A$1:$U$1,21,FALSE),"")</f>
        <v/>
      </c>
      <c r="AZ432" s="224" t="str">
        <f>IFERROR(VLOOKUP(A432,Devengado!$A$1:AJ1,35,FALSE),"")</f>
        <v/>
      </c>
      <c r="BA432" s="224" t="str">
        <f t="shared" si="51"/>
        <v/>
      </c>
      <c r="BB432" s="224" t="str">
        <f>IFERROR(AZ432/#REF!,"")</f>
        <v/>
      </c>
      <c r="BC432" s="224" t="str">
        <f>IFERROR(VLOOKUP($A432,Devengado!$A$1:$AI$1,22,FALSE),"")</f>
        <v/>
      </c>
      <c r="BD432" s="224" t="str">
        <f>IFERROR(VLOOKUP($A432,Devengado!$A$1:$AI$1,23,FALSE),"")</f>
        <v/>
      </c>
      <c r="BE432" s="224" t="str">
        <f>IFERROR(VLOOKUP($A432,Devengado!$A$1:$AI$1,24,FALSE),"")</f>
        <v/>
      </c>
      <c r="BF432" s="224" t="str">
        <f>IFERROR(VLOOKUP($A432,Devengado!$A$1:$AI$1,25,FALSE),"")</f>
        <v/>
      </c>
      <c r="BG432" s="224" t="str">
        <f>IFERROR(VLOOKUP($A432,Devengado!$A$1:$AI$1,26,FALSE),"")</f>
        <v/>
      </c>
      <c r="BH432" s="224" t="str">
        <f>IFERROR(VLOOKUP($A432,Devengado!$A$1:$AI$1,27,FALSE),"")</f>
        <v/>
      </c>
      <c r="BI432" s="224" t="str">
        <f>IFERROR(VLOOKUP($A432,Devengado!$A$1:$AI$1,28,FALSE),"")</f>
        <v/>
      </c>
      <c r="BJ432" s="224" t="str">
        <f>IFERROR(VLOOKUP($A432,Devengado!$A$1:$AI$1,29,FALSE),"")</f>
        <v/>
      </c>
      <c r="BK432" s="224" t="str">
        <f>IFERROR(VLOOKUP($A432,Devengado!$A$1:$AI$1,30,FALSE),"")</f>
        <v/>
      </c>
      <c r="BL432" s="224" t="str">
        <f>IFERROR(VLOOKUP($A432,Devengado!$A$1:$AI$1,31,FALSE),"")</f>
        <v/>
      </c>
      <c r="BM432" s="224" t="str">
        <f>IFERROR(VLOOKUP($A432,Devengado!$A$1:$AI$1,32,FALSE),"")</f>
        <v/>
      </c>
      <c r="BN432" s="224" t="str">
        <f>IFERROR(VLOOKUP($A432,Devengado!$A$1:$AI$1,33,FALSE),"")</f>
        <v/>
      </c>
      <c r="BO432" s="224">
        <f t="shared" si="52"/>
        <v>0</v>
      </c>
      <c r="BP432" s="224" t="str">
        <f t="shared" si="53"/>
        <v/>
      </c>
      <c r="BQ432" s="207"/>
      <c r="BR432" s="207" t="str">
        <f t="shared" si="54"/>
        <v>53</v>
      </c>
    </row>
    <row r="433" spans="1:70" s="225" customFormat="1" ht="25.5" customHeight="1">
      <c r="A433" s="207">
        <v>429</v>
      </c>
      <c r="B433" s="112" t="s">
        <v>429</v>
      </c>
      <c r="C433" s="112" t="s">
        <v>77</v>
      </c>
      <c r="D433" s="112" t="s">
        <v>77</v>
      </c>
      <c r="E433" s="112" t="s">
        <v>76</v>
      </c>
      <c r="F433" s="112" t="s">
        <v>77</v>
      </c>
      <c r="G433" s="112" t="s">
        <v>77</v>
      </c>
      <c r="H433" s="112" t="s">
        <v>77</v>
      </c>
      <c r="I433" s="112" t="s">
        <v>77</v>
      </c>
      <c r="J433" s="112" t="s">
        <v>77</v>
      </c>
      <c r="K433" s="112" t="s">
        <v>77</v>
      </c>
      <c r="L433" s="112" t="s">
        <v>85</v>
      </c>
      <c r="M433" s="124" t="s">
        <v>438</v>
      </c>
      <c r="N433" s="114" t="s">
        <v>430</v>
      </c>
      <c r="O433" s="114" t="s">
        <v>111</v>
      </c>
      <c r="P433" s="114" t="s">
        <v>81</v>
      </c>
      <c r="Q433" s="114" t="s">
        <v>112</v>
      </c>
      <c r="R433" s="115" t="str">
        <f t="shared" si="48"/>
        <v>53</v>
      </c>
      <c r="S433" s="124">
        <v>530105</v>
      </c>
      <c r="T433" s="122" t="str">
        <f>VLOOKUP(S433,ITEM!$C$1:$D$156,2,FALSE)</f>
        <v>Telecomunicaciones</v>
      </c>
      <c r="U433" s="112">
        <v>1301</v>
      </c>
      <c r="V433" s="114" t="s">
        <v>82</v>
      </c>
      <c r="W433" s="114" t="s">
        <v>84</v>
      </c>
      <c r="X433" s="114" t="s">
        <v>84</v>
      </c>
      <c r="Y433" s="224">
        <f>'Matriz POA 2024-TRABAJO'!AS19</f>
        <v>0</v>
      </c>
      <c r="Z433" s="224">
        <f>'Matriz POA 2024-TRABAJO'!AT19</f>
        <v>0</v>
      </c>
      <c r="AA433" s="224">
        <f>'Matriz POA 2024-TRABAJO'!AU19</f>
        <v>0</v>
      </c>
      <c r="AB433" s="279">
        <v>0</v>
      </c>
      <c r="AC433" s="279">
        <v>50</v>
      </c>
      <c r="AD433" s="279">
        <v>50</v>
      </c>
      <c r="AE433" s="279">
        <v>50</v>
      </c>
      <c r="AF433" s="279">
        <v>50</v>
      </c>
      <c r="AG433" s="279">
        <v>50</v>
      </c>
      <c r="AH433" s="279">
        <v>50</v>
      </c>
      <c r="AI433" s="279">
        <v>50</v>
      </c>
      <c r="AJ433" s="279">
        <v>50</v>
      </c>
      <c r="AK433" s="279">
        <v>50</v>
      </c>
      <c r="AL433" s="279">
        <v>50</v>
      </c>
      <c r="AM433" s="279">
        <v>0</v>
      </c>
      <c r="AN433" s="224" t="e">
        <f>SUM(#REF!)</f>
        <v>#REF!</v>
      </c>
      <c r="AO433" s="224">
        <f t="shared" si="49"/>
        <v>500</v>
      </c>
      <c r="AP433" s="224">
        <f t="shared" si="55"/>
        <v>500</v>
      </c>
      <c r="AQ433" s="224"/>
      <c r="AR433" s="224"/>
      <c r="AS433" s="224"/>
      <c r="AT433" s="224">
        <f>IFERROR(VLOOKUP($A433,'Constancias POA'!$A$2:$DH$9993,17,FALSE),"")</f>
        <v>0</v>
      </c>
      <c r="AU433" s="224">
        <f t="shared" si="50"/>
        <v>0</v>
      </c>
      <c r="AV433" s="224">
        <f>IFERROR(VLOOKUP($A433,CP!$A$1:$U$7992,18,FALSE),"")</f>
        <v>0</v>
      </c>
      <c r="AW433" s="224">
        <f>IFERROR(VLOOKUP($A433,CP!$A$1:$U$7992,19,FALSE),"")</f>
        <v>0</v>
      </c>
      <c r="AX433" s="224">
        <f>IFERROR(VLOOKUP($A433,CP!$A$1:$U$7992,20,FALSE),"")</f>
        <v>0</v>
      </c>
      <c r="AY433" s="224" t="str">
        <f>IFERROR(VLOOKUP($A433,CP!$A$1:$U$1,21,FALSE),"")</f>
        <v/>
      </c>
      <c r="AZ433" s="224" t="str">
        <f>IFERROR(VLOOKUP(A433,Devengado!$A$1:AJ1,35,FALSE),"")</f>
        <v/>
      </c>
      <c r="BA433" s="224" t="str">
        <f t="shared" si="51"/>
        <v/>
      </c>
      <c r="BB433" s="224" t="str">
        <f>IFERROR(AZ433/#REF!,"")</f>
        <v/>
      </c>
      <c r="BC433" s="224" t="str">
        <f>IFERROR(VLOOKUP($A433,Devengado!$A$1:$AI$1,22,FALSE),"")</f>
        <v/>
      </c>
      <c r="BD433" s="224" t="str">
        <f>IFERROR(VLOOKUP($A433,Devengado!$A$1:$AI$1,23,FALSE),"")</f>
        <v/>
      </c>
      <c r="BE433" s="224" t="str">
        <f>IFERROR(VLOOKUP($A433,Devengado!$A$1:$AI$1,24,FALSE),"")</f>
        <v/>
      </c>
      <c r="BF433" s="224" t="str">
        <f>IFERROR(VLOOKUP($A433,Devengado!$A$1:$AI$1,25,FALSE),"")</f>
        <v/>
      </c>
      <c r="BG433" s="224" t="str">
        <f>IFERROR(VLOOKUP($A433,Devengado!$A$1:$AI$1,26,FALSE),"")</f>
        <v/>
      </c>
      <c r="BH433" s="224" t="str">
        <f>IFERROR(VLOOKUP($A433,Devengado!$A$1:$AI$1,27,FALSE),"")</f>
        <v/>
      </c>
      <c r="BI433" s="224" t="str">
        <f>IFERROR(VLOOKUP($A433,Devengado!$A$1:$AI$1,28,FALSE),"")</f>
        <v/>
      </c>
      <c r="BJ433" s="224" t="str">
        <f>IFERROR(VLOOKUP($A433,Devengado!$A$1:$AI$1,29,FALSE),"")</f>
        <v/>
      </c>
      <c r="BK433" s="224" t="str">
        <f>IFERROR(VLOOKUP($A433,Devengado!$A$1:$AI$1,30,FALSE),"")</f>
        <v/>
      </c>
      <c r="BL433" s="224" t="str">
        <f>IFERROR(VLOOKUP($A433,Devengado!$A$1:$AI$1,31,FALSE),"")</f>
        <v/>
      </c>
      <c r="BM433" s="224" t="str">
        <f>IFERROR(VLOOKUP($A433,Devengado!$A$1:$AI$1,32,FALSE),"")</f>
        <v/>
      </c>
      <c r="BN433" s="224" t="str">
        <f>IFERROR(VLOOKUP($A433,Devengado!$A$1:$AI$1,33,FALSE),"")</f>
        <v/>
      </c>
      <c r="BO433" s="224">
        <f t="shared" si="52"/>
        <v>0</v>
      </c>
      <c r="BP433" s="224" t="str">
        <f t="shared" si="53"/>
        <v/>
      </c>
      <c r="BQ433" s="207"/>
      <c r="BR433" s="207" t="str">
        <f t="shared" si="54"/>
        <v>53</v>
      </c>
    </row>
    <row r="434" spans="1:70" s="225" customFormat="1" ht="25.5" customHeight="1">
      <c r="A434" s="207">
        <v>430</v>
      </c>
      <c r="B434" s="112" t="s">
        <v>429</v>
      </c>
      <c r="C434" s="112" t="s">
        <v>77</v>
      </c>
      <c r="D434" s="112" t="s">
        <v>77</v>
      </c>
      <c r="E434" s="112" t="s">
        <v>76</v>
      </c>
      <c r="F434" s="112" t="s">
        <v>77</v>
      </c>
      <c r="G434" s="112" t="s">
        <v>77</v>
      </c>
      <c r="H434" s="112" t="s">
        <v>77</v>
      </c>
      <c r="I434" s="112" t="s">
        <v>77</v>
      </c>
      <c r="J434" s="112" t="s">
        <v>77</v>
      </c>
      <c r="K434" s="112" t="s">
        <v>77</v>
      </c>
      <c r="L434" s="112" t="s">
        <v>85</v>
      </c>
      <c r="M434" s="124" t="s">
        <v>439</v>
      </c>
      <c r="N434" s="114" t="s">
        <v>430</v>
      </c>
      <c r="O434" s="114" t="s">
        <v>111</v>
      </c>
      <c r="P434" s="114" t="s">
        <v>81</v>
      </c>
      <c r="Q434" s="114" t="s">
        <v>112</v>
      </c>
      <c r="R434" s="115" t="str">
        <f t="shared" si="48"/>
        <v>53</v>
      </c>
      <c r="S434" s="124">
        <v>530105</v>
      </c>
      <c r="T434" s="122" t="str">
        <f>VLOOKUP(S434,ITEM!$C$1:$D$156,2,FALSE)</f>
        <v>Telecomunicaciones</v>
      </c>
      <c r="U434" s="112">
        <v>1309</v>
      </c>
      <c r="V434" s="114" t="s">
        <v>82</v>
      </c>
      <c r="W434" s="114" t="s">
        <v>84</v>
      </c>
      <c r="X434" s="114" t="s">
        <v>84</v>
      </c>
      <c r="Y434" s="224">
        <f>'Matriz POA 2024-TRABAJO'!AS20</f>
        <v>0</v>
      </c>
      <c r="Z434" s="224">
        <f>'Matriz POA 2024-TRABAJO'!AT20</f>
        <v>0</v>
      </c>
      <c r="AA434" s="224">
        <f>'Matriz POA 2024-TRABAJO'!AU20</f>
        <v>0</v>
      </c>
      <c r="AB434" s="279">
        <v>0</v>
      </c>
      <c r="AC434" s="279">
        <v>0</v>
      </c>
      <c r="AD434" s="279">
        <v>3000</v>
      </c>
      <c r="AE434" s="279">
        <v>0</v>
      </c>
      <c r="AF434" s="279">
        <v>0</v>
      </c>
      <c r="AG434" s="279">
        <v>0</v>
      </c>
      <c r="AH434" s="279">
        <v>0</v>
      </c>
      <c r="AI434" s="279">
        <v>0</v>
      </c>
      <c r="AJ434" s="279">
        <v>0</v>
      </c>
      <c r="AK434" s="279">
        <v>0</v>
      </c>
      <c r="AL434" s="279">
        <v>0</v>
      </c>
      <c r="AM434" s="279">
        <v>0</v>
      </c>
      <c r="AN434" s="224" t="e">
        <f>SUM(#REF!)</f>
        <v>#REF!</v>
      </c>
      <c r="AO434" s="224">
        <f t="shared" si="49"/>
        <v>3000</v>
      </c>
      <c r="AP434" s="224">
        <f t="shared" si="55"/>
        <v>3000</v>
      </c>
      <c r="AQ434" s="224"/>
      <c r="AR434" s="224"/>
      <c r="AS434" s="224"/>
      <c r="AT434" s="224">
        <f>IFERROR(VLOOKUP($A434,'Constancias POA'!$A$2:$DH$9993,17,FALSE),"")</f>
        <v>0</v>
      </c>
      <c r="AU434" s="224">
        <f t="shared" si="50"/>
        <v>0</v>
      </c>
      <c r="AV434" s="224">
        <f>IFERROR(VLOOKUP($A434,CP!$A$1:$U$7992,18,FALSE),"")</f>
        <v>0</v>
      </c>
      <c r="AW434" s="224">
        <f>IFERROR(VLOOKUP($A434,CP!$A$1:$U$7992,19,FALSE),"")</f>
        <v>0</v>
      </c>
      <c r="AX434" s="224">
        <f>IFERROR(VLOOKUP($A434,CP!$A$1:$U$7992,20,FALSE),"")</f>
        <v>0</v>
      </c>
      <c r="AY434" s="224" t="str">
        <f>IFERROR(VLOOKUP($A434,CP!$A$1:$U$1,21,FALSE),"")</f>
        <v/>
      </c>
      <c r="AZ434" s="224" t="str">
        <f>IFERROR(VLOOKUP(A434,Devengado!$A$1:AJ1,35,FALSE),"")</f>
        <v/>
      </c>
      <c r="BA434" s="224" t="str">
        <f t="shared" si="51"/>
        <v/>
      </c>
      <c r="BB434" s="224" t="str">
        <f>IFERROR(AZ434/#REF!,"")</f>
        <v/>
      </c>
      <c r="BC434" s="224" t="str">
        <f>IFERROR(VLOOKUP($A434,Devengado!$A$1:$AI$1,22,FALSE),"")</f>
        <v/>
      </c>
      <c r="BD434" s="224" t="str">
        <f>IFERROR(VLOOKUP($A434,Devengado!$A$1:$AI$1,23,FALSE),"")</f>
        <v/>
      </c>
      <c r="BE434" s="224" t="str">
        <f>IFERROR(VLOOKUP($A434,Devengado!$A$1:$AI$1,24,FALSE),"")</f>
        <v/>
      </c>
      <c r="BF434" s="224" t="str">
        <f>IFERROR(VLOOKUP($A434,Devengado!$A$1:$AI$1,25,FALSE),"")</f>
        <v/>
      </c>
      <c r="BG434" s="224" t="str">
        <f>IFERROR(VLOOKUP($A434,Devengado!$A$1:$AI$1,26,FALSE),"")</f>
        <v/>
      </c>
      <c r="BH434" s="224" t="str">
        <f>IFERROR(VLOOKUP($A434,Devengado!$A$1:$AI$1,27,FALSE),"")</f>
        <v/>
      </c>
      <c r="BI434" s="224" t="str">
        <f>IFERROR(VLOOKUP($A434,Devengado!$A$1:$AI$1,28,FALSE),"")</f>
        <v/>
      </c>
      <c r="BJ434" s="224" t="str">
        <f>IFERROR(VLOOKUP($A434,Devengado!$A$1:$AI$1,29,FALSE),"")</f>
        <v/>
      </c>
      <c r="BK434" s="224" t="str">
        <f>IFERROR(VLOOKUP($A434,Devengado!$A$1:$AI$1,30,FALSE),"")</f>
        <v/>
      </c>
      <c r="BL434" s="224" t="str">
        <f>IFERROR(VLOOKUP($A434,Devengado!$A$1:$AI$1,31,FALSE),"")</f>
        <v/>
      </c>
      <c r="BM434" s="224" t="str">
        <f>IFERROR(VLOOKUP($A434,Devengado!$A$1:$AI$1,32,FALSE),"")</f>
        <v/>
      </c>
      <c r="BN434" s="224" t="str">
        <f>IFERROR(VLOOKUP($A434,Devengado!$A$1:$AI$1,33,FALSE),"")</f>
        <v/>
      </c>
      <c r="BO434" s="224">
        <f t="shared" si="52"/>
        <v>0</v>
      </c>
      <c r="BP434" s="224" t="str">
        <f t="shared" si="53"/>
        <v/>
      </c>
      <c r="BQ434" s="207"/>
      <c r="BR434" s="207" t="str">
        <f t="shared" si="54"/>
        <v>53</v>
      </c>
    </row>
    <row r="435" spans="1:70" s="225" customFormat="1" ht="25.5" customHeight="1">
      <c r="A435" s="207">
        <v>431</v>
      </c>
      <c r="B435" s="112" t="s">
        <v>429</v>
      </c>
      <c r="C435" s="112" t="s">
        <v>77</v>
      </c>
      <c r="D435" s="112" t="s">
        <v>77</v>
      </c>
      <c r="E435" s="112" t="s">
        <v>76</v>
      </c>
      <c r="F435" s="112" t="s">
        <v>77</v>
      </c>
      <c r="G435" s="112" t="s">
        <v>77</v>
      </c>
      <c r="H435" s="112" t="s">
        <v>77</v>
      </c>
      <c r="I435" s="112" t="s">
        <v>77</v>
      </c>
      <c r="J435" s="112" t="s">
        <v>77</v>
      </c>
      <c r="K435" s="112" t="s">
        <v>77</v>
      </c>
      <c r="L435" s="112" t="s">
        <v>87</v>
      </c>
      <c r="M435" s="124" t="s">
        <v>440</v>
      </c>
      <c r="N435" s="114" t="s">
        <v>430</v>
      </c>
      <c r="O435" s="114" t="s">
        <v>111</v>
      </c>
      <c r="P435" s="114" t="s">
        <v>81</v>
      </c>
      <c r="Q435" s="114" t="s">
        <v>112</v>
      </c>
      <c r="R435" s="115" t="str">
        <f t="shared" si="48"/>
        <v>53</v>
      </c>
      <c r="S435" s="124">
        <v>530105</v>
      </c>
      <c r="T435" s="122" t="str">
        <f>VLOOKUP(S435,ITEM!$C$1:$D$156,2,FALSE)</f>
        <v>Telecomunicaciones</v>
      </c>
      <c r="U435" s="112">
        <v>1309</v>
      </c>
      <c r="V435" s="114" t="s">
        <v>82</v>
      </c>
      <c r="W435" s="114" t="s">
        <v>84</v>
      </c>
      <c r="X435" s="114" t="s">
        <v>84</v>
      </c>
      <c r="Y435" s="224">
        <f>'Matriz POA 2024-TRABAJO'!AS21</f>
        <v>0</v>
      </c>
      <c r="Z435" s="224">
        <f>'Matriz POA 2024-TRABAJO'!AT21</f>
        <v>0</v>
      </c>
      <c r="AA435" s="224">
        <f>'Matriz POA 2024-TRABAJO'!AU21</f>
        <v>0</v>
      </c>
      <c r="AB435" s="279"/>
      <c r="AC435" s="279"/>
      <c r="AD435" s="279"/>
      <c r="AE435" s="279"/>
      <c r="AF435" s="279"/>
      <c r="AG435" s="279"/>
      <c r="AH435" s="279"/>
      <c r="AI435" s="279"/>
      <c r="AJ435" s="279"/>
      <c r="AK435" s="279"/>
      <c r="AL435" s="279"/>
      <c r="AM435" s="279"/>
      <c r="AN435" s="224" t="e">
        <f>SUM(#REF!)</f>
        <v>#REF!</v>
      </c>
      <c r="AO435" s="224">
        <f t="shared" si="49"/>
        <v>0</v>
      </c>
      <c r="AP435" s="224">
        <f t="shared" si="55"/>
        <v>0</v>
      </c>
      <c r="AQ435" s="224"/>
      <c r="AR435" s="224"/>
      <c r="AS435" s="224"/>
      <c r="AT435" s="224" t="str">
        <f>IFERROR(VLOOKUP($A435,'Constancias POA'!$A$2:$DH$9993,17,FALSE),"")</f>
        <v/>
      </c>
      <c r="AU435" s="224" t="str">
        <f t="shared" si="50"/>
        <v/>
      </c>
      <c r="AV435" s="224" t="str">
        <f>IFERROR(VLOOKUP($A435,CP!$A$1:$U$7992,18,FALSE),"")</f>
        <v/>
      </c>
      <c r="AW435" s="224" t="str">
        <f>IFERROR(VLOOKUP($A435,CP!$A$1:$U$7992,19,FALSE),"")</f>
        <v/>
      </c>
      <c r="AX435" s="224" t="str">
        <f>IFERROR(VLOOKUP($A435,CP!$A$1:$U$7992,20,FALSE),"")</f>
        <v/>
      </c>
      <c r="AY435" s="224" t="str">
        <f>IFERROR(VLOOKUP($A435,CP!$A$1:$U$1,21,FALSE),"")</f>
        <v/>
      </c>
      <c r="AZ435" s="224" t="str">
        <f>IFERROR(VLOOKUP(A435,Devengado!$A$1:AJ1,35,FALSE),"")</f>
        <v/>
      </c>
      <c r="BA435" s="224" t="str">
        <f t="shared" si="51"/>
        <v/>
      </c>
      <c r="BB435" s="224" t="str">
        <f>IFERROR(AZ435/#REF!,"")</f>
        <v/>
      </c>
      <c r="BC435" s="224" t="str">
        <f>IFERROR(VLOOKUP($A435,Devengado!$A$1:$AI$1,22,FALSE),"")</f>
        <v/>
      </c>
      <c r="BD435" s="224" t="str">
        <f>IFERROR(VLOOKUP($A435,Devengado!$A$1:$AI$1,23,FALSE),"")</f>
        <v/>
      </c>
      <c r="BE435" s="224" t="str">
        <f>IFERROR(VLOOKUP($A435,Devengado!$A$1:$AI$1,24,FALSE),"")</f>
        <v/>
      </c>
      <c r="BF435" s="224" t="str">
        <f>IFERROR(VLOOKUP($A435,Devengado!$A$1:$AI$1,25,FALSE),"")</f>
        <v/>
      </c>
      <c r="BG435" s="224" t="str">
        <f>IFERROR(VLOOKUP($A435,Devengado!$A$1:$AI$1,26,FALSE),"")</f>
        <v/>
      </c>
      <c r="BH435" s="224" t="str">
        <f>IFERROR(VLOOKUP($A435,Devengado!$A$1:$AI$1,27,FALSE),"")</f>
        <v/>
      </c>
      <c r="BI435" s="224" t="str">
        <f>IFERROR(VLOOKUP($A435,Devengado!$A$1:$AI$1,28,FALSE),"")</f>
        <v/>
      </c>
      <c r="BJ435" s="224" t="str">
        <f>IFERROR(VLOOKUP($A435,Devengado!$A$1:$AI$1,29,FALSE),"")</f>
        <v/>
      </c>
      <c r="BK435" s="224" t="str">
        <f>IFERROR(VLOOKUP($A435,Devengado!$A$1:$AI$1,30,FALSE),"")</f>
        <v/>
      </c>
      <c r="BL435" s="224" t="str">
        <f>IFERROR(VLOOKUP($A435,Devengado!$A$1:$AI$1,31,FALSE),"")</f>
        <v/>
      </c>
      <c r="BM435" s="224" t="str">
        <f>IFERROR(VLOOKUP($A435,Devengado!$A$1:$AI$1,32,FALSE),"")</f>
        <v/>
      </c>
      <c r="BN435" s="224" t="str">
        <f>IFERROR(VLOOKUP($A435,Devengado!$A$1:$AI$1,33,FALSE),"")</f>
        <v/>
      </c>
      <c r="BO435" s="224">
        <f t="shared" si="52"/>
        <v>0</v>
      </c>
      <c r="BP435" s="224" t="str">
        <f t="shared" si="53"/>
        <v/>
      </c>
      <c r="BQ435" s="207"/>
      <c r="BR435" s="207" t="str">
        <f t="shared" si="54"/>
        <v>53</v>
      </c>
    </row>
    <row r="436" spans="1:70" s="225" customFormat="1" ht="25.5" customHeight="1">
      <c r="A436" s="207">
        <v>432</v>
      </c>
      <c r="B436" s="112" t="s">
        <v>429</v>
      </c>
      <c r="C436" s="112" t="s">
        <v>77</v>
      </c>
      <c r="D436" s="112" t="s">
        <v>77</v>
      </c>
      <c r="E436" s="112" t="s">
        <v>76</v>
      </c>
      <c r="F436" s="112" t="s">
        <v>77</v>
      </c>
      <c r="G436" s="112" t="s">
        <v>77</v>
      </c>
      <c r="H436" s="112" t="s">
        <v>77</v>
      </c>
      <c r="I436" s="112" t="s">
        <v>77</v>
      </c>
      <c r="J436" s="112" t="s">
        <v>77</v>
      </c>
      <c r="K436" s="112" t="s">
        <v>77</v>
      </c>
      <c r="L436" s="112" t="s">
        <v>85</v>
      </c>
      <c r="M436" s="124" t="s">
        <v>441</v>
      </c>
      <c r="N436" s="114" t="s">
        <v>430</v>
      </c>
      <c r="O436" s="114" t="s">
        <v>111</v>
      </c>
      <c r="P436" s="114" t="s">
        <v>81</v>
      </c>
      <c r="Q436" s="114" t="s">
        <v>112</v>
      </c>
      <c r="R436" s="115" t="str">
        <f t="shared" si="48"/>
        <v>53</v>
      </c>
      <c r="S436" s="124">
        <v>530105</v>
      </c>
      <c r="T436" s="122" t="str">
        <f>VLOOKUP(S436,ITEM!$C$1:$D$156,2,FALSE)</f>
        <v>Telecomunicaciones</v>
      </c>
      <c r="U436" s="112">
        <v>1309</v>
      </c>
      <c r="V436" s="114" t="s">
        <v>82</v>
      </c>
      <c r="W436" s="114" t="s">
        <v>84</v>
      </c>
      <c r="X436" s="114" t="s">
        <v>84</v>
      </c>
      <c r="Y436" s="224">
        <f>'Matriz POA 2024-TRABAJO'!AS22</f>
        <v>7438.36</v>
      </c>
      <c r="Z436" s="224">
        <f>'Matriz POA 2024-TRABAJO'!AT22</f>
        <v>0</v>
      </c>
      <c r="AA436" s="224">
        <f>'Matriz POA 2024-TRABAJO'!AU22</f>
        <v>7438.36</v>
      </c>
      <c r="AB436" s="295"/>
      <c r="AC436" s="295">
        <v>700</v>
      </c>
      <c r="AD436" s="295">
        <v>810</v>
      </c>
      <c r="AE436" s="295">
        <v>810</v>
      </c>
      <c r="AF436" s="295">
        <v>810</v>
      </c>
      <c r="AG436" s="295">
        <v>810</v>
      </c>
      <c r="AH436" s="295">
        <v>810</v>
      </c>
      <c r="AI436" s="295">
        <v>810</v>
      </c>
      <c r="AJ436" s="295">
        <v>810</v>
      </c>
      <c r="AK436" s="295">
        <v>810</v>
      </c>
      <c r="AL436" s="295">
        <v>810</v>
      </c>
      <c r="AM436" s="295">
        <v>846</v>
      </c>
      <c r="AN436" s="224" t="e">
        <f>SUM(#REF!)</f>
        <v>#REF!</v>
      </c>
      <c r="AO436" s="224">
        <f t="shared" si="49"/>
        <v>8836</v>
      </c>
      <c r="AP436" s="224">
        <f t="shared" si="55"/>
        <v>1397.6400000000003</v>
      </c>
      <c r="AQ436" s="224"/>
      <c r="AR436" s="224"/>
      <c r="AS436" s="224"/>
      <c r="AT436" s="224">
        <f>IFERROR(VLOOKUP($A436,'Constancias POA'!$A$2:$DH$9993,17,FALSE),"")</f>
        <v>7438.36</v>
      </c>
      <c r="AU436" s="224">
        <f t="shared" si="50"/>
        <v>0</v>
      </c>
      <c r="AV436" s="224">
        <f>IFERROR(VLOOKUP($A436,CP!$A$1:$U$7992,18,FALSE),"")</f>
        <v>1300</v>
      </c>
      <c r="AW436" s="224">
        <f>IFERROR(VLOOKUP($A436,CP!$A$1:$U$7992,19,FALSE),"")</f>
        <v>7438.36</v>
      </c>
      <c r="AX436" s="224">
        <f>IFERROR(VLOOKUP($A436,CP!$A$1:$U$7992,20,FALSE),"")</f>
        <v>0</v>
      </c>
      <c r="AY436" s="224" t="str">
        <f>IFERROR(VLOOKUP($A436,CP!$A$1:$U$1,21,FALSE),"")</f>
        <v/>
      </c>
      <c r="AZ436" s="224" t="str">
        <f>IFERROR(VLOOKUP(A436,Devengado!$A$1:AJ1,35,FALSE),"")</f>
        <v/>
      </c>
      <c r="BA436" s="224" t="str">
        <f t="shared" si="51"/>
        <v/>
      </c>
      <c r="BB436" s="224" t="str">
        <f>IFERROR(AZ436/#REF!,"")</f>
        <v/>
      </c>
      <c r="BC436" s="224" t="str">
        <f>IFERROR(VLOOKUP($A436,Devengado!$A$1:$AI$1,22,FALSE),"")</f>
        <v/>
      </c>
      <c r="BD436" s="224" t="str">
        <f>IFERROR(VLOOKUP($A436,Devengado!$A$1:$AI$1,23,FALSE),"")</f>
        <v/>
      </c>
      <c r="BE436" s="224" t="str">
        <f>IFERROR(VLOOKUP($A436,Devengado!$A$1:$AI$1,24,FALSE),"")</f>
        <v/>
      </c>
      <c r="BF436" s="224" t="str">
        <f>IFERROR(VLOOKUP($A436,Devengado!$A$1:$AI$1,25,FALSE),"")</f>
        <v/>
      </c>
      <c r="BG436" s="224" t="str">
        <f>IFERROR(VLOOKUP($A436,Devengado!$A$1:$AI$1,26,FALSE),"")</f>
        <v/>
      </c>
      <c r="BH436" s="224" t="str">
        <f>IFERROR(VLOOKUP($A436,Devengado!$A$1:$AI$1,27,FALSE),"")</f>
        <v/>
      </c>
      <c r="BI436" s="224" t="str">
        <f>IFERROR(VLOOKUP($A436,Devengado!$A$1:$AI$1,28,FALSE),"")</f>
        <v/>
      </c>
      <c r="BJ436" s="224" t="str">
        <f>IFERROR(VLOOKUP($A436,Devengado!$A$1:$AI$1,29,FALSE),"")</f>
        <v/>
      </c>
      <c r="BK436" s="224" t="str">
        <f>IFERROR(VLOOKUP($A436,Devengado!$A$1:$AI$1,30,FALSE),"")</f>
        <v/>
      </c>
      <c r="BL436" s="224" t="str">
        <f>IFERROR(VLOOKUP($A436,Devengado!$A$1:$AI$1,31,FALSE),"")</f>
        <v/>
      </c>
      <c r="BM436" s="224" t="str">
        <f>IFERROR(VLOOKUP($A436,Devengado!$A$1:$AI$1,32,FALSE),"")</f>
        <v/>
      </c>
      <c r="BN436" s="224" t="str">
        <f>IFERROR(VLOOKUP($A436,Devengado!$A$1:$AI$1,33,FALSE),"")</f>
        <v/>
      </c>
      <c r="BO436" s="224">
        <f t="shared" si="52"/>
        <v>0</v>
      </c>
      <c r="BP436" s="224" t="str">
        <f t="shared" si="53"/>
        <v/>
      </c>
      <c r="BQ436" s="207"/>
      <c r="BR436" s="207" t="str">
        <f t="shared" si="54"/>
        <v>53</v>
      </c>
    </row>
    <row r="437" spans="1:70" s="225" customFormat="1" ht="25.5" customHeight="1">
      <c r="A437" s="207">
        <v>433</v>
      </c>
      <c r="B437" s="112" t="s">
        <v>429</v>
      </c>
      <c r="C437" s="112" t="s">
        <v>77</v>
      </c>
      <c r="D437" s="112" t="s">
        <v>77</v>
      </c>
      <c r="E437" s="112" t="s">
        <v>76</v>
      </c>
      <c r="F437" s="112" t="s">
        <v>77</v>
      </c>
      <c r="G437" s="112" t="s">
        <v>77</v>
      </c>
      <c r="H437" s="112" t="s">
        <v>77</v>
      </c>
      <c r="I437" s="112" t="s">
        <v>77</v>
      </c>
      <c r="J437" s="112" t="s">
        <v>77</v>
      </c>
      <c r="K437" s="112" t="s">
        <v>77</v>
      </c>
      <c r="L437" s="112" t="s">
        <v>85</v>
      </c>
      <c r="M437" s="124" t="s">
        <v>442</v>
      </c>
      <c r="N437" s="114" t="s">
        <v>430</v>
      </c>
      <c r="O437" s="114" t="s">
        <v>111</v>
      </c>
      <c r="P437" s="114" t="s">
        <v>81</v>
      </c>
      <c r="Q437" s="114" t="s">
        <v>112</v>
      </c>
      <c r="R437" s="115" t="str">
        <f t="shared" si="48"/>
        <v>53</v>
      </c>
      <c r="S437" s="124">
        <v>530402</v>
      </c>
      <c r="T437" s="122" t="str">
        <f>VLOOKUP(S437,ITEM!$C$1:$D$156,2,FALSE)</f>
        <v>Edificios, Locales, Residencias y Cableado Estructurado (Instalación, Mantenimiento y Reparación)</v>
      </c>
      <c r="U437" s="112">
        <v>1301</v>
      </c>
      <c r="V437" s="114" t="s">
        <v>82</v>
      </c>
      <c r="W437" s="114" t="s">
        <v>84</v>
      </c>
      <c r="X437" s="114" t="s">
        <v>84</v>
      </c>
      <c r="Y437" s="224">
        <f>'Matriz POA 2024-TRABAJO'!AS23</f>
        <v>66034.080000000002</v>
      </c>
      <c r="Z437" s="224">
        <f>'Matriz POA 2024-TRABAJO'!AT23</f>
        <v>0</v>
      </c>
      <c r="AA437" s="224">
        <f>'Matriz POA 2024-TRABAJO'!AU23</f>
        <v>66034.080000000002</v>
      </c>
      <c r="AB437" s="279">
        <v>0</v>
      </c>
      <c r="AC437" s="279">
        <v>0</v>
      </c>
      <c r="AD437" s="279">
        <v>0</v>
      </c>
      <c r="AE437" s="279">
        <v>0</v>
      </c>
      <c r="AF437" s="279">
        <v>0</v>
      </c>
      <c r="AG437" s="279">
        <v>0</v>
      </c>
      <c r="AH437" s="279">
        <v>0</v>
      </c>
      <c r="AI437" s="279">
        <v>0</v>
      </c>
      <c r="AJ437" s="279">
        <v>0</v>
      </c>
      <c r="AK437" s="279">
        <v>0</v>
      </c>
      <c r="AL437" s="279">
        <v>0</v>
      </c>
      <c r="AM437" s="279">
        <v>0</v>
      </c>
      <c r="AN437" s="224" t="e">
        <f>SUM(#REF!)</f>
        <v>#REF!</v>
      </c>
      <c r="AO437" s="224">
        <f t="shared" si="49"/>
        <v>0</v>
      </c>
      <c r="AP437" s="224">
        <f t="shared" si="55"/>
        <v>-66034.080000000002</v>
      </c>
      <c r="AQ437" s="224"/>
      <c r="AR437" s="224"/>
      <c r="AS437" s="224"/>
      <c r="AT437" s="224" t="str">
        <f>IFERROR(VLOOKUP($A437,'Constancias POA'!$A$2:$DH$9993,17,FALSE),"")</f>
        <v/>
      </c>
      <c r="AU437" s="224" t="str">
        <f t="shared" si="50"/>
        <v/>
      </c>
      <c r="AV437" s="224">
        <f>IFERROR(VLOOKUP($A437,CP!$A$1:$U$7992,18,FALSE),"")</f>
        <v>66034.080000000002</v>
      </c>
      <c r="AW437" s="224">
        <f>IFERROR(VLOOKUP($A437,CP!$A$1:$U$7992,19,FALSE),"")</f>
        <v>66034.080000000002</v>
      </c>
      <c r="AX437" s="224">
        <f>IFERROR(VLOOKUP($A437,CP!$A$1:$U$7992,20,FALSE),"")</f>
        <v>0</v>
      </c>
      <c r="AY437" s="224" t="str">
        <f>IFERROR(VLOOKUP($A437,CP!$A$1:$U$1,21,FALSE),"")</f>
        <v/>
      </c>
      <c r="AZ437" s="224" t="str">
        <f>IFERROR(VLOOKUP(A437,Devengado!$A$1:AJ1,35,FALSE),"")</f>
        <v/>
      </c>
      <c r="BA437" s="224" t="str">
        <f t="shared" si="51"/>
        <v/>
      </c>
      <c r="BB437" s="224" t="str">
        <f>IFERROR(AZ437/#REF!,"")</f>
        <v/>
      </c>
      <c r="BC437" s="224" t="str">
        <f>IFERROR(VLOOKUP($A437,Devengado!$A$1:$AI$1,22,FALSE),"")</f>
        <v/>
      </c>
      <c r="BD437" s="224" t="str">
        <f>IFERROR(VLOOKUP($A437,Devengado!$A$1:$AI$1,23,FALSE),"")</f>
        <v/>
      </c>
      <c r="BE437" s="224" t="str">
        <f>IFERROR(VLOOKUP($A437,Devengado!$A$1:$AI$1,24,FALSE),"")</f>
        <v/>
      </c>
      <c r="BF437" s="224" t="str">
        <f>IFERROR(VLOOKUP($A437,Devengado!$A$1:$AI$1,25,FALSE),"")</f>
        <v/>
      </c>
      <c r="BG437" s="224" t="str">
        <f>IFERROR(VLOOKUP($A437,Devengado!$A$1:$AI$1,26,FALSE),"")</f>
        <v/>
      </c>
      <c r="BH437" s="224" t="str">
        <f>IFERROR(VLOOKUP($A437,Devengado!$A$1:$AI$1,27,FALSE),"")</f>
        <v/>
      </c>
      <c r="BI437" s="224" t="str">
        <f>IFERROR(VLOOKUP($A437,Devengado!$A$1:$AI$1,28,FALSE),"")</f>
        <v/>
      </c>
      <c r="BJ437" s="224" t="str">
        <f>IFERROR(VLOOKUP($A437,Devengado!$A$1:$AI$1,29,FALSE),"")</f>
        <v/>
      </c>
      <c r="BK437" s="224" t="str">
        <f>IFERROR(VLOOKUP($A437,Devengado!$A$1:$AI$1,30,FALSE),"")</f>
        <v/>
      </c>
      <c r="BL437" s="224" t="str">
        <f>IFERROR(VLOOKUP($A437,Devengado!$A$1:$AI$1,31,FALSE),"")</f>
        <v/>
      </c>
      <c r="BM437" s="224" t="str">
        <f>IFERROR(VLOOKUP($A437,Devengado!$A$1:$AI$1,32,FALSE),"")</f>
        <v/>
      </c>
      <c r="BN437" s="224" t="str">
        <f>IFERROR(VLOOKUP($A437,Devengado!$A$1:$AI$1,33,FALSE),"")</f>
        <v/>
      </c>
      <c r="BO437" s="224">
        <f t="shared" si="52"/>
        <v>0</v>
      </c>
      <c r="BP437" s="224" t="str">
        <f t="shared" si="53"/>
        <v/>
      </c>
      <c r="BQ437" s="207"/>
      <c r="BR437" s="207" t="str">
        <f t="shared" si="54"/>
        <v>53</v>
      </c>
    </row>
    <row r="438" spans="1:70" s="225" customFormat="1" ht="25.5" customHeight="1">
      <c r="A438" s="207">
        <v>434</v>
      </c>
      <c r="B438" s="112" t="s">
        <v>429</v>
      </c>
      <c r="C438" s="112" t="s">
        <v>77</v>
      </c>
      <c r="D438" s="112" t="s">
        <v>77</v>
      </c>
      <c r="E438" s="112" t="s">
        <v>76</v>
      </c>
      <c r="F438" s="112" t="s">
        <v>77</v>
      </c>
      <c r="G438" s="112" t="s">
        <v>77</v>
      </c>
      <c r="H438" s="112" t="s">
        <v>77</v>
      </c>
      <c r="I438" s="112" t="s">
        <v>77</v>
      </c>
      <c r="J438" s="112" t="s">
        <v>77</v>
      </c>
      <c r="K438" s="112" t="s">
        <v>77</v>
      </c>
      <c r="L438" s="112" t="s">
        <v>87</v>
      </c>
      <c r="M438" s="124" t="s">
        <v>443</v>
      </c>
      <c r="N438" s="114" t="s">
        <v>430</v>
      </c>
      <c r="O438" s="114" t="s">
        <v>111</v>
      </c>
      <c r="P438" s="114" t="s">
        <v>81</v>
      </c>
      <c r="Q438" s="114" t="s">
        <v>112</v>
      </c>
      <c r="R438" s="115" t="str">
        <f t="shared" si="48"/>
        <v>53</v>
      </c>
      <c r="S438" s="124">
        <v>530402</v>
      </c>
      <c r="T438" s="122" t="str">
        <f>VLOOKUP(S438,ITEM!$C$1:$D$156,2,FALSE)</f>
        <v>Edificios, Locales, Residencias y Cableado Estructurado (Instalación, Mantenimiento y Reparación)</v>
      </c>
      <c r="U438" s="112">
        <v>1301</v>
      </c>
      <c r="V438" s="114" t="s">
        <v>82</v>
      </c>
      <c r="W438" s="114" t="s">
        <v>84</v>
      </c>
      <c r="X438" s="114" t="s">
        <v>84</v>
      </c>
      <c r="Y438" s="224">
        <f>'Matriz POA 2024-TRABAJO'!AS24</f>
        <v>6624</v>
      </c>
      <c r="Z438" s="224">
        <f>'Matriz POA 2024-TRABAJO'!AT24</f>
        <v>0</v>
      </c>
      <c r="AA438" s="224">
        <f>'Matriz POA 2024-TRABAJO'!AU24</f>
        <v>6624</v>
      </c>
      <c r="AB438" s="279">
        <v>0</v>
      </c>
      <c r="AC438" s="279">
        <v>6624</v>
      </c>
      <c r="AD438" s="279">
        <v>0</v>
      </c>
      <c r="AE438" s="279">
        <v>0</v>
      </c>
      <c r="AF438" s="279">
        <v>0</v>
      </c>
      <c r="AG438" s="279">
        <v>0</v>
      </c>
      <c r="AH438" s="279">
        <v>0</v>
      </c>
      <c r="AI438" s="279">
        <v>0</v>
      </c>
      <c r="AJ438" s="279">
        <v>0</v>
      </c>
      <c r="AK438" s="279">
        <v>0</v>
      </c>
      <c r="AL438" s="279">
        <v>0</v>
      </c>
      <c r="AM438" s="279">
        <v>0</v>
      </c>
      <c r="AN438" s="224" t="e">
        <f>SUM(#REF!)</f>
        <v>#REF!</v>
      </c>
      <c r="AO438" s="224">
        <f t="shared" si="49"/>
        <v>6624</v>
      </c>
      <c r="AP438" s="224">
        <f t="shared" si="55"/>
        <v>0</v>
      </c>
      <c r="AQ438" s="224"/>
      <c r="AR438" s="224"/>
      <c r="AS438" s="224"/>
      <c r="AT438" s="224">
        <f>IFERROR(VLOOKUP($A438,'Constancias POA'!$A$2:$DH$9993,17,FALSE),"")</f>
        <v>6624</v>
      </c>
      <c r="AU438" s="224">
        <f t="shared" si="50"/>
        <v>0</v>
      </c>
      <c r="AV438" s="224">
        <f>IFERROR(VLOOKUP($A438,CP!$A$1:$U$7992,18,FALSE),"")</f>
        <v>6624</v>
      </c>
      <c r="AW438" s="224">
        <f>IFERROR(VLOOKUP($A438,CP!$A$1:$U$7992,19,FALSE),"")</f>
        <v>6624</v>
      </c>
      <c r="AX438" s="224">
        <f>IFERROR(VLOOKUP($A438,CP!$A$1:$U$7992,20,FALSE),"")</f>
        <v>0</v>
      </c>
      <c r="AY438" s="224" t="str">
        <f>IFERROR(VLOOKUP($A438,CP!$A$1:$U$1,21,FALSE),"")</f>
        <v/>
      </c>
      <c r="AZ438" s="224" t="str">
        <f>IFERROR(VLOOKUP(A438,Devengado!$A$1:AJ1,35,FALSE),"")</f>
        <v/>
      </c>
      <c r="BA438" s="224" t="str">
        <f t="shared" si="51"/>
        <v/>
      </c>
      <c r="BB438" s="224" t="str">
        <f>IFERROR(AZ438/#REF!,"")</f>
        <v/>
      </c>
      <c r="BC438" s="224" t="str">
        <f>IFERROR(VLOOKUP($A438,Devengado!$A$1:$AI$1,22,FALSE),"")</f>
        <v/>
      </c>
      <c r="BD438" s="224" t="str">
        <f>IFERROR(VLOOKUP($A438,Devengado!$A$1:$AI$1,23,FALSE),"")</f>
        <v/>
      </c>
      <c r="BE438" s="224" t="str">
        <f>IFERROR(VLOOKUP($A438,Devengado!$A$1:$AI$1,24,FALSE),"")</f>
        <v/>
      </c>
      <c r="BF438" s="224" t="str">
        <f>IFERROR(VLOOKUP($A438,Devengado!$A$1:$AI$1,25,FALSE),"")</f>
        <v/>
      </c>
      <c r="BG438" s="224" t="str">
        <f>IFERROR(VLOOKUP($A438,Devengado!$A$1:$AI$1,26,FALSE),"")</f>
        <v/>
      </c>
      <c r="BH438" s="224" t="str">
        <f>IFERROR(VLOOKUP($A438,Devengado!$A$1:$AI$1,27,FALSE),"")</f>
        <v/>
      </c>
      <c r="BI438" s="224" t="str">
        <f>IFERROR(VLOOKUP($A438,Devengado!$A$1:$AI$1,28,FALSE),"")</f>
        <v/>
      </c>
      <c r="BJ438" s="224" t="str">
        <f>IFERROR(VLOOKUP($A438,Devengado!$A$1:$AI$1,29,FALSE),"")</f>
        <v/>
      </c>
      <c r="BK438" s="224" t="str">
        <f>IFERROR(VLOOKUP($A438,Devengado!$A$1:$AI$1,30,FALSE),"")</f>
        <v/>
      </c>
      <c r="BL438" s="224" t="str">
        <f>IFERROR(VLOOKUP($A438,Devengado!$A$1:$AI$1,31,FALSE),"")</f>
        <v/>
      </c>
      <c r="BM438" s="224" t="str">
        <f>IFERROR(VLOOKUP($A438,Devengado!$A$1:$AI$1,32,FALSE),"")</f>
        <v/>
      </c>
      <c r="BN438" s="224" t="str">
        <f>IFERROR(VLOOKUP($A438,Devengado!$A$1:$AI$1,33,FALSE),"")</f>
        <v/>
      </c>
      <c r="BO438" s="224">
        <f t="shared" si="52"/>
        <v>0</v>
      </c>
      <c r="BP438" s="224" t="str">
        <f t="shared" si="53"/>
        <v/>
      </c>
      <c r="BQ438" s="207"/>
      <c r="BR438" s="207" t="str">
        <f t="shared" si="54"/>
        <v>53</v>
      </c>
    </row>
    <row r="439" spans="1:70" s="225" customFormat="1" ht="25.5" customHeight="1">
      <c r="A439" s="207">
        <v>435</v>
      </c>
      <c r="B439" s="112" t="s">
        <v>429</v>
      </c>
      <c r="C439" s="112" t="s">
        <v>77</v>
      </c>
      <c r="D439" s="112" t="s">
        <v>77</v>
      </c>
      <c r="E439" s="112" t="s">
        <v>76</v>
      </c>
      <c r="F439" s="112" t="s">
        <v>77</v>
      </c>
      <c r="G439" s="112" t="s">
        <v>77</v>
      </c>
      <c r="H439" s="112" t="s">
        <v>77</v>
      </c>
      <c r="I439" s="112" t="s">
        <v>77</v>
      </c>
      <c r="J439" s="112" t="s">
        <v>77</v>
      </c>
      <c r="K439" s="112" t="s">
        <v>77</v>
      </c>
      <c r="L439" s="112" t="s">
        <v>78</v>
      </c>
      <c r="M439" s="124" t="s">
        <v>444</v>
      </c>
      <c r="N439" s="114" t="s">
        <v>430</v>
      </c>
      <c r="O439" s="114" t="s">
        <v>111</v>
      </c>
      <c r="P439" s="114" t="s">
        <v>81</v>
      </c>
      <c r="Q439" s="114" t="s">
        <v>112</v>
      </c>
      <c r="R439" s="115" t="str">
        <f t="shared" si="48"/>
        <v>53</v>
      </c>
      <c r="S439" s="124">
        <v>530209</v>
      </c>
      <c r="T439" s="122" t="str">
        <f>VLOOKUP(S439,ITEM!$C$1:$D$156,2,FALSE)</f>
        <v>Servicios de Aseo, Lavado de Vestimenta de Trabajo, Fumigación, Desinfección,  Limpieza de Instalaciones, manejo
de desechos contaminados, recuperación y clasificación de materiales reciclables.</v>
      </c>
      <c r="U439" s="112">
        <v>1308</v>
      </c>
      <c r="V439" s="114" t="s">
        <v>82</v>
      </c>
      <c r="W439" s="114" t="s">
        <v>84</v>
      </c>
      <c r="X439" s="114" t="s">
        <v>84</v>
      </c>
      <c r="Y439" s="224">
        <f>'Matriz POA 2024-TRABAJO'!AS25</f>
        <v>22446</v>
      </c>
      <c r="Z439" s="224">
        <f>'Matriz POA 2024-TRABAJO'!AT25</f>
        <v>0</v>
      </c>
      <c r="AA439" s="224">
        <f>'Matriz POA 2024-TRABAJO'!AU25</f>
        <v>22446</v>
      </c>
      <c r="AB439" s="279"/>
      <c r="AC439" s="279">
        <v>2805.75</v>
      </c>
      <c r="AD439" s="279">
        <v>2805.75</v>
      </c>
      <c r="AE439" s="279">
        <v>2805.75</v>
      </c>
      <c r="AF439" s="279">
        <v>2805.75</v>
      </c>
      <c r="AG439" s="279">
        <v>2805.75</v>
      </c>
      <c r="AH439" s="279">
        <v>2805.75</v>
      </c>
      <c r="AI439" s="279">
        <v>2805.75</v>
      </c>
      <c r="AJ439" s="279">
        <v>2805.75</v>
      </c>
      <c r="AK439" s="279">
        <v>2805.75</v>
      </c>
      <c r="AL439" s="279">
        <v>2805.75</v>
      </c>
      <c r="AM439" s="279">
        <v>2128.5</v>
      </c>
      <c r="AN439" s="224" t="e">
        <f>SUM(#REF!)</f>
        <v>#REF!</v>
      </c>
      <c r="AO439" s="224">
        <f t="shared" si="49"/>
        <v>30186</v>
      </c>
      <c r="AP439" s="224">
        <f t="shared" si="55"/>
        <v>7740</v>
      </c>
      <c r="AQ439" s="224"/>
      <c r="AR439" s="224"/>
      <c r="AS439" s="224"/>
      <c r="AT439" s="224">
        <f>IFERROR(VLOOKUP($A439,'Constancias POA'!$A$2:$DH$9993,17,FALSE),"")</f>
        <v>22446</v>
      </c>
      <c r="AU439" s="224">
        <f t="shared" si="50"/>
        <v>0</v>
      </c>
      <c r="AV439" s="224">
        <f>IFERROR(VLOOKUP($A439,CP!$A$1:$U$7992,18,FALSE),"")</f>
        <v>22446</v>
      </c>
      <c r="AW439" s="224">
        <f>IFERROR(VLOOKUP($A439,CP!$A$1:$U$7992,19,FALSE),"")</f>
        <v>22446</v>
      </c>
      <c r="AX439" s="224">
        <f>IFERROR(VLOOKUP($A439,CP!$A$1:$U$7992,20,FALSE),"")</f>
        <v>0</v>
      </c>
      <c r="AY439" s="224" t="str">
        <f>IFERROR(VLOOKUP($A439,CP!$A$1:$U$1,21,FALSE),"")</f>
        <v/>
      </c>
      <c r="AZ439" s="224" t="str">
        <f>IFERROR(VLOOKUP(A439,Devengado!$A$1:AJ1,35,FALSE),"")</f>
        <v/>
      </c>
      <c r="BA439" s="224" t="str">
        <f t="shared" si="51"/>
        <v/>
      </c>
      <c r="BB439" s="224" t="str">
        <f>IFERROR(AZ439/#REF!,"")</f>
        <v/>
      </c>
      <c r="BC439" s="224" t="str">
        <f>IFERROR(VLOOKUP($A439,Devengado!$A$1:$AI$1,22,FALSE),"")</f>
        <v/>
      </c>
      <c r="BD439" s="224" t="str">
        <f>IFERROR(VLOOKUP($A439,Devengado!$A$1:$AI$1,23,FALSE),"")</f>
        <v/>
      </c>
      <c r="BE439" s="224" t="str">
        <f>IFERROR(VLOOKUP($A439,Devengado!$A$1:$AI$1,24,FALSE),"")</f>
        <v/>
      </c>
      <c r="BF439" s="224" t="str">
        <f>IFERROR(VLOOKUP($A439,Devengado!$A$1:$AI$1,25,FALSE),"")</f>
        <v/>
      </c>
      <c r="BG439" s="224" t="str">
        <f>IFERROR(VLOOKUP($A439,Devengado!$A$1:$AI$1,26,FALSE),"")</f>
        <v/>
      </c>
      <c r="BH439" s="224" t="str">
        <f>IFERROR(VLOOKUP($A439,Devengado!$A$1:$AI$1,27,FALSE),"")</f>
        <v/>
      </c>
      <c r="BI439" s="224" t="str">
        <f>IFERROR(VLOOKUP($A439,Devengado!$A$1:$AI$1,28,FALSE),"")</f>
        <v/>
      </c>
      <c r="BJ439" s="224" t="str">
        <f>IFERROR(VLOOKUP($A439,Devengado!$A$1:$AI$1,29,FALSE),"")</f>
        <v/>
      </c>
      <c r="BK439" s="224" t="str">
        <f>IFERROR(VLOOKUP($A439,Devengado!$A$1:$AI$1,30,FALSE),"")</f>
        <v/>
      </c>
      <c r="BL439" s="224" t="str">
        <f>IFERROR(VLOOKUP($A439,Devengado!$A$1:$AI$1,31,FALSE),"")</f>
        <v/>
      </c>
      <c r="BM439" s="224" t="str">
        <f>IFERROR(VLOOKUP($A439,Devengado!$A$1:$AI$1,32,FALSE),"")</f>
        <v/>
      </c>
      <c r="BN439" s="224" t="str">
        <f>IFERROR(VLOOKUP($A439,Devengado!$A$1:$AI$1,33,FALSE),"")</f>
        <v/>
      </c>
      <c r="BO439" s="224">
        <f t="shared" si="52"/>
        <v>0</v>
      </c>
      <c r="BP439" s="224" t="str">
        <f t="shared" si="53"/>
        <v/>
      </c>
      <c r="BQ439" s="207"/>
      <c r="BR439" s="207" t="str">
        <f t="shared" si="54"/>
        <v>53</v>
      </c>
    </row>
    <row r="440" spans="1:70" s="225" customFormat="1" ht="25.5" customHeight="1">
      <c r="A440" s="207">
        <v>436</v>
      </c>
      <c r="B440" s="112" t="s">
        <v>429</v>
      </c>
      <c r="C440" s="112" t="s">
        <v>77</v>
      </c>
      <c r="D440" s="112" t="s">
        <v>77</v>
      </c>
      <c r="E440" s="112" t="s">
        <v>76</v>
      </c>
      <c r="F440" s="112" t="s">
        <v>77</v>
      </c>
      <c r="G440" s="112" t="s">
        <v>77</v>
      </c>
      <c r="H440" s="112" t="s">
        <v>77</v>
      </c>
      <c r="I440" s="112" t="s">
        <v>77</v>
      </c>
      <c r="J440" s="112" t="s">
        <v>77</v>
      </c>
      <c r="K440" s="112" t="s">
        <v>77</v>
      </c>
      <c r="L440" s="112" t="s">
        <v>78</v>
      </c>
      <c r="M440" s="124" t="s">
        <v>445</v>
      </c>
      <c r="N440" s="114" t="s">
        <v>430</v>
      </c>
      <c r="O440" s="114" t="s">
        <v>111</v>
      </c>
      <c r="P440" s="114" t="s">
        <v>81</v>
      </c>
      <c r="Q440" s="114" t="s">
        <v>112</v>
      </c>
      <c r="R440" s="115" t="str">
        <f t="shared" si="48"/>
        <v>53</v>
      </c>
      <c r="S440" s="124">
        <v>530209</v>
      </c>
      <c r="T440" s="122" t="str">
        <f>VLOOKUP(S440,ITEM!$C$1:$D$156,2,FALSE)</f>
        <v>Servicios de Aseo, Lavado de Vestimenta de Trabajo, Fumigación, Desinfección,  Limpieza de Instalaciones, manejo
de desechos contaminados, recuperación y clasificación de materiales reciclables.</v>
      </c>
      <c r="U440" s="112">
        <v>1314</v>
      </c>
      <c r="V440" s="114" t="s">
        <v>82</v>
      </c>
      <c r="W440" s="114" t="s">
        <v>84</v>
      </c>
      <c r="X440" s="114" t="s">
        <v>84</v>
      </c>
      <c r="Y440" s="224">
        <f>'Matriz POA 2024-TRABAJO'!AS26</f>
        <v>22446</v>
      </c>
      <c r="Z440" s="224">
        <f>'Matriz POA 2024-TRABAJO'!AT26</f>
        <v>0</v>
      </c>
      <c r="AA440" s="224">
        <f>'Matriz POA 2024-TRABAJO'!AU26</f>
        <v>22446</v>
      </c>
      <c r="AB440" s="279"/>
      <c r="AC440" s="279">
        <v>2805.75</v>
      </c>
      <c r="AD440" s="279">
        <v>2805.75</v>
      </c>
      <c r="AE440" s="279">
        <v>2805.75</v>
      </c>
      <c r="AF440" s="279">
        <v>2805.75</v>
      </c>
      <c r="AG440" s="279">
        <v>2805.75</v>
      </c>
      <c r="AH440" s="279">
        <v>2805.75</v>
      </c>
      <c r="AI440" s="279">
        <v>2805.75</v>
      </c>
      <c r="AJ440" s="279">
        <v>2805.75</v>
      </c>
      <c r="AK440" s="279">
        <v>2805.75</v>
      </c>
      <c r="AL440" s="279">
        <v>2805.75</v>
      </c>
      <c r="AM440" s="279">
        <v>2128.5</v>
      </c>
      <c r="AN440" s="224" t="e">
        <f>SUM(#REF!)</f>
        <v>#REF!</v>
      </c>
      <c r="AO440" s="224">
        <f t="shared" si="49"/>
        <v>30186</v>
      </c>
      <c r="AP440" s="224">
        <f t="shared" si="55"/>
        <v>7740</v>
      </c>
      <c r="AQ440" s="224"/>
      <c r="AR440" s="224"/>
      <c r="AS440" s="224"/>
      <c r="AT440" s="224">
        <f>IFERROR(VLOOKUP($A440,'Constancias POA'!$A$2:$DH$9993,17,FALSE),"")</f>
        <v>22446</v>
      </c>
      <c r="AU440" s="224">
        <f t="shared" si="50"/>
        <v>0</v>
      </c>
      <c r="AV440" s="224">
        <f>IFERROR(VLOOKUP($A440,CP!$A$1:$U$7992,18,FALSE),"")</f>
        <v>22446</v>
      </c>
      <c r="AW440" s="224">
        <f>IFERROR(VLOOKUP($A440,CP!$A$1:$U$7992,19,FALSE),"")</f>
        <v>22446</v>
      </c>
      <c r="AX440" s="224">
        <f>IFERROR(VLOOKUP($A440,CP!$A$1:$U$7992,20,FALSE),"")</f>
        <v>0</v>
      </c>
      <c r="AY440" s="224" t="str">
        <f>IFERROR(VLOOKUP($A440,CP!$A$1:$U$1,21,FALSE),"")</f>
        <v/>
      </c>
      <c r="AZ440" s="224" t="str">
        <f>IFERROR(VLOOKUP(A440,Devengado!$A$1:AJ1,35,FALSE),"")</f>
        <v/>
      </c>
      <c r="BA440" s="224" t="str">
        <f t="shared" si="51"/>
        <v/>
      </c>
      <c r="BB440" s="224" t="str">
        <f>IFERROR(AZ440/#REF!,"")</f>
        <v/>
      </c>
      <c r="BC440" s="224" t="str">
        <f>IFERROR(VLOOKUP($A440,Devengado!$A$1:$AI$1,22,FALSE),"")</f>
        <v/>
      </c>
      <c r="BD440" s="224" t="str">
        <f>IFERROR(VLOOKUP($A440,Devengado!$A$1:$AI$1,23,FALSE),"")</f>
        <v/>
      </c>
      <c r="BE440" s="224" t="str">
        <f>IFERROR(VLOOKUP($A440,Devengado!$A$1:$AI$1,24,FALSE),"")</f>
        <v/>
      </c>
      <c r="BF440" s="224" t="str">
        <f>IFERROR(VLOOKUP($A440,Devengado!$A$1:$AI$1,25,FALSE),"")</f>
        <v/>
      </c>
      <c r="BG440" s="224" t="str">
        <f>IFERROR(VLOOKUP($A440,Devengado!$A$1:$AI$1,26,FALSE),"")</f>
        <v/>
      </c>
      <c r="BH440" s="224" t="str">
        <f>IFERROR(VLOOKUP($A440,Devengado!$A$1:$AI$1,27,FALSE),"")</f>
        <v/>
      </c>
      <c r="BI440" s="224" t="str">
        <f>IFERROR(VLOOKUP($A440,Devengado!$A$1:$AI$1,28,FALSE),"")</f>
        <v/>
      </c>
      <c r="BJ440" s="224" t="str">
        <f>IFERROR(VLOOKUP($A440,Devengado!$A$1:$AI$1,29,FALSE),"")</f>
        <v/>
      </c>
      <c r="BK440" s="224" t="str">
        <f>IFERROR(VLOOKUP($A440,Devengado!$A$1:$AI$1,30,FALSE),"")</f>
        <v/>
      </c>
      <c r="BL440" s="224" t="str">
        <f>IFERROR(VLOOKUP($A440,Devengado!$A$1:$AI$1,31,FALSE),"")</f>
        <v/>
      </c>
      <c r="BM440" s="224" t="str">
        <f>IFERROR(VLOOKUP($A440,Devengado!$A$1:$AI$1,32,FALSE),"")</f>
        <v/>
      </c>
      <c r="BN440" s="224" t="str">
        <f>IFERROR(VLOOKUP($A440,Devengado!$A$1:$AI$1,33,FALSE),"")</f>
        <v/>
      </c>
      <c r="BO440" s="224">
        <f t="shared" si="52"/>
        <v>0</v>
      </c>
      <c r="BP440" s="224" t="str">
        <f t="shared" si="53"/>
        <v/>
      </c>
      <c r="BQ440" s="207"/>
      <c r="BR440" s="207" t="str">
        <f t="shared" si="54"/>
        <v>53</v>
      </c>
    </row>
    <row r="441" spans="1:70" s="225" customFormat="1" ht="25.5" customHeight="1">
      <c r="A441" s="207">
        <v>437</v>
      </c>
      <c r="B441" s="112" t="s">
        <v>429</v>
      </c>
      <c r="C441" s="112" t="s">
        <v>77</v>
      </c>
      <c r="D441" s="112" t="s">
        <v>77</v>
      </c>
      <c r="E441" s="112" t="s">
        <v>76</v>
      </c>
      <c r="F441" s="112" t="s">
        <v>77</v>
      </c>
      <c r="G441" s="112" t="s">
        <v>77</v>
      </c>
      <c r="H441" s="112" t="s">
        <v>77</v>
      </c>
      <c r="I441" s="112" t="s">
        <v>77</v>
      </c>
      <c r="J441" s="112" t="s">
        <v>77</v>
      </c>
      <c r="K441" s="112" t="s">
        <v>77</v>
      </c>
      <c r="L441" s="112" t="s">
        <v>85</v>
      </c>
      <c r="M441" s="124" t="s">
        <v>446</v>
      </c>
      <c r="N441" s="114" t="s">
        <v>430</v>
      </c>
      <c r="O441" s="114" t="s">
        <v>111</v>
      </c>
      <c r="P441" s="114" t="s">
        <v>81</v>
      </c>
      <c r="Q441" s="114" t="s">
        <v>112</v>
      </c>
      <c r="R441" s="115" t="str">
        <f t="shared" si="48"/>
        <v>53</v>
      </c>
      <c r="S441" s="124">
        <v>530209</v>
      </c>
      <c r="T441" s="122" t="str">
        <f>VLOOKUP(S441,ITEM!$C$1:$D$156,2,FALSE)</f>
        <v>Servicios de Aseo, Lavado de Vestimenta de Trabajo, Fumigación, Desinfección,  Limpieza de Instalaciones, manejo
de desechos contaminados, recuperación y clasificación de materiales reciclables.</v>
      </c>
      <c r="U441" s="112">
        <v>1309</v>
      </c>
      <c r="V441" s="114" t="s">
        <v>82</v>
      </c>
      <c r="W441" s="114" t="s">
        <v>84</v>
      </c>
      <c r="X441" s="114" t="s">
        <v>84</v>
      </c>
      <c r="Y441" s="224">
        <f>'Matriz POA 2024-TRABAJO'!AS27</f>
        <v>0</v>
      </c>
      <c r="Z441" s="224">
        <f>'Matriz POA 2024-TRABAJO'!AT27</f>
        <v>0</v>
      </c>
      <c r="AA441" s="224">
        <f>'Matriz POA 2024-TRABAJO'!AU27</f>
        <v>0</v>
      </c>
      <c r="AB441" s="294"/>
      <c r="AC441" s="294"/>
      <c r="AD441" s="294"/>
      <c r="AE441" s="294"/>
      <c r="AF441" s="294"/>
      <c r="AG441" s="294"/>
      <c r="AH441" s="294"/>
      <c r="AI441" s="294"/>
      <c r="AJ441" s="294"/>
      <c r="AK441" s="294"/>
      <c r="AL441" s="294"/>
      <c r="AM441" s="294"/>
      <c r="AN441" s="224" t="e">
        <f>SUM(#REF!)</f>
        <v>#REF!</v>
      </c>
      <c r="AO441" s="224">
        <f t="shared" si="49"/>
        <v>0</v>
      </c>
      <c r="AP441" s="224">
        <f t="shared" si="55"/>
        <v>0</v>
      </c>
      <c r="AQ441" s="224"/>
      <c r="AR441" s="224"/>
      <c r="AS441" s="224"/>
      <c r="AT441" s="224" t="str">
        <f>IFERROR(VLOOKUP($A441,'Constancias POA'!$A$2:$DH$9993,17,FALSE),"")</f>
        <v/>
      </c>
      <c r="AU441" s="224" t="str">
        <f t="shared" si="50"/>
        <v/>
      </c>
      <c r="AV441" s="224" t="str">
        <f>IFERROR(VLOOKUP($A441,CP!$A$1:$U$7992,18,FALSE),"")</f>
        <v/>
      </c>
      <c r="AW441" s="224" t="str">
        <f>IFERROR(VLOOKUP($A441,CP!$A$1:$U$7992,19,FALSE),"")</f>
        <v/>
      </c>
      <c r="AX441" s="224" t="str">
        <f>IFERROR(VLOOKUP($A441,CP!$A$1:$U$7992,20,FALSE),"")</f>
        <v/>
      </c>
      <c r="AY441" s="224" t="str">
        <f>IFERROR(VLOOKUP($A441,CP!$A$1:$U$1,21,FALSE),"")</f>
        <v/>
      </c>
      <c r="AZ441" s="224" t="str">
        <f>IFERROR(VLOOKUP(A441,Devengado!$A$1:AJ1,35,FALSE),"")</f>
        <v/>
      </c>
      <c r="BA441" s="224" t="str">
        <f t="shared" si="51"/>
        <v/>
      </c>
      <c r="BB441" s="224" t="str">
        <f>IFERROR(AZ441/#REF!,"")</f>
        <v/>
      </c>
      <c r="BC441" s="224" t="str">
        <f>IFERROR(VLOOKUP($A441,Devengado!$A$1:$AI$1,22,FALSE),"")</f>
        <v/>
      </c>
      <c r="BD441" s="224" t="str">
        <f>IFERROR(VLOOKUP($A441,Devengado!$A$1:$AI$1,23,FALSE),"")</f>
        <v/>
      </c>
      <c r="BE441" s="224" t="str">
        <f>IFERROR(VLOOKUP($A441,Devengado!$A$1:$AI$1,24,FALSE),"")</f>
        <v/>
      </c>
      <c r="BF441" s="224" t="str">
        <f>IFERROR(VLOOKUP($A441,Devengado!$A$1:$AI$1,25,FALSE),"")</f>
        <v/>
      </c>
      <c r="BG441" s="224" t="str">
        <f>IFERROR(VLOOKUP($A441,Devengado!$A$1:$AI$1,26,FALSE),"")</f>
        <v/>
      </c>
      <c r="BH441" s="224" t="str">
        <f>IFERROR(VLOOKUP($A441,Devengado!$A$1:$AI$1,27,FALSE),"")</f>
        <v/>
      </c>
      <c r="BI441" s="224" t="str">
        <f>IFERROR(VLOOKUP($A441,Devengado!$A$1:$AI$1,28,FALSE),"")</f>
        <v/>
      </c>
      <c r="BJ441" s="224" t="str">
        <f>IFERROR(VLOOKUP($A441,Devengado!$A$1:$AI$1,29,FALSE),"")</f>
        <v/>
      </c>
      <c r="BK441" s="224" t="str">
        <f>IFERROR(VLOOKUP($A441,Devengado!$A$1:$AI$1,30,FALSE),"")</f>
        <v/>
      </c>
      <c r="BL441" s="224" t="str">
        <f>IFERROR(VLOOKUP($A441,Devengado!$A$1:$AI$1,31,FALSE),"")</f>
        <v/>
      </c>
      <c r="BM441" s="224" t="str">
        <f>IFERROR(VLOOKUP($A441,Devengado!$A$1:$AI$1,32,FALSE),"")</f>
        <v/>
      </c>
      <c r="BN441" s="224" t="str">
        <f>IFERROR(VLOOKUP($A441,Devengado!$A$1:$AI$1,33,FALSE),"")</f>
        <v/>
      </c>
      <c r="BO441" s="224">
        <f t="shared" si="52"/>
        <v>0</v>
      </c>
      <c r="BP441" s="224" t="str">
        <f t="shared" si="53"/>
        <v/>
      </c>
      <c r="BQ441" s="207"/>
      <c r="BR441" s="207" t="str">
        <f t="shared" si="54"/>
        <v>53</v>
      </c>
    </row>
    <row r="442" spans="1:70" s="225" customFormat="1" ht="25.5" customHeight="1">
      <c r="A442" s="207">
        <v>438</v>
      </c>
      <c r="B442" s="112" t="s">
        <v>429</v>
      </c>
      <c r="C442" s="112" t="s">
        <v>77</v>
      </c>
      <c r="D442" s="112" t="s">
        <v>77</v>
      </c>
      <c r="E442" s="112" t="s">
        <v>76</v>
      </c>
      <c r="F442" s="112" t="s">
        <v>77</v>
      </c>
      <c r="G442" s="112" t="s">
        <v>77</v>
      </c>
      <c r="H442" s="112" t="s">
        <v>77</v>
      </c>
      <c r="I442" s="112" t="s">
        <v>77</v>
      </c>
      <c r="J442" s="112" t="s">
        <v>77</v>
      </c>
      <c r="K442" s="112" t="s">
        <v>77</v>
      </c>
      <c r="L442" s="112" t="s">
        <v>78</v>
      </c>
      <c r="M442" s="124" t="s">
        <v>446</v>
      </c>
      <c r="N442" s="114" t="s">
        <v>430</v>
      </c>
      <c r="O442" s="114" t="s">
        <v>111</v>
      </c>
      <c r="P442" s="114" t="s">
        <v>81</v>
      </c>
      <c r="Q442" s="114" t="s">
        <v>112</v>
      </c>
      <c r="R442" s="115" t="str">
        <f t="shared" si="48"/>
        <v>53</v>
      </c>
      <c r="S442" s="124">
        <v>530209</v>
      </c>
      <c r="T442" s="122" t="str">
        <f>VLOOKUP(S442,ITEM!$C$1:$D$156,2,FALSE)</f>
        <v>Servicios de Aseo, Lavado de Vestimenta de Trabajo, Fumigación, Desinfección,  Limpieza de Instalaciones, manejo
de desechos contaminados, recuperación y clasificación de materiales reciclables.</v>
      </c>
      <c r="U442" s="112">
        <v>1309</v>
      </c>
      <c r="V442" s="114" t="s">
        <v>82</v>
      </c>
      <c r="W442" s="114" t="s">
        <v>84</v>
      </c>
      <c r="X442" s="114" t="s">
        <v>84</v>
      </c>
      <c r="Y442" s="224">
        <f>'Matriz POA 2024-TRABAJO'!AS28</f>
        <v>22523.4</v>
      </c>
      <c r="Z442" s="224">
        <f>'Matriz POA 2024-TRABAJO'!AT28</f>
        <v>0</v>
      </c>
      <c r="AA442" s="224">
        <f>'Matriz POA 2024-TRABAJO'!AU28</f>
        <v>22523.4</v>
      </c>
      <c r="AB442" s="279"/>
      <c r="AC442" s="279">
        <v>2815.42</v>
      </c>
      <c r="AD442" s="279">
        <v>2815.42</v>
      </c>
      <c r="AE442" s="279">
        <v>2815.42</v>
      </c>
      <c r="AF442" s="279">
        <v>2815.42</v>
      </c>
      <c r="AG442" s="279">
        <v>2815.42</v>
      </c>
      <c r="AH442" s="279">
        <v>2815.42</v>
      </c>
      <c r="AI442" s="279">
        <v>2815.42</v>
      </c>
      <c r="AJ442" s="279">
        <v>2815.42</v>
      </c>
      <c r="AK442" s="279">
        <v>2815.42</v>
      </c>
      <c r="AL442" s="279">
        <v>2815.42</v>
      </c>
      <c r="AM442" s="279">
        <v>2109.1999999999998</v>
      </c>
      <c r="AN442" s="224" t="e">
        <f>SUM(#REF!)</f>
        <v>#REF!</v>
      </c>
      <c r="AO442" s="224">
        <f t="shared" si="49"/>
        <v>30263.399999999998</v>
      </c>
      <c r="AP442" s="224">
        <f t="shared" si="55"/>
        <v>7739.9999999999964</v>
      </c>
      <c r="AQ442" s="224"/>
      <c r="AR442" s="224"/>
      <c r="AS442" s="224"/>
      <c r="AT442" s="224">
        <f>IFERROR(VLOOKUP($A442,'Constancias POA'!$A$2:$DH$9993,17,FALSE),"")</f>
        <v>22523.4</v>
      </c>
      <c r="AU442" s="224">
        <f t="shared" si="50"/>
        <v>0</v>
      </c>
      <c r="AV442" s="224">
        <f>IFERROR(VLOOKUP($A442,CP!$A$1:$U$7992,18,FALSE),"")</f>
        <v>22523.4</v>
      </c>
      <c r="AW442" s="224">
        <f>IFERROR(VLOOKUP($A442,CP!$A$1:$U$7992,19,FALSE),"")</f>
        <v>22523.4</v>
      </c>
      <c r="AX442" s="224">
        <f>IFERROR(VLOOKUP($A442,CP!$A$1:$U$7992,20,FALSE),"")</f>
        <v>0</v>
      </c>
      <c r="AY442" s="224" t="str">
        <f>IFERROR(VLOOKUP($A442,CP!$A$1:$U$1,21,FALSE),"")</f>
        <v/>
      </c>
      <c r="AZ442" s="224" t="str">
        <f>IFERROR(VLOOKUP(A442,Devengado!$A$1:AJ1,35,FALSE),"")</f>
        <v/>
      </c>
      <c r="BA442" s="224" t="str">
        <f t="shared" si="51"/>
        <v/>
      </c>
      <c r="BB442" s="224" t="str">
        <f>IFERROR(AZ442/#REF!,"")</f>
        <v/>
      </c>
      <c r="BC442" s="224" t="str">
        <f>IFERROR(VLOOKUP($A442,Devengado!$A$1:$AI$1,22,FALSE),"")</f>
        <v/>
      </c>
      <c r="BD442" s="224" t="str">
        <f>IFERROR(VLOOKUP($A442,Devengado!$A$1:$AI$1,23,FALSE),"")</f>
        <v/>
      </c>
      <c r="BE442" s="224" t="str">
        <f>IFERROR(VLOOKUP($A442,Devengado!$A$1:$AI$1,24,FALSE),"")</f>
        <v/>
      </c>
      <c r="BF442" s="224" t="str">
        <f>IFERROR(VLOOKUP($A442,Devengado!$A$1:$AI$1,25,FALSE),"")</f>
        <v/>
      </c>
      <c r="BG442" s="224" t="str">
        <f>IFERROR(VLOOKUP($A442,Devengado!$A$1:$AI$1,26,FALSE),"")</f>
        <v/>
      </c>
      <c r="BH442" s="224" t="str">
        <f>IFERROR(VLOOKUP($A442,Devengado!$A$1:$AI$1,27,FALSE),"")</f>
        <v/>
      </c>
      <c r="BI442" s="224" t="str">
        <f>IFERROR(VLOOKUP($A442,Devengado!$A$1:$AI$1,28,FALSE),"")</f>
        <v/>
      </c>
      <c r="BJ442" s="224" t="str">
        <f>IFERROR(VLOOKUP($A442,Devengado!$A$1:$AI$1,29,FALSE),"")</f>
        <v/>
      </c>
      <c r="BK442" s="224" t="str">
        <f>IFERROR(VLOOKUP($A442,Devengado!$A$1:$AI$1,30,FALSE),"")</f>
        <v/>
      </c>
      <c r="BL442" s="224" t="str">
        <f>IFERROR(VLOOKUP($A442,Devengado!$A$1:$AI$1,31,FALSE),"")</f>
        <v/>
      </c>
      <c r="BM442" s="224" t="str">
        <f>IFERROR(VLOOKUP($A442,Devengado!$A$1:$AI$1,32,FALSE),"")</f>
        <v/>
      </c>
      <c r="BN442" s="224" t="str">
        <f>IFERROR(VLOOKUP($A442,Devengado!$A$1:$AI$1,33,FALSE),"")</f>
        <v/>
      </c>
      <c r="BO442" s="224">
        <f t="shared" si="52"/>
        <v>0</v>
      </c>
      <c r="BP442" s="224" t="str">
        <f t="shared" si="53"/>
        <v/>
      </c>
      <c r="BQ442" s="207"/>
      <c r="BR442" s="207" t="str">
        <f t="shared" si="54"/>
        <v>53</v>
      </c>
    </row>
    <row r="443" spans="1:70" s="225" customFormat="1" ht="25.5" customHeight="1">
      <c r="A443" s="207">
        <v>439</v>
      </c>
      <c r="B443" s="112" t="s">
        <v>429</v>
      </c>
      <c r="C443" s="112" t="s">
        <v>77</v>
      </c>
      <c r="D443" s="112" t="s">
        <v>77</v>
      </c>
      <c r="E443" s="112" t="s">
        <v>76</v>
      </c>
      <c r="F443" s="112" t="s">
        <v>77</v>
      </c>
      <c r="G443" s="112" t="s">
        <v>77</v>
      </c>
      <c r="H443" s="112" t="s">
        <v>77</v>
      </c>
      <c r="I443" s="112" t="s">
        <v>77</v>
      </c>
      <c r="J443" s="112" t="s">
        <v>77</v>
      </c>
      <c r="K443" s="112" t="s">
        <v>77</v>
      </c>
      <c r="L443" s="112" t="s">
        <v>85</v>
      </c>
      <c r="M443" s="112" t="s">
        <v>447</v>
      </c>
      <c r="N443" s="114" t="s">
        <v>430</v>
      </c>
      <c r="O443" s="114" t="s">
        <v>111</v>
      </c>
      <c r="P443" s="114" t="s">
        <v>81</v>
      </c>
      <c r="Q443" s="114" t="s">
        <v>112</v>
      </c>
      <c r="R443" s="115" t="str">
        <f t="shared" si="48"/>
        <v>53</v>
      </c>
      <c r="S443" s="124">
        <v>530208</v>
      </c>
      <c r="T443" s="122" t="str">
        <f>VLOOKUP(S443,ITEM!$C$1:$D$156,2,FALSE)</f>
        <v>Servicio de Seguridad y Vigilancia</v>
      </c>
      <c r="U443" s="112">
        <v>1309</v>
      </c>
      <c r="V443" s="114" t="s">
        <v>82</v>
      </c>
      <c r="W443" s="114" t="s">
        <v>84</v>
      </c>
      <c r="X443" s="114" t="s">
        <v>84</v>
      </c>
      <c r="Y443" s="224">
        <f>'Matriz POA 2024-TRABAJO'!AS29</f>
        <v>0</v>
      </c>
      <c r="Z443" s="224">
        <f>'Matriz POA 2024-TRABAJO'!AT29</f>
        <v>0</v>
      </c>
      <c r="AA443" s="224">
        <f>'Matriz POA 2024-TRABAJO'!AU29</f>
        <v>0</v>
      </c>
      <c r="AB443" s="279">
        <v>0</v>
      </c>
      <c r="AC443" s="279">
        <v>0</v>
      </c>
      <c r="AD443" s="279">
        <v>0</v>
      </c>
      <c r="AE443" s="279">
        <v>0</v>
      </c>
      <c r="AF443" s="279">
        <v>0</v>
      </c>
      <c r="AG443" s="279">
        <v>0</v>
      </c>
      <c r="AH443" s="279">
        <v>0</v>
      </c>
      <c r="AI443" s="279">
        <v>0</v>
      </c>
      <c r="AJ443" s="279">
        <v>0</v>
      </c>
      <c r="AK443" s="279">
        <v>0</v>
      </c>
      <c r="AL443" s="279">
        <v>0</v>
      </c>
      <c r="AM443" s="279">
        <v>0</v>
      </c>
      <c r="AN443" s="224" t="e">
        <f>SUM(#REF!)</f>
        <v>#REF!</v>
      </c>
      <c r="AO443" s="224">
        <f t="shared" si="49"/>
        <v>0</v>
      </c>
      <c r="AP443" s="224">
        <f t="shared" si="55"/>
        <v>0</v>
      </c>
      <c r="AQ443" s="224"/>
      <c r="AR443" s="224"/>
      <c r="AS443" s="224"/>
      <c r="AT443" s="224" t="str">
        <f>IFERROR(VLOOKUP($A443,'Constancias POA'!$A$2:$DH$9993,17,FALSE),"")</f>
        <v/>
      </c>
      <c r="AU443" s="224" t="str">
        <f t="shared" si="50"/>
        <v/>
      </c>
      <c r="AV443" s="224" t="str">
        <f>IFERROR(VLOOKUP($A443,CP!$A$1:$U$7992,18,FALSE),"")</f>
        <v/>
      </c>
      <c r="AW443" s="224" t="str">
        <f>IFERROR(VLOOKUP($A443,CP!$A$1:$U$7992,19,FALSE),"")</f>
        <v/>
      </c>
      <c r="AX443" s="224" t="str">
        <f>IFERROR(VLOOKUP($A443,CP!$A$1:$U$7992,20,FALSE),"")</f>
        <v/>
      </c>
      <c r="AY443" s="224" t="str">
        <f>IFERROR(VLOOKUP($A443,CP!$A$1:$U$1,21,FALSE),"")</f>
        <v/>
      </c>
      <c r="AZ443" s="224" t="str">
        <f>IFERROR(VLOOKUP(A443,Devengado!$A$1:AJ1,35,FALSE),"")</f>
        <v/>
      </c>
      <c r="BA443" s="224" t="str">
        <f t="shared" si="51"/>
        <v/>
      </c>
      <c r="BB443" s="224" t="str">
        <f>IFERROR(AZ443/#REF!,"")</f>
        <v/>
      </c>
      <c r="BC443" s="224" t="str">
        <f>IFERROR(VLOOKUP($A443,Devengado!$A$1:$AI$1,22,FALSE),"")</f>
        <v/>
      </c>
      <c r="BD443" s="224" t="str">
        <f>IFERROR(VLOOKUP($A443,Devengado!$A$1:$AI$1,23,FALSE),"")</f>
        <v/>
      </c>
      <c r="BE443" s="224" t="str">
        <f>IFERROR(VLOOKUP($A443,Devengado!$A$1:$AI$1,24,FALSE),"")</f>
        <v/>
      </c>
      <c r="BF443" s="224" t="str">
        <f>IFERROR(VLOOKUP($A443,Devengado!$A$1:$AI$1,25,FALSE),"")</f>
        <v/>
      </c>
      <c r="BG443" s="224" t="str">
        <f>IFERROR(VLOOKUP($A443,Devengado!$A$1:$AI$1,26,FALSE),"")</f>
        <v/>
      </c>
      <c r="BH443" s="224" t="str">
        <f>IFERROR(VLOOKUP($A443,Devengado!$A$1:$AI$1,27,FALSE),"")</f>
        <v/>
      </c>
      <c r="BI443" s="224" t="str">
        <f>IFERROR(VLOOKUP($A443,Devengado!$A$1:$AI$1,28,FALSE),"")</f>
        <v/>
      </c>
      <c r="BJ443" s="224" t="str">
        <f>IFERROR(VLOOKUP($A443,Devengado!$A$1:$AI$1,29,FALSE),"")</f>
        <v/>
      </c>
      <c r="BK443" s="224" t="str">
        <f>IFERROR(VLOOKUP($A443,Devengado!$A$1:$AI$1,30,FALSE),"")</f>
        <v/>
      </c>
      <c r="BL443" s="224" t="str">
        <f>IFERROR(VLOOKUP($A443,Devengado!$A$1:$AI$1,31,FALSE),"")</f>
        <v/>
      </c>
      <c r="BM443" s="224" t="str">
        <f>IFERROR(VLOOKUP($A443,Devengado!$A$1:$AI$1,32,FALSE),"")</f>
        <v/>
      </c>
      <c r="BN443" s="224" t="str">
        <f>IFERROR(VLOOKUP($A443,Devengado!$A$1:$AI$1,33,FALSE),"")</f>
        <v/>
      </c>
      <c r="BO443" s="224">
        <f t="shared" si="52"/>
        <v>0</v>
      </c>
      <c r="BP443" s="224" t="str">
        <f t="shared" si="53"/>
        <v/>
      </c>
      <c r="BQ443" s="207"/>
      <c r="BR443" s="207" t="str">
        <f t="shared" si="54"/>
        <v>53</v>
      </c>
    </row>
    <row r="444" spans="1:70" s="225" customFormat="1" ht="25.5" customHeight="1">
      <c r="A444" s="207">
        <v>440</v>
      </c>
      <c r="B444" s="112" t="s">
        <v>429</v>
      </c>
      <c r="C444" s="112" t="s">
        <v>77</v>
      </c>
      <c r="D444" s="112" t="s">
        <v>77</v>
      </c>
      <c r="E444" s="112" t="s">
        <v>76</v>
      </c>
      <c r="F444" s="112" t="s">
        <v>77</v>
      </c>
      <c r="G444" s="112" t="s">
        <v>77</v>
      </c>
      <c r="H444" s="112" t="s">
        <v>77</v>
      </c>
      <c r="I444" s="112" t="s">
        <v>77</v>
      </c>
      <c r="J444" s="112" t="s">
        <v>77</v>
      </c>
      <c r="K444" s="112" t="s">
        <v>77</v>
      </c>
      <c r="L444" s="112" t="s">
        <v>78</v>
      </c>
      <c r="M444" s="112" t="s">
        <v>447</v>
      </c>
      <c r="N444" s="114" t="s">
        <v>430</v>
      </c>
      <c r="O444" s="114" t="s">
        <v>111</v>
      </c>
      <c r="P444" s="114" t="s">
        <v>81</v>
      </c>
      <c r="Q444" s="114" t="s">
        <v>112</v>
      </c>
      <c r="R444" s="115" t="str">
        <f t="shared" si="48"/>
        <v>53</v>
      </c>
      <c r="S444" s="124">
        <v>530208</v>
      </c>
      <c r="T444" s="122" t="str">
        <f>VLOOKUP(S444,ITEM!$C$1:$D$156,2,FALSE)</f>
        <v>Servicio de Seguridad y Vigilancia</v>
      </c>
      <c r="U444" s="112">
        <v>1309</v>
      </c>
      <c r="V444" s="114" t="s">
        <v>82</v>
      </c>
      <c r="W444" s="114" t="s">
        <v>84</v>
      </c>
      <c r="X444" s="114" t="s">
        <v>84</v>
      </c>
      <c r="Y444" s="224">
        <f>'Matriz POA 2024-TRABAJO'!AS30</f>
        <v>171800</v>
      </c>
      <c r="Z444" s="224">
        <f>'Matriz POA 2024-TRABAJO'!AT30</f>
        <v>0</v>
      </c>
      <c r="AA444" s="224">
        <f>'Matriz POA 2024-TRABAJO'!AU30</f>
        <v>171800</v>
      </c>
      <c r="AB444" s="279">
        <v>16268.82</v>
      </c>
      <c r="AC444" s="279">
        <v>16268.82</v>
      </c>
      <c r="AD444" s="279">
        <v>16268.82</v>
      </c>
      <c r="AE444" s="279">
        <v>16268.82</v>
      </c>
      <c r="AF444" s="279">
        <v>16268.82</v>
      </c>
      <c r="AG444" s="279">
        <v>16268.82</v>
      </c>
      <c r="AH444" s="279">
        <v>16268.82</v>
      </c>
      <c r="AI444" s="279">
        <v>16268.82</v>
      </c>
      <c r="AJ444" s="279">
        <v>16268.82</v>
      </c>
      <c r="AK444" s="279">
        <v>16268.82</v>
      </c>
      <c r="AL444" s="279">
        <v>16268.8</v>
      </c>
      <c r="AM444" s="279">
        <v>0</v>
      </c>
      <c r="AN444" s="224" t="e">
        <f>SUM(#REF!)</f>
        <v>#REF!</v>
      </c>
      <c r="AO444" s="224">
        <f t="shared" si="49"/>
        <v>178957.00000000003</v>
      </c>
      <c r="AP444" s="224">
        <f t="shared" si="55"/>
        <v>7157.0000000000291</v>
      </c>
      <c r="AQ444" s="224"/>
      <c r="AR444" s="224"/>
      <c r="AS444" s="224"/>
      <c r="AT444" s="224">
        <f>IFERROR(VLOOKUP($A444,'Constancias POA'!$A$2:$DH$9993,17,FALSE),"")</f>
        <v>171800</v>
      </c>
      <c r="AU444" s="224">
        <f t="shared" si="50"/>
        <v>0</v>
      </c>
      <c r="AV444" s="224">
        <f>IFERROR(VLOOKUP($A444,CP!$A$1:$U$7992,18,FALSE),"")</f>
        <v>0</v>
      </c>
      <c r="AW444" s="224">
        <f>IFERROR(VLOOKUP($A444,CP!$A$1:$U$7992,19,FALSE),"")</f>
        <v>171800</v>
      </c>
      <c r="AX444" s="224">
        <f>IFERROR(VLOOKUP($A444,CP!$A$1:$U$7992,20,FALSE),"")</f>
        <v>0</v>
      </c>
      <c r="AY444" s="224" t="str">
        <f>IFERROR(VLOOKUP($A444,CP!$A$1:$U$1,21,FALSE),"")</f>
        <v/>
      </c>
      <c r="AZ444" s="224" t="str">
        <f>IFERROR(VLOOKUP(A444,Devengado!$A$1:AJ1,35,FALSE),"")</f>
        <v/>
      </c>
      <c r="BA444" s="224" t="str">
        <f t="shared" si="51"/>
        <v/>
      </c>
      <c r="BB444" s="224" t="str">
        <f>IFERROR(AZ444/#REF!,"")</f>
        <v/>
      </c>
      <c r="BC444" s="224" t="str">
        <f>IFERROR(VLOOKUP($A444,Devengado!$A$1:$AI$1,22,FALSE),"")</f>
        <v/>
      </c>
      <c r="BD444" s="224" t="str">
        <f>IFERROR(VLOOKUP($A444,Devengado!$A$1:$AI$1,23,FALSE),"")</f>
        <v/>
      </c>
      <c r="BE444" s="224" t="str">
        <f>IFERROR(VLOOKUP($A444,Devengado!$A$1:$AI$1,24,FALSE),"")</f>
        <v/>
      </c>
      <c r="BF444" s="224" t="str">
        <f>IFERROR(VLOOKUP($A444,Devengado!$A$1:$AI$1,25,FALSE),"")</f>
        <v/>
      </c>
      <c r="BG444" s="224" t="str">
        <f>IFERROR(VLOOKUP($A444,Devengado!$A$1:$AI$1,26,FALSE),"")</f>
        <v/>
      </c>
      <c r="BH444" s="224" t="str">
        <f>IFERROR(VLOOKUP($A444,Devengado!$A$1:$AI$1,27,FALSE),"")</f>
        <v/>
      </c>
      <c r="BI444" s="224" t="str">
        <f>IFERROR(VLOOKUP($A444,Devengado!$A$1:$AI$1,28,FALSE),"")</f>
        <v/>
      </c>
      <c r="BJ444" s="224" t="str">
        <f>IFERROR(VLOOKUP($A444,Devengado!$A$1:$AI$1,29,FALSE),"")</f>
        <v/>
      </c>
      <c r="BK444" s="224" t="str">
        <f>IFERROR(VLOOKUP($A444,Devengado!$A$1:$AI$1,30,FALSE),"")</f>
        <v/>
      </c>
      <c r="BL444" s="224" t="str">
        <f>IFERROR(VLOOKUP($A444,Devengado!$A$1:$AI$1,31,FALSE),"")</f>
        <v/>
      </c>
      <c r="BM444" s="224" t="str">
        <f>IFERROR(VLOOKUP($A444,Devengado!$A$1:$AI$1,32,FALSE),"")</f>
        <v/>
      </c>
      <c r="BN444" s="224" t="str">
        <f>IFERROR(VLOOKUP($A444,Devengado!$A$1:$AI$1,33,FALSE),"")</f>
        <v/>
      </c>
      <c r="BO444" s="224">
        <f t="shared" si="52"/>
        <v>0</v>
      </c>
      <c r="BP444" s="224" t="str">
        <f t="shared" si="53"/>
        <v/>
      </c>
      <c r="BQ444" s="207"/>
      <c r="BR444" s="207" t="str">
        <f t="shared" si="54"/>
        <v>53</v>
      </c>
    </row>
    <row r="445" spans="1:70" s="225" customFormat="1" ht="25.5" customHeight="1">
      <c r="A445" s="207">
        <v>441</v>
      </c>
      <c r="B445" s="112" t="s">
        <v>429</v>
      </c>
      <c r="C445" s="112" t="s">
        <v>77</v>
      </c>
      <c r="D445" s="112" t="s">
        <v>77</v>
      </c>
      <c r="E445" s="112" t="s">
        <v>76</v>
      </c>
      <c r="F445" s="112" t="s">
        <v>77</v>
      </c>
      <c r="G445" s="112" t="s">
        <v>77</v>
      </c>
      <c r="H445" s="112" t="s">
        <v>77</v>
      </c>
      <c r="I445" s="112" t="s">
        <v>77</v>
      </c>
      <c r="J445" s="112" t="s">
        <v>77</v>
      </c>
      <c r="K445" s="112" t="s">
        <v>77</v>
      </c>
      <c r="L445" s="112" t="s">
        <v>85</v>
      </c>
      <c r="M445" s="124" t="s">
        <v>448</v>
      </c>
      <c r="N445" s="114" t="s">
        <v>430</v>
      </c>
      <c r="O445" s="114" t="s">
        <v>111</v>
      </c>
      <c r="P445" s="114" t="s">
        <v>81</v>
      </c>
      <c r="Q445" s="114" t="s">
        <v>112</v>
      </c>
      <c r="R445" s="115" t="str">
        <f t="shared" si="48"/>
        <v>53</v>
      </c>
      <c r="S445" s="124">
        <v>530101</v>
      </c>
      <c r="T445" s="122" t="str">
        <f>VLOOKUP(S445,ITEM!$C$1:$D$156,2,FALSE)</f>
        <v>Agua Potable</v>
      </c>
      <c r="U445" s="112">
        <v>1309</v>
      </c>
      <c r="V445" s="114" t="s">
        <v>82</v>
      </c>
      <c r="W445" s="114" t="s">
        <v>84</v>
      </c>
      <c r="X445" s="114" t="s">
        <v>84</v>
      </c>
      <c r="Y445" s="224">
        <f>'Matriz POA 2024-TRABAJO'!AS31</f>
        <v>0</v>
      </c>
      <c r="Z445" s="224">
        <f>'Matriz POA 2024-TRABAJO'!AT31</f>
        <v>0</v>
      </c>
      <c r="AA445" s="224">
        <f>'Matriz POA 2024-TRABAJO'!AU31</f>
        <v>0</v>
      </c>
      <c r="AB445" s="279"/>
      <c r="AC445" s="279"/>
      <c r="AD445" s="279"/>
      <c r="AE445" s="279"/>
      <c r="AF445" s="279"/>
      <c r="AG445" s="279"/>
      <c r="AH445" s="279"/>
      <c r="AI445" s="279"/>
      <c r="AJ445" s="279"/>
      <c r="AK445" s="279"/>
      <c r="AL445" s="279"/>
      <c r="AM445" s="279"/>
      <c r="AN445" s="224" t="e">
        <f>SUM(#REF!)</f>
        <v>#REF!</v>
      </c>
      <c r="AO445" s="224">
        <f t="shared" si="49"/>
        <v>0</v>
      </c>
      <c r="AP445" s="224">
        <f t="shared" si="55"/>
        <v>0</v>
      </c>
      <c r="AQ445" s="224"/>
      <c r="AR445" s="224"/>
      <c r="AS445" s="224"/>
      <c r="AT445" s="224" t="str">
        <f>IFERROR(VLOOKUP($A445,'Constancias POA'!$A$2:$DH$9993,17,FALSE),"")</f>
        <v/>
      </c>
      <c r="AU445" s="224" t="str">
        <f t="shared" si="50"/>
        <v/>
      </c>
      <c r="AV445" s="224" t="str">
        <f>IFERROR(VLOOKUP($A445,CP!$A$1:$U$7992,18,FALSE),"")</f>
        <v/>
      </c>
      <c r="AW445" s="224" t="str">
        <f>IFERROR(VLOOKUP($A445,CP!$A$1:$U$7992,19,FALSE),"")</f>
        <v/>
      </c>
      <c r="AX445" s="224" t="str">
        <f>IFERROR(VLOOKUP($A445,CP!$A$1:$U$7992,20,FALSE),"")</f>
        <v/>
      </c>
      <c r="AY445" s="224" t="str">
        <f>IFERROR(VLOOKUP($A445,CP!$A$1:$U$1,21,FALSE),"")</f>
        <v/>
      </c>
      <c r="AZ445" s="224" t="str">
        <f>IFERROR(VLOOKUP(A445,Devengado!$A$1:AJ1,35,FALSE),"")</f>
        <v/>
      </c>
      <c r="BA445" s="224" t="str">
        <f t="shared" si="51"/>
        <v/>
      </c>
      <c r="BB445" s="224" t="str">
        <f>IFERROR(AZ445/#REF!,"")</f>
        <v/>
      </c>
      <c r="BC445" s="224" t="str">
        <f>IFERROR(VLOOKUP($A445,Devengado!$A$1:$AI$1,22,FALSE),"")</f>
        <v/>
      </c>
      <c r="BD445" s="224" t="str">
        <f>IFERROR(VLOOKUP($A445,Devengado!$A$1:$AI$1,23,FALSE),"")</f>
        <v/>
      </c>
      <c r="BE445" s="224" t="str">
        <f>IFERROR(VLOOKUP($A445,Devengado!$A$1:$AI$1,24,FALSE),"")</f>
        <v/>
      </c>
      <c r="BF445" s="224" t="str">
        <f>IFERROR(VLOOKUP($A445,Devengado!$A$1:$AI$1,25,FALSE),"")</f>
        <v/>
      </c>
      <c r="BG445" s="224" t="str">
        <f>IFERROR(VLOOKUP($A445,Devengado!$A$1:$AI$1,26,FALSE),"")</f>
        <v/>
      </c>
      <c r="BH445" s="224" t="str">
        <f>IFERROR(VLOOKUP($A445,Devengado!$A$1:$AI$1,27,FALSE),"")</f>
        <v/>
      </c>
      <c r="BI445" s="224" t="str">
        <f>IFERROR(VLOOKUP($A445,Devengado!$A$1:$AI$1,28,FALSE),"")</f>
        <v/>
      </c>
      <c r="BJ445" s="224" t="str">
        <f>IFERROR(VLOOKUP($A445,Devengado!$A$1:$AI$1,29,FALSE),"")</f>
        <v/>
      </c>
      <c r="BK445" s="224" t="str">
        <f>IFERROR(VLOOKUP($A445,Devengado!$A$1:$AI$1,30,FALSE),"")</f>
        <v/>
      </c>
      <c r="BL445" s="224" t="str">
        <f>IFERROR(VLOOKUP($A445,Devengado!$A$1:$AI$1,31,FALSE),"")</f>
        <v/>
      </c>
      <c r="BM445" s="224" t="str">
        <f>IFERROR(VLOOKUP($A445,Devengado!$A$1:$AI$1,32,FALSE),"")</f>
        <v/>
      </c>
      <c r="BN445" s="224" t="str">
        <f>IFERROR(VLOOKUP($A445,Devengado!$A$1:$AI$1,33,FALSE),"")</f>
        <v/>
      </c>
      <c r="BO445" s="224">
        <f t="shared" si="52"/>
        <v>0</v>
      </c>
      <c r="BP445" s="224" t="str">
        <f t="shared" si="53"/>
        <v/>
      </c>
      <c r="BQ445" s="207"/>
      <c r="BR445" s="207" t="str">
        <f t="shared" si="54"/>
        <v>53</v>
      </c>
    </row>
    <row r="446" spans="1:70" s="225" customFormat="1" ht="25.5" customHeight="1">
      <c r="A446" s="207">
        <v>442</v>
      </c>
      <c r="B446" s="112" t="s">
        <v>429</v>
      </c>
      <c r="C446" s="112" t="s">
        <v>77</v>
      </c>
      <c r="D446" s="112" t="s">
        <v>77</v>
      </c>
      <c r="E446" s="112" t="s">
        <v>76</v>
      </c>
      <c r="F446" s="112" t="s">
        <v>77</v>
      </c>
      <c r="G446" s="112" t="s">
        <v>77</v>
      </c>
      <c r="H446" s="112" t="s">
        <v>77</v>
      </c>
      <c r="I446" s="112" t="s">
        <v>77</v>
      </c>
      <c r="J446" s="112" t="s">
        <v>77</v>
      </c>
      <c r="K446" s="112" t="s">
        <v>77</v>
      </c>
      <c r="L446" s="112" t="s">
        <v>87</v>
      </c>
      <c r="M446" s="124" t="s">
        <v>449</v>
      </c>
      <c r="N446" s="114" t="s">
        <v>430</v>
      </c>
      <c r="O446" s="114" t="s">
        <v>111</v>
      </c>
      <c r="P446" s="114" t="s">
        <v>81</v>
      </c>
      <c r="Q446" s="114" t="s">
        <v>112</v>
      </c>
      <c r="R446" s="115" t="str">
        <f t="shared" si="48"/>
        <v>53</v>
      </c>
      <c r="S446" s="124">
        <v>530101</v>
      </c>
      <c r="T446" s="122" t="str">
        <f>VLOOKUP(S446,ITEM!$C$1:$D$156,2,FALSE)</f>
        <v>Agua Potable</v>
      </c>
      <c r="U446" s="112">
        <v>1309</v>
      </c>
      <c r="V446" s="114" t="s">
        <v>82</v>
      </c>
      <c r="W446" s="114" t="s">
        <v>84</v>
      </c>
      <c r="X446" s="114" t="s">
        <v>84</v>
      </c>
      <c r="Y446" s="224">
        <f>'Matriz POA 2024-TRABAJO'!AS32</f>
        <v>3.7000000000000455</v>
      </c>
      <c r="Z446" s="224">
        <f>'Matriz POA 2024-TRABAJO'!AT32</f>
        <v>0</v>
      </c>
      <c r="AA446" s="224">
        <f>'Matriz POA 2024-TRABAJO'!AU32</f>
        <v>3.7000000000000455</v>
      </c>
      <c r="AB446" s="279">
        <v>0</v>
      </c>
      <c r="AC446" s="279">
        <v>600</v>
      </c>
      <c r="AD446" s="279">
        <v>0</v>
      </c>
      <c r="AE446" s="279">
        <v>0</v>
      </c>
      <c r="AF446" s="279">
        <v>0</v>
      </c>
      <c r="AG446" s="279">
        <v>0</v>
      </c>
      <c r="AH446" s="279">
        <v>0</v>
      </c>
      <c r="AI446" s="279">
        <v>0</v>
      </c>
      <c r="AJ446" s="279">
        <v>0</v>
      </c>
      <c r="AK446" s="279">
        <v>0</v>
      </c>
      <c r="AL446" s="279">
        <v>0</v>
      </c>
      <c r="AM446" s="279">
        <v>0</v>
      </c>
      <c r="AN446" s="224" t="e">
        <f>SUM(#REF!)</f>
        <v>#REF!</v>
      </c>
      <c r="AO446" s="224">
        <f t="shared" si="49"/>
        <v>600</v>
      </c>
      <c r="AP446" s="224">
        <f t="shared" si="55"/>
        <v>596.29999999999995</v>
      </c>
      <c r="AQ446" s="224"/>
      <c r="AR446" s="224"/>
      <c r="AS446" s="224"/>
      <c r="AT446" s="224">
        <f>IFERROR(VLOOKUP($A446,'Constancias POA'!$A$2:$DH$9993,17,FALSE),"")</f>
        <v>3.7000000000000455</v>
      </c>
      <c r="AU446" s="224">
        <f t="shared" si="50"/>
        <v>0</v>
      </c>
      <c r="AV446" s="224">
        <f>IFERROR(VLOOKUP($A446,CP!$A$1:$U$7992,18,FALSE),"")</f>
        <v>0</v>
      </c>
      <c r="AW446" s="224">
        <f>IFERROR(VLOOKUP($A446,CP!$A$1:$U$7992,19,FALSE),"")</f>
        <v>3.7000000000000455</v>
      </c>
      <c r="AX446" s="224">
        <f>IFERROR(VLOOKUP($A446,CP!$A$1:$U$7992,20,FALSE),"")</f>
        <v>0</v>
      </c>
      <c r="AY446" s="224" t="str">
        <f>IFERROR(VLOOKUP($A446,CP!$A$1:$U$1,21,FALSE),"")</f>
        <v/>
      </c>
      <c r="AZ446" s="224" t="str">
        <f>IFERROR(VLOOKUP(A446,Devengado!$A$1:AJ1,35,FALSE),"")</f>
        <v/>
      </c>
      <c r="BA446" s="224" t="str">
        <f t="shared" si="51"/>
        <v/>
      </c>
      <c r="BB446" s="224" t="str">
        <f>IFERROR(AZ446/#REF!,"")</f>
        <v/>
      </c>
      <c r="BC446" s="224" t="str">
        <f>IFERROR(VLOOKUP($A446,Devengado!$A$1:$AI$1,22,FALSE),"")</f>
        <v/>
      </c>
      <c r="BD446" s="224" t="str">
        <f>IFERROR(VLOOKUP($A446,Devengado!$A$1:$AI$1,23,FALSE),"")</f>
        <v/>
      </c>
      <c r="BE446" s="224" t="str">
        <f>IFERROR(VLOOKUP($A446,Devengado!$A$1:$AI$1,24,FALSE),"")</f>
        <v/>
      </c>
      <c r="BF446" s="224" t="str">
        <f>IFERROR(VLOOKUP($A446,Devengado!$A$1:$AI$1,25,FALSE),"")</f>
        <v/>
      </c>
      <c r="BG446" s="224" t="str">
        <f>IFERROR(VLOOKUP($A446,Devengado!$A$1:$AI$1,26,FALSE),"")</f>
        <v/>
      </c>
      <c r="BH446" s="224" t="str">
        <f>IFERROR(VLOOKUP($A446,Devengado!$A$1:$AI$1,27,FALSE),"")</f>
        <v/>
      </c>
      <c r="BI446" s="224" t="str">
        <f>IFERROR(VLOOKUP($A446,Devengado!$A$1:$AI$1,28,FALSE),"")</f>
        <v/>
      </c>
      <c r="BJ446" s="224" t="str">
        <f>IFERROR(VLOOKUP($A446,Devengado!$A$1:$AI$1,29,FALSE),"")</f>
        <v/>
      </c>
      <c r="BK446" s="224" t="str">
        <f>IFERROR(VLOOKUP($A446,Devengado!$A$1:$AI$1,30,FALSE),"")</f>
        <v/>
      </c>
      <c r="BL446" s="224" t="str">
        <f>IFERROR(VLOOKUP($A446,Devengado!$A$1:$AI$1,31,FALSE),"")</f>
        <v/>
      </c>
      <c r="BM446" s="224" t="str">
        <f>IFERROR(VLOOKUP($A446,Devengado!$A$1:$AI$1,32,FALSE),"")</f>
        <v/>
      </c>
      <c r="BN446" s="224" t="str">
        <f>IFERROR(VLOOKUP($A446,Devengado!$A$1:$AI$1,33,FALSE),"")</f>
        <v/>
      </c>
      <c r="BO446" s="224">
        <f t="shared" si="52"/>
        <v>0</v>
      </c>
      <c r="BP446" s="224" t="str">
        <f t="shared" si="53"/>
        <v/>
      </c>
      <c r="BQ446" s="207"/>
      <c r="BR446" s="207" t="str">
        <f t="shared" si="54"/>
        <v>53</v>
      </c>
    </row>
    <row r="447" spans="1:70" s="225" customFormat="1" ht="25.5" customHeight="1">
      <c r="A447" s="207">
        <v>443</v>
      </c>
      <c r="B447" s="112" t="s">
        <v>429</v>
      </c>
      <c r="C447" s="112" t="s">
        <v>77</v>
      </c>
      <c r="D447" s="112" t="s">
        <v>77</v>
      </c>
      <c r="E447" s="112" t="s">
        <v>76</v>
      </c>
      <c r="F447" s="112" t="s">
        <v>77</v>
      </c>
      <c r="G447" s="112" t="s">
        <v>77</v>
      </c>
      <c r="H447" s="112" t="s">
        <v>77</v>
      </c>
      <c r="I447" s="112" t="s">
        <v>77</v>
      </c>
      <c r="J447" s="112" t="s">
        <v>77</v>
      </c>
      <c r="K447" s="112" t="s">
        <v>77</v>
      </c>
      <c r="L447" s="112" t="s">
        <v>85</v>
      </c>
      <c r="M447" s="124" t="s">
        <v>450</v>
      </c>
      <c r="N447" s="114" t="s">
        <v>430</v>
      </c>
      <c r="O447" s="114" t="s">
        <v>111</v>
      </c>
      <c r="P447" s="114" t="s">
        <v>81</v>
      </c>
      <c r="Q447" s="114" t="s">
        <v>112</v>
      </c>
      <c r="R447" s="115" t="str">
        <f t="shared" si="48"/>
        <v>53</v>
      </c>
      <c r="S447" s="124">
        <v>530101</v>
      </c>
      <c r="T447" s="122" t="str">
        <f>VLOOKUP(S447,ITEM!$C$1:$D$156,2,FALSE)</f>
        <v>Agua Potable</v>
      </c>
      <c r="U447" s="112">
        <v>1309</v>
      </c>
      <c r="V447" s="114" t="s">
        <v>82</v>
      </c>
      <c r="W447" s="114" t="s">
        <v>84</v>
      </c>
      <c r="X447" s="114" t="s">
        <v>84</v>
      </c>
      <c r="Y447" s="224">
        <f>'Matriz POA 2024-TRABAJO'!AS33</f>
        <v>2600</v>
      </c>
      <c r="Z447" s="224">
        <f>'Matriz POA 2024-TRABAJO'!AT33</f>
        <v>0</v>
      </c>
      <c r="AA447" s="224">
        <f>'Matriz POA 2024-TRABAJO'!AU33</f>
        <v>2600</v>
      </c>
      <c r="AB447" s="279">
        <v>0</v>
      </c>
      <c r="AC447" s="279">
        <v>180</v>
      </c>
      <c r="AD447" s="279">
        <v>180</v>
      </c>
      <c r="AE447" s="279">
        <v>180</v>
      </c>
      <c r="AF447" s="279">
        <v>180</v>
      </c>
      <c r="AG447" s="279">
        <v>180</v>
      </c>
      <c r="AH447" s="279">
        <v>180</v>
      </c>
      <c r="AI447" s="279">
        <v>180</v>
      </c>
      <c r="AJ447" s="279">
        <v>180</v>
      </c>
      <c r="AK447" s="279">
        <v>180</v>
      </c>
      <c r="AL447" s="279">
        <v>180</v>
      </c>
      <c r="AM447" s="279">
        <v>0</v>
      </c>
      <c r="AN447" s="224" t="e">
        <f>SUM(#REF!)</f>
        <v>#REF!</v>
      </c>
      <c r="AO447" s="224">
        <f t="shared" si="49"/>
        <v>1800</v>
      </c>
      <c r="AP447" s="224">
        <f t="shared" si="55"/>
        <v>-800</v>
      </c>
      <c r="AQ447" s="224"/>
      <c r="AR447" s="224"/>
      <c r="AS447" s="224"/>
      <c r="AT447" s="224">
        <f>IFERROR(VLOOKUP($A447,'Constancias POA'!$A$2:$DH$9993,17,FALSE),"")</f>
        <v>2600</v>
      </c>
      <c r="AU447" s="224">
        <f t="shared" si="50"/>
        <v>0</v>
      </c>
      <c r="AV447" s="224">
        <f>IFERROR(VLOOKUP($A447,CP!$A$1:$U$7992,18,FALSE),"")</f>
        <v>1029.0999999999999</v>
      </c>
      <c r="AW447" s="224">
        <f>IFERROR(VLOOKUP($A447,CP!$A$1:$U$7992,19,FALSE),"")</f>
        <v>2600</v>
      </c>
      <c r="AX447" s="224">
        <f>IFERROR(VLOOKUP($A447,CP!$A$1:$U$7992,20,FALSE),"")</f>
        <v>0</v>
      </c>
      <c r="AY447" s="224" t="str">
        <f>IFERROR(VLOOKUP($A447,CP!$A$1:$U$1,21,FALSE),"")</f>
        <v/>
      </c>
      <c r="AZ447" s="224" t="str">
        <f>IFERROR(VLOOKUP(A447,Devengado!$A$1:AJ1,35,FALSE),"")</f>
        <v/>
      </c>
      <c r="BA447" s="224" t="str">
        <f t="shared" si="51"/>
        <v/>
      </c>
      <c r="BB447" s="224" t="str">
        <f>IFERROR(AZ447/#REF!,"")</f>
        <v/>
      </c>
      <c r="BC447" s="224" t="str">
        <f>IFERROR(VLOOKUP($A447,Devengado!$A$1:$AI$1,22,FALSE),"")</f>
        <v/>
      </c>
      <c r="BD447" s="224" t="str">
        <f>IFERROR(VLOOKUP($A447,Devengado!$A$1:$AI$1,23,FALSE),"")</f>
        <v/>
      </c>
      <c r="BE447" s="224" t="str">
        <f>IFERROR(VLOOKUP($A447,Devengado!$A$1:$AI$1,24,FALSE),"")</f>
        <v/>
      </c>
      <c r="BF447" s="224" t="str">
        <f>IFERROR(VLOOKUP($A447,Devengado!$A$1:$AI$1,25,FALSE),"")</f>
        <v/>
      </c>
      <c r="BG447" s="224" t="str">
        <f>IFERROR(VLOOKUP($A447,Devengado!$A$1:$AI$1,26,FALSE),"")</f>
        <v/>
      </c>
      <c r="BH447" s="224" t="str">
        <f>IFERROR(VLOOKUP($A447,Devengado!$A$1:$AI$1,27,FALSE),"")</f>
        <v/>
      </c>
      <c r="BI447" s="224" t="str">
        <f>IFERROR(VLOOKUP($A447,Devengado!$A$1:$AI$1,28,FALSE),"")</f>
        <v/>
      </c>
      <c r="BJ447" s="224" t="str">
        <f>IFERROR(VLOOKUP($A447,Devengado!$A$1:$AI$1,29,FALSE),"")</f>
        <v/>
      </c>
      <c r="BK447" s="224" t="str">
        <f>IFERROR(VLOOKUP($A447,Devengado!$A$1:$AI$1,30,FALSE),"")</f>
        <v/>
      </c>
      <c r="BL447" s="224" t="str">
        <f>IFERROR(VLOOKUP($A447,Devengado!$A$1:$AI$1,31,FALSE),"")</f>
        <v/>
      </c>
      <c r="BM447" s="224" t="str">
        <f>IFERROR(VLOOKUP($A447,Devengado!$A$1:$AI$1,32,FALSE),"")</f>
        <v/>
      </c>
      <c r="BN447" s="224" t="str">
        <f>IFERROR(VLOOKUP($A447,Devengado!$A$1:$AI$1,33,FALSE),"")</f>
        <v/>
      </c>
      <c r="BO447" s="224">
        <f t="shared" si="52"/>
        <v>0</v>
      </c>
      <c r="BP447" s="224" t="str">
        <f t="shared" si="53"/>
        <v/>
      </c>
      <c r="BQ447" s="207"/>
      <c r="BR447" s="207" t="str">
        <f t="shared" si="54"/>
        <v>53</v>
      </c>
    </row>
    <row r="448" spans="1:70" s="225" customFormat="1" ht="25.5" customHeight="1">
      <c r="A448" s="207">
        <v>444</v>
      </c>
      <c r="B448" s="112" t="s">
        <v>429</v>
      </c>
      <c r="C448" s="112" t="s">
        <v>77</v>
      </c>
      <c r="D448" s="112" t="s">
        <v>77</v>
      </c>
      <c r="E448" s="112" t="s">
        <v>76</v>
      </c>
      <c r="F448" s="112" t="s">
        <v>77</v>
      </c>
      <c r="G448" s="112" t="s">
        <v>77</v>
      </c>
      <c r="H448" s="112" t="s">
        <v>77</v>
      </c>
      <c r="I448" s="112" t="s">
        <v>77</v>
      </c>
      <c r="J448" s="112" t="s">
        <v>77</v>
      </c>
      <c r="K448" s="112" t="s">
        <v>77</v>
      </c>
      <c r="L448" s="112" t="s">
        <v>87</v>
      </c>
      <c r="M448" s="124" t="s">
        <v>451</v>
      </c>
      <c r="N448" s="114" t="s">
        <v>430</v>
      </c>
      <c r="O448" s="114" t="s">
        <v>111</v>
      </c>
      <c r="P448" s="114" t="s">
        <v>81</v>
      </c>
      <c r="Q448" s="114" t="s">
        <v>112</v>
      </c>
      <c r="R448" s="115" t="str">
        <f t="shared" si="48"/>
        <v>53</v>
      </c>
      <c r="S448" s="124">
        <v>530104</v>
      </c>
      <c r="T448" s="122" t="str">
        <f>VLOOKUP(S448,ITEM!$C$1:$D$156,2,FALSE)</f>
        <v>Energía Eléctrica</v>
      </c>
      <c r="U448" s="112">
        <v>1309</v>
      </c>
      <c r="V448" s="114" t="s">
        <v>82</v>
      </c>
      <c r="W448" s="114" t="s">
        <v>84</v>
      </c>
      <c r="X448" s="114" t="s">
        <v>84</v>
      </c>
      <c r="Y448" s="224">
        <f>'Matriz POA 2024-TRABAJO'!AS34</f>
        <v>2447.1799999999998</v>
      </c>
      <c r="Z448" s="224">
        <f>'Matriz POA 2024-TRABAJO'!AT34</f>
        <v>0</v>
      </c>
      <c r="AA448" s="224">
        <f>'Matriz POA 2024-TRABAJO'!AU34</f>
        <v>2447.1799999999998</v>
      </c>
      <c r="AB448" s="279">
        <v>0</v>
      </c>
      <c r="AC448" s="279">
        <v>6000</v>
      </c>
      <c r="AD448" s="279">
        <v>0</v>
      </c>
      <c r="AE448" s="279">
        <v>0</v>
      </c>
      <c r="AF448" s="279">
        <v>0</v>
      </c>
      <c r="AG448" s="279">
        <v>0</v>
      </c>
      <c r="AH448" s="279">
        <v>0</v>
      </c>
      <c r="AI448" s="279">
        <v>0</v>
      </c>
      <c r="AJ448" s="279">
        <v>0</v>
      </c>
      <c r="AK448" s="279">
        <v>0</v>
      </c>
      <c r="AL448" s="279">
        <v>0</v>
      </c>
      <c r="AM448" s="279">
        <v>0</v>
      </c>
      <c r="AN448" s="224" t="e">
        <f>SUM(#REF!)</f>
        <v>#REF!</v>
      </c>
      <c r="AO448" s="224">
        <f t="shared" si="49"/>
        <v>6000</v>
      </c>
      <c r="AP448" s="224">
        <f t="shared" si="55"/>
        <v>3552.82</v>
      </c>
      <c r="AQ448" s="224"/>
      <c r="AR448" s="224"/>
      <c r="AS448" s="224"/>
      <c r="AT448" s="224">
        <f>IFERROR(VLOOKUP($A448,'Constancias POA'!$A$2:$DH$9993,17,FALSE),"")</f>
        <v>2447.1799999999998</v>
      </c>
      <c r="AU448" s="224">
        <f t="shared" si="50"/>
        <v>0</v>
      </c>
      <c r="AV448" s="224">
        <f>IFERROR(VLOOKUP($A448,CP!$A$1:$U$7992,18,FALSE),"")</f>
        <v>0</v>
      </c>
      <c r="AW448" s="224">
        <f>IFERROR(VLOOKUP($A448,CP!$A$1:$U$7992,19,FALSE),"")</f>
        <v>2447.1799999999998</v>
      </c>
      <c r="AX448" s="224">
        <f>IFERROR(VLOOKUP($A448,CP!$A$1:$U$7992,20,FALSE),"")</f>
        <v>0</v>
      </c>
      <c r="AY448" s="224" t="str">
        <f>IFERROR(VLOOKUP($A448,CP!$A$1:$U$1,21,FALSE),"")</f>
        <v/>
      </c>
      <c r="AZ448" s="224" t="str">
        <f>IFERROR(VLOOKUP(A448,Devengado!$A$1:AJ1,35,FALSE),"")</f>
        <v/>
      </c>
      <c r="BA448" s="224" t="str">
        <f t="shared" si="51"/>
        <v/>
      </c>
      <c r="BB448" s="224" t="str">
        <f>IFERROR(AZ448/#REF!,"")</f>
        <v/>
      </c>
      <c r="BC448" s="224" t="str">
        <f>IFERROR(VLOOKUP($A448,Devengado!$A$1:$AI$1,22,FALSE),"")</f>
        <v/>
      </c>
      <c r="BD448" s="224" t="str">
        <f>IFERROR(VLOOKUP($A448,Devengado!$A$1:$AI$1,23,FALSE),"")</f>
        <v/>
      </c>
      <c r="BE448" s="224" t="str">
        <f>IFERROR(VLOOKUP($A448,Devengado!$A$1:$AI$1,24,FALSE),"")</f>
        <v/>
      </c>
      <c r="BF448" s="224" t="str">
        <f>IFERROR(VLOOKUP($A448,Devengado!$A$1:$AI$1,25,FALSE),"")</f>
        <v/>
      </c>
      <c r="BG448" s="224" t="str">
        <f>IFERROR(VLOOKUP($A448,Devengado!$A$1:$AI$1,26,FALSE),"")</f>
        <v/>
      </c>
      <c r="BH448" s="224" t="str">
        <f>IFERROR(VLOOKUP($A448,Devengado!$A$1:$AI$1,27,FALSE),"")</f>
        <v/>
      </c>
      <c r="BI448" s="224" t="str">
        <f>IFERROR(VLOOKUP($A448,Devengado!$A$1:$AI$1,28,FALSE),"")</f>
        <v/>
      </c>
      <c r="BJ448" s="224" t="str">
        <f>IFERROR(VLOOKUP($A448,Devengado!$A$1:$AI$1,29,FALSE),"")</f>
        <v/>
      </c>
      <c r="BK448" s="224" t="str">
        <f>IFERROR(VLOOKUP($A448,Devengado!$A$1:$AI$1,30,FALSE),"")</f>
        <v/>
      </c>
      <c r="BL448" s="224" t="str">
        <f>IFERROR(VLOOKUP($A448,Devengado!$A$1:$AI$1,31,FALSE),"")</f>
        <v/>
      </c>
      <c r="BM448" s="224" t="str">
        <f>IFERROR(VLOOKUP($A448,Devengado!$A$1:$AI$1,32,FALSE),"")</f>
        <v/>
      </c>
      <c r="BN448" s="224" t="str">
        <f>IFERROR(VLOOKUP($A448,Devengado!$A$1:$AI$1,33,FALSE),"")</f>
        <v/>
      </c>
      <c r="BO448" s="224">
        <f t="shared" si="52"/>
        <v>0</v>
      </c>
      <c r="BP448" s="224" t="str">
        <f t="shared" si="53"/>
        <v/>
      </c>
      <c r="BQ448" s="207"/>
      <c r="BR448" s="207" t="str">
        <f t="shared" si="54"/>
        <v>53</v>
      </c>
    </row>
    <row r="449" spans="1:70" s="225" customFormat="1" ht="25.5" customHeight="1">
      <c r="A449" s="207">
        <v>445</v>
      </c>
      <c r="B449" s="112" t="s">
        <v>429</v>
      </c>
      <c r="C449" s="112" t="s">
        <v>77</v>
      </c>
      <c r="D449" s="112" t="s">
        <v>77</v>
      </c>
      <c r="E449" s="112" t="s">
        <v>76</v>
      </c>
      <c r="F449" s="112" t="s">
        <v>77</v>
      </c>
      <c r="G449" s="112" t="s">
        <v>77</v>
      </c>
      <c r="H449" s="112" t="s">
        <v>77</v>
      </c>
      <c r="I449" s="112" t="s">
        <v>77</v>
      </c>
      <c r="J449" s="112" t="s">
        <v>77</v>
      </c>
      <c r="K449" s="112" t="s">
        <v>77</v>
      </c>
      <c r="L449" s="112" t="s">
        <v>85</v>
      </c>
      <c r="M449" s="124" t="s">
        <v>452</v>
      </c>
      <c r="N449" s="114" t="s">
        <v>430</v>
      </c>
      <c r="O449" s="114" t="s">
        <v>111</v>
      </c>
      <c r="P449" s="114" t="s">
        <v>81</v>
      </c>
      <c r="Q449" s="114" t="s">
        <v>112</v>
      </c>
      <c r="R449" s="115" t="str">
        <f t="shared" si="48"/>
        <v>53</v>
      </c>
      <c r="S449" s="124">
        <v>530104</v>
      </c>
      <c r="T449" s="122" t="str">
        <f>VLOOKUP(S449,ITEM!$C$1:$D$156,2,FALSE)</f>
        <v>Energía Eléctrica</v>
      </c>
      <c r="U449" s="112">
        <v>1309</v>
      </c>
      <c r="V449" s="114" t="s">
        <v>82</v>
      </c>
      <c r="W449" s="114" t="s">
        <v>84</v>
      </c>
      <c r="X449" s="114" t="s">
        <v>84</v>
      </c>
      <c r="Y449" s="224">
        <f>'Matriz POA 2024-TRABAJO'!AS35</f>
        <v>15500</v>
      </c>
      <c r="Z449" s="224">
        <f>'Matriz POA 2024-TRABAJO'!AT35</f>
        <v>0</v>
      </c>
      <c r="AA449" s="224">
        <f>'Matriz POA 2024-TRABAJO'!AU35</f>
        <v>15500</v>
      </c>
      <c r="AB449" s="279">
        <v>0</v>
      </c>
      <c r="AC449" s="279">
        <v>3000</v>
      </c>
      <c r="AD449" s="279">
        <v>3000</v>
      </c>
      <c r="AE449" s="279">
        <v>3000</v>
      </c>
      <c r="AF449" s="279">
        <v>3000</v>
      </c>
      <c r="AG449" s="279">
        <v>3000</v>
      </c>
      <c r="AH449" s="279">
        <v>3000</v>
      </c>
      <c r="AI449" s="279">
        <v>2000</v>
      </c>
      <c r="AJ449" s="279">
        <v>3000</v>
      </c>
      <c r="AK449" s="279">
        <v>2000</v>
      </c>
      <c r="AL449" s="279">
        <v>2000</v>
      </c>
      <c r="AM449" s="279">
        <v>0</v>
      </c>
      <c r="AN449" s="224" t="e">
        <f>SUM(#REF!)</f>
        <v>#REF!</v>
      </c>
      <c r="AO449" s="224">
        <f t="shared" si="49"/>
        <v>27000</v>
      </c>
      <c r="AP449" s="224">
        <f t="shared" si="55"/>
        <v>11500</v>
      </c>
      <c r="AQ449" s="224"/>
      <c r="AR449" s="224"/>
      <c r="AS449" s="224"/>
      <c r="AT449" s="224">
        <f>IFERROR(VLOOKUP($A449,'Constancias POA'!$A$2:$DH$9993,17,FALSE),"")</f>
        <v>15500</v>
      </c>
      <c r="AU449" s="224">
        <f t="shared" si="50"/>
        <v>0</v>
      </c>
      <c r="AV449" s="224">
        <f>IFERROR(VLOOKUP($A449,CP!$A$1:$U$7992,18,FALSE),"")</f>
        <v>500</v>
      </c>
      <c r="AW449" s="224">
        <f>IFERROR(VLOOKUP($A449,CP!$A$1:$U$7992,19,FALSE),"")</f>
        <v>15000</v>
      </c>
      <c r="AX449" s="224">
        <f>IFERROR(VLOOKUP($A449,CP!$A$1:$U$7992,20,FALSE),"")</f>
        <v>500</v>
      </c>
      <c r="AY449" s="224" t="str">
        <f>IFERROR(VLOOKUP($A449,CP!$A$1:$U$1,21,FALSE),"")</f>
        <v/>
      </c>
      <c r="AZ449" s="224" t="str">
        <f>IFERROR(VLOOKUP(A449,Devengado!$A$1:AJ1,35,FALSE),"")</f>
        <v/>
      </c>
      <c r="BA449" s="224" t="str">
        <f t="shared" si="51"/>
        <v/>
      </c>
      <c r="BB449" s="224" t="str">
        <f>IFERROR(AZ449/#REF!,"")</f>
        <v/>
      </c>
      <c r="BC449" s="224" t="str">
        <f>IFERROR(VLOOKUP($A449,Devengado!$A$1:$AI$1,22,FALSE),"")</f>
        <v/>
      </c>
      <c r="BD449" s="224" t="str">
        <f>IFERROR(VLOOKUP($A449,Devengado!$A$1:$AI$1,23,FALSE),"")</f>
        <v/>
      </c>
      <c r="BE449" s="224" t="str">
        <f>IFERROR(VLOOKUP($A449,Devengado!$A$1:$AI$1,24,FALSE),"")</f>
        <v/>
      </c>
      <c r="BF449" s="224" t="str">
        <f>IFERROR(VLOOKUP($A449,Devengado!$A$1:$AI$1,25,FALSE),"")</f>
        <v/>
      </c>
      <c r="BG449" s="224" t="str">
        <f>IFERROR(VLOOKUP($A449,Devengado!$A$1:$AI$1,26,FALSE),"")</f>
        <v/>
      </c>
      <c r="BH449" s="224" t="str">
        <f>IFERROR(VLOOKUP($A449,Devengado!$A$1:$AI$1,27,FALSE),"")</f>
        <v/>
      </c>
      <c r="BI449" s="224" t="str">
        <f>IFERROR(VLOOKUP($A449,Devengado!$A$1:$AI$1,28,FALSE),"")</f>
        <v/>
      </c>
      <c r="BJ449" s="224" t="str">
        <f>IFERROR(VLOOKUP($A449,Devengado!$A$1:$AI$1,29,FALSE),"")</f>
        <v/>
      </c>
      <c r="BK449" s="224" t="str">
        <f>IFERROR(VLOOKUP($A449,Devengado!$A$1:$AI$1,30,FALSE),"")</f>
        <v/>
      </c>
      <c r="BL449" s="224" t="str">
        <f>IFERROR(VLOOKUP($A449,Devengado!$A$1:$AI$1,31,FALSE),"")</f>
        <v/>
      </c>
      <c r="BM449" s="224" t="str">
        <f>IFERROR(VLOOKUP($A449,Devengado!$A$1:$AI$1,32,FALSE),"")</f>
        <v/>
      </c>
      <c r="BN449" s="224" t="str">
        <f>IFERROR(VLOOKUP($A449,Devengado!$A$1:$AI$1,33,FALSE),"")</f>
        <v/>
      </c>
      <c r="BO449" s="224">
        <f t="shared" si="52"/>
        <v>0</v>
      </c>
      <c r="BP449" s="224" t="str">
        <f t="shared" si="53"/>
        <v/>
      </c>
      <c r="BQ449" s="207"/>
      <c r="BR449" s="207" t="str">
        <f t="shared" si="54"/>
        <v>53</v>
      </c>
    </row>
    <row r="450" spans="1:70" s="225" customFormat="1" ht="25.5" customHeight="1">
      <c r="A450" s="207">
        <v>446</v>
      </c>
      <c r="B450" s="112" t="s">
        <v>429</v>
      </c>
      <c r="C450" s="112" t="s">
        <v>77</v>
      </c>
      <c r="D450" s="112" t="s">
        <v>77</v>
      </c>
      <c r="E450" s="112" t="s">
        <v>76</v>
      </c>
      <c r="F450" s="112" t="s">
        <v>77</v>
      </c>
      <c r="G450" s="112" t="s">
        <v>77</v>
      </c>
      <c r="H450" s="112" t="s">
        <v>77</v>
      </c>
      <c r="I450" s="112" t="s">
        <v>77</v>
      </c>
      <c r="J450" s="112" t="s">
        <v>77</v>
      </c>
      <c r="K450" s="112" t="s">
        <v>77</v>
      </c>
      <c r="L450" s="112" t="s">
        <v>85</v>
      </c>
      <c r="M450" s="124" t="s">
        <v>453</v>
      </c>
      <c r="N450" s="114" t="s">
        <v>430</v>
      </c>
      <c r="O450" s="114" t="s">
        <v>111</v>
      </c>
      <c r="P450" s="114" t="s">
        <v>81</v>
      </c>
      <c r="Q450" s="114" t="s">
        <v>112</v>
      </c>
      <c r="R450" s="115" t="str">
        <f t="shared" si="48"/>
        <v>53</v>
      </c>
      <c r="S450" s="124">
        <v>530104</v>
      </c>
      <c r="T450" s="122" t="str">
        <f>VLOOKUP(S450,ITEM!$C$1:$D$156,2,FALSE)</f>
        <v>Energía Eléctrica</v>
      </c>
      <c r="U450" s="112">
        <v>1301</v>
      </c>
      <c r="V450" s="114" t="s">
        <v>82</v>
      </c>
      <c r="W450" s="114" t="s">
        <v>84</v>
      </c>
      <c r="X450" s="114" t="s">
        <v>84</v>
      </c>
      <c r="Y450" s="224">
        <f>'Matriz POA 2024-TRABAJO'!AS36</f>
        <v>9827.8799999999992</v>
      </c>
      <c r="Z450" s="224">
        <f>'Matriz POA 2024-TRABAJO'!AT36</f>
        <v>0</v>
      </c>
      <c r="AA450" s="224">
        <f>'Matriz POA 2024-TRABAJO'!AU36</f>
        <v>9827.8799999999992</v>
      </c>
      <c r="AB450" s="279"/>
      <c r="AC450" s="279">
        <v>900</v>
      </c>
      <c r="AD450" s="279">
        <v>790</v>
      </c>
      <c r="AE450" s="279">
        <v>790</v>
      </c>
      <c r="AF450" s="279">
        <v>790</v>
      </c>
      <c r="AG450" s="279">
        <v>790</v>
      </c>
      <c r="AH450" s="279">
        <v>790</v>
      </c>
      <c r="AI450" s="279">
        <v>790</v>
      </c>
      <c r="AJ450" s="279">
        <v>790</v>
      </c>
      <c r="AK450" s="279">
        <v>790</v>
      </c>
      <c r="AL450" s="279">
        <v>790</v>
      </c>
      <c r="AM450" s="279">
        <v>790</v>
      </c>
      <c r="AN450" s="224" t="e">
        <f>SUM(#REF!)</f>
        <v>#REF!</v>
      </c>
      <c r="AO450" s="224">
        <f t="shared" si="49"/>
        <v>8800</v>
      </c>
      <c r="AP450" s="224">
        <f t="shared" si="55"/>
        <v>-1027.8799999999992</v>
      </c>
      <c r="AQ450" s="224"/>
      <c r="AR450" s="224"/>
      <c r="AS450" s="224"/>
      <c r="AT450" s="224">
        <f>IFERROR(VLOOKUP($A450,'Constancias POA'!$A$2:$DH$9993,17,FALSE),"")</f>
        <v>9827.8799999999992</v>
      </c>
      <c r="AU450" s="224">
        <f t="shared" si="50"/>
        <v>0</v>
      </c>
      <c r="AV450" s="224">
        <f>IFERROR(VLOOKUP($A450,CP!$A$1:$U$7992,18,FALSE),"")</f>
        <v>3745.87</v>
      </c>
      <c r="AW450" s="224">
        <f>IFERROR(VLOOKUP($A450,CP!$A$1:$U$7992,19,FALSE),"")</f>
        <v>9082.01</v>
      </c>
      <c r="AX450" s="224">
        <f>IFERROR(VLOOKUP($A450,CP!$A$1:$U$7992,20,FALSE),"")</f>
        <v>745.87</v>
      </c>
      <c r="AY450" s="224" t="str">
        <f>IFERROR(VLOOKUP($A450,CP!$A$1:$U$1,21,FALSE),"")</f>
        <v/>
      </c>
      <c r="AZ450" s="224" t="str">
        <f>IFERROR(VLOOKUP(A450,Devengado!$A$1:AJ1,35,FALSE),"")</f>
        <v/>
      </c>
      <c r="BA450" s="224" t="str">
        <f t="shared" si="51"/>
        <v/>
      </c>
      <c r="BB450" s="224" t="str">
        <f>IFERROR(AZ450/#REF!,"")</f>
        <v/>
      </c>
      <c r="BC450" s="224" t="str">
        <f>IFERROR(VLOOKUP($A450,Devengado!$A$1:$AI$1,22,FALSE),"")</f>
        <v/>
      </c>
      <c r="BD450" s="224" t="str">
        <f>IFERROR(VLOOKUP($A450,Devengado!$A$1:$AI$1,23,FALSE),"")</f>
        <v/>
      </c>
      <c r="BE450" s="224" t="str">
        <f>IFERROR(VLOOKUP($A450,Devengado!$A$1:$AI$1,24,FALSE),"")</f>
        <v/>
      </c>
      <c r="BF450" s="224" t="str">
        <f>IFERROR(VLOOKUP($A450,Devengado!$A$1:$AI$1,25,FALSE),"")</f>
        <v/>
      </c>
      <c r="BG450" s="224" t="str">
        <f>IFERROR(VLOOKUP($A450,Devengado!$A$1:$AI$1,26,FALSE),"")</f>
        <v/>
      </c>
      <c r="BH450" s="224" t="str">
        <f>IFERROR(VLOOKUP($A450,Devengado!$A$1:$AI$1,27,FALSE),"")</f>
        <v/>
      </c>
      <c r="BI450" s="224" t="str">
        <f>IFERROR(VLOOKUP($A450,Devengado!$A$1:$AI$1,28,FALSE),"")</f>
        <v/>
      </c>
      <c r="BJ450" s="224" t="str">
        <f>IFERROR(VLOOKUP($A450,Devengado!$A$1:$AI$1,29,FALSE),"")</f>
        <v/>
      </c>
      <c r="BK450" s="224" t="str">
        <f>IFERROR(VLOOKUP($A450,Devengado!$A$1:$AI$1,30,FALSE),"")</f>
        <v/>
      </c>
      <c r="BL450" s="224" t="str">
        <f>IFERROR(VLOOKUP($A450,Devengado!$A$1:$AI$1,31,FALSE),"")</f>
        <v/>
      </c>
      <c r="BM450" s="224" t="str">
        <f>IFERROR(VLOOKUP($A450,Devengado!$A$1:$AI$1,32,FALSE),"")</f>
        <v/>
      </c>
      <c r="BN450" s="224" t="str">
        <f>IFERROR(VLOOKUP($A450,Devengado!$A$1:$AI$1,33,FALSE),"")</f>
        <v/>
      </c>
      <c r="BO450" s="224">
        <f t="shared" si="52"/>
        <v>0</v>
      </c>
      <c r="BP450" s="224" t="str">
        <f t="shared" si="53"/>
        <v/>
      </c>
      <c r="BQ450" s="207"/>
      <c r="BR450" s="207" t="str">
        <f t="shared" si="54"/>
        <v>53</v>
      </c>
    </row>
    <row r="451" spans="1:70" s="225" customFormat="1" ht="25.5" customHeight="1">
      <c r="A451" s="207">
        <v>447</v>
      </c>
      <c r="B451" s="112" t="s">
        <v>429</v>
      </c>
      <c r="C451" s="112" t="s">
        <v>77</v>
      </c>
      <c r="D451" s="112" t="s">
        <v>77</v>
      </c>
      <c r="E451" s="112" t="s">
        <v>76</v>
      </c>
      <c r="F451" s="112" t="s">
        <v>77</v>
      </c>
      <c r="G451" s="112" t="s">
        <v>77</v>
      </c>
      <c r="H451" s="112" t="s">
        <v>77</v>
      </c>
      <c r="I451" s="112" t="s">
        <v>77</v>
      </c>
      <c r="J451" s="112" t="s">
        <v>77</v>
      </c>
      <c r="K451" s="112" t="s">
        <v>77</v>
      </c>
      <c r="L451" s="112" t="s">
        <v>87</v>
      </c>
      <c r="M451" s="124" t="s">
        <v>454</v>
      </c>
      <c r="N451" s="114" t="s">
        <v>430</v>
      </c>
      <c r="O451" s="114" t="s">
        <v>111</v>
      </c>
      <c r="P451" s="114" t="s">
        <v>81</v>
      </c>
      <c r="Q451" s="114" t="s">
        <v>112</v>
      </c>
      <c r="R451" s="115" t="str">
        <f t="shared" si="48"/>
        <v>53</v>
      </c>
      <c r="S451" s="124">
        <v>530104</v>
      </c>
      <c r="T451" s="122" t="str">
        <f>VLOOKUP(S451,ITEM!$C$1:$D$156,2,FALSE)</f>
        <v>Energía Eléctrica</v>
      </c>
      <c r="U451" s="112">
        <v>1301</v>
      </c>
      <c r="V451" s="114" t="s">
        <v>82</v>
      </c>
      <c r="W451" s="114" t="s">
        <v>84</v>
      </c>
      <c r="X451" s="114" t="s">
        <v>84</v>
      </c>
      <c r="Y451" s="224">
        <f>'Matriz POA 2024-TRABAJO'!AS37</f>
        <v>1579.49</v>
      </c>
      <c r="Z451" s="224">
        <f>'Matriz POA 2024-TRABAJO'!AT37</f>
        <v>0</v>
      </c>
      <c r="AA451" s="224">
        <f>'Matriz POA 2024-TRABAJO'!AU37</f>
        <v>1579.49</v>
      </c>
      <c r="AB451" s="279">
        <v>0</v>
      </c>
      <c r="AC451" s="279">
        <v>1800</v>
      </c>
      <c r="AD451" s="279">
        <v>0</v>
      </c>
      <c r="AE451" s="279">
        <v>0</v>
      </c>
      <c r="AF451" s="279">
        <v>0</v>
      </c>
      <c r="AG451" s="279">
        <v>0</v>
      </c>
      <c r="AH451" s="279">
        <v>0</v>
      </c>
      <c r="AI451" s="279">
        <v>0</v>
      </c>
      <c r="AJ451" s="279">
        <v>0</v>
      </c>
      <c r="AK451" s="279">
        <v>0</v>
      </c>
      <c r="AL451" s="279">
        <v>0</v>
      </c>
      <c r="AM451" s="279">
        <v>0</v>
      </c>
      <c r="AN451" s="224" t="e">
        <f>SUM(#REF!)</f>
        <v>#REF!</v>
      </c>
      <c r="AO451" s="224">
        <f t="shared" si="49"/>
        <v>1800</v>
      </c>
      <c r="AP451" s="224">
        <f t="shared" si="55"/>
        <v>220.51</v>
      </c>
      <c r="AQ451" s="224"/>
      <c r="AR451" s="224"/>
      <c r="AS451" s="224"/>
      <c r="AT451" s="224">
        <f>IFERROR(VLOOKUP($A451,'Constancias POA'!$A$2:$DH$9993,17,FALSE),"")</f>
        <v>1579.49</v>
      </c>
      <c r="AU451" s="224">
        <f t="shared" si="50"/>
        <v>0</v>
      </c>
      <c r="AV451" s="224">
        <f>IFERROR(VLOOKUP($A451,CP!$A$1:$U$7992,18,FALSE),"")</f>
        <v>0</v>
      </c>
      <c r="AW451" s="224">
        <f>IFERROR(VLOOKUP($A451,CP!$A$1:$U$7992,19,FALSE),"")</f>
        <v>1579.49</v>
      </c>
      <c r="AX451" s="224">
        <f>IFERROR(VLOOKUP($A451,CP!$A$1:$U$7992,20,FALSE),"")</f>
        <v>0</v>
      </c>
      <c r="AY451" s="224" t="str">
        <f>IFERROR(VLOOKUP($A451,CP!$A$1:$U$1,21,FALSE),"")</f>
        <v/>
      </c>
      <c r="AZ451" s="224" t="str">
        <f>IFERROR(VLOOKUP(A451,Devengado!$A$1:AJ1,35,FALSE),"")</f>
        <v/>
      </c>
      <c r="BA451" s="224" t="str">
        <f t="shared" si="51"/>
        <v/>
      </c>
      <c r="BB451" s="224" t="str">
        <f>IFERROR(AZ451/#REF!,"")</f>
        <v/>
      </c>
      <c r="BC451" s="224" t="str">
        <f>IFERROR(VLOOKUP($A451,Devengado!$A$1:$AI$1,22,FALSE),"")</f>
        <v/>
      </c>
      <c r="BD451" s="224" t="str">
        <f>IFERROR(VLOOKUP($A451,Devengado!$A$1:$AI$1,23,FALSE),"")</f>
        <v/>
      </c>
      <c r="BE451" s="224" t="str">
        <f>IFERROR(VLOOKUP($A451,Devengado!$A$1:$AI$1,24,FALSE),"")</f>
        <v/>
      </c>
      <c r="BF451" s="224" t="str">
        <f>IFERROR(VLOOKUP($A451,Devengado!$A$1:$AI$1,25,FALSE),"")</f>
        <v/>
      </c>
      <c r="BG451" s="224" t="str">
        <f>IFERROR(VLOOKUP($A451,Devengado!$A$1:$AI$1,26,FALSE),"")</f>
        <v/>
      </c>
      <c r="BH451" s="224" t="str">
        <f>IFERROR(VLOOKUP($A451,Devengado!$A$1:$AI$1,27,FALSE),"")</f>
        <v/>
      </c>
      <c r="BI451" s="224" t="str">
        <f>IFERROR(VLOOKUP($A451,Devengado!$A$1:$AI$1,28,FALSE),"")</f>
        <v/>
      </c>
      <c r="BJ451" s="224" t="str">
        <f>IFERROR(VLOOKUP($A451,Devengado!$A$1:$AI$1,29,FALSE),"")</f>
        <v/>
      </c>
      <c r="BK451" s="224" t="str">
        <f>IFERROR(VLOOKUP($A451,Devengado!$A$1:$AI$1,30,FALSE),"")</f>
        <v/>
      </c>
      <c r="BL451" s="224" t="str">
        <f>IFERROR(VLOOKUP($A451,Devengado!$A$1:$AI$1,31,FALSE),"")</f>
        <v/>
      </c>
      <c r="BM451" s="224" t="str">
        <f>IFERROR(VLOOKUP($A451,Devengado!$A$1:$AI$1,32,FALSE),"")</f>
        <v/>
      </c>
      <c r="BN451" s="224" t="str">
        <f>IFERROR(VLOOKUP($A451,Devengado!$A$1:$AI$1,33,FALSE),"")</f>
        <v/>
      </c>
      <c r="BO451" s="224">
        <f t="shared" si="52"/>
        <v>0</v>
      </c>
      <c r="BP451" s="224" t="str">
        <f t="shared" si="53"/>
        <v/>
      </c>
      <c r="BQ451" s="207"/>
      <c r="BR451" s="207" t="str">
        <f t="shared" si="54"/>
        <v>53</v>
      </c>
    </row>
    <row r="452" spans="1:70" s="225" customFormat="1" ht="25.5" customHeight="1">
      <c r="A452" s="207">
        <v>448</v>
      </c>
      <c r="B452" s="112" t="s">
        <v>429</v>
      </c>
      <c r="C452" s="112" t="s">
        <v>77</v>
      </c>
      <c r="D452" s="112" t="s">
        <v>77</v>
      </c>
      <c r="E452" s="112" t="s">
        <v>76</v>
      </c>
      <c r="F452" s="112" t="s">
        <v>77</v>
      </c>
      <c r="G452" s="112" t="s">
        <v>77</v>
      </c>
      <c r="H452" s="112" t="s">
        <v>77</v>
      </c>
      <c r="I452" s="112" t="s">
        <v>77</v>
      </c>
      <c r="J452" s="112" t="s">
        <v>77</v>
      </c>
      <c r="K452" s="112" t="s">
        <v>77</v>
      </c>
      <c r="L452" s="112" t="s">
        <v>87</v>
      </c>
      <c r="M452" s="124" t="s">
        <v>455</v>
      </c>
      <c r="N452" s="114" t="s">
        <v>430</v>
      </c>
      <c r="O452" s="114" t="s">
        <v>111</v>
      </c>
      <c r="P452" s="114" t="s">
        <v>81</v>
      </c>
      <c r="Q452" s="114" t="s">
        <v>112</v>
      </c>
      <c r="R452" s="115" t="str">
        <f t="shared" si="48"/>
        <v>53</v>
      </c>
      <c r="S452" s="124">
        <v>530101</v>
      </c>
      <c r="T452" s="122" t="str">
        <f>VLOOKUP(S452,ITEM!$C$1:$D$156,2,FALSE)</f>
        <v>Agua Potable</v>
      </c>
      <c r="U452" s="112">
        <v>1314</v>
      </c>
      <c r="V452" s="114" t="s">
        <v>82</v>
      </c>
      <c r="W452" s="114" t="s">
        <v>84</v>
      </c>
      <c r="X452" s="114" t="s">
        <v>84</v>
      </c>
      <c r="Y452" s="224">
        <f>'Matriz POA 2024-TRABAJO'!AS38</f>
        <v>40</v>
      </c>
      <c r="Z452" s="224">
        <f>'Matriz POA 2024-TRABAJO'!AT38</f>
        <v>0</v>
      </c>
      <c r="AA452" s="224">
        <f>'Matriz POA 2024-TRABAJO'!AU38</f>
        <v>40</v>
      </c>
      <c r="AB452" s="279">
        <v>0</v>
      </c>
      <c r="AC452" s="279">
        <v>40</v>
      </c>
      <c r="AD452" s="279">
        <v>0</v>
      </c>
      <c r="AE452" s="279">
        <v>0</v>
      </c>
      <c r="AF452" s="279">
        <v>0</v>
      </c>
      <c r="AG452" s="279">
        <v>0</v>
      </c>
      <c r="AH452" s="279">
        <v>0</v>
      </c>
      <c r="AI452" s="279">
        <v>0</v>
      </c>
      <c r="AJ452" s="279">
        <v>0</v>
      </c>
      <c r="AK452" s="279">
        <v>0</v>
      </c>
      <c r="AL452" s="279">
        <v>0</v>
      </c>
      <c r="AM452" s="279">
        <v>0</v>
      </c>
      <c r="AN452" s="224" t="e">
        <f>SUM(#REF!)</f>
        <v>#REF!</v>
      </c>
      <c r="AO452" s="224">
        <f t="shared" si="49"/>
        <v>40</v>
      </c>
      <c r="AP452" s="224">
        <f t="shared" si="55"/>
        <v>0</v>
      </c>
      <c r="AQ452" s="224"/>
      <c r="AR452" s="224"/>
      <c r="AS452" s="224"/>
      <c r="AT452" s="224">
        <f>IFERROR(VLOOKUP($A452,'Constancias POA'!$A$2:$DH$9993,17,FALSE),"")</f>
        <v>40</v>
      </c>
      <c r="AU452" s="224">
        <f t="shared" si="50"/>
        <v>0</v>
      </c>
      <c r="AV452" s="224">
        <f>IFERROR(VLOOKUP($A452,CP!$A$1:$U$7992,18,FALSE),"")</f>
        <v>40</v>
      </c>
      <c r="AW452" s="224">
        <f>IFERROR(VLOOKUP($A452,CP!$A$1:$U$7992,19,FALSE),"")</f>
        <v>40</v>
      </c>
      <c r="AX452" s="224">
        <f>IFERROR(VLOOKUP($A452,CP!$A$1:$U$7992,20,FALSE),"")</f>
        <v>0</v>
      </c>
      <c r="AY452" s="224" t="str">
        <f>IFERROR(VLOOKUP($A452,CP!$A$1:$U$1,21,FALSE),"")</f>
        <v/>
      </c>
      <c r="AZ452" s="224" t="str">
        <f>IFERROR(VLOOKUP(A452,Devengado!$A$1:AJ1,35,FALSE),"")</f>
        <v/>
      </c>
      <c r="BA452" s="224" t="str">
        <f t="shared" si="51"/>
        <v/>
      </c>
      <c r="BB452" s="224" t="str">
        <f>IFERROR(AZ452/#REF!,"")</f>
        <v/>
      </c>
      <c r="BC452" s="224" t="str">
        <f>IFERROR(VLOOKUP($A452,Devengado!$A$1:$AI$1,22,FALSE),"")</f>
        <v/>
      </c>
      <c r="BD452" s="224" t="str">
        <f>IFERROR(VLOOKUP($A452,Devengado!$A$1:$AI$1,23,FALSE),"")</f>
        <v/>
      </c>
      <c r="BE452" s="224" t="str">
        <f>IFERROR(VLOOKUP($A452,Devengado!$A$1:$AI$1,24,FALSE),"")</f>
        <v/>
      </c>
      <c r="BF452" s="224" t="str">
        <f>IFERROR(VLOOKUP($A452,Devengado!$A$1:$AI$1,25,FALSE),"")</f>
        <v/>
      </c>
      <c r="BG452" s="224" t="str">
        <f>IFERROR(VLOOKUP($A452,Devengado!$A$1:$AI$1,26,FALSE),"")</f>
        <v/>
      </c>
      <c r="BH452" s="224" t="str">
        <f>IFERROR(VLOOKUP($A452,Devengado!$A$1:$AI$1,27,FALSE),"")</f>
        <v/>
      </c>
      <c r="BI452" s="224" t="str">
        <f>IFERROR(VLOOKUP($A452,Devengado!$A$1:$AI$1,28,FALSE),"")</f>
        <v/>
      </c>
      <c r="BJ452" s="224" t="str">
        <f>IFERROR(VLOOKUP($A452,Devengado!$A$1:$AI$1,29,FALSE),"")</f>
        <v/>
      </c>
      <c r="BK452" s="224" t="str">
        <f>IFERROR(VLOOKUP($A452,Devengado!$A$1:$AI$1,30,FALSE),"")</f>
        <v/>
      </c>
      <c r="BL452" s="224" t="str">
        <f>IFERROR(VLOOKUP($A452,Devengado!$A$1:$AI$1,31,FALSE),"")</f>
        <v/>
      </c>
      <c r="BM452" s="224" t="str">
        <f>IFERROR(VLOOKUP($A452,Devengado!$A$1:$AI$1,32,FALSE),"")</f>
        <v/>
      </c>
      <c r="BN452" s="224" t="str">
        <f>IFERROR(VLOOKUP($A452,Devengado!$A$1:$AI$1,33,FALSE),"")</f>
        <v/>
      </c>
      <c r="BO452" s="224">
        <f t="shared" si="52"/>
        <v>0</v>
      </c>
      <c r="BP452" s="224" t="str">
        <f t="shared" si="53"/>
        <v/>
      </c>
      <c r="BQ452" s="207"/>
      <c r="BR452" s="207" t="str">
        <f t="shared" si="54"/>
        <v>53</v>
      </c>
    </row>
    <row r="453" spans="1:70" s="225" customFormat="1" ht="25.5" customHeight="1">
      <c r="A453" s="207">
        <v>449</v>
      </c>
      <c r="B453" s="112" t="s">
        <v>429</v>
      </c>
      <c r="C453" s="112" t="s">
        <v>77</v>
      </c>
      <c r="D453" s="112" t="s">
        <v>77</v>
      </c>
      <c r="E453" s="112" t="s">
        <v>76</v>
      </c>
      <c r="F453" s="112" t="s">
        <v>77</v>
      </c>
      <c r="G453" s="112" t="s">
        <v>77</v>
      </c>
      <c r="H453" s="112" t="s">
        <v>77</v>
      </c>
      <c r="I453" s="112" t="s">
        <v>77</v>
      </c>
      <c r="J453" s="112" t="s">
        <v>77</v>
      </c>
      <c r="K453" s="112" t="s">
        <v>77</v>
      </c>
      <c r="L453" s="112" t="s">
        <v>85</v>
      </c>
      <c r="M453" s="124" t="s">
        <v>456</v>
      </c>
      <c r="N453" s="114" t="s">
        <v>430</v>
      </c>
      <c r="O453" s="114" t="s">
        <v>111</v>
      </c>
      <c r="P453" s="114" t="s">
        <v>81</v>
      </c>
      <c r="Q453" s="114" t="s">
        <v>112</v>
      </c>
      <c r="R453" s="115" t="str">
        <f t="shared" ref="R453:R516" si="56">LEFT(S453,2)</f>
        <v>53</v>
      </c>
      <c r="S453" s="124">
        <v>530101</v>
      </c>
      <c r="T453" s="122" t="str">
        <f>VLOOKUP(S453,ITEM!$C$1:$D$156,2,FALSE)</f>
        <v>Agua Potable</v>
      </c>
      <c r="U453" s="112">
        <v>1314</v>
      </c>
      <c r="V453" s="114" t="s">
        <v>82</v>
      </c>
      <c r="W453" s="114" t="s">
        <v>84</v>
      </c>
      <c r="X453" s="114" t="s">
        <v>84</v>
      </c>
      <c r="Y453" s="224">
        <f>'Matriz POA 2024-TRABAJO'!AS39</f>
        <v>180</v>
      </c>
      <c r="Z453" s="224">
        <f>'Matriz POA 2024-TRABAJO'!AT39</f>
        <v>0</v>
      </c>
      <c r="AA453" s="224">
        <f>'Matriz POA 2024-TRABAJO'!AU39</f>
        <v>180</v>
      </c>
      <c r="AB453" s="279">
        <v>0</v>
      </c>
      <c r="AC453" s="279">
        <v>20</v>
      </c>
      <c r="AD453" s="279">
        <v>20</v>
      </c>
      <c r="AE453" s="279">
        <v>20</v>
      </c>
      <c r="AF453" s="279">
        <v>20</v>
      </c>
      <c r="AG453" s="279">
        <v>20</v>
      </c>
      <c r="AH453" s="279">
        <v>20</v>
      </c>
      <c r="AI453" s="279">
        <v>20</v>
      </c>
      <c r="AJ453" s="279">
        <v>20</v>
      </c>
      <c r="AK453" s="279">
        <v>10</v>
      </c>
      <c r="AL453" s="279">
        <v>10</v>
      </c>
      <c r="AM453" s="279">
        <v>0</v>
      </c>
      <c r="AN453" s="224" t="e">
        <f>SUM(#REF!)</f>
        <v>#REF!</v>
      </c>
      <c r="AO453" s="224">
        <f t="shared" ref="AO453:AO516" si="57">SUM(AB453:AM453)</f>
        <v>180</v>
      </c>
      <c r="AP453" s="224">
        <f t="shared" si="55"/>
        <v>0</v>
      </c>
      <c r="AQ453" s="224"/>
      <c r="AR453" s="224"/>
      <c r="AS453" s="224"/>
      <c r="AT453" s="224">
        <f>IFERROR(VLOOKUP($A453,'Constancias POA'!$A$2:$DH$9993,17,FALSE),"")</f>
        <v>180</v>
      </c>
      <c r="AU453" s="224">
        <f t="shared" ref="AU453:AU516" si="58">IFERROR(AA453-AT453,"")</f>
        <v>0</v>
      </c>
      <c r="AV453" s="224">
        <f>IFERROR(VLOOKUP($A453,CP!$A$1:$U$7992,18,FALSE),"")</f>
        <v>0</v>
      </c>
      <c r="AW453" s="224">
        <f>IFERROR(VLOOKUP($A453,CP!$A$1:$U$7992,19,FALSE),"")</f>
        <v>30</v>
      </c>
      <c r="AX453" s="224">
        <f>IFERROR(VLOOKUP($A453,CP!$A$1:$U$7992,20,FALSE),"")</f>
        <v>0</v>
      </c>
      <c r="AY453" s="224" t="str">
        <f>IFERROR(VLOOKUP($A453,CP!$A$1:$U$1,21,FALSE),"")</f>
        <v/>
      </c>
      <c r="AZ453" s="224" t="str">
        <f>IFERROR(VLOOKUP(A453,Devengado!$A$1:AJ1,35,FALSE),"")</f>
        <v/>
      </c>
      <c r="BA453" s="224" t="str">
        <f t="shared" ref="BA453:BA516" si="59">IFERROR((AA453-AZ453),"")</f>
        <v/>
      </c>
      <c r="BB453" s="224" t="str">
        <f>IFERROR(AZ453/#REF!,"")</f>
        <v/>
      </c>
      <c r="BC453" s="224" t="str">
        <f>IFERROR(VLOOKUP($A453,Devengado!$A$1:$AI$1,22,FALSE),"")</f>
        <v/>
      </c>
      <c r="BD453" s="224" t="str">
        <f>IFERROR(VLOOKUP($A453,Devengado!$A$1:$AI$1,23,FALSE),"")</f>
        <v/>
      </c>
      <c r="BE453" s="224" t="str">
        <f>IFERROR(VLOOKUP($A453,Devengado!$A$1:$AI$1,24,FALSE),"")</f>
        <v/>
      </c>
      <c r="BF453" s="224" t="str">
        <f>IFERROR(VLOOKUP($A453,Devengado!$A$1:$AI$1,25,FALSE),"")</f>
        <v/>
      </c>
      <c r="BG453" s="224" t="str">
        <f>IFERROR(VLOOKUP($A453,Devengado!$A$1:$AI$1,26,FALSE),"")</f>
        <v/>
      </c>
      <c r="BH453" s="224" t="str">
        <f>IFERROR(VLOOKUP($A453,Devengado!$A$1:$AI$1,27,FALSE),"")</f>
        <v/>
      </c>
      <c r="BI453" s="224" t="str">
        <f>IFERROR(VLOOKUP($A453,Devengado!$A$1:$AI$1,28,FALSE),"")</f>
        <v/>
      </c>
      <c r="BJ453" s="224" t="str">
        <f>IFERROR(VLOOKUP($A453,Devengado!$A$1:$AI$1,29,FALSE),"")</f>
        <v/>
      </c>
      <c r="BK453" s="224" t="str">
        <f>IFERROR(VLOOKUP($A453,Devengado!$A$1:$AI$1,30,FALSE),"")</f>
        <v/>
      </c>
      <c r="BL453" s="224" t="str">
        <f>IFERROR(VLOOKUP($A453,Devengado!$A$1:$AI$1,31,FALSE),"")</f>
        <v/>
      </c>
      <c r="BM453" s="224" t="str">
        <f>IFERROR(VLOOKUP($A453,Devengado!$A$1:$AI$1,32,FALSE),"")</f>
        <v/>
      </c>
      <c r="BN453" s="224" t="str">
        <f>IFERROR(VLOOKUP($A453,Devengado!$A$1:$AI$1,33,FALSE),"")</f>
        <v/>
      </c>
      <c r="BO453" s="224">
        <f t="shared" ref="BO453:BO516" si="60">SUM(BC453:BN453)</f>
        <v>0</v>
      </c>
      <c r="BP453" s="224" t="str">
        <f t="shared" ref="BP453:BP516" si="61">IFERROR(((AB453+AC453)-AZ453),"")</f>
        <v/>
      </c>
      <c r="BQ453" s="207"/>
      <c r="BR453" s="207" t="str">
        <f t="shared" ref="BR453:BR516" si="62">LEFT(R453,4)</f>
        <v>53</v>
      </c>
    </row>
    <row r="454" spans="1:70" s="225" customFormat="1" ht="25.5" customHeight="1">
      <c r="A454" s="207">
        <v>450</v>
      </c>
      <c r="B454" s="112" t="s">
        <v>429</v>
      </c>
      <c r="C454" s="112" t="s">
        <v>77</v>
      </c>
      <c r="D454" s="112" t="s">
        <v>77</v>
      </c>
      <c r="E454" s="112" t="s">
        <v>76</v>
      </c>
      <c r="F454" s="112" t="s">
        <v>77</v>
      </c>
      <c r="G454" s="112" t="s">
        <v>77</v>
      </c>
      <c r="H454" s="112" t="s">
        <v>77</v>
      </c>
      <c r="I454" s="112" t="s">
        <v>77</v>
      </c>
      <c r="J454" s="112" t="s">
        <v>77</v>
      </c>
      <c r="K454" s="112" t="s">
        <v>77</v>
      </c>
      <c r="L454" s="112" t="s">
        <v>87</v>
      </c>
      <c r="M454" s="124" t="s">
        <v>457</v>
      </c>
      <c r="N454" s="114" t="s">
        <v>430</v>
      </c>
      <c r="O454" s="114" t="s">
        <v>111</v>
      </c>
      <c r="P454" s="114" t="s">
        <v>81</v>
      </c>
      <c r="Q454" s="114" t="s">
        <v>112</v>
      </c>
      <c r="R454" s="115" t="str">
        <f t="shared" si="56"/>
        <v>53</v>
      </c>
      <c r="S454" s="124">
        <v>530101</v>
      </c>
      <c r="T454" s="122" t="str">
        <f>VLOOKUP(S454,ITEM!$C$1:$D$156,2,FALSE)</f>
        <v>Agua Potable</v>
      </c>
      <c r="U454" s="112">
        <v>1314</v>
      </c>
      <c r="V454" s="114" t="s">
        <v>82</v>
      </c>
      <c r="W454" s="114" t="s">
        <v>84</v>
      </c>
      <c r="X454" s="114" t="s">
        <v>84</v>
      </c>
      <c r="Y454" s="224">
        <f>'Matriz POA 2024-TRABAJO'!AS40</f>
        <v>80</v>
      </c>
      <c r="Z454" s="224">
        <f>'Matriz POA 2024-TRABAJO'!AT40</f>
        <v>0</v>
      </c>
      <c r="AA454" s="224">
        <f>'Matriz POA 2024-TRABAJO'!AU40</f>
        <v>80</v>
      </c>
      <c r="AB454" s="279">
        <v>0</v>
      </c>
      <c r="AC454" s="279">
        <v>80</v>
      </c>
      <c r="AD454" s="279">
        <v>0</v>
      </c>
      <c r="AE454" s="279">
        <v>0</v>
      </c>
      <c r="AF454" s="279">
        <v>0</v>
      </c>
      <c r="AG454" s="279">
        <v>0</v>
      </c>
      <c r="AH454" s="279">
        <v>0</v>
      </c>
      <c r="AI454" s="279">
        <v>0</v>
      </c>
      <c r="AJ454" s="279">
        <v>0</v>
      </c>
      <c r="AK454" s="279">
        <v>0</v>
      </c>
      <c r="AL454" s="279">
        <v>0</v>
      </c>
      <c r="AM454" s="279">
        <v>0</v>
      </c>
      <c r="AN454" s="224" t="e">
        <f>SUM(#REF!)</f>
        <v>#REF!</v>
      </c>
      <c r="AO454" s="224">
        <f t="shared" si="57"/>
        <v>80</v>
      </c>
      <c r="AP454" s="224">
        <f t="shared" ref="AP454:AP517" si="63">+AO454-AA454</f>
        <v>0</v>
      </c>
      <c r="AQ454" s="224"/>
      <c r="AR454" s="224"/>
      <c r="AS454" s="224"/>
      <c r="AT454" s="224">
        <f>IFERROR(VLOOKUP($A454,'Constancias POA'!$A$2:$DH$9993,17,FALSE),"")</f>
        <v>80</v>
      </c>
      <c r="AU454" s="224">
        <f t="shared" si="58"/>
        <v>0</v>
      </c>
      <c r="AV454" s="224">
        <f>IFERROR(VLOOKUP($A454,CP!$A$1:$U$7992,18,FALSE),"")</f>
        <v>80</v>
      </c>
      <c r="AW454" s="224">
        <f>IFERROR(VLOOKUP($A454,CP!$A$1:$U$7992,19,FALSE),"")</f>
        <v>80</v>
      </c>
      <c r="AX454" s="224">
        <f>IFERROR(VLOOKUP($A454,CP!$A$1:$U$7992,20,FALSE),"")</f>
        <v>0</v>
      </c>
      <c r="AY454" s="224" t="str">
        <f>IFERROR(VLOOKUP($A454,CP!$A$1:$U$1,21,FALSE),"")</f>
        <v/>
      </c>
      <c r="AZ454" s="224" t="str">
        <f>IFERROR(VLOOKUP(A454,Devengado!$A$1:AJ1,35,FALSE),"")</f>
        <v/>
      </c>
      <c r="BA454" s="224" t="str">
        <f t="shared" si="59"/>
        <v/>
      </c>
      <c r="BB454" s="224" t="str">
        <f>IFERROR(AZ454/#REF!,"")</f>
        <v/>
      </c>
      <c r="BC454" s="224" t="str">
        <f>IFERROR(VLOOKUP($A454,Devengado!$A$1:$AI$1,22,FALSE),"")</f>
        <v/>
      </c>
      <c r="BD454" s="224" t="str">
        <f>IFERROR(VLOOKUP($A454,Devengado!$A$1:$AI$1,23,FALSE),"")</f>
        <v/>
      </c>
      <c r="BE454" s="224" t="str">
        <f>IFERROR(VLOOKUP($A454,Devengado!$A$1:$AI$1,24,FALSE),"")</f>
        <v/>
      </c>
      <c r="BF454" s="224" t="str">
        <f>IFERROR(VLOOKUP($A454,Devengado!$A$1:$AI$1,25,FALSE),"")</f>
        <v/>
      </c>
      <c r="BG454" s="224" t="str">
        <f>IFERROR(VLOOKUP($A454,Devengado!$A$1:$AI$1,26,FALSE),"")</f>
        <v/>
      </c>
      <c r="BH454" s="224" t="str">
        <f>IFERROR(VLOOKUP($A454,Devengado!$A$1:$AI$1,27,FALSE),"")</f>
        <v/>
      </c>
      <c r="BI454" s="224" t="str">
        <f>IFERROR(VLOOKUP($A454,Devengado!$A$1:$AI$1,28,FALSE),"")</f>
        <v/>
      </c>
      <c r="BJ454" s="224" t="str">
        <f>IFERROR(VLOOKUP($A454,Devengado!$A$1:$AI$1,29,FALSE),"")</f>
        <v/>
      </c>
      <c r="BK454" s="224" t="str">
        <f>IFERROR(VLOOKUP($A454,Devengado!$A$1:$AI$1,30,FALSE),"")</f>
        <v/>
      </c>
      <c r="BL454" s="224" t="str">
        <f>IFERROR(VLOOKUP($A454,Devengado!$A$1:$AI$1,31,FALSE),"")</f>
        <v/>
      </c>
      <c r="BM454" s="224" t="str">
        <f>IFERROR(VLOOKUP($A454,Devengado!$A$1:$AI$1,32,FALSE),"")</f>
        <v/>
      </c>
      <c r="BN454" s="224" t="str">
        <f>IFERROR(VLOOKUP($A454,Devengado!$A$1:$AI$1,33,FALSE),"")</f>
        <v/>
      </c>
      <c r="BO454" s="224">
        <f t="shared" si="60"/>
        <v>0</v>
      </c>
      <c r="BP454" s="224" t="str">
        <f t="shared" si="61"/>
        <v/>
      </c>
      <c r="BQ454" s="207"/>
      <c r="BR454" s="207" t="str">
        <f t="shared" si="62"/>
        <v>53</v>
      </c>
    </row>
    <row r="455" spans="1:70" s="225" customFormat="1" ht="25.5" customHeight="1">
      <c r="A455" s="207">
        <v>451</v>
      </c>
      <c r="B455" s="112" t="s">
        <v>429</v>
      </c>
      <c r="C455" s="112" t="s">
        <v>77</v>
      </c>
      <c r="D455" s="112" t="s">
        <v>77</v>
      </c>
      <c r="E455" s="112" t="s">
        <v>76</v>
      </c>
      <c r="F455" s="112" t="s">
        <v>77</v>
      </c>
      <c r="G455" s="112" t="s">
        <v>77</v>
      </c>
      <c r="H455" s="112" t="s">
        <v>77</v>
      </c>
      <c r="I455" s="112" t="s">
        <v>77</v>
      </c>
      <c r="J455" s="112" t="s">
        <v>77</v>
      </c>
      <c r="K455" s="112" t="s">
        <v>77</v>
      </c>
      <c r="L455" s="112" t="s">
        <v>85</v>
      </c>
      <c r="M455" s="124" t="s">
        <v>458</v>
      </c>
      <c r="N455" s="114" t="s">
        <v>430</v>
      </c>
      <c r="O455" s="114" t="s">
        <v>111</v>
      </c>
      <c r="P455" s="114" t="s">
        <v>81</v>
      </c>
      <c r="Q455" s="114" t="s">
        <v>112</v>
      </c>
      <c r="R455" s="115" t="str">
        <f t="shared" si="56"/>
        <v>53</v>
      </c>
      <c r="S455" s="124">
        <v>530101</v>
      </c>
      <c r="T455" s="122" t="str">
        <f>VLOOKUP(S455,ITEM!$C$1:$D$156,2,FALSE)</f>
        <v>Agua Potable</v>
      </c>
      <c r="U455" s="112">
        <v>1314</v>
      </c>
      <c r="V455" s="114" t="s">
        <v>82</v>
      </c>
      <c r="W455" s="114" t="s">
        <v>84</v>
      </c>
      <c r="X455" s="114" t="s">
        <v>84</v>
      </c>
      <c r="Y455" s="224">
        <f>'Matriz POA 2024-TRABAJO'!AS41</f>
        <v>360</v>
      </c>
      <c r="Z455" s="224">
        <f>'Matriz POA 2024-TRABAJO'!AT41</f>
        <v>0</v>
      </c>
      <c r="AA455" s="224">
        <f>'Matriz POA 2024-TRABAJO'!AU41</f>
        <v>360</v>
      </c>
      <c r="AB455" s="279">
        <v>0</v>
      </c>
      <c r="AC455" s="279">
        <v>40</v>
      </c>
      <c r="AD455" s="279">
        <v>40</v>
      </c>
      <c r="AE455" s="279">
        <v>40</v>
      </c>
      <c r="AF455" s="279">
        <v>40</v>
      </c>
      <c r="AG455" s="279">
        <v>40</v>
      </c>
      <c r="AH455" s="279">
        <v>40</v>
      </c>
      <c r="AI455" s="279">
        <v>40</v>
      </c>
      <c r="AJ455" s="279">
        <v>40</v>
      </c>
      <c r="AK455" s="279">
        <v>20</v>
      </c>
      <c r="AL455" s="279">
        <v>20</v>
      </c>
      <c r="AM455" s="279">
        <v>0</v>
      </c>
      <c r="AN455" s="224" t="e">
        <f>SUM(#REF!)</f>
        <v>#REF!</v>
      </c>
      <c r="AO455" s="224">
        <f t="shared" si="57"/>
        <v>360</v>
      </c>
      <c r="AP455" s="224">
        <f t="shared" si="63"/>
        <v>0</v>
      </c>
      <c r="AQ455" s="224"/>
      <c r="AR455" s="224"/>
      <c r="AS455" s="224"/>
      <c r="AT455" s="224">
        <f>IFERROR(VLOOKUP($A455,'Constancias POA'!$A$2:$DH$9993,17,FALSE),"")</f>
        <v>360</v>
      </c>
      <c r="AU455" s="224">
        <f t="shared" si="58"/>
        <v>0</v>
      </c>
      <c r="AV455" s="224">
        <f>IFERROR(VLOOKUP($A455,CP!$A$1:$U$7992,18,FALSE),"")</f>
        <v>0</v>
      </c>
      <c r="AW455" s="224">
        <f>IFERROR(VLOOKUP($A455,CP!$A$1:$U$7992,19,FALSE),"")</f>
        <v>51.600000000000023</v>
      </c>
      <c r="AX455" s="224">
        <f>IFERROR(VLOOKUP($A455,CP!$A$1:$U$7992,20,FALSE),"")</f>
        <v>0</v>
      </c>
      <c r="AY455" s="224" t="str">
        <f>IFERROR(VLOOKUP($A455,CP!$A$1:$U$1,21,FALSE),"")</f>
        <v/>
      </c>
      <c r="AZ455" s="224" t="str">
        <f>IFERROR(VLOOKUP(A455,Devengado!$A$1:AJ1,35,FALSE),"")</f>
        <v/>
      </c>
      <c r="BA455" s="224" t="str">
        <f t="shared" si="59"/>
        <v/>
      </c>
      <c r="BB455" s="224" t="str">
        <f>IFERROR(AZ455/#REF!,"")</f>
        <v/>
      </c>
      <c r="BC455" s="224" t="str">
        <f>IFERROR(VLOOKUP($A455,Devengado!$A$1:$AI$1,22,FALSE),"")</f>
        <v/>
      </c>
      <c r="BD455" s="224" t="str">
        <f>IFERROR(VLOOKUP($A455,Devengado!$A$1:$AI$1,23,FALSE),"")</f>
        <v/>
      </c>
      <c r="BE455" s="224" t="str">
        <f>IFERROR(VLOOKUP($A455,Devengado!$A$1:$AI$1,24,FALSE),"")</f>
        <v/>
      </c>
      <c r="BF455" s="224" t="str">
        <f>IFERROR(VLOOKUP($A455,Devengado!$A$1:$AI$1,25,FALSE),"")</f>
        <v/>
      </c>
      <c r="BG455" s="224" t="str">
        <f>IFERROR(VLOOKUP($A455,Devengado!$A$1:$AI$1,26,FALSE),"")</f>
        <v/>
      </c>
      <c r="BH455" s="224" t="str">
        <f>IFERROR(VLOOKUP($A455,Devengado!$A$1:$AI$1,27,FALSE),"")</f>
        <v/>
      </c>
      <c r="BI455" s="224" t="str">
        <f>IFERROR(VLOOKUP($A455,Devengado!$A$1:$AI$1,28,FALSE),"")</f>
        <v/>
      </c>
      <c r="BJ455" s="224" t="str">
        <f>IFERROR(VLOOKUP($A455,Devengado!$A$1:$AI$1,29,FALSE),"")</f>
        <v/>
      </c>
      <c r="BK455" s="224" t="str">
        <f>IFERROR(VLOOKUP($A455,Devengado!$A$1:$AI$1,30,FALSE),"")</f>
        <v/>
      </c>
      <c r="BL455" s="224" t="str">
        <f>IFERROR(VLOOKUP($A455,Devengado!$A$1:$AI$1,31,FALSE),"")</f>
        <v/>
      </c>
      <c r="BM455" s="224" t="str">
        <f>IFERROR(VLOOKUP($A455,Devengado!$A$1:$AI$1,32,FALSE),"")</f>
        <v/>
      </c>
      <c r="BN455" s="224" t="str">
        <f>IFERROR(VLOOKUP($A455,Devengado!$A$1:$AI$1,33,FALSE),"")</f>
        <v/>
      </c>
      <c r="BO455" s="224">
        <f t="shared" si="60"/>
        <v>0</v>
      </c>
      <c r="BP455" s="224" t="str">
        <f t="shared" si="61"/>
        <v/>
      </c>
      <c r="BQ455" s="207"/>
      <c r="BR455" s="207" t="str">
        <f t="shared" si="62"/>
        <v>53</v>
      </c>
    </row>
    <row r="456" spans="1:70" s="225" customFormat="1" ht="25.5" customHeight="1">
      <c r="A456" s="207">
        <v>452</v>
      </c>
      <c r="B456" s="112" t="s">
        <v>429</v>
      </c>
      <c r="C456" s="112" t="s">
        <v>77</v>
      </c>
      <c r="D456" s="112" t="s">
        <v>77</v>
      </c>
      <c r="E456" s="112" t="s">
        <v>76</v>
      </c>
      <c r="F456" s="112" t="s">
        <v>77</v>
      </c>
      <c r="G456" s="112" t="s">
        <v>77</v>
      </c>
      <c r="H456" s="112" t="s">
        <v>77</v>
      </c>
      <c r="I456" s="112" t="s">
        <v>77</v>
      </c>
      <c r="J456" s="112" t="s">
        <v>77</v>
      </c>
      <c r="K456" s="112" t="s">
        <v>77</v>
      </c>
      <c r="L456" s="112" t="s">
        <v>87</v>
      </c>
      <c r="M456" s="124" t="s">
        <v>459</v>
      </c>
      <c r="N456" s="114" t="s">
        <v>430</v>
      </c>
      <c r="O456" s="114" t="s">
        <v>111</v>
      </c>
      <c r="P456" s="114" t="s">
        <v>81</v>
      </c>
      <c r="Q456" s="114" t="s">
        <v>112</v>
      </c>
      <c r="R456" s="115" t="str">
        <f t="shared" si="56"/>
        <v>53</v>
      </c>
      <c r="S456" s="124">
        <v>530104</v>
      </c>
      <c r="T456" s="122" t="str">
        <f>VLOOKUP(S456,ITEM!$C$1:$D$156,2,FALSE)</f>
        <v>Energía Eléctrica</v>
      </c>
      <c r="U456" s="112">
        <v>1314</v>
      </c>
      <c r="V456" s="114" t="s">
        <v>82</v>
      </c>
      <c r="W456" s="114" t="s">
        <v>84</v>
      </c>
      <c r="X456" s="114" t="s">
        <v>84</v>
      </c>
      <c r="Y456" s="224">
        <f>'Matriz POA 2024-TRABAJO'!AS42</f>
        <v>1600</v>
      </c>
      <c r="Z456" s="224">
        <f>'Matriz POA 2024-TRABAJO'!AT42</f>
        <v>0</v>
      </c>
      <c r="AA456" s="224">
        <f>'Matriz POA 2024-TRABAJO'!AU42</f>
        <v>1600</v>
      </c>
      <c r="AB456" s="279">
        <v>0</v>
      </c>
      <c r="AC456" s="279">
        <v>1600</v>
      </c>
      <c r="AD456" s="279">
        <v>0</v>
      </c>
      <c r="AE456" s="279">
        <v>0</v>
      </c>
      <c r="AF456" s="279">
        <v>0</v>
      </c>
      <c r="AG456" s="279">
        <v>0</v>
      </c>
      <c r="AH456" s="279">
        <v>0</v>
      </c>
      <c r="AI456" s="279">
        <v>0</v>
      </c>
      <c r="AJ456" s="279">
        <v>0</v>
      </c>
      <c r="AK456" s="279">
        <v>0</v>
      </c>
      <c r="AL456" s="279">
        <v>0</v>
      </c>
      <c r="AM456" s="279">
        <v>0</v>
      </c>
      <c r="AN456" s="224" t="e">
        <f>SUM(#REF!)</f>
        <v>#REF!</v>
      </c>
      <c r="AO456" s="224">
        <f t="shared" si="57"/>
        <v>1600</v>
      </c>
      <c r="AP456" s="224">
        <f t="shared" si="63"/>
        <v>0</v>
      </c>
      <c r="AQ456" s="224"/>
      <c r="AR456" s="224"/>
      <c r="AS456" s="224"/>
      <c r="AT456" s="224">
        <f>IFERROR(VLOOKUP($A456,'Constancias POA'!$A$2:$DH$9993,17,FALSE),"")</f>
        <v>1600</v>
      </c>
      <c r="AU456" s="224">
        <f t="shared" si="58"/>
        <v>0</v>
      </c>
      <c r="AV456" s="224">
        <f>IFERROR(VLOOKUP($A456,CP!$A$1:$U$7992,18,FALSE),"")</f>
        <v>1600</v>
      </c>
      <c r="AW456" s="224">
        <f>IFERROR(VLOOKUP($A456,CP!$A$1:$U$7992,19,FALSE),"")</f>
        <v>1600</v>
      </c>
      <c r="AX456" s="224">
        <f>IFERROR(VLOOKUP($A456,CP!$A$1:$U$7992,20,FALSE),"")</f>
        <v>0</v>
      </c>
      <c r="AY456" s="224" t="str">
        <f>IFERROR(VLOOKUP($A456,CP!$A$1:$U$1,21,FALSE),"")</f>
        <v/>
      </c>
      <c r="AZ456" s="224" t="str">
        <f>IFERROR(VLOOKUP(A456,Devengado!$A$1:AJ1,35,FALSE),"")</f>
        <v/>
      </c>
      <c r="BA456" s="224" t="str">
        <f t="shared" si="59"/>
        <v/>
      </c>
      <c r="BB456" s="224" t="str">
        <f>IFERROR(AZ456/#REF!,"")</f>
        <v/>
      </c>
      <c r="BC456" s="224" t="str">
        <f>IFERROR(VLOOKUP($A456,Devengado!$A$1:$AI$1,22,FALSE),"")</f>
        <v/>
      </c>
      <c r="BD456" s="224" t="str">
        <f>IFERROR(VLOOKUP($A456,Devengado!$A$1:$AI$1,23,FALSE),"")</f>
        <v/>
      </c>
      <c r="BE456" s="224" t="str">
        <f>IFERROR(VLOOKUP($A456,Devengado!$A$1:$AI$1,24,FALSE),"")</f>
        <v/>
      </c>
      <c r="BF456" s="224" t="str">
        <f>IFERROR(VLOOKUP($A456,Devengado!$A$1:$AI$1,25,FALSE),"")</f>
        <v/>
      </c>
      <c r="BG456" s="224" t="str">
        <f>IFERROR(VLOOKUP($A456,Devengado!$A$1:$AI$1,26,FALSE),"")</f>
        <v/>
      </c>
      <c r="BH456" s="224" t="str">
        <f>IFERROR(VLOOKUP($A456,Devengado!$A$1:$AI$1,27,FALSE),"")</f>
        <v/>
      </c>
      <c r="BI456" s="224" t="str">
        <f>IFERROR(VLOOKUP($A456,Devengado!$A$1:$AI$1,28,FALSE),"")</f>
        <v/>
      </c>
      <c r="BJ456" s="224" t="str">
        <f>IFERROR(VLOOKUP($A456,Devengado!$A$1:$AI$1,29,FALSE),"")</f>
        <v/>
      </c>
      <c r="BK456" s="224" t="str">
        <f>IFERROR(VLOOKUP($A456,Devengado!$A$1:$AI$1,30,FALSE),"")</f>
        <v/>
      </c>
      <c r="BL456" s="224" t="str">
        <f>IFERROR(VLOOKUP($A456,Devengado!$A$1:$AI$1,31,FALSE),"")</f>
        <v/>
      </c>
      <c r="BM456" s="224" t="str">
        <f>IFERROR(VLOOKUP($A456,Devengado!$A$1:$AI$1,32,FALSE),"")</f>
        <v/>
      </c>
      <c r="BN456" s="224" t="str">
        <f>IFERROR(VLOOKUP($A456,Devengado!$A$1:$AI$1,33,FALSE),"")</f>
        <v/>
      </c>
      <c r="BO456" s="224">
        <f t="shared" si="60"/>
        <v>0</v>
      </c>
      <c r="BP456" s="224" t="str">
        <f t="shared" si="61"/>
        <v/>
      </c>
      <c r="BQ456" s="207"/>
      <c r="BR456" s="207" t="str">
        <f t="shared" si="62"/>
        <v>53</v>
      </c>
    </row>
    <row r="457" spans="1:70" s="225" customFormat="1" ht="25.5" customHeight="1">
      <c r="A457" s="207">
        <v>453</v>
      </c>
      <c r="B457" s="112" t="s">
        <v>429</v>
      </c>
      <c r="C457" s="112" t="s">
        <v>77</v>
      </c>
      <c r="D457" s="112" t="s">
        <v>77</v>
      </c>
      <c r="E457" s="112" t="s">
        <v>76</v>
      </c>
      <c r="F457" s="112" t="s">
        <v>77</v>
      </c>
      <c r="G457" s="112" t="s">
        <v>77</v>
      </c>
      <c r="H457" s="112" t="s">
        <v>77</v>
      </c>
      <c r="I457" s="112" t="s">
        <v>77</v>
      </c>
      <c r="J457" s="112" t="s">
        <v>77</v>
      </c>
      <c r="K457" s="112" t="s">
        <v>77</v>
      </c>
      <c r="L457" s="112" t="s">
        <v>85</v>
      </c>
      <c r="M457" s="124" t="s">
        <v>460</v>
      </c>
      <c r="N457" s="114" t="s">
        <v>430</v>
      </c>
      <c r="O457" s="114" t="s">
        <v>111</v>
      </c>
      <c r="P457" s="114" t="s">
        <v>81</v>
      </c>
      <c r="Q457" s="114" t="s">
        <v>112</v>
      </c>
      <c r="R457" s="115" t="str">
        <f t="shared" si="56"/>
        <v>53</v>
      </c>
      <c r="S457" s="124">
        <v>530104</v>
      </c>
      <c r="T457" s="122" t="str">
        <f>VLOOKUP(S457,ITEM!$C$1:$D$156,2,FALSE)</f>
        <v>Energía Eléctrica</v>
      </c>
      <c r="U457" s="112">
        <v>1314</v>
      </c>
      <c r="V457" s="114" t="s">
        <v>82</v>
      </c>
      <c r="W457" s="114" t="s">
        <v>84</v>
      </c>
      <c r="X457" s="114" t="s">
        <v>84</v>
      </c>
      <c r="Y457" s="224">
        <f>'Matriz POA 2024-TRABAJO'!AS43</f>
        <v>6402.17</v>
      </c>
      <c r="Z457" s="224">
        <f>'Matriz POA 2024-TRABAJO'!AT43</f>
        <v>0</v>
      </c>
      <c r="AA457" s="224">
        <f>'Matriz POA 2024-TRABAJO'!AU43</f>
        <v>6402.17</v>
      </c>
      <c r="AB457" s="279">
        <v>0</v>
      </c>
      <c r="AC457" s="279">
        <v>1000</v>
      </c>
      <c r="AD457" s="279">
        <v>1000</v>
      </c>
      <c r="AE457" s="279">
        <v>1000</v>
      </c>
      <c r="AF457" s="279">
        <v>1000</v>
      </c>
      <c r="AG457" s="279">
        <v>1000</v>
      </c>
      <c r="AH457" s="279">
        <v>1000</v>
      </c>
      <c r="AI457" s="279">
        <v>1000</v>
      </c>
      <c r="AJ457" s="279">
        <v>1000</v>
      </c>
      <c r="AK457" s="279">
        <v>1000</v>
      </c>
      <c r="AL457" s="279">
        <v>0</v>
      </c>
      <c r="AM457" s="279">
        <v>0</v>
      </c>
      <c r="AN457" s="224" t="e">
        <f>SUM(#REF!)</f>
        <v>#REF!</v>
      </c>
      <c r="AO457" s="224">
        <f t="shared" si="57"/>
        <v>9000</v>
      </c>
      <c r="AP457" s="224">
        <f t="shared" si="63"/>
        <v>2597.83</v>
      </c>
      <c r="AQ457" s="224"/>
      <c r="AR457" s="224"/>
      <c r="AS457" s="224"/>
      <c r="AT457" s="224">
        <f>IFERROR(VLOOKUP($A457,'Constancias POA'!$A$2:$DH$9993,17,FALSE),"")</f>
        <v>6402.17</v>
      </c>
      <c r="AU457" s="224">
        <f t="shared" si="58"/>
        <v>0</v>
      </c>
      <c r="AV457" s="224">
        <f>IFERROR(VLOOKUP($A457,CP!$A$1:$U$7992,18,FALSE),"")</f>
        <v>0</v>
      </c>
      <c r="AW457" s="224">
        <f>IFERROR(VLOOKUP($A457,CP!$A$1:$U$7992,19,FALSE),"")</f>
        <v>6402.17</v>
      </c>
      <c r="AX457" s="224">
        <f>IFERROR(VLOOKUP($A457,CP!$A$1:$U$7992,20,FALSE),"")</f>
        <v>0</v>
      </c>
      <c r="AY457" s="224" t="str">
        <f>IFERROR(VLOOKUP($A457,CP!$A$1:$U$1,21,FALSE),"")</f>
        <v/>
      </c>
      <c r="AZ457" s="224" t="str">
        <f>IFERROR(VLOOKUP(A457,Devengado!$A$1:AJ1,35,FALSE),"")</f>
        <v/>
      </c>
      <c r="BA457" s="224" t="str">
        <f t="shared" si="59"/>
        <v/>
      </c>
      <c r="BB457" s="224" t="str">
        <f>IFERROR(AZ457/#REF!,"")</f>
        <v/>
      </c>
      <c r="BC457" s="224" t="str">
        <f>IFERROR(VLOOKUP($A457,Devengado!$A$1:$AI$1,22,FALSE),"")</f>
        <v/>
      </c>
      <c r="BD457" s="224" t="str">
        <f>IFERROR(VLOOKUP($A457,Devengado!$A$1:$AI$1,23,FALSE),"")</f>
        <v/>
      </c>
      <c r="BE457" s="224" t="str">
        <f>IFERROR(VLOOKUP($A457,Devengado!$A$1:$AI$1,24,FALSE),"")</f>
        <v/>
      </c>
      <c r="BF457" s="224" t="str">
        <f>IFERROR(VLOOKUP($A457,Devengado!$A$1:$AI$1,25,FALSE),"")</f>
        <v/>
      </c>
      <c r="BG457" s="224" t="str">
        <f>IFERROR(VLOOKUP($A457,Devengado!$A$1:$AI$1,26,FALSE),"")</f>
        <v/>
      </c>
      <c r="BH457" s="224" t="str">
        <f>IFERROR(VLOOKUP($A457,Devengado!$A$1:$AI$1,27,FALSE),"")</f>
        <v/>
      </c>
      <c r="BI457" s="224" t="str">
        <f>IFERROR(VLOOKUP($A457,Devengado!$A$1:$AI$1,28,FALSE),"")</f>
        <v/>
      </c>
      <c r="BJ457" s="224" t="str">
        <f>IFERROR(VLOOKUP($A457,Devengado!$A$1:$AI$1,29,FALSE),"")</f>
        <v/>
      </c>
      <c r="BK457" s="224" t="str">
        <f>IFERROR(VLOOKUP($A457,Devengado!$A$1:$AI$1,30,FALSE),"")</f>
        <v/>
      </c>
      <c r="BL457" s="224" t="str">
        <f>IFERROR(VLOOKUP($A457,Devengado!$A$1:$AI$1,31,FALSE),"")</f>
        <v/>
      </c>
      <c r="BM457" s="224" t="str">
        <f>IFERROR(VLOOKUP($A457,Devengado!$A$1:$AI$1,32,FALSE),"")</f>
        <v/>
      </c>
      <c r="BN457" s="224" t="str">
        <f>IFERROR(VLOOKUP($A457,Devengado!$A$1:$AI$1,33,FALSE),"")</f>
        <v/>
      </c>
      <c r="BO457" s="224">
        <f t="shared" si="60"/>
        <v>0</v>
      </c>
      <c r="BP457" s="224" t="str">
        <f t="shared" si="61"/>
        <v/>
      </c>
      <c r="BQ457" s="207"/>
      <c r="BR457" s="207" t="str">
        <f t="shared" si="62"/>
        <v>53</v>
      </c>
    </row>
    <row r="458" spans="1:70" s="225" customFormat="1" ht="25.5" customHeight="1">
      <c r="A458" s="207">
        <v>454</v>
      </c>
      <c r="B458" s="112" t="s">
        <v>429</v>
      </c>
      <c r="C458" s="112" t="s">
        <v>77</v>
      </c>
      <c r="D458" s="112" t="s">
        <v>77</v>
      </c>
      <c r="E458" s="112" t="s">
        <v>76</v>
      </c>
      <c r="F458" s="112" t="s">
        <v>77</v>
      </c>
      <c r="G458" s="112" t="s">
        <v>77</v>
      </c>
      <c r="H458" s="112" t="s">
        <v>77</v>
      </c>
      <c r="I458" s="112" t="s">
        <v>77</v>
      </c>
      <c r="J458" s="112" t="s">
        <v>77</v>
      </c>
      <c r="K458" s="112" t="s">
        <v>77</v>
      </c>
      <c r="L458" s="112" t="s">
        <v>87</v>
      </c>
      <c r="M458" s="124" t="s">
        <v>461</v>
      </c>
      <c r="N458" s="114" t="s">
        <v>430</v>
      </c>
      <c r="O458" s="114" t="s">
        <v>111</v>
      </c>
      <c r="P458" s="114" t="s">
        <v>81</v>
      </c>
      <c r="Q458" s="114" t="s">
        <v>112</v>
      </c>
      <c r="R458" s="115" t="str">
        <f t="shared" si="56"/>
        <v>53</v>
      </c>
      <c r="S458" s="124">
        <v>530101</v>
      </c>
      <c r="T458" s="122" t="str">
        <f>VLOOKUP(S458,ITEM!$C$1:$D$156,2,FALSE)</f>
        <v>Agua Potable</v>
      </c>
      <c r="U458" s="112">
        <v>1308</v>
      </c>
      <c r="V458" s="114" t="s">
        <v>82</v>
      </c>
      <c r="W458" s="114" t="s">
        <v>84</v>
      </c>
      <c r="X458" s="114" t="s">
        <v>84</v>
      </c>
      <c r="Y458" s="224">
        <f>'Matriz POA 2024-TRABAJO'!AS44</f>
        <v>15</v>
      </c>
      <c r="Z458" s="224">
        <f>'Matriz POA 2024-TRABAJO'!AT44</f>
        <v>0</v>
      </c>
      <c r="AA458" s="224">
        <f>'Matriz POA 2024-TRABAJO'!AU44</f>
        <v>15</v>
      </c>
      <c r="AB458" s="279">
        <v>0</v>
      </c>
      <c r="AC458" s="279">
        <v>15</v>
      </c>
      <c r="AD458" s="279">
        <v>0</v>
      </c>
      <c r="AE458" s="279">
        <v>0</v>
      </c>
      <c r="AF458" s="279">
        <v>0</v>
      </c>
      <c r="AG458" s="279">
        <v>0</v>
      </c>
      <c r="AH458" s="279">
        <v>0</v>
      </c>
      <c r="AI458" s="279">
        <v>0</v>
      </c>
      <c r="AJ458" s="279">
        <v>0</v>
      </c>
      <c r="AK458" s="279">
        <v>0</v>
      </c>
      <c r="AL458" s="279">
        <v>0</v>
      </c>
      <c r="AM458" s="279">
        <v>0</v>
      </c>
      <c r="AN458" s="224" t="e">
        <f>SUM(#REF!)</f>
        <v>#REF!</v>
      </c>
      <c r="AO458" s="224">
        <f t="shared" si="57"/>
        <v>15</v>
      </c>
      <c r="AP458" s="224">
        <f t="shared" si="63"/>
        <v>0</v>
      </c>
      <c r="AQ458" s="224"/>
      <c r="AR458" s="224"/>
      <c r="AS458" s="224"/>
      <c r="AT458" s="224">
        <f>IFERROR(VLOOKUP($A458,'Constancias POA'!$A$2:$DH$9993,17,FALSE),"")</f>
        <v>15</v>
      </c>
      <c r="AU458" s="224">
        <f t="shared" si="58"/>
        <v>0</v>
      </c>
      <c r="AV458" s="224">
        <f>IFERROR(VLOOKUP($A458,CP!$A$1:$U$7992,18,FALSE),"")</f>
        <v>15</v>
      </c>
      <c r="AW458" s="224">
        <f>IFERROR(VLOOKUP($A458,CP!$A$1:$U$7992,19,FALSE),"")</f>
        <v>15</v>
      </c>
      <c r="AX458" s="224">
        <f>IFERROR(VLOOKUP($A458,CP!$A$1:$U$7992,20,FALSE),"")</f>
        <v>0</v>
      </c>
      <c r="AY458" s="224" t="str">
        <f>IFERROR(VLOOKUP($A458,CP!$A$1:$U$1,21,FALSE),"")</f>
        <v/>
      </c>
      <c r="AZ458" s="224" t="str">
        <f>IFERROR(VLOOKUP(A458,Devengado!$A$1:AJ1,35,FALSE),"")</f>
        <v/>
      </c>
      <c r="BA458" s="224" t="str">
        <f t="shared" si="59"/>
        <v/>
      </c>
      <c r="BB458" s="224" t="str">
        <f>IFERROR(AZ458/#REF!,"")</f>
        <v/>
      </c>
      <c r="BC458" s="224" t="str">
        <f>IFERROR(VLOOKUP($A458,Devengado!$A$1:$AI$1,22,FALSE),"")</f>
        <v/>
      </c>
      <c r="BD458" s="224" t="str">
        <f>IFERROR(VLOOKUP($A458,Devengado!$A$1:$AI$1,23,FALSE),"")</f>
        <v/>
      </c>
      <c r="BE458" s="224" t="str">
        <f>IFERROR(VLOOKUP($A458,Devengado!$A$1:$AI$1,24,FALSE),"")</f>
        <v/>
      </c>
      <c r="BF458" s="224" t="str">
        <f>IFERROR(VLOOKUP($A458,Devengado!$A$1:$AI$1,25,FALSE),"")</f>
        <v/>
      </c>
      <c r="BG458" s="224" t="str">
        <f>IFERROR(VLOOKUP($A458,Devengado!$A$1:$AI$1,26,FALSE),"")</f>
        <v/>
      </c>
      <c r="BH458" s="224" t="str">
        <f>IFERROR(VLOOKUP($A458,Devengado!$A$1:$AI$1,27,FALSE),"")</f>
        <v/>
      </c>
      <c r="BI458" s="224" t="str">
        <f>IFERROR(VLOOKUP($A458,Devengado!$A$1:$AI$1,28,FALSE),"")</f>
        <v/>
      </c>
      <c r="BJ458" s="224" t="str">
        <f>IFERROR(VLOOKUP($A458,Devengado!$A$1:$AI$1,29,FALSE),"")</f>
        <v/>
      </c>
      <c r="BK458" s="224" t="str">
        <f>IFERROR(VLOOKUP($A458,Devengado!$A$1:$AI$1,30,FALSE),"")</f>
        <v/>
      </c>
      <c r="BL458" s="224" t="str">
        <f>IFERROR(VLOOKUP($A458,Devengado!$A$1:$AI$1,31,FALSE),"")</f>
        <v/>
      </c>
      <c r="BM458" s="224" t="str">
        <f>IFERROR(VLOOKUP($A458,Devengado!$A$1:$AI$1,32,FALSE),"")</f>
        <v/>
      </c>
      <c r="BN458" s="224" t="str">
        <f>IFERROR(VLOOKUP($A458,Devengado!$A$1:$AI$1,33,FALSE),"")</f>
        <v/>
      </c>
      <c r="BO458" s="224">
        <f t="shared" si="60"/>
        <v>0</v>
      </c>
      <c r="BP458" s="224" t="str">
        <f t="shared" si="61"/>
        <v/>
      </c>
      <c r="BQ458" s="207"/>
      <c r="BR458" s="207" t="str">
        <f t="shared" si="62"/>
        <v>53</v>
      </c>
    </row>
    <row r="459" spans="1:70" s="225" customFormat="1" ht="25.5" customHeight="1">
      <c r="A459" s="207">
        <v>455</v>
      </c>
      <c r="B459" s="112" t="s">
        <v>429</v>
      </c>
      <c r="C459" s="112" t="s">
        <v>77</v>
      </c>
      <c r="D459" s="112" t="s">
        <v>77</v>
      </c>
      <c r="E459" s="112" t="s">
        <v>76</v>
      </c>
      <c r="F459" s="112" t="s">
        <v>77</v>
      </c>
      <c r="G459" s="112" t="s">
        <v>77</v>
      </c>
      <c r="H459" s="112" t="s">
        <v>77</v>
      </c>
      <c r="I459" s="112" t="s">
        <v>77</v>
      </c>
      <c r="J459" s="112" t="s">
        <v>77</v>
      </c>
      <c r="K459" s="112" t="s">
        <v>77</v>
      </c>
      <c r="L459" s="112" t="s">
        <v>85</v>
      </c>
      <c r="M459" s="124" t="s">
        <v>462</v>
      </c>
      <c r="N459" s="114" t="s">
        <v>430</v>
      </c>
      <c r="O459" s="114" t="s">
        <v>111</v>
      </c>
      <c r="P459" s="114" t="s">
        <v>81</v>
      </c>
      <c r="Q459" s="114" t="s">
        <v>112</v>
      </c>
      <c r="R459" s="115" t="str">
        <f t="shared" si="56"/>
        <v>53</v>
      </c>
      <c r="S459" s="124">
        <v>530101</v>
      </c>
      <c r="T459" s="122" t="str">
        <f>VLOOKUP(S459,ITEM!$C$1:$D$156,2,FALSE)</f>
        <v>Agua Potable</v>
      </c>
      <c r="U459" s="112">
        <v>1308</v>
      </c>
      <c r="V459" s="114" t="s">
        <v>82</v>
      </c>
      <c r="W459" s="114" t="s">
        <v>84</v>
      </c>
      <c r="X459" s="114" t="s">
        <v>84</v>
      </c>
      <c r="Y459" s="224">
        <f>'Matriz POA 2024-TRABAJO'!AS45</f>
        <v>135</v>
      </c>
      <c r="Z459" s="224">
        <f>'Matriz POA 2024-TRABAJO'!AT45</f>
        <v>0</v>
      </c>
      <c r="AA459" s="224">
        <f>'Matriz POA 2024-TRABAJO'!AU45</f>
        <v>135</v>
      </c>
      <c r="AB459" s="279">
        <v>0</v>
      </c>
      <c r="AC459" s="279">
        <v>15</v>
      </c>
      <c r="AD459" s="279">
        <v>15</v>
      </c>
      <c r="AE459" s="279">
        <v>15</v>
      </c>
      <c r="AF459" s="279">
        <v>15</v>
      </c>
      <c r="AG459" s="279">
        <v>15</v>
      </c>
      <c r="AH459" s="279">
        <v>15</v>
      </c>
      <c r="AI459" s="279">
        <v>15</v>
      </c>
      <c r="AJ459" s="279">
        <v>15</v>
      </c>
      <c r="AK459" s="279">
        <v>7.5</v>
      </c>
      <c r="AL459" s="279">
        <v>7.5</v>
      </c>
      <c r="AM459" s="279">
        <v>0</v>
      </c>
      <c r="AN459" s="224" t="e">
        <f>SUM(#REF!)</f>
        <v>#REF!</v>
      </c>
      <c r="AO459" s="224">
        <f t="shared" si="57"/>
        <v>135</v>
      </c>
      <c r="AP459" s="224">
        <f t="shared" si="63"/>
        <v>0</v>
      </c>
      <c r="AQ459" s="224"/>
      <c r="AR459" s="224"/>
      <c r="AS459" s="224"/>
      <c r="AT459" s="224">
        <f>IFERROR(VLOOKUP($A459,'Constancias POA'!$A$2:$DH$9993,17,FALSE),"")</f>
        <v>135</v>
      </c>
      <c r="AU459" s="224">
        <f t="shared" si="58"/>
        <v>0</v>
      </c>
      <c r="AV459" s="224">
        <f>IFERROR(VLOOKUP($A459,CP!$A$1:$U$7992,18,FALSE),"")</f>
        <v>135</v>
      </c>
      <c r="AW459" s="224">
        <f>IFERROR(VLOOKUP($A459,CP!$A$1:$U$7992,19,FALSE),"")</f>
        <v>135</v>
      </c>
      <c r="AX459" s="224">
        <f>IFERROR(VLOOKUP($A459,CP!$A$1:$U$7992,20,FALSE),"")</f>
        <v>0</v>
      </c>
      <c r="AY459" s="224" t="str">
        <f>IFERROR(VLOOKUP($A459,CP!$A$1:$U$1,21,FALSE),"")</f>
        <v/>
      </c>
      <c r="AZ459" s="224" t="str">
        <f>IFERROR(VLOOKUP(A459,Devengado!$A$1:AJ1,35,FALSE),"")</f>
        <v/>
      </c>
      <c r="BA459" s="224" t="str">
        <f t="shared" si="59"/>
        <v/>
      </c>
      <c r="BB459" s="224" t="str">
        <f>IFERROR(AZ459/#REF!,"")</f>
        <v/>
      </c>
      <c r="BC459" s="224" t="str">
        <f>IFERROR(VLOOKUP($A459,Devengado!$A$1:$AI$1,22,FALSE),"")</f>
        <v/>
      </c>
      <c r="BD459" s="224" t="str">
        <f>IFERROR(VLOOKUP($A459,Devengado!$A$1:$AI$1,23,FALSE),"")</f>
        <v/>
      </c>
      <c r="BE459" s="224" t="str">
        <f>IFERROR(VLOOKUP($A459,Devengado!$A$1:$AI$1,24,FALSE),"")</f>
        <v/>
      </c>
      <c r="BF459" s="224" t="str">
        <f>IFERROR(VLOOKUP($A459,Devengado!$A$1:$AI$1,25,FALSE),"")</f>
        <v/>
      </c>
      <c r="BG459" s="224" t="str">
        <f>IFERROR(VLOOKUP($A459,Devengado!$A$1:$AI$1,26,FALSE),"")</f>
        <v/>
      </c>
      <c r="BH459" s="224" t="str">
        <f>IFERROR(VLOOKUP($A459,Devengado!$A$1:$AI$1,27,FALSE),"")</f>
        <v/>
      </c>
      <c r="BI459" s="224" t="str">
        <f>IFERROR(VLOOKUP($A459,Devengado!$A$1:$AI$1,28,FALSE),"")</f>
        <v/>
      </c>
      <c r="BJ459" s="224" t="str">
        <f>IFERROR(VLOOKUP($A459,Devengado!$A$1:$AI$1,29,FALSE),"")</f>
        <v/>
      </c>
      <c r="BK459" s="224" t="str">
        <f>IFERROR(VLOOKUP($A459,Devengado!$A$1:$AI$1,30,FALSE),"")</f>
        <v/>
      </c>
      <c r="BL459" s="224" t="str">
        <f>IFERROR(VLOOKUP($A459,Devengado!$A$1:$AI$1,31,FALSE),"")</f>
        <v/>
      </c>
      <c r="BM459" s="224" t="str">
        <f>IFERROR(VLOOKUP($A459,Devengado!$A$1:$AI$1,32,FALSE),"")</f>
        <v/>
      </c>
      <c r="BN459" s="224" t="str">
        <f>IFERROR(VLOOKUP($A459,Devengado!$A$1:$AI$1,33,FALSE),"")</f>
        <v/>
      </c>
      <c r="BO459" s="224">
        <f t="shared" si="60"/>
        <v>0</v>
      </c>
      <c r="BP459" s="224" t="str">
        <f t="shared" si="61"/>
        <v/>
      </c>
      <c r="BQ459" s="207"/>
      <c r="BR459" s="207" t="str">
        <f t="shared" si="62"/>
        <v>53</v>
      </c>
    </row>
    <row r="460" spans="1:70" s="225" customFormat="1" ht="25.5" customHeight="1">
      <c r="A460" s="207">
        <v>456</v>
      </c>
      <c r="B460" s="112" t="s">
        <v>429</v>
      </c>
      <c r="C460" s="112" t="s">
        <v>77</v>
      </c>
      <c r="D460" s="112" t="s">
        <v>77</v>
      </c>
      <c r="E460" s="112" t="s">
        <v>76</v>
      </c>
      <c r="F460" s="112" t="s">
        <v>77</v>
      </c>
      <c r="G460" s="112" t="s">
        <v>77</v>
      </c>
      <c r="H460" s="112" t="s">
        <v>77</v>
      </c>
      <c r="I460" s="112" t="s">
        <v>77</v>
      </c>
      <c r="J460" s="112" t="s">
        <v>77</v>
      </c>
      <c r="K460" s="112" t="s">
        <v>77</v>
      </c>
      <c r="L460" s="112" t="s">
        <v>87</v>
      </c>
      <c r="M460" s="124" t="s">
        <v>463</v>
      </c>
      <c r="N460" s="114" t="s">
        <v>430</v>
      </c>
      <c r="O460" s="114" t="s">
        <v>111</v>
      </c>
      <c r="P460" s="114" t="s">
        <v>81</v>
      </c>
      <c r="Q460" s="114" t="s">
        <v>112</v>
      </c>
      <c r="R460" s="115" t="str">
        <f t="shared" si="56"/>
        <v>53</v>
      </c>
      <c r="S460" s="124">
        <v>530104</v>
      </c>
      <c r="T460" s="122" t="str">
        <f>VLOOKUP(S460,ITEM!$C$1:$D$156,2,FALSE)</f>
        <v>Energía Eléctrica</v>
      </c>
      <c r="U460" s="112">
        <v>1308</v>
      </c>
      <c r="V460" s="114" t="s">
        <v>82</v>
      </c>
      <c r="W460" s="114" t="s">
        <v>84</v>
      </c>
      <c r="X460" s="114" t="s">
        <v>84</v>
      </c>
      <c r="Y460" s="224">
        <f>'Matriz POA 2024-TRABAJO'!AS46</f>
        <v>2941.33</v>
      </c>
      <c r="Z460" s="224">
        <f>'Matriz POA 2024-TRABAJO'!AT46</f>
        <v>0</v>
      </c>
      <c r="AA460" s="224">
        <f>'Matriz POA 2024-TRABAJO'!AU46</f>
        <v>2941.33</v>
      </c>
      <c r="AB460" s="279">
        <v>0</v>
      </c>
      <c r="AC460" s="279">
        <v>2000</v>
      </c>
      <c r="AD460" s="279">
        <v>0</v>
      </c>
      <c r="AE460" s="279">
        <v>0</v>
      </c>
      <c r="AF460" s="279">
        <v>0</v>
      </c>
      <c r="AG460" s="279">
        <v>0</v>
      </c>
      <c r="AH460" s="279">
        <v>0</v>
      </c>
      <c r="AI460" s="279">
        <v>0</v>
      </c>
      <c r="AJ460" s="279">
        <v>0</v>
      </c>
      <c r="AK460" s="279">
        <v>0</v>
      </c>
      <c r="AL460" s="279">
        <v>0</v>
      </c>
      <c r="AM460" s="279">
        <v>0</v>
      </c>
      <c r="AN460" s="224" t="e">
        <f>SUM(#REF!)</f>
        <v>#REF!</v>
      </c>
      <c r="AO460" s="224">
        <f t="shared" si="57"/>
        <v>2000</v>
      </c>
      <c r="AP460" s="224">
        <f t="shared" si="63"/>
        <v>-941.32999999999993</v>
      </c>
      <c r="AQ460" s="224"/>
      <c r="AR460" s="224"/>
      <c r="AS460" s="224"/>
      <c r="AT460" s="224">
        <f>IFERROR(VLOOKUP($A460,'Constancias POA'!$A$2:$DH$9993,17,FALSE),"")</f>
        <v>2941.33</v>
      </c>
      <c r="AU460" s="224">
        <f t="shared" si="58"/>
        <v>0</v>
      </c>
      <c r="AV460" s="224">
        <f>IFERROR(VLOOKUP($A460,CP!$A$1:$U$7992,18,FALSE),"")</f>
        <v>1754.87</v>
      </c>
      <c r="AW460" s="224">
        <f>IFERROR(VLOOKUP($A460,CP!$A$1:$U$7992,19,FALSE),"")</f>
        <v>2941.33</v>
      </c>
      <c r="AX460" s="224">
        <f>IFERROR(VLOOKUP($A460,CP!$A$1:$U$7992,20,FALSE),"")</f>
        <v>0</v>
      </c>
      <c r="AY460" s="224" t="str">
        <f>IFERROR(VLOOKUP($A460,CP!$A$1:$U$1,21,FALSE),"")</f>
        <v/>
      </c>
      <c r="AZ460" s="224" t="str">
        <f>IFERROR(VLOOKUP(A460,Devengado!$A$1:AJ1,35,FALSE),"")</f>
        <v/>
      </c>
      <c r="BA460" s="224" t="str">
        <f t="shared" si="59"/>
        <v/>
      </c>
      <c r="BB460" s="224" t="str">
        <f>IFERROR(AZ460/#REF!,"")</f>
        <v/>
      </c>
      <c r="BC460" s="224" t="str">
        <f>IFERROR(VLOOKUP($A460,Devengado!$A$1:$AI$1,22,FALSE),"")</f>
        <v/>
      </c>
      <c r="BD460" s="224" t="str">
        <f>IFERROR(VLOOKUP($A460,Devengado!$A$1:$AI$1,23,FALSE),"")</f>
        <v/>
      </c>
      <c r="BE460" s="224" t="str">
        <f>IFERROR(VLOOKUP($A460,Devengado!$A$1:$AI$1,24,FALSE),"")</f>
        <v/>
      </c>
      <c r="BF460" s="224" t="str">
        <f>IFERROR(VLOOKUP($A460,Devengado!$A$1:$AI$1,25,FALSE),"")</f>
        <v/>
      </c>
      <c r="BG460" s="224" t="str">
        <f>IFERROR(VLOOKUP($A460,Devengado!$A$1:$AI$1,26,FALSE),"")</f>
        <v/>
      </c>
      <c r="BH460" s="224" t="str">
        <f>IFERROR(VLOOKUP($A460,Devengado!$A$1:$AI$1,27,FALSE),"")</f>
        <v/>
      </c>
      <c r="BI460" s="224" t="str">
        <f>IFERROR(VLOOKUP($A460,Devengado!$A$1:$AI$1,28,FALSE),"")</f>
        <v/>
      </c>
      <c r="BJ460" s="224" t="str">
        <f>IFERROR(VLOOKUP($A460,Devengado!$A$1:$AI$1,29,FALSE),"")</f>
        <v/>
      </c>
      <c r="BK460" s="224" t="str">
        <f>IFERROR(VLOOKUP($A460,Devengado!$A$1:$AI$1,30,FALSE),"")</f>
        <v/>
      </c>
      <c r="BL460" s="224" t="str">
        <f>IFERROR(VLOOKUP($A460,Devengado!$A$1:$AI$1,31,FALSE),"")</f>
        <v/>
      </c>
      <c r="BM460" s="224" t="str">
        <f>IFERROR(VLOOKUP($A460,Devengado!$A$1:$AI$1,32,FALSE),"")</f>
        <v/>
      </c>
      <c r="BN460" s="224" t="str">
        <f>IFERROR(VLOOKUP($A460,Devengado!$A$1:$AI$1,33,FALSE),"")</f>
        <v/>
      </c>
      <c r="BO460" s="224">
        <f t="shared" si="60"/>
        <v>0</v>
      </c>
      <c r="BP460" s="224" t="str">
        <f t="shared" si="61"/>
        <v/>
      </c>
      <c r="BQ460" s="207"/>
      <c r="BR460" s="207" t="str">
        <f t="shared" si="62"/>
        <v>53</v>
      </c>
    </row>
    <row r="461" spans="1:70" s="225" customFormat="1" ht="25.5" customHeight="1">
      <c r="A461" s="207">
        <v>457</v>
      </c>
      <c r="B461" s="112" t="s">
        <v>429</v>
      </c>
      <c r="C461" s="112" t="s">
        <v>77</v>
      </c>
      <c r="D461" s="112" t="s">
        <v>77</v>
      </c>
      <c r="E461" s="112" t="s">
        <v>76</v>
      </c>
      <c r="F461" s="112" t="s">
        <v>77</v>
      </c>
      <c r="G461" s="112" t="s">
        <v>77</v>
      </c>
      <c r="H461" s="112" t="s">
        <v>77</v>
      </c>
      <c r="I461" s="112" t="s">
        <v>77</v>
      </c>
      <c r="J461" s="112" t="s">
        <v>77</v>
      </c>
      <c r="K461" s="112" t="s">
        <v>77</v>
      </c>
      <c r="L461" s="112" t="s">
        <v>85</v>
      </c>
      <c r="M461" s="124" t="s">
        <v>464</v>
      </c>
      <c r="N461" s="114" t="s">
        <v>430</v>
      </c>
      <c r="O461" s="114" t="s">
        <v>111</v>
      </c>
      <c r="P461" s="114" t="s">
        <v>81</v>
      </c>
      <c r="Q461" s="114" t="s">
        <v>112</v>
      </c>
      <c r="R461" s="115" t="str">
        <f t="shared" si="56"/>
        <v>53</v>
      </c>
      <c r="S461" s="124">
        <v>530104</v>
      </c>
      <c r="T461" s="122" t="str">
        <f>VLOOKUP(S461,ITEM!$C$1:$D$156,2,FALSE)</f>
        <v>Energía Eléctrica</v>
      </c>
      <c r="U461" s="112">
        <v>1308</v>
      </c>
      <c r="V461" s="114" t="s">
        <v>82</v>
      </c>
      <c r="W461" s="114" t="s">
        <v>84</v>
      </c>
      <c r="X461" s="114" t="s">
        <v>84</v>
      </c>
      <c r="Y461" s="224">
        <f>'Matriz POA 2024-TRABAJO'!AS47</f>
        <v>0</v>
      </c>
      <c r="Z461" s="224">
        <f>'Matriz POA 2024-TRABAJO'!AT47</f>
        <v>0</v>
      </c>
      <c r="AA461" s="224">
        <f>'Matriz POA 2024-TRABAJO'!AU47</f>
        <v>0</v>
      </c>
      <c r="AB461" s="294"/>
      <c r="AC461" s="294"/>
      <c r="AD461" s="294"/>
      <c r="AE461" s="294"/>
      <c r="AF461" s="294"/>
      <c r="AG461" s="294"/>
      <c r="AH461" s="294"/>
      <c r="AI461" s="294"/>
      <c r="AJ461" s="294"/>
      <c r="AK461" s="294"/>
      <c r="AL461" s="294"/>
      <c r="AM461" s="294"/>
      <c r="AN461" s="224" t="e">
        <f>SUM(#REF!)</f>
        <v>#REF!</v>
      </c>
      <c r="AO461" s="224">
        <f t="shared" si="57"/>
        <v>0</v>
      </c>
      <c r="AP461" s="224">
        <f t="shared" si="63"/>
        <v>0</v>
      </c>
      <c r="AQ461" s="224"/>
      <c r="AR461" s="224"/>
      <c r="AS461" s="224"/>
      <c r="AT461" s="224" t="str">
        <f>IFERROR(VLOOKUP($A461,'Constancias POA'!$A$2:$DH$9993,17,FALSE),"")</f>
        <v/>
      </c>
      <c r="AU461" s="224" t="str">
        <f t="shared" si="58"/>
        <v/>
      </c>
      <c r="AV461" s="224" t="str">
        <f>IFERROR(VLOOKUP($A461,CP!$A$1:$U$7992,18,FALSE),"")</f>
        <v/>
      </c>
      <c r="AW461" s="224" t="str">
        <f>IFERROR(VLOOKUP($A461,CP!$A$1:$U$7992,19,FALSE),"")</f>
        <v/>
      </c>
      <c r="AX461" s="224" t="str">
        <f>IFERROR(VLOOKUP($A461,CP!$A$1:$U$7992,20,FALSE),"")</f>
        <v/>
      </c>
      <c r="AY461" s="224" t="str">
        <f>IFERROR(VLOOKUP($A461,CP!$A$1:$U$1,21,FALSE),"")</f>
        <v/>
      </c>
      <c r="AZ461" s="224" t="str">
        <f>IFERROR(VLOOKUP(A461,Devengado!$A$1:AJ1,35,FALSE),"")</f>
        <v/>
      </c>
      <c r="BA461" s="224" t="str">
        <f t="shared" si="59"/>
        <v/>
      </c>
      <c r="BB461" s="224" t="str">
        <f>IFERROR(AZ461/#REF!,"")</f>
        <v/>
      </c>
      <c r="BC461" s="224" t="str">
        <f>IFERROR(VLOOKUP($A461,Devengado!$A$1:$AI$1,22,FALSE),"")</f>
        <v/>
      </c>
      <c r="BD461" s="224" t="str">
        <f>IFERROR(VLOOKUP($A461,Devengado!$A$1:$AI$1,23,FALSE),"")</f>
        <v/>
      </c>
      <c r="BE461" s="224" t="str">
        <f>IFERROR(VLOOKUP($A461,Devengado!$A$1:$AI$1,24,FALSE),"")</f>
        <v/>
      </c>
      <c r="BF461" s="224" t="str">
        <f>IFERROR(VLOOKUP($A461,Devengado!$A$1:$AI$1,25,FALSE),"")</f>
        <v/>
      </c>
      <c r="BG461" s="224" t="str">
        <f>IFERROR(VLOOKUP($A461,Devengado!$A$1:$AI$1,26,FALSE),"")</f>
        <v/>
      </c>
      <c r="BH461" s="224" t="str">
        <f>IFERROR(VLOOKUP($A461,Devengado!$A$1:$AI$1,27,FALSE),"")</f>
        <v/>
      </c>
      <c r="BI461" s="224" t="str">
        <f>IFERROR(VLOOKUP($A461,Devengado!$A$1:$AI$1,28,FALSE),"")</f>
        <v/>
      </c>
      <c r="BJ461" s="224" t="str">
        <f>IFERROR(VLOOKUP($A461,Devengado!$A$1:$AI$1,29,FALSE),"")</f>
        <v/>
      </c>
      <c r="BK461" s="224" t="str">
        <f>IFERROR(VLOOKUP($A461,Devengado!$A$1:$AI$1,30,FALSE),"")</f>
        <v/>
      </c>
      <c r="BL461" s="224" t="str">
        <f>IFERROR(VLOOKUP($A461,Devengado!$A$1:$AI$1,31,FALSE),"")</f>
        <v/>
      </c>
      <c r="BM461" s="224" t="str">
        <f>IFERROR(VLOOKUP($A461,Devengado!$A$1:$AI$1,32,FALSE),"")</f>
        <v/>
      </c>
      <c r="BN461" s="224" t="str">
        <f>IFERROR(VLOOKUP($A461,Devengado!$A$1:$AI$1,33,FALSE),"")</f>
        <v/>
      </c>
      <c r="BO461" s="224">
        <f t="shared" si="60"/>
        <v>0</v>
      </c>
      <c r="BP461" s="224" t="str">
        <f t="shared" si="61"/>
        <v/>
      </c>
      <c r="BQ461" s="207"/>
      <c r="BR461" s="207" t="str">
        <f t="shared" si="62"/>
        <v>53</v>
      </c>
    </row>
    <row r="462" spans="1:70" s="225" customFormat="1" ht="25.5" customHeight="1">
      <c r="A462" s="207">
        <v>458</v>
      </c>
      <c r="B462" s="112" t="s">
        <v>429</v>
      </c>
      <c r="C462" s="112" t="s">
        <v>77</v>
      </c>
      <c r="D462" s="112" t="s">
        <v>77</v>
      </c>
      <c r="E462" s="112" t="s">
        <v>76</v>
      </c>
      <c r="F462" s="112" t="s">
        <v>77</v>
      </c>
      <c r="G462" s="112" t="s">
        <v>77</v>
      </c>
      <c r="H462" s="112" t="s">
        <v>77</v>
      </c>
      <c r="I462" s="112" t="s">
        <v>77</v>
      </c>
      <c r="J462" s="112" t="s">
        <v>77</v>
      </c>
      <c r="K462" s="112" t="s">
        <v>77</v>
      </c>
      <c r="L462" s="112" t="s">
        <v>85</v>
      </c>
      <c r="M462" s="124" t="s">
        <v>465</v>
      </c>
      <c r="N462" s="114" t="s">
        <v>430</v>
      </c>
      <c r="O462" s="114" t="s">
        <v>111</v>
      </c>
      <c r="P462" s="114" t="s">
        <v>81</v>
      </c>
      <c r="Q462" s="114" t="s">
        <v>112</v>
      </c>
      <c r="R462" s="115" t="str">
        <f t="shared" si="56"/>
        <v>57</v>
      </c>
      <c r="S462" s="124">
        <v>570102</v>
      </c>
      <c r="T462" s="122" t="e">
        <f>VLOOKUP(S462,ITEM!$C$1:$D$156,2,FALSE)</f>
        <v>#N/A</v>
      </c>
      <c r="U462" s="112">
        <v>1309</v>
      </c>
      <c r="V462" s="114" t="s">
        <v>82</v>
      </c>
      <c r="W462" s="114" t="s">
        <v>84</v>
      </c>
      <c r="X462" s="114" t="s">
        <v>84</v>
      </c>
      <c r="Y462" s="224">
        <f>'Matriz POA 2024-TRABAJO'!AS48</f>
        <v>150</v>
      </c>
      <c r="Z462" s="224">
        <f>'Matriz POA 2024-TRABAJO'!AT48</f>
        <v>0</v>
      </c>
      <c r="AA462" s="224">
        <f>'Matriz POA 2024-TRABAJO'!AU48</f>
        <v>150</v>
      </c>
      <c r="AB462" s="279">
        <v>0</v>
      </c>
      <c r="AC462" s="279">
        <v>0</v>
      </c>
      <c r="AD462" s="279">
        <v>0</v>
      </c>
      <c r="AE462" s="279">
        <v>50</v>
      </c>
      <c r="AF462" s="279">
        <v>0</v>
      </c>
      <c r="AG462" s="279">
        <v>0</v>
      </c>
      <c r="AH462" s="279">
        <v>50</v>
      </c>
      <c r="AI462" s="279">
        <v>0</v>
      </c>
      <c r="AJ462" s="279">
        <v>50</v>
      </c>
      <c r="AK462" s="279">
        <v>0</v>
      </c>
      <c r="AL462" s="279">
        <v>0</v>
      </c>
      <c r="AM462" s="279">
        <v>0</v>
      </c>
      <c r="AN462" s="224" t="e">
        <f>SUM(#REF!)</f>
        <v>#REF!</v>
      </c>
      <c r="AO462" s="224">
        <f t="shared" si="57"/>
        <v>150</v>
      </c>
      <c r="AP462" s="224">
        <f t="shared" si="63"/>
        <v>0</v>
      </c>
      <c r="AQ462" s="224"/>
      <c r="AR462" s="224"/>
      <c r="AS462" s="224"/>
      <c r="AT462" s="224">
        <f>IFERROR(VLOOKUP($A462,'Constancias POA'!$A$2:$DH$9993,17,FALSE),"")</f>
        <v>150</v>
      </c>
      <c r="AU462" s="224">
        <f t="shared" si="58"/>
        <v>0</v>
      </c>
      <c r="AV462" s="224">
        <f>IFERROR(VLOOKUP($A462,CP!$A$1:$U$7992,18,FALSE),"")</f>
        <v>150</v>
      </c>
      <c r="AW462" s="224">
        <f>IFERROR(VLOOKUP($A462,CP!$A$1:$U$7992,19,FALSE),"")</f>
        <v>27</v>
      </c>
      <c r="AX462" s="224">
        <f>IFERROR(VLOOKUP($A462,CP!$A$1:$U$7992,20,FALSE),"")</f>
        <v>123</v>
      </c>
      <c r="AY462" s="224" t="str">
        <f>IFERROR(VLOOKUP($A462,CP!$A$1:$U$1,21,FALSE),"")</f>
        <v/>
      </c>
      <c r="AZ462" s="224" t="str">
        <f>IFERROR(VLOOKUP(A462,Devengado!$A$1:AJ1,35,FALSE),"")</f>
        <v/>
      </c>
      <c r="BA462" s="224" t="str">
        <f t="shared" si="59"/>
        <v/>
      </c>
      <c r="BB462" s="224" t="str">
        <f>IFERROR(AZ462/#REF!,"")</f>
        <v/>
      </c>
      <c r="BC462" s="224" t="str">
        <f>IFERROR(VLOOKUP($A462,Devengado!$A$1:$AI$1,22,FALSE),"")</f>
        <v/>
      </c>
      <c r="BD462" s="224" t="str">
        <f>IFERROR(VLOOKUP($A462,Devengado!$A$1:$AI$1,23,FALSE),"")</f>
        <v/>
      </c>
      <c r="BE462" s="224" t="str">
        <f>IFERROR(VLOOKUP($A462,Devengado!$A$1:$AI$1,24,FALSE),"")</f>
        <v/>
      </c>
      <c r="BF462" s="224" t="str">
        <f>IFERROR(VLOOKUP($A462,Devengado!$A$1:$AI$1,25,FALSE),"")</f>
        <v/>
      </c>
      <c r="BG462" s="224" t="str">
        <f>IFERROR(VLOOKUP($A462,Devengado!$A$1:$AI$1,26,FALSE),"")</f>
        <v/>
      </c>
      <c r="BH462" s="224" t="str">
        <f>IFERROR(VLOOKUP($A462,Devengado!$A$1:$AI$1,27,FALSE),"")</f>
        <v/>
      </c>
      <c r="BI462" s="224" t="str">
        <f>IFERROR(VLOOKUP($A462,Devengado!$A$1:$AI$1,28,FALSE),"")</f>
        <v/>
      </c>
      <c r="BJ462" s="224" t="str">
        <f>IFERROR(VLOOKUP($A462,Devengado!$A$1:$AI$1,29,FALSE),"")</f>
        <v/>
      </c>
      <c r="BK462" s="224" t="str">
        <f>IFERROR(VLOOKUP($A462,Devengado!$A$1:$AI$1,30,FALSE),"")</f>
        <v/>
      </c>
      <c r="BL462" s="224" t="str">
        <f>IFERROR(VLOOKUP($A462,Devengado!$A$1:$AI$1,31,FALSE),"")</f>
        <v/>
      </c>
      <c r="BM462" s="224" t="str">
        <f>IFERROR(VLOOKUP($A462,Devengado!$A$1:$AI$1,32,FALSE),"")</f>
        <v/>
      </c>
      <c r="BN462" s="224" t="str">
        <f>IFERROR(VLOOKUP($A462,Devengado!$A$1:$AI$1,33,FALSE),"")</f>
        <v/>
      </c>
      <c r="BO462" s="224">
        <f t="shared" si="60"/>
        <v>0</v>
      </c>
      <c r="BP462" s="224" t="str">
        <f t="shared" si="61"/>
        <v/>
      </c>
      <c r="BQ462" s="207"/>
      <c r="BR462" s="207" t="str">
        <f t="shared" si="62"/>
        <v>57</v>
      </c>
    </row>
    <row r="463" spans="1:70" s="225" customFormat="1" ht="25.5" customHeight="1">
      <c r="A463" s="207">
        <v>459</v>
      </c>
      <c r="B463" s="112" t="s">
        <v>429</v>
      </c>
      <c r="C463" s="112" t="s">
        <v>77</v>
      </c>
      <c r="D463" s="112" t="s">
        <v>77</v>
      </c>
      <c r="E463" s="112" t="s">
        <v>76</v>
      </c>
      <c r="F463" s="112" t="s">
        <v>77</v>
      </c>
      <c r="G463" s="112" t="s">
        <v>77</v>
      </c>
      <c r="H463" s="112" t="s">
        <v>77</v>
      </c>
      <c r="I463" s="112" t="s">
        <v>77</v>
      </c>
      <c r="J463" s="112" t="s">
        <v>77</v>
      </c>
      <c r="K463" s="112" t="s">
        <v>77</v>
      </c>
      <c r="L463" s="112" t="s">
        <v>85</v>
      </c>
      <c r="M463" s="124" t="s">
        <v>466</v>
      </c>
      <c r="N463" s="114" t="s">
        <v>430</v>
      </c>
      <c r="O463" s="114" t="s">
        <v>111</v>
      </c>
      <c r="P463" s="114" t="s">
        <v>81</v>
      </c>
      <c r="Q463" s="114" t="s">
        <v>112</v>
      </c>
      <c r="R463" s="115" t="str">
        <f t="shared" si="56"/>
        <v>53</v>
      </c>
      <c r="S463" s="124">
        <v>530105</v>
      </c>
      <c r="T463" s="122" t="str">
        <f>VLOOKUP(S463,ITEM!$C$1:$D$156,2,FALSE)</f>
        <v>Telecomunicaciones</v>
      </c>
      <c r="U463" s="112">
        <v>1309</v>
      </c>
      <c r="V463" s="114" t="s">
        <v>82</v>
      </c>
      <c r="W463" s="114" t="s">
        <v>84</v>
      </c>
      <c r="X463" s="114" t="s">
        <v>84</v>
      </c>
      <c r="Y463" s="224">
        <f>'Matriz POA 2024-TRABAJO'!AS49</f>
        <v>720</v>
      </c>
      <c r="Z463" s="224">
        <f>'Matriz POA 2024-TRABAJO'!AT49</f>
        <v>0</v>
      </c>
      <c r="AA463" s="224">
        <f>'Matriz POA 2024-TRABAJO'!AU49</f>
        <v>720</v>
      </c>
      <c r="AB463" s="279">
        <v>0</v>
      </c>
      <c r="AC463" s="279">
        <v>1200</v>
      </c>
      <c r="AD463" s="279">
        <v>0</v>
      </c>
      <c r="AE463" s="279">
        <v>0</v>
      </c>
      <c r="AF463" s="279">
        <v>0</v>
      </c>
      <c r="AG463" s="279">
        <v>0</v>
      </c>
      <c r="AH463" s="279">
        <v>0</v>
      </c>
      <c r="AI463" s="279">
        <v>0</v>
      </c>
      <c r="AJ463" s="279">
        <v>0</v>
      </c>
      <c r="AK463" s="279">
        <v>0</v>
      </c>
      <c r="AL463" s="279">
        <v>0</v>
      </c>
      <c r="AM463" s="279">
        <v>0</v>
      </c>
      <c r="AN463" s="224" t="e">
        <f>SUM(#REF!)</f>
        <v>#REF!</v>
      </c>
      <c r="AO463" s="224">
        <f t="shared" si="57"/>
        <v>1200</v>
      </c>
      <c r="AP463" s="224">
        <f t="shared" si="63"/>
        <v>480</v>
      </c>
      <c r="AQ463" s="224"/>
      <c r="AR463" s="224"/>
      <c r="AS463" s="224"/>
      <c r="AT463" s="224">
        <f>IFERROR(VLOOKUP($A463,'Constancias POA'!$A$2:$DH$9993,17,FALSE),"")</f>
        <v>720</v>
      </c>
      <c r="AU463" s="224">
        <f t="shared" si="58"/>
        <v>0</v>
      </c>
      <c r="AV463" s="224">
        <f>IFERROR(VLOOKUP($A463,CP!$A$1:$U$7992,18,FALSE),"")</f>
        <v>0</v>
      </c>
      <c r="AW463" s="224">
        <f>IFERROR(VLOOKUP($A463,CP!$A$1:$U$7992,19,FALSE),"")</f>
        <v>720</v>
      </c>
      <c r="AX463" s="224">
        <f>IFERROR(VLOOKUP($A463,CP!$A$1:$U$7992,20,FALSE),"")</f>
        <v>0</v>
      </c>
      <c r="AY463" s="224" t="str">
        <f>IFERROR(VLOOKUP($A463,CP!$A$1:$U$1,21,FALSE),"")</f>
        <v/>
      </c>
      <c r="AZ463" s="224" t="str">
        <f>IFERROR(VLOOKUP(A463,Devengado!$A$1:AJ1,35,FALSE),"")</f>
        <v/>
      </c>
      <c r="BA463" s="224" t="str">
        <f t="shared" si="59"/>
        <v/>
      </c>
      <c r="BB463" s="224" t="str">
        <f>IFERROR(AZ463/#REF!,"")</f>
        <v/>
      </c>
      <c r="BC463" s="224" t="str">
        <f>IFERROR(VLOOKUP($A463,Devengado!$A$1:$AI$1,22,FALSE),"")</f>
        <v/>
      </c>
      <c r="BD463" s="224" t="str">
        <f>IFERROR(VLOOKUP($A463,Devengado!$A$1:$AI$1,23,FALSE),"")</f>
        <v/>
      </c>
      <c r="BE463" s="224" t="str">
        <f>IFERROR(VLOOKUP($A463,Devengado!$A$1:$AI$1,24,FALSE),"")</f>
        <v/>
      </c>
      <c r="BF463" s="224" t="str">
        <f>IFERROR(VLOOKUP($A463,Devengado!$A$1:$AI$1,25,FALSE),"")</f>
        <v/>
      </c>
      <c r="BG463" s="224" t="str">
        <f>IFERROR(VLOOKUP($A463,Devengado!$A$1:$AI$1,26,FALSE),"")</f>
        <v/>
      </c>
      <c r="BH463" s="224" t="str">
        <f>IFERROR(VLOOKUP($A463,Devengado!$A$1:$AI$1,27,FALSE),"")</f>
        <v/>
      </c>
      <c r="BI463" s="224" t="str">
        <f>IFERROR(VLOOKUP($A463,Devengado!$A$1:$AI$1,28,FALSE),"")</f>
        <v/>
      </c>
      <c r="BJ463" s="224" t="str">
        <f>IFERROR(VLOOKUP($A463,Devengado!$A$1:$AI$1,29,FALSE),"")</f>
        <v/>
      </c>
      <c r="BK463" s="224" t="str">
        <f>IFERROR(VLOOKUP($A463,Devengado!$A$1:$AI$1,30,FALSE),"")</f>
        <v/>
      </c>
      <c r="BL463" s="224" t="str">
        <f>IFERROR(VLOOKUP($A463,Devengado!$A$1:$AI$1,31,FALSE),"")</f>
        <v/>
      </c>
      <c r="BM463" s="224" t="str">
        <f>IFERROR(VLOOKUP($A463,Devengado!$A$1:$AI$1,32,FALSE),"")</f>
        <v/>
      </c>
      <c r="BN463" s="224" t="str">
        <f>IFERROR(VLOOKUP($A463,Devengado!$A$1:$AI$1,33,FALSE),"")</f>
        <v/>
      </c>
      <c r="BO463" s="224">
        <f t="shared" si="60"/>
        <v>0</v>
      </c>
      <c r="BP463" s="224" t="str">
        <f t="shared" si="61"/>
        <v/>
      </c>
      <c r="BQ463" s="207"/>
      <c r="BR463" s="207" t="str">
        <f t="shared" si="62"/>
        <v>53</v>
      </c>
    </row>
    <row r="464" spans="1:70" s="225" customFormat="1" ht="25.5" customHeight="1">
      <c r="A464" s="207">
        <v>460</v>
      </c>
      <c r="B464" s="112" t="s">
        <v>429</v>
      </c>
      <c r="C464" s="112" t="s">
        <v>77</v>
      </c>
      <c r="D464" s="112" t="s">
        <v>77</v>
      </c>
      <c r="E464" s="112" t="s">
        <v>76</v>
      </c>
      <c r="F464" s="112" t="s">
        <v>77</v>
      </c>
      <c r="G464" s="112" t="s">
        <v>77</v>
      </c>
      <c r="H464" s="112" t="s">
        <v>77</v>
      </c>
      <c r="I464" s="112" t="s">
        <v>77</v>
      </c>
      <c r="J464" s="112" t="s">
        <v>77</v>
      </c>
      <c r="K464" s="112" t="s">
        <v>77</v>
      </c>
      <c r="L464" s="112" t="s">
        <v>85</v>
      </c>
      <c r="M464" s="124" t="s">
        <v>467</v>
      </c>
      <c r="N464" s="114" t="s">
        <v>430</v>
      </c>
      <c r="O464" s="114" t="s">
        <v>111</v>
      </c>
      <c r="P464" s="114" t="s">
        <v>81</v>
      </c>
      <c r="Q464" s="114" t="s">
        <v>112</v>
      </c>
      <c r="R464" s="115" t="str">
        <f t="shared" si="56"/>
        <v>57</v>
      </c>
      <c r="S464" s="124">
        <v>570102</v>
      </c>
      <c r="T464" s="122" t="e">
        <f>VLOOKUP(S464,ITEM!$C$1:$D$156,2,FALSE)</f>
        <v>#N/A</v>
      </c>
      <c r="U464" s="112">
        <v>1309</v>
      </c>
      <c r="V464" s="114" t="s">
        <v>82</v>
      </c>
      <c r="W464" s="114" t="s">
        <v>84</v>
      </c>
      <c r="X464" s="114" t="s">
        <v>84</v>
      </c>
      <c r="Y464" s="224">
        <f>'Matriz POA 2024-TRABAJO'!AS50</f>
        <v>200</v>
      </c>
      <c r="Z464" s="224">
        <f>'Matriz POA 2024-TRABAJO'!AT50</f>
        <v>0</v>
      </c>
      <c r="AA464" s="224">
        <f>'Matriz POA 2024-TRABAJO'!AU50</f>
        <v>200</v>
      </c>
      <c r="AB464" s="279">
        <v>0</v>
      </c>
      <c r="AC464" s="279">
        <v>200</v>
      </c>
      <c r="AD464" s="279">
        <v>0</v>
      </c>
      <c r="AE464" s="279">
        <v>0</v>
      </c>
      <c r="AF464" s="279">
        <v>0</v>
      </c>
      <c r="AG464" s="279">
        <v>0</v>
      </c>
      <c r="AH464" s="279">
        <v>0</v>
      </c>
      <c r="AI464" s="279">
        <v>0</v>
      </c>
      <c r="AJ464" s="279">
        <v>0</v>
      </c>
      <c r="AK464" s="279">
        <v>0</v>
      </c>
      <c r="AL464" s="279">
        <v>0</v>
      </c>
      <c r="AM464" s="279">
        <v>0</v>
      </c>
      <c r="AN464" s="224" t="e">
        <f>SUM(#REF!)</f>
        <v>#REF!</v>
      </c>
      <c r="AO464" s="224">
        <f t="shared" si="57"/>
        <v>200</v>
      </c>
      <c r="AP464" s="224">
        <f t="shared" si="63"/>
        <v>0</v>
      </c>
      <c r="AQ464" s="224"/>
      <c r="AR464" s="224"/>
      <c r="AS464" s="224"/>
      <c r="AT464" s="224">
        <f>IFERROR(VLOOKUP($A464,'Constancias POA'!$A$2:$DH$9993,17,FALSE),"")</f>
        <v>200</v>
      </c>
      <c r="AU464" s="224">
        <f t="shared" si="58"/>
        <v>0</v>
      </c>
      <c r="AV464" s="224">
        <f>IFERROR(VLOOKUP($A464,CP!$A$1:$U$7992,18,FALSE),"")</f>
        <v>0</v>
      </c>
      <c r="AW464" s="224">
        <f>IFERROR(VLOOKUP($A464,CP!$A$1:$U$7992,19,FALSE),"")</f>
        <v>0</v>
      </c>
      <c r="AX464" s="224">
        <f>IFERROR(VLOOKUP($A464,CP!$A$1:$U$7992,20,FALSE),"")</f>
        <v>0</v>
      </c>
      <c r="AY464" s="224" t="str">
        <f>IFERROR(VLOOKUP($A464,CP!$A$1:$U$1,21,FALSE),"")</f>
        <v/>
      </c>
      <c r="AZ464" s="224" t="str">
        <f>IFERROR(VLOOKUP(A464,Devengado!$A$1:AJ1,35,FALSE),"")</f>
        <v/>
      </c>
      <c r="BA464" s="224" t="str">
        <f t="shared" si="59"/>
        <v/>
      </c>
      <c r="BB464" s="224" t="str">
        <f>IFERROR(AZ464/#REF!,"")</f>
        <v/>
      </c>
      <c r="BC464" s="224" t="str">
        <f>IFERROR(VLOOKUP($A464,Devengado!$A$1:$AI$1,22,FALSE),"")</f>
        <v/>
      </c>
      <c r="BD464" s="224" t="str">
        <f>IFERROR(VLOOKUP($A464,Devengado!$A$1:$AI$1,23,FALSE),"")</f>
        <v/>
      </c>
      <c r="BE464" s="224" t="str">
        <f>IFERROR(VLOOKUP($A464,Devengado!$A$1:$AI$1,24,FALSE),"")</f>
        <v/>
      </c>
      <c r="BF464" s="224" t="str">
        <f>IFERROR(VLOOKUP($A464,Devengado!$A$1:$AI$1,25,FALSE),"")</f>
        <v/>
      </c>
      <c r="BG464" s="224" t="str">
        <f>IFERROR(VLOOKUP($A464,Devengado!$A$1:$AI$1,26,FALSE),"")</f>
        <v/>
      </c>
      <c r="BH464" s="224" t="str">
        <f>IFERROR(VLOOKUP($A464,Devengado!$A$1:$AI$1,27,FALSE),"")</f>
        <v/>
      </c>
      <c r="BI464" s="224" t="str">
        <f>IFERROR(VLOOKUP($A464,Devengado!$A$1:$AI$1,28,FALSE),"")</f>
        <v/>
      </c>
      <c r="BJ464" s="224" t="str">
        <f>IFERROR(VLOOKUP($A464,Devengado!$A$1:$AI$1,29,FALSE),"")</f>
        <v/>
      </c>
      <c r="BK464" s="224" t="str">
        <f>IFERROR(VLOOKUP($A464,Devengado!$A$1:$AI$1,30,FALSE),"")</f>
        <v/>
      </c>
      <c r="BL464" s="224" t="str">
        <f>IFERROR(VLOOKUP($A464,Devengado!$A$1:$AI$1,31,FALSE),"")</f>
        <v/>
      </c>
      <c r="BM464" s="224" t="str">
        <f>IFERROR(VLOOKUP($A464,Devengado!$A$1:$AI$1,32,FALSE),"")</f>
        <v/>
      </c>
      <c r="BN464" s="224" t="str">
        <f>IFERROR(VLOOKUP($A464,Devengado!$A$1:$AI$1,33,FALSE),"")</f>
        <v/>
      </c>
      <c r="BO464" s="224">
        <f t="shared" si="60"/>
        <v>0</v>
      </c>
      <c r="BP464" s="224" t="str">
        <f t="shared" si="61"/>
        <v/>
      </c>
      <c r="BQ464" s="207"/>
      <c r="BR464" s="207" t="str">
        <f t="shared" si="62"/>
        <v>57</v>
      </c>
    </row>
    <row r="465" spans="1:70" s="225" customFormat="1" ht="25.5" customHeight="1">
      <c r="A465" s="207">
        <v>461</v>
      </c>
      <c r="B465" s="112" t="s">
        <v>429</v>
      </c>
      <c r="C465" s="112" t="s">
        <v>77</v>
      </c>
      <c r="D465" s="112" t="s">
        <v>77</v>
      </c>
      <c r="E465" s="112" t="s">
        <v>76</v>
      </c>
      <c r="F465" s="112" t="s">
        <v>77</v>
      </c>
      <c r="G465" s="112" t="s">
        <v>77</v>
      </c>
      <c r="H465" s="112" t="s">
        <v>77</v>
      </c>
      <c r="I465" s="112" t="s">
        <v>77</v>
      </c>
      <c r="J465" s="112" t="s">
        <v>77</v>
      </c>
      <c r="K465" s="112" t="s">
        <v>77</v>
      </c>
      <c r="L465" s="112" t="s">
        <v>85</v>
      </c>
      <c r="M465" s="124" t="s">
        <v>468</v>
      </c>
      <c r="N465" s="114" t="s">
        <v>430</v>
      </c>
      <c r="O465" s="114" t="s">
        <v>111</v>
      </c>
      <c r="P465" s="114" t="s">
        <v>81</v>
      </c>
      <c r="Q465" s="114" t="s">
        <v>112</v>
      </c>
      <c r="R465" s="115" t="str">
        <f t="shared" si="56"/>
        <v>57</v>
      </c>
      <c r="S465" s="124">
        <v>570102</v>
      </c>
      <c r="T465" s="122" t="e">
        <f>VLOOKUP(S465,ITEM!$C$1:$D$156,2,FALSE)</f>
        <v>#N/A</v>
      </c>
      <c r="U465" s="112">
        <v>1309</v>
      </c>
      <c r="V465" s="114" t="s">
        <v>82</v>
      </c>
      <c r="W465" s="114" t="s">
        <v>84</v>
      </c>
      <c r="X465" s="114" t="s">
        <v>84</v>
      </c>
      <c r="Y465" s="224">
        <f>'Matriz POA 2024-TRABAJO'!AS51</f>
        <v>65.16</v>
      </c>
      <c r="Z465" s="224">
        <f>'Matriz POA 2024-TRABAJO'!AT51</f>
        <v>0</v>
      </c>
      <c r="AA465" s="224">
        <f>'Matriz POA 2024-TRABAJO'!AU51</f>
        <v>65.16</v>
      </c>
      <c r="AB465" s="279">
        <v>0</v>
      </c>
      <c r="AC465" s="279">
        <v>250</v>
      </c>
      <c r="AD465" s="279">
        <v>0</v>
      </c>
      <c r="AE465" s="279">
        <v>0</v>
      </c>
      <c r="AF465" s="279">
        <v>0</v>
      </c>
      <c r="AG465" s="279">
        <v>0</v>
      </c>
      <c r="AH465" s="279">
        <v>0</v>
      </c>
      <c r="AI465" s="279">
        <v>0</v>
      </c>
      <c r="AJ465" s="279">
        <v>0</v>
      </c>
      <c r="AK465" s="279">
        <v>0</v>
      </c>
      <c r="AL465" s="279">
        <v>0</v>
      </c>
      <c r="AM465" s="279">
        <v>0</v>
      </c>
      <c r="AN465" s="224" t="e">
        <f>SUM(#REF!)</f>
        <v>#REF!</v>
      </c>
      <c r="AO465" s="224">
        <f t="shared" si="57"/>
        <v>250</v>
      </c>
      <c r="AP465" s="224">
        <f t="shared" si="63"/>
        <v>184.84</v>
      </c>
      <c r="AQ465" s="224"/>
      <c r="AR465" s="224"/>
      <c r="AS465" s="224"/>
      <c r="AT465" s="224">
        <f>IFERROR(VLOOKUP($A465,'Constancias POA'!$A$2:$DH$9993,17,FALSE),"")</f>
        <v>65.16</v>
      </c>
      <c r="AU465" s="224">
        <f t="shared" si="58"/>
        <v>0</v>
      </c>
      <c r="AV465" s="224">
        <f>IFERROR(VLOOKUP($A465,CP!$A$1:$U$7992,18,FALSE),"")</f>
        <v>0</v>
      </c>
      <c r="AW465" s="224">
        <f>IFERROR(VLOOKUP($A465,CP!$A$1:$U$7992,19,FALSE),"")</f>
        <v>65.16</v>
      </c>
      <c r="AX465" s="224">
        <f>IFERROR(VLOOKUP($A465,CP!$A$1:$U$7992,20,FALSE),"")</f>
        <v>0</v>
      </c>
      <c r="AY465" s="224" t="str">
        <f>IFERROR(VLOOKUP($A465,CP!$A$1:$U$1,21,FALSE),"")</f>
        <v/>
      </c>
      <c r="AZ465" s="224" t="str">
        <f>IFERROR(VLOOKUP(A465,Devengado!$A$1:AJ1,35,FALSE),"")</f>
        <v/>
      </c>
      <c r="BA465" s="224" t="str">
        <f t="shared" si="59"/>
        <v/>
      </c>
      <c r="BB465" s="224" t="str">
        <f>IFERROR(AZ465/#REF!,"")</f>
        <v/>
      </c>
      <c r="BC465" s="224" t="str">
        <f>IFERROR(VLOOKUP($A465,Devengado!$A$1:$AI$1,22,FALSE),"")</f>
        <v/>
      </c>
      <c r="BD465" s="224" t="str">
        <f>IFERROR(VLOOKUP($A465,Devengado!$A$1:$AI$1,23,FALSE),"")</f>
        <v/>
      </c>
      <c r="BE465" s="224" t="str">
        <f>IFERROR(VLOOKUP($A465,Devengado!$A$1:$AI$1,24,FALSE),"")</f>
        <v/>
      </c>
      <c r="BF465" s="224" t="str">
        <f>IFERROR(VLOOKUP($A465,Devengado!$A$1:$AI$1,25,FALSE),"")</f>
        <v/>
      </c>
      <c r="BG465" s="224" t="str">
        <f>IFERROR(VLOOKUP($A465,Devengado!$A$1:$AI$1,26,FALSE),"")</f>
        <v/>
      </c>
      <c r="BH465" s="224" t="str">
        <f>IFERROR(VLOOKUP($A465,Devengado!$A$1:$AI$1,27,FALSE),"")</f>
        <v/>
      </c>
      <c r="BI465" s="224" t="str">
        <f>IFERROR(VLOOKUP($A465,Devengado!$A$1:$AI$1,28,FALSE),"")</f>
        <v/>
      </c>
      <c r="BJ465" s="224" t="str">
        <f>IFERROR(VLOOKUP($A465,Devengado!$A$1:$AI$1,29,FALSE),"")</f>
        <v/>
      </c>
      <c r="BK465" s="224" t="str">
        <f>IFERROR(VLOOKUP($A465,Devengado!$A$1:$AI$1,30,FALSE),"")</f>
        <v/>
      </c>
      <c r="BL465" s="224" t="str">
        <f>IFERROR(VLOOKUP($A465,Devengado!$A$1:$AI$1,31,FALSE),"")</f>
        <v/>
      </c>
      <c r="BM465" s="224" t="str">
        <f>IFERROR(VLOOKUP($A465,Devengado!$A$1:$AI$1,32,FALSE),"")</f>
        <v/>
      </c>
      <c r="BN465" s="224" t="str">
        <f>IFERROR(VLOOKUP($A465,Devengado!$A$1:$AI$1,33,FALSE),"")</f>
        <v/>
      </c>
      <c r="BO465" s="224">
        <f t="shared" si="60"/>
        <v>0</v>
      </c>
      <c r="BP465" s="224" t="str">
        <f t="shared" si="61"/>
        <v/>
      </c>
      <c r="BQ465" s="207"/>
      <c r="BR465" s="207" t="str">
        <f t="shared" si="62"/>
        <v>57</v>
      </c>
    </row>
    <row r="466" spans="1:70" s="225" customFormat="1" ht="25.5" customHeight="1">
      <c r="A466" s="207">
        <v>462</v>
      </c>
      <c r="B466" s="112" t="s">
        <v>429</v>
      </c>
      <c r="C466" s="112" t="s">
        <v>77</v>
      </c>
      <c r="D466" s="112" t="s">
        <v>77</v>
      </c>
      <c r="E466" s="112" t="s">
        <v>76</v>
      </c>
      <c r="F466" s="112" t="s">
        <v>77</v>
      </c>
      <c r="G466" s="112" t="s">
        <v>77</v>
      </c>
      <c r="H466" s="112" t="s">
        <v>77</v>
      </c>
      <c r="I466" s="112" t="s">
        <v>77</v>
      </c>
      <c r="J466" s="112" t="s">
        <v>77</v>
      </c>
      <c r="K466" s="112" t="s">
        <v>77</v>
      </c>
      <c r="L466" s="112" t="s">
        <v>85</v>
      </c>
      <c r="M466" s="124" t="s">
        <v>469</v>
      </c>
      <c r="N466" s="114" t="s">
        <v>430</v>
      </c>
      <c r="O466" s="114" t="s">
        <v>111</v>
      </c>
      <c r="P466" s="114" t="s">
        <v>81</v>
      </c>
      <c r="Q466" s="114" t="s">
        <v>112</v>
      </c>
      <c r="R466" s="115" t="str">
        <f t="shared" si="56"/>
        <v>57</v>
      </c>
      <c r="S466" s="124">
        <v>570102</v>
      </c>
      <c r="T466" s="122" t="e">
        <f>VLOOKUP(S466,ITEM!$C$1:$D$156,2,FALSE)</f>
        <v>#N/A</v>
      </c>
      <c r="U466" s="112">
        <v>1309</v>
      </c>
      <c r="V466" s="114" t="s">
        <v>82</v>
      </c>
      <c r="W466" s="114" t="s">
        <v>84</v>
      </c>
      <c r="X466" s="114" t="s">
        <v>84</v>
      </c>
      <c r="Y466" s="224">
        <f>'Matriz POA 2024-TRABAJO'!AS52</f>
        <v>622.08000000000004</v>
      </c>
      <c r="Z466" s="224">
        <f>'Matriz POA 2024-TRABAJO'!AT52</f>
        <v>0</v>
      </c>
      <c r="AA466" s="224">
        <f>'Matriz POA 2024-TRABAJO'!AU52</f>
        <v>622.08000000000004</v>
      </c>
      <c r="AB466" s="279">
        <v>0</v>
      </c>
      <c r="AC466" s="279">
        <v>800</v>
      </c>
      <c r="AD466" s="279">
        <v>0</v>
      </c>
      <c r="AE466" s="279">
        <v>0</v>
      </c>
      <c r="AF466" s="279">
        <v>0</v>
      </c>
      <c r="AG466" s="279">
        <v>0</v>
      </c>
      <c r="AH466" s="279">
        <v>0</v>
      </c>
      <c r="AI466" s="279">
        <v>0</v>
      </c>
      <c r="AJ466" s="279">
        <v>0</v>
      </c>
      <c r="AK466" s="279">
        <v>0</v>
      </c>
      <c r="AL466" s="279">
        <v>0</v>
      </c>
      <c r="AM466" s="279">
        <v>0</v>
      </c>
      <c r="AN466" s="224" t="e">
        <f>SUM(#REF!)</f>
        <v>#REF!</v>
      </c>
      <c r="AO466" s="224">
        <f t="shared" si="57"/>
        <v>800</v>
      </c>
      <c r="AP466" s="224">
        <f t="shared" si="63"/>
        <v>177.91999999999996</v>
      </c>
      <c r="AQ466" s="224"/>
      <c r="AR466" s="224"/>
      <c r="AS466" s="224"/>
      <c r="AT466" s="224">
        <f>IFERROR(VLOOKUP($A466,'Constancias POA'!$A$2:$DH$9993,17,FALSE),"")</f>
        <v>622.08000000000004</v>
      </c>
      <c r="AU466" s="224">
        <f t="shared" si="58"/>
        <v>0</v>
      </c>
      <c r="AV466" s="224">
        <f>IFERROR(VLOOKUP($A466,CP!$A$1:$U$7992,18,FALSE),"")</f>
        <v>0</v>
      </c>
      <c r="AW466" s="224">
        <f>IFERROR(VLOOKUP($A466,CP!$A$1:$U$7992,19,FALSE),"")</f>
        <v>622.08000000000004</v>
      </c>
      <c r="AX466" s="224">
        <f>IFERROR(VLOOKUP($A466,CP!$A$1:$U$7992,20,FALSE),"")</f>
        <v>0</v>
      </c>
      <c r="AY466" s="224" t="str">
        <f>IFERROR(VLOOKUP($A466,CP!$A$1:$U$1,21,FALSE),"")</f>
        <v/>
      </c>
      <c r="AZ466" s="224" t="str">
        <f>IFERROR(VLOOKUP(A466,Devengado!$A$1:AJ1,35,FALSE),"")</f>
        <v/>
      </c>
      <c r="BA466" s="224" t="str">
        <f t="shared" si="59"/>
        <v/>
      </c>
      <c r="BB466" s="224" t="str">
        <f>IFERROR(AZ466/#REF!,"")</f>
        <v/>
      </c>
      <c r="BC466" s="224" t="str">
        <f>IFERROR(VLOOKUP($A466,Devengado!$A$1:$AI$1,22,FALSE),"")</f>
        <v/>
      </c>
      <c r="BD466" s="224" t="str">
        <f>IFERROR(VLOOKUP($A466,Devengado!$A$1:$AI$1,23,FALSE),"")</f>
        <v/>
      </c>
      <c r="BE466" s="224" t="str">
        <f>IFERROR(VLOOKUP($A466,Devengado!$A$1:$AI$1,24,FALSE),"")</f>
        <v/>
      </c>
      <c r="BF466" s="224" t="str">
        <f>IFERROR(VLOOKUP($A466,Devengado!$A$1:$AI$1,25,FALSE),"")</f>
        <v/>
      </c>
      <c r="BG466" s="224" t="str">
        <f>IFERROR(VLOOKUP($A466,Devengado!$A$1:$AI$1,26,FALSE),"")</f>
        <v/>
      </c>
      <c r="BH466" s="224" t="str">
        <f>IFERROR(VLOOKUP($A466,Devengado!$A$1:$AI$1,27,FALSE),"")</f>
        <v/>
      </c>
      <c r="BI466" s="224" t="str">
        <f>IFERROR(VLOOKUP($A466,Devengado!$A$1:$AI$1,28,FALSE),"")</f>
        <v/>
      </c>
      <c r="BJ466" s="224" t="str">
        <f>IFERROR(VLOOKUP($A466,Devengado!$A$1:$AI$1,29,FALSE),"")</f>
        <v/>
      </c>
      <c r="BK466" s="224" t="str">
        <f>IFERROR(VLOOKUP($A466,Devengado!$A$1:$AI$1,30,FALSE),"")</f>
        <v/>
      </c>
      <c r="BL466" s="224" t="str">
        <f>IFERROR(VLOOKUP($A466,Devengado!$A$1:$AI$1,31,FALSE),"")</f>
        <v/>
      </c>
      <c r="BM466" s="224" t="str">
        <f>IFERROR(VLOOKUP($A466,Devengado!$A$1:$AI$1,32,FALSE),"")</f>
        <v/>
      </c>
      <c r="BN466" s="224" t="str">
        <f>IFERROR(VLOOKUP($A466,Devengado!$A$1:$AI$1,33,FALSE),"")</f>
        <v/>
      </c>
      <c r="BO466" s="224">
        <f t="shared" si="60"/>
        <v>0</v>
      </c>
      <c r="BP466" s="224" t="str">
        <f t="shared" si="61"/>
        <v/>
      </c>
      <c r="BQ466" s="207"/>
      <c r="BR466" s="207" t="str">
        <f t="shared" si="62"/>
        <v>57</v>
      </c>
    </row>
    <row r="467" spans="1:70" s="225" customFormat="1" ht="25.5" customHeight="1">
      <c r="A467" s="207">
        <v>463</v>
      </c>
      <c r="B467" s="112" t="s">
        <v>429</v>
      </c>
      <c r="C467" s="112" t="s">
        <v>77</v>
      </c>
      <c r="D467" s="112" t="s">
        <v>77</v>
      </c>
      <c r="E467" s="112" t="s">
        <v>76</v>
      </c>
      <c r="F467" s="112" t="s">
        <v>77</v>
      </c>
      <c r="G467" s="112" t="s">
        <v>77</v>
      </c>
      <c r="H467" s="112" t="s">
        <v>77</v>
      </c>
      <c r="I467" s="112" t="s">
        <v>77</v>
      </c>
      <c r="J467" s="112" t="s">
        <v>77</v>
      </c>
      <c r="K467" s="112" t="s">
        <v>77</v>
      </c>
      <c r="L467" s="112" t="s">
        <v>85</v>
      </c>
      <c r="M467" s="124" t="s">
        <v>470</v>
      </c>
      <c r="N467" s="114" t="s">
        <v>430</v>
      </c>
      <c r="O467" s="114" t="s">
        <v>111</v>
      </c>
      <c r="P467" s="114" t="s">
        <v>81</v>
      </c>
      <c r="Q467" s="114" t="s">
        <v>112</v>
      </c>
      <c r="R467" s="115" t="str">
        <f t="shared" si="56"/>
        <v>57</v>
      </c>
      <c r="S467" s="124">
        <v>570102</v>
      </c>
      <c r="T467" s="122" t="e">
        <f>VLOOKUP(S467,ITEM!$C$1:$D$156,2,FALSE)</f>
        <v>#N/A</v>
      </c>
      <c r="U467" s="112">
        <v>1314</v>
      </c>
      <c r="V467" s="114" t="s">
        <v>82</v>
      </c>
      <c r="W467" s="114" t="s">
        <v>84</v>
      </c>
      <c r="X467" s="114" t="s">
        <v>84</v>
      </c>
      <c r="Y467" s="224">
        <f>'Matriz POA 2024-TRABAJO'!AS53</f>
        <v>2500</v>
      </c>
      <c r="Z467" s="224">
        <f>'Matriz POA 2024-TRABAJO'!AT53</f>
        <v>0</v>
      </c>
      <c r="AA467" s="224">
        <f>'Matriz POA 2024-TRABAJO'!AU53</f>
        <v>2500</v>
      </c>
      <c r="AB467" s="279">
        <v>0</v>
      </c>
      <c r="AC467" s="279">
        <v>2500</v>
      </c>
      <c r="AD467" s="279">
        <v>0</v>
      </c>
      <c r="AE467" s="279">
        <v>0</v>
      </c>
      <c r="AF467" s="279">
        <v>0</v>
      </c>
      <c r="AG467" s="279">
        <v>0</v>
      </c>
      <c r="AH467" s="279">
        <v>0</v>
      </c>
      <c r="AI467" s="279">
        <v>0</v>
      </c>
      <c r="AJ467" s="279">
        <v>0</v>
      </c>
      <c r="AK467" s="279">
        <v>0</v>
      </c>
      <c r="AL467" s="279">
        <v>0</v>
      </c>
      <c r="AM467" s="279">
        <v>0</v>
      </c>
      <c r="AN467" s="224" t="e">
        <f>SUM(#REF!)</f>
        <v>#REF!</v>
      </c>
      <c r="AO467" s="224">
        <f t="shared" si="57"/>
        <v>2500</v>
      </c>
      <c r="AP467" s="224">
        <f t="shared" si="63"/>
        <v>0</v>
      </c>
      <c r="AQ467" s="224"/>
      <c r="AR467" s="224"/>
      <c r="AS467" s="224"/>
      <c r="AT467" s="224">
        <f>IFERROR(VLOOKUP($A467,'Constancias POA'!$A$2:$DH$9993,17,FALSE),"")</f>
        <v>2500</v>
      </c>
      <c r="AU467" s="224">
        <f t="shared" si="58"/>
        <v>0</v>
      </c>
      <c r="AV467" s="224">
        <f>IFERROR(VLOOKUP($A467,CP!$A$1:$U$7992,18,FALSE),"")</f>
        <v>2500</v>
      </c>
      <c r="AW467" s="224">
        <f>IFERROR(VLOOKUP($A467,CP!$A$1:$U$7992,19,FALSE),"")</f>
        <v>2500</v>
      </c>
      <c r="AX467" s="224">
        <f>IFERROR(VLOOKUP($A467,CP!$A$1:$U$7992,20,FALSE),"")</f>
        <v>0</v>
      </c>
      <c r="AY467" s="224" t="str">
        <f>IFERROR(VLOOKUP($A467,CP!$A$1:$U$1,21,FALSE),"")</f>
        <v/>
      </c>
      <c r="AZ467" s="224" t="str">
        <f>IFERROR(VLOOKUP(A467,Devengado!$A$1:AJ1,35,FALSE),"")</f>
        <v/>
      </c>
      <c r="BA467" s="224" t="str">
        <f t="shared" si="59"/>
        <v/>
      </c>
      <c r="BB467" s="224" t="str">
        <f>IFERROR(AZ467/#REF!,"")</f>
        <v/>
      </c>
      <c r="BC467" s="224" t="str">
        <f>IFERROR(VLOOKUP($A467,Devengado!$A$1:$AI$1,22,FALSE),"")</f>
        <v/>
      </c>
      <c r="BD467" s="224" t="str">
        <f>IFERROR(VLOOKUP($A467,Devengado!$A$1:$AI$1,23,FALSE),"")</f>
        <v/>
      </c>
      <c r="BE467" s="224" t="str">
        <f>IFERROR(VLOOKUP($A467,Devengado!$A$1:$AI$1,24,FALSE),"")</f>
        <v/>
      </c>
      <c r="BF467" s="224" t="str">
        <f>IFERROR(VLOOKUP($A467,Devengado!$A$1:$AI$1,25,FALSE),"")</f>
        <v/>
      </c>
      <c r="BG467" s="224" t="str">
        <f>IFERROR(VLOOKUP($A467,Devengado!$A$1:$AI$1,26,FALSE),"")</f>
        <v/>
      </c>
      <c r="BH467" s="224" t="str">
        <f>IFERROR(VLOOKUP($A467,Devengado!$A$1:$AI$1,27,FALSE),"")</f>
        <v/>
      </c>
      <c r="BI467" s="224" t="str">
        <f>IFERROR(VLOOKUP($A467,Devengado!$A$1:$AI$1,28,FALSE),"")</f>
        <v/>
      </c>
      <c r="BJ467" s="224" t="str">
        <f>IFERROR(VLOOKUP($A467,Devengado!$A$1:$AI$1,29,FALSE),"")</f>
        <v/>
      </c>
      <c r="BK467" s="224" t="str">
        <f>IFERROR(VLOOKUP($A467,Devengado!$A$1:$AI$1,30,FALSE),"")</f>
        <v/>
      </c>
      <c r="BL467" s="224" t="str">
        <f>IFERROR(VLOOKUP($A467,Devengado!$A$1:$AI$1,31,FALSE),"")</f>
        <v/>
      </c>
      <c r="BM467" s="224" t="str">
        <f>IFERROR(VLOOKUP($A467,Devengado!$A$1:$AI$1,32,FALSE),"")</f>
        <v/>
      </c>
      <c r="BN467" s="224" t="str">
        <f>IFERROR(VLOOKUP($A467,Devengado!$A$1:$AI$1,33,FALSE),"")</f>
        <v/>
      </c>
      <c r="BO467" s="224">
        <f t="shared" si="60"/>
        <v>0</v>
      </c>
      <c r="BP467" s="224" t="str">
        <f t="shared" si="61"/>
        <v/>
      </c>
      <c r="BQ467" s="207"/>
      <c r="BR467" s="207" t="str">
        <f t="shared" si="62"/>
        <v>57</v>
      </c>
    </row>
    <row r="468" spans="1:70" s="225" customFormat="1" ht="25.5" customHeight="1">
      <c r="A468" s="207">
        <v>464</v>
      </c>
      <c r="B468" s="112" t="s">
        <v>429</v>
      </c>
      <c r="C468" s="112" t="s">
        <v>77</v>
      </c>
      <c r="D468" s="112" t="s">
        <v>77</v>
      </c>
      <c r="E468" s="112" t="s">
        <v>76</v>
      </c>
      <c r="F468" s="112" t="s">
        <v>77</v>
      </c>
      <c r="G468" s="112" t="s">
        <v>77</v>
      </c>
      <c r="H468" s="112" t="s">
        <v>77</v>
      </c>
      <c r="I468" s="112" t="s">
        <v>77</v>
      </c>
      <c r="J468" s="112" t="s">
        <v>77</v>
      </c>
      <c r="K468" s="112" t="s">
        <v>77</v>
      </c>
      <c r="L468" s="112" t="s">
        <v>85</v>
      </c>
      <c r="M468" s="124" t="s">
        <v>471</v>
      </c>
      <c r="N468" s="114" t="s">
        <v>430</v>
      </c>
      <c r="O468" s="114" t="s">
        <v>111</v>
      </c>
      <c r="P468" s="114" t="s">
        <v>81</v>
      </c>
      <c r="Q468" s="114" t="s">
        <v>112</v>
      </c>
      <c r="R468" s="115" t="str">
        <f t="shared" si="56"/>
        <v>57</v>
      </c>
      <c r="S468" s="124">
        <v>570102</v>
      </c>
      <c r="T468" s="122" t="e">
        <f>VLOOKUP(S468,ITEM!$C$1:$D$156,2,FALSE)</f>
        <v>#N/A</v>
      </c>
      <c r="U468" s="112">
        <v>1309</v>
      </c>
      <c r="V468" s="114" t="s">
        <v>82</v>
      </c>
      <c r="W468" s="114" t="s">
        <v>84</v>
      </c>
      <c r="X468" s="114" t="s">
        <v>84</v>
      </c>
      <c r="Y468" s="224">
        <f>'Matriz POA 2024-TRABAJO'!AS54</f>
        <v>575.36000000000013</v>
      </c>
      <c r="Z468" s="224">
        <f>'Matriz POA 2024-TRABAJO'!AT54</f>
        <v>0</v>
      </c>
      <c r="AA468" s="224">
        <f>'Matriz POA 2024-TRABAJO'!AU54</f>
        <v>575.36000000000013</v>
      </c>
      <c r="AB468" s="279">
        <v>0</v>
      </c>
      <c r="AC468" s="279">
        <v>3000</v>
      </c>
      <c r="AD468" s="279">
        <v>0</v>
      </c>
      <c r="AE468" s="279">
        <v>0</v>
      </c>
      <c r="AF468" s="279">
        <v>0</v>
      </c>
      <c r="AG468" s="279">
        <v>0</v>
      </c>
      <c r="AH468" s="279">
        <v>0</v>
      </c>
      <c r="AI468" s="279">
        <v>0</v>
      </c>
      <c r="AJ468" s="279">
        <v>0</v>
      </c>
      <c r="AK468" s="279">
        <v>0</v>
      </c>
      <c r="AL468" s="279">
        <v>0</v>
      </c>
      <c r="AM468" s="279">
        <v>0</v>
      </c>
      <c r="AN468" s="224" t="e">
        <f>SUM(#REF!)</f>
        <v>#REF!</v>
      </c>
      <c r="AO468" s="224">
        <f t="shared" si="57"/>
        <v>3000</v>
      </c>
      <c r="AP468" s="224">
        <f t="shared" si="63"/>
        <v>2424.64</v>
      </c>
      <c r="AQ468" s="224"/>
      <c r="AR468" s="224"/>
      <c r="AS468" s="224"/>
      <c r="AT468" s="224">
        <f>IFERROR(VLOOKUP($A468,'Constancias POA'!$A$2:$DH$9993,17,FALSE),"")</f>
        <v>575.36000000000013</v>
      </c>
      <c r="AU468" s="224">
        <f t="shared" si="58"/>
        <v>0</v>
      </c>
      <c r="AV468" s="224">
        <f>IFERROR(VLOOKUP($A468,CP!$A$1:$U$7992,18,FALSE),"")</f>
        <v>0</v>
      </c>
      <c r="AW468" s="224">
        <f>IFERROR(VLOOKUP($A468,CP!$A$1:$U$7992,19,FALSE),"")</f>
        <v>575.36000000000013</v>
      </c>
      <c r="AX468" s="224">
        <f>IFERROR(VLOOKUP($A468,CP!$A$1:$U$7992,20,FALSE),"")</f>
        <v>0</v>
      </c>
      <c r="AY468" s="224" t="str">
        <f>IFERROR(VLOOKUP($A468,CP!$A$1:$U$1,21,FALSE),"")</f>
        <v/>
      </c>
      <c r="AZ468" s="224" t="str">
        <f>IFERROR(VLOOKUP(A468,Devengado!$A$1:AJ1,35,FALSE),"")</f>
        <v/>
      </c>
      <c r="BA468" s="224" t="str">
        <f t="shared" si="59"/>
        <v/>
      </c>
      <c r="BB468" s="224" t="str">
        <f>IFERROR(AZ468/#REF!,"")</f>
        <v/>
      </c>
      <c r="BC468" s="224" t="str">
        <f>IFERROR(VLOOKUP($A468,Devengado!$A$1:$AI$1,22,FALSE),"")</f>
        <v/>
      </c>
      <c r="BD468" s="224" t="str">
        <f>IFERROR(VLOOKUP($A468,Devengado!$A$1:$AI$1,23,FALSE),"")</f>
        <v/>
      </c>
      <c r="BE468" s="224" t="str">
        <f>IFERROR(VLOOKUP($A468,Devengado!$A$1:$AI$1,24,FALSE),"")</f>
        <v/>
      </c>
      <c r="BF468" s="224" t="str">
        <f>IFERROR(VLOOKUP($A468,Devengado!$A$1:$AI$1,25,FALSE),"")</f>
        <v/>
      </c>
      <c r="BG468" s="224" t="str">
        <f>IFERROR(VLOOKUP($A468,Devengado!$A$1:$AI$1,26,FALSE),"")</f>
        <v/>
      </c>
      <c r="BH468" s="224" t="str">
        <f>IFERROR(VLOOKUP($A468,Devengado!$A$1:$AI$1,27,FALSE),"")</f>
        <v/>
      </c>
      <c r="BI468" s="224" t="str">
        <f>IFERROR(VLOOKUP($A468,Devengado!$A$1:$AI$1,28,FALSE),"")</f>
        <v/>
      </c>
      <c r="BJ468" s="224" t="str">
        <f>IFERROR(VLOOKUP($A468,Devengado!$A$1:$AI$1,29,FALSE),"")</f>
        <v/>
      </c>
      <c r="BK468" s="224" t="str">
        <f>IFERROR(VLOOKUP($A468,Devengado!$A$1:$AI$1,30,FALSE),"")</f>
        <v/>
      </c>
      <c r="BL468" s="224" t="str">
        <f>IFERROR(VLOOKUP($A468,Devengado!$A$1:$AI$1,31,FALSE),"")</f>
        <v/>
      </c>
      <c r="BM468" s="224" t="str">
        <f>IFERROR(VLOOKUP($A468,Devengado!$A$1:$AI$1,32,FALSE),"")</f>
        <v/>
      </c>
      <c r="BN468" s="224" t="str">
        <f>IFERROR(VLOOKUP($A468,Devengado!$A$1:$AI$1,33,FALSE),"")</f>
        <v/>
      </c>
      <c r="BO468" s="224">
        <f t="shared" si="60"/>
        <v>0</v>
      </c>
      <c r="BP468" s="224" t="str">
        <f t="shared" si="61"/>
        <v/>
      </c>
      <c r="BQ468" s="207"/>
      <c r="BR468" s="207" t="str">
        <f t="shared" si="62"/>
        <v>57</v>
      </c>
    </row>
    <row r="469" spans="1:70" s="225" customFormat="1" ht="25.5" customHeight="1">
      <c r="A469" s="207">
        <v>465</v>
      </c>
      <c r="B469" s="112" t="s">
        <v>429</v>
      </c>
      <c r="C469" s="112" t="s">
        <v>77</v>
      </c>
      <c r="D469" s="112" t="s">
        <v>77</v>
      </c>
      <c r="E469" s="112" t="s">
        <v>76</v>
      </c>
      <c r="F469" s="112" t="s">
        <v>77</v>
      </c>
      <c r="G469" s="112" t="s">
        <v>77</v>
      </c>
      <c r="H469" s="112" t="s">
        <v>77</v>
      </c>
      <c r="I469" s="112" t="s">
        <v>77</v>
      </c>
      <c r="J469" s="112" t="s">
        <v>77</v>
      </c>
      <c r="K469" s="112" t="s">
        <v>77</v>
      </c>
      <c r="L469" s="112" t="s">
        <v>85</v>
      </c>
      <c r="M469" s="124" t="s">
        <v>472</v>
      </c>
      <c r="N469" s="114" t="s">
        <v>430</v>
      </c>
      <c r="O469" s="114" t="s">
        <v>111</v>
      </c>
      <c r="P469" s="114" t="s">
        <v>81</v>
      </c>
      <c r="Q469" s="114" t="s">
        <v>112</v>
      </c>
      <c r="R469" s="115" t="str">
        <f t="shared" si="56"/>
        <v>57</v>
      </c>
      <c r="S469" s="124">
        <v>570102</v>
      </c>
      <c r="T469" s="122" t="e">
        <f>VLOOKUP(S469,ITEM!$C$1:$D$156,2,FALSE)</f>
        <v>#N/A</v>
      </c>
      <c r="U469" s="112">
        <v>1301</v>
      </c>
      <c r="V469" s="114" t="s">
        <v>82</v>
      </c>
      <c r="W469" s="114" t="s">
        <v>84</v>
      </c>
      <c r="X469" s="114" t="s">
        <v>84</v>
      </c>
      <c r="Y469" s="224">
        <f>'Matriz POA 2024-TRABAJO'!AS55</f>
        <v>1407.92</v>
      </c>
      <c r="Z469" s="224">
        <f>'Matriz POA 2024-TRABAJO'!AT55</f>
        <v>0</v>
      </c>
      <c r="AA469" s="224">
        <f>'Matriz POA 2024-TRABAJO'!AU55</f>
        <v>1407.92</v>
      </c>
      <c r="AB469" s="279">
        <v>0</v>
      </c>
      <c r="AC469" s="279">
        <v>1700</v>
      </c>
      <c r="AD469" s="279">
        <v>0</v>
      </c>
      <c r="AE469" s="279">
        <v>0</v>
      </c>
      <c r="AF469" s="279">
        <v>0</v>
      </c>
      <c r="AG469" s="279">
        <v>0</v>
      </c>
      <c r="AH469" s="279">
        <v>0</v>
      </c>
      <c r="AI469" s="279">
        <v>0</v>
      </c>
      <c r="AJ469" s="279">
        <v>0</v>
      </c>
      <c r="AK469" s="279">
        <v>0</v>
      </c>
      <c r="AL469" s="279">
        <v>0</v>
      </c>
      <c r="AM469" s="279">
        <v>0</v>
      </c>
      <c r="AN469" s="224" t="e">
        <f>SUM(#REF!)</f>
        <v>#REF!</v>
      </c>
      <c r="AO469" s="224">
        <f t="shared" si="57"/>
        <v>1700</v>
      </c>
      <c r="AP469" s="224">
        <f t="shared" si="63"/>
        <v>292.07999999999993</v>
      </c>
      <c r="AQ469" s="224"/>
      <c r="AR469" s="224"/>
      <c r="AS469" s="224"/>
      <c r="AT469" s="224">
        <f>IFERROR(VLOOKUP($A469,'Constancias POA'!$A$2:$DH$9993,17,FALSE),"")</f>
        <v>1407.92</v>
      </c>
      <c r="AU469" s="224">
        <f t="shared" si="58"/>
        <v>0</v>
      </c>
      <c r="AV469" s="224">
        <f>IFERROR(VLOOKUP($A469,CP!$A$1:$U$7992,18,FALSE),"")</f>
        <v>0</v>
      </c>
      <c r="AW469" s="224">
        <f>IFERROR(VLOOKUP($A469,CP!$A$1:$U$7992,19,FALSE),"")</f>
        <v>1407.92</v>
      </c>
      <c r="AX469" s="224">
        <f>IFERROR(VLOOKUP($A469,CP!$A$1:$U$7992,20,FALSE),"")</f>
        <v>0</v>
      </c>
      <c r="AY469" s="224" t="str">
        <f>IFERROR(VLOOKUP($A469,CP!$A$1:$U$1,21,FALSE),"")</f>
        <v/>
      </c>
      <c r="AZ469" s="224" t="str">
        <f>IFERROR(VLOOKUP(A469,Devengado!$A$1:AJ1,35,FALSE),"")</f>
        <v/>
      </c>
      <c r="BA469" s="224" t="str">
        <f t="shared" si="59"/>
        <v/>
      </c>
      <c r="BB469" s="224" t="str">
        <f>IFERROR(AZ469/#REF!,"")</f>
        <v/>
      </c>
      <c r="BC469" s="224" t="str">
        <f>IFERROR(VLOOKUP($A469,Devengado!$A$1:$AI$1,22,FALSE),"")</f>
        <v/>
      </c>
      <c r="BD469" s="224" t="str">
        <f>IFERROR(VLOOKUP($A469,Devengado!$A$1:$AI$1,23,FALSE),"")</f>
        <v/>
      </c>
      <c r="BE469" s="224" t="str">
        <f>IFERROR(VLOOKUP($A469,Devengado!$A$1:$AI$1,24,FALSE),"")</f>
        <v/>
      </c>
      <c r="BF469" s="224" t="str">
        <f>IFERROR(VLOOKUP($A469,Devengado!$A$1:$AI$1,25,FALSE),"")</f>
        <v/>
      </c>
      <c r="BG469" s="224" t="str">
        <f>IFERROR(VLOOKUP($A469,Devengado!$A$1:$AI$1,26,FALSE),"")</f>
        <v/>
      </c>
      <c r="BH469" s="224" t="str">
        <f>IFERROR(VLOOKUP($A469,Devengado!$A$1:$AI$1,27,FALSE),"")</f>
        <v/>
      </c>
      <c r="BI469" s="224" t="str">
        <f>IFERROR(VLOOKUP($A469,Devengado!$A$1:$AI$1,28,FALSE),"")</f>
        <v/>
      </c>
      <c r="BJ469" s="224" t="str">
        <f>IFERROR(VLOOKUP($A469,Devengado!$A$1:$AI$1,29,FALSE),"")</f>
        <v/>
      </c>
      <c r="BK469" s="224" t="str">
        <f>IFERROR(VLOOKUP($A469,Devengado!$A$1:$AI$1,30,FALSE),"")</f>
        <v/>
      </c>
      <c r="BL469" s="224" t="str">
        <f>IFERROR(VLOOKUP($A469,Devengado!$A$1:$AI$1,31,FALSE),"")</f>
        <v/>
      </c>
      <c r="BM469" s="224" t="str">
        <f>IFERROR(VLOOKUP($A469,Devengado!$A$1:$AI$1,32,FALSE),"")</f>
        <v/>
      </c>
      <c r="BN469" s="224" t="str">
        <f>IFERROR(VLOOKUP($A469,Devengado!$A$1:$AI$1,33,FALSE),"")</f>
        <v/>
      </c>
      <c r="BO469" s="224">
        <f t="shared" si="60"/>
        <v>0</v>
      </c>
      <c r="BP469" s="224" t="str">
        <f t="shared" si="61"/>
        <v/>
      </c>
      <c r="BQ469" s="207"/>
      <c r="BR469" s="207" t="str">
        <f t="shared" si="62"/>
        <v>57</v>
      </c>
    </row>
    <row r="470" spans="1:70" s="225" customFormat="1" ht="25.5" customHeight="1">
      <c r="A470" s="207">
        <v>466</v>
      </c>
      <c r="B470" s="112" t="s">
        <v>429</v>
      </c>
      <c r="C470" s="112" t="s">
        <v>77</v>
      </c>
      <c r="D470" s="112" t="s">
        <v>77</v>
      </c>
      <c r="E470" s="112" t="s">
        <v>76</v>
      </c>
      <c r="F470" s="112" t="s">
        <v>77</v>
      </c>
      <c r="G470" s="112" t="s">
        <v>77</v>
      </c>
      <c r="H470" s="112" t="s">
        <v>77</v>
      </c>
      <c r="I470" s="112" t="s">
        <v>77</v>
      </c>
      <c r="J470" s="112" t="s">
        <v>77</v>
      </c>
      <c r="K470" s="112" t="s">
        <v>77</v>
      </c>
      <c r="L470" s="112" t="s">
        <v>85</v>
      </c>
      <c r="M470" s="124" t="s">
        <v>473</v>
      </c>
      <c r="N470" s="114" t="s">
        <v>430</v>
      </c>
      <c r="O470" s="114" t="s">
        <v>111</v>
      </c>
      <c r="P470" s="114" t="s">
        <v>81</v>
      </c>
      <c r="Q470" s="114" t="s">
        <v>112</v>
      </c>
      <c r="R470" s="115" t="str">
        <f t="shared" si="56"/>
        <v>57</v>
      </c>
      <c r="S470" s="124">
        <v>570102</v>
      </c>
      <c r="T470" s="122" t="e">
        <f>VLOOKUP(S470,ITEM!$C$1:$D$156,2,FALSE)</f>
        <v>#N/A</v>
      </c>
      <c r="U470" s="112">
        <v>1308</v>
      </c>
      <c r="V470" s="114" t="s">
        <v>82</v>
      </c>
      <c r="W470" s="114" t="s">
        <v>84</v>
      </c>
      <c r="X470" s="114" t="s">
        <v>84</v>
      </c>
      <c r="Y470" s="224">
        <f>'Matriz POA 2024-TRABAJO'!AS56</f>
        <v>0</v>
      </c>
      <c r="Z470" s="224">
        <f>'Matriz POA 2024-TRABAJO'!AT56</f>
        <v>0</v>
      </c>
      <c r="AA470" s="224">
        <f>'Matriz POA 2024-TRABAJO'!AU56</f>
        <v>0</v>
      </c>
      <c r="AB470" s="279"/>
      <c r="AC470" s="279"/>
      <c r="AD470" s="279"/>
      <c r="AE470" s="279"/>
      <c r="AF470" s="279"/>
      <c r="AG470" s="279"/>
      <c r="AH470" s="279"/>
      <c r="AI470" s="279"/>
      <c r="AJ470" s="279"/>
      <c r="AK470" s="279"/>
      <c r="AL470" s="279"/>
      <c r="AM470" s="279"/>
      <c r="AN470" s="224" t="e">
        <f>SUM(#REF!)</f>
        <v>#REF!</v>
      </c>
      <c r="AO470" s="224">
        <f t="shared" si="57"/>
        <v>0</v>
      </c>
      <c r="AP470" s="224">
        <f t="shared" si="63"/>
        <v>0</v>
      </c>
      <c r="AQ470" s="224"/>
      <c r="AR470" s="224"/>
      <c r="AS470" s="224"/>
      <c r="AT470" s="224" t="str">
        <f>IFERROR(VLOOKUP($A470,'Constancias POA'!$A$2:$DH$9993,17,FALSE),"")</f>
        <v/>
      </c>
      <c r="AU470" s="224" t="str">
        <f t="shared" si="58"/>
        <v/>
      </c>
      <c r="AV470" s="224" t="str">
        <f>IFERROR(VLOOKUP($A470,CP!$A$1:$U$7992,18,FALSE),"")</f>
        <v/>
      </c>
      <c r="AW470" s="224" t="str">
        <f>IFERROR(VLOOKUP($A470,CP!$A$1:$U$7992,19,FALSE),"")</f>
        <v/>
      </c>
      <c r="AX470" s="224" t="str">
        <f>IFERROR(VLOOKUP($A470,CP!$A$1:$U$7992,20,FALSE),"")</f>
        <v/>
      </c>
      <c r="AY470" s="224" t="str">
        <f>IFERROR(VLOOKUP($A470,CP!$A$1:$U$1,21,FALSE),"")</f>
        <v/>
      </c>
      <c r="AZ470" s="224" t="str">
        <f>IFERROR(VLOOKUP(A470,Devengado!$A$1:AJ1,35,FALSE),"")</f>
        <v/>
      </c>
      <c r="BA470" s="224" t="str">
        <f t="shared" si="59"/>
        <v/>
      </c>
      <c r="BB470" s="224" t="str">
        <f>IFERROR(AZ470/#REF!,"")</f>
        <v/>
      </c>
      <c r="BC470" s="224" t="str">
        <f>IFERROR(VLOOKUP($A470,Devengado!$A$1:$AI$1,22,FALSE),"")</f>
        <v/>
      </c>
      <c r="BD470" s="224" t="str">
        <f>IFERROR(VLOOKUP($A470,Devengado!$A$1:$AI$1,23,FALSE),"")</f>
        <v/>
      </c>
      <c r="BE470" s="224" t="str">
        <f>IFERROR(VLOOKUP($A470,Devengado!$A$1:$AI$1,24,FALSE),"")</f>
        <v/>
      </c>
      <c r="BF470" s="224" t="str">
        <f>IFERROR(VLOOKUP($A470,Devengado!$A$1:$AI$1,25,FALSE),"")</f>
        <v/>
      </c>
      <c r="BG470" s="224" t="str">
        <f>IFERROR(VLOOKUP($A470,Devengado!$A$1:$AI$1,26,FALSE),"")</f>
        <v/>
      </c>
      <c r="BH470" s="224" t="str">
        <f>IFERROR(VLOOKUP($A470,Devengado!$A$1:$AI$1,27,FALSE),"")</f>
        <v/>
      </c>
      <c r="BI470" s="224" t="str">
        <f>IFERROR(VLOOKUP($A470,Devengado!$A$1:$AI$1,28,FALSE),"")</f>
        <v/>
      </c>
      <c r="BJ470" s="224" t="str">
        <f>IFERROR(VLOOKUP($A470,Devengado!$A$1:$AI$1,29,FALSE),"")</f>
        <v/>
      </c>
      <c r="BK470" s="224" t="str">
        <f>IFERROR(VLOOKUP($A470,Devengado!$A$1:$AI$1,30,FALSE),"")</f>
        <v/>
      </c>
      <c r="BL470" s="224" t="str">
        <f>IFERROR(VLOOKUP($A470,Devengado!$A$1:$AI$1,31,FALSE),"")</f>
        <v/>
      </c>
      <c r="BM470" s="224" t="str">
        <f>IFERROR(VLOOKUP($A470,Devengado!$A$1:$AI$1,32,FALSE),"")</f>
        <v/>
      </c>
      <c r="BN470" s="224" t="str">
        <f>IFERROR(VLOOKUP($A470,Devengado!$A$1:$AI$1,33,FALSE),"")</f>
        <v/>
      </c>
      <c r="BO470" s="224">
        <f t="shared" si="60"/>
        <v>0</v>
      </c>
      <c r="BP470" s="224" t="str">
        <f t="shared" si="61"/>
        <v/>
      </c>
      <c r="BQ470" s="207"/>
      <c r="BR470" s="207" t="str">
        <f t="shared" si="62"/>
        <v>57</v>
      </c>
    </row>
    <row r="471" spans="1:70" s="225" customFormat="1" ht="25.5" customHeight="1">
      <c r="A471" s="207">
        <v>467</v>
      </c>
      <c r="B471" s="112" t="s">
        <v>429</v>
      </c>
      <c r="C471" s="112" t="s">
        <v>77</v>
      </c>
      <c r="D471" s="112" t="s">
        <v>77</v>
      </c>
      <c r="E471" s="112" t="s">
        <v>76</v>
      </c>
      <c r="F471" s="112" t="s">
        <v>77</v>
      </c>
      <c r="G471" s="112" t="s">
        <v>77</v>
      </c>
      <c r="H471" s="112" t="s">
        <v>77</v>
      </c>
      <c r="I471" s="112" t="s">
        <v>77</v>
      </c>
      <c r="J471" s="112" t="s">
        <v>77</v>
      </c>
      <c r="K471" s="112" t="s">
        <v>77</v>
      </c>
      <c r="L471" s="112" t="s">
        <v>85</v>
      </c>
      <c r="M471" s="124" t="s">
        <v>474</v>
      </c>
      <c r="N471" s="114" t="s">
        <v>430</v>
      </c>
      <c r="O471" s="114" t="s">
        <v>111</v>
      </c>
      <c r="P471" s="114" t="s">
        <v>81</v>
      </c>
      <c r="Q471" s="114" t="s">
        <v>112</v>
      </c>
      <c r="R471" s="115" t="str">
        <f t="shared" si="56"/>
        <v>53</v>
      </c>
      <c r="S471" s="124">
        <v>530803</v>
      </c>
      <c r="T471" s="122" t="e">
        <f>VLOOKUP(S471,ITEM!$C$1:$D$156,2,FALSE)</f>
        <v>#N/A</v>
      </c>
      <c r="U471" s="112">
        <v>1309</v>
      </c>
      <c r="V471" s="114" t="s">
        <v>82</v>
      </c>
      <c r="W471" s="114" t="s">
        <v>84</v>
      </c>
      <c r="X471" s="114" t="s">
        <v>84</v>
      </c>
      <c r="Y471" s="224">
        <f>'Matriz POA 2024-TRABAJO'!AS57</f>
        <v>0</v>
      </c>
      <c r="Z471" s="224">
        <f>'Matriz POA 2024-TRABAJO'!AT57</f>
        <v>0</v>
      </c>
      <c r="AA471" s="224">
        <f>'Matriz POA 2024-TRABAJO'!AU57</f>
        <v>0</v>
      </c>
      <c r="AB471" s="294"/>
      <c r="AC471" s="294"/>
      <c r="AD471" s="294"/>
      <c r="AE471" s="294"/>
      <c r="AF471" s="294"/>
      <c r="AG471" s="294"/>
      <c r="AH471" s="294"/>
      <c r="AI471" s="294"/>
      <c r="AJ471" s="294"/>
      <c r="AK471" s="294"/>
      <c r="AL471" s="294"/>
      <c r="AM471" s="294"/>
      <c r="AN471" s="224" t="e">
        <f>SUM(#REF!)</f>
        <v>#REF!</v>
      </c>
      <c r="AO471" s="224">
        <f t="shared" si="57"/>
        <v>0</v>
      </c>
      <c r="AP471" s="224">
        <f t="shared" si="63"/>
        <v>0</v>
      </c>
      <c r="AQ471" s="224"/>
      <c r="AR471" s="224"/>
      <c r="AS471" s="224"/>
      <c r="AT471" s="224" t="str">
        <f>IFERROR(VLOOKUP($A471,'Constancias POA'!$A$2:$DH$9993,17,FALSE),"")</f>
        <v/>
      </c>
      <c r="AU471" s="224" t="str">
        <f t="shared" si="58"/>
        <v/>
      </c>
      <c r="AV471" s="224" t="str">
        <f>IFERROR(VLOOKUP($A471,CP!$A$1:$U$7992,18,FALSE),"")</f>
        <v/>
      </c>
      <c r="AW471" s="224" t="str">
        <f>IFERROR(VLOOKUP($A471,CP!$A$1:$U$7992,19,FALSE),"")</f>
        <v/>
      </c>
      <c r="AX471" s="224" t="str">
        <f>IFERROR(VLOOKUP($A471,CP!$A$1:$U$7992,20,FALSE),"")</f>
        <v/>
      </c>
      <c r="AY471" s="224" t="str">
        <f>IFERROR(VLOOKUP($A471,CP!$A$1:$U$1,21,FALSE),"")</f>
        <v/>
      </c>
      <c r="AZ471" s="224" t="str">
        <f>IFERROR(VLOOKUP(A471,Devengado!$A$1:AJ1,35,FALSE),"")</f>
        <v/>
      </c>
      <c r="BA471" s="224" t="str">
        <f t="shared" si="59"/>
        <v/>
      </c>
      <c r="BB471" s="224" t="str">
        <f>IFERROR(AZ471/#REF!,"")</f>
        <v/>
      </c>
      <c r="BC471" s="224" t="str">
        <f>IFERROR(VLOOKUP($A471,Devengado!$A$1:$AI$1,22,FALSE),"")</f>
        <v/>
      </c>
      <c r="BD471" s="224" t="str">
        <f>IFERROR(VLOOKUP($A471,Devengado!$A$1:$AI$1,23,FALSE),"")</f>
        <v/>
      </c>
      <c r="BE471" s="224" t="str">
        <f>IFERROR(VLOOKUP($A471,Devengado!$A$1:$AI$1,24,FALSE),"")</f>
        <v/>
      </c>
      <c r="BF471" s="224" t="str">
        <f>IFERROR(VLOOKUP($A471,Devengado!$A$1:$AI$1,25,FALSE),"")</f>
        <v/>
      </c>
      <c r="BG471" s="224" t="str">
        <f>IFERROR(VLOOKUP($A471,Devengado!$A$1:$AI$1,26,FALSE),"")</f>
        <v/>
      </c>
      <c r="BH471" s="224" t="str">
        <f>IFERROR(VLOOKUP($A471,Devengado!$A$1:$AI$1,27,FALSE),"")</f>
        <v/>
      </c>
      <c r="BI471" s="224" t="str">
        <f>IFERROR(VLOOKUP($A471,Devengado!$A$1:$AI$1,28,FALSE),"")</f>
        <v/>
      </c>
      <c r="BJ471" s="224" t="str">
        <f>IFERROR(VLOOKUP($A471,Devengado!$A$1:$AI$1,29,FALSE),"")</f>
        <v/>
      </c>
      <c r="BK471" s="224" t="str">
        <f>IFERROR(VLOOKUP($A471,Devengado!$A$1:$AI$1,30,FALSE),"")</f>
        <v/>
      </c>
      <c r="BL471" s="224" t="str">
        <f>IFERROR(VLOOKUP($A471,Devengado!$A$1:$AI$1,31,FALSE),"")</f>
        <v/>
      </c>
      <c r="BM471" s="224" t="str">
        <f>IFERROR(VLOOKUP($A471,Devengado!$A$1:$AI$1,32,FALSE),"")</f>
        <v/>
      </c>
      <c r="BN471" s="224" t="str">
        <f>IFERROR(VLOOKUP($A471,Devengado!$A$1:$AI$1,33,FALSE),"")</f>
        <v/>
      </c>
      <c r="BO471" s="224">
        <f t="shared" si="60"/>
        <v>0</v>
      </c>
      <c r="BP471" s="224" t="str">
        <f t="shared" si="61"/>
        <v/>
      </c>
      <c r="BQ471" s="207"/>
      <c r="BR471" s="207" t="str">
        <f t="shared" si="62"/>
        <v>53</v>
      </c>
    </row>
    <row r="472" spans="1:70" s="225" customFormat="1" ht="25.5" customHeight="1">
      <c r="A472" s="207">
        <v>468</v>
      </c>
      <c r="B472" s="112" t="s">
        <v>429</v>
      </c>
      <c r="C472" s="112" t="s">
        <v>77</v>
      </c>
      <c r="D472" s="112" t="s">
        <v>77</v>
      </c>
      <c r="E472" s="112" t="s">
        <v>76</v>
      </c>
      <c r="F472" s="112" t="s">
        <v>77</v>
      </c>
      <c r="G472" s="112" t="s">
        <v>77</v>
      </c>
      <c r="H472" s="112" t="s">
        <v>77</v>
      </c>
      <c r="I472" s="112" t="s">
        <v>77</v>
      </c>
      <c r="J472" s="112" t="s">
        <v>77</v>
      </c>
      <c r="K472" s="112" t="s">
        <v>77</v>
      </c>
      <c r="L472" s="112" t="s">
        <v>85</v>
      </c>
      <c r="M472" s="124" t="s">
        <v>475</v>
      </c>
      <c r="N472" s="114" t="s">
        <v>430</v>
      </c>
      <c r="O472" s="114" t="s">
        <v>111</v>
      </c>
      <c r="P472" s="114" t="s">
        <v>81</v>
      </c>
      <c r="Q472" s="114" t="s">
        <v>112</v>
      </c>
      <c r="R472" s="115" t="str">
        <f t="shared" si="56"/>
        <v>53</v>
      </c>
      <c r="S472" s="124">
        <v>530701</v>
      </c>
      <c r="T472" s="122" t="e">
        <f>VLOOKUP(S472,ITEM!$C$1:$D$156,2,FALSE)</f>
        <v>#N/A</v>
      </c>
      <c r="U472" s="112">
        <v>1309</v>
      </c>
      <c r="V472" s="114" t="s">
        <v>82</v>
      </c>
      <c r="W472" s="114" t="s">
        <v>84</v>
      </c>
      <c r="X472" s="114" t="s">
        <v>84</v>
      </c>
      <c r="Y472" s="224">
        <f>'Matriz POA 2024-TRABAJO'!AS58</f>
        <v>0</v>
      </c>
      <c r="Z472" s="224">
        <f>'Matriz POA 2024-TRABAJO'!AT58</f>
        <v>0</v>
      </c>
      <c r="AA472" s="224">
        <f>'Matriz POA 2024-TRABAJO'!AU58</f>
        <v>0</v>
      </c>
      <c r="AB472" s="279"/>
      <c r="AC472" s="279"/>
      <c r="AD472" s="279"/>
      <c r="AE472" s="279"/>
      <c r="AF472" s="279"/>
      <c r="AG472" s="279"/>
      <c r="AH472" s="279"/>
      <c r="AI472" s="279"/>
      <c r="AJ472" s="279"/>
      <c r="AK472" s="279"/>
      <c r="AL472" s="279"/>
      <c r="AM472" s="279"/>
      <c r="AN472" s="224" t="e">
        <f>SUM(#REF!)</f>
        <v>#REF!</v>
      </c>
      <c r="AO472" s="224">
        <f t="shared" si="57"/>
        <v>0</v>
      </c>
      <c r="AP472" s="224">
        <f t="shared" si="63"/>
        <v>0</v>
      </c>
      <c r="AQ472" s="224"/>
      <c r="AR472" s="224"/>
      <c r="AS472" s="224"/>
      <c r="AT472" s="224" t="str">
        <f>IFERROR(VLOOKUP($A472,'Constancias POA'!$A$2:$DH$9993,17,FALSE),"")</f>
        <v/>
      </c>
      <c r="AU472" s="224" t="str">
        <f t="shared" si="58"/>
        <v/>
      </c>
      <c r="AV472" s="224" t="str">
        <f>IFERROR(VLOOKUP($A472,CP!$A$1:$U$7992,18,FALSE),"")</f>
        <v/>
      </c>
      <c r="AW472" s="224" t="str">
        <f>IFERROR(VLOOKUP($A472,CP!$A$1:$U$7992,19,FALSE),"")</f>
        <v/>
      </c>
      <c r="AX472" s="224" t="str">
        <f>IFERROR(VLOOKUP($A472,CP!$A$1:$U$7992,20,FALSE),"")</f>
        <v/>
      </c>
      <c r="AY472" s="224" t="str">
        <f>IFERROR(VLOOKUP($A472,CP!$A$1:$U$1,21,FALSE),"")</f>
        <v/>
      </c>
      <c r="AZ472" s="224" t="str">
        <f>IFERROR(VLOOKUP(A472,Devengado!$A$1:AJ1,35,FALSE),"")</f>
        <v/>
      </c>
      <c r="BA472" s="224" t="str">
        <f t="shared" si="59"/>
        <v/>
      </c>
      <c r="BB472" s="224" t="str">
        <f>IFERROR(AZ472/#REF!,"")</f>
        <v/>
      </c>
      <c r="BC472" s="224" t="str">
        <f>IFERROR(VLOOKUP($A472,Devengado!$A$1:$AI$1,22,FALSE),"")</f>
        <v/>
      </c>
      <c r="BD472" s="224" t="str">
        <f>IFERROR(VLOOKUP($A472,Devengado!$A$1:$AI$1,23,FALSE),"")</f>
        <v/>
      </c>
      <c r="BE472" s="224" t="str">
        <f>IFERROR(VLOOKUP($A472,Devengado!$A$1:$AI$1,24,FALSE),"")</f>
        <v/>
      </c>
      <c r="BF472" s="224" t="str">
        <f>IFERROR(VLOOKUP($A472,Devengado!$A$1:$AI$1,25,FALSE),"")</f>
        <v/>
      </c>
      <c r="BG472" s="224" t="str">
        <f>IFERROR(VLOOKUP($A472,Devengado!$A$1:$AI$1,26,FALSE),"")</f>
        <v/>
      </c>
      <c r="BH472" s="224" t="str">
        <f>IFERROR(VLOOKUP($A472,Devengado!$A$1:$AI$1,27,FALSE),"")</f>
        <v/>
      </c>
      <c r="BI472" s="224" t="str">
        <f>IFERROR(VLOOKUP($A472,Devengado!$A$1:$AI$1,28,FALSE),"")</f>
        <v/>
      </c>
      <c r="BJ472" s="224" t="str">
        <f>IFERROR(VLOOKUP($A472,Devengado!$A$1:$AI$1,29,FALSE),"")</f>
        <v/>
      </c>
      <c r="BK472" s="224" t="str">
        <f>IFERROR(VLOOKUP($A472,Devengado!$A$1:$AI$1,30,FALSE),"")</f>
        <v/>
      </c>
      <c r="BL472" s="224" t="str">
        <f>IFERROR(VLOOKUP($A472,Devengado!$A$1:$AI$1,31,FALSE),"")</f>
        <v/>
      </c>
      <c r="BM472" s="224" t="str">
        <f>IFERROR(VLOOKUP($A472,Devengado!$A$1:$AI$1,32,FALSE),"")</f>
        <v/>
      </c>
      <c r="BN472" s="224" t="str">
        <f>IFERROR(VLOOKUP($A472,Devengado!$A$1:$AI$1,33,FALSE),"")</f>
        <v/>
      </c>
      <c r="BO472" s="224">
        <f t="shared" si="60"/>
        <v>0</v>
      </c>
      <c r="BP472" s="224" t="str">
        <f t="shared" si="61"/>
        <v/>
      </c>
      <c r="BQ472" s="207"/>
      <c r="BR472" s="207" t="str">
        <f t="shared" si="62"/>
        <v>53</v>
      </c>
    </row>
    <row r="473" spans="1:70" s="225" customFormat="1" ht="25.5" customHeight="1">
      <c r="A473" s="207">
        <v>469</v>
      </c>
      <c r="B473" s="112" t="s">
        <v>429</v>
      </c>
      <c r="C473" s="112" t="s">
        <v>77</v>
      </c>
      <c r="D473" s="112" t="s">
        <v>77</v>
      </c>
      <c r="E473" s="112" t="s">
        <v>76</v>
      </c>
      <c r="F473" s="112" t="s">
        <v>77</v>
      </c>
      <c r="G473" s="112" t="s">
        <v>77</v>
      </c>
      <c r="H473" s="112" t="s">
        <v>77</v>
      </c>
      <c r="I473" s="112" t="s">
        <v>77</v>
      </c>
      <c r="J473" s="112" t="s">
        <v>77</v>
      </c>
      <c r="K473" s="112" t="s">
        <v>77</v>
      </c>
      <c r="L473" s="112" t="s">
        <v>85</v>
      </c>
      <c r="M473" s="124" t="s">
        <v>476</v>
      </c>
      <c r="N473" s="114" t="s">
        <v>430</v>
      </c>
      <c r="O473" s="114" t="s">
        <v>111</v>
      </c>
      <c r="P473" s="114" t="s">
        <v>81</v>
      </c>
      <c r="Q473" s="114" t="s">
        <v>112</v>
      </c>
      <c r="R473" s="115" t="str">
        <f t="shared" si="56"/>
        <v>53</v>
      </c>
      <c r="S473" s="124">
        <v>530701</v>
      </c>
      <c r="T473" s="122" t="e">
        <f>VLOOKUP(S473,ITEM!$C$1:$D$156,2,FALSE)</f>
        <v>#N/A</v>
      </c>
      <c r="U473" s="112">
        <v>1309</v>
      </c>
      <c r="V473" s="114" t="s">
        <v>82</v>
      </c>
      <c r="W473" s="114" t="s">
        <v>84</v>
      </c>
      <c r="X473" s="114" t="s">
        <v>84</v>
      </c>
      <c r="Y473" s="224">
        <f>'Matriz POA 2024-TRABAJO'!AS59</f>
        <v>400</v>
      </c>
      <c r="Z473" s="224">
        <f>'Matriz POA 2024-TRABAJO'!AT59</f>
        <v>0</v>
      </c>
      <c r="AA473" s="224">
        <f>'Matriz POA 2024-TRABAJO'!AU59</f>
        <v>400</v>
      </c>
      <c r="AB473" s="279">
        <v>0</v>
      </c>
      <c r="AC473" s="279">
        <v>0</v>
      </c>
      <c r="AD473" s="279">
        <v>0</v>
      </c>
      <c r="AE473" s="279">
        <v>0</v>
      </c>
      <c r="AF473" s="279">
        <v>0</v>
      </c>
      <c r="AG473" s="279">
        <v>0</v>
      </c>
      <c r="AH473" s="279">
        <v>400</v>
      </c>
      <c r="AI473" s="279">
        <v>0</v>
      </c>
      <c r="AJ473" s="279">
        <v>0</v>
      </c>
      <c r="AK473" s="279">
        <v>0</v>
      </c>
      <c r="AL473" s="279">
        <v>0</v>
      </c>
      <c r="AM473" s="279">
        <v>0</v>
      </c>
      <c r="AN473" s="224" t="e">
        <f>SUM(#REF!)</f>
        <v>#REF!</v>
      </c>
      <c r="AO473" s="224">
        <f t="shared" si="57"/>
        <v>400</v>
      </c>
      <c r="AP473" s="224">
        <f t="shared" si="63"/>
        <v>0</v>
      </c>
      <c r="AQ473" s="224"/>
      <c r="AR473" s="224"/>
      <c r="AS473" s="224"/>
      <c r="AT473" s="224">
        <f>IFERROR(VLOOKUP($A473,'Constancias POA'!$A$2:$DH$9993,17,FALSE),"")</f>
        <v>400</v>
      </c>
      <c r="AU473" s="224">
        <f t="shared" si="58"/>
        <v>0</v>
      </c>
      <c r="AV473" s="224">
        <f>IFERROR(VLOOKUP($A473,CP!$A$1:$U$7992,18,FALSE),"")</f>
        <v>400</v>
      </c>
      <c r="AW473" s="224">
        <f>IFERROR(VLOOKUP($A473,CP!$A$1:$U$7992,19,FALSE),"")</f>
        <v>0</v>
      </c>
      <c r="AX473" s="224">
        <f>IFERROR(VLOOKUP($A473,CP!$A$1:$U$7992,20,FALSE),"")</f>
        <v>400</v>
      </c>
      <c r="AY473" s="224" t="str">
        <f>IFERROR(VLOOKUP($A473,CP!$A$1:$U$1,21,FALSE),"")</f>
        <v/>
      </c>
      <c r="AZ473" s="224" t="str">
        <f>IFERROR(VLOOKUP(A473,Devengado!$A$1:AJ1,35,FALSE),"")</f>
        <v/>
      </c>
      <c r="BA473" s="224" t="str">
        <f t="shared" si="59"/>
        <v/>
      </c>
      <c r="BB473" s="224" t="str">
        <f>IFERROR(AZ473/#REF!,"")</f>
        <v/>
      </c>
      <c r="BC473" s="224" t="str">
        <f>IFERROR(VLOOKUP($A473,Devengado!$A$1:$AI$1,22,FALSE),"")</f>
        <v/>
      </c>
      <c r="BD473" s="224" t="str">
        <f>IFERROR(VLOOKUP($A473,Devengado!$A$1:$AI$1,23,FALSE),"")</f>
        <v/>
      </c>
      <c r="BE473" s="224" t="str">
        <f>IFERROR(VLOOKUP($A473,Devengado!$A$1:$AI$1,24,FALSE),"")</f>
        <v/>
      </c>
      <c r="BF473" s="224" t="str">
        <f>IFERROR(VLOOKUP($A473,Devengado!$A$1:$AI$1,25,FALSE),"")</f>
        <v/>
      </c>
      <c r="BG473" s="224" t="str">
        <f>IFERROR(VLOOKUP($A473,Devengado!$A$1:$AI$1,26,FALSE),"")</f>
        <v/>
      </c>
      <c r="BH473" s="224" t="str">
        <f>IFERROR(VLOOKUP($A473,Devengado!$A$1:$AI$1,27,FALSE),"")</f>
        <v/>
      </c>
      <c r="BI473" s="224" t="str">
        <f>IFERROR(VLOOKUP($A473,Devengado!$A$1:$AI$1,28,FALSE),"")</f>
        <v/>
      </c>
      <c r="BJ473" s="224" t="str">
        <f>IFERROR(VLOOKUP($A473,Devengado!$A$1:$AI$1,29,FALSE),"")</f>
        <v/>
      </c>
      <c r="BK473" s="224" t="str">
        <f>IFERROR(VLOOKUP($A473,Devengado!$A$1:$AI$1,30,FALSE),"")</f>
        <v/>
      </c>
      <c r="BL473" s="224" t="str">
        <f>IFERROR(VLOOKUP($A473,Devengado!$A$1:$AI$1,31,FALSE),"")</f>
        <v/>
      </c>
      <c r="BM473" s="224" t="str">
        <f>IFERROR(VLOOKUP($A473,Devengado!$A$1:$AI$1,32,FALSE),"")</f>
        <v/>
      </c>
      <c r="BN473" s="224" t="str">
        <f>IFERROR(VLOOKUP($A473,Devengado!$A$1:$AI$1,33,FALSE),"")</f>
        <v/>
      </c>
      <c r="BO473" s="224">
        <f t="shared" si="60"/>
        <v>0</v>
      </c>
      <c r="BP473" s="224" t="str">
        <f t="shared" si="61"/>
        <v/>
      </c>
      <c r="BQ473" s="207"/>
      <c r="BR473" s="207" t="str">
        <f t="shared" si="62"/>
        <v>53</v>
      </c>
    </row>
    <row r="474" spans="1:70" s="225" customFormat="1" ht="25.5" customHeight="1">
      <c r="A474" s="207">
        <v>470</v>
      </c>
      <c r="B474" s="112" t="s">
        <v>429</v>
      </c>
      <c r="C474" s="112" t="s">
        <v>77</v>
      </c>
      <c r="D474" s="112" t="s">
        <v>77</v>
      </c>
      <c r="E474" s="112" t="s">
        <v>76</v>
      </c>
      <c r="F474" s="112" t="s">
        <v>77</v>
      </c>
      <c r="G474" s="112" t="s">
        <v>77</v>
      </c>
      <c r="H474" s="112" t="s">
        <v>77</v>
      </c>
      <c r="I474" s="112" t="s">
        <v>77</v>
      </c>
      <c r="J474" s="112" t="s">
        <v>77</v>
      </c>
      <c r="K474" s="112" t="s">
        <v>77</v>
      </c>
      <c r="L474" s="112" t="s">
        <v>85</v>
      </c>
      <c r="M474" s="124" t="s">
        <v>477</v>
      </c>
      <c r="N474" s="114" t="s">
        <v>430</v>
      </c>
      <c r="O474" s="114" t="s">
        <v>111</v>
      </c>
      <c r="P474" s="114" t="s">
        <v>81</v>
      </c>
      <c r="Q474" s="114" t="s">
        <v>112</v>
      </c>
      <c r="R474" s="115" t="str">
        <f t="shared" si="56"/>
        <v>53</v>
      </c>
      <c r="S474" s="124">
        <v>530701</v>
      </c>
      <c r="T474" s="122" t="e">
        <f>VLOOKUP(S474,ITEM!$C$1:$D$156,2,FALSE)</f>
        <v>#N/A</v>
      </c>
      <c r="U474" s="112">
        <v>1309</v>
      </c>
      <c r="V474" s="114" t="s">
        <v>82</v>
      </c>
      <c r="W474" s="114" t="s">
        <v>84</v>
      </c>
      <c r="X474" s="114" t="s">
        <v>84</v>
      </c>
      <c r="Y474" s="224">
        <f>'Matriz POA 2024-TRABAJO'!AS60</f>
        <v>400</v>
      </c>
      <c r="Z474" s="224">
        <f>'Matriz POA 2024-TRABAJO'!AT60</f>
        <v>0</v>
      </c>
      <c r="AA474" s="224">
        <f>'Matriz POA 2024-TRABAJO'!AU60</f>
        <v>400</v>
      </c>
      <c r="AB474" s="279">
        <v>0</v>
      </c>
      <c r="AC474" s="279">
        <v>0</v>
      </c>
      <c r="AD474" s="279">
        <v>0</v>
      </c>
      <c r="AE474" s="279">
        <v>0</v>
      </c>
      <c r="AF474" s="279">
        <v>0</v>
      </c>
      <c r="AG474" s="279">
        <v>0</v>
      </c>
      <c r="AH474" s="279">
        <v>0</v>
      </c>
      <c r="AI474" s="279">
        <v>0</v>
      </c>
      <c r="AJ474" s="279">
        <v>400</v>
      </c>
      <c r="AK474" s="279">
        <v>0</v>
      </c>
      <c r="AL474" s="279">
        <v>0</v>
      </c>
      <c r="AM474" s="279">
        <v>0</v>
      </c>
      <c r="AN474" s="224" t="e">
        <f>SUM(#REF!)</f>
        <v>#REF!</v>
      </c>
      <c r="AO474" s="224">
        <f t="shared" si="57"/>
        <v>400</v>
      </c>
      <c r="AP474" s="224">
        <f t="shared" si="63"/>
        <v>0</v>
      </c>
      <c r="AQ474" s="224"/>
      <c r="AR474" s="224"/>
      <c r="AS474" s="224"/>
      <c r="AT474" s="224">
        <f>IFERROR(VLOOKUP($A474,'Constancias POA'!$A$2:$DH$9993,17,FALSE),"")</f>
        <v>400</v>
      </c>
      <c r="AU474" s="224">
        <f t="shared" si="58"/>
        <v>0</v>
      </c>
      <c r="AV474" s="224">
        <f>IFERROR(VLOOKUP($A474,CP!$A$1:$U$7992,18,FALSE),"")</f>
        <v>400</v>
      </c>
      <c r="AW474" s="224">
        <f>IFERROR(VLOOKUP($A474,CP!$A$1:$U$7992,19,FALSE),"")</f>
        <v>0</v>
      </c>
      <c r="AX474" s="224">
        <f>IFERROR(VLOOKUP($A474,CP!$A$1:$U$7992,20,FALSE),"")</f>
        <v>400</v>
      </c>
      <c r="AY474" s="224" t="str">
        <f>IFERROR(VLOOKUP($A474,CP!$A$1:$U$1,21,FALSE),"")</f>
        <v/>
      </c>
      <c r="AZ474" s="224" t="str">
        <f>IFERROR(VLOOKUP(A474,Devengado!$A$1:AJ1,35,FALSE),"")</f>
        <v/>
      </c>
      <c r="BA474" s="224" t="str">
        <f t="shared" si="59"/>
        <v/>
      </c>
      <c r="BB474" s="224" t="str">
        <f>IFERROR(AZ474/#REF!,"")</f>
        <v/>
      </c>
      <c r="BC474" s="224" t="str">
        <f>IFERROR(VLOOKUP($A474,Devengado!$A$1:$AI$1,22,FALSE),"")</f>
        <v/>
      </c>
      <c r="BD474" s="224" t="str">
        <f>IFERROR(VLOOKUP($A474,Devengado!$A$1:$AI$1,23,FALSE),"")</f>
        <v/>
      </c>
      <c r="BE474" s="224" t="str">
        <f>IFERROR(VLOOKUP($A474,Devengado!$A$1:$AI$1,24,FALSE),"")</f>
        <v/>
      </c>
      <c r="BF474" s="224" t="str">
        <f>IFERROR(VLOOKUP($A474,Devengado!$A$1:$AI$1,25,FALSE),"")</f>
        <v/>
      </c>
      <c r="BG474" s="224" t="str">
        <f>IFERROR(VLOOKUP($A474,Devengado!$A$1:$AI$1,26,FALSE),"")</f>
        <v/>
      </c>
      <c r="BH474" s="224" t="str">
        <f>IFERROR(VLOOKUP($A474,Devengado!$A$1:$AI$1,27,FALSE),"")</f>
        <v/>
      </c>
      <c r="BI474" s="224" t="str">
        <f>IFERROR(VLOOKUP($A474,Devengado!$A$1:$AI$1,28,FALSE),"")</f>
        <v/>
      </c>
      <c r="BJ474" s="224" t="str">
        <f>IFERROR(VLOOKUP($A474,Devengado!$A$1:$AI$1,29,FALSE),"")</f>
        <v/>
      </c>
      <c r="BK474" s="224" t="str">
        <f>IFERROR(VLOOKUP($A474,Devengado!$A$1:$AI$1,30,FALSE),"")</f>
        <v/>
      </c>
      <c r="BL474" s="224" t="str">
        <f>IFERROR(VLOOKUP($A474,Devengado!$A$1:$AI$1,31,FALSE),"")</f>
        <v/>
      </c>
      <c r="BM474" s="224" t="str">
        <f>IFERROR(VLOOKUP($A474,Devengado!$A$1:$AI$1,32,FALSE),"")</f>
        <v/>
      </c>
      <c r="BN474" s="224" t="str">
        <f>IFERROR(VLOOKUP($A474,Devengado!$A$1:$AI$1,33,FALSE),"")</f>
        <v/>
      </c>
      <c r="BO474" s="224">
        <f t="shared" si="60"/>
        <v>0</v>
      </c>
      <c r="BP474" s="224" t="str">
        <f t="shared" si="61"/>
        <v/>
      </c>
      <c r="BQ474" s="207"/>
      <c r="BR474" s="207" t="str">
        <f t="shared" si="62"/>
        <v>53</v>
      </c>
    </row>
    <row r="475" spans="1:70" s="225" customFormat="1" ht="25.5" customHeight="1">
      <c r="A475" s="207">
        <v>471</v>
      </c>
      <c r="B475" s="112" t="s">
        <v>429</v>
      </c>
      <c r="C475" s="112" t="s">
        <v>77</v>
      </c>
      <c r="D475" s="112" t="s">
        <v>77</v>
      </c>
      <c r="E475" s="112" t="s">
        <v>76</v>
      </c>
      <c r="F475" s="112" t="s">
        <v>77</v>
      </c>
      <c r="G475" s="112" t="s">
        <v>77</v>
      </c>
      <c r="H475" s="112" t="s">
        <v>77</v>
      </c>
      <c r="I475" s="112" t="s">
        <v>77</v>
      </c>
      <c r="J475" s="112" t="s">
        <v>77</v>
      </c>
      <c r="K475" s="112" t="s">
        <v>77</v>
      </c>
      <c r="L475" s="112" t="s">
        <v>85</v>
      </c>
      <c r="M475" s="124" t="s">
        <v>478</v>
      </c>
      <c r="N475" s="114" t="s">
        <v>430</v>
      </c>
      <c r="O475" s="114" t="s">
        <v>111</v>
      </c>
      <c r="P475" s="114" t="s">
        <v>81</v>
      </c>
      <c r="Q475" s="114" t="s">
        <v>112</v>
      </c>
      <c r="R475" s="115" t="str">
        <f t="shared" si="56"/>
        <v>53</v>
      </c>
      <c r="S475" s="124">
        <v>530402</v>
      </c>
      <c r="T475" s="122" t="str">
        <f>VLOOKUP(S475,ITEM!$C$1:$D$156,2,FALSE)</f>
        <v>Edificios, Locales, Residencias y Cableado Estructurado (Instalación, Mantenimiento y Reparación)</v>
      </c>
      <c r="U475" s="112">
        <v>1314</v>
      </c>
      <c r="V475" s="114" t="s">
        <v>82</v>
      </c>
      <c r="W475" s="114" t="s">
        <v>84</v>
      </c>
      <c r="X475" s="114" t="s">
        <v>84</v>
      </c>
      <c r="Y475" s="224">
        <f>'Matriz POA 2024-TRABAJO'!AS61</f>
        <v>0</v>
      </c>
      <c r="Z475" s="224">
        <f>'Matriz POA 2024-TRABAJO'!AT61</f>
        <v>0</v>
      </c>
      <c r="AA475" s="224">
        <f>'Matriz POA 2024-TRABAJO'!AU61</f>
        <v>0</v>
      </c>
      <c r="AB475" s="294"/>
      <c r="AC475" s="294"/>
      <c r="AD475" s="294"/>
      <c r="AE475" s="294"/>
      <c r="AF475" s="294"/>
      <c r="AG475" s="294"/>
      <c r="AH475" s="294"/>
      <c r="AI475" s="294"/>
      <c r="AJ475" s="294"/>
      <c r="AK475" s="294"/>
      <c r="AL475" s="294"/>
      <c r="AM475" s="294"/>
      <c r="AN475" s="224" t="e">
        <f>SUM(#REF!)</f>
        <v>#REF!</v>
      </c>
      <c r="AO475" s="224">
        <f t="shared" si="57"/>
        <v>0</v>
      </c>
      <c r="AP475" s="224">
        <f t="shared" si="63"/>
        <v>0</v>
      </c>
      <c r="AQ475" s="224"/>
      <c r="AR475" s="224"/>
      <c r="AS475" s="224"/>
      <c r="AT475" s="224">
        <f>IFERROR(VLOOKUP($A475,'Constancias POA'!$A$2:$DH$9993,17,FALSE),"")</f>
        <v>0</v>
      </c>
      <c r="AU475" s="224">
        <f t="shared" si="58"/>
        <v>0</v>
      </c>
      <c r="AV475" s="224">
        <f>IFERROR(VLOOKUP($A475,CP!$A$1:$U$7992,18,FALSE),"")</f>
        <v>0</v>
      </c>
      <c r="AW475" s="224">
        <f>IFERROR(VLOOKUP($A475,CP!$A$1:$U$7992,19,FALSE),"")</f>
        <v>0</v>
      </c>
      <c r="AX475" s="224">
        <f>IFERROR(VLOOKUP($A475,CP!$A$1:$U$7992,20,FALSE),"")</f>
        <v>0</v>
      </c>
      <c r="AY475" s="224" t="str">
        <f>IFERROR(VLOOKUP($A475,CP!$A$1:$U$1,21,FALSE),"")</f>
        <v/>
      </c>
      <c r="AZ475" s="224" t="str">
        <f>IFERROR(VLOOKUP(A475,Devengado!$A$1:AJ1,35,FALSE),"")</f>
        <v/>
      </c>
      <c r="BA475" s="224" t="str">
        <f t="shared" si="59"/>
        <v/>
      </c>
      <c r="BB475" s="224" t="str">
        <f>IFERROR(AZ475/#REF!,"")</f>
        <v/>
      </c>
      <c r="BC475" s="224" t="str">
        <f>IFERROR(VLOOKUP($A475,Devengado!$A$1:$AI$1,22,FALSE),"")</f>
        <v/>
      </c>
      <c r="BD475" s="224" t="str">
        <f>IFERROR(VLOOKUP($A475,Devengado!$A$1:$AI$1,23,FALSE),"")</f>
        <v/>
      </c>
      <c r="BE475" s="224" t="str">
        <f>IFERROR(VLOOKUP($A475,Devengado!$A$1:$AI$1,24,FALSE),"")</f>
        <v/>
      </c>
      <c r="BF475" s="224" t="str">
        <f>IFERROR(VLOOKUP($A475,Devengado!$A$1:$AI$1,25,FALSE),"")</f>
        <v/>
      </c>
      <c r="BG475" s="224" t="str">
        <f>IFERROR(VLOOKUP($A475,Devengado!$A$1:$AI$1,26,FALSE),"")</f>
        <v/>
      </c>
      <c r="BH475" s="224" t="str">
        <f>IFERROR(VLOOKUP($A475,Devengado!$A$1:$AI$1,27,FALSE),"")</f>
        <v/>
      </c>
      <c r="BI475" s="224" t="str">
        <f>IFERROR(VLOOKUP($A475,Devengado!$A$1:$AI$1,28,FALSE),"")</f>
        <v/>
      </c>
      <c r="BJ475" s="224" t="str">
        <f>IFERROR(VLOOKUP($A475,Devengado!$A$1:$AI$1,29,FALSE),"")</f>
        <v/>
      </c>
      <c r="BK475" s="224" t="str">
        <f>IFERROR(VLOOKUP($A475,Devengado!$A$1:$AI$1,30,FALSE),"")</f>
        <v/>
      </c>
      <c r="BL475" s="224" t="str">
        <f>IFERROR(VLOOKUP($A475,Devengado!$A$1:$AI$1,31,FALSE),"")</f>
        <v/>
      </c>
      <c r="BM475" s="224" t="str">
        <f>IFERROR(VLOOKUP($A475,Devengado!$A$1:$AI$1,32,FALSE),"")</f>
        <v/>
      </c>
      <c r="BN475" s="224" t="str">
        <f>IFERROR(VLOOKUP($A475,Devengado!$A$1:$AI$1,33,FALSE),"")</f>
        <v/>
      </c>
      <c r="BO475" s="224">
        <f t="shared" si="60"/>
        <v>0</v>
      </c>
      <c r="BP475" s="224" t="str">
        <f t="shared" si="61"/>
        <v/>
      </c>
      <c r="BQ475" s="207"/>
      <c r="BR475" s="207" t="str">
        <f t="shared" si="62"/>
        <v>53</v>
      </c>
    </row>
    <row r="476" spans="1:70" s="225" customFormat="1" ht="25.5" customHeight="1">
      <c r="A476" s="207">
        <v>472</v>
      </c>
      <c r="B476" s="112" t="s">
        <v>429</v>
      </c>
      <c r="C476" s="112" t="s">
        <v>77</v>
      </c>
      <c r="D476" s="112" t="s">
        <v>77</v>
      </c>
      <c r="E476" s="112" t="s">
        <v>76</v>
      </c>
      <c r="F476" s="112" t="s">
        <v>77</v>
      </c>
      <c r="G476" s="112" t="s">
        <v>77</v>
      </c>
      <c r="H476" s="112" t="s">
        <v>77</v>
      </c>
      <c r="I476" s="112" t="s">
        <v>77</v>
      </c>
      <c r="J476" s="112" t="s">
        <v>77</v>
      </c>
      <c r="K476" s="112" t="s">
        <v>77</v>
      </c>
      <c r="L476" s="112" t="s">
        <v>85</v>
      </c>
      <c r="M476" s="124" t="s">
        <v>479</v>
      </c>
      <c r="N476" s="114" t="s">
        <v>430</v>
      </c>
      <c r="O476" s="114" t="s">
        <v>111</v>
      </c>
      <c r="P476" s="114" t="s">
        <v>81</v>
      </c>
      <c r="Q476" s="114" t="s">
        <v>112</v>
      </c>
      <c r="R476" s="115" t="str">
        <f t="shared" si="56"/>
        <v>57</v>
      </c>
      <c r="S476" s="124">
        <v>570102</v>
      </c>
      <c r="T476" s="122" t="e">
        <f>VLOOKUP(S476,ITEM!$C$1:$D$156,2,FALSE)</f>
        <v>#N/A</v>
      </c>
      <c r="U476" s="112">
        <v>1309</v>
      </c>
      <c r="V476" s="114" t="s">
        <v>82</v>
      </c>
      <c r="W476" s="114" t="s">
        <v>84</v>
      </c>
      <c r="X476" s="114" t="s">
        <v>84</v>
      </c>
      <c r="Y476" s="224">
        <f>'Matriz POA 2024-TRABAJO'!AS62</f>
        <v>447.83000000000004</v>
      </c>
      <c r="Z476" s="224">
        <f>'Matriz POA 2024-TRABAJO'!AT62</f>
        <v>0</v>
      </c>
      <c r="AA476" s="224">
        <f>'Matriz POA 2024-TRABAJO'!AU62</f>
        <v>447.83000000000004</v>
      </c>
      <c r="AB476" s="279">
        <v>0</v>
      </c>
      <c r="AC476" s="279">
        <v>30</v>
      </c>
      <c r="AD476" s="279">
        <v>30</v>
      </c>
      <c r="AE476" s="279">
        <v>30</v>
      </c>
      <c r="AF476" s="279">
        <v>30</v>
      </c>
      <c r="AG476" s="279">
        <v>30</v>
      </c>
      <c r="AH476" s="279">
        <v>30</v>
      </c>
      <c r="AI476" s="279">
        <v>30</v>
      </c>
      <c r="AJ476" s="279">
        <v>30</v>
      </c>
      <c r="AK476" s="279">
        <v>30</v>
      </c>
      <c r="AL476" s="279">
        <v>30</v>
      </c>
      <c r="AM476" s="279">
        <v>0</v>
      </c>
      <c r="AN476" s="224" t="e">
        <f>SUM(#REF!)</f>
        <v>#REF!</v>
      </c>
      <c r="AO476" s="224">
        <f t="shared" si="57"/>
        <v>300</v>
      </c>
      <c r="AP476" s="224">
        <f t="shared" si="63"/>
        <v>-147.83000000000004</v>
      </c>
      <c r="AQ476" s="224"/>
      <c r="AR476" s="224"/>
      <c r="AS476" s="224"/>
      <c r="AT476" s="224">
        <f>IFERROR(VLOOKUP($A476,'Constancias POA'!$A$2:$DH$9993,17,FALSE),"")</f>
        <v>447.83000000000004</v>
      </c>
      <c r="AU476" s="224">
        <f t="shared" si="58"/>
        <v>0</v>
      </c>
      <c r="AV476" s="224">
        <f>IFERROR(VLOOKUP($A476,CP!$A$1:$U$7992,18,FALSE),"")</f>
        <v>447.83000000000004</v>
      </c>
      <c r="AW476" s="224">
        <f>IFERROR(VLOOKUP($A476,CP!$A$1:$U$7992,19,FALSE),"")</f>
        <v>447.83000000000004</v>
      </c>
      <c r="AX476" s="224">
        <f>IFERROR(VLOOKUP($A476,CP!$A$1:$U$7992,20,FALSE),"")</f>
        <v>0</v>
      </c>
      <c r="AY476" s="224" t="str">
        <f>IFERROR(VLOOKUP($A476,CP!$A$1:$U$1,21,FALSE),"")</f>
        <v/>
      </c>
      <c r="AZ476" s="224" t="str">
        <f>IFERROR(VLOOKUP(A476,Devengado!$A$1:AJ1,35,FALSE),"")</f>
        <v/>
      </c>
      <c r="BA476" s="224" t="str">
        <f t="shared" si="59"/>
        <v/>
      </c>
      <c r="BB476" s="224" t="str">
        <f>IFERROR(AZ476/#REF!,"")</f>
        <v/>
      </c>
      <c r="BC476" s="224" t="str">
        <f>IFERROR(VLOOKUP($A476,Devengado!$A$1:$AI$1,22,FALSE),"")</f>
        <v/>
      </c>
      <c r="BD476" s="224" t="str">
        <f>IFERROR(VLOOKUP($A476,Devengado!$A$1:$AI$1,23,FALSE),"")</f>
        <v/>
      </c>
      <c r="BE476" s="224" t="str">
        <f>IFERROR(VLOOKUP($A476,Devengado!$A$1:$AI$1,24,FALSE),"")</f>
        <v/>
      </c>
      <c r="BF476" s="224" t="str">
        <f>IFERROR(VLOOKUP($A476,Devengado!$A$1:$AI$1,25,FALSE),"")</f>
        <v/>
      </c>
      <c r="BG476" s="224" t="str">
        <f>IFERROR(VLOOKUP($A476,Devengado!$A$1:$AI$1,26,FALSE),"")</f>
        <v/>
      </c>
      <c r="BH476" s="224" t="str">
        <f>IFERROR(VLOOKUP($A476,Devengado!$A$1:$AI$1,27,FALSE),"")</f>
        <v/>
      </c>
      <c r="BI476" s="224" t="str">
        <f>IFERROR(VLOOKUP($A476,Devengado!$A$1:$AI$1,28,FALSE),"")</f>
        <v/>
      </c>
      <c r="BJ476" s="224" t="str">
        <f>IFERROR(VLOOKUP($A476,Devengado!$A$1:$AI$1,29,FALSE),"")</f>
        <v/>
      </c>
      <c r="BK476" s="224" t="str">
        <f>IFERROR(VLOOKUP($A476,Devengado!$A$1:$AI$1,30,FALSE),"")</f>
        <v/>
      </c>
      <c r="BL476" s="224" t="str">
        <f>IFERROR(VLOOKUP($A476,Devengado!$A$1:$AI$1,31,FALSE),"")</f>
        <v/>
      </c>
      <c r="BM476" s="224" t="str">
        <f>IFERROR(VLOOKUP($A476,Devengado!$A$1:$AI$1,32,FALSE),"")</f>
        <v/>
      </c>
      <c r="BN476" s="224" t="str">
        <f>IFERROR(VLOOKUP($A476,Devengado!$A$1:$AI$1,33,FALSE),"")</f>
        <v/>
      </c>
      <c r="BO476" s="224">
        <f t="shared" si="60"/>
        <v>0</v>
      </c>
      <c r="BP476" s="224" t="str">
        <f t="shared" si="61"/>
        <v/>
      </c>
      <c r="BQ476" s="207"/>
      <c r="BR476" s="207" t="str">
        <f t="shared" si="62"/>
        <v>57</v>
      </c>
    </row>
    <row r="477" spans="1:70" s="225" customFormat="1" ht="25.5" customHeight="1">
      <c r="A477" s="207">
        <v>473</v>
      </c>
      <c r="B477" s="112" t="s">
        <v>429</v>
      </c>
      <c r="C477" s="112" t="s">
        <v>77</v>
      </c>
      <c r="D477" s="112" t="s">
        <v>77</v>
      </c>
      <c r="E477" s="112" t="s">
        <v>76</v>
      </c>
      <c r="F477" s="112" t="s">
        <v>77</v>
      </c>
      <c r="G477" s="112" t="s">
        <v>77</v>
      </c>
      <c r="H477" s="112" t="s">
        <v>77</v>
      </c>
      <c r="I477" s="112" t="s">
        <v>77</v>
      </c>
      <c r="J477" s="112" t="s">
        <v>77</v>
      </c>
      <c r="K477" s="112" t="s">
        <v>77</v>
      </c>
      <c r="L477" s="112" t="s">
        <v>85</v>
      </c>
      <c r="M477" s="124" t="s">
        <v>480</v>
      </c>
      <c r="N477" s="114" t="s">
        <v>430</v>
      </c>
      <c r="O477" s="114" t="s">
        <v>111</v>
      </c>
      <c r="P477" s="114" t="s">
        <v>81</v>
      </c>
      <c r="Q477" s="114" t="s">
        <v>112</v>
      </c>
      <c r="R477" s="115" t="str">
        <f t="shared" si="56"/>
        <v>53</v>
      </c>
      <c r="S477" s="124">
        <v>530203</v>
      </c>
      <c r="T477" s="122" t="str">
        <f>VLOOKUP(S477,ITEM!$C$1:$D$156,2,FALSE)</f>
        <v>Almacenamiento, Embalaje, Desembalaje, Envase, Desenvase y Recarga de Extintores</v>
      </c>
      <c r="U477" s="112">
        <v>1309</v>
      </c>
      <c r="V477" s="114" t="s">
        <v>82</v>
      </c>
      <c r="W477" s="114" t="s">
        <v>84</v>
      </c>
      <c r="X477" s="114" t="s">
        <v>84</v>
      </c>
      <c r="Y477" s="224">
        <f>'Matriz POA 2024-TRABAJO'!AS63</f>
        <v>1600</v>
      </c>
      <c r="Z477" s="224">
        <f>'Matriz POA 2024-TRABAJO'!AT63</f>
        <v>0</v>
      </c>
      <c r="AA477" s="224">
        <f>'Matriz POA 2024-TRABAJO'!AU63</f>
        <v>1600</v>
      </c>
      <c r="AB477" s="279"/>
      <c r="AC477" s="279"/>
      <c r="AD477" s="279"/>
      <c r="AE477" s="279"/>
      <c r="AF477" s="279"/>
      <c r="AG477" s="279"/>
      <c r="AH477" s="279"/>
      <c r="AI477" s="279"/>
      <c r="AJ477" s="279"/>
      <c r="AK477" s="279"/>
      <c r="AL477" s="279"/>
      <c r="AM477" s="279"/>
      <c r="AN477" s="224" t="e">
        <f>SUM(#REF!)</f>
        <v>#REF!</v>
      </c>
      <c r="AO477" s="224">
        <f t="shared" si="57"/>
        <v>0</v>
      </c>
      <c r="AP477" s="224">
        <f t="shared" si="63"/>
        <v>-1600</v>
      </c>
      <c r="AQ477" s="224"/>
      <c r="AR477" s="224"/>
      <c r="AS477" s="224"/>
      <c r="AT477" s="224">
        <f>IFERROR(VLOOKUP($A477,'Constancias POA'!$A$2:$DH$9993,17,FALSE),"")</f>
        <v>1600</v>
      </c>
      <c r="AU477" s="224">
        <f t="shared" si="58"/>
        <v>0</v>
      </c>
      <c r="AV477" s="224">
        <f>IFERROR(VLOOKUP($A477,CP!$A$1:$U$7992,18,FALSE),"")</f>
        <v>1600</v>
      </c>
      <c r="AW477" s="224">
        <f>IFERROR(VLOOKUP($A477,CP!$A$1:$U$7992,19,FALSE),"")</f>
        <v>1549</v>
      </c>
      <c r="AX477" s="224">
        <f>IFERROR(VLOOKUP($A477,CP!$A$1:$U$7992,20,FALSE),"")</f>
        <v>51</v>
      </c>
      <c r="AY477" s="224" t="str">
        <f>IFERROR(VLOOKUP($A477,CP!$A$1:$U$1,21,FALSE),"")</f>
        <v/>
      </c>
      <c r="AZ477" s="224" t="str">
        <f>IFERROR(VLOOKUP(A477,Devengado!$A$1:AJ1,35,FALSE),"")</f>
        <v/>
      </c>
      <c r="BA477" s="224" t="str">
        <f t="shared" si="59"/>
        <v/>
      </c>
      <c r="BB477" s="224" t="str">
        <f>IFERROR(AZ477/#REF!,"")</f>
        <v/>
      </c>
      <c r="BC477" s="224" t="str">
        <f>IFERROR(VLOOKUP($A477,Devengado!$A$1:$AI$1,22,FALSE),"")</f>
        <v/>
      </c>
      <c r="BD477" s="224" t="str">
        <f>IFERROR(VLOOKUP($A477,Devengado!$A$1:$AI$1,23,FALSE),"")</f>
        <v/>
      </c>
      <c r="BE477" s="224" t="str">
        <f>IFERROR(VLOOKUP($A477,Devengado!$A$1:$AI$1,24,FALSE),"")</f>
        <v/>
      </c>
      <c r="BF477" s="224" t="str">
        <f>IFERROR(VLOOKUP($A477,Devengado!$A$1:$AI$1,25,FALSE),"")</f>
        <v/>
      </c>
      <c r="BG477" s="224" t="str">
        <f>IFERROR(VLOOKUP($A477,Devengado!$A$1:$AI$1,26,FALSE),"")</f>
        <v/>
      </c>
      <c r="BH477" s="224" t="str">
        <f>IFERROR(VLOOKUP($A477,Devengado!$A$1:$AI$1,27,FALSE),"")</f>
        <v/>
      </c>
      <c r="BI477" s="224" t="str">
        <f>IFERROR(VLOOKUP($A477,Devengado!$A$1:$AI$1,28,FALSE),"")</f>
        <v/>
      </c>
      <c r="BJ477" s="224" t="str">
        <f>IFERROR(VLOOKUP($A477,Devengado!$A$1:$AI$1,29,FALSE),"")</f>
        <v/>
      </c>
      <c r="BK477" s="224" t="str">
        <f>IFERROR(VLOOKUP($A477,Devengado!$A$1:$AI$1,30,FALSE),"")</f>
        <v/>
      </c>
      <c r="BL477" s="224" t="str">
        <f>IFERROR(VLOOKUP($A477,Devengado!$A$1:$AI$1,31,FALSE),"")</f>
        <v/>
      </c>
      <c r="BM477" s="224" t="str">
        <f>IFERROR(VLOOKUP($A477,Devengado!$A$1:$AI$1,32,FALSE),"")</f>
        <v/>
      </c>
      <c r="BN477" s="224" t="str">
        <f>IFERROR(VLOOKUP($A477,Devengado!$A$1:$AI$1,33,FALSE),"")</f>
        <v/>
      </c>
      <c r="BO477" s="224">
        <f t="shared" si="60"/>
        <v>0</v>
      </c>
      <c r="BP477" s="224" t="str">
        <f t="shared" si="61"/>
        <v/>
      </c>
      <c r="BQ477" s="207"/>
      <c r="BR477" s="207" t="str">
        <f t="shared" si="62"/>
        <v>53</v>
      </c>
    </row>
    <row r="478" spans="1:70" s="225" customFormat="1" ht="25.5" customHeight="1">
      <c r="A478" s="207">
        <v>474</v>
      </c>
      <c r="B478" s="112" t="s">
        <v>429</v>
      </c>
      <c r="C478" s="112" t="s">
        <v>77</v>
      </c>
      <c r="D478" s="112" t="s">
        <v>77</v>
      </c>
      <c r="E478" s="112" t="s">
        <v>76</v>
      </c>
      <c r="F478" s="112" t="s">
        <v>77</v>
      </c>
      <c r="G478" s="112" t="s">
        <v>77</v>
      </c>
      <c r="H478" s="112" t="s">
        <v>77</v>
      </c>
      <c r="I478" s="112" t="s">
        <v>77</v>
      </c>
      <c r="J478" s="112" t="s">
        <v>77</v>
      </c>
      <c r="K478" s="112" t="s">
        <v>77</v>
      </c>
      <c r="L478" s="112" t="s">
        <v>85</v>
      </c>
      <c r="M478" s="124" t="s">
        <v>481</v>
      </c>
      <c r="N478" s="114" t="s">
        <v>430</v>
      </c>
      <c r="O478" s="114" t="s">
        <v>111</v>
      </c>
      <c r="P478" s="114" t="s">
        <v>81</v>
      </c>
      <c r="Q478" s="114" t="s">
        <v>112</v>
      </c>
      <c r="R478" s="115" t="str">
        <f t="shared" si="56"/>
        <v>53</v>
      </c>
      <c r="S478" s="124">
        <v>530228</v>
      </c>
      <c r="T478" s="122" t="str">
        <f>VLOOKUP(S478,ITEM!$C$1:$D$156,2,FALSE)</f>
        <v>Servicios de Provisión de Dispositivos Electrónicos y Certificación para Registro de Firmas Digitales</v>
      </c>
      <c r="U478" s="112">
        <v>1309</v>
      </c>
      <c r="V478" s="114" t="s">
        <v>82</v>
      </c>
      <c r="W478" s="114" t="s">
        <v>84</v>
      </c>
      <c r="X478" s="114" t="s">
        <v>84</v>
      </c>
      <c r="Y478" s="224">
        <f>'Matriz POA 2024-TRABAJO'!AS64</f>
        <v>20.16</v>
      </c>
      <c r="Z478" s="224">
        <f>'Matriz POA 2024-TRABAJO'!AT64</f>
        <v>0</v>
      </c>
      <c r="AA478" s="224">
        <f>'Matriz POA 2024-TRABAJO'!AU64</f>
        <v>20.16</v>
      </c>
      <c r="AB478" s="279">
        <v>0</v>
      </c>
      <c r="AC478" s="279">
        <v>0</v>
      </c>
      <c r="AD478" s="279">
        <v>0</v>
      </c>
      <c r="AE478" s="279">
        <v>30</v>
      </c>
      <c r="AF478" s="279">
        <v>0</v>
      </c>
      <c r="AG478" s="279">
        <v>0</v>
      </c>
      <c r="AH478" s="279">
        <v>0</v>
      </c>
      <c r="AI478" s="279">
        <v>0</v>
      </c>
      <c r="AJ478" s="279">
        <v>0</v>
      </c>
      <c r="AK478" s="279">
        <v>0</v>
      </c>
      <c r="AL478" s="279">
        <v>0</v>
      </c>
      <c r="AM478" s="279">
        <v>0</v>
      </c>
      <c r="AN478" s="224" t="e">
        <f>SUM(#REF!)</f>
        <v>#REF!</v>
      </c>
      <c r="AO478" s="224">
        <f t="shared" si="57"/>
        <v>30</v>
      </c>
      <c r="AP478" s="224">
        <f t="shared" si="63"/>
        <v>9.84</v>
      </c>
      <c r="AQ478" s="224"/>
      <c r="AR478" s="224"/>
      <c r="AS478" s="224"/>
      <c r="AT478" s="224">
        <f>IFERROR(VLOOKUP($A478,'Constancias POA'!$A$2:$DH$9993,17,FALSE),"")</f>
        <v>20.16</v>
      </c>
      <c r="AU478" s="224">
        <f t="shared" si="58"/>
        <v>0</v>
      </c>
      <c r="AV478" s="224">
        <f>IFERROR(VLOOKUP($A478,CP!$A$1:$U$7992,18,FALSE),"")</f>
        <v>0</v>
      </c>
      <c r="AW478" s="224">
        <f>IFERROR(VLOOKUP($A478,CP!$A$1:$U$7992,19,FALSE),"")</f>
        <v>20.16</v>
      </c>
      <c r="AX478" s="224">
        <f>IFERROR(VLOOKUP($A478,CP!$A$1:$U$7992,20,FALSE),"")</f>
        <v>0</v>
      </c>
      <c r="AY478" s="224" t="str">
        <f>IFERROR(VLOOKUP($A478,CP!$A$1:$U$1,21,FALSE),"")</f>
        <v/>
      </c>
      <c r="AZ478" s="224" t="str">
        <f>IFERROR(VLOOKUP(A478,Devengado!$A$1:AJ1,35,FALSE),"")</f>
        <v/>
      </c>
      <c r="BA478" s="224" t="str">
        <f t="shared" si="59"/>
        <v/>
      </c>
      <c r="BB478" s="224" t="str">
        <f>IFERROR(AZ478/#REF!,"")</f>
        <v/>
      </c>
      <c r="BC478" s="224" t="str">
        <f>IFERROR(VLOOKUP($A478,Devengado!$A$1:$AI$1,22,FALSE),"")</f>
        <v/>
      </c>
      <c r="BD478" s="224" t="str">
        <f>IFERROR(VLOOKUP($A478,Devengado!$A$1:$AI$1,23,FALSE),"")</f>
        <v/>
      </c>
      <c r="BE478" s="224" t="str">
        <f>IFERROR(VLOOKUP($A478,Devengado!$A$1:$AI$1,24,FALSE),"")</f>
        <v/>
      </c>
      <c r="BF478" s="224" t="str">
        <f>IFERROR(VLOOKUP($A478,Devengado!$A$1:$AI$1,25,FALSE),"")</f>
        <v/>
      </c>
      <c r="BG478" s="224" t="str">
        <f>IFERROR(VLOOKUP($A478,Devengado!$A$1:$AI$1,26,FALSE),"")</f>
        <v/>
      </c>
      <c r="BH478" s="224" t="str">
        <f>IFERROR(VLOOKUP($A478,Devengado!$A$1:$AI$1,27,FALSE),"")</f>
        <v/>
      </c>
      <c r="BI478" s="224" t="str">
        <f>IFERROR(VLOOKUP($A478,Devengado!$A$1:$AI$1,28,FALSE),"")</f>
        <v/>
      </c>
      <c r="BJ478" s="224" t="str">
        <f>IFERROR(VLOOKUP($A478,Devengado!$A$1:$AI$1,29,FALSE),"")</f>
        <v/>
      </c>
      <c r="BK478" s="224" t="str">
        <f>IFERROR(VLOOKUP($A478,Devengado!$A$1:$AI$1,30,FALSE),"")</f>
        <v/>
      </c>
      <c r="BL478" s="224" t="str">
        <f>IFERROR(VLOOKUP($A478,Devengado!$A$1:$AI$1,31,FALSE),"")</f>
        <v/>
      </c>
      <c r="BM478" s="224" t="str">
        <f>IFERROR(VLOOKUP($A478,Devengado!$A$1:$AI$1,32,FALSE),"")</f>
        <v/>
      </c>
      <c r="BN478" s="224" t="str">
        <f>IFERROR(VLOOKUP($A478,Devengado!$A$1:$AI$1,33,FALSE),"")</f>
        <v/>
      </c>
      <c r="BO478" s="224">
        <f t="shared" si="60"/>
        <v>0</v>
      </c>
      <c r="BP478" s="224" t="str">
        <f t="shared" si="61"/>
        <v/>
      </c>
      <c r="BQ478" s="207"/>
      <c r="BR478" s="207" t="str">
        <f t="shared" si="62"/>
        <v>53</v>
      </c>
    </row>
    <row r="479" spans="1:70" s="225" customFormat="1" ht="25.5" customHeight="1">
      <c r="A479" s="207">
        <v>475</v>
      </c>
      <c r="B479" s="112" t="s">
        <v>429</v>
      </c>
      <c r="C479" s="112" t="s">
        <v>77</v>
      </c>
      <c r="D479" s="112" t="s">
        <v>77</v>
      </c>
      <c r="E479" s="112" t="s">
        <v>76</v>
      </c>
      <c r="F479" s="112" t="s">
        <v>77</v>
      </c>
      <c r="G479" s="112" t="s">
        <v>77</v>
      </c>
      <c r="H479" s="112" t="s">
        <v>77</v>
      </c>
      <c r="I479" s="112" t="s">
        <v>77</v>
      </c>
      <c r="J479" s="112" t="s">
        <v>77</v>
      </c>
      <c r="K479" s="112" t="s">
        <v>77</v>
      </c>
      <c r="L479" s="112" t="s">
        <v>85</v>
      </c>
      <c r="M479" s="124" t="s">
        <v>482</v>
      </c>
      <c r="N479" s="114" t="s">
        <v>430</v>
      </c>
      <c r="O479" s="114" t="s">
        <v>111</v>
      </c>
      <c r="P479" s="114" t="s">
        <v>81</v>
      </c>
      <c r="Q479" s="114" t="s">
        <v>112</v>
      </c>
      <c r="R479" s="115" t="str">
        <f t="shared" si="56"/>
        <v>53</v>
      </c>
      <c r="S479" s="124">
        <v>530701</v>
      </c>
      <c r="T479" s="122" t="e">
        <f>VLOOKUP(S479,ITEM!$C$1:$D$156,2,FALSE)</f>
        <v>#N/A</v>
      </c>
      <c r="U479" s="112">
        <v>1309</v>
      </c>
      <c r="V479" s="114" t="s">
        <v>82</v>
      </c>
      <c r="W479" s="114" t="s">
        <v>84</v>
      </c>
      <c r="X479" s="114" t="s">
        <v>84</v>
      </c>
      <c r="Y479" s="224">
        <f>'Matriz POA 2024-TRABAJO'!AS65</f>
        <v>0</v>
      </c>
      <c r="Z479" s="224">
        <f>'Matriz POA 2024-TRABAJO'!AT65</f>
        <v>0</v>
      </c>
      <c r="AA479" s="224">
        <f>'Matriz POA 2024-TRABAJO'!AU65</f>
        <v>0</v>
      </c>
      <c r="AB479" s="279">
        <v>0</v>
      </c>
      <c r="AC479" s="279">
        <v>0</v>
      </c>
      <c r="AD479" s="279">
        <v>0</v>
      </c>
      <c r="AE479" s="279">
        <v>0</v>
      </c>
      <c r="AF479" s="279">
        <v>417</v>
      </c>
      <c r="AG479" s="279">
        <v>0</v>
      </c>
      <c r="AH479" s="279">
        <v>0</v>
      </c>
      <c r="AI479" s="279">
        <v>0</v>
      </c>
      <c r="AJ479" s="279">
        <v>0</v>
      </c>
      <c r="AK479" s="279">
        <v>0</v>
      </c>
      <c r="AL479" s="279">
        <v>0</v>
      </c>
      <c r="AM479" s="279">
        <v>0</v>
      </c>
      <c r="AN479" s="224" t="e">
        <f>SUM(#REF!)</f>
        <v>#REF!</v>
      </c>
      <c r="AO479" s="224">
        <f t="shared" si="57"/>
        <v>417</v>
      </c>
      <c r="AP479" s="224">
        <f t="shared" si="63"/>
        <v>417</v>
      </c>
      <c r="AQ479" s="224"/>
      <c r="AR479" s="224"/>
      <c r="AS479" s="224"/>
      <c r="AT479" s="224" t="str">
        <f>IFERROR(VLOOKUP($A479,'Constancias POA'!$A$2:$DH$9993,17,FALSE),"")</f>
        <v/>
      </c>
      <c r="AU479" s="224" t="str">
        <f t="shared" si="58"/>
        <v/>
      </c>
      <c r="AV479" s="224" t="str">
        <f>IFERROR(VLOOKUP($A479,CP!$A$1:$U$7992,18,FALSE),"")</f>
        <v/>
      </c>
      <c r="AW479" s="224" t="str">
        <f>IFERROR(VLOOKUP($A479,CP!$A$1:$U$7992,19,FALSE),"")</f>
        <v/>
      </c>
      <c r="AX479" s="224" t="str">
        <f>IFERROR(VLOOKUP($A479,CP!$A$1:$U$7992,20,FALSE),"")</f>
        <v/>
      </c>
      <c r="AY479" s="224" t="str">
        <f>IFERROR(VLOOKUP($A479,CP!$A$1:$U$1,21,FALSE),"")</f>
        <v/>
      </c>
      <c r="AZ479" s="224" t="str">
        <f>IFERROR(VLOOKUP(A479,Devengado!$A$1:AJ1,35,FALSE),"")</f>
        <v/>
      </c>
      <c r="BA479" s="224" t="str">
        <f t="shared" si="59"/>
        <v/>
      </c>
      <c r="BB479" s="224" t="str">
        <f>IFERROR(AZ479/#REF!,"")</f>
        <v/>
      </c>
      <c r="BC479" s="224" t="str">
        <f>IFERROR(VLOOKUP($A479,Devengado!$A$1:$AI$1,22,FALSE),"")</f>
        <v/>
      </c>
      <c r="BD479" s="224" t="str">
        <f>IFERROR(VLOOKUP($A479,Devengado!$A$1:$AI$1,23,FALSE),"")</f>
        <v/>
      </c>
      <c r="BE479" s="224" t="str">
        <f>IFERROR(VLOOKUP($A479,Devengado!$A$1:$AI$1,24,FALSE),"")</f>
        <v/>
      </c>
      <c r="BF479" s="224" t="str">
        <f>IFERROR(VLOOKUP($A479,Devengado!$A$1:$AI$1,25,FALSE),"")</f>
        <v/>
      </c>
      <c r="BG479" s="224" t="str">
        <f>IFERROR(VLOOKUP($A479,Devengado!$A$1:$AI$1,26,FALSE),"")</f>
        <v/>
      </c>
      <c r="BH479" s="224" t="str">
        <f>IFERROR(VLOOKUP($A479,Devengado!$A$1:$AI$1,27,FALSE),"")</f>
        <v/>
      </c>
      <c r="BI479" s="224" t="str">
        <f>IFERROR(VLOOKUP($A479,Devengado!$A$1:$AI$1,28,FALSE),"")</f>
        <v/>
      </c>
      <c r="BJ479" s="224" t="str">
        <f>IFERROR(VLOOKUP($A479,Devengado!$A$1:$AI$1,29,FALSE),"")</f>
        <v/>
      </c>
      <c r="BK479" s="224" t="str">
        <f>IFERROR(VLOOKUP($A479,Devengado!$A$1:$AI$1,30,FALSE),"")</f>
        <v/>
      </c>
      <c r="BL479" s="224" t="str">
        <f>IFERROR(VLOOKUP($A479,Devengado!$A$1:$AI$1,31,FALSE),"")</f>
        <v/>
      </c>
      <c r="BM479" s="224" t="str">
        <f>IFERROR(VLOOKUP($A479,Devengado!$A$1:$AI$1,32,FALSE),"")</f>
        <v/>
      </c>
      <c r="BN479" s="224" t="str">
        <f>IFERROR(VLOOKUP($A479,Devengado!$A$1:$AI$1,33,FALSE),"")</f>
        <v/>
      </c>
      <c r="BO479" s="224">
        <f t="shared" si="60"/>
        <v>0</v>
      </c>
      <c r="BP479" s="224" t="str">
        <f t="shared" si="61"/>
        <v/>
      </c>
      <c r="BQ479" s="207"/>
      <c r="BR479" s="207" t="str">
        <f t="shared" si="62"/>
        <v>53</v>
      </c>
    </row>
    <row r="480" spans="1:70" s="225" customFormat="1" ht="25.5" customHeight="1">
      <c r="A480" s="207">
        <v>476</v>
      </c>
      <c r="B480" s="112" t="s">
        <v>429</v>
      </c>
      <c r="C480" s="112" t="s">
        <v>77</v>
      </c>
      <c r="D480" s="112" t="s">
        <v>77</v>
      </c>
      <c r="E480" s="112" t="s">
        <v>76</v>
      </c>
      <c r="F480" s="112" t="s">
        <v>77</v>
      </c>
      <c r="G480" s="112" t="s">
        <v>77</v>
      </c>
      <c r="H480" s="112" t="s">
        <v>77</v>
      </c>
      <c r="I480" s="112" t="s">
        <v>77</v>
      </c>
      <c r="J480" s="112" t="s">
        <v>77</v>
      </c>
      <c r="K480" s="112" t="s">
        <v>77</v>
      </c>
      <c r="L480" s="112" t="s">
        <v>85</v>
      </c>
      <c r="M480" s="124" t="s">
        <v>483</v>
      </c>
      <c r="N480" s="114" t="s">
        <v>430</v>
      </c>
      <c r="O480" s="114" t="s">
        <v>111</v>
      </c>
      <c r="P480" s="114" t="s">
        <v>81</v>
      </c>
      <c r="Q480" s="114" t="s">
        <v>112</v>
      </c>
      <c r="R480" s="115" t="str">
        <f t="shared" si="56"/>
        <v>84</v>
      </c>
      <c r="S480" s="131">
        <v>840107</v>
      </c>
      <c r="T480" s="122" t="e">
        <f>VLOOKUP(S480,ITEM!$C$1:$D$156,2,FALSE)</f>
        <v>#N/A</v>
      </c>
      <c r="U480" s="112">
        <v>1309</v>
      </c>
      <c r="V480" s="114" t="s">
        <v>82</v>
      </c>
      <c r="W480" s="114" t="s">
        <v>84</v>
      </c>
      <c r="X480" s="114" t="s">
        <v>84</v>
      </c>
      <c r="Y480" s="224">
        <f>'Matriz POA 2024-TRABAJO'!AS66</f>
        <v>0</v>
      </c>
      <c r="Z480" s="224">
        <f>'Matriz POA 2024-TRABAJO'!AT66</f>
        <v>0</v>
      </c>
      <c r="AA480" s="224">
        <f>'Matriz POA 2024-TRABAJO'!AU66</f>
        <v>0</v>
      </c>
      <c r="AB480" s="279">
        <v>0</v>
      </c>
      <c r="AC480" s="279">
        <v>0</v>
      </c>
      <c r="AD480" s="279">
        <v>0</v>
      </c>
      <c r="AE480" s="279">
        <v>0</v>
      </c>
      <c r="AF480" s="279">
        <v>0</v>
      </c>
      <c r="AG480" s="279">
        <v>0</v>
      </c>
      <c r="AH480" s="279">
        <v>0</v>
      </c>
      <c r="AI480" s="279">
        <v>0</v>
      </c>
      <c r="AJ480" s="279">
        <v>0</v>
      </c>
      <c r="AK480" s="279">
        <v>0</v>
      </c>
      <c r="AL480" s="279">
        <v>0</v>
      </c>
      <c r="AM480" s="279">
        <v>0</v>
      </c>
      <c r="AN480" s="224" t="e">
        <f>SUM(#REF!)</f>
        <v>#REF!</v>
      </c>
      <c r="AO480" s="224">
        <f t="shared" si="57"/>
        <v>0</v>
      </c>
      <c r="AP480" s="224">
        <f t="shared" si="63"/>
        <v>0</v>
      </c>
      <c r="AQ480" s="224"/>
      <c r="AR480" s="224"/>
      <c r="AS480" s="224"/>
      <c r="AT480" s="224" t="str">
        <f>IFERROR(VLOOKUP($A480,'Constancias POA'!$A$2:$DH$9993,17,FALSE),"")</f>
        <v/>
      </c>
      <c r="AU480" s="224" t="str">
        <f t="shared" si="58"/>
        <v/>
      </c>
      <c r="AV480" s="224" t="str">
        <f>IFERROR(VLOOKUP($A480,CP!$A$1:$U$7992,18,FALSE),"")</f>
        <v/>
      </c>
      <c r="AW480" s="224" t="str">
        <f>IFERROR(VLOOKUP($A480,CP!$A$1:$U$7992,19,FALSE),"")</f>
        <v/>
      </c>
      <c r="AX480" s="224" t="str">
        <f>IFERROR(VLOOKUP($A480,CP!$A$1:$U$7992,20,FALSE),"")</f>
        <v/>
      </c>
      <c r="AY480" s="224" t="str">
        <f>IFERROR(VLOOKUP($A480,CP!$A$1:$U$1,21,FALSE),"")</f>
        <v/>
      </c>
      <c r="AZ480" s="224" t="str">
        <f>IFERROR(VLOOKUP(A480,Devengado!$A$1:AJ1,35,FALSE),"")</f>
        <v/>
      </c>
      <c r="BA480" s="224" t="str">
        <f t="shared" si="59"/>
        <v/>
      </c>
      <c r="BB480" s="224" t="str">
        <f>IFERROR(AZ480/#REF!,"")</f>
        <v/>
      </c>
      <c r="BC480" s="224" t="str">
        <f>IFERROR(VLOOKUP($A480,Devengado!$A$1:$AI$1,22,FALSE),"")</f>
        <v/>
      </c>
      <c r="BD480" s="224" t="str">
        <f>IFERROR(VLOOKUP($A480,Devengado!$A$1:$AI$1,23,FALSE),"")</f>
        <v/>
      </c>
      <c r="BE480" s="224" t="str">
        <f>IFERROR(VLOOKUP($A480,Devengado!$A$1:$AI$1,24,FALSE),"")</f>
        <v/>
      </c>
      <c r="BF480" s="224" t="str">
        <f>IFERROR(VLOOKUP($A480,Devengado!$A$1:$AI$1,25,FALSE),"")</f>
        <v/>
      </c>
      <c r="BG480" s="224" t="str">
        <f>IFERROR(VLOOKUP($A480,Devengado!$A$1:$AI$1,26,FALSE),"")</f>
        <v/>
      </c>
      <c r="BH480" s="224" t="str">
        <f>IFERROR(VLOOKUP($A480,Devengado!$A$1:$AI$1,27,FALSE),"")</f>
        <v/>
      </c>
      <c r="BI480" s="224" t="str">
        <f>IFERROR(VLOOKUP($A480,Devengado!$A$1:$AI$1,28,FALSE),"")</f>
        <v/>
      </c>
      <c r="BJ480" s="224" t="str">
        <f>IFERROR(VLOOKUP($A480,Devengado!$A$1:$AI$1,29,FALSE),"")</f>
        <v/>
      </c>
      <c r="BK480" s="224" t="str">
        <f>IFERROR(VLOOKUP($A480,Devengado!$A$1:$AI$1,30,FALSE),"")</f>
        <v/>
      </c>
      <c r="BL480" s="224" t="str">
        <f>IFERROR(VLOOKUP($A480,Devengado!$A$1:$AI$1,31,FALSE),"")</f>
        <v/>
      </c>
      <c r="BM480" s="224" t="str">
        <f>IFERROR(VLOOKUP($A480,Devengado!$A$1:$AI$1,32,FALSE),"")</f>
        <v/>
      </c>
      <c r="BN480" s="224" t="str">
        <f>IFERROR(VLOOKUP($A480,Devengado!$A$1:$AI$1,33,FALSE),"")</f>
        <v/>
      </c>
      <c r="BO480" s="224">
        <f t="shared" si="60"/>
        <v>0</v>
      </c>
      <c r="BP480" s="224" t="str">
        <f t="shared" si="61"/>
        <v/>
      </c>
      <c r="BQ480" s="207"/>
      <c r="BR480" s="207" t="str">
        <f t="shared" si="62"/>
        <v>84</v>
      </c>
    </row>
    <row r="481" spans="1:70" s="225" customFormat="1" ht="25.5" customHeight="1">
      <c r="A481" s="207">
        <v>477</v>
      </c>
      <c r="B481" s="112" t="s">
        <v>429</v>
      </c>
      <c r="C481" s="112" t="s">
        <v>77</v>
      </c>
      <c r="D481" s="112" t="s">
        <v>77</v>
      </c>
      <c r="E481" s="112" t="s">
        <v>76</v>
      </c>
      <c r="F481" s="112" t="s">
        <v>77</v>
      </c>
      <c r="G481" s="112" t="s">
        <v>77</v>
      </c>
      <c r="H481" s="112" t="s">
        <v>77</v>
      </c>
      <c r="I481" s="112" t="s">
        <v>77</v>
      </c>
      <c r="J481" s="112" t="s">
        <v>77</v>
      </c>
      <c r="K481" s="112" t="s">
        <v>77</v>
      </c>
      <c r="L481" s="112" t="s">
        <v>85</v>
      </c>
      <c r="M481" s="124" t="s">
        <v>484</v>
      </c>
      <c r="N481" s="114" t="s">
        <v>430</v>
      </c>
      <c r="O481" s="114" t="s">
        <v>111</v>
      </c>
      <c r="P481" s="114" t="s">
        <v>81</v>
      </c>
      <c r="Q481" s="114" t="s">
        <v>112</v>
      </c>
      <c r="R481" s="115" t="str">
        <f t="shared" si="56"/>
        <v>84</v>
      </c>
      <c r="S481" s="131">
        <v>840104</v>
      </c>
      <c r="T481" s="122" t="e">
        <f>VLOOKUP(S481,ITEM!$C$1:$D$156,2,FALSE)</f>
        <v>#N/A</v>
      </c>
      <c r="U481" s="112">
        <v>1309</v>
      </c>
      <c r="V481" s="114" t="s">
        <v>82</v>
      </c>
      <c r="W481" s="114" t="s">
        <v>84</v>
      </c>
      <c r="X481" s="114" t="s">
        <v>84</v>
      </c>
      <c r="Y481" s="224">
        <f>'Matriz POA 2024-TRABAJO'!AS67</f>
        <v>0</v>
      </c>
      <c r="Z481" s="224">
        <f>'Matriz POA 2024-TRABAJO'!AT67</f>
        <v>0</v>
      </c>
      <c r="AA481" s="224">
        <f>'Matriz POA 2024-TRABAJO'!AU67</f>
        <v>0</v>
      </c>
      <c r="AB481" s="279">
        <v>0</v>
      </c>
      <c r="AC481" s="279">
        <v>0</v>
      </c>
      <c r="AD481" s="279">
        <v>0</v>
      </c>
      <c r="AE481" s="279">
        <v>0</v>
      </c>
      <c r="AF481" s="279">
        <v>0</v>
      </c>
      <c r="AG481" s="279">
        <v>0</v>
      </c>
      <c r="AH481" s="279">
        <v>0</v>
      </c>
      <c r="AI481" s="279">
        <v>0</v>
      </c>
      <c r="AJ481" s="279">
        <v>0</v>
      </c>
      <c r="AK481" s="279">
        <v>0</v>
      </c>
      <c r="AL481" s="279">
        <v>0</v>
      </c>
      <c r="AM481" s="279">
        <v>0</v>
      </c>
      <c r="AN481" s="224" t="e">
        <f>SUM(#REF!)</f>
        <v>#REF!</v>
      </c>
      <c r="AO481" s="224">
        <f t="shared" si="57"/>
        <v>0</v>
      </c>
      <c r="AP481" s="224">
        <f t="shared" si="63"/>
        <v>0</v>
      </c>
      <c r="AQ481" s="224"/>
      <c r="AR481" s="224"/>
      <c r="AS481" s="224"/>
      <c r="AT481" s="224" t="str">
        <f>IFERROR(VLOOKUP($A481,'Constancias POA'!$A$2:$DH$9993,17,FALSE),"")</f>
        <v/>
      </c>
      <c r="AU481" s="224" t="str">
        <f t="shared" si="58"/>
        <v/>
      </c>
      <c r="AV481" s="224" t="str">
        <f>IFERROR(VLOOKUP($A481,CP!$A$1:$U$7992,18,FALSE),"")</f>
        <v/>
      </c>
      <c r="AW481" s="224" t="str">
        <f>IFERROR(VLOOKUP($A481,CP!$A$1:$U$7992,19,FALSE),"")</f>
        <v/>
      </c>
      <c r="AX481" s="224" t="str">
        <f>IFERROR(VLOOKUP($A481,CP!$A$1:$U$7992,20,FALSE),"")</f>
        <v/>
      </c>
      <c r="AY481" s="224" t="str">
        <f>IFERROR(VLOOKUP($A481,CP!$A$1:$U$1,21,FALSE),"")</f>
        <v/>
      </c>
      <c r="AZ481" s="224" t="str">
        <f>IFERROR(VLOOKUP(A481,Devengado!$A$1:AJ1,35,FALSE),"")</f>
        <v/>
      </c>
      <c r="BA481" s="224" t="str">
        <f t="shared" si="59"/>
        <v/>
      </c>
      <c r="BB481" s="224" t="str">
        <f>IFERROR(AZ481/#REF!,"")</f>
        <v/>
      </c>
      <c r="BC481" s="224" t="str">
        <f>IFERROR(VLOOKUP($A481,Devengado!$A$1:$AI$1,22,FALSE),"")</f>
        <v/>
      </c>
      <c r="BD481" s="224" t="str">
        <f>IFERROR(VLOOKUP($A481,Devengado!$A$1:$AI$1,23,FALSE),"")</f>
        <v/>
      </c>
      <c r="BE481" s="224" t="str">
        <f>IFERROR(VLOOKUP($A481,Devengado!$A$1:$AI$1,24,FALSE),"")</f>
        <v/>
      </c>
      <c r="BF481" s="224" t="str">
        <f>IFERROR(VLOOKUP($A481,Devengado!$A$1:$AI$1,25,FALSE),"")</f>
        <v/>
      </c>
      <c r="BG481" s="224" t="str">
        <f>IFERROR(VLOOKUP($A481,Devengado!$A$1:$AI$1,26,FALSE),"")</f>
        <v/>
      </c>
      <c r="BH481" s="224" t="str">
        <f>IFERROR(VLOOKUP($A481,Devengado!$A$1:$AI$1,27,FALSE),"")</f>
        <v/>
      </c>
      <c r="BI481" s="224" t="str">
        <f>IFERROR(VLOOKUP($A481,Devengado!$A$1:$AI$1,28,FALSE),"")</f>
        <v/>
      </c>
      <c r="BJ481" s="224" t="str">
        <f>IFERROR(VLOOKUP($A481,Devengado!$A$1:$AI$1,29,FALSE),"")</f>
        <v/>
      </c>
      <c r="BK481" s="224" t="str">
        <f>IFERROR(VLOOKUP($A481,Devengado!$A$1:$AI$1,30,FALSE),"")</f>
        <v/>
      </c>
      <c r="BL481" s="224" t="str">
        <f>IFERROR(VLOOKUP($A481,Devengado!$A$1:$AI$1,31,FALSE),"")</f>
        <v/>
      </c>
      <c r="BM481" s="224" t="str">
        <f>IFERROR(VLOOKUP($A481,Devengado!$A$1:$AI$1,32,FALSE),"")</f>
        <v/>
      </c>
      <c r="BN481" s="224" t="str">
        <f>IFERROR(VLOOKUP($A481,Devengado!$A$1:$AI$1,33,FALSE),"")</f>
        <v/>
      </c>
      <c r="BO481" s="224">
        <f t="shared" si="60"/>
        <v>0</v>
      </c>
      <c r="BP481" s="224" t="str">
        <f t="shared" si="61"/>
        <v/>
      </c>
      <c r="BQ481" s="207"/>
      <c r="BR481" s="207" t="str">
        <f t="shared" si="62"/>
        <v>84</v>
      </c>
    </row>
    <row r="482" spans="1:70" s="225" customFormat="1" ht="25.5" customHeight="1">
      <c r="A482" s="207">
        <v>478</v>
      </c>
      <c r="B482" s="112" t="s">
        <v>429</v>
      </c>
      <c r="C482" s="112" t="s">
        <v>77</v>
      </c>
      <c r="D482" s="112" t="s">
        <v>77</v>
      </c>
      <c r="E482" s="112" t="s">
        <v>76</v>
      </c>
      <c r="F482" s="112" t="s">
        <v>77</v>
      </c>
      <c r="G482" s="112" t="s">
        <v>77</v>
      </c>
      <c r="H482" s="112" t="s">
        <v>77</v>
      </c>
      <c r="I482" s="112" t="s">
        <v>77</v>
      </c>
      <c r="J482" s="112" t="s">
        <v>77</v>
      </c>
      <c r="K482" s="112" t="s">
        <v>77</v>
      </c>
      <c r="L482" s="112" t="s">
        <v>85</v>
      </c>
      <c r="M482" s="124" t="s">
        <v>485</v>
      </c>
      <c r="N482" s="114" t="s">
        <v>430</v>
      </c>
      <c r="O482" s="114" t="s">
        <v>111</v>
      </c>
      <c r="P482" s="114" t="s">
        <v>81</v>
      </c>
      <c r="Q482" s="114" t="s">
        <v>112</v>
      </c>
      <c r="R482" s="115" t="str">
        <f t="shared" si="56"/>
        <v>84</v>
      </c>
      <c r="S482" s="131">
        <v>840104</v>
      </c>
      <c r="T482" s="122" t="e">
        <f>VLOOKUP(S482,ITEM!$C$1:$D$156,2,FALSE)</f>
        <v>#N/A</v>
      </c>
      <c r="U482" s="112">
        <v>1309</v>
      </c>
      <c r="V482" s="114" t="s">
        <v>82</v>
      </c>
      <c r="W482" s="114" t="s">
        <v>84</v>
      </c>
      <c r="X482" s="114" t="s">
        <v>84</v>
      </c>
      <c r="Y482" s="224">
        <f>'Matriz POA 2024-TRABAJO'!AS68</f>
        <v>0</v>
      </c>
      <c r="Z482" s="224">
        <f>'Matriz POA 2024-TRABAJO'!AT68</f>
        <v>0</v>
      </c>
      <c r="AA482" s="224">
        <f>'Matriz POA 2024-TRABAJO'!AU68</f>
        <v>0</v>
      </c>
      <c r="AB482" s="279">
        <v>0</v>
      </c>
      <c r="AC482" s="279">
        <v>0</v>
      </c>
      <c r="AD482" s="279">
        <v>0</v>
      </c>
      <c r="AE482" s="279">
        <v>0</v>
      </c>
      <c r="AF482" s="279">
        <v>0</v>
      </c>
      <c r="AG482" s="279">
        <v>0</v>
      </c>
      <c r="AH482" s="279">
        <v>0</v>
      </c>
      <c r="AI482" s="279">
        <v>0</v>
      </c>
      <c r="AJ482" s="279">
        <v>0</v>
      </c>
      <c r="AK482" s="279">
        <v>0</v>
      </c>
      <c r="AL482" s="279">
        <v>0</v>
      </c>
      <c r="AM482" s="279">
        <v>0</v>
      </c>
      <c r="AN482" s="224" t="e">
        <f>SUM(#REF!)</f>
        <v>#REF!</v>
      </c>
      <c r="AO482" s="224">
        <f t="shared" si="57"/>
        <v>0</v>
      </c>
      <c r="AP482" s="224">
        <f t="shared" si="63"/>
        <v>0</v>
      </c>
      <c r="AQ482" s="224"/>
      <c r="AR482" s="224"/>
      <c r="AS482" s="224"/>
      <c r="AT482" s="224" t="str">
        <f>IFERROR(VLOOKUP($A482,'Constancias POA'!$A$2:$DH$9993,17,FALSE),"")</f>
        <v/>
      </c>
      <c r="AU482" s="224" t="str">
        <f t="shared" si="58"/>
        <v/>
      </c>
      <c r="AV482" s="224" t="str">
        <f>IFERROR(VLOOKUP($A482,CP!$A$1:$U$7992,18,FALSE),"")</f>
        <v/>
      </c>
      <c r="AW482" s="224" t="str">
        <f>IFERROR(VLOOKUP($A482,CP!$A$1:$U$7992,19,FALSE),"")</f>
        <v/>
      </c>
      <c r="AX482" s="224" t="str">
        <f>IFERROR(VLOOKUP($A482,CP!$A$1:$U$7992,20,FALSE),"")</f>
        <v/>
      </c>
      <c r="AY482" s="224" t="str">
        <f>IFERROR(VLOOKUP($A482,CP!$A$1:$U$1,21,FALSE),"")</f>
        <v/>
      </c>
      <c r="AZ482" s="224" t="str">
        <f>IFERROR(VLOOKUP(A482,Devengado!$A$1:AJ1,35,FALSE),"")</f>
        <v/>
      </c>
      <c r="BA482" s="224" t="str">
        <f t="shared" si="59"/>
        <v/>
      </c>
      <c r="BB482" s="224" t="str">
        <f>IFERROR(AZ482/#REF!,"")</f>
        <v/>
      </c>
      <c r="BC482" s="224" t="str">
        <f>IFERROR(VLOOKUP($A482,Devengado!$A$1:$AI$1,22,FALSE),"")</f>
        <v/>
      </c>
      <c r="BD482" s="224" t="str">
        <f>IFERROR(VLOOKUP($A482,Devengado!$A$1:$AI$1,23,FALSE),"")</f>
        <v/>
      </c>
      <c r="BE482" s="224" t="str">
        <f>IFERROR(VLOOKUP($A482,Devengado!$A$1:$AI$1,24,FALSE),"")</f>
        <v/>
      </c>
      <c r="BF482" s="224" t="str">
        <f>IFERROR(VLOOKUP($A482,Devengado!$A$1:$AI$1,25,FALSE),"")</f>
        <v/>
      </c>
      <c r="BG482" s="224" t="str">
        <f>IFERROR(VLOOKUP($A482,Devengado!$A$1:$AI$1,26,FALSE),"")</f>
        <v/>
      </c>
      <c r="BH482" s="224" t="str">
        <f>IFERROR(VLOOKUP($A482,Devengado!$A$1:$AI$1,27,FALSE),"")</f>
        <v/>
      </c>
      <c r="BI482" s="224" t="str">
        <f>IFERROR(VLOOKUP($A482,Devengado!$A$1:$AI$1,28,FALSE),"")</f>
        <v/>
      </c>
      <c r="BJ482" s="224" t="str">
        <f>IFERROR(VLOOKUP($A482,Devengado!$A$1:$AI$1,29,FALSE),"")</f>
        <v/>
      </c>
      <c r="BK482" s="224" t="str">
        <f>IFERROR(VLOOKUP($A482,Devengado!$A$1:$AI$1,30,FALSE),"")</f>
        <v/>
      </c>
      <c r="BL482" s="224" t="str">
        <f>IFERROR(VLOOKUP($A482,Devengado!$A$1:$AI$1,31,FALSE),"")</f>
        <v/>
      </c>
      <c r="BM482" s="224" t="str">
        <f>IFERROR(VLOOKUP($A482,Devengado!$A$1:$AI$1,32,FALSE),"")</f>
        <v/>
      </c>
      <c r="BN482" s="224" t="str">
        <f>IFERROR(VLOOKUP($A482,Devengado!$A$1:$AI$1,33,FALSE),"")</f>
        <v/>
      </c>
      <c r="BO482" s="224">
        <f t="shared" si="60"/>
        <v>0</v>
      </c>
      <c r="BP482" s="224" t="str">
        <f t="shared" si="61"/>
        <v/>
      </c>
      <c r="BQ482" s="207"/>
      <c r="BR482" s="207" t="str">
        <f t="shared" si="62"/>
        <v>84</v>
      </c>
    </row>
    <row r="483" spans="1:70" s="225" customFormat="1" ht="15.75" customHeight="1">
      <c r="A483" s="207">
        <v>479</v>
      </c>
      <c r="B483" s="112" t="s">
        <v>429</v>
      </c>
      <c r="C483" s="112" t="s">
        <v>77</v>
      </c>
      <c r="D483" s="112" t="s">
        <v>77</v>
      </c>
      <c r="E483" s="112" t="s">
        <v>76</v>
      </c>
      <c r="F483" s="112" t="s">
        <v>77</v>
      </c>
      <c r="G483" s="112" t="s">
        <v>77</v>
      </c>
      <c r="H483" s="112" t="s">
        <v>77</v>
      </c>
      <c r="I483" s="112" t="s">
        <v>77</v>
      </c>
      <c r="J483" s="112" t="s">
        <v>77</v>
      </c>
      <c r="K483" s="112" t="s">
        <v>77</v>
      </c>
      <c r="L483" s="112" t="s">
        <v>85</v>
      </c>
      <c r="M483" s="124" t="s">
        <v>486</v>
      </c>
      <c r="N483" s="114" t="s">
        <v>430</v>
      </c>
      <c r="O483" s="114" t="s">
        <v>111</v>
      </c>
      <c r="P483" s="114" t="s">
        <v>81</v>
      </c>
      <c r="Q483" s="114" t="s">
        <v>112</v>
      </c>
      <c r="R483" s="115" t="str">
        <f t="shared" si="56"/>
        <v>53</v>
      </c>
      <c r="S483" s="124">
        <v>530405</v>
      </c>
      <c r="T483" s="122" t="str">
        <f>VLOOKUP(S483,ITEM!$C$1:$D$156,2,FALSE)</f>
        <v>Vehículos (Servicio para Mantenimiento y Reparación)</v>
      </c>
      <c r="U483" s="112">
        <v>1309</v>
      </c>
      <c r="V483" s="114" t="s">
        <v>82</v>
      </c>
      <c r="W483" s="114" t="s">
        <v>84</v>
      </c>
      <c r="X483" s="114" t="s">
        <v>84</v>
      </c>
      <c r="Y483" s="224">
        <f>'Matriz POA 2024-TRABAJO'!AS69</f>
        <v>6579.9999999999991</v>
      </c>
      <c r="Z483" s="224">
        <f>'Matriz POA 2024-TRABAJO'!AT69</f>
        <v>0</v>
      </c>
      <c r="AA483" s="224">
        <f>'Matriz POA 2024-TRABAJO'!AU69</f>
        <v>6579.9999999999991</v>
      </c>
      <c r="AB483" s="279" t="s">
        <v>487</v>
      </c>
      <c r="AC483" s="279" t="s">
        <v>488</v>
      </c>
      <c r="AD483" s="279" t="s">
        <v>489</v>
      </c>
      <c r="AE483" s="279" t="s">
        <v>490</v>
      </c>
      <c r="AF483" s="279">
        <v>8079.46</v>
      </c>
      <c r="AG483" s="279" t="s">
        <v>491</v>
      </c>
      <c r="AH483" s="279" t="s">
        <v>491</v>
      </c>
      <c r="AI483" s="279" t="s">
        <v>491</v>
      </c>
      <c r="AJ483" s="279" t="s">
        <v>492</v>
      </c>
      <c r="AK483" s="279" t="s">
        <v>493</v>
      </c>
      <c r="AL483" s="279" t="s">
        <v>494</v>
      </c>
      <c r="AM483" s="279" t="s">
        <v>495</v>
      </c>
      <c r="AN483" s="224" t="e">
        <f>SUM(#REF!)</f>
        <v>#REF!</v>
      </c>
      <c r="AO483" s="224">
        <f t="shared" si="57"/>
        <v>8079.46</v>
      </c>
      <c r="AP483" s="224">
        <f>+AO483-AA483</f>
        <v>1499.4600000000009</v>
      </c>
      <c r="AQ483" s="224"/>
      <c r="AR483" s="224"/>
      <c r="AS483" s="224"/>
      <c r="AT483" s="224">
        <f>IFERROR(VLOOKUP($A483,'Constancias POA'!$A$2:$DH$9993,17,FALSE),"")</f>
        <v>6579.9999999999991</v>
      </c>
      <c r="AU483" s="224">
        <f t="shared" si="58"/>
        <v>0</v>
      </c>
      <c r="AV483" s="224">
        <f>IFERROR(VLOOKUP($A483,CP!$A$1:$U$7992,18,FALSE),"")</f>
        <v>0</v>
      </c>
      <c r="AW483" s="224">
        <f>IFERROR(VLOOKUP($A483,CP!$A$1:$U$7992,19,FALSE),"")</f>
        <v>6580</v>
      </c>
      <c r="AX483" s="224">
        <f>IFERROR(VLOOKUP($A483,CP!$A$1:$U$7992,20,FALSE),"")</f>
        <v>0</v>
      </c>
      <c r="AY483" s="224" t="str">
        <f>IFERROR(VLOOKUP($A483,CP!$A$1:$U$1,21,FALSE),"")</f>
        <v/>
      </c>
      <c r="AZ483" s="224" t="str">
        <f>IFERROR(VLOOKUP(A483,Devengado!$A$1:AJ1,35,FALSE),"")</f>
        <v/>
      </c>
      <c r="BA483" s="224" t="str">
        <f t="shared" si="59"/>
        <v/>
      </c>
      <c r="BB483" s="224" t="str">
        <f>IFERROR(AZ483/#REF!,"")</f>
        <v/>
      </c>
      <c r="BC483" s="224" t="str">
        <f>IFERROR(VLOOKUP($A483,Devengado!$A$1:$AI$1,22,FALSE),"")</f>
        <v/>
      </c>
      <c r="BD483" s="224" t="str">
        <f>IFERROR(VLOOKUP($A483,Devengado!$A$1:$AI$1,23,FALSE),"")</f>
        <v/>
      </c>
      <c r="BE483" s="224" t="str">
        <f>IFERROR(VLOOKUP($A483,Devengado!$A$1:$AI$1,24,FALSE),"")</f>
        <v/>
      </c>
      <c r="BF483" s="224" t="str">
        <f>IFERROR(VLOOKUP($A483,Devengado!$A$1:$AI$1,25,FALSE),"")</f>
        <v/>
      </c>
      <c r="BG483" s="224" t="str">
        <f>IFERROR(VLOOKUP($A483,Devengado!$A$1:$AI$1,26,FALSE),"")</f>
        <v/>
      </c>
      <c r="BH483" s="224" t="str">
        <f>IFERROR(VLOOKUP($A483,Devengado!$A$1:$AI$1,27,FALSE),"")</f>
        <v/>
      </c>
      <c r="BI483" s="224" t="str">
        <f>IFERROR(VLOOKUP($A483,Devengado!$A$1:$AI$1,28,FALSE),"")</f>
        <v/>
      </c>
      <c r="BJ483" s="224" t="str">
        <f>IFERROR(VLOOKUP($A483,Devengado!$A$1:$AI$1,29,FALSE),"")</f>
        <v/>
      </c>
      <c r="BK483" s="224" t="str">
        <f>IFERROR(VLOOKUP($A483,Devengado!$A$1:$AI$1,30,FALSE),"")</f>
        <v/>
      </c>
      <c r="BL483" s="224" t="str">
        <f>IFERROR(VLOOKUP($A483,Devengado!$A$1:$AI$1,31,FALSE),"")</f>
        <v/>
      </c>
      <c r="BM483" s="224" t="str">
        <f>IFERROR(VLOOKUP($A483,Devengado!$A$1:$AI$1,32,FALSE),"")</f>
        <v/>
      </c>
      <c r="BN483" s="224" t="str">
        <f>IFERROR(VLOOKUP($A483,Devengado!$A$1:$AI$1,33,FALSE),"")</f>
        <v/>
      </c>
      <c r="BO483" s="224">
        <f t="shared" si="60"/>
        <v>0</v>
      </c>
      <c r="BP483" s="224" t="str">
        <f t="shared" si="61"/>
        <v/>
      </c>
      <c r="BQ483" s="207"/>
      <c r="BR483" s="207" t="str">
        <f t="shared" si="62"/>
        <v>53</v>
      </c>
    </row>
    <row r="484" spans="1:70" s="225" customFormat="1" ht="25.5" customHeight="1">
      <c r="A484" s="207">
        <v>480</v>
      </c>
      <c r="B484" s="112" t="s">
        <v>429</v>
      </c>
      <c r="C484" s="112" t="s">
        <v>77</v>
      </c>
      <c r="D484" s="112" t="s">
        <v>77</v>
      </c>
      <c r="E484" s="112" t="s">
        <v>76</v>
      </c>
      <c r="F484" s="112" t="s">
        <v>77</v>
      </c>
      <c r="G484" s="112" t="s">
        <v>77</v>
      </c>
      <c r="H484" s="112" t="s">
        <v>77</v>
      </c>
      <c r="I484" s="112" t="s">
        <v>77</v>
      </c>
      <c r="J484" s="112" t="s">
        <v>77</v>
      </c>
      <c r="K484" s="112" t="s">
        <v>77</v>
      </c>
      <c r="L484" s="112" t="s">
        <v>85</v>
      </c>
      <c r="M484" s="124" t="s">
        <v>496</v>
      </c>
      <c r="N484" s="114" t="s">
        <v>430</v>
      </c>
      <c r="O484" s="114" t="s">
        <v>111</v>
      </c>
      <c r="P484" s="114" t="s">
        <v>81</v>
      </c>
      <c r="Q484" s="114" t="s">
        <v>112</v>
      </c>
      <c r="R484" s="115" t="str">
        <f t="shared" si="56"/>
        <v>53</v>
      </c>
      <c r="S484" s="124">
        <v>530804</v>
      </c>
      <c r="T484" s="122" t="e">
        <f>VLOOKUP(S484,ITEM!$C$1:$D$156,2,FALSE)</f>
        <v>#N/A</v>
      </c>
      <c r="U484" s="112">
        <v>1309</v>
      </c>
      <c r="V484" s="114" t="s">
        <v>82</v>
      </c>
      <c r="W484" s="114" t="s">
        <v>84</v>
      </c>
      <c r="X484" s="114" t="s">
        <v>84</v>
      </c>
      <c r="Y484" s="224">
        <f>'Matriz POA 2024-TRABAJO'!AS70</f>
        <v>4000</v>
      </c>
      <c r="Z484" s="224">
        <f>'Matriz POA 2024-TRABAJO'!AT70</f>
        <v>0</v>
      </c>
      <c r="AA484" s="224">
        <f>'Matriz POA 2024-TRABAJO'!AU70</f>
        <v>4000</v>
      </c>
      <c r="AB484" s="279">
        <v>0</v>
      </c>
      <c r="AC484" s="279">
        <v>0</v>
      </c>
      <c r="AD484" s="279">
        <v>0</v>
      </c>
      <c r="AE484" s="279">
        <v>4000</v>
      </c>
      <c r="AF484" s="279">
        <v>0</v>
      </c>
      <c r="AG484" s="279">
        <v>0</v>
      </c>
      <c r="AH484" s="279">
        <v>0</v>
      </c>
      <c r="AI484" s="279">
        <v>0</v>
      </c>
      <c r="AJ484" s="279">
        <v>0</v>
      </c>
      <c r="AK484" s="279">
        <v>0</v>
      </c>
      <c r="AL484" s="279">
        <v>0</v>
      </c>
      <c r="AM484" s="279">
        <v>0</v>
      </c>
      <c r="AN484" s="224" t="e">
        <f>SUM(#REF!)</f>
        <v>#REF!</v>
      </c>
      <c r="AO484" s="224">
        <f t="shared" si="57"/>
        <v>4000</v>
      </c>
      <c r="AP484" s="224">
        <f t="shared" si="63"/>
        <v>0</v>
      </c>
      <c r="AQ484" s="224"/>
      <c r="AR484" s="224"/>
      <c r="AS484" s="224"/>
      <c r="AT484" s="224">
        <f>IFERROR(VLOOKUP($A484,'Constancias POA'!$A$2:$DH$9993,17,FALSE),"")</f>
        <v>4000</v>
      </c>
      <c r="AU484" s="224">
        <f t="shared" si="58"/>
        <v>0</v>
      </c>
      <c r="AV484" s="224">
        <f>IFERROR(VLOOKUP($A484,CP!$A$1:$U$7992,18,FALSE),"")</f>
        <v>4000</v>
      </c>
      <c r="AW484" s="224">
        <f>IFERROR(VLOOKUP($A484,CP!$A$1:$U$7992,19,FALSE),"")</f>
        <v>4000</v>
      </c>
      <c r="AX484" s="224">
        <f>IFERROR(VLOOKUP($A484,CP!$A$1:$U$7992,20,FALSE),"")</f>
        <v>0</v>
      </c>
      <c r="AY484" s="224" t="str">
        <f>IFERROR(VLOOKUP($A484,CP!$A$1:$U$1,21,FALSE),"")</f>
        <v/>
      </c>
      <c r="AZ484" s="224" t="str">
        <f>IFERROR(VLOOKUP(A484,Devengado!$A$1:AJ1,35,FALSE),"")</f>
        <v/>
      </c>
      <c r="BA484" s="224" t="str">
        <f t="shared" si="59"/>
        <v/>
      </c>
      <c r="BB484" s="224" t="str">
        <f>IFERROR(AZ484/#REF!,"")</f>
        <v/>
      </c>
      <c r="BC484" s="224" t="str">
        <f>IFERROR(VLOOKUP($A484,Devengado!$A$1:$AI$1,22,FALSE),"")</f>
        <v/>
      </c>
      <c r="BD484" s="224" t="str">
        <f>IFERROR(VLOOKUP($A484,Devengado!$A$1:$AI$1,23,FALSE),"")</f>
        <v/>
      </c>
      <c r="BE484" s="224" t="str">
        <f>IFERROR(VLOOKUP($A484,Devengado!$A$1:$AI$1,24,FALSE),"")</f>
        <v/>
      </c>
      <c r="BF484" s="224" t="str">
        <f>IFERROR(VLOOKUP($A484,Devengado!$A$1:$AI$1,25,FALSE),"")</f>
        <v/>
      </c>
      <c r="BG484" s="224" t="str">
        <f>IFERROR(VLOOKUP($A484,Devengado!$A$1:$AI$1,26,FALSE),"")</f>
        <v/>
      </c>
      <c r="BH484" s="224" t="str">
        <f>IFERROR(VLOOKUP($A484,Devengado!$A$1:$AI$1,27,FALSE),"")</f>
        <v/>
      </c>
      <c r="BI484" s="224" t="str">
        <f>IFERROR(VLOOKUP($A484,Devengado!$A$1:$AI$1,28,FALSE),"")</f>
        <v/>
      </c>
      <c r="BJ484" s="224" t="str">
        <f>IFERROR(VLOOKUP($A484,Devengado!$A$1:$AI$1,29,FALSE),"")</f>
        <v/>
      </c>
      <c r="BK484" s="224" t="str">
        <f>IFERROR(VLOOKUP($A484,Devengado!$A$1:$AI$1,30,FALSE),"")</f>
        <v/>
      </c>
      <c r="BL484" s="224" t="str">
        <f>IFERROR(VLOOKUP($A484,Devengado!$A$1:$AI$1,31,FALSE),"")</f>
        <v/>
      </c>
      <c r="BM484" s="224" t="str">
        <f>IFERROR(VLOOKUP($A484,Devengado!$A$1:$AI$1,32,FALSE),"")</f>
        <v/>
      </c>
      <c r="BN484" s="224" t="str">
        <f>IFERROR(VLOOKUP($A484,Devengado!$A$1:$AI$1,33,FALSE),"")</f>
        <v/>
      </c>
      <c r="BO484" s="224">
        <f t="shared" si="60"/>
        <v>0</v>
      </c>
      <c r="BP484" s="224" t="str">
        <f t="shared" si="61"/>
        <v/>
      </c>
      <c r="BQ484" s="207"/>
      <c r="BR484" s="207" t="str">
        <f t="shared" si="62"/>
        <v>53</v>
      </c>
    </row>
    <row r="485" spans="1:70" s="225" customFormat="1" ht="25.5" customHeight="1">
      <c r="A485" s="207">
        <v>481</v>
      </c>
      <c r="B485" s="112" t="s">
        <v>429</v>
      </c>
      <c r="C485" s="112" t="s">
        <v>77</v>
      </c>
      <c r="D485" s="112" t="s">
        <v>77</v>
      </c>
      <c r="E485" s="112" t="s">
        <v>76</v>
      </c>
      <c r="F485" s="112" t="s">
        <v>77</v>
      </c>
      <c r="G485" s="112" t="s">
        <v>77</v>
      </c>
      <c r="H485" s="112" t="s">
        <v>77</v>
      </c>
      <c r="I485" s="112" t="s">
        <v>77</v>
      </c>
      <c r="J485" s="112" t="s">
        <v>77</v>
      </c>
      <c r="K485" s="112" t="s">
        <v>77</v>
      </c>
      <c r="L485" s="112" t="s">
        <v>85</v>
      </c>
      <c r="M485" s="124" t="s">
        <v>497</v>
      </c>
      <c r="N485" s="114" t="s">
        <v>430</v>
      </c>
      <c r="O485" s="114" t="s">
        <v>111</v>
      </c>
      <c r="P485" s="114" t="s">
        <v>81</v>
      </c>
      <c r="Q485" s="114" t="s">
        <v>112</v>
      </c>
      <c r="R485" s="115" t="str">
        <f t="shared" si="56"/>
        <v>53</v>
      </c>
      <c r="S485" s="124">
        <v>530807</v>
      </c>
      <c r="T485" s="122" t="e">
        <f>VLOOKUP(S485,ITEM!$C$1:$D$156,2,FALSE)</f>
        <v>#N/A</v>
      </c>
      <c r="U485" s="112">
        <v>1309</v>
      </c>
      <c r="V485" s="114" t="s">
        <v>82</v>
      </c>
      <c r="W485" s="114" t="s">
        <v>84</v>
      </c>
      <c r="X485" s="114" t="s">
        <v>84</v>
      </c>
      <c r="Y485" s="224">
        <f>'Matriz POA 2024-TRABAJO'!AS71</f>
        <v>679</v>
      </c>
      <c r="Z485" s="224">
        <f>'Matriz POA 2024-TRABAJO'!AT71</f>
        <v>0</v>
      </c>
      <c r="AA485" s="224">
        <f>'Matriz POA 2024-TRABAJO'!AU71</f>
        <v>679</v>
      </c>
      <c r="AB485" s="279">
        <v>0</v>
      </c>
      <c r="AC485" s="279">
        <v>0</v>
      </c>
      <c r="AD485" s="279">
        <v>0</v>
      </c>
      <c r="AE485" s="279">
        <v>2000</v>
      </c>
      <c r="AF485" s="279">
        <v>0</v>
      </c>
      <c r="AG485" s="279">
        <v>0</v>
      </c>
      <c r="AH485" s="279">
        <v>0</v>
      </c>
      <c r="AI485" s="279">
        <v>0</v>
      </c>
      <c r="AJ485" s="279">
        <v>0</v>
      </c>
      <c r="AK485" s="279">
        <v>0</v>
      </c>
      <c r="AL485" s="279">
        <v>0</v>
      </c>
      <c r="AM485" s="279">
        <v>0</v>
      </c>
      <c r="AN485" s="224" t="e">
        <f>SUM(#REF!)</f>
        <v>#REF!</v>
      </c>
      <c r="AO485" s="224">
        <f t="shared" si="57"/>
        <v>2000</v>
      </c>
      <c r="AP485" s="224">
        <f t="shared" si="63"/>
        <v>1321</v>
      </c>
      <c r="AQ485" s="224"/>
      <c r="AR485" s="224"/>
      <c r="AS485" s="224"/>
      <c r="AT485" s="224">
        <f>IFERROR(VLOOKUP($A485,'Constancias POA'!$A$2:$DH$9993,17,FALSE),"")</f>
        <v>679</v>
      </c>
      <c r="AU485" s="224">
        <f t="shared" si="58"/>
        <v>0</v>
      </c>
      <c r="AV485" s="224">
        <f>IFERROR(VLOOKUP($A485,CP!$A$1:$U$7992,18,FALSE),"")</f>
        <v>0</v>
      </c>
      <c r="AW485" s="224">
        <f>IFERROR(VLOOKUP($A485,CP!$A$1:$U$7992,19,FALSE),"")</f>
        <v>679</v>
      </c>
      <c r="AX485" s="224">
        <f>IFERROR(VLOOKUP($A485,CP!$A$1:$U$7992,20,FALSE),"")</f>
        <v>0</v>
      </c>
      <c r="AY485" s="224" t="str">
        <f>IFERROR(VLOOKUP($A485,CP!$A$1:$U$1,21,FALSE),"")</f>
        <v/>
      </c>
      <c r="AZ485" s="224" t="str">
        <f>IFERROR(VLOOKUP(A485,Devengado!$A$1:AJ1,35,FALSE),"")</f>
        <v/>
      </c>
      <c r="BA485" s="224" t="str">
        <f t="shared" si="59"/>
        <v/>
      </c>
      <c r="BB485" s="224" t="str">
        <f>IFERROR(AZ485/#REF!,"")</f>
        <v/>
      </c>
      <c r="BC485" s="224" t="str">
        <f>IFERROR(VLOOKUP($A485,Devengado!$A$1:$AI$1,22,FALSE),"")</f>
        <v/>
      </c>
      <c r="BD485" s="224" t="str">
        <f>IFERROR(VLOOKUP($A485,Devengado!$A$1:$AI$1,23,FALSE),"")</f>
        <v/>
      </c>
      <c r="BE485" s="224" t="str">
        <f>IFERROR(VLOOKUP($A485,Devengado!$A$1:$AI$1,24,FALSE),"")</f>
        <v/>
      </c>
      <c r="BF485" s="224" t="str">
        <f>IFERROR(VLOOKUP($A485,Devengado!$A$1:$AI$1,25,FALSE),"")</f>
        <v/>
      </c>
      <c r="BG485" s="224" t="str">
        <f>IFERROR(VLOOKUP($A485,Devengado!$A$1:$AI$1,26,FALSE),"")</f>
        <v/>
      </c>
      <c r="BH485" s="224" t="str">
        <f>IFERROR(VLOOKUP($A485,Devengado!$A$1:$AI$1,27,FALSE),"")</f>
        <v/>
      </c>
      <c r="BI485" s="224" t="str">
        <f>IFERROR(VLOOKUP($A485,Devengado!$A$1:$AI$1,28,FALSE),"")</f>
        <v/>
      </c>
      <c r="BJ485" s="224" t="str">
        <f>IFERROR(VLOOKUP($A485,Devengado!$A$1:$AI$1,29,FALSE),"")</f>
        <v/>
      </c>
      <c r="BK485" s="224" t="str">
        <f>IFERROR(VLOOKUP($A485,Devengado!$A$1:$AI$1,30,FALSE),"")</f>
        <v/>
      </c>
      <c r="BL485" s="224" t="str">
        <f>IFERROR(VLOOKUP($A485,Devengado!$A$1:$AI$1,31,FALSE),"")</f>
        <v/>
      </c>
      <c r="BM485" s="224" t="str">
        <f>IFERROR(VLOOKUP($A485,Devengado!$A$1:$AI$1,32,FALSE),"")</f>
        <v/>
      </c>
      <c r="BN485" s="224" t="str">
        <f>IFERROR(VLOOKUP($A485,Devengado!$A$1:$AI$1,33,FALSE),"")</f>
        <v/>
      </c>
      <c r="BO485" s="224">
        <f t="shared" si="60"/>
        <v>0</v>
      </c>
      <c r="BP485" s="224" t="str">
        <f t="shared" si="61"/>
        <v/>
      </c>
      <c r="BQ485" s="207"/>
      <c r="BR485" s="207" t="str">
        <f t="shared" si="62"/>
        <v>53</v>
      </c>
    </row>
    <row r="486" spans="1:70" s="225" customFormat="1" ht="25.5" customHeight="1">
      <c r="A486" s="207">
        <v>482</v>
      </c>
      <c r="B486" s="112" t="s">
        <v>429</v>
      </c>
      <c r="C486" s="112" t="s">
        <v>77</v>
      </c>
      <c r="D486" s="112" t="s">
        <v>77</v>
      </c>
      <c r="E486" s="112" t="s">
        <v>76</v>
      </c>
      <c r="F486" s="112" t="s">
        <v>77</v>
      </c>
      <c r="G486" s="112" t="s">
        <v>77</v>
      </c>
      <c r="H486" s="112" t="s">
        <v>77</v>
      </c>
      <c r="I486" s="112" t="s">
        <v>77</v>
      </c>
      <c r="J486" s="112" t="s">
        <v>77</v>
      </c>
      <c r="K486" s="112" t="s">
        <v>77</v>
      </c>
      <c r="L486" s="112" t="s">
        <v>85</v>
      </c>
      <c r="M486" s="124" t="s">
        <v>498</v>
      </c>
      <c r="N486" s="114" t="s">
        <v>430</v>
      </c>
      <c r="O486" s="114" t="s">
        <v>111</v>
      </c>
      <c r="P486" s="114" t="s">
        <v>81</v>
      </c>
      <c r="Q486" s="114" t="s">
        <v>112</v>
      </c>
      <c r="R486" s="115" t="str">
        <f t="shared" si="56"/>
        <v>53</v>
      </c>
      <c r="S486" s="124">
        <v>530425</v>
      </c>
      <c r="T486" s="122" t="str">
        <f>VLOOKUP(S486,ITEM!$C$1:$D$156,2,FALSE)</f>
        <v>Instalación, Readecuación, Montaje de Exposiciones, Mantenimiento y Reparación de Espacios y Bienes Culturales</v>
      </c>
      <c r="U486" s="112">
        <v>1309</v>
      </c>
      <c r="V486" s="114" t="s">
        <v>82</v>
      </c>
      <c r="W486" s="114" t="s">
        <v>84</v>
      </c>
      <c r="X486" s="114" t="s">
        <v>84</v>
      </c>
      <c r="Y486" s="224">
        <f>'Matriz POA 2024-TRABAJO'!AS72</f>
        <v>0</v>
      </c>
      <c r="Z486" s="224">
        <f>'Matriz POA 2024-TRABAJO'!AT72</f>
        <v>0</v>
      </c>
      <c r="AA486" s="224">
        <f>'Matriz POA 2024-TRABAJO'!AU72</f>
        <v>0</v>
      </c>
      <c r="AB486" s="279">
        <v>0</v>
      </c>
      <c r="AC486" s="279">
        <v>0</v>
      </c>
      <c r="AD486" s="279">
        <v>0</v>
      </c>
      <c r="AE486" s="279">
        <v>7000</v>
      </c>
      <c r="AF486" s="279">
        <v>0</v>
      </c>
      <c r="AG486" s="279">
        <v>0</v>
      </c>
      <c r="AH486" s="279">
        <v>0</v>
      </c>
      <c r="AI486" s="279">
        <v>0</v>
      </c>
      <c r="AJ486" s="279">
        <v>0</v>
      </c>
      <c r="AK486" s="279">
        <v>0</v>
      </c>
      <c r="AL486" s="279">
        <v>0</v>
      </c>
      <c r="AM486" s="279">
        <v>0</v>
      </c>
      <c r="AN486" s="224" t="e">
        <f>SUM(#REF!)</f>
        <v>#REF!</v>
      </c>
      <c r="AO486" s="224">
        <f t="shared" si="57"/>
        <v>7000</v>
      </c>
      <c r="AP486" s="224">
        <f t="shared" si="63"/>
        <v>7000</v>
      </c>
      <c r="AQ486" s="224"/>
      <c r="AR486" s="224"/>
      <c r="AS486" s="224"/>
      <c r="AT486" s="224">
        <f>IFERROR(VLOOKUP($A486,'Constancias POA'!$A$2:$DH$9993,17,FALSE),"")</f>
        <v>0</v>
      </c>
      <c r="AU486" s="224">
        <f t="shared" si="58"/>
        <v>0</v>
      </c>
      <c r="AV486" s="224">
        <f>IFERROR(VLOOKUP($A486,CP!$A$1:$U$7992,18,FALSE),"")</f>
        <v>0</v>
      </c>
      <c r="AW486" s="224">
        <f>IFERROR(VLOOKUP($A486,CP!$A$1:$U$7992,19,FALSE),"")</f>
        <v>0</v>
      </c>
      <c r="AX486" s="224">
        <f>IFERROR(VLOOKUP($A486,CP!$A$1:$U$7992,20,FALSE),"")</f>
        <v>0</v>
      </c>
      <c r="AY486" s="224" t="str">
        <f>IFERROR(VLOOKUP($A486,CP!$A$1:$U$1,21,FALSE),"")</f>
        <v/>
      </c>
      <c r="AZ486" s="224" t="str">
        <f>IFERROR(VLOOKUP(A486,Devengado!$A$1:AJ1,35,FALSE),"")</f>
        <v/>
      </c>
      <c r="BA486" s="224" t="str">
        <f t="shared" si="59"/>
        <v/>
      </c>
      <c r="BB486" s="224" t="str">
        <f>IFERROR(AZ486/#REF!,"")</f>
        <v/>
      </c>
      <c r="BC486" s="224" t="str">
        <f>IFERROR(VLOOKUP($A486,Devengado!$A$1:$AI$1,22,FALSE),"")</f>
        <v/>
      </c>
      <c r="BD486" s="224" t="str">
        <f>IFERROR(VLOOKUP($A486,Devengado!$A$1:$AI$1,23,FALSE),"")</f>
        <v/>
      </c>
      <c r="BE486" s="224" t="str">
        <f>IFERROR(VLOOKUP($A486,Devengado!$A$1:$AI$1,24,FALSE),"")</f>
        <v/>
      </c>
      <c r="BF486" s="224" t="str">
        <f>IFERROR(VLOOKUP($A486,Devengado!$A$1:$AI$1,25,FALSE),"")</f>
        <v/>
      </c>
      <c r="BG486" s="224" t="str">
        <f>IFERROR(VLOOKUP($A486,Devengado!$A$1:$AI$1,26,FALSE),"")</f>
        <v/>
      </c>
      <c r="BH486" s="224" t="str">
        <f>IFERROR(VLOOKUP($A486,Devengado!$A$1:$AI$1,27,FALSE),"")</f>
        <v/>
      </c>
      <c r="BI486" s="224" t="str">
        <f>IFERROR(VLOOKUP($A486,Devengado!$A$1:$AI$1,28,FALSE),"")</f>
        <v/>
      </c>
      <c r="BJ486" s="224" t="str">
        <f>IFERROR(VLOOKUP($A486,Devengado!$A$1:$AI$1,29,FALSE),"")</f>
        <v/>
      </c>
      <c r="BK486" s="224" t="str">
        <f>IFERROR(VLOOKUP($A486,Devengado!$A$1:$AI$1,30,FALSE),"")</f>
        <v/>
      </c>
      <c r="BL486" s="224" t="str">
        <f>IFERROR(VLOOKUP($A486,Devengado!$A$1:$AI$1,31,FALSE),"")</f>
        <v/>
      </c>
      <c r="BM486" s="224" t="str">
        <f>IFERROR(VLOOKUP($A486,Devengado!$A$1:$AI$1,32,FALSE),"")</f>
        <v/>
      </c>
      <c r="BN486" s="224" t="str">
        <f>IFERROR(VLOOKUP($A486,Devengado!$A$1:$AI$1,33,FALSE),"")</f>
        <v/>
      </c>
      <c r="BO486" s="224">
        <f t="shared" si="60"/>
        <v>0</v>
      </c>
      <c r="BP486" s="224" t="str">
        <f t="shared" si="61"/>
        <v/>
      </c>
      <c r="BQ486" s="207"/>
      <c r="BR486" s="207" t="str">
        <f t="shared" si="62"/>
        <v>53</v>
      </c>
    </row>
    <row r="487" spans="1:70" s="225" customFormat="1" ht="25.5" customHeight="1">
      <c r="A487" s="207">
        <v>483</v>
      </c>
      <c r="B487" s="112" t="s">
        <v>429</v>
      </c>
      <c r="C487" s="112" t="s">
        <v>77</v>
      </c>
      <c r="D487" s="112" t="s">
        <v>77</v>
      </c>
      <c r="E487" s="112" t="s">
        <v>76</v>
      </c>
      <c r="F487" s="112" t="s">
        <v>77</v>
      </c>
      <c r="G487" s="112" t="s">
        <v>77</v>
      </c>
      <c r="H487" s="112" t="s">
        <v>77</v>
      </c>
      <c r="I487" s="112" t="s">
        <v>77</v>
      </c>
      <c r="J487" s="112" t="s">
        <v>77</v>
      </c>
      <c r="K487" s="112" t="s">
        <v>77</v>
      </c>
      <c r="L487" s="112" t="s">
        <v>85</v>
      </c>
      <c r="M487" s="124" t="s">
        <v>499</v>
      </c>
      <c r="N487" s="114" t="s">
        <v>430</v>
      </c>
      <c r="O487" s="114" t="s">
        <v>111</v>
      </c>
      <c r="P487" s="114" t="s">
        <v>81</v>
      </c>
      <c r="Q487" s="114" t="s">
        <v>112</v>
      </c>
      <c r="R487" s="115" t="str">
        <f t="shared" si="56"/>
        <v>53</v>
      </c>
      <c r="S487" s="124">
        <v>530403</v>
      </c>
      <c r="T487" s="122" t="str">
        <f>VLOOKUP(S487,ITEM!$C$1:$D$156,2,FALSE)</f>
        <v>Mobiliarios  (Instalación, Mantenimiento y Reparación)</v>
      </c>
      <c r="U487" s="112">
        <v>1309</v>
      </c>
      <c r="V487" s="114" t="s">
        <v>82</v>
      </c>
      <c r="W487" s="114" t="s">
        <v>84</v>
      </c>
      <c r="X487" s="114" t="s">
        <v>84</v>
      </c>
      <c r="Y487" s="224">
        <f>'Matriz POA 2024-TRABAJO'!AS73</f>
        <v>0</v>
      </c>
      <c r="Z487" s="224">
        <f>'Matriz POA 2024-TRABAJO'!AT73</f>
        <v>0</v>
      </c>
      <c r="AA487" s="224">
        <f>'Matriz POA 2024-TRABAJO'!AU73</f>
        <v>0</v>
      </c>
      <c r="AB487" s="279">
        <v>0</v>
      </c>
      <c r="AC487" s="279">
        <v>0</v>
      </c>
      <c r="AD487" s="279">
        <v>5000</v>
      </c>
      <c r="AE487" s="279">
        <v>0</v>
      </c>
      <c r="AF487" s="279">
        <v>0</v>
      </c>
      <c r="AG487" s="279">
        <v>0</v>
      </c>
      <c r="AH487" s="279">
        <v>0</v>
      </c>
      <c r="AI487" s="279">
        <v>0</v>
      </c>
      <c r="AJ487" s="279">
        <v>0</v>
      </c>
      <c r="AK487" s="279">
        <v>0</v>
      </c>
      <c r="AL487" s="279">
        <v>0</v>
      </c>
      <c r="AM487" s="279">
        <v>0</v>
      </c>
      <c r="AN487" s="224" t="e">
        <f>SUM(#REF!)</f>
        <v>#REF!</v>
      </c>
      <c r="AO487" s="224">
        <f t="shared" si="57"/>
        <v>5000</v>
      </c>
      <c r="AP487" s="224">
        <f t="shared" si="63"/>
        <v>5000</v>
      </c>
      <c r="AQ487" s="224"/>
      <c r="AR487" s="224"/>
      <c r="AS487" s="224"/>
      <c r="AT487" s="224">
        <f>IFERROR(VLOOKUP($A487,'Constancias POA'!$A$2:$DH$9993,17,FALSE),"")</f>
        <v>0</v>
      </c>
      <c r="AU487" s="224">
        <f t="shared" si="58"/>
        <v>0</v>
      </c>
      <c r="AV487" s="224">
        <f>IFERROR(VLOOKUP($A487,CP!$A$1:$U$7992,18,FALSE),"")</f>
        <v>0</v>
      </c>
      <c r="AW487" s="224">
        <f>IFERROR(VLOOKUP($A487,CP!$A$1:$U$7992,19,FALSE),"")</f>
        <v>0</v>
      </c>
      <c r="AX487" s="224">
        <f>IFERROR(VLOOKUP($A487,CP!$A$1:$U$7992,20,FALSE),"")</f>
        <v>0</v>
      </c>
      <c r="AY487" s="224" t="str">
        <f>IFERROR(VLOOKUP($A487,CP!$A$1:$U$1,21,FALSE),"")</f>
        <v/>
      </c>
      <c r="AZ487" s="224" t="str">
        <f>IFERROR(VLOOKUP(A487,Devengado!$A$1:AJ1,35,FALSE),"")</f>
        <v/>
      </c>
      <c r="BA487" s="224" t="str">
        <f t="shared" si="59"/>
        <v/>
      </c>
      <c r="BB487" s="224" t="str">
        <f>IFERROR(AZ487/#REF!,"")</f>
        <v/>
      </c>
      <c r="BC487" s="224" t="str">
        <f>IFERROR(VLOOKUP($A487,Devengado!$A$1:$AI$1,22,FALSE),"")</f>
        <v/>
      </c>
      <c r="BD487" s="224" t="str">
        <f>IFERROR(VLOOKUP($A487,Devengado!$A$1:$AI$1,23,FALSE),"")</f>
        <v/>
      </c>
      <c r="BE487" s="224" t="str">
        <f>IFERROR(VLOOKUP($A487,Devengado!$A$1:$AI$1,24,FALSE),"")</f>
        <v/>
      </c>
      <c r="BF487" s="224" t="str">
        <f>IFERROR(VLOOKUP($A487,Devengado!$A$1:$AI$1,25,FALSE),"")</f>
        <v/>
      </c>
      <c r="BG487" s="224" t="str">
        <f>IFERROR(VLOOKUP($A487,Devengado!$A$1:$AI$1,26,FALSE),"")</f>
        <v/>
      </c>
      <c r="BH487" s="224" t="str">
        <f>IFERROR(VLOOKUP($A487,Devengado!$A$1:$AI$1,27,FALSE),"")</f>
        <v/>
      </c>
      <c r="BI487" s="224" t="str">
        <f>IFERROR(VLOOKUP($A487,Devengado!$A$1:$AI$1,28,FALSE),"")</f>
        <v/>
      </c>
      <c r="BJ487" s="224" t="str">
        <f>IFERROR(VLOOKUP($A487,Devengado!$A$1:$AI$1,29,FALSE),"")</f>
        <v/>
      </c>
      <c r="BK487" s="224" t="str">
        <f>IFERROR(VLOOKUP($A487,Devengado!$A$1:$AI$1,30,FALSE),"")</f>
        <v/>
      </c>
      <c r="BL487" s="224" t="str">
        <f>IFERROR(VLOOKUP($A487,Devengado!$A$1:$AI$1,31,FALSE),"")</f>
        <v/>
      </c>
      <c r="BM487" s="224" t="str">
        <f>IFERROR(VLOOKUP($A487,Devengado!$A$1:$AI$1,32,FALSE),"")</f>
        <v/>
      </c>
      <c r="BN487" s="224" t="str">
        <f>IFERROR(VLOOKUP($A487,Devengado!$A$1:$AI$1,33,FALSE),"")</f>
        <v/>
      </c>
      <c r="BO487" s="224">
        <f t="shared" si="60"/>
        <v>0</v>
      </c>
      <c r="BP487" s="224" t="str">
        <f t="shared" si="61"/>
        <v/>
      </c>
      <c r="BQ487" s="207"/>
      <c r="BR487" s="207" t="str">
        <f t="shared" si="62"/>
        <v>53</v>
      </c>
    </row>
    <row r="488" spans="1:70" s="225" customFormat="1" ht="25.5" customHeight="1">
      <c r="A488" s="207">
        <v>484</v>
      </c>
      <c r="B488" s="112" t="s">
        <v>429</v>
      </c>
      <c r="C488" s="112" t="s">
        <v>77</v>
      </c>
      <c r="D488" s="112" t="s">
        <v>77</v>
      </c>
      <c r="E488" s="112" t="s">
        <v>76</v>
      </c>
      <c r="F488" s="112" t="s">
        <v>77</v>
      </c>
      <c r="G488" s="112" t="s">
        <v>77</v>
      </c>
      <c r="H488" s="112" t="s">
        <v>77</v>
      </c>
      <c r="I488" s="112" t="s">
        <v>77</v>
      </c>
      <c r="J488" s="112" t="s">
        <v>77</v>
      </c>
      <c r="K488" s="112" t="s">
        <v>77</v>
      </c>
      <c r="L488" s="112" t="s">
        <v>85</v>
      </c>
      <c r="M488" s="124" t="s">
        <v>500</v>
      </c>
      <c r="N488" s="114" t="s">
        <v>430</v>
      </c>
      <c r="O488" s="114" t="s">
        <v>111</v>
      </c>
      <c r="P488" s="114" t="s">
        <v>81</v>
      </c>
      <c r="Q488" s="114" t="s">
        <v>112</v>
      </c>
      <c r="R488" s="115" t="str">
        <f t="shared" si="56"/>
        <v>53</v>
      </c>
      <c r="S488" s="124">
        <v>530425</v>
      </c>
      <c r="T488" s="122" t="str">
        <f>VLOOKUP(S488,ITEM!$C$1:$D$156,2,FALSE)</f>
        <v>Instalación, Readecuación, Montaje de Exposiciones, Mantenimiento y Reparación de Espacios y Bienes Culturales</v>
      </c>
      <c r="U488" s="112">
        <v>1314</v>
      </c>
      <c r="V488" s="114" t="s">
        <v>82</v>
      </c>
      <c r="W488" s="114" t="s">
        <v>84</v>
      </c>
      <c r="X488" s="114" t="s">
        <v>84</v>
      </c>
      <c r="Y488" s="224">
        <f>'Matriz POA 2024-TRABAJO'!AS74</f>
        <v>0</v>
      </c>
      <c r="Z488" s="224">
        <f>'Matriz POA 2024-TRABAJO'!AT74</f>
        <v>0</v>
      </c>
      <c r="AA488" s="224">
        <f>'Matriz POA 2024-TRABAJO'!AU74</f>
        <v>0</v>
      </c>
      <c r="AB488" s="294"/>
      <c r="AC488" s="294"/>
      <c r="AD488" s="294"/>
      <c r="AE488" s="294"/>
      <c r="AF488" s="294"/>
      <c r="AG488" s="294"/>
      <c r="AH488" s="294"/>
      <c r="AI488" s="294"/>
      <c r="AJ488" s="294"/>
      <c r="AK488" s="294"/>
      <c r="AL488" s="294"/>
      <c r="AM488" s="294"/>
      <c r="AN488" s="224" t="e">
        <f>SUM(#REF!)</f>
        <v>#REF!</v>
      </c>
      <c r="AO488" s="224">
        <f t="shared" si="57"/>
        <v>0</v>
      </c>
      <c r="AP488" s="224">
        <f t="shared" si="63"/>
        <v>0</v>
      </c>
      <c r="AQ488" s="224"/>
      <c r="AR488" s="224"/>
      <c r="AS488" s="224"/>
      <c r="AT488" s="224">
        <f>IFERROR(VLOOKUP($A488,'Constancias POA'!$A$2:$DH$9993,17,FALSE),"")</f>
        <v>0</v>
      </c>
      <c r="AU488" s="224">
        <f t="shared" si="58"/>
        <v>0</v>
      </c>
      <c r="AV488" s="224" t="str">
        <f>IFERROR(VLOOKUP($A488,CP!$A$1:$U$7992,18,FALSE),"")</f>
        <v/>
      </c>
      <c r="AW488" s="224" t="str">
        <f>IFERROR(VLOOKUP($A488,CP!$A$1:$U$7992,19,FALSE),"")</f>
        <v/>
      </c>
      <c r="AX488" s="224" t="str">
        <f>IFERROR(VLOOKUP($A488,CP!$A$1:$U$7992,20,FALSE),"")</f>
        <v/>
      </c>
      <c r="AY488" s="224" t="str">
        <f>IFERROR(VLOOKUP($A488,CP!$A$1:$U$1,21,FALSE),"")</f>
        <v/>
      </c>
      <c r="AZ488" s="224" t="str">
        <f>IFERROR(VLOOKUP(A488,Devengado!$A$1:AJ1,35,FALSE),"")</f>
        <v/>
      </c>
      <c r="BA488" s="224" t="str">
        <f t="shared" si="59"/>
        <v/>
      </c>
      <c r="BB488" s="224" t="str">
        <f>IFERROR(AZ488/#REF!,"")</f>
        <v/>
      </c>
      <c r="BC488" s="224" t="str">
        <f>IFERROR(VLOOKUP($A488,Devengado!$A$1:$AI$1,22,FALSE),"")</f>
        <v/>
      </c>
      <c r="BD488" s="224" t="str">
        <f>IFERROR(VLOOKUP($A488,Devengado!$A$1:$AI$1,23,FALSE),"")</f>
        <v/>
      </c>
      <c r="BE488" s="224" t="str">
        <f>IFERROR(VLOOKUP($A488,Devengado!$A$1:$AI$1,24,FALSE),"")</f>
        <v/>
      </c>
      <c r="BF488" s="224" t="str">
        <f>IFERROR(VLOOKUP($A488,Devengado!$A$1:$AI$1,25,FALSE),"")</f>
        <v/>
      </c>
      <c r="BG488" s="224" t="str">
        <f>IFERROR(VLOOKUP($A488,Devengado!$A$1:$AI$1,26,FALSE),"")</f>
        <v/>
      </c>
      <c r="BH488" s="224" t="str">
        <f>IFERROR(VLOOKUP($A488,Devengado!$A$1:$AI$1,27,FALSE),"")</f>
        <v/>
      </c>
      <c r="BI488" s="224" t="str">
        <f>IFERROR(VLOOKUP($A488,Devengado!$A$1:$AI$1,28,FALSE),"")</f>
        <v/>
      </c>
      <c r="BJ488" s="224" t="str">
        <f>IFERROR(VLOOKUP($A488,Devengado!$A$1:$AI$1,29,FALSE),"")</f>
        <v/>
      </c>
      <c r="BK488" s="224" t="str">
        <f>IFERROR(VLOOKUP($A488,Devengado!$A$1:$AI$1,30,FALSE),"")</f>
        <v/>
      </c>
      <c r="BL488" s="224" t="str">
        <f>IFERROR(VLOOKUP($A488,Devengado!$A$1:$AI$1,31,FALSE),"")</f>
        <v/>
      </c>
      <c r="BM488" s="224" t="str">
        <f>IFERROR(VLOOKUP($A488,Devengado!$A$1:$AI$1,32,FALSE),"")</f>
        <v/>
      </c>
      <c r="BN488" s="224" t="str">
        <f>IFERROR(VLOOKUP($A488,Devengado!$A$1:$AI$1,33,FALSE),"")</f>
        <v/>
      </c>
      <c r="BO488" s="224">
        <f t="shared" si="60"/>
        <v>0</v>
      </c>
      <c r="BP488" s="224" t="str">
        <f t="shared" si="61"/>
        <v/>
      </c>
      <c r="BQ488" s="207"/>
      <c r="BR488" s="207" t="str">
        <f t="shared" si="62"/>
        <v>53</v>
      </c>
    </row>
    <row r="489" spans="1:70" s="225" customFormat="1" ht="25.5" customHeight="1">
      <c r="A489" s="207">
        <v>485</v>
      </c>
      <c r="B489" s="112" t="s">
        <v>429</v>
      </c>
      <c r="C489" s="112" t="s">
        <v>77</v>
      </c>
      <c r="D489" s="112" t="s">
        <v>77</v>
      </c>
      <c r="E489" s="112" t="s">
        <v>76</v>
      </c>
      <c r="F489" s="112" t="s">
        <v>77</v>
      </c>
      <c r="G489" s="112" t="s">
        <v>77</v>
      </c>
      <c r="H489" s="112" t="s">
        <v>77</v>
      </c>
      <c r="I489" s="112" t="s">
        <v>77</v>
      </c>
      <c r="J489" s="112" t="s">
        <v>77</v>
      </c>
      <c r="K489" s="112" t="s">
        <v>77</v>
      </c>
      <c r="L489" s="112" t="s">
        <v>85</v>
      </c>
      <c r="M489" s="124" t="s">
        <v>501</v>
      </c>
      <c r="N489" s="114" t="s">
        <v>430</v>
      </c>
      <c r="O489" s="114" t="s">
        <v>111</v>
      </c>
      <c r="P489" s="114" t="s">
        <v>81</v>
      </c>
      <c r="Q489" s="114" t="s">
        <v>112</v>
      </c>
      <c r="R489" s="115" t="str">
        <f t="shared" si="56"/>
        <v>53</v>
      </c>
      <c r="S489" s="124">
        <v>530106</v>
      </c>
      <c r="T489" s="122" t="str">
        <f>VLOOKUP(S489,ITEM!$C$1:$D$156,2,FALSE)</f>
        <v>Servicio de Correo</v>
      </c>
      <c r="U489" s="112">
        <v>1309</v>
      </c>
      <c r="V489" s="114" t="s">
        <v>82</v>
      </c>
      <c r="W489" s="114" t="s">
        <v>84</v>
      </c>
      <c r="X489" s="114" t="s">
        <v>84</v>
      </c>
      <c r="Y489" s="224">
        <f>'Matriz POA 2024-TRABAJO'!AS75</f>
        <v>0</v>
      </c>
      <c r="Z489" s="224">
        <f>'Matriz POA 2024-TRABAJO'!AT75</f>
        <v>0</v>
      </c>
      <c r="AA489" s="224">
        <f>'Matriz POA 2024-TRABAJO'!AU75</f>
        <v>0</v>
      </c>
      <c r="AB489" s="279"/>
      <c r="AC489" s="279"/>
      <c r="AD489" s="279"/>
      <c r="AE489" s="279"/>
      <c r="AF489" s="279"/>
      <c r="AG489" s="279"/>
      <c r="AH489" s="279"/>
      <c r="AI489" s="279"/>
      <c r="AJ489" s="279"/>
      <c r="AK489" s="279"/>
      <c r="AL489" s="279"/>
      <c r="AM489" s="279"/>
      <c r="AN489" s="224" t="e">
        <f>SUM(#REF!)</f>
        <v>#REF!</v>
      </c>
      <c r="AO489" s="224">
        <f t="shared" si="57"/>
        <v>0</v>
      </c>
      <c r="AP489" s="224">
        <f t="shared" si="63"/>
        <v>0</v>
      </c>
      <c r="AQ489" s="224"/>
      <c r="AR489" s="224"/>
      <c r="AS489" s="224"/>
      <c r="AT489" s="224" t="str">
        <f>IFERROR(VLOOKUP($A489,'Constancias POA'!$A$2:$DH$9993,17,FALSE),"")</f>
        <v/>
      </c>
      <c r="AU489" s="224" t="str">
        <f t="shared" si="58"/>
        <v/>
      </c>
      <c r="AV489" s="224" t="str">
        <f>IFERROR(VLOOKUP($A489,CP!$A$1:$U$7992,18,FALSE),"")</f>
        <v/>
      </c>
      <c r="AW489" s="224" t="str">
        <f>IFERROR(VLOOKUP($A489,CP!$A$1:$U$7992,19,FALSE),"")</f>
        <v/>
      </c>
      <c r="AX489" s="224" t="str">
        <f>IFERROR(VLOOKUP($A489,CP!$A$1:$U$7992,20,FALSE),"")</f>
        <v/>
      </c>
      <c r="AY489" s="224" t="str">
        <f>IFERROR(VLOOKUP($A489,CP!$A$1:$U$1,21,FALSE),"")</f>
        <v/>
      </c>
      <c r="AZ489" s="224" t="str">
        <f>IFERROR(VLOOKUP(A489,Devengado!$A$1:AJ1,35,FALSE),"")</f>
        <v/>
      </c>
      <c r="BA489" s="224" t="str">
        <f t="shared" si="59"/>
        <v/>
      </c>
      <c r="BB489" s="224" t="str">
        <f>IFERROR(AZ489/#REF!,"")</f>
        <v/>
      </c>
      <c r="BC489" s="224" t="str">
        <f>IFERROR(VLOOKUP($A489,Devengado!$A$1:$AI$1,22,FALSE),"")</f>
        <v/>
      </c>
      <c r="BD489" s="224" t="str">
        <f>IFERROR(VLOOKUP($A489,Devengado!$A$1:$AI$1,23,FALSE),"")</f>
        <v/>
      </c>
      <c r="BE489" s="224" t="str">
        <f>IFERROR(VLOOKUP($A489,Devengado!$A$1:$AI$1,24,FALSE),"")</f>
        <v/>
      </c>
      <c r="BF489" s="224" t="str">
        <f>IFERROR(VLOOKUP($A489,Devengado!$A$1:$AI$1,25,FALSE),"")</f>
        <v/>
      </c>
      <c r="BG489" s="224" t="str">
        <f>IFERROR(VLOOKUP($A489,Devengado!$A$1:$AI$1,26,FALSE),"")</f>
        <v/>
      </c>
      <c r="BH489" s="224" t="str">
        <f>IFERROR(VLOOKUP($A489,Devengado!$A$1:$AI$1,27,FALSE),"")</f>
        <v/>
      </c>
      <c r="BI489" s="224" t="str">
        <f>IFERROR(VLOOKUP($A489,Devengado!$A$1:$AI$1,28,FALSE),"")</f>
        <v/>
      </c>
      <c r="BJ489" s="224" t="str">
        <f>IFERROR(VLOOKUP($A489,Devengado!$A$1:$AI$1,29,FALSE),"")</f>
        <v/>
      </c>
      <c r="BK489" s="224" t="str">
        <f>IFERROR(VLOOKUP($A489,Devengado!$A$1:$AI$1,30,FALSE),"")</f>
        <v/>
      </c>
      <c r="BL489" s="224" t="str">
        <f>IFERROR(VLOOKUP($A489,Devengado!$A$1:$AI$1,31,FALSE),"")</f>
        <v/>
      </c>
      <c r="BM489" s="224" t="str">
        <f>IFERROR(VLOOKUP($A489,Devengado!$A$1:$AI$1,32,FALSE),"")</f>
        <v/>
      </c>
      <c r="BN489" s="224" t="str">
        <f>IFERROR(VLOOKUP($A489,Devengado!$A$1:$AI$1,33,FALSE),"")</f>
        <v/>
      </c>
      <c r="BO489" s="224">
        <f t="shared" si="60"/>
        <v>0</v>
      </c>
      <c r="BP489" s="224" t="str">
        <f t="shared" si="61"/>
        <v/>
      </c>
      <c r="BQ489" s="207"/>
      <c r="BR489" s="207" t="str">
        <f t="shared" si="62"/>
        <v>53</v>
      </c>
    </row>
    <row r="490" spans="1:70" s="225" customFormat="1" ht="25.5" customHeight="1">
      <c r="A490" s="207">
        <v>486</v>
      </c>
      <c r="B490" s="112" t="s">
        <v>429</v>
      </c>
      <c r="C490" s="112" t="s">
        <v>77</v>
      </c>
      <c r="D490" s="112" t="s">
        <v>77</v>
      </c>
      <c r="E490" s="112" t="s">
        <v>76</v>
      </c>
      <c r="F490" s="112" t="s">
        <v>77</v>
      </c>
      <c r="G490" s="112" t="s">
        <v>77</v>
      </c>
      <c r="H490" s="112" t="s">
        <v>77</v>
      </c>
      <c r="I490" s="112" t="s">
        <v>77</v>
      </c>
      <c r="J490" s="112" t="s">
        <v>77</v>
      </c>
      <c r="K490" s="112" t="s">
        <v>77</v>
      </c>
      <c r="L490" s="112" t="s">
        <v>85</v>
      </c>
      <c r="M490" s="124" t="s">
        <v>502</v>
      </c>
      <c r="N490" s="114" t="s">
        <v>430</v>
      </c>
      <c r="O490" s="114" t="s">
        <v>111</v>
      </c>
      <c r="P490" s="114" t="s">
        <v>81</v>
      </c>
      <c r="Q490" s="114" t="s">
        <v>112</v>
      </c>
      <c r="R490" s="115" t="str">
        <f t="shared" si="56"/>
        <v>53</v>
      </c>
      <c r="S490" s="124">
        <v>530301</v>
      </c>
      <c r="T490" s="122" t="str">
        <f>VLOOKUP(S490,ITEM!$C$1:$D$156,2,FALSE)</f>
        <v>Pasajes al Interior</v>
      </c>
      <c r="U490" s="112">
        <v>1309</v>
      </c>
      <c r="V490" s="114" t="s">
        <v>82</v>
      </c>
      <c r="W490" s="114" t="s">
        <v>84</v>
      </c>
      <c r="X490" s="114" t="s">
        <v>84</v>
      </c>
      <c r="Y490" s="224">
        <f>'Matriz POA 2024-TRABAJO'!AS76</f>
        <v>0</v>
      </c>
      <c r="Z490" s="224">
        <f>'Matriz POA 2024-TRABAJO'!AT76</f>
        <v>0</v>
      </c>
      <c r="AA490" s="224">
        <f>'Matriz POA 2024-TRABAJO'!AU76</f>
        <v>0</v>
      </c>
      <c r="AB490" s="279">
        <v>0</v>
      </c>
      <c r="AC490" s="279">
        <v>50</v>
      </c>
      <c r="AD490" s="279">
        <v>50</v>
      </c>
      <c r="AE490" s="279">
        <v>50</v>
      </c>
      <c r="AF490" s="279">
        <v>50</v>
      </c>
      <c r="AG490" s="279">
        <v>50</v>
      </c>
      <c r="AH490" s="279">
        <v>50</v>
      </c>
      <c r="AI490" s="279">
        <v>50</v>
      </c>
      <c r="AJ490" s="279">
        <v>50</v>
      </c>
      <c r="AK490" s="279">
        <v>50</v>
      </c>
      <c r="AL490" s="279">
        <v>50</v>
      </c>
      <c r="AM490" s="279">
        <v>0</v>
      </c>
      <c r="AN490" s="224" t="e">
        <f>SUM(#REF!)</f>
        <v>#REF!</v>
      </c>
      <c r="AO490" s="224">
        <f t="shared" si="57"/>
        <v>500</v>
      </c>
      <c r="AP490" s="224">
        <f t="shared" si="63"/>
        <v>500</v>
      </c>
      <c r="AQ490" s="224"/>
      <c r="AR490" s="224"/>
      <c r="AS490" s="224"/>
      <c r="AT490" s="224">
        <f>IFERROR(VLOOKUP($A490,'Constancias POA'!$A$2:$DH$9993,17,FALSE),"")</f>
        <v>0</v>
      </c>
      <c r="AU490" s="224">
        <f t="shared" si="58"/>
        <v>0</v>
      </c>
      <c r="AV490" s="224">
        <f>IFERROR(VLOOKUP($A490,CP!$A$1:$U$7992,18,FALSE),"")</f>
        <v>0</v>
      </c>
      <c r="AW490" s="224">
        <f>IFERROR(VLOOKUP($A490,CP!$A$1:$U$7992,19,FALSE),"")</f>
        <v>0</v>
      </c>
      <c r="AX490" s="224">
        <f>IFERROR(VLOOKUP($A490,CP!$A$1:$U$7992,20,FALSE),"")</f>
        <v>0</v>
      </c>
      <c r="AY490" s="224" t="str">
        <f>IFERROR(VLOOKUP($A490,CP!$A$1:$U$1,21,FALSE),"")</f>
        <v/>
      </c>
      <c r="AZ490" s="224" t="str">
        <f>IFERROR(VLOOKUP(A490,Devengado!$A$1:AJ1,35,FALSE),"")</f>
        <v/>
      </c>
      <c r="BA490" s="224" t="str">
        <f t="shared" si="59"/>
        <v/>
      </c>
      <c r="BB490" s="224" t="str">
        <f>IFERROR(AZ490/#REF!,"")</f>
        <v/>
      </c>
      <c r="BC490" s="224" t="str">
        <f>IFERROR(VLOOKUP($A490,Devengado!$A$1:$AI$1,22,FALSE),"")</f>
        <v/>
      </c>
      <c r="BD490" s="224" t="str">
        <f>IFERROR(VLOOKUP($A490,Devengado!$A$1:$AI$1,23,FALSE),"")</f>
        <v/>
      </c>
      <c r="BE490" s="224" t="str">
        <f>IFERROR(VLOOKUP($A490,Devengado!$A$1:$AI$1,24,FALSE),"")</f>
        <v/>
      </c>
      <c r="BF490" s="224" t="str">
        <f>IFERROR(VLOOKUP($A490,Devengado!$A$1:$AI$1,25,FALSE),"")</f>
        <v/>
      </c>
      <c r="BG490" s="224" t="str">
        <f>IFERROR(VLOOKUP($A490,Devengado!$A$1:$AI$1,26,FALSE),"")</f>
        <v/>
      </c>
      <c r="BH490" s="224" t="str">
        <f>IFERROR(VLOOKUP($A490,Devengado!$A$1:$AI$1,27,FALSE),"")</f>
        <v/>
      </c>
      <c r="BI490" s="224" t="str">
        <f>IFERROR(VLOOKUP($A490,Devengado!$A$1:$AI$1,28,FALSE),"")</f>
        <v/>
      </c>
      <c r="BJ490" s="224" t="str">
        <f>IFERROR(VLOOKUP($A490,Devengado!$A$1:$AI$1,29,FALSE),"")</f>
        <v/>
      </c>
      <c r="BK490" s="224" t="str">
        <f>IFERROR(VLOOKUP($A490,Devengado!$A$1:$AI$1,30,FALSE),"")</f>
        <v/>
      </c>
      <c r="BL490" s="224" t="str">
        <f>IFERROR(VLOOKUP($A490,Devengado!$A$1:$AI$1,31,FALSE),"")</f>
        <v/>
      </c>
      <c r="BM490" s="224" t="str">
        <f>IFERROR(VLOOKUP($A490,Devengado!$A$1:$AI$1,32,FALSE),"")</f>
        <v/>
      </c>
      <c r="BN490" s="224" t="str">
        <f>IFERROR(VLOOKUP($A490,Devengado!$A$1:$AI$1,33,FALSE),"")</f>
        <v/>
      </c>
      <c r="BO490" s="224">
        <f t="shared" si="60"/>
        <v>0</v>
      </c>
      <c r="BP490" s="224" t="str">
        <f t="shared" si="61"/>
        <v/>
      </c>
      <c r="BQ490" s="207"/>
      <c r="BR490" s="207" t="str">
        <f t="shared" si="62"/>
        <v>53</v>
      </c>
    </row>
    <row r="491" spans="1:70" s="225" customFormat="1" ht="25.5" customHeight="1">
      <c r="A491" s="207">
        <v>487</v>
      </c>
      <c r="B491" s="112" t="s">
        <v>429</v>
      </c>
      <c r="C491" s="112" t="s">
        <v>77</v>
      </c>
      <c r="D491" s="112" t="s">
        <v>77</v>
      </c>
      <c r="E491" s="112" t="s">
        <v>76</v>
      </c>
      <c r="F491" s="112" t="s">
        <v>77</v>
      </c>
      <c r="G491" s="112" t="s">
        <v>77</v>
      </c>
      <c r="H491" s="112" t="s">
        <v>77</v>
      </c>
      <c r="I491" s="112" t="s">
        <v>77</v>
      </c>
      <c r="J491" s="112" t="s">
        <v>77</v>
      </c>
      <c r="K491" s="112" t="s">
        <v>77</v>
      </c>
      <c r="L491" s="112" t="s">
        <v>85</v>
      </c>
      <c r="M491" s="124" t="s">
        <v>503</v>
      </c>
      <c r="N491" s="114" t="s">
        <v>430</v>
      </c>
      <c r="O491" s="114" t="s">
        <v>111</v>
      </c>
      <c r="P491" s="114" t="s">
        <v>81</v>
      </c>
      <c r="Q491" s="114" t="s">
        <v>112</v>
      </c>
      <c r="R491" s="115" t="str">
        <f t="shared" si="56"/>
        <v>53</v>
      </c>
      <c r="S491" s="112">
        <v>530303</v>
      </c>
      <c r="T491" s="122" t="str">
        <f>VLOOKUP(S491,ITEM!$C$1:$D$156,2,FALSE)</f>
        <v>Viáticos y Subsistencias en el Interior</v>
      </c>
      <c r="U491" s="112">
        <v>1309</v>
      </c>
      <c r="V491" s="114" t="s">
        <v>82</v>
      </c>
      <c r="W491" s="114" t="s">
        <v>84</v>
      </c>
      <c r="X491" s="114" t="s">
        <v>84</v>
      </c>
      <c r="Y491" s="224">
        <f>'Matriz POA 2024-TRABAJO'!AS77</f>
        <v>4770.26</v>
      </c>
      <c r="Z491" s="224">
        <f>'Matriz POA 2024-TRABAJO'!AT77</f>
        <v>0</v>
      </c>
      <c r="AA491" s="224">
        <f>'Matriz POA 2024-TRABAJO'!AU77</f>
        <v>4770.26</v>
      </c>
      <c r="AB491" s="279">
        <v>0</v>
      </c>
      <c r="AC491" s="279">
        <v>100</v>
      </c>
      <c r="AD491" s="279">
        <v>100</v>
      </c>
      <c r="AE491" s="279">
        <v>100</v>
      </c>
      <c r="AF491" s="279">
        <v>100</v>
      </c>
      <c r="AG491" s="279">
        <v>100</v>
      </c>
      <c r="AH491" s="279">
        <v>100</v>
      </c>
      <c r="AI491" s="279">
        <v>100</v>
      </c>
      <c r="AJ491" s="279">
        <v>100</v>
      </c>
      <c r="AK491" s="279">
        <v>100</v>
      </c>
      <c r="AL491" s="279">
        <v>185.88</v>
      </c>
      <c r="AM491" s="279">
        <v>0</v>
      </c>
      <c r="AN491" s="224" t="e">
        <f>SUM(#REF!)</f>
        <v>#REF!</v>
      </c>
      <c r="AO491" s="224">
        <f t="shared" si="57"/>
        <v>1085.8800000000001</v>
      </c>
      <c r="AP491" s="224">
        <f t="shared" si="63"/>
        <v>-3684.38</v>
      </c>
      <c r="AQ491" s="224"/>
      <c r="AR491" s="224"/>
      <c r="AS491" s="224"/>
      <c r="AT491" s="224">
        <f>IFERROR(VLOOKUP($A491,'Constancias POA'!$A$2:$DH$9993,17,FALSE),"")</f>
        <v>4770.26</v>
      </c>
      <c r="AU491" s="224">
        <f t="shared" si="58"/>
        <v>0</v>
      </c>
      <c r="AV491" s="224">
        <f>IFERROR(VLOOKUP($A491,CP!$A$1:$U$7992,18,FALSE),"")</f>
        <v>4110.26</v>
      </c>
      <c r="AW491" s="224">
        <f>IFERROR(VLOOKUP($A491,CP!$A$1:$U$7992,19,FALSE),"")</f>
        <v>3260</v>
      </c>
      <c r="AX491" s="224">
        <f>IFERROR(VLOOKUP($A491,CP!$A$1:$U$7992,20,FALSE),"")</f>
        <v>0</v>
      </c>
      <c r="AY491" s="224" t="str">
        <f>IFERROR(VLOOKUP($A491,CP!$A$1:$U$1,21,FALSE),"")</f>
        <v/>
      </c>
      <c r="AZ491" s="224" t="str">
        <f>IFERROR(VLOOKUP(A491,Devengado!$A$1:AJ1,35,FALSE),"")</f>
        <v/>
      </c>
      <c r="BA491" s="224" t="str">
        <f t="shared" si="59"/>
        <v/>
      </c>
      <c r="BB491" s="224" t="str">
        <f>IFERROR(AZ491/#REF!,"")</f>
        <v/>
      </c>
      <c r="BC491" s="224" t="str">
        <f>IFERROR(VLOOKUP($A491,Devengado!$A$1:$AI$1,22,FALSE),"")</f>
        <v/>
      </c>
      <c r="BD491" s="224" t="str">
        <f>IFERROR(VLOOKUP($A491,Devengado!$A$1:$AI$1,23,FALSE),"")</f>
        <v/>
      </c>
      <c r="BE491" s="224" t="str">
        <f>IFERROR(VLOOKUP($A491,Devengado!$A$1:$AI$1,24,FALSE),"")</f>
        <v/>
      </c>
      <c r="BF491" s="224" t="str">
        <f>IFERROR(VLOOKUP($A491,Devengado!$A$1:$AI$1,25,FALSE),"")</f>
        <v/>
      </c>
      <c r="BG491" s="224" t="str">
        <f>IFERROR(VLOOKUP($A491,Devengado!$A$1:$AI$1,26,FALSE),"")</f>
        <v/>
      </c>
      <c r="BH491" s="224" t="str">
        <f>IFERROR(VLOOKUP($A491,Devengado!$A$1:$AI$1,27,FALSE),"")</f>
        <v/>
      </c>
      <c r="BI491" s="224" t="str">
        <f>IFERROR(VLOOKUP($A491,Devengado!$A$1:$AI$1,28,FALSE),"")</f>
        <v/>
      </c>
      <c r="BJ491" s="224" t="str">
        <f>IFERROR(VLOOKUP($A491,Devengado!$A$1:$AI$1,29,FALSE),"")</f>
        <v/>
      </c>
      <c r="BK491" s="224" t="str">
        <f>IFERROR(VLOOKUP($A491,Devengado!$A$1:$AI$1,30,FALSE),"")</f>
        <v/>
      </c>
      <c r="BL491" s="224" t="str">
        <f>IFERROR(VLOOKUP($A491,Devengado!$A$1:$AI$1,31,FALSE),"")</f>
        <v/>
      </c>
      <c r="BM491" s="224" t="str">
        <f>IFERROR(VLOOKUP($A491,Devengado!$A$1:$AI$1,32,FALSE),"")</f>
        <v/>
      </c>
      <c r="BN491" s="224" t="str">
        <f>IFERROR(VLOOKUP($A491,Devengado!$A$1:$AI$1,33,FALSE),"")</f>
        <v/>
      </c>
      <c r="BO491" s="224">
        <f t="shared" si="60"/>
        <v>0</v>
      </c>
      <c r="BP491" s="224" t="str">
        <f t="shared" si="61"/>
        <v/>
      </c>
      <c r="BQ491" s="207"/>
      <c r="BR491" s="207" t="str">
        <f t="shared" si="62"/>
        <v>53</v>
      </c>
    </row>
    <row r="492" spans="1:70" s="225" customFormat="1" ht="25.5" customHeight="1">
      <c r="A492" s="207">
        <v>488</v>
      </c>
      <c r="B492" s="112" t="s">
        <v>429</v>
      </c>
      <c r="C492" s="112" t="s">
        <v>77</v>
      </c>
      <c r="D492" s="112" t="s">
        <v>77</v>
      </c>
      <c r="E492" s="112" t="s">
        <v>76</v>
      </c>
      <c r="F492" s="112" t="s">
        <v>77</v>
      </c>
      <c r="G492" s="112" t="s">
        <v>77</v>
      </c>
      <c r="H492" s="112" t="s">
        <v>77</v>
      </c>
      <c r="I492" s="112" t="s">
        <v>77</v>
      </c>
      <c r="J492" s="112" t="s">
        <v>77</v>
      </c>
      <c r="K492" s="112" t="s">
        <v>77</v>
      </c>
      <c r="L492" s="112" t="s">
        <v>85</v>
      </c>
      <c r="M492" s="124" t="s">
        <v>504</v>
      </c>
      <c r="N492" s="114" t="s">
        <v>430</v>
      </c>
      <c r="O492" s="114" t="s">
        <v>111</v>
      </c>
      <c r="P492" s="114" t="s">
        <v>81</v>
      </c>
      <c r="Q492" s="114" t="s">
        <v>112</v>
      </c>
      <c r="R492" s="115" t="str">
        <f t="shared" si="56"/>
        <v>53</v>
      </c>
      <c r="S492" s="124">
        <v>530301</v>
      </c>
      <c r="T492" s="122" t="str">
        <f>VLOOKUP(S492,ITEM!$C$1:$D$156,2,FALSE)</f>
        <v>Pasajes al Interior</v>
      </c>
      <c r="U492" s="112">
        <v>1309</v>
      </c>
      <c r="V492" s="114" t="s">
        <v>82</v>
      </c>
      <c r="W492" s="114" t="s">
        <v>84</v>
      </c>
      <c r="X492" s="114" t="s">
        <v>84</v>
      </c>
      <c r="Y492" s="224">
        <f>'Matriz POA 2024-TRABAJO'!AS78</f>
        <v>0</v>
      </c>
      <c r="Z492" s="224">
        <f>'Matriz POA 2024-TRABAJO'!AT78</f>
        <v>0</v>
      </c>
      <c r="AA492" s="224">
        <f>'Matriz POA 2024-TRABAJO'!AU78</f>
        <v>0</v>
      </c>
      <c r="AB492" s="279">
        <v>0</v>
      </c>
      <c r="AC492" s="279">
        <v>0</v>
      </c>
      <c r="AD492" s="279">
        <v>200</v>
      </c>
      <c r="AE492" s="279">
        <v>0</v>
      </c>
      <c r="AF492" s="279">
        <v>0</v>
      </c>
      <c r="AG492" s="279">
        <v>0</v>
      </c>
      <c r="AH492" s="279">
        <v>200</v>
      </c>
      <c r="AI492" s="279">
        <v>0</v>
      </c>
      <c r="AJ492" s="279">
        <v>0</v>
      </c>
      <c r="AK492" s="279">
        <v>100</v>
      </c>
      <c r="AL492" s="279">
        <v>0</v>
      </c>
      <c r="AM492" s="279">
        <v>0</v>
      </c>
      <c r="AN492" s="224" t="e">
        <f>SUM(#REF!)</f>
        <v>#REF!</v>
      </c>
      <c r="AO492" s="224">
        <f t="shared" si="57"/>
        <v>500</v>
      </c>
      <c r="AP492" s="224">
        <f t="shared" si="63"/>
        <v>500</v>
      </c>
      <c r="AQ492" s="224"/>
      <c r="AR492" s="224"/>
      <c r="AS492" s="224"/>
      <c r="AT492" s="224">
        <f>IFERROR(VLOOKUP($A492,'Constancias POA'!$A$2:$DH$9993,17,FALSE),"")</f>
        <v>0</v>
      </c>
      <c r="AU492" s="224">
        <f t="shared" si="58"/>
        <v>0</v>
      </c>
      <c r="AV492" s="224">
        <f>IFERROR(VLOOKUP($A492,CP!$A$1:$U$7992,18,FALSE),"")</f>
        <v>0</v>
      </c>
      <c r="AW492" s="224">
        <f>IFERROR(VLOOKUP($A492,CP!$A$1:$U$7992,19,FALSE),"")</f>
        <v>0</v>
      </c>
      <c r="AX492" s="224">
        <f>IFERROR(VLOOKUP($A492,CP!$A$1:$U$7992,20,FALSE),"")</f>
        <v>0</v>
      </c>
      <c r="AY492" s="224" t="str">
        <f>IFERROR(VLOOKUP($A492,CP!$A$1:$U$1,21,FALSE),"")</f>
        <v/>
      </c>
      <c r="AZ492" s="224" t="str">
        <f>IFERROR(VLOOKUP(A492,Devengado!$A$1:AJ1,35,FALSE),"")</f>
        <v/>
      </c>
      <c r="BA492" s="224" t="str">
        <f t="shared" si="59"/>
        <v/>
      </c>
      <c r="BB492" s="224" t="str">
        <f>IFERROR(AZ492/#REF!,"")</f>
        <v/>
      </c>
      <c r="BC492" s="224" t="str">
        <f>IFERROR(VLOOKUP($A492,Devengado!$A$1:$AI$1,22,FALSE),"")</f>
        <v/>
      </c>
      <c r="BD492" s="224" t="str">
        <f>IFERROR(VLOOKUP($A492,Devengado!$A$1:$AI$1,23,FALSE),"")</f>
        <v/>
      </c>
      <c r="BE492" s="224" t="str">
        <f>IFERROR(VLOOKUP($A492,Devengado!$A$1:$AI$1,24,FALSE),"")</f>
        <v/>
      </c>
      <c r="BF492" s="224" t="str">
        <f>IFERROR(VLOOKUP($A492,Devengado!$A$1:$AI$1,25,FALSE),"")</f>
        <v/>
      </c>
      <c r="BG492" s="224" t="str">
        <f>IFERROR(VLOOKUP($A492,Devengado!$A$1:$AI$1,26,FALSE),"")</f>
        <v/>
      </c>
      <c r="BH492" s="224" t="str">
        <f>IFERROR(VLOOKUP($A492,Devengado!$A$1:$AI$1,27,FALSE),"")</f>
        <v/>
      </c>
      <c r="BI492" s="224" t="str">
        <f>IFERROR(VLOOKUP($A492,Devengado!$A$1:$AI$1,28,FALSE),"")</f>
        <v/>
      </c>
      <c r="BJ492" s="224" t="str">
        <f>IFERROR(VLOOKUP($A492,Devengado!$A$1:$AI$1,29,FALSE),"")</f>
        <v/>
      </c>
      <c r="BK492" s="224" t="str">
        <f>IFERROR(VLOOKUP($A492,Devengado!$A$1:$AI$1,30,FALSE),"")</f>
        <v/>
      </c>
      <c r="BL492" s="224" t="str">
        <f>IFERROR(VLOOKUP($A492,Devengado!$A$1:$AI$1,31,FALSE),"")</f>
        <v/>
      </c>
      <c r="BM492" s="224" t="str">
        <f>IFERROR(VLOOKUP($A492,Devengado!$A$1:$AI$1,32,FALSE),"")</f>
        <v/>
      </c>
      <c r="BN492" s="224" t="str">
        <f>IFERROR(VLOOKUP($A492,Devengado!$A$1:$AI$1,33,FALSE),"")</f>
        <v/>
      </c>
      <c r="BO492" s="224">
        <f t="shared" si="60"/>
        <v>0</v>
      </c>
      <c r="BP492" s="224" t="str">
        <f t="shared" si="61"/>
        <v/>
      </c>
      <c r="BQ492" s="207"/>
      <c r="BR492" s="207" t="str">
        <f t="shared" si="62"/>
        <v>53</v>
      </c>
    </row>
    <row r="493" spans="1:70" s="225" customFormat="1" ht="15.75" customHeight="1">
      <c r="A493" s="207">
        <v>489</v>
      </c>
      <c r="B493" s="112" t="s">
        <v>429</v>
      </c>
      <c r="C493" s="112" t="s">
        <v>77</v>
      </c>
      <c r="D493" s="112" t="s">
        <v>77</v>
      </c>
      <c r="E493" s="112" t="s">
        <v>76</v>
      </c>
      <c r="F493" s="112" t="s">
        <v>77</v>
      </c>
      <c r="G493" s="112" t="s">
        <v>77</v>
      </c>
      <c r="H493" s="112" t="s">
        <v>77</v>
      </c>
      <c r="I493" s="112" t="s">
        <v>77</v>
      </c>
      <c r="J493" s="112" t="s">
        <v>77</v>
      </c>
      <c r="K493" s="112" t="s">
        <v>77</v>
      </c>
      <c r="L493" s="112" t="s">
        <v>85</v>
      </c>
      <c r="M493" s="124" t="s">
        <v>505</v>
      </c>
      <c r="N493" s="114" t="s">
        <v>430</v>
      </c>
      <c r="O493" s="114" t="s">
        <v>111</v>
      </c>
      <c r="P493" s="114" t="s">
        <v>81</v>
      </c>
      <c r="Q493" s="114" t="s">
        <v>112</v>
      </c>
      <c r="R493" s="115" t="str">
        <f t="shared" si="56"/>
        <v>53</v>
      </c>
      <c r="S493" s="124">
        <v>530811</v>
      </c>
      <c r="T493" s="122" t="e">
        <f>VLOOKUP(S493,ITEM!$C$1:$D$156,2,FALSE)</f>
        <v>#N/A</v>
      </c>
      <c r="U493" s="112">
        <v>1309</v>
      </c>
      <c r="V493" s="114" t="s">
        <v>82</v>
      </c>
      <c r="W493" s="114" t="s">
        <v>84</v>
      </c>
      <c r="X493" s="114" t="s">
        <v>84</v>
      </c>
      <c r="Y493" s="224">
        <f>'Matriz POA 2024-TRABAJO'!AS79</f>
        <v>0</v>
      </c>
      <c r="Z493" s="224">
        <f>'Matriz POA 2024-TRABAJO'!AT79</f>
        <v>0</v>
      </c>
      <c r="AA493" s="224">
        <f>'Matriz POA 2024-TRABAJO'!AU79</f>
        <v>0</v>
      </c>
      <c r="AB493" s="294" t="s">
        <v>487</v>
      </c>
      <c r="AC493" s="294"/>
      <c r="AD493" s="294">
        <v>3942.38</v>
      </c>
      <c r="AE493" s="294" t="s">
        <v>490</v>
      </c>
      <c r="AF493" s="294" t="s">
        <v>491</v>
      </c>
      <c r="AG493" s="294" t="s">
        <v>491</v>
      </c>
      <c r="AH493" s="294" t="s">
        <v>491</v>
      </c>
      <c r="AI493" s="294" t="s">
        <v>491</v>
      </c>
      <c r="AJ493" s="294" t="s">
        <v>492</v>
      </c>
      <c r="AK493" s="294" t="s">
        <v>493</v>
      </c>
      <c r="AL493" s="294" t="s">
        <v>494</v>
      </c>
      <c r="AM493" s="294" t="s">
        <v>495</v>
      </c>
      <c r="AN493" s="224" t="e">
        <f>SUM(#REF!)</f>
        <v>#REF!</v>
      </c>
      <c r="AO493" s="224">
        <f t="shared" si="57"/>
        <v>3942.38</v>
      </c>
      <c r="AP493" s="224">
        <f>+AO493-AA493</f>
        <v>3942.38</v>
      </c>
      <c r="AQ493" s="224"/>
      <c r="AR493" s="224"/>
      <c r="AS493" s="224"/>
      <c r="AT493" s="224">
        <f>IFERROR(VLOOKUP($A493,'Constancias POA'!$A$2:$DH$9993,17,FALSE),"")</f>
        <v>0</v>
      </c>
      <c r="AU493" s="224">
        <f t="shared" si="58"/>
        <v>0</v>
      </c>
      <c r="AV493" s="224">
        <f>IFERROR(VLOOKUP($A493,CP!$A$1:$U$7992,18,FALSE),"")</f>
        <v>0</v>
      </c>
      <c r="AW493" s="224">
        <f>IFERROR(VLOOKUP($A493,CP!$A$1:$U$7992,19,FALSE),"")</f>
        <v>0</v>
      </c>
      <c r="AX493" s="224">
        <f>IFERROR(VLOOKUP($A493,CP!$A$1:$U$7992,20,FALSE),"")</f>
        <v>0</v>
      </c>
      <c r="AY493" s="224" t="str">
        <f>IFERROR(VLOOKUP($A493,CP!$A$1:$U$1,21,FALSE),"")</f>
        <v/>
      </c>
      <c r="AZ493" s="224" t="str">
        <f>IFERROR(VLOOKUP(A493,Devengado!$A$1:AJ1,35,FALSE),"")</f>
        <v/>
      </c>
      <c r="BA493" s="224" t="str">
        <f t="shared" si="59"/>
        <v/>
      </c>
      <c r="BB493" s="224" t="str">
        <f>IFERROR(AZ493/#REF!,"")</f>
        <v/>
      </c>
      <c r="BC493" s="224" t="str">
        <f>IFERROR(VLOOKUP($A493,Devengado!$A$1:$AI$1,22,FALSE),"")</f>
        <v/>
      </c>
      <c r="BD493" s="224" t="str">
        <f>IFERROR(VLOOKUP($A493,Devengado!$A$1:$AI$1,23,FALSE),"")</f>
        <v/>
      </c>
      <c r="BE493" s="224" t="str">
        <f>IFERROR(VLOOKUP($A493,Devengado!$A$1:$AI$1,24,FALSE),"")</f>
        <v/>
      </c>
      <c r="BF493" s="224" t="str">
        <f>IFERROR(VLOOKUP($A493,Devengado!$A$1:$AI$1,25,FALSE),"")</f>
        <v/>
      </c>
      <c r="BG493" s="224" t="str">
        <f>IFERROR(VLOOKUP($A493,Devengado!$A$1:$AI$1,26,FALSE),"")</f>
        <v/>
      </c>
      <c r="BH493" s="224" t="str">
        <f>IFERROR(VLOOKUP($A493,Devengado!$A$1:$AI$1,27,FALSE),"")</f>
        <v/>
      </c>
      <c r="BI493" s="224" t="str">
        <f>IFERROR(VLOOKUP($A493,Devengado!$A$1:$AI$1,28,FALSE),"")</f>
        <v/>
      </c>
      <c r="BJ493" s="224" t="str">
        <f>IFERROR(VLOOKUP($A493,Devengado!$A$1:$AI$1,29,FALSE),"")</f>
        <v/>
      </c>
      <c r="BK493" s="224" t="str">
        <f>IFERROR(VLOOKUP($A493,Devengado!$A$1:$AI$1,30,FALSE),"")</f>
        <v/>
      </c>
      <c r="BL493" s="224" t="str">
        <f>IFERROR(VLOOKUP($A493,Devengado!$A$1:$AI$1,31,FALSE),"")</f>
        <v/>
      </c>
      <c r="BM493" s="224" t="str">
        <f>IFERROR(VLOOKUP($A493,Devengado!$A$1:$AI$1,32,FALSE),"")</f>
        <v/>
      </c>
      <c r="BN493" s="224" t="str">
        <f>IFERROR(VLOOKUP($A493,Devengado!$A$1:$AI$1,33,FALSE),"")</f>
        <v/>
      </c>
      <c r="BO493" s="224">
        <f t="shared" si="60"/>
        <v>0</v>
      </c>
      <c r="BP493" s="224" t="str">
        <f t="shared" si="61"/>
        <v/>
      </c>
      <c r="BQ493" s="207"/>
      <c r="BR493" s="207" t="str">
        <f t="shared" si="62"/>
        <v>53</v>
      </c>
    </row>
    <row r="494" spans="1:70" s="225" customFormat="1" ht="25.5" customHeight="1">
      <c r="A494" s="207">
        <v>490</v>
      </c>
      <c r="B494" s="112" t="s">
        <v>429</v>
      </c>
      <c r="C494" s="112" t="s">
        <v>77</v>
      </c>
      <c r="D494" s="112" t="s">
        <v>77</v>
      </c>
      <c r="E494" s="112" t="s">
        <v>76</v>
      </c>
      <c r="F494" s="112" t="s">
        <v>77</v>
      </c>
      <c r="G494" s="112" t="s">
        <v>77</v>
      </c>
      <c r="H494" s="112" t="s">
        <v>77</v>
      </c>
      <c r="I494" s="112" t="s">
        <v>77</v>
      </c>
      <c r="J494" s="112" t="s">
        <v>77</v>
      </c>
      <c r="K494" s="112" t="s">
        <v>77</v>
      </c>
      <c r="L494" s="112" t="s">
        <v>85</v>
      </c>
      <c r="M494" s="124" t="s">
        <v>506</v>
      </c>
      <c r="N494" s="114" t="s">
        <v>430</v>
      </c>
      <c r="O494" s="114" t="s">
        <v>111</v>
      </c>
      <c r="P494" s="114" t="s">
        <v>81</v>
      </c>
      <c r="Q494" s="114" t="s">
        <v>112</v>
      </c>
      <c r="R494" s="115" t="str">
        <f t="shared" si="56"/>
        <v>53</v>
      </c>
      <c r="S494" s="124">
        <v>530209</v>
      </c>
      <c r="T494" s="122" t="str">
        <f>VLOOKUP(S494,ITEM!$C$1:$D$156,2,FALSE)</f>
        <v>Servicios de Aseo, Lavado de Vestimenta de Trabajo, Fumigación, Desinfección,  Limpieza de Instalaciones, manejo
de desechos contaminados, recuperación y clasificación de materiales reciclables.</v>
      </c>
      <c r="U494" s="112">
        <v>1309</v>
      </c>
      <c r="V494" s="114" t="s">
        <v>82</v>
      </c>
      <c r="W494" s="114" t="s">
        <v>84</v>
      </c>
      <c r="X494" s="114" t="s">
        <v>84</v>
      </c>
      <c r="Y494" s="224">
        <f>'Matriz POA 2024-TRABAJO'!AS80</f>
        <v>1508.5</v>
      </c>
      <c r="Z494" s="224">
        <f>'Matriz POA 2024-TRABAJO'!AT80</f>
        <v>0</v>
      </c>
      <c r="AA494" s="224">
        <f>'Matriz POA 2024-TRABAJO'!AU80</f>
        <v>1508.5</v>
      </c>
      <c r="AB494" s="279">
        <v>0</v>
      </c>
      <c r="AC494" s="279">
        <v>2000</v>
      </c>
      <c r="AD494" s="279">
        <v>0</v>
      </c>
      <c r="AE494" s="279">
        <v>0</v>
      </c>
      <c r="AF494" s="279">
        <v>0</v>
      </c>
      <c r="AG494" s="279">
        <v>0</v>
      </c>
      <c r="AH494" s="279">
        <v>0</v>
      </c>
      <c r="AI494" s="279">
        <v>0</v>
      </c>
      <c r="AJ494" s="279">
        <v>0</v>
      </c>
      <c r="AK494" s="279">
        <v>0</v>
      </c>
      <c r="AL494" s="279">
        <v>0</v>
      </c>
      <c r="AM494" s="279">
        <v>0</v>
      </c>
      <c r="AN494" s="224" t="e">
        <f>SUM(#REF!)</f>
        <v>#REF!</v>
      </c>
      <c r="AO494" s="224">
        <f t="shared" si="57"/>
        <v>2000</v>
      </c>
      <c r="AP494" s="224">
        <f t="shared" si="63"/>
        <v>491.5</v>
      </c>
      <c r="AQ494" s="224"/>
      <c r="AR494" s="224"/>
      <c r="AS494" s="224"/>
      <c r="AT494" s="224">
        <f>IFERROR(VLOOKUP($A494,'Constancias POA'!$A$2:$DH$9993,17,FALSE),"")</f>
        <v>1508.5</v>
      </c>
      <c r="AU494" s="224">
        <f t="shared" si="58"/>
        <v>0</v>
      </c>
      <c r="AV494" s="224">
        <f>IFERROR(VLOOKUP($A494,CP!$A$1:$U$7992,18,FALSE),"")</f>
        <v>0</v>
      </c>
      <c r="AW494" s="224">
        <f>IFERROR(VLOOKUP($A494,CP!$A$1:$U$7992,19,FALSE),"")</f>
        <v>1508.5</v>
      </c>
      <c r="AX494" s="224">
        <f>IFERROR(VLOOKUP($A494,CP!$A$1:$U$7992,20,FALSE),"")</f>
        <v>0</v>
      </c>
      <c r="AY494" s="224" t="str">
        <f>IFERROR(VLOOKUP($A494,CP!$A$1:$U$1,21,FALSE),"")</f>
        <v/>
      </c>
      <c r="AZ494" s="224" t="str">
        <f>IFERROR(VLOOKUP(A494,Devengado!$A$1:AJ1,35,FALSE),"")</f>
        <v/>
      </c>
      <c r="BA494" s="224" t="str">
        <f t="shared" si="59"/>
        <v/>
      </c>
      <c r="BB494" s="224" t="str">
        <f>IFERROR(AZ494/#REF!,"")</f>
        <v/>
      </c>
      <c r="BC494" s="224" t="str">
        <f>IFERROR(VLOOKUP($A494,Devengado!$A$1:$AI$1,22,FALSE),"")</f>
        <v/>
      </c>
      <c r="BD494" s="224" t="str">
        <f>IFERROR(VLOOKUP($A494,Devengado!$A$1:$AI$1,23,FALSE),"")</f>
        <v/>
      </c>
      <c r="BE494" s="224" t="str">
        <f>IFERROR(VLOOKUP($A494,Devengado!$A$1:$AI$1,24,FALSE),"")</f>
        <v/>
      </c>
      <c r="BF494" s="224" t="str">
        <f>IFERROR(VLOOKUP($A494,Devengado!$A$1:$AI$1,25,FALSE),"")</f>
        <v/>
      </c>
      <c r="BG494" s="224" t="str">
        <f>IFERROR(VLOOKUP($A494,Devengado!$A$1:$AI$1,26,FALSE),"")</f>
        <v/>
      </c>
      <c r="BH494" s="224" t="str">
        <f>IFERROR(VLOOKUP($A494,Devengado!$A$1:$AI$1,27,FALSE),"")</f>
        <v/>
      </c>
      <c r="BI494" s="224" t="str">
        <f>IFERROR(VLOOKUP($A494,Devengado!$A$1:$AI$1,28,FALSE),"")</f>
        <v/>
      </c>
      <c r="BJ494" s="224" t="str">
        <f>IFERROR(VLOOKUP($A494,Devengado!$A$1:$AI$1,29,FALSE),"")</f>
        <v/>
      </c>
      <c r="BK494" s="224" t="str">
        <f>IFERROR(VLOOKUP($A494,Devengado!$A$1:$AI$1,30,FALSE),"")</f>
        <v/>
      </c>
      <c r="BL494" s="224" t="str">
        <f>IFERROR(VLOOKUP($A494,Devengado!$A$1:$AI$1,31,FALSE),"")</f>
        <v/>
      </c>
      <c r="BM494" s="224" t="str">
        <f>IFERROR(VLOOKUP($A494,Devengado!$A$1:$AI$1,32,FALSE),"")</f>
        <v/>
      </c>
      <c r="BN494" s="224" t="str">
        <f>IFERROR(VLOOKUP($A494,Devengado!$A$1:$AI$1,33,FALSE),"")</f>
        <v/>
      </c>
      <c r="BO494" s="224">
        <f t="shared" si="60"/>
        <v>0</v>
      </c>
      <c r="BP494" s="224" t="str">
        <f t="shared" si="61"/>
        <v/>
      </c>
      <c r="BQ494" s="207"/>
      <c r="BR494" s="207" t="str">
        <f t="shared" si="62"/>
        <v>53</v>
      </c>
    </row>
    <row r="495" spans="1:70" s="225" customFormat="1" ht="25.5" customHeight="1">
      <c r="A495" s="207">
        <v>491</v>
      </c>
      <c r="B495" s="112" t="s">
        <v>429</v>
      </c>
      <c r="C495" s="112" t="s">
        <v>77</v>
      </c>
      <c r="D495" s="112" t="s">
        <v>77</v>
      </c>
      <c r="E495" s="112" t="s">
        <v>76</v>
      </c>
      <c r="F495" s="112" t="s">
        <v>77</v>
      </c>
      <c r="G495" s="112" t="s">
        <v>77</v>
      </c>
      <c r="H495" s="112" t="s">
        <v>77</v>
      </c>
      <c r="I495" s="112" t="s">
        <v>77</v>
      </c>
      <c r="J495" s="112" t="s">
        <v>77</v>
      </c>
      <c r="K495" s="112" t="s">
        <v>77</v>
      </c>
      <c r="L495" s="112" t="s">
        <v>85</v>
      </c>
      <c r="M495" s="124" t="s">
        <v>507</v>
      </c>
      <c r="N495" s="114" t="s">
        <v>430</v>
      </c>
      <c r="O495" s="114" t="s">
        <v>111</v>
      </c>
      <c r="P495" s="114" t="s">
        <v>81</v>
      </c>
      <c r="Q495" s="114" t="s">
        <v>112</v>
      </c>
      <c r="R495" s="115" t="str">
        <f t="shared" si="56"/>
        <v>53</v>
      </c>
      <c r="S495" s="124">
        <v>530408</v>
      </c>
      <c r="T495" s="122" t="str">
        <f>VLOOKUP(S495,ITEM!$C$1:$D$156,2,FALSE)</f>
        <v>Bienes Artísticos y Culturales</v>
      </c>
      <c r="U495" s="112">
        <v>1309</v>
      </c>
      <c r="V495" s="114" t="s">
        <v>82</v>
      </c>
      <c r="W495" s="114" t="s">
        <v>84</v>
      </c>
      <c r="X495" s="114" t="s">
        <v>84</v>
      </c>
      <c r="Y495" s="224">
        <f>'Matriz POA 2024-TRABAJO'!AS81</f>
        <v>0</v>
      </c>
      <c r="Z495" s="224">
        <f>'Matriz POA 2024-TRABAJO'!AT81</f>
        <v>0</v>
      </c>
      <c r="AA495" s="224">
        <f>'Matriz POA 2024-TRABAJO'!AU81</f>
        <v>0</v>
      </c>
      <c r="AB495" s="279"/>
      <c r="AC495" s="279"/>
      <c r="AD495" s="279"/>
      <c r="AE495" s="279"/>
      <c r="AF495" s="279"/>
      <c r="AG495" s="279"/>
      <c r="AH495" s="279"/>
      <c r="AI495" s="279"/>
      <c r="AJ495" s="279"/>
      <c r="AK495" s="279"/>
      <c r="AL495" s="279"/>
      <c r="AM495" s="279"/>
      <c r="AN495" s="224" t="e">
        <f>SUM(#REF!)</f>
        <v>#REF!</v>
      </c>
      <c r="AO495" s="224">
        <f t="shared" si="57"/>
        <v>0</v>
      </c>
      <c r="AP495" s="224">
        <f t="shared" si="63"/>
        <v>0</v>
      </c>
      <c r="AQ495" s="224"/>
      <c r="AR495" s="224"/>
      <c r="AS495" s="224"/>
      <c r="AT495" s="224" t="str">
        <f>IFERROR(VLOOKUP($A495,'Constancias POA'!$A$2:$DH$9993,17,FALSE),"")</f>
        <v/>
      </c>
      <c r="AU495" s="224" t="str">
        <f t="shared" si="58"/>
        <v/>
      </c>
      <c r="AV495" s="224" t="str">
        <f>IFERROR(VLOOKUP($A495,CP!$A$1:$U$7992,18,FALSE),"")</f>
        <v/>
      </c>
      <c r="AW495" s="224" t="str">
        <f>IFERROR(VLOOKUP($A495,CP!$A$1:$U$7992,19,FALSE),"")</f>
        <v/>
      </c>
      <c r="AX495" s="224" t="str">
        <f>IFERROR(VLOOKUP($A495,CP!$A$1:$U$7992,20,FALSE),"")</f>
        <v/>
      </c>
      <c r="AY495" s="224" t="str">
        <f>IFERROR(VLOOKUP($A495,CP!$A$1:$U$1,21,FALSE),"")</f>
        <v/>
      </c>
      <c r="AZ495" s="224" t="str">
        <f>IFERROR(VLOOKUP(A495,Devengado!$A$1:AJ1,35,FALSE),"")</f>
        <v/>
      </c>
      <c r="BA495" s="224" t="str">
        <f t="shared" si="59"/>
        <v/>
      </c>
      <c r="BB495" s="224" t="str">
        <f>IFERROR(AZ495/#REF!,"")</f>
        <v/>
      </c>
      <c r="BC495" s="224" t="str">
        <f>IFERROR(VLOOKUP($A495,Devengado!$A$1:$AI$1,22,FALSE),"")</f>
        <v/>
      </c>
      <c r="BD495" s="224" t="str">
        <f>IFERROR(VLOOKUP($A495,Devengado!$A$1:$AI$1,23,FALSE),"")</f>
        <v/>
      </c>
      <c r="BE495" s="224" t="str">
        <f>IFERROR(VLOOKUP($A495,Devengado!$A$1:$AI$1,24,FALSE),"")</f>
        <v/>
      </c>
      <c r="BF495" s="224" t="str">
        <f>IFERROR(VLOOKUP($A495,Devengado!$A$1:$AI$1,25,FALSE),"")</f>
        <v/>
      </c>
      <c r="BG495" s="224" t="str">
        <f>IFERROR(VLOOKUP($A495,Devengado!$A$1:$AI$1,26,FALSE),"")</f>
        <v/>
      </c>
      <c r="BH495" s="224" t="str">
        <f>IFERROR(VLOOKUP($A495,Devengado!$A$1:$AI$1,27,FALSE),"")</f>
        <v/>
      </c>
      <c r="BI495" s="224" t="str">
        <f>IFERROR(VLOOKUP($A495,Devengado!$A$1:$AI$1,28,FALSE),"")</f>
        <v/>
      </c>
      <c r="BJ495" s="224" t="str">
        <f>IFERROR(VLOOKUP($A495,Devengado!$A$1:$AI$1,29,FALSE),"")</f>
        <v/>
      </c>
      <c r="BK495" s="224" t="str">
        <f>IFERROR(VLOOKUP($A495,Devengado!$A$1:$AI$1,30,FALSE),"")</f>
        <v/>
      </c>
      <c r="BL495" s="224" t="str">
        <f>IFERROR(VLOOKUP($A495,Devengado!$A$1:$AI$1,31,FALSE),"")</f>
        <v/>
      </c>
      <c r="BM495" s="224" t="str">
        <f>IFERROR(VLOOKUP($A495,Devengado!$A$1:$AI$1,32,FALSE),"")</f>
        <v/>
      </c>
      <c r="BN495" s="224" t="str">
        <f>IFERROR(VLOOKUP($A495,Devengado!$A$1:$AI$1,33,FALSE),"")</f>
        <v/>
      </c>
      <c r="BO495" s="224">
        <f t="shared" si="60"/>
        <v>0</v>
      </c>
      <c r="BP495" s="224" t="str">
        <f t="shared" si="61"/>
        <v/>
      </c>
      <c r="BQ495" s="207"/>
      <c r="BR495" s="207" t="str">
        <f t="shared" si="62"/>
        <v>53</v>
      </c>
    </row>
    <row r="496" spans="1:70" s="225" customFormat="1" ht="25.5" customHeight="1">
      <c r="A496" s="207">
        <v>492</v>
      </c>
      <c r="B496" s="112" t="s">
        <v>429</v>
      </c>
      <c r="C496" s="112" t="s">
        <v>77</v>
      </c>
      <c r="D496" s="112" t="s">
        <v>77</v>
      </c>
      <c r="E496" s="112" t="s">
        <v>76</v>
      </c>
      <c r="F496" s="112" t="s">
        <v>77</v>
      </c>
      <c r="G496" s="112" t="s">
        <v>77</v>
      </c>
      <c r="H496" s="112" t="s">
        <v>77</v>
      </c>
      <c r="I496" s="112" t="s">
        <v>77</v>
      </c>
      <c r="J496" s="112" t="s">
        <v>77</v>
      </c>
      <c r="K496" s="112" t="s">
        <v>77</v>
      </c>
      <c r="L496" s="112" t="s">
        <v>85</v>
      </c>
      <c r="M496" s="124" t="s">
        <v>508</v>
      </c>
      <c r="N496" s="114" t="s">
        <v>430</v>
      </c>
      <c r="O496" s="114" t="s">
        <v>111</v>
      </c>
      <c r="P496" s="114" t="s">
        <v>81</v>
      </c>
      <c r="Q496" s="114" t="s">
        <v>112</v>
      </c>
      <c r="R496" s="115" t="str">
        <f t="shared" si="56"/>
        <v>53</v>
      </c>
      <c r="S496" s="124">
        <v>530205</v>
      </c>
      <c r="T496" s="122" t="str">
        <f>VLOOKUP(S496,ITEM!$C$1:$D$156,2,FALSE)</f>
        <v>Espectáculos Culturales y Sociales</v>
      </c>
      <c r="U496" s="112">
        <v>1309</v>
      </c>
      <c r="V496" s="114" t="s">
        <v>112</v>
      </c>
      <c r="W496" s="114" t="s">
        <v>84</v>
      </c>
      <c r="X496" s="114" t="s">
        <v>84</v>
      </c>
      <c r="Y496" s="224">
        <f>'Matriz POA 2024-TRABAJO'!AS82</f>
        <v>227.69999999999982</v>
      </c>
      <c r="Z496" s="224">
        <f>'Matriz POA 2024-TRABAJO'!AT82</f>
        <v>0</v>
      </c>
      <c r="AA496" s="224">
        <f>'Matriz POA 2024-TRABAJO'!AU82</f>
        <v>227.69999999999982</v>
      </c>
      <c r="AB496" s="279">
        <v>0</v>
      </c>
      <c r="AC496" s="279">
        <v>2000</v>
      </c>
      <c r="AD496" s="279">
        <v>2057.62</v>
      </c>
      <c r="AE496" s="279">
        <v>0</v>
      </c>
      <c r="AF496" s="279">
        <v>2000</v>
      </c>
      <c r="AG496" s="279">
        <v>0</v>
      </c>
      <c r="AH496" s="279">
        <v>0</v>
      </c>
      <c r="AI496" s="279">
        <v>2000</v>
      </c>
      <c r="AJ496" s="279">
        <v>0</v>
      </c>
      <c r="AK496" s="279">
        <v>0</v>
      </c>
      <c r="AL496" s="279">
        <v>0</v>
      </c>
      <c r="AM496" s="279">
        <v>0</v>
      </c>
      <c r="AN496" s="224" t="e">
        <f>SUM(#REF!)</f>
        <v>#REF!</v>
      </c>
      <c r="AO496" s="224">
        <f t="shared" si="57"/>
        <v>8057.62</v>
      </c>
      <c r="AP496" s="224">
        <f t="shared" si="63"/>
        <v>7829.92</v>
      </c>
      <c r="AQ496" s="224"/>
      <c r="AR496" s="224"/>
      <c r="AS496" s="224"/>
      <c r="AT496" s="224" t="str">
        <f>IFERROR(VLOOKUP($A496,'Constancias POA'!$A$2:$DH$9993,17,FALSE),"")</f>
        <v/>
      </c>
      <c r="AU496" s="224" t="str">
        <f t="shared" si="58"/>
        <v/>
      </c>
      <c r="AV496" s="224" t="str">
        <f>IFERROR(VLOOKUP($A496,CP!$A$1:$U$7992,18,FALSE),"")</f>
        <v/>
      </c>
      <c r="AW496" s="224" t="str">
        <f>IFERROR(VLOOKUP($A496,CP!$A$1:$U$7992,19,FALSE),"")</f>
        <v/>
      </c>
      <c r="AX496" s="224" t="str">
        <f>IFERROR(VLOOKUP($A496,CP!$A$1:$U$7992,20,FALSE),"")</f>
        <v/>
      </c>
      <c r="AY496" s="224" t="str">
        <f>IFERROR(VLOOKUP($A496,CP!$A$1:$U$1,21,FALSE),"")</f>
        <v/>
      </c>
      <c r="AZ496" s="224" t="str">
        <f>IFERROR(VLOOKUP(A496,Devengado!$A$1:AJ1,35,FALSE),"")</f>
        <v/>
      </c>
      <c r="BA496" s="224" t="str">
        <f t="shared" si="59"/>
        <v/>
      </c>
      <c r="BB496" s="224" t="str">
        <f>IFERROR(AZ496/#REF!,"")</f>
        <v/>
      </c>
      <c r="BC496" s="224" t="str">
        <f>IFERROR(VLOOKUP($A496,Devengado!$A$1:$AI$1,22,FALSE),"")</f>
        <v/>
      </c>
      <c r="BD496" s="224" t="str">
        <f>IFERROR(VLOOKUP($A496,Devengado!$A$1:$AI$1,23,FALSE),"")</f>
        <v/>
      </c>
      <c r="BE496" s="224" t="str">
        <f>IFERROR(VLOOKUP($A496,Devengado!$A$1:$AI$1,24,FALSE),"")</f>
        <v/>
      </c>
      <c r="BF496" s="224" t="str">
        <f>IFERROR(VLOOKUP($A496,Devengado!$A$1:$AI$1,25,FALSE),"")</f>
        <v/>
      </c>
      <c r="BG496" s="224" t="str">
        <f>IFERROR(VLOOKUP($A496,Devengado!$A$1:$AI$1,26,FALSE),"")</f>
        <v/>
      </c>
      <c r="BH496" s="224" t="str">
        <f>IFERROR(VLOOKUP($A496,Devengado!$A$1:$AI$1,27,FALSE),"")</f>
        <v/>
      </c>
      <c r="BI496" s="224" t="str">
        <f>IFERROR(VLOOKUP($A496,Devengado!$A$1:$AI$1,28,FALSE),"")</f>
        <v/>
      </c>
      <c r="BJ496" s="224" t="str">
        <f>IFERROR(VLOOKUP($A496,Devengado!$A$1:$AI$1,29,FALSE),"")</f>
        <v/>
      </c>
      <c r="BK496" s="224" t="str">
        <f>IFERROR(VLOOKUP($A496,Devengado!$A$1:$AI$1,30,FALSE),"")</f>
        <v/>
      </c>
      <c r="BL496" s="224" t="str">
        <f>IFERROR(VLOOKUP($A496,Devengado!$A$1:$AI$1,31,FALSE),"")</f>
        <v/>
      </c>
      <c r="BM496" s="224" t="str">
        <f>IFERROR(VLOOKUP($A496,Devengado!$A$1:$AI$1,32,FALSE),"")</f>
        <v/>
      </c>
      <c r="BN496" s="224" t="str">
        <f>IFERROR(VLOOKUP($A496,Devengado!$A$1:$AI$1,33,FALSE),"")</f>
        <v/>
      </c>
      <c r="BO496" s="224">
        <f t="shared" si="60"/>
        <v>0</v>
      </c>
      <c r="BP496" s="224" t="str">
        <f t="shared" si="61"/>
        <v/>
      </c>
      <c r="BQ496" s="207"/>
      <c r="BR496" s="207" t="str">
        <f t="shared" si="62"/>
        <v>53</v>
      </c>
    </row>
    <row r="497" spans="1:70" s="225" customFormat="1" ht="25.5" customHeight="1">
      <c r="A497" s="207">
        <v>493</v>
      </c>
      <c r="B497" s="112" t="s">
        <v>429</v>
      </c>
      <c r="C497" s="112" t="s">
        <v>77</v>
      </c>
      <c r="D497" s="112" t="s">
        <v>77</v>
      </c>
      <c r="E497" s="112" t="s">
        <v>76</v>
      </c>
      <c r="F497" s="112" t="s">
        <v>77</v>
      </c>
      <c r="G497" s="112" t="s">
        <v>77</v>
      </c>
      <c r="H497" s="112" t="s">
        <v>77</v>
      </c>
      <c r="I497" s="112" t="s">
        <v>77</v>
      </c>
      <c r="J497" s="112" t="s">
        <v>77</v>
      </c>
      <c r="K497" s="112" t="s">
        <v>77</v>
      </c>
      <c r="L497" s="112" t="s">
        <v>85</v>
      </c>
      <c r="M497" s="124" t="s">
        <v>509</v>
      </c>
      <c r="N497" s="114" t="s">
        <v>430</v>
      </c>
      <c r="O497" s="114" t="s">
        <v>111</v>
      </c>
      <c r="P497" s="114" t="s">
        <v>81</v>
      </c>
      <c r="Q497" s="114" t="s">
        <v>112</v>
      </c>
      <c r="R497" s="115" t="str">
        <f t="shared" si="56"/>
        <v>53</v>
      </c>
      <c r="S497" s="124">
        <v>530403</v>
      </c>
      <c r="T497" s="122" t="str">
        <f>VLOOKUP(S497,ITEM!$C$1:$D$156,2,FALSE)</f>
        <v>Mobiliarios  (Instalación, Mantenimiento y Reparación)</v>
      </c>
      <c r="U497" s="112">
        <v>1308</v>
      </c>
      <c r="V497" s="114" t="s">
        <v>82</v>
      </c>
      <c r="W497" s="114" t="s">
        <v>84</v>
      </c>
      <c r="X497" s="114" t="s">
        <v>84</v>
      </c>
      <c r="Y497" s="224">
        <f>'Matriz POA 2024-TRABAJO'!AS83</f>
        <v>0</v>
      </c>
      <c r="Z497" s="224">
        <f>'Matriz POA 2024-TRABAJO'!AT83</f>
        <v>0</v>
      </c>
      <c r="AA497" s="224">
        <f>'Matriz POA 2024-TRABAJO'!AU83</f>
        <v>0</v>
      </c>
      <c r="AB497" s="279"/>
      <c r="AC497" s="279"/>
      <c r="AD497" s="279"/>
      <c r="AE497" s="279"/>
      <c r="AF497" s="279"/>
      <c r="AG497" s="279"/>
      <c r="AH497" s="279"/>
      <c r="AI497" s="279"/>
      <c r="AJ497" s="279"/>
      <c r="AK497" s="279"/>
      <c r="AL497" s="279"/>
      <c r="AM497" s="279"/>
      <c r="AN497" s="224" t="e">
        <f>SUM(#REF!)</f>
        <v>#REF!</v>
      </c>
      <c r="AO497" s="224">
        <f t="shared" si="57"/>
        <v>0</v>
      </c>
      <c r="AP497" s="224">
        <f t="shared" si="63"/>
        <v>0</v>
      </c>
      <c r="AQ497" s="224"/>
      <c r="AR497" s="224"/>
      <c r="AS497" s="224"/>
      <c r="AT497" s="224">
        <f>IFERROR(VLOOKUP($A497,'Constancias POA'!$A$2:$DH$9993,17,FALSE),"")</f>
        <v>0</v>
      </c>
      <c r="AU497" s="224">
        <f t="shared" si="58"/>
        <v>0</v>
      </c>
      <c r="AV497" s="224">
        <f>IFERROR(VLOOKUP($A497,CP!$A$1:$U$7992,18,FALSE),"")</f>
        <v>0</v>
      </c>
      <c r="AW497" s="224">
        <f>IFERROR(VLOOKUP($A497,CP!$A$1:$U$7992,19,FALSE),"")</f>
        <v>0</v>
      </c>
      <c r="AX497" s="224">
        <f>IFERROR(VLOOKUP($A497,CP!$A$1:$U$7992,20,FALSE),"")</f>
        <v>0</v>
      </c>
      <c r="AY497" s="224" t="str">
        <f>IFERROR(VLOOKUP($A497,CP!$A$1:$U$1,21,FALSE),"")</f>
        <v/>
      </c>
      <c r="AZ497" s="224" t="str">
        <f>IFERROR(VLOOKUP(A497,Devengado!$A$1:AJ1,35,FALSE),"")</f>
        <v/>
      </c>
      <c r="BA497" s="224" t="str">
        <f t="shared" si="59"/>
        <v/>
      </c>
      <c r="BB497" s="224" t="str">
        <f>IFERROR(AZ497/#REF!,"")</f>
        <v/>
      </c>
      <c r="BC497" s="224" t="str">
        <f>IFERROR(VLOOKUP($A497,Devengado!$A$1:$AI$1,22,FALSE),"")</f>
        <v/>
      </c>
      <c r="BD497" s="224" t="str">
        <f>IFERROR(VLOOKUP($A497,Devengado!$A$1:$AI$1,23,FALSE),"")</f>
        <v/>
      </c>
      <c r="BE497" s="224" t="str">
        <f>IFERROR(VLOOKUP($A497,Devengado!$A$1:$AI$1,24,FALSE),"")</f>
        <v/>
      </c>
      <c r="BF497" s="224" t="str">
        <f>IFERROR(VLOOKUP($A497,Devengado!$A$1:$AI$1,25,FALSE),"")</f>
        <v/>
      </c>
      <c r="BG497" s="224" t="str">
        <f>IFERROR(VLOOKUP($A497,Devengado!$A$1:$AI$1,26,FALSE),"")</f>
        <v/>
      </c>
      <c r="BH497" s="224" t="str">
        <f>IFERROR(VLOOKUP($A497,Devengado!$A$1:$AI$1,27,FALSE),"")</f>
        <v/>
      </c>
      <c r="BI497" s="224" t="str">
        <f>IFERROR(VLOOKUP($A497,Devengado!$A$1:$AI$1,28,FALSE),"")</f>
        <v/>
      </c>
      <c r="BJ497" s="224" t="str">
        <f>IFERROR(VLOOKUP($A497,Devengado!$A$1:$AI$1,29,FALSE),"")</f>
        <v/>
      </c>
      <c r="BK497" s="224" t="str">
        <f>IFERROR(VLOOKUP($A497,Devengado!$A$1:$AI$1,30,FALSE),"")</f>
        <v/>
      </c>
      <c r="BL497" s="224" t="str">
        <f>IFERROR(VLOOKUP($A497,Devengado!$A$1:$AI$1,31,FALSE),"")</f>
        <v/>
      </c>
      <c r="BM497" s="224" t="str">
        <f>IFERROR(VLOOKUP($A497,Devengado!$A$1:$AI$1,32,FALSE),"")</f>
        <v/>
      </c>
      <c r="BN497" s="224" t="str">
        <f>IFERROR(VLOOKUP($A497,Devengado!$A$1:$AI$1,33,FALSE),"")</f>
        <v/>
      </c>
      <c r="BO497" s="224">
        <f t="shared" si="60"/>
        <v>0</v>
      </c>
      <c r="BP497" s="224" t="str">
        <f t="shared" si="61"/>
        <v/>
      </c>
      <c r="BQ497" s="207"/>
      <c r="BR497" s="207" t="str">
        <f t="shared" si="62"/>
        <v>53</v>
      </c>
    </row>
    <row r="498" spans="1:70" s="225" customFormat="1" ht="25.5" customHeight="1">
      <c r="A498" s="207">
        <v>494</v>
      </c>
      <c r="B498" s="112" t="s">
        <v>429</v>
      </c>
      <c r="C498" s="112" t="s">
        <v>77</v>
      </c>
      <c r="D498" s="112" t="s">
        <v>77</v>
      </c>
      <c r="E498" s="112" t="s">
        <v>76</v>
      </c>
      <c r="F498" s="112" t="s">
        <v>77</v>
      </c>
      <c r="G498" s="112" t="s">
        <v>77</v>
      </c>
      <c r="H498" s="112" t="s">
        <v>77</v>
      </c>
      <c r="I498" s="112" t="s">
        <v>77</v>
      </c>
      <c r="J498" s="112" t="s">
        <v>77</v>
      </c>
      <c r="K498" s="112" t="s">
        <v>77</v>
      </c>
      <c r="L498" s="112" t="s">
        <v>85</v>
      </c>
      <c r="M498" s="124" t="s">
        <v>510</v>
      </c>
      <c r="N498" s="114" t="s">
        <v>430</v>
      </c>
      <c r="O498" s="114" t="s">
        <v>111</v>
      </c>
      <c r="P498" s="114" t="s">
        <v>81</v>
      </c>
      <c r="Q498" s="114" t="s">
        <v>112</v>
      </c>
      <c r="R498" s="115" t="str">
        <f t="shared" si="56"/>
        <v>53</v>
      </c>
      <c r="S498" s="124">
        <v>530403</v>
      </c>
      <c r="T498" s="122" t="str">
        <f>VLOOKUP(S498,ITEM!$C$1:$D$156,2,FALSE)</f>
        <v>Mobiliarios  (Instalación, Mantenimiento y Reparación)</v>
      </c>
      <c r="U498" s="112">
        <v>1314</v>
      </c>
      <c r="V498" s="114" t="s">
        <v>82</v>
      </c>
      <c r="W498" s="114" t="s">
        <v>84</v>
      </c>
      <c r="X498" s="114" t="s">
        <v>84</v>
      </c>
      <c r="Y498" s="224">
        <f>'Matriz POA 2024-TRABAJO'!AS84</f>
        <v>0</v>
      </c>
      <c r="Z498" s="224">
        <f>'Matriz POA 2024-TRABAJO'!AT84</f>
        <v>0</v>
      </c>
      <c r="AA498" s="224">
        <f>'Matriz POA 2024-TRABAJO'!AU84</f>
        <v>0</v>
      </c>
      <c r="AB498" s="279">
        <v>0</v>
      </c>
      <c r="AC498" s="279">
        <v>0</v>
      </c>
      <c r="AD498" s="279">
        <v>0</v>
      </c>
      <c r="AE498" s="279">
        <v>0</v>
      </c>
      <c r="AF498" s="279">
        <v>0</v>
      </c>
      <c r="AG498" s="279">
        <v>0</v>
      </c>
      <c r="AH498" s="279">
        <v>0</v>
      </c>
      <c r="AI498" s="279">
        <v>0</v>
      </c>
      <c r="AJ498" s="279">
        <v>0</v>
      </c>
      <c r="AK498" s="279">
        <v>0</v>
      </c>
      <c r="AL498" s="279">
        <v>0</v>
      </c>
      <c r="AM498" s="279">
        <v>0</v>
      </c>
      <c r="AN498" s="224" t="e">
        <f>SUM(#REF!)</f>
        <v>#REF!</v>
      </c>
      <c r="AO498" s="224">
        <f t="shared" si="57"/>
        <v>0</v>
      </c>
      <c r="AP498" s="224">
        <f t="shared" si="63"/>
        <v>0</v>
      </c>
      <c r="AQ498" s="224"/>
      <c r="AR498" s="224"/>
      <c r="AS498" s="224"/>
      <c r="AT498" s="224" t="str">
        <f>IFERROR(VLOOKUP($A498,'Constancias POA'!$A$2:$DH$9993,17,FALSE),"")</f>
        <v/>
      </c>
      <c r="AU498" s="224" t="str">
        <f t="shared" si="58"/>
        <v/>
      </c>
      <c r="AV498" s="224" t="str">
        <f>IFERROR(VLOOKUP($A498,CP!$A$1:$U$7992,18,FALSE),"")</f>
        <v/>
      </c>
      <c r="AW498" s="224" t="str">
        <f>IFERROR(VLOOKUP($A498,CP!$A$1:$U$7992,19,FALSE),"")</f>
        <v/>
      </c>
      <c r="AX498" s="224" t="str">
        <f>IFERROR(VLOOKUP($A498,CP!$A$1:$U$7992,20,FALSE),"")</f>
        <v/>
      </c>
      <c r="AY498" s="224" t="str">
        <f>IFERROR(VLOOKUP($A498,CP!$A$1:$U$1,21,FALSE),"")</f>
        <v/>
      </c>
      <c r="AZ498" s="224" t="str">
        <f>IFERROR(VLOOKUP(A498,Devengado!$A$1:AJ1,35,FALSE),"")</f>
        <v/>
      </c>
      <c r="BA498" s="224" t="str">
        <f t="shared" si="59"/>
        <v/>
      </c>
      <c r="BB498" s="224" t="str">
        <f>IFERROR(AZ498/#REF!,"")</f>
        <v/>
      </c>
      <c r="BC498" s="224" t="str">
        <f>IFERROR(VLOOKUP($A498,Devengado!$A$1:$AI$1,22,FALSE),"")</f>
        <v/>
      </c>
      <c r="BD498" s="224" t="str">
        <f>IFERROR(VLOOKUP($A498,Devengado!$A$1:$AI$1,23,FALSE),"")</f>
        <v/>
      </c>
      <c r="BE498" s="224" t="str">
        <f>IFERROR(VLOOKUP($A498,Devengado!$A$1:$AI$1,24,FALSE),"")</f>
        <v/>
      </c>
      <c r="BF498" s="224" t="str">
        <f>IFERROR(VLOOKUP($A498,Devengado!$A$1:$AI$1,25,FALSE),"")</f>
        <v/>
      </c>
      <c r="BG498" s="224" t="str">
        <f>IFERROR(VLOOKUP($A498,Devengado!$A$1:$AI$1,26,FALSE),"")</f>
        <v/>
      </c>
      <c r="BH498" s="224" t="str">
        <f>IFERROR(VLOOKUP($A498,Devengado!$A$1:$AI$1,27,FALSE),"")</f>
        <v/>
      </c>
      <c r="BI498" s="224" t="str">
        <f>IFERROR(VLOOKUP($A498,Devengado!$A$1:$AI$1,28,FALSE),"")</f>
        <v/>
      </c>
      <c r="BJ498" s="224" t="str">
        <f>IFERROR(VLOOKUP($A498,Devengado!$A$1:$AI$1,29,FALSE),"")</f>
        <v/>
      </c>
      <c r="BK498" s="224" t="str">
        <f>IFERROR(VLOOKUP($A498,Devengado!$A$1:$AI$1,30,FALSE),"")</f>
        <v/>
      </c>
      <c r="BL498" s="224" t="str">
        <f>IFERROR(VLOOKUP($A498,Devengado!$A$1:$AI$1,31,FALSE),"")</f>
        <v/>
      </c>
      <c r="BM498" s="224" t="str">
        <f>IFERROR(VLOOKUP($A498,Devengado!$A$1:$AI$1,32,FALSE),"")</f>
        <v/>
      </c>
      <c r="BN498" s="224" t="str">
        <f>IFERROR(VLOOKUP($A498,Devengado!$A$1:$AI$1,33,FALSE),"")</f>
        <v/>
      </c>
      <c r="BO498" s="224">
        <f t="shared" si="60"/>
        <v>0</v>
      </c>
      <c r="BP498" s="224" t="str">
        <f t="shared" si="61"/>
        <v/>
      </c>
      <c r="BQ498" s="207"/>
      <c r="BR498" s="207" t="str">
        <f t="shared" si="62"/>
        <v>53</v>
      </c>
    </row>
    <row r="499" spans="1:70" s="225" customFormat="1" ht="25.5" customHeight="1">
      <c r="A499" s="207">
        <v>495</v>
      </c>
      <c r="B499" s="112" t="s">
        <v>429</v>
      </c>
      <c r="C499" s="112" t="s">
        <v>77</v>
      </c>
      <c r="D499" s="112" t="s">
        <v>77</v>
      </c>
      <c r="E499" s="112" t="s">
        <v>76</v>
      </c>
      <c r="F499" s="112" t="s">
        <v>77</v>
      </c>
      <c r="G499" s="112" t="s">
        <v>77</v>
      </c>
      <c r="H499" s="112" t="s">
        <v>77</v>
      </c>
      <c r="I499" s="112" t="s">
        <v>77</v>
      </c>
      <c r="J499" s="112" t="s">
        <v>77</v>
      </c>
      <c r="K499" s="112" t="s">
        <v>77</v>
      </c>
      <c r="L499" s="112" t="s">
        <v>85</v>
      </c>
      <c r="M499" s="124" t="s">
        <v>511</v>
      </c>
      <c r="N499" s="114" t="s">
        <v>430</v>
      </c>
      <c r="O499" s="114" t="s">
        <v>111</v>
      </c>
      <c r="P499" s="114" t="s">
        <v>81</v>
      </c>
      <c r="Q499" s="114" t="s">
        <v>112</v>
      </c>
      <c r="R499" s="115" t="str">
        <f t="shared" si="56"/>
        <v>53</v>
      </c>
      <c r="S499" s="124">
        <v>530404</v>
      </c>
      <c r="T499" s="122" t="str">
        <f>VLOOKUP(S499,ITEM!$C$1:$D$156,2,FALSE)</f>
        <v>Maquinarias y Equipos (Instalación, Mantenimiento y Reparación)</v>
      </c>
      <c r="U499" s="112">
        <v>1308</v>
      </c>
      <c r="V499" s="114" t="s">
        <v>82</v>
      </c>
      <c r="W499" s="114" t="s">
        <v>84</v>
      </c>
      <c r="X499" s="114" t="s">
        <v>84</v>
      </c>
      <c r="Y499" s="224">
        <f>'Matriz POA 2024-TRABAJO'!AS85</f>
        <v>0</v>
      </c>
      <c r="Z499" s="224">
        <f>'Matriz POA 2024-TRABAJO'!AT85</f>
        <v>0</v>
      </c>
      <c r="AA499" s="224">
        <f>'Matriz POA 2024-TRABAJO'!AU85</f>
        <v>0</v>
      </c>
      <c r="AB499" s="279">
        <v>0</v>
      </c>
      <c r="AC499" s="279">
        <v>0</v>
      </c>
      <c r="AD499" s="279">
        <v>0</v>
      </c>
      <c r="AE499" s="279">
        <v>0</v>
      </c>
      <c r="AF499" s="279">
        <v>0</v>
      </c>
      <c r="AG499" s="279">
        <v>0</v>
      </c>
      <c r="AH499" s="279">
        <v>0</v>
      </c>
      <c r="AI499" s="279">
        <v>0</v>
      </c>
      <c r="AJ499" s="279">
        <v>0</v>
      </c>
      <c r="AK499" s="279">
        <v>0</v>
      </c>
      <c r="AL499" s="279">
        <v>0</v>
      </c>
      <c r="AM499" s="279">
        <v>0</v>
      </c>
      <c r="AN499" s="224" t="e">
        <f>SUM(#REF!)</f>
        <v>#REF!</v>
      </c>
      <c r="AO499" s="224">
        <f t="shared" si="57"/>
        <v>0</v>
      </c>
      <c r="AP499" s="224">
        <f t="shared" si="63"/>
        <v>0</v>
      </c>
      <c r="AQ499" s="224"/>
      <c r="AR499" s="224"/>
      <c r="AS499" s="224"/>
      <c r="AT499" s="224" t="str">
        <f>IFERROR(VLOOKUP($A499,'Constancias POA'!$A$2:$DH$9993,17,FALSE),"")</f>
        <v/>
      </c>
      <c r="AU499" s="224" t="str">
        <f t="shared" si="58"/>
        <v/>
      </c>
      <c r="AV499" s="224" t="str">
        <f>IFERROR(VLOOKUP($A499,CP!$A$1:$U$7992,18,FALSE),"")</f>
        <v/>
      </c>
      <c r="AW499" s="224" t="str">
        <f>IFERROR(VLOOKUP($A499,CP!$A$1:$U$7992,19,FALSE),"")</f>
        <v/>
      </c>
      <c r="AX499" s="224" t="str">
        <f>IFERROR(VLOOKUP($A499,CP!$A$1:$U$7992,20,FALSE),"")</f>
        <v/>
      </c>
      <c r="AY499" s="224" t="str">
        <f>IFERROR(VLOOKUP($A499,CP!$A$1:$U$1,21,FALSE),"")</f>
        <v/>
      </c>
      <c r="AZ499" s="224" t="str">
        <f>IFERROR(VLOOKUP(A499,Devengado!$A$1:AJ1,35,FALSE),"")</f>
        <v/>
      </c>
      <c r="BA499" s="224" t="str">
        <f t="shared" si="59"/>
        <v/>
      </c>
      <c r="BB499" s="224" t="str">
        <f>IFERROR(AZ499/#REF!,"")</f>
        <v/>
      </c>
      <c r="BC499" s="224" t="str">
        <f>IFERROR(VLOOKUP($A499,Devengado!$A$1:$AI$1,22,FALSE),"")</f>
        <v/>
      </c>
      <c r="BD499" s="224" t="str">
        <f>IFERROR(VLOOKUP($A499,Devengado!$A$1:$AI$1,23,FALSE),"")</f>
        <v/>
      </c>
      <c r="BE499" s="224" t="str">
        <f>IFERROR(VLOOKUP($A499,Devengado!$A$1:$AI$1,24,FALSE),"")</f>
        <v/>
      </c>
      <c r="BF499" s="224" t="str">
        <f>IFERROR(VLOOKUP($A499,Devengado!$A$1:$AI$1,25,FALSE),"")</f>
        <v/>
      </c>
      <c r="BG499" s="224" t="str">
        <f>IFERROR(VLOOKUP($A499,Devengado!$A$1:$AI$1,26,FALSE),"")</f>
        <v/>
      </c>
      <c r="BH499" s="224" t="str">
        <f>IFERROR(VLOOKUP($A499,Devengado!$A$1:$AI$1,27,FALSE),"")</f>
        <v/>
      </c>
      <c r="BI499" s="224" t="str">
        <f>IFERROR(VLOOKUP($A499,Devengado!$A$1:$AI$1,28,FALSE),"")</f>
        <v/>
      </c>
      <c r="BJ499" s="224" t="str">
        <f>IFERROR(VLOOKUP($A499,Devengado!$A$1:$AI$1,29,FALSE),"")</f>
        <v/>
      </c>
      <c r="BK499" s="224" t="str">
        <f>IFERROR(VLOOKUP($A499,Devengado!$A$1:$AI$1,30,FALSE),"")</f>
        <v/>
      </c>
      <c r="BL499" s="224" t="str">
        <f>IFERROR(VLOOKUP($A499,Devengado!$A$1:$AI$1,31,FALSE),"")</f>
        <v/>
      </c>
      <c r="BM499" s="224" t="str">
        <f>IFERROR(VLOOKUP($A499,Devengado!$A$1:$AI$1,32,FALSE),"")</f>
        <v/>
      </c>
      <c r="BN499" s="224" t="str">
        <f>IFERROR(VLOOKUP($A499,Devengado!$A$1:$AI$1,33,FALSE),"")</f>
        <v/>
      </c>
      <c r="BO499" s="224">
        <f t="shared" si="60"/>
        <v>0</v>
      </c>
      <c r="BP499" s="224" t="str">
        <f t="shared" si="61"/>
        <v/>
      </c>
      <c r="BQ499" s="207"/>
      <c r="BR499" s="207" t="str">
        <f t="shared" si="62"/>
        <v>53</v>
      </c>
    </row>
    <row r="500" spans="1:70" s="225" customFormat="1" ht="25.5" customHeight="1">
      <c r="A500" s="207">
        <v>496</v>
      </c>
      <c r="B500" s="112" t="s">
        <v>429</v>
      </c>
      <c r="C500" s="112" t="s">
        <v>77</v>
      </c>
      <c r="D500" s="112" t="s">
        <v>77</v>
      </c>
      <c r="E500" s="112" t="s">
        <v>76</v>
      </c>
      <c r="F500" s="112" t="s">
        <v>77</v>
      </c>
      <c r="G500" s="112" t="s">
        <v>77</v>
      </c>
      <c r="H500" s="112" t="s">
        <v>77</v>
      </c>
      <c r="I500" s="112" t="s">
        <v>77</v>
      </c>
      <c r="J500" s="112" t="s">
        <v>77</v>
      </c>
      <c r="K500" s="112" t="s">
        <v>77</v>
      </c>
      <c r="L500" s="112" t="s">
        <v>85</v>
      </c>
      <c r="M500" s="124" t="s">
        <v>512</v>
      </c>
      <c r="N500" s="114" t="s">
        <v>430</v>
      </c>
      <c r="O500" s="114" t="s">
        <v>111</v>
      </c>
      <c r="P500" s="114" t="s">
        <v>81</v>
      </c>
      <c r="Q500" s="114" t="s">
        <v>112</v>
      </c>
      <c r="R500" s="115" t="str">
        <f t="shared" si="56"/>
        <v>53</v>
      </c>
      <c r="S500" s="124">
        <v>530404</v>
      </c>
      <c r="T500" s="122" t="str">
        <f>VLOOKUP(S500,ITEM!$C$1:$D$156,2,FALSE)</f>
        <v>Maquinarias y Equipos (Instalación, Mantenimiento y Reparación)</v>
      </c>
      <c r="U500" s="112">
        <v>1314</v>
      </c>
      <c r="V500" s="114" t="s">
        <v>82</v>
      </c>
      <c r="W500" s="114" t="s">
        <v>84</v>
      </c>
      <c r="X500" s="114" t="s">
        <v>84</v>
      </c>
      <c r="Y500" s="224">
        <f>'Matriz POA 2024-TRABAJO'!AS86</f>
        <v>0</v>
      </c>
      <c r="Z500" s="224">
        <f>'Matriz POA 2024-TRABAJO'!AT86</f>
        <v>0</v>
      </c>
      <c r="AA500" s="224">
        <f>'Matriz POA 2024-TRABAJO'!AU86</f>
        <v>0</v>
      </c>
      <c r="AB500" s="279">
        <v>0</v>
      </c>
      <c r="AC500" s="279">
        <v>0</v>
      </c>
      <c r="AD500" s="279">
        <v>0</v>
      </c>
      <c r="AE500" s="279">
        <v>0</v>
      </c>
      <c r="AF500" s="279">
        <v>0</v>
      </c>
      <c r="AG500" s="279">
        <v>0</v>
      </c>
      <c r="AH500" s="279">
        <v>0</v>
      </c>
      <c r="AI500" s="279">
        <v>0</v>
      </c>
      <c r="AJ500" s="279">
        <v>0</v>
      </c>
      <c r="AK500" s="279">
        <v>0</v>
      </c>
      <c r="AL500" s="279">
        <v>0</v>
      </c>
      <c r="AM500" s="279">
        <v>0</v>
      </c>
      <c r="AN500" s="224" t="e">
        <f>SUM(#REF!)</f>
        <v>#REF!</v>
      </c>
      <c r="AO500" s="224">
        <f t="shared" si="57"/>
        <v>0</v>
      </c>
      <c r="AP500" s="224">
        <f t="shared" si="63"/>
        <v>0</v>
      </c>
      <c r="AQ500" s="224"/>
      <c r="AR500" s="224"/>
      <c r="AS500" s="224"/>
      <c r="AT500" s="224" t="str">
        <f>IFERROR(VLOOKUP($A500,'Constancias POA'!$A$2:$DH$9993,17,FALSE),"")</f>
        <v/>
      </c>
      <c r="AU500" s="224" t="str">
        <f t="shared" si="58"/>
        <v/>
      </c>
      <c r="AV500" s="224" t="str">
        <f>IFERROR(VLOOKUP($A500,CP!$A$1:$U$7992,18,FALSE),"")</f>
        <v/>
      </c>
      <c r="AW500" s="224" t="str">
        <f>IFERROR(VLOOKUP($A500,CP!$A$1:$U$7992,19,FALSE),"")</f>
        <v/>
      </c>
      <c r="AX500" s="224" t="str">
        <f>IFERROR(VLOOKUP($A500,CP!$A$1:$U$7992,20,FALSE),"")</f>
        <v/>
      </c>
      <c r="AY500" s="224" t="str">
        <f>IFERROR(VLOOKUP($A500,CP!$A$1:$U$1,21,FALSE),"")</f>
        <v/>
      </c>
      <c r="AZ500" s="224" t="str">
        <f>IFERROR(VLOOKUP(A500,Devengado!$A$1:AJ1,35,FALSE),"")</f>
        <v/>
      </c>
      <c r="BA500" s="224" t="str">
        <f t="shared" si="59"/>
        <v/>
      </c>
      <c r="BB500" s="224" t="str">
        <f>IFERROR(AZ500/#REF!,"")</f>
        <v/>
      </c>
      <c r="BC500" s="224" t="str">
        <f>IFERROR(VLOOKUP($A500,Devengado!$A$1:$AI$1,22,FALSE),"")</f>
        <v/>
      </c>
      <c r="BD500" s="224" t="str">
        <f>IFERROR(VLOOKUP($A500,Devengado!$A$1:$AI$1,23,FALSE),"")</f>
        <v/>
      </c>
      <c r="BE500" s="224" t="str">
        <f>IFERROR(VLOOKUP($A500,Devengado!$A$1:$AI$1,24,FALSE),"")</f>
        <v/>
      </c>
      <c r="BF500" s="224" t="str">
        <f>IFERROR(VLOOKUP($A500,Devengado!$A$1:$AI$1,25,FALSE),"")</f>
        <v/>
      </c>
      <c r="BG500" s="224" t="str">
        <f>IFERROR(VLOOKUP($A500,Devengado!$A$1:$AI$1,26,FALSE),"")</f>
        <v/>
      </c>
      <c r="BH500" s="224" t="str">
        <f>IFERROR(VLOOKUP($A500,Devengado!$A$1:$AI$1,27,FALSE),"")</f>
        <v/>
      </c>
      <c r="BI500" s="224" t="str">
        <f>IFERROR(VLOOKUP($A500,Devengado!$A$1:$AI$1,28,FALSE),"")</f>
        <v/>
      </c>
      <c r="BJ500" s="224" t="str">
        <f>IFERROR(VLOOKUP($A500,Devengado!$A$1:$AI$1,29,FALSE),"")</f>
        <v/>
      </c>
      <c r="BK500" s="224" t="str">
        <f>IFERROR(VLOOKUP($A500,Devengado!$A$1:$AI$1,30,FALSE),"")</f>
        <v/>
      </c>
      <c r="BL500" s="224" t="str">
        <f>IFERROR(VLOOKUP($A500,Devengado!$A$1:$AI$1,31,FALSE),"")</f>
        <v/>
      </c>
      <c r="BM500" s="224" t="str">
        <f>IFERROR(VLOOKUP($A500,Devengado!$A$1:$AI$1,32,FALSE),"")</f>
        <v/>
      </c>
      <c r="BN500" s="224" t="str">
        <f>IFERROR(VLOOKUP($A500,Devengado!$A$1:$AI$1,33,FALSE),"")</f>
        <v/>
      </c>
      <c r="BO500" s="224">
        <f t="shared" si="60"/>
        <v>0</v>
      </c>
      <c r="BP500" s="224" t="str">
        <f t="shared" si="61"/>
        <v/>
      </c>
      <c r="BQ500" s="207"/>
      <c r="BR500" s="207" t="str">
        <f t="shared" si="62"/>
        <v>53</v>
      </c>
    </row>
    <row r="501" spans="1:70" s="225" customFormat="1" ht="25.5" customHeight="1">
      <c r="A501" s="207">
        <v>497</v>
      </c>
      <c r="B501" s="112" t="s">
        <v>429</v>
      </c>
      <c r="C501" s="112" t="s">
        <v>77</v>
      </c>
      <c r="D501" s="112" t="s">
        <v>77</v>
      </c>
      <c r="E501" s="112" t="s">
        <v>76</v>
      </c>
      <c r="F501" s="112" t="s">
        <v>77</v>
      </c>
      <c r="G501" s="112" t="s">
        <v>77</v>
      </c>
      <c r="H501" s="112" t="s">
        <v>77</v>
      </c>
      <c r="I501" s="112" t="s">
        <v>77</v>
      </c>
      <c r="J501" s="112" t="s">
        <v>77</v>
      </c>
      <c r="K501" s="112" t="s">
        <v>77</v>
      </c>
      <c r="L501" s="112" t="s">
        <v>85</v>
      </c>
      <c r="M501" s="124" t="s">
        <v>513</v>
      </c>
      <c r="N501" s="114" t="s">
        <v>430</v>
      </c>
      <c r="O501" s="114" t="s">
        <v>111</v>
      </c>
      <c r="P501" s="114" t="s">
        <v>81</v>
      </c>
      <c r="Q501" s="114" t="s">
        <v>112</v>
      </c>
      <c r="R501" s="115" t="str">
        <f t="shared" si="56"/>
        <v>53</v>
      </c>
      <c r="S501" s="124">
        <v>530204</v>
      </c>
      <c r="T501" s="122" t="str">
        <f>VLOOKUP(S501,ITEM!$C$1:$D$156,2,FALSE)</f>
        <v>Edición, Impresión, Reproducción, Publicaciones, Suscripciones, Fotocopiado, Traducción, Empastado, Enmarcación,
Serigrafía, Fotografía, Carnetización, Filmación e Imágenes Satelitales.</v>
      </c>
      <c r="U501" s="112">
        <v>1309</v>
      </c>
      <c r="V501" s="114" t="s">
        <v>82</v>
      </c>
      <c r="W501" s="114" t="s">
        <v>84</v>
      </c>
      <c r="X501" s="114" t="s">
        <v>84</v>
      </c>
      <c r="Y501" s="224">
        <f>'Matriz POA 2024-TRABAJO'!AS87</f>
        <v>0</v>
      </c>
      <c r="Z501" s="224">
        <f>'Matriz POA 2024-TRABAJO'!AT87</f>
        <v>0</v>
      </c>
      <c r="AA501" s="224">
        <f>'Matriz POA 2024-TRABAJO'!AU87</f>
        <v>0</v>
      </c>
      <c r="AB501" s="279">
        <v>0</v>
      </c>
      <c r="AC501" s="279">
        <v>0</v>
      </c>
      <c r="AD501" s="279">
        <v>0</v>
      </c>
      <c r="AE501" s="279">
        <v>0</v>
      </c>
      <c r="AF501" s="279">
        <v>0</v>
      </c>
      <c r="AG501" s="279">
        <v>0</v>
      </c>
      <c r="AH501" s="279">
        <v>0</v>
      </c>
      <c r="AI501" s="279">
        <v>0</v>
      </c>
      <c r="AJ501" s="279">
        <v>0</v>
      </c>
      <c r="AK501" s="279">
        <v>0</v>
      </c>
      <c r="AL501" s="279">
        <v>0</v>
      </c>
      <c r="AM501" s="279">
        <v>0</v>
      </c>
      <c r="AN501" s="224" t="e">
        <f>SUM(#REF!)</f>
        <v>#REF!</v>
      </c>
      <c r="AO501" s="224">
        <f t="shared" si="57"/>
        <v>0</v>
      </c>
      <c r="AP501" s="224">
        <f t="shared" si="63"/>
        <v>0</v>
      </c>
      <c r="AQ501" s="224"/>
      <c r="AR501" s="224"/>
      <c r="AS501" s="224"/>
      <c r="AT501" s="224" t="str">
        <f>IFERROR(VLOOKUP($A501,'Constancias POA'!$A$2:$DH$9993,17,FALSE),"")</f>
        <v/>
      </c>
      <c r="AU501" s="224" t="str">
        <f t="shared" si="58"/>
        <v/>
      </c>
      <c r="AV501" s="224" t="str">
        <f>IFERROR(VLOOKUP($A501,CP!$A$1:$U$7992,18,FALSE),"")</f>
        <v/>
      </c>
      <c r="AW501" s="224" t="str">
        <f>IFERROR(VLOOKUP($A501,CP!$A$1:$U$7992,19,FALSE),"")</f>
        <v/>
      </c>
      <c r="AX501" s="224" t="str">
        <f>IFERROR(VLOOKUP($A501,CP!$A$1:$U$7992,20,FALSE),"")</f>
        <v/>
      </c>
      <c r="AY501" s="224" t="str">
        <f>IFERROR(VLOOKUP($A501,CP!$A$1:$U$1,21,FALSE),"")</f>
        <v/>
      </c>
      <c r="AZ501" s="224" t="str">
        <f>IFERROR(VLOOKUP(A501,Devengado!$A$1:AJ1,35,FALSE),"")</f>
        <v/>
      </c>
      <c r="BA501" s="224" t="str">
        <f t="shared" si="59"/>
        <v/>
      </c>
      <c r="BB501" s="224" t="str">
        <f>IFERROR(AZ501/#REF!,"")</f>
        <v/>
      </c>
      <c r="BC501" s="224" t="str">
        <f>IFERROR(VLOOKUP($A501,Devengado!$A$1:$AI$1,22,FALSE),"")</f>
        <v/>
      </c>
      <c r="BD501" s="224" t="str">
        <f>IFERROR(VLOOKUP($A501,Devengado!$A$1:$AI$1,23,FALSE),"")</f>
        <v/>
      </c>
      <c r="BE501" s="224" t="str">
        <f>IFERROR(VLOOKUP($A501,Devengado!$A$1:$AI$1,24,FALSE),"")</f>
        <v/>
      </c>
      <c r="BF501" s="224" t="str">
        <f>IFERROR(VLOOKUP($A501,Devengado!$A$1:$AI$1,25,FALSE),"")</f>
        <v/>
      </c>
      <c r="BG501" s="224" t="str">
        <f>IFERROR(VLOOKUP($A501,Devengado!$A$1:$AI$1,26,FALSE),"")</f>
        <v/>
      </c>
      <c r="BH501" s="224" t="str">
        <f>IFERROR(VLOOKUP($A501,Devengado!$A$1:$AI$1,27,FALSE),"")</f>
        <v/>
      </c>
      <c r="BI501" s="224" t="str">
        <f>IFERROR(VLOOKUP($A501,Devengado!$A$1:$AI$1,28,FALSE),"")</f>
        <v/>
      </c>
      <c r="BJ501" s="224" t="str">
        <f>IFERROR(VLOOKUP($A501,Devengado!$A$1:$AI$1,29,FALSE),"")</f>
        <v/>
      </c>
      <c r="BK501" s="224" t="str">
        <f>IFERROR(VLOOKUP($A501,Devengado!$A$1:$AI$1,30,FALSE),"")</f>
        <v/>
      </c>
      <c r="BL501" s="224" t="str">
        <f>IFERROR(VLOOKUP($A501,Devengado!$A$1:$AI$1,31,FALSE),"")</f>
        <v/>
      </c>
      <c r="BM501" s="224" t="str">
        <f>IFERROR(VLOOKUP($A501,Devengado!$A$1:$AI$1,32,FALSE),"")</f>
        <v/>
      </c>
      <c r="BN501" s="224" t="str">
        <f>IFERROR(VLOOKUP($A501,Devengado!$A$1:$AI$1,33,FALSE),"")</f>
        <v/>
      </c>
      <c r="BO501" s="224">
        <f t="shared" si="60"/>
        <v>0</v>
      </c>
      <c r="BP501" s="224" t="str">
        <f t="shared" si="61"/>
        <v/>
      </c>
      <c r="BQ501" s="207"/>
      <c r="BR501" s="207" t="str">
        <f t="shared" si="62"/>
        <v>53</v>
      </c>
    </row>
    <row r="502" spans="1:70" s="225" customFormat="1" ht="25.5" customHeight="1">
      <c r="A502" s="207">
        <v>498</v>
      </c>
      <c r="B502" s="112" t="s">
        <v>429</v>
      </c>
      <c r="C502" s="112" t="s">
        <v>77</v>
      </c>
      <c r="D502" s="112" t="s">
        <v>77</v>
      </c>
      <c r="E502" s="112" t="s">
        <v>76</v>
      </c>
      <c r="F502" s="112" t="s">
        <v>77</v>
      </c>
      <c r="G502" s="112" t="s">
        <v>77</v>
      </c>
      <c r="H502" s="112" t="s">
        <v>77</v>
      </c>
      <c r="I502" s="112" t="s">
        <v>77</v>
      </c>
      <c r="J502" s="112" t="s">
        <v>77</v>
      </c>
      <c r="K502" s="112" t="s">
        <v>77</v>
      </c>
      <c r="L502" s="112" t="s">
        <v>85</v>
      </c>
      <c r="M502" s="124" t="s">
        <v>514</v>
      </c>
      <c r="N502" s="114" t="s">
        <v>430</v>
      </c>
      <c r="O502" s="114" t="s">
        <v>111</v>
      </c>
      <c r="P502" s="114" t="s">
        <v>81</v>
      </c>
      <c r="Q502" s="114" t="s">
        <v>112</v>
      </c>
      <c r="R502" s="115" t="str">
        <f t="shared" si="56"/>
        <v>53</v>
      </c>
      <c r="S502" s="133">
        <v>530420</v>
      </c>
      <c r="T502" s="122" t="e">
        <f>VLOOKUP(S502,ITEM!$C$1:$D$156,2,FALSE)</f>
        <v>#N/A</v>
      </c>
      <c r="U502" s="112">
        <v>1309</v>
      </c>
      <c r="V502" s="114" t="s">
        <v>82</v>
      </c>
      <c r="W502" s="114" t="s">
        <v>84</v>
      </c>
      <c r="X502" s="114" t="s">
        <v>84</v>
      </c>
      <c r="Y502" s="224">
        <f>'Matriz POA 2024-TRABAJO'!AS88</f>
        <v>0</v>
      </c>
      <c r="Z502" s="224">
        <f>'Matriz POA 2024-TRABAJO'!AT88</f>
        <v>0</v>
      </c>
      <c r="AA502" s="224">
        <f>'Matriz POA 2024-TRABAJO'!AU88</f>
        <v>0</v>
      </c>
      <c r="AB502" s="279">
        <v>0</v>
      </c>
      <c r="AC502" s="279">
        <v>0</v>
      </c>
      <c r="AD502" s="279">
        <v>0</v>
      </c>
      <c r="AE502" s="279">
        <v>0</v>
      </c>
      <c r="AF502" s="279">
        <v>0</v>
      </c>
      <c r="AG502" s="279">
        <v>0</v>
      </c>
      <c r="AH502" s="279">
        <v>0</v>
      </c>
      <c r="AI502" s="279">
        <v>0</v>
      </c>
      <c r="AJ502" s="279">
        <v>0</v>
      </c>
      <c r="AK502" s="279">
        <v>0</v>
      </c>
      <c r="AL502" s="279">
        <v>0</v>
      </c>
      <c r="AM502" s="279">
        <v>0</v>
      </c>
      <c r="AN502" s="224" t="e">
        <f>SUM(#REF!)</f>
        <v>#REF!</v>
      </c>
      <c r="AO502" s="224">
        <f t="shared" si="57"/>
        <v>0</v>
      </c>
      <c r="AP502" s="224">
        <f t="shared" si="63"/>
        <v>0</v>
      </c>
      <c r="AQ502" s="224"/>
      <c r="AR502" s="224"/>
      <c r="AS502" s="224"/>
      <c r="AT502" s="224" t="str">
        <f>IFERROR(VLOOKUP($A502,'Constancias POA'!$A$2:$DH$9993,17,FALSE),"")</f>
        <v/>
      </c>
      <c r="AU502" s="224" t="str">
        <f t="shared" si="58"/>
        <v/>
      </c>
      <c r="AV502" s="224" t="str">
        <f>IFERROR(VLOOKUP($A502,CP!$A$1:$U$7992,18,FALSE),"")</f>
        <v/>
      </c>
      <c r="AW502" s="224" t="str">
        <f>IFERROR(VLOOKUP($A502,CP!$A$1:$U$7992,19,FALSE),"")</f>
        <v/>
      </c>
      <c r="AX502" s="224" t="str">
        <f>IFERROR(VLOOKUP($A502,CP!$A$1:$U$7992,20,FALSE),"")</f>
        <v/>
      </c>
      <c r="AY502" s="224" t="str">
        <f>IFERROR(VLOOKUP($A502,CP!$A$1:$U$1,21,FALSE),"")</f>
        <v/>
      </c>
      <c r="AZ502" s="224" t="str">
        <f>IFERROR(VLOOKUP(A502,Devengado!$A$1:AJ1,35,FALSE),"")</f>
        <v/>
      </c>
      <c r="BA502" s="224" t="str">
        <f t="shared" si="59"/>
        <v/>
      </c>
      <c r="BB502" s="224" t="str">
        <f>IFERROR(AZ502/#REF!,"")</f>
        <v/>
      </c>
      <c r="BC502" s="224" t="str">
        <f>IFERROR(VLOOKUP($A502,Devengado!$A$1:$AI$1,22,FALSE),"")</f>
        <v/>
      </c>
      <c r="BD502" s="224" t="str">
        <f>IFERROR(VLOOKUP($A502,Devengado!$A$1:$AI$1,23,FALSE),"")</f>
        <v/>
      </c>
      <c r="BE502" s="224" t="str">
        <f>IFERROR(VLOOKUP($A502,Devengado!$A$1:$AI$1,24,FALSE),"")</f>
        <v/>
      </c>
      <c r="BF502" s="224" t="str">
        <f>IFERROR(VLOOKUP($A502,Devengado!$A$1:$AI$1,25,FALSE),"")</f>
        <v/>
      </c>
      <c r="BG502" s="224" t="str">
        <f>IFERROR(VLOOKUP($A502,Devengado!$A$1:$AI$1,26,FALSE),"")</f>
        <v/>
      </c>
      <c r="BH502" s="224" t="str">
        <f>IFERROR(VLOOKUP($A502,Devengado!$A$1:$AI$1,27,FALSE),"")</f>
        <v/>
      </c>
      <c r="BI502" s="224" t="str">
        <f>IFERROR(VLOOKUP($A502,Devengado!$A$1:$AI$1,28,FALSE),"")</f>
        <v/>
      </c>
      <c r="BJ502" s="224" t="str">
        <f>IFERROR(VLOOKUP($A502,Devengado!$A$1:$AI$1,29,FALSE),"")</f>
        <v/>
      </c>
      <c r="BK502" s="224" t="str">
        <f>IFERROR(VLOOKUP($A502,Devengado!$A$1:$AI$1,30,FALSE),"")</f>
        <v/>
      </c>
      <c r="BL502" s="224" t="str">
        <f>IFERROR(VLOOKUP($A502,Devengado!$A$1:$AI$1,31,FALSE),"")</f>
        <v/>
      </c>
      <c r="BM502" s="224" t="str">
        <f>IFERROR(VLOOKUP($A502,Devengado!$A$1:$AI$1,32,FALSE),"")</f>
        <v/>
      </c>
      <c r="BN502" s="224" t="str">
        <f>IFERROR(VLOOKUP($A502,Devengado!$A$1:$AI$1,33,FALSE),"")</f>
        <v/>
      </c>
      <c r="BO502" s="224">
        <f t="shared" si="60"/>
        <v>0</v>
      </c>
      <c r="BP502" s="224" t="str">
        <f t="shared" si="61"/>
        <v/>
      </c>
      <c r="BQ502" s="207"/>
      <c r="BR502" s="207" t="str">
        <f t="shared" si="62"/>
        <v>53</v>
      </c>
    </row>
    <row r="503" spans="1:70" s="225" customFormat="1" ht="25.5" customHeight="1">
      <c r="A503" s="207">
        <v>499</v>
      </c>
      <c r="B503" s="112" t="s">
        <v>429</v>
      </c>
      <c r="C503" s="112" t="s">
        <v>77</v>
      </c>
      <c r="D503" s="112" t="s">
        <v>77</v>
      </c>
      <c r="E503" s="112" t="s">
        <v>76</v>
      </c>
      <c r="F503" s="112" t="s">
        <v>77</v>
      </c>
      <c r="G503" s="112" t="s">
        <v>77</v>
      </c>
      <c r="H503" s="112" t="s">
        <v>77</v>
      </c>
      <c r="I503" s="112" t="s">
        <v>77</v>
      </c>
      <c r="J503" s="112" t="s">
        <v>77</v>
      </c>
      <c r="K503" s="112" t="s">
        <v>77</v>
      </c>
      <c r="L503" s="112" t="s">
        <v>85</v>
      </c>
      <c r="M503" s="124" t="s">
        <v>512</v>
      </c>
      <c r="N503" s="114" t="s">
        <v>430</v>
      </c>
      <c r="O503" s="114" t="s">
        <v>111</v>
      </c>
      <c r="P503" s="114" t="s">
        <v>81</v>
      </c>
      <c r="Q503" s="114" t="s">
        <v>112</v>
      </c>
      <c r="R503" s="115" t="str">
        <f t="shared" si="56"/>
        <v>53</v>
      </c>
      <c r="S503" s="124">
        <v>530403</v>
      </c>
      <c r="T503" s="122" t="str">
        <f>VLOOKUP(S503,ITEM!$C$1:$D$156,2,FALSE)</f>
        <v>Mobiliarios  (Instalación, Mantenimiento y Reparación)</v>
      </c>
      <c r="U503" s="112">
        <v>1309</v>
      </c>
      <c r="V503" s="114" t="s">
        <v>82</v>
      </c>
      <c r="W503" s="114" t="s">
        <v>84</v>
      </c>
      <c r="X503" s="114" t="s">
        <v>84</v>
      </c>
      <c r="Y503" s="224">
        <f>'Matriz POA 2024-TRABAJO'!AS89</f>
        <v>0</v>
      </c>
      <c r="Z503" s="224">
        <f>'Matriz POA 2024-TRABAJO'!AT89</f>
        <v>0</v>
      </c>
      <c r="AA503" s="224">
        <f>'Matriz POA 2024-TRABAJO'!AU89</f>
        <v>0</v>
      </c>
      <c r="AB503" s="279">
        <v>0</v>
      </c>
      <c r="AC503" s="279">
        <v>0</v>
      </c>
      <c r="AD503" s="279">
        <v>0</v>
      </c>
      <c r="AE503" s="279">
        <v>0</v>
      </c>
      <c r="AF503" s="279">
        <v>0</v>
      </c>
      <c r="AG503" s="279">
        <v>0</v>
      </c>
      <c r="AH503" s="279">
        <v>0</v>
      </c>
      <c r="AI503" s="279">
        <v>0</v>
      </c>
      <c r="AJ503" s="279">
        <v>0</v>
      </c>
      <c r="AK503" s="279">
        <v>0</v>
      </c>
      <c r="AL503" s="279">
        <v>0</v>
      </c>
      <c r="AM503" s="279">
        <v>0</v>
      </c>
      <c r="AN503" s="224" t="e">
        <f>SUM(#REF!)</f>
        <v>#REF!</v>
      </c>
      <c r="AO503" s="224">
        <f t="shared" si="57"/>
        <v>0</v>
      </c>
      <c r="AP503" s="224">
        <f t="shared" si="63"/>
        <v>0</v>
      </c>
      <c r="AQ503" s="224"/>
      <c r="AR503" s="224"/>
      <c r="AS503" s="224"/>
      <c r="AT503" s="224" t="str">
        <f>IFERROR(VLOOKUP($A503,'Constancias POA'!$A$2:$DH$9993,17,FALSE),"")</f>
        <v/>
      </c>
      <c r="AU503" s="224" t="str">
        <f t="shared" si="58"/>
        <v/>
      </c>
      <c r="AV503" s="224" t="str">
        <f>IFERROR(VLOOKUP($A503,CP!$A$1:$U$7992,18,FALSE),"")</f>
        <v/>
      </c>
      <c r="AW503" s="224" t="str">
        <f>IFERROR(VLOOKUP($A503,CP!$A$1:$U$7992,19,FALSE),"")</f>
        <v/>
      </c>
      <c r="AX503" s="224" t="str">
        <f>IFERROR(VLOOKUP($A503,CP!$A$1:$U$7992,20,FALSE),"")</f>
        <v/>
      </c>
      <c r="AY503" s="224" t="str">
        <f>IFERROR(VLOOKUP($A503,CP!$A$1:$U$1,21,FALSE),"")</f>
        <v/>
      </c>
      <c r="AZ503" s="224" t="str">
        <f>IFERROR(VLOOKUP(A503,Devengado!$A$1:AJ1,35,FALSE),"")</f>
        <v/>
      </c>
      <c r="BA503" s="224" t="str">
        <f t="shared" si="59"/>
        <v/>
      </c>
      <c r="BB503" s="224" t="str">
        <f>IFERROR(AZ503/#REF!,"")</f>
        <v/>
      </c>
      <c r="BC503" s="224" t="str">
        <f>IFERROR(VLOOKUP($A503,Devengado!$A$1:$AI$1,22,FALSE),"")</f>
        <v/>
      </c>
      <c r="BD503" s="224" t="str">
        <f>IFERROR(VLOOKUP($A503,Devengado!$A$1:$AI$1,23,FALSE),"")</f>
        <v/>
      </c>
      <c r="BE503" s="224" t="str">
        <f>IFERROR(VLOOKUP($A503,Devengado!$A$1:$AI$1,24,FALSE),"")</f>
        <v/>
      </c>
      <c r="BF503" s="224" t="str">
        <f>IFERROR(VLOOKUP($A503,Devengado!$A$1:$AI$1,25,FALSE),"")</f>
        <v/>
      </c>
      <c r="BG503" s="224" t="str">
        <f>IFERROR(VLOOKUP($A503,Devengado!$A$1:$AI$1,26,FALSE),"")</f>
        <v/>
      </c>
      <c r="BH503" s="224" t="str">
        <f>IFERROR(VLOOKUP($A503,Devengado!$A$1:$AI$1,27,FALSE),"")</f>
        <v/>
      </c>
      <c r="BI503" s="224" t="str">
        <f>IFERROR(VLOOKUP($A503,Devengado!$A$1:$AI$1,28,FALSE),"")</f>
        <v/>
      </c>
      <c r="BJ503" s="224" t="str">
        <f>IFERROR(VLOOKUP($A503,Devengado!$A$1:$AI$1,29,FALSE),"")</f>
        <v/>
      </c>
      <c r="BK503" s="224" t="str">
        <f>IFERROR(VLOOKUP($A503,Devengado!$A$1:$AI$1,30,FALSE),"")</f>
        <v/>
      </c>
      <c r="BL503" s="224" t="str">
        <f>IFERROR(VLOOKUP($A503,Devengado!$A$1:$AI$1,31,FALSE),"")</f>
        <v/>
      </c>
      <c r="BM503" s="224" t="str">
        <f>IFERROR(VLOOKUP($A503,Devengado!$A$1:$AI$1,32,FALSE),"")</f>
        <v/>
      </c>
      <c r="BN503" s="224" t="str">
        <f>IFERROR(VLOOKUP($A503,Devengado!$A$1:$AI$1,33,FALSE),"")</f>
        <v/>
      </c>
      <c r="BO503" s="224">
        <f t="shared" si="60"/>
        <v>0</v>
      </c>
      <c r="BP503" s="224" t="str">
        <f t="shared" si="61"/>
        <v/>
      </c>
      <c r="BQ503" s="207"/>
      <c r="BR503" s="207" t="str">
        <f t="shared" si="62"/>
        <v>53</v>
      </c>
    </row>
    <row r="504" spans="1:70" s="225" customFormat="1" ht="25.5" customHeight="1">
      <c r="A504" s="207">
        <v>500</v>
      </c>
      <c r="B504" s="112" t="s">
        <v>73</v>
      </c>
      <c r="C504" s="112" t="s">
        <v>187</v>
      </c>
      <c r="D504" s="125" t="s">
        <v>515</v>
      </c>
      <c r="E504" s="125" t="s">
        <v>76</v>
      </c>
      <c r="F504" s="112" t="s">
        <v>77</v>
      </c>
      <c r="G504" s="112" t="s">
        <v>77</v>
      </c>
      <c r="H504" s="112" t="s">
        <v>77</v>
      </c>
      <c r="I504" s="112" t="s">
        <v>77</v>
      </c>
      <c r="J504" s="112" t="s">
        <v>77</v>
      </c>
      <c r="K504" s="112" t="s">
        <v>77</v>
      </c>
      <c r="L504" s="112" t="s">
        <v>516</v>
      </c>
      <c r="M504" s="112" t="s">
        <v>517</v>
      </c>
      <c r="N504" s="126">
        <v>9999</v>
      </c>
      <c r="O504" s="127" t="s">
        <v>80</v>
      </c>
      <c r="P504" s="127" t="s">
        <v>81</v>
      </c>
      <c r="Q504" s="127" t="s">
        <v>82</v>
      </c>
      <c r="R504" s="115" t="str">
        <f t="shared" si="56"/>
        <v>53</v>
      </c>
      <c r="S504" s="112">
        <v>530208</v>
      </c>
      <c r="T504" s="122" t="str">
        <f>VLOOKUP(S504,ITEM!$C$1:$D$156,2,FALSE)</f>
        <v>Servicio de Seguridad y Vigilancia</v>
      </c>
      <c r="U504" s="112">
        <v>1701</v>
      </c>
      <c r="V504" s="114" t="s">
        <v>82</v>
      </c>
      <c r="W504" s="114" t="s">
        <v>84</v>
      </c>
      <c r="X504" s="114" t="s">
        <v>84</v>
      </c>
      <c r="Y504" s="224" t="e">
        <f>'Matriz POA 2024-TRABAJO'!#REF!</f>
        <v>#REF!</v>
      </c>
      <c r="Z504" s="224" t="e">
        <f>'Matriz POA 2024-TRABAJO'!#REF!</f>
        <v>#REF!</v>
      </c>
      <c r="AA504" s="224" t="e">
        <f>'Matriz POA 2024-TRABAJO'!#REF!</f>
        <v>#REF!</v>
      </c>
      <c r="AB504" s="279"/>
      <c r="AC504" s="279">
        <v>55826.96</v>
      </c>
      <c r="AD504" s="279">
        <v>55826.96</v>
      </c>
      <c r="AE504" s="279">
        <v>55826.96</v>
      </c>
      <c r="AF504" s="279">
        <v>55826.96</v>
      </c>
      <c r="AG504" s="279">
        <v>55826.96</v>
      </c>
      <c r="AH504" s="279">
        <v>55826.96</v>
      </c>
      <c r="AI504" s="279">
        <v>55826.96</v>
      </c>
      <c r="AJ504" s="279">
        <v>55826.96</v>
      </c>
      <c r="AK504" s="279">
        <v>55826.96</v>
      </c>
      <c r="AL504" s="279">
        <v>55826.96</v>
      </c>
      <c r="AM504" s="279">
        <v>55826.97</v>
      </c>
      <c r="AN504" s="224" t="e">
        <f>SUM(#REF!)</f>
        <v>#REF!</v>
      </c>
      <c r="AO504" s="224">
        <f t="shared" si="57"/>
        <v>614096.57000000007</v>
      </c>
      <c r="AP504" s="224" t="e">
        <f t="shared" si="63"/>
        <v>#REF!</v>
      </c>
      <c r="AQ504" s="224"/>
      <c r="AR504" s="224"/>
      <c r="AS504" s="224"/>
      <c r="AT504" s="224" t="str">
        <f>IFERROR(VLOOKUP($A504,'Constancias POA'!$A$2:$DH$9993,17,FALSE),"")</f>
        <v/>
      </c>
      <c r="AU504" s="224" t="str">
        <f t="shared" si="58"/>
        <v/>
      </c>
      <c r="AV504" s="224" t="str">
        <f>IFERROR(VLOOKUP($A504,CP!$A$1:$U$7992,18,FALSE),"")</f>
        <v/>
      </c>
      <c r="AW504" s="224" t="str">
        <f>IFERROR(VLOOKUP($A504,CP!$A$1:$U$7992,19,FALSE),"")</f>
        <v/>
      </c>
      <c r="AX504" s="224" t="str">
        <f>IFERROR(VLOOKUP($A504,CP!$A$1:$U$7992,20,FALSE),"")</f>
        <v/>
      </c>
      <c r="AY504" s="224" t="str">
        <f>IFERROR(VLOOKUP($A504,CP!$A$1:$U$1,21,FALSE),"")</f>
        <v/>
      </c>
      <c r="AZ504" s="224" t="str">
        <f>IFERROR(VLOOKUP(A504,Devengado!$A$1:AJ1,35,FALSE),"")</f>
        <v/>
      </c>
      <c r="BA504" s="224" t="str">
        <f t="shared" si="59"/>
        <v/>
      </c>
      <c r="BB504" s="224" t="str">
        <f>IFERROR(AZ504/#REF!,"")</f>
        <v/>
      </c>
      <c r="BC504" s="224" t="str">
        <f>IFERROR(VLOOKUP($A504,Devengado!$A$1:$AI$1,22,FALSE),"")</f>
        <v/>
      </c>
      <c r="BD504" s="224" t="str">
        <f>IFERROR(VLOOKUP($A504,Devengado!$A$1:$AI$1,23,FALSE),"")</f>
        <v/>
      </c>
      <c r="BE504" s="224" t="str">
        <f>IFERROR(VLOOKUP($A504,Devengado!$A$1:$AI$1,24,FALSE),"")</f>
        <v/>
      </c>
      <c r="BF504" s="224" t="str">
        <f>IFERROR(VLOOKUP($A504,Devengado!$A$1:$AI$1,25,FALSE),"")</f>
        <v/>
      </c>
      <c r="BG504" s="224" t="str">
        <f>IFERROR(VLOOKUP($A504,Devengado!$A$1:$AI$1,26,FALSE),"")</f>
        <v/>
      </c>
      <c r="BH504" s="224" t="str">
        <f>IFERROR(VLOOKUP($A504,Devengado!$A$1:$AI$1,27,FALSE),"")</f>
        <v/>
      </c>
      <c r="BI504" s="224" t="str">
        <f>IFERROR(VLOOKUP($A504,Devengado!$A$1:$AI$1,28,FALSE),"")</f>
        <v/>
      </c>
      <c r="BJ504" s="224" t="str">
        <f>IFERROR(VLOOKUP($A504,Devengado!$A$1:$AI$1,29,FALSE),"")</f>
        <v/>
      </c>
      <c r="BK504" s="224" t="str">
        <f>IFERROR(VLOOKUP($A504,Devengado!$A$1:$AI$1,30,FALSE),"")</f>
        <v/>
      </c>
      <c r="BL504" s="224" t="str">
        <f>IFERROR(VLOOKUP($A504,Devengado!$A$1:$AI$1,31,FALSE),"")</f>
        <v/>
      </c>
      <c r="BM504" s="224" t="str">
        <f>IFERROR(VLOOKUP($A504,Devengado!$A$1:$AI$1,32,FALSE),"")</f>
        <v/>
      </c>
      <c r="BN504" s="224" t="str">
        <f>IFERROR(VLOOKUP($A504,Devengado!$A$1:$AI$1,33,FALSE),"")</f>
        <v/>
      </c>
      <c r="BO504" s="224">
        <f t="shared" si="60"/>
        <v>0</v>
      </c>
      <c r="BP504" s="224" t="str">
        <f t="shared" si="61"/>
        <v/>
      </c>
      <c r="BQ504" s="207"/>
      <c r="BR504" s="207" t="str">
        <f t="shared" si="62"/>
        <v>53</v>
      </c>
    </row>
    <row r="505" spans="1:70" s="225" customFormat="1" ht="25.5" customHeight="1">
      <c r="A505" s="207">
        <v>501</v>
      </c>
      <c r="B505" s="112" t="s">
        <v>73</v>
      </c>
      <c r="C505" s="112" t="s">
        <v>187</v>
      </c>
      <c r="D505" s="125" t="s">
        <v>515</v>
      </c>
      <c r="E505" s="125" t="s">
        <v>76</v>
      </c>
      <c r="F505" s="112" t="s">
        <v>77</v>
      </c>
      <c r="G505" s="112" t="s">
        <v>77</v>
      </c>
      <c r="H505" s="112" t="s">
        <v>77</v>
      </c>
      <c r="I505" s="112" t="s">
        <v>77</v>
      </c>
      <c r="J505" s="112" t="s">
        <v>77</v>
      </c>
      <c r="K505" s="112" t="s">
        <v>77</v>
      </c>
      <c r="L505" s="112" t="s">
        <v>516</v>
      </c>
      <c r="M505" s="112" t="s">
        <v>518</v>
      </c>
      <c r="N505" s="126">
        <v>9999</v>
      </c>
      <c r="O505" s="127" t="s">
        <v>80</v>
      </c>
      <c r="P505" s="127" t="s">
        <v>81</v>
      </c>
      <c r="Q505" s="127" t="s">
        <v>82</v>
      </c>
      <c r="R505" s="115" t="str">
        <f t="shared" si="56"/>
        <v>53</v>
      </c>
      <c r="S505" s="112">
        <v>530209</v>
      </c>
      <c r="T505" s="122" t="str">
        <f>VLOOKUP(S505,ITEM!$C$1:$D$156,2,FALSE)</f>
        <v>Servicios de Aseo, Lavado de Vestimenta de Trabajo, Fumigación, Desinfección,  Limpieza de Instalaciones, manejo
de desechos contaminados, recuperación y clasificación de materiales reciclables.</v>
      </c>
      <c r="U505" s="112">
        <v>1701</v>
      </c>
      <c r="V505" s="114" t="s">
        <v>82</v>
      </c>
      <c r="W505" s="114" t="s">
        <v>84</v>
      </c>
      <c r="X505" s="114" t="s">
        <v>84</v>
      </c>
      <c r="Y505" s="224" t="e">
        <f>'Matriz POA 2024-TRABAJO'!#REF!</f>
        <v>#REF!</v>
      </c>
      <c r="Z505" s="224" t="e">
        <f>'Matriz POA 2024-TRABAJO'!#REF!</f>
        <v>#REF!</v>
      </c>
      <c r="AA505" s="224" t="e">
        <f>'Matriz POA 2024-TRABAJO'!#REF!</f>
        <v>#REF!</v>
      </c>
      <c r="AB505" s="279"/>
      <c r="AC505" s="279"/>
      <c r="AD505" s="279"/>
      <c r="AE505" s="279"/>
      <c r="AF505" s="279"/>
      <c r="AG505" s="279"/>
      <c r="AH505" s="279"/>
      <c r="AI505" s="279"/>
      <c r="AJ505" s="279"/>
      <c r="AK505" s="279"/>
      <c r="AL505" s="279"/>
      <c r="AM505" s="279"/>
      <c r="AN505" s="224" t="e">
        <f>SUM(#REF!)</f>
        <v>#REF!</v>
      </c>
      <c r="AO505" s="224">
        <f t="shared" si="57"/>
        <v>0</v>
      </c>
      <c r="AP505" s="224" t="e">
        <f t="shared" si="63"/>
        <v>#REF!</v>
      </c>
      <c r="AQ505" s="224"/>
      <c r="AR505" s="224"/>
      <c r="AS505" s="224"/>
      <c r="AT505" s="224" t="str">
        <f>IFERROR(VLOOKUP($A505,'Constancias POA'!$A$2:$DH$9993,17,FALSE),"")</f>
        <v/>
      </c>
      <c r="AU505" s="224" t="str">
        <f t="shared" si="58"/>
        <v/>
      </c>
      <c r="AV505" s="224" t="str">
        <f>IFERROR(VLOOKUP($A505,CP!$A$1:$U$7992,18,FALSE),"")</f>
        <v/>
      </c>
      <c r="AW505" s="224" t="str">
        <f>IFERROR(VLOOKUP($A505,CP!$A$1:$U$7992,19,FALSE),"")</f>
        <v/>
      </c>
      <c r="AX505" s="224" t="str">
        <f>IFERROR(VLOOKUP($A505,CP!$A$1:$U$7992,20,FALSE),"")</f>
        <v/>
      </c>
      <c r="AY505" s="224" t="str">
        <f>IFERROR(VLOOKUP($A505,CP!$A$1:$U$1,21,FALSE),"")</f>
        <v/>
      </c>
      <c r="AZ505" s="224" t="str">
        <f>IFERROR(VLOOKUP(A505,Devengado!$A$1:AJ1,35,FALSE),"")</f>
        <v/>
      </c>
      <c r="BA505" s="224" t="str">
        <f t="shared" si="59"/>
        <v/>
      </c>
      <c r="BB505" s="224" t="str">
        <f>IFERROR(AZ505/#REF!,"")</f>
        <v/>
      </c>
      <c r="BC505" s="224" t="str">
        <f>IFERROR(VLOOKUP($A505,Devengado!$A$1:$AI$1,22,FALSE),"")</f>
        <v/>
      </c>
      <c r="BD505" s="224" t="str">
        <f>IFERROR(VLOOKUP($A505,Devengado!$A$1:$AI$1,23,FALSE),"")</f>
        <v/>
      </c>
      <c r="BE505" s="224" t="str">
        <f>IFERROR(VLOOKUP($A505,Devengado!$A$1:$AI$1,24,FALSE),"")</f>
        <v/>
      </c>
      <c r="BF505" s="224" t="str">
        <f>IFERROR(VLOOKUP($A505,Devengado!$A$1:$AI$1,25,FALSE),"")</f>
        <v/>
      </c>
      <c r="BG505" s="224" t="str">
        <f>IFERROR(VLOOKUP($A505,Devengado!$A$1:$AI$1,26,FALSE),"")</f>
        <v/>
      </c>
      <c r="BH505" s="224" t="str">
        <f>IFERROR(VLOOKUP($A505,Devengado!$A$1:$AI$1,27,FALSE),"")</f>
        <v/>
      </c>
      <c r="BI505" s="224" t="str">
        <f>IFERROR(VLOOKUP($A505,Devengado!$A$1:$AI$1,28,FALSE),"")</f>
        <v/>
      </c>
      <c r="BJ505" s="224" t="str">
        <f>IFERROR(VLOOKUP($A505,Devengado!$A$1:$AI$1,29,FALSE),"")</f>
        <v/>
      </c>
      <c r="BK505" s="224" t="str">
        <f>IFERROR(VLOOKUP($A505,Devengado!$A$1:$AI$1,30,FALSE),"")</f>
        <v/>
      </c>
      <c r="BL505" s="224" t="str">
        <f>IFERROR(VLOOKUP($A505,Devengado!$A$1:$AI$1,31,FALSE),"")</f>
        <v/>
      </c>
      <c r="BM505" s="224" t="str">
        <f>IFERROR(VLOOKUP($A505,Devengado!$A$1:$AI$1,32,FALSE),"")</f>
        <v/>
      </c>
      <c r="BN505" s="224" t="str">
        <f>IFERROR(VLOOKUP($A505,Devengado!$A$1:$AI$1,33,FALSE),"")</f>
        <v/>
      </c>
      <c r="BO505" s="224">
        <f t="shared" si="60"/>
        <v>0</v>
      </c>
      <c r="BP505" s="224" t="str">
        <f t="shared" si="61"/>
        <v/>
      </c>
      <c r="BQ505" s="207"/>
      <c r="BR505" s="207" t="str">
        <f t="shared" si="62"/>
        <v>53</v>
      </c>
    </row>
    <row r="506" spans="1:70" s="225" customFormat="1" ht="25.5" customHeight="1">
      <c r="A506" s="207">
        <v>502</v>
      </c>
      <c r="B506" s="112" t="s">
        <v>73</v>
      </c>
      <c r="C506" s="112" t="s">
        <v>187</v>
      </c>
      <c r="D506" s="125" t="s">
        <v>515</v>
      </c>
      <c r="E506" s="125" t="s">
        <v>76</v>
      </c>
      <c r="F506" s="112" t="s">
        <v>77</v>
      </c>
      <c r="G506" s="112" t="s">
        <v>77</v>
      </c>
      <c r="H506" s="112" t="s">
        <v>77</v>
      </c>
      <c r="I506" s="112" t="s">
        <v>77</v>
      </c>
      <c r="J506" s="112" t="s">
        <v>77</v>
      </c>
      <c r="K506" s="112" t="s">
        <v>77</v>
      </c>
      <c r="L506" s="112" t="s">
        <v>85</v>
      </c>
      <c r="M506" s="112" t="s">
        <v>519</v>
      </c>
      <c r="N506" s="126">
        <v>9999</v>
      </c>
      <c r="O506" s="127" t="s">
        <v>80</v>
      </c>
      <c r="P506" s="127" t="s">
        <v>81</v>
      </c>
      <c r="Q506" s="127" t="s">
        <v>82</v>
      </c>
      <c r="R506" s="115" t="str">
        <f t="shared" si="56"/>
        <v>53</v>
      </c>
      <c r="S506" s="112">
        <v>530208</v>
      </c>
      <c r="T506" s="122" t="str">
        <f>VLOOKUP(S506,ITEM!$C$1:$D$156,2,FALSE)</f>
        <v>Servicio de Seguridad y Vigilancia</v>
      </c>
      <c r="U506" s="112">
        <v>1701</v>
      </c>
      <c r="V506" s="114" t="s">
        <v>82</v>
      </c>
      <c r="W506" s="114" t="s">
        <v>84</v>
      </c>
      <c r="X506" s="114" t="s">
        <v>84</v>
      </c>
      <c r="Y506" s="224" t="e">
        <f>'Matriz POA 2024-TRABAJO'!#REF!</f>
        <v>#REF!</v>
      </c>
      <c r="Z506" s="224" t="e">
        <f>'Matriz POA 2024-TRABAJO'!#REF!</f>
        <v>#REF!</v>
      </c>
      <c r="AA506" s="224" t="e">
        <f>'Matriz POA 2024-TRABAJO'!#REF!</f>
        <v>#REF!</v>
      </c>
      <c r="AB506" s="279">
        <v>0</v>
      </c>
      <c r="AC506" s="279">
        <v>0</v>
      </c>
      <c r="AD506" s="279">
        <v>0</v>
      </c>
      <c r="AE506" s="279">
        <v>0</v>
      </c>
      <c r="AF506" s="279">
        <v>0</v>
      </c>
      <c r="AG506" s="279">
        <v>0</v>
      </c>
      <c r="AH506" s="279">
        <v>0</v>
      </c>
      <c r="AI506" s="279">
        <v>0</v>
      </c>
      <c r="AJ506" s="279">
        <v>0</v>
      </c>
      <c r="AK506" s="279">
        <v>0</v>
      </c>
      <c r="AL506" s="279">
        <v>0</v>
      </c>
      <c r="AM506" s="279">
        <v>0</v>
      </c>
      <c r="AN506" s="224" t="e">
        <f>SUM(#REF!)</f>
        <v>#REF!</v>
      </c>
      <c r="AO506" s="224">
        <f t="shared" si="57"/>
        <v>0</v>
      </c>
      <c r="AP506" s="224" t="e">
        <f t="shared" si="63"/>
        <v>#REF!</v>
      </c>
      <c r="AQ506" s="224"/>
      <c r="AR506" s="224"/>
      <c r="AS506" s="224"/>
      <c r="AT506" s="224" t="str">
        <f>IFERROR(VLOOKUP($A506,'Constancias POA'!$A$2:$DH$9993,17,FALSE),"")</f>
        <v/>
      </c>
      <c r="AU506" s="224" t="str">
        <f t="shared" si="58"/>
        <v/>
      </c>
      <c r="AV506" s="224" t="str">
        <f>IFERROR(VLOOKUP($A506,CP!$A$1:$U$7992,18,FALSE),"")</f>
        <v/>
      </c>
      <c r="AW506" s="224" t="str">
        <f>IFERROR(VLOOKUP($A506,CP!$A$1:$U$7992,19,FALSE),"")</f>
        <v/>
      </c>
      <c r="AX506" s="224" t="str">
        <f>IFERROR(VLOOKUP($A506,CP!$A$1:$U$7992,20,FALSE),"")</f>
        <v/>
      </c>
      <c r="AY506" s="224" t="str">
        <f>IFERROR(VLOOKUP($A506,CP!$A$1:$U$1,21,FALSE),"")</f>
        <v/>
      </c>
      <c r="AZ506" s="224" t="str">
        <f>IFERROR(VLOOKUP(A506,Devengado!$A$1:AJ1,35,FALSE),"")</f>
        <v/>
      </c>
      <c r="BA506" s="224" t="str">
        <f t="shared" si="59"/>
        <v/>
      </c>
      <c r="BB506" s="224" t="str">
        <f>IFERROR(AZ506/#REF!,"")</f>
        <v/>
      </c>
      <c r="BC506" s="224" t="str">
        <f>IFERROR(VLOOKUP($A506,Devengado!$A$1:$AI$1,22,FALSE),"")</f>
        <v/>
      </c>
      <c r="BD506" s="224" t="str">
        <f>IFERROR(VLOOKUP($A506,Devengado!$A$1:$AI$1,23,FALSE),"")</f>
        <v/>
      </c>
      <c r="BE506" s="224" t="str">
        <f>IFERROR(VLOOKUP($A506,Devengado!$A$1:$AI$1,24,FALSE),"")</f>
        <v/>
      </c>
      <c r="BF506" s="224" t="str">
        <f>IFERROR(VLOOKUP($A506,Devengado!$A$1:$AI$1,25,FALSE),"")</f>
        <v/>
      </c>
      <c r="BG506" s="224" t="str">
        <f>IFERROR(VLOOKUP($A506,Devengado!$A$1:$AI$1,26,FALSE),"")</f>
        <v/>
      </c>
      <c r="BH506" s="224" t="str">
        <f>IFERROR(VLOOKUP($A506,Devengado!$A$1:$AI$1,27,FALSE),"")</f>
        <v/>
      </c>
      <c r="BI506" s="224" t="str">
        <f>IFERROR(VLOOKUP($A506,Devengado!$A$1:$AI$1,28,FALSE),"")</f>
        <v/>
      </c>
      <c r="BJ506" s="224" t="str">
        <f>IFERROR(VLOOKUP($A506,Devengado!$A$1:$AI$1,29,FALSE),"")</f>
        <v/>
      </c>
      <c r="BK506" s="224" t="str">
        <f>IFERROR(VLOOKUP($A506,Devengado!$A$1:$AI$1,30,FALSE),"")</f>
        <v/>
      </c>
      <c r="BL506" s="224" t="str">
        <f>IFERROR(VLOOKUP($A506,Devengado!$A$1:$AI$1,31,FALSE),"")</f>
        <v/>
      </c>
      <c r="BM506" s="224" t="str">
        <f>IFERROR(VLOOKUP($A506,Devengado!$A$1:$AI$1,32,FALSE),"")</f>
        <v/>
      </c>
      <c r="BN506" s="224" t="str">
        <f>IFERROR(VLOOKUP($A506,Devengado!$A$1:$AI$1,33,FALSE),"")</f>
        <v/>
      </c>
      <c r="BO506" s="224">
        <f t="shared" si="60"/>
        <v>0</v>
      </c>
      <c r="BP506" s="224" t="str">
        <f t="shared" si="61"/>
        <v/>
      </c>
      <c r="BQ506" s="207"/>
      <c r="BR506" s="207" t="str">
        <f t="shared" si="62"/>
        <v>53</v>
      </c>
    </row>
    <row r="507" spans="1:70" s="225" customFormat="1" ht="25.5" customHeight="1">
      <c r="A507" s="207">
        <v>503</v>
      </c>
      <c r="B507" s="112" t="s">
        <v>73</v>
      </c>
      <c r="C507" s="112" t="s">
        <v>187</v>
      </c>
      <c r="D507" s="125" t="s">
        <v>515</v>
      </c>
      <c r="E507" s="125" t="s">
        <v>76</v>
      </c>
      <c r="F507" s="112" t="s">
        <v>77</v>
      </c>
      <c r="G507" s="112" t="s">
        <v>77</v>
      </c>
      <c r="H507" s="112" t="s">
        <v>77</v>
      </c>
      <c r="I507" s="112" t="s">
        <v>77</v>
      </c>
      <c r="J507" s="112" t="s">
        <v>77</v>
      </c>
      <c r="K507" s="112" t="s">
        <v>77</v>
      </c>
      <c r="L507" s="112" t="s">
        <v>85</v>
      </c>
      <c r="M507" s="112" t="s">
        <v>520</v>
      </c>
      <c r="N507" s="126">
        <v>9999</v>
      </c>
      <c r="O507" s="127" t="s">
        <v>80</v>
      </c>
      <c r="P507" s="127" t="s">
        <v>81</v>
      </c>
      <c r="Q507" s="127" t="s">
        <v>82</v>
      </c>
      <c r="R507" s="115" t="str">
        <f t="shared" si="56"/>
        <v>53</v>
      </c>
      <c r="S507" s="112">
        <v>530209</v>
      </c>
      <c r="T507" s="122" t="str">
        <f>VLOOKUP(S507,ITEM!$C$1:$D$156,2,FALSE)</f>
        <v>Servicios de Aseo, Lavado de Vestimenta de Trabajo, Fumigación, Desinfección,  Limpieza de Instalaciones, manejo
de desechos contaminados, recuperación y clasificación de materiales reciclables.</v>
      </c>
      <c r="U507" s="112">
        <v>1701</v>
      </c>
      <c r="V507" s="114" t="s">
        <v>82</v>
      </c>
      <c r="W507" s="114" t="s">
        <v>84</v>
      </c>
      <c r="X507" s="114" t="s">
        <v>84</v>
      </c>
      <c r="Y507" s="224" t="e">
        <f>'Matriz POA 2024-TRABAJO'!#REF!</f>
        <v>#REF!</v>
      </c>
      <c r="Z507" s="224" t="e">
        <f>'Matriz POA 2024-TRABAJO'!#REF!</f>
        <v>#REF!</v>
      </c>
      <c r="AA507" s="224" t="e">
        <f>'Matriz POA 2024-TRABAJO'!#REF!</f>
        <v>#REF!</v>
      </c>
      <c r="AB507" s="279">
        <v>0</v>
      </c>
      <c r="AC507" s="279">
        <v>0</v>
      </c>
      <c r="AD507" s="279">
        <v>0</v>
      </c>
      <c r="AE507" s="279">
        <v>0</v>
      </c>
      <c r="AF507" s="279">
        <v>0</v>
      </c>
      <c r="AG507" s="279">
        <v>0</v>
      </c>
      <c r="AH507" s="279">
        <v>0</v>
      </c>
      <c r="AI507" s="279">
        <v>0</v>
      </c>
      <c r="AJ507" s="279">
        <v>0</v>
      </c>
      <c r="AK507" s="279">
        <v>0</v>
      </c>
      <c r="AL507" s="279">
        <v>0</v>
      </c>
      <c r="AM507" s="279">
        <v>0</v>
      </c>
      <c r="AN507" s="224" t="e">
        <f>SUM(#REF!)</f>
        <v>#REF!</v>
      </c>
      <c r="AO507" s="224">
        <f t="shared" si="57"/>
        <v>0</v>
      </c>
      <c r="AP507" s="224" t="e">
        <f t="shared" si="63"/>
        <v>#REF!</v>
      </c>
      <c r="AQ507" s="224"/>
      <c r="AR507" s="224"/>
      <c r="AS507" s="224"/>
      <c r="AT507" s="224" t="str">
        <f>IFERROR(VLOOKUP($A507,'Constancias POA'!$A$2:$DH$9993,17,FALSE),"")</f>
        <v/>
      </c>
      <c r="AU507" s="224" t="str">
        <f t="shared" si="58"/>
        <v/>
      </c>
      <c r="AV507" s="224" t="str">
        <f>IFERROR(VLOOKUP($A507,CP!$A$1:$U$7992,18,FALSE),"")</f>
        <v/>
      </c>
      <c r="AW507" s="224" t="str">
        <f>IFERROR(VLOOKUP($A507,CP!$A$1:$U$7992,19,FALSE),"")</f>
        <v/>
      </c>
      <c r="AX507" s="224" t="str">
        <f>IFERROR(VLOOKUP($A507,CP!$A$1:$U$7992,20,FALSE),"")</f>
        <v/>
      </c>
      <c r="AY507" s="224" t="str">
        <f>IFERROR(VLOOKUP($A507,CP!$A$1:$U$1,21,FALSE),"")</f>
        <v/>
      </c>
      <c r="AZ507" s="224" t="str">
        <f>IFERROR(VLOOKUP(A507,Devengado!$A$1:AJ1,35,FALSE),"")</f>
        <v/>
      </c>
      <c r="BA507" s="224" t="str">
        <f t="shared" si="59"/>
        <v/>
      </c>
      <c r="BB507" s="224" t="str">
        <f>IFERROR(AZ507/#REF!,"")</f>
        <v/>
      </c>
      <c r="BC507" s="224" t="str">
        <f>IFERROR(VLOOKUP($A507,Devengado!$A$1:$AI$1,22,FALSE),"")</f>
        <v/>
      </c>
      <c r="BD507" s="224" t="str">
        <f>IFERROR(VLOOKUP($A507,Devengado!$A$1:$AI$1,23,FALSE),"")</f>
        <v/>
      </c>
      <c r="BE507" s="224" t="str">
        <f>IFERROR(VLOOKUP($A507,Devengado!$A$1:$AI$1,24,FALSE),"")</f>
        <v/>
      </c>
      <c r="BF507" s="224" t="str">
        <f>IFERROR(VLOOKUP($A507,Devengado!$A$1:$AI$1,25,FALSE),"")</f>
        <v/>
      </c>
      <c r="BG507" s="224" t="str">
        <f>IFERROR(VLOOKUP($A507,Devengado!$A$1:$AI$1,26,FALSE),"")</f>
        <v/>
      </c>
      <c r="BH507" s="224" t="str">
        <f>IFERROR(VLOOKUP($A507,Devengado!$A$1:$AI$1,27,FALSE),"")</f>
        <v/>
      </c>
      <c r="BI507" s="224" t="str">
        <f>IFERROR(VLOOKUP($A507,Devengado!$A$1:$AI$1,28,FALSE),"")</f>
        <v/>
      </c>
      <c r="BJ507" s="224" t="str">
        <f>IFERROR(VLOOKUP($A507,Devengado!$A$1:$AI$1,29,FALSE),"")</f>
        <v/>
      </c>
      <c r="BK507" s="224" t="str">
        <f>IFERROR(VLOOKUP($A507,Devengado!$A$1:$AI$1,30,FALSE),"")</f>
        <v/>
      </c>
      <c r="BL507" s="224" t="str">
        <f>IFERROR(VLOOKUP($A507,Devengado!$A$1:$AI$1,31,FALSE),"")</f>
        <v/>
      </c>
      <c r="BM507" s="224" t="str">
        <f>IFERROR(VLOOKUP($A507,Devengado!$A$1:$AI$1,32,FALSE),"")</f>
        <v/>
      </c>
      <c r="BN507" s="224" t="str">
        <f>IFERROR(VLOOKUP($A507,Devengado!$A$1:$AI$1,33,FALSE),"")</f>
        <v/>
      </c>
      <c r="BO507" s="224">
        <f t="shared" si="60"/>
        <v>0</v>
      </c>
      <c r="BP507" s="224" t="str">
        <f t="shared" si="61"/>
        <v/>
      </c>
      <c r="BQ507" s="207"/>
      <c r="BR507" s="207" t="str">
        <f t="shared" si="62"/>
        <v>53</v>
      </c>
    </row>
    <row r="508" spans="1:70" s="225" customFormat="1" ht="25.5" customHeight="1">
      <c r="A508" s="207">
        <v>504</v>
      </c>
      <c r="B508" s="112" t="s">
        <v>73</v>
      </c>
      <c r="C508" s="112" t="s">
        <v>187</v>
      </c>
      <c r="D508" s="125" t="s">
        <v>515</v>
      </c>
      <c r="E508" s="125" t="s">
        <v>76</v>
      </c>
      <c r="F508" s="112" t="s">
        <v>77</v>
      </c>
      <c r="G508" s="112" t="s">
        <v>77</v>
      </c>
      <c r="H508" s="112" t="s">
        <v>77</v>
      </c>
      <c r="I508" s="112" t="s">
        <v>77</v>
      </c>
      <c r="J508" s="112" t="s">
        <v>77</v>
      </c>
      <c r="K508" s="112" t="s">
        <v>77</v>
      </c>
      <c r="L508" s="112" t="s">
        <v>516</v>
      </c>
      <c r="M508" s="112" t="s">
        <v>521</v>
      </c>
      <c r="N508" s="126">
        <v>9999</v>
      </c>
      <c r="O508" s="127" t="s">
        <v>80</v>
      </c>
      <c r="P508" s="127" t="s">
        <v>81</v>
      </c>
      <c r="Q508" s="127" t="s">
        <v>82</v>
      </c>
      <c r="R508" s="115" t="str">
        <f t="shared" si="56"/>
        <v>53</v>
      </c>
      <c r="S508" s="112">
        <v>530301</v>
      </c>
      <c r="T508" s="122" t="str">
        <f>VLOOKUP(S508,ITEM!$C$1:$D$156,2,FALSE)</f>
        <v>Pasajes al Interior</v>
      </c>
      <c r="U508" s="112">
        <v>1701</v>
      </c>
      <c r="V508" s="114" t="s">
        <v>82</v>
      </c>
      <c r="W508" s="114" t="s">
        <v>84</v>
      </c>
      <c r="X508" s="114" t="s">
        <v>84</v>
      </c>
      <c r="Y508" s="224" t="e">
        <f>'Matriz POA 2024-TRABAJO'!#REF!</f>
        <v>#REF!</v>
      </c>
      <c r="Z508" s="224" t="e">
        <f>'Matriz POA 2024-TRABAJO'!#REF!</f>
        <v>#REF!</v>
      </c>
      <c r="AA508" s="224" t="e">
        <f>'Matriz POA 2024-TRABAJO'!#REF!</f>
        <v>#REF!</v>
      </c>
      <c r="AB508" s="279">
        <v>0</v>
      </c>
      <c r="AC508" s="279">
        <v>0</v>
      </c>
      <c r="AD508" s="279">
        <v>6018.28</v>
      </c>
      <c r="AE508" s="279">
        <v>0</v>
      </c>
      <c r="AF508" s="279">
        <v>0</v>
      </c>
      <c r="AG508" s="279">
        <v>0</v>
      </c>
      <c r="AH508" s="279">
        <v>6018.28</v>
      </c>
      <c r="AI508" s="279">
        <v>0</v>
      </c>
      <c r="AJ508" s="279">
        <v>0</v>
      </c>
      <c r="AK508" s="279">
        <v>0</v>
      </c>
      <c r="AL508" s="279">
        <v>6018.27</v>
      </c>
      <c r="AM508" s="279">
        <v>0</v>
      </c>
      <c r="AN508" s="224" t="e">
        <f>SUM(#REF!)</f>
        <v>#REF!</v>
      </c>
      <c r="AO508" s="224">
        <f t="shared" si="57"/>
        <v>18054.830000000002</v>
      </c>
      <c r="AP508" s="224" t="e">
        <f t="shared" si="63"/>
        <v>#REF!</v>
      </c>
      <c r="AQ508" s="224"/>
      <c r="AR508" s="224"/>
      <c r="AS508" s="224"/>
      <c r="AT508" s="224" t="str">
        <f>IFERROR(VLOOKUP($A508,'Constancias POA'!$A$2:$DH$9993,17,FALSE),"")</f>
        <v/>
      </c>
      <c r="AU508" s="224" t="str">
        <f t="shared" si="58"/>
        <v/>
      </c>
      <c r="AV508" s="224" t="str">
        <f>IFERROR(VLOOKUP($A508,CP!$A$1:$U$7992,18,FALSE),"")</f>
        <v/>
      </c>
      <c r="AW508" s="224" t="str">
        <f>IFERROR(VLOOKUP($A508,CP!$A$1:$U$7992,19,FALSE),"")</f>
        <v/>
      </c>
      <c r="AX508" s="224" t="str">
        <f>IFERROR(VLOOKUP($A508,CP!$A$1:$U$7992,20,FALSE),"")</f>
        <v/>
      </c>
      <c r="AY508" s="224" t="str">
        <f>IFERROR(VLOOKUP($A508,CP!$A$1:$U$1,21,FALSE),"")</f>
        <v/>
      </c>
      <c r="AZ508" s="224" t="str">
        <f>IFERROR(VLOOKUP(A508,Devengado!$A$1:AJ1,35,FALSE),"")</f>
        <v/>
      </c>
      <c r="BA508" s="224" t="str">
        <f t="shared" si="59"/>
        <v/>
      </c>
      <c r="BB508" s="224" t="str">
        <f>IFERROR(AZ508/#REF!,"")</f>
        <v/>
      </c>
      <c r="BC508" s="224" t="str">
        <f>IFERROR(VLOOKUP($A508,Devengado!$A$1:$AI$1,22,FALSE),"")</f>
        <v/>
      </c>
      <c r="BD508" s="224" t="str">
        <f>IFERROR(VLOOKUP($A508,Devengado!$A$1:$AI$1,23,FALSE),"")</f>
        <v/>
      </c>
      <c r="BE508" s="224" t="str">
        <f>IFERROR(VLOOKUP($A508,Devengado!$A$1:$AI$1,24,FALSE),"")</f>
        <v/>
      </c>
      <c r="BF508" s="224" t="str">
        <f>IFERROR(VLOOKUP($A508,Devengado!$A$1:$AI$1,25,FALSE),"")</f>
        <v/>
      </c>
      <c r="BG508" s="224" t="str">
        <f>IFERROR(VLOOKUP($A508,Devengado!$A$1:$AI$1,26,FALSE),"")</f>
        <v/>
      </c>
      <c r="BH508" s="224" t="str">
        <f>IFERROR(VLOOKUP($A508,Devengado!$A$1:$AI$1,27,FALSE),"")</f>
        <v/>
      </c>
      <c r="BI508" s="224" t="str">
        <f>IFERROR(VLOOKUP($A508,Devengado!$A$1:$AI$1,28,FALSE),"")</f>
        <v/>
      </c>
      <c r="BJ508" s="224" t="str">
        <f>IFERROR(VLOOKUP($A508,Devengado!$A$1:$AI$1,29,FALSE),"")</f>
        <v/>
      </c>
      <c r="BK508" s="224" t="str">
        <f>IFERROR(VLOOKUP($A508,Devengado!$A$1:$AI$1,30,FALSE),"")</f>
        <v/>
      </c>
      <c r="BL508" s="224" t="str">
        <f>IFERROR(VLOOKUP($A508,Devengado!$A$1:$AI$1,31,FALSE),"")</f>
        <v/>
      </c>
      <c r="BM508" s="224" t="str">
        <f>IFERROR(VLOOKUP($A508,Devengado!$A$1:$AI$1,32,FALSE),"")</f>
        <v/>
      </c>
      <c r="BN508" s="224" t="str">
        <f>IFERROR(VLOOKUP($A508,Devengado!$A$1:$AI$1,33,FALSE),"")</f>
        <v/>
      </c>
      <c r="BO508" s="224">
        <f t="shared" si="60"/>
        <v>0</v>
      </c>
      <c r="BP508" s="224" t="str">
        <f t="shared" si="61"/>
        <v/>
      </c>
      <c r="BQ508" s="207"/>
      <c r="BR508" s="207" t="str">
        <f t="shared" si="62"/>
        <v>53</v>
      </c>
    </row>
    <row r="509" spans="1:70" s="225" customFormat="1" ht="25.5" customHeight="1">
      <c r="A509" s="207">
        <v>505</v>
      </c>
      <c r="B509" s="112" t="s">
        <v>73</v>
      </c>
      <c r="C509" s="112" t="s">
        <v>187</v>
      </c>
      <c r="D509" s="125" t="s">
        <v>515</v>
      </c>
      <c r="E509" s="125" t="s">
        <v>76</v>
      </c>
      <c r="F509" s="112" t="s">
        <v>77</v>
      </c>
      <c r="G509" s="112" t="s">
        <v>77</v>
      </c>
      <c r="H509" s="112" t="s">
        <v>77</v>
      </c>
      <c r="I509" s="112" t="s">
        <v>77</v>
      </c>
      <c r="J509" s="112" t="s">
        <v>77</v>
      </c>
      <c r="K509" s="112" t="s">
        <v>77</v>
      </c>
      <c r="L509" s="112" t="s">
        <v>516</v>
      </c>
      <c r="M509" s="112" t="s">
        <v>521</v>
      </c>
      <c r="N509" s="126">
        <v>9999</v>
      </c>
      <c r="O509" s="127" t="s">
        <v>80</v>
      </c>
      <c r="P509" s="127" t="s">
        <v>81</v>
      </c>
      <c r="Q509" s="127" t="s">
        <v>82</v>
      </c>
      <c r="R509" s="115" t="str">
        <f t="shared" si="56"/>
        <v>53</v>
      </c>
      <c r="S509" s="112">
        <v>530302</v>
      </c>
      <c r="T509" s="122" t="str">
        <f>VLOOKUP(S509,ITEM!$C$1:$D$156,2,FALSE)</f>
        <v>Pasajes al Exterior</v>
      </c>
      <c r="U509" s="112">
        <v>1701</v>
      </c>
      <c r="V509" s="114" t="s">
        <v>82</v>
      </c>
      <c r="W509" s="114" t="s">
        <v>84</v>
      </c>
      <c r="X509" s="114" t="s">
        <v>84</v>
      </c>
      <c r="Y509" s="224" t="e">
        <f>'Matriz POA 2024-TRABAJO'!#REF!</f>
        <v>#REF!</v>
      </c>
      <c r="Z509" s="224" t="e">
        <f>'Matriz POA 2024-TRABAJO'!#REF!</f>
        <v>#REF!</v>
      </c>
      <c r="AA509" s="224" t="e">
        <f>'Matriz POA 2024-TRABAJO'!#REF!</f>
        <v>#REF!</v>
      </c>
      <c r="AB509" s="279">
        <v>0</v>
      </c>
      <c r="AC509" s="279">
        <v>152.71</v>
      </c>
      <c r="AD509" s="279">
        <v>152.71</v>
      </c>
      <c r="AE509" s="279">
        <v>152.71</v>
      </c>
      <c r="AF509" s="279">
        <v>152.71</v>
      </c>
      <c r="AG509" s="279">
        <v>152.71</v>
      </c>
      <c r="AH509" s="279">
        <v>152.71</v>
      </c>
      <c r="AI509" s="279">
        <v>152.71</v>
      </c>
      <c r="AJ509" s="279">
        <v>152.71</v>
      </c>
      <c r="AK509" s="279">
        <v>152.71</v>
      </c>
      <c r="AL509" s="279">
        <v>152.71</v>
      </c>
      <c r="AM509" s="279">
        <v>152.66</v>
      </c>
      <c r="AN509" s="224" t="e">
        <f>SUM(#REF!)</f>
        <v>#REF!</v>
      </c>
      <c r="AO509" s="224">
        <f t="shared" si="57"/>
        <v>1679.7600000000002</v>
      </c>
      <c r="AP509" s="224" t="e">
        <f t="shared" si="63"/>
        <v>#REF!</v>
      </c>
      <c r="AQ509" s="224"/>
      <c r="AR509" s="224"/>
      <c r="AS509" s="224"/>
      <c r="AT509" s="224" t="str">
        <f>IFERROR(VLOOKUP($A509,'Constancias POA'!$A$2:$DH$9993,17,FALSE),"")</f>
        <v/>
      </c>
      <c r="AU509" s="224" t="str">
        <f t="shared" si="58"/>
        <v/>
      </c>
      <c r="AV509" s="224" t="str">
        <f>IFERROR(VLOOKUP($A509,CP!$A$1:$U$7992,18,FALSE),"")</f>
        <v/>
      </c>
      <c r="AW509" s="224" t="str">
        <f>IFERROR(VLOOKUP($A509,CP!$A$1:$U$7992,19,FALSE),"")</f>
        <v/>
      </c>
      <c r="AX509" s="224" t="str">
        <f>IFERROR(VLOOKUP($A509,CP!$A$1:$U$7992,20,FALSE),"")</f>
        <v/>
      </c>
      <c r="AY509" s="224" t="str">
        <f>IFERROR(VLOOKUP($A509,CP!$A$1:$U$1,21,FALSE),"")</f>
        <v/>
      </c>
      <c r="AZ509" s="224" t="str">
        <f>IFERROR(VLOOKUP(A509,Devengado!$A$1:AJ1,35,FALSE),"")</f>
        <v/>
      </c>
      <c r="BA509" s="224" t="str">
        <f t="shared" si="59"/>
        <v/>
      </c>
      <c r="BB509" s="224" t="str">
        <f>IFERROR(AZ509/#REF!,"")</f>
        <v/>
      </c>
      <c r="BC509" s="224" t="str">
        <f>IFERROR(VLOOKUP($A509,Devengado!$A$1:$AI$1,22,FALSE),"")</f>
        <v/>
      </c>
      <c r="BD509" s="224" t="str">
        <f>IFERROR(VLOOKUP($A509,Devengado!$A$1:$AI$1,23,FALSE),"")</f>
        <v/>
      </c>
      <c r="BE509" s="224" t="str">
        <f>IFERROR(VLOOKUP($A509,Devengado!$A$1:$AI$1,24,FALSE),"")</f>
        <v/>
      </c>
      <c r="BF509" s="224" t="str">
        <f>IFERROR(VLOOKUP($A509,Devengado!$A$1:$AI$1,25,FALSE),"")</f>
        <v/>
      </c>
      <c r="BG509" s="224" t="str">
        <f>IFERROR(VLOOKUP($A509,Devengado!$A$1:$AI$1,26,FALSE),"")</f>
        <v/>
      </c>
      <c r="BH509" s="224" t="str">
        <f>IFERROR(VLOOKUP($A509,Devengado!$A$1:$AI$1,27,FALSE),"")</f>
        <v/>
      </c>
      <c r="BI509" s="224" t="str">
        <f>IFERROR(VLOOKUP($A509,Devengado!$A$1:$AI$1,28,FALSE),"")</f>
        <v/>
      </c>
      <c r="BJ509" s="224" t="str">
        <f>IFERROR(VLOOKUP($A509,Devengado!$A$1:$AI$1,29,FALSE),"")</f>
        <v/>
      </c>
      <c r="BK509" s="224" t="str">
        <f>IFERROR(VLOOKUP($A509,Devengado!$A$1:$AI$1,30,FALSE),"")</f>
        <v/>
      </c>
      <c r="BL509" s="224" t="str">
        <f>IFERROR(VLOOKUP($A509,Devengado!$A$1:$AI$1,31,FALSE),"")</f>
        <v/>
      </c>
      <c r="BM509" s="224" t="str">
        <f>IFERROR(VLOOKUP($A509,Devengado!$A$1:$AI$1,32,FALSE),"")</f>
        <v/>
      </c>
      <c r="BN509" s="224" t="str">
        <f>IFERROR(VLOOKUP($A509,Devengado!$A$1:$AI$1,33,FALSE),"")</f>
        <v/>
      </c>
      <c r="BO509" s="224">
        <f t="shared" si="60"/>
        <v>0</v>
      </c>
      <c r="BP509" s="224" t="str">
        <f t="shared" si="61"/>
        <v/>
      </c>
      <c r="BQ509" s="207"/>
      <c r="BR509" s="207" t="str">
        <f t="shared" si="62"/>
        <v>53</v>
      </c>
    </row>
    <row r="510" spans="1:70" s="225" customFormat="1" ht="25.5" customHeight="1">
      <c r="A510" s="207">
        <v>506</v>
      </c>
      <c r="B510" s="112" t="s">
        <v>73</v>
      </c>
      <c r="C510" s="112" t="s">
        <v>187</v>
      </c>
      <c r="D510" s="125" t="s">
        <v>515</v>
      </c>
      <c r="E510" s="125" t="s">
        <v>76</v>
      </c>
      <c r="F510" s="112" t="s">
        <v>77</v>
      </c>
      <c r="G510" s="112" t="s">
        <v>77</v>
      </c>
      <c r="H510" s="112" t="s">
        <v>77</v>
      </c>
      <c r="I510" s="112" t="s">
        <v>77</v>
      </c>
      <c r="J510" s="112" t="s">
        <v>77</v>
      </c>
      <c r="K510" s="112" t="s">
        <v>77</v>
      </c>
      <c r="L510" s="112" t="s">
        <v>85</v>
      </c>
      <c r="M510" s="112" t="s">
        <v>521</v>
      </c>
      <c r="N510" s="126">
        <v>9999</v>
      </c>
      <c r="O510" s="127" t="s">
        <v>80</v>
      </c>
      <c r="P510" s="127" t="s">
        <v>81</v>
      </c>
      <c r="Q510" s="127" t="s">
        <v>82</v>
      </c>
      <c r="R510" s="115" t="str">
        <f t="shared" si="56"/>
        <v>53</v>
      </c>
      <c r="S510" s="112">
        <v>530301</v>
      </c>
      <c r="T510" s="122" t="str">
        <f>VLOOKUP(S510,ITEM!$C$1:$D$156,2,FALSE)</f>
        <v>Pasajes al Interior</v>
      </c>
      <c r="U510" s="112">
        <v>1701</v>
      </c>
      <c r="V510" s="114" t="s">
        <v>82</v>
      </c>
      <c r="W510" s="114" t="s">
        <v>84</v>
      </c>
      <c r="X510" s="114" t="s">
        <v>84</v>
      </c>
      <c r="Y510" s="224" t="e">
        <f>'Matriz POA 2024-TRABAJO'!#REF!</f>
        <v>#REF!</v>
      </c>
      <c r="Z510" s="224" t="e">
        <f>'Matriz POA 2024-TRABAJO'!#REF!</f>
        <v>#REF!</v>
      </c>
      <c r="AA510" s="224" t="e">
        <f>'Matriz POA 2024-TRABAJO'!#REF!</f>
        <v>#REF!</v>
      </c>
      <c r="AB510" s="279">
        <v>0</v>
      </c>
      <c r="AC510" s="279">
        <v>0</v>
      </c>
      <c r="AD510" s="279">
        <v>0</v>
      </c>
      <c r="AE510" s="279">
        <v>0</v>
      </c>
      <c r="AF510" s="279">
        <v>0</v>
      </c>
      <c r="AG510" s="279">
        <v>0</v>
      </c>
      <c r="AH510" s="279">
        <v>0</v>
      </c>
      <c r="AI510" s="279">
        <v>0</v>
      </c>
      <c r="AJ510" s="279">
        <v>0</v>
      </c>
      <c r="AK510" s="279">
        <v>0</v>
      </c>
      <c r="AL510" s="279">
        <v>0</v>
      </c>
      <c r="AM510" s="279">
        <v>0</v>
      </c>
      <c r="AN510" s="224" t="e">
        <f>SUM(#REF!)</f>
        <v>#REF!</v>
      </c>
      <c r="AO510" s="224">
        <f t="shared" si="57"/>
        <v>0</v>
      </c>
      <c r="AP510" s="224" t="e">
        <f t="shared" si="63"/>
        <v>#REF!</v>
      </c>
      <c r="AQ510" s="224"/>
      <c r="AR510" s="224"/>
      <c r="AS510" s="224"/>
      <c r="AT510" s="224" t="str">
        <f>IFERROR(VLOOKUP($A510,'Constancias POA'!$A$2:$DH$9993,17,FALSE),"")</f>
        <v/>
      </c>
      <c r="AU510" s="224" t="str">
        <f t="shared" si="58"/>
        <v/>
      </c>
      <c r="AV510" s="224" t="str">
        <f>IFERROR(VLOOKUP($A510,CP!$A$1:$U$7992,18,FALSE),"")</f>
        <v/>
      </c>
      <c r="AW510" s="224" t="str">
        <f>IFERROR(VLOOKUP($A510,CP!$A$1:$U$7992,19,FALSE),"")</f>
        <v/>
      </c>
      <c r="AX510" s="224" t="str">
        <f>IFERROR(VLOOKUP($A510,CP!$A$1:$U$7992,20,FALSE),"")</f>
        <v/>
      </c>
      <c r="AY510" s="224" t="str">
        <f>IFERROR(VLOOKUP($A510,CP!$A$1:$U$1,21,FALSE),"")</f>
        <v/>
      </c>
      <c r="AZ510" s="224" t="str">
        <f>IFERROR(VLOOKUP(A510,Devengado!$A$1:AJ1,35,FALSE),"")</f>
        <v/>
      </c>
      <c r="BA510" s="224" t="str">
        <f t="shared" si="59"/>
        <v/>
      </c>
      <c r="BB510" s="224" t="str">
        <f>IFERROR(AZ510/#REF!,"")</f>
        <v/>
      </c>
      <c r="BC510" s="224" t="str">
        <f>IFERROR(VLOOKUP($A510,Devengado!$A$1:$AI$1,22,FALSE),"")</f>
        <v/>
      </c>
      <c r="BD510" s="224" t="str">
        <f>IFERROR(VLOOKUP($A510,Devengado!$A$1:$AI$1,23,FALSE),"")</f>
        <v/>
      </c>
      <c r="BE510" s="224" t="str">
        <f>IFERROR(VLOOKUP($A510,Devengado!$A$1:$AI$1,24,FALSE),"")</f>
        <v/>
      </c>
      <c r="BF510" s="224" t="str">
        <f>IFERROR(VLOOKUP($A510,Devengado!$A$1:$AI$1,25,FALSE),"")</f>
        <v/>
      </c>
      <c r="BG510" s="224" t="str">
        <f>IFERROR(VLOOKUP($A510,Devengado!$A$1:$AI$1,26,FALSE),"")</f>
        <v/>
      </c>
      <c r="BH510" s="224" t="str">
        <f>IFERROR(VLOOKUP($A510,Devengado!$A$1:$AI$1,27,FALSE),"")</f>
        <v/>
      </c>
      <c r="BI510" s="224" t="str">
        <f>IFERROR(VLOOKUP($A510,Devengado!$A$1:$AI$1,28,FALSE),"")</f>
        <v/>
      </c>
      <c r="BJ510" s="224" t="str">
        <f>IFERROR(VLOOKUP($A510,Devengado!$A$1:$AI$1,29,FALSE),"")</f>
        <v/>
      </c>
      <c r="BK510" s="224" t="str">
        <f>IFERROR(VLOOKUP($A510,Devengado!$A$1:$AI$1,30,FALSE),"")</f>
        <v/>
      </c>
      <c r="BL510" s="224" t="str">
        <f>IFERROR(VLOOKUP($A510,Devengado!$A$1:$AI$1,31,FALSE),"")</f>
        <v/>
      </c>
      <c r="BM510" s="224" t="str">
        <f>IFERROR(VLOOKUP($A510,Devengado!$A$1:$AI$1,32,FALSE),"")</f>
        <v/>
      </c>
      <c r="BN510" s="224" t="str">
        <f>IFERROR(VLOOKUP($A510,Devengado!$A$1:$AI$1,33,FALSE),"")</f>
        <v/>
      </c>
      <c r="BO510" s="224">
        <f t="shared" si="60"/>
        <v>0</v>
      </c>
      <c r="BP510" s="224" t="str">
        <f t="shared" si="61"/>
        <v/>
      </c>
      <c r="BQ510" s="207"/>
      <c r="BR510" s="207" t="str">
        <f t="shared" si="62"/>
        <v>53</v>
      </c>
    </row>
    <row r="511" spans="1:70" s="225" customFormat="1" ht="25.5" customHeight="1">
      <c r="A511" s="207">
        <v>507</v>
      </c>
      <c r="B511" s="112" t="s">
        <v>73</v>
      </c>
      <c r="C511" s="112" t="s">
        <v>187</v>
      </c>
      <c r="D511" s="125" t="s">
        <v>515</v>
      </c>
      <c r="E511" s="125" t="s">
        <v>76</v>
      </c>
      <c r="F511" s="112" t="s">
        <v>77</v>
      </c>
      <c r="G511" s="112" t="s">
        <v>77</v>
      </c>
      <c r="H511" s="112" t="s">
        <v>77</v>
      </c>
      <c r="I511" s="112" t="s">
        <v>77</v>
      </c>
      <c r="J511" s="112" t="s">
        <v>77</v>
      </c>
      <c r="K511" s="112" t="s">
        <v>77</v>
      </c>
      <c r="L511" s="112" t="s">
        <v>85</v>
      </c>
      <c r="M511" s="112" t="s">
        <v>521</v>
      </c>
      <c r="N511" s="126">
        <v>9999</v>
      </c>
      <c r="O511" s="127" t="s">
        <v>80</v>
      </c>
      <c r="P511" s="127" t="s">
        <v>81</v>
      </c>
      <c r="Q511" s="127" t="s">
        <v>82</v>
      </c>
      <c r="R511" s="115" t="str">
        <f t="shared" si="56"/>
        <v>53</v>
      </c>
      <c r="S511" s="112">
        <v>530302</v>
      </c>
      <c r="T511" s="122" t="str">
        <f>VLOOKUP(S511,ITEM!$C$1:$D$156,2,FALSE)</f>
        <v>Pasajes al Exterior</v>
      </c>
      <c r="U511" s="112">
        <v>1701</v>
      </c>
      <c r="V511" s="114" t="s">
        <v>82</v>
      </c>
      <c r="W511" s="114" t="s">
        <v>84</v>
      </c>
      <c r="X511" s="114" t="s">
        <v>84</v>
      </c>
      <c r="Y511" s="224" t="e">
        <f>'Matriz POA 2024-TRABAJO'!#REF!</f>
        <v>#REF!</v>
      </c>
      <c r="Z511" s="224" t="e">
        <f>'Matriz POA 2024-TRABAJO'!#REF!</f>
        <v>#REF!</v>
      </c>
      <c r="AA511" s="224" t="e">
        <f>'Matriz POA 2024-TRABAJO'!#REF!</f>
        <v>#REF!</v>
      </c>
      <c r="AB511" s="279">
        <v>0</v>
      </c>
      <c r="AC511" s="279">
        <v>0</v>
      </c>
      <c r="AD511" s="279">
        <v>0</v>
      </c>
      <c r="AE511" s="279">
        <v>0</v>
      </c>
      <c r="AF511" s="279">
        <v>0</v>
      </c>
      <c r="AG511" s="279">
        <v>0</v>
      </c>
      <c r="AH511" s="279">
        <v>0</v>
      </c>
      <c r="AI511" s="279">
        <v>0</v>
      </c>
      <c r="AJ511" s="279">
        <v>0</v>
      </c>
      <c r="AK511" s="279">
        <v>0</v>
      </c>
      <c r="AL511" s="279">
        <v>0</v>
      </c>
      <c r="AM511" s="279">
        <v>0</v>
      </c>
      <c r="AN511" s="224" t="e">
        <f>SUM(#REF!)</f>
        <v>#REF!</v>
      </c>
      <c r="AO511" s="224">
        <f t="shared" si="57"/>
        <v>0</v>
      </c>
      <c r="AP511" s="224" t="e">
        <f t="shared" si="63"/>
        <v>#REF!</v>
      </c>
      <c r="AQ511" s="224"/>
      <c r="AR511" s="224"/>
      <c r="AS511" s="224"/>
      <c r="AT511" s="224" t="str">
        <f>IFERROR(VLOOKUP($A511,'Constancias POA'!$A$2:$DH$9993,17,FALSE),"")</f>
        <v/>
      </c>
      <c r="AU511" s="224" t="str">
        <f t="shared" si="58"/>
        <v/>
      </c>
      <c r="AV511" s="224" t="str">
        <f>IFERROR(VLOOKUP($A511,CP!$A$1:$U$7992,18,FALSE),"")</f>
        <v/>
      </c>
      <c r="AW511" s="224" t="str">
        <f>IFERROR(VLOOKUP($A511,CP!$A$1:$U$7992,19,FALSE),"")</f>
        <v/>
      </c>
      <c r="AX511" s="224" t="str">
        <f>IFERROR(VLOOKUP($A511,CP!$A$1:$U$7992,20,FALSE),"")</f>
        <v/>
      </c>
      <c r="AY511" s="224" t="str">
        <f>IFERROR(VLOOKUP($A511,CP!$A$1:$U$1,21,FALSE),"")</f>
        <v/>
      </c>
      <c r="AZ511" s="224" t="str">
        <f>IFERROR(VLOOKUP(A511,Devengado!$A$1:AJ1,35,FALSE),"")</f>
        <v/>
      </c>
      <c r="BA511" s="224" t="str">
        <f t="shared" si="59"/>
        <v/>
      </c>
      <c r="BB511" s="224" t="str">
        <f>IFERROR(AZ511/#REF!,"")</f>
        <v/>
      </c>
      <c r="BC511" s="224" t="str">
        <f>IFERROR(VLOOKUP($A511,Devengado!$A$1:$AI$1,22,FALSE),"")</f>
        <v/>
      </c>
      <c r="BD511" s="224" t="str">
        <f>IFERROR(VLOOKUP($A511,Devengado!$A$1:$AI$1,23,FALSE),"")</f>
        <v/>
      </c>
      <c r="BE511" s="224" t="str">
        <f>IFERROR(VLOOKUP($A511,Devengado!$A$1:$AI$1,24,FALSE),"")</f>
        <v/>
      </c>
      <c r="BF511" s="224" t="str">
        <f>IFERROR(VLOOKUP($A511,Devengado!$A$1:$AI$1,25,FALSE),"")</f>
        <v/>
      </c>
      <c r="BG511" s="224" t="str">
        <f>IFERROR(VLOOKUP($A511,Devengado!$A$1:$AI$1,26,FALSE),"")</f>
        <v/>
      </c>
      <c r="BH511" s="224" t="str">
        <f>IFERROR(VLOOKUP($A511,Devengado!$A$1:$AI$1,27,FALSE),"")</f>
        <v/>
      </c>
      <c r="BI511" s="224" t="str">
        <f>IFERROR(VLOOKUP($A511,Devengado!$A$1:$AI$1,28,FALSE),"")</f>
        <v/>
      </c>
      <c r="BJ511" s="224" t="str">
        <f>IFERROR(VLOOKUP($A511,Devengado!$A$1:$AI$1,29,FALSE),"")</f>
        <v/>
      </c>
      <c r="BK511" s="224" t="str">
        <f>IFERROR(VLOOKUP($A511,Devengado!$A$1:$AI$1,30,FALSE),"")</f>
        <v/>
      </c>
      <c r="BL511" s="224" t="str">
        <f>IFERROR(VLOOKUP($A511,Devengado!$A$1:$AI$1,31,FALSE),"")</f>
        <v/>
      </c>
      <c r="BM511" s="224" t="str">
        <f>IFERROR(VLOOKUP($A511,Devengado!$A$1:$AI$1,32,FALSE),"")</f>
        <v/>
      </c>
      <c r="BN511" s="224" t="str">
        <f>IFERROR(VLOOKUP($A511,Devengado!$A$1:$AI$1,33,FALSE),"")</f>
        <v/>
      </c>
      <c r="BO511" s="224">
        <f t="shared" si="60"/>
        <v>0</v>
      </c>
      <c r="BP511" s="224" t="str">
        <f t="shared" si="61"/>
        <v/>
      </c>
      <c r="BQ511" s="207"/>
      <c r="BR511" s="207" t="str">
        <f t="shared" si="62"/>
        <v>53</v>
      </c>
    </row>
    <row r="512" spans="1:70" s="225" customFormat="1" ht="25.5" customHeight="1">
      <c r="A512" s="207">
        <v>508</v>
      </c>
      <c r="B512" s="112" t="s">
        <v>73</v>
      </c>
      <c r="C512" s="112" t="s">
        <v>187</v>
      </c>
      <c r="D512" s="125" t="s">
        <v>515</v>
      </c>
      <c r="E512" s="125" t="s">
        <v>76</v>
      </c>
      <c r="F512" s="112" t="s">
        <v>77</v>
      </c>
      <c r="G512" s="112" t="s">
        <v>77</v>
      </c>
      <c r="H512" s="112" t="s">
        <v>77</v>
      </c>
      <c r="I512" s="112" t="s">
        <v>77</v>
      </c>
      <c r="J512" s="112" t="s">
        <v>77</v>
      </c>
      <c r="K512" s="112" t="s">
        <v>77</v>
      </c>
      <c r="L512" s="112" t="s">
        <v>85</v>
      </c>
      <c r="M512" s="112" t="s">
        <v>522</v>
      </c>
      <c r="N512" s="126">
        <v>9999</v>
      </c>
      <c r="O512" s="127" t="s">
        <v>80</v>
      </c>
      <c r="P512" s="127" t="s">
        <v>81</v>
      </c>
      <c r="Q512" s="127" t="s">
        <v>82</v>
      </c>
      <c r="R512" s="115" t="str">
        <f t="shared" si="56"/>
        <v>53</v>
      </c>
      <c r="S512" s="112">
        <v>530405</v>
      </c>
      <c r="T512" s="122" t="str">
        <f>VLOOKUP(S512,ITEM!$C$1:$D$156,2,FALSE)</f>
        <v>Vehículos (Servicio para Mantenimiento y Reparación)</v>
      </c>
      <c r="U512" s="112">
        <v>1701</v>
      </c>
      <c r="V512" s="114" t="s">
        <v>82</v>
      </c>
      <c r="W512" s="114" t="s">
        <v>84</v>
      </c>
      <c r="X512" s="114" t="s">
        <v>84</v>
      </c>
      <c r="Y512" s="224" t="e">
        <f>'Matriz POA 2024-TRABAJO'!#REF!</f>
        <v>#REF!</v>
      </c>
      <c r="Z512" s="224" t="e">
        <f>'Matriz POA 2024-TRABAJO'!#REF!</f>
        <v>#REF!</v>
      </c>
      <c r="AA512" s="224" t="e">
        <f>'Matriz POA 2024-TRABAJO'!#REF!</f>
        <v>#REF!</v>
      </c>
      <c r="AB512" s="279">
        <v>0</v>
      </c>
      <c r="AC512" s="279">
        <v>0</v>
      </c>
      <c r="AD512" s="279">
        <v>0</v>
      </c>
      <c r="AE512" s="279">
        <v>0</v>
      </c>
      <c r="AF512" s="279">
        <v>0</v>
      </c>
      <c r="AG512" s="279">
        <v>0</v>
      </c>
      <c r="AH512" s="279">
        <v>0</v>
      </c>
      <c r="AI512" s="279">
        <v>0</v>
      </c>
      <c r="AJ512" s="279">
        <v>0</v>
      </c>
      <c r="AK512" s="279">
        <v>0</v>
      </c>
      <c r="AL512" s="279">
        <v>0</v>
      </c>
      <c r="AM512" s="279">
        <v>0</v>
      </c>
      <c r="AN512" s="224" t="e">
        <f>SUM(#REF!)</f>
        <v>#REF!</v>
      </c>
      <c r="AO512" s="224">
        <f t="shared" si="57"/>
        <v>0</v>
      </c>
      <c r="AP512" s="224" t="e">
        <f t="shared" si="63"/>
        <v>#REF!</v>
      </c>
      <c r="AQ512" s="224"/>
      <c r="AR512" s="224"/>
      <c r="AS512" s="224"/>
      <c r="AT512" s="224" t="str">
        <f>IFERROR(VLOOKUP($A512,'Constancias POA'!$A$2:$DH$9993,17,FALSE),"")</f>
        <v/>
      </c>
      <c r="AU512" s="224" t="str">
        <f t="shared" si="58"/>
        <v/>
      </c>
      <c r="AV512" s="224" t="str">
        <f>IFERROR(VLOOKUP($A512,CP!$A$1:$U$7992,18,FALSE),"")</f>
        <v/>
      </c>
      <c r="AW512" s="224" t="str">
        <f>IFERROR(VLOOKUP($A512,CP!$A$1:$U$7992,19,FALSE),"")</f>
        <v/>
      </c>
      <c r="AX512" s="224" t="str">
        <f>IFERROR(VLOOKUP($A512,CP!$A$1:$U$7992,20,FALSE),"")</f>
        <v/>
      </c>
      <c r="AY512" s="224" t="str">
        <f>IFERROR(VLOOKUP($A512,CP!$A$1:$U$1,21,FALSE),"")</f>
        <v/>
      </c>
      <c r="AZ512" s="224" t="str">
        <f>IFERROR(VLOOKUP(A512,Devengado!$A$1:AJ1,35,FALSE),"")</f>
        <v/>
      </c>
      <c r="BA512" s="224" t="str">
        <f t="shared" si="59"/>
        <v/>
      </c>
      <c r="BB512" s="224" t="str">
        <f>IFERROR(AZ512/#REF!,"")</f>
        <v/>
      </c>
      <c r="BC512" s="224" t="str">
        <f>IFERROR(VLOOKUP($A512,Devengado!$A$1:$AI$1,22,FALSE),"")</f>
        <v/>
      </c>
      <c r="BD512" s="224" t="str">
        <f>IFERROR(VLOOKUP($A512,Devengado!$A$1:$AI$1,23,FALSE),"")</f>
        <v/>
      </c>
      <c r="BE512" s="224" t="str">
        <f>IFERROR(VLOOKUP($A512,Devengado!$A$1:$AI$1,24,FALSE),"")</f>
        <v/>
      </c>
      <c r="BF512" s="224" t="str">
        <f>IFERROR(VLOOKUP($A512,Devengado!$A$1:$AI$1,25,FALSE),"")</f>
        <v/>
      </c>
      <c r="BG512" s="224" t="str">
        <f>IFERROR(VLOOKUP($A512,Devengado!$A$1:$AI$1,26,FALSE),"")</f>
        <v/>
      </c>
      <c r="BH512" s="224" t="str">
        <f>IFERROR(VLOOKUP($A512,Devengado!$A$1:$AI$1,27,FALSE),"")</f>
        <v/>
      </c>
      <c r="BI512" s="224" t="str">
        <f>IFERROR(VLOOKUP($A512,Devengado!$A$1:$AI$1,28,FALSE),"")</f>
        <v/>
      </c>
      <c r="BJ512" s="224" t="str">
        <f>IFERROR(VLOOKUP($A512,Devengado!$A$1:$AI$1,29,FALSE),"")</f>
        <v/>
      </c>
      <c r="BK512" s="224" t="str">
        <f>IFERROR(VLOOKUP($A512,Devengado!$A$1:$AI$1,30,FALSE),"")</f>
        <v/>
      </c>
      <c r="BL512" s="224" t="str">
        <f>IFERROR(VLOOKUP($A512,Devengado!$A$1:$AI$1,31,FALSE),"")</f>
        <v/>
      </c>
      <c r="BM512" s="224" t="str">
        <f>IFERROR(VLOOKUP($A512,Devengado!$A$1:$AI$1,32,FALSE),"")</f>
        <v/>
      </c>
      <c r="BN512" s="224" t="str">
        <f>IFERROR(VLOOKUP($A512,Devengado!$A$1:$AI$1,33,FALSE),"")</f>
        <v/>
      </c>
      <c r="BO512" s="224">
        <f t="shared" si="60"/>
        <v>0</v>
      </c>
      <c r="BP512" s="224" t="str">
        <f t="shared" si="61"/>
        <v/>
      </c>
      <c r="BQ512" s="207"/>
      <c r="BR512" s="207" t="str">
        <f t="shared" si="62"/>
        <v>53</v>
      </c>
    </row>
    <row r="513" spans="1:70" s="225" customFormat="1" ht="25.5" customHeight="1">
      <c r="A513" s="207">
        <v>509</v>
      </c>
      <c r="B513" s="112" t="s">
        <v>73</v>
      </c>
      <c r="C513" s="112" t="s">
        <v>187</v>
      </c>
      <c r="D513" s="125" t="s">
        <v>515</v>
      </c>
      <c r="E513" s="125" t="s">
        <v>76</v>
      </c>
      <c r="F513" s="112" t="s">
        <v>77</v>
      </c>
      <c r="G513" s="112" t="s">
        <v>77</v>
      </c>
      <c r="H513" s="112" t="s">
        <v>77</v>
      </c>
      <c r="I513" s="112" t="s">
        <v>77</v>
      </c>
      <c r="J513" s="112" t="s">
        <v>77</v>
      </c>
      <c r="K513" s="112" t="s">
        <v>77</v>
      </c>
      <c r="L513" s="112" t="s">
        <v>85</v>
      </c>
      <c r="M513" s="112" t="s">
        <v>522</v>
      </c>
      <c r="N513" s="126">
        <v>9999</v>
      </c>
      <c r="O513" s="127" t="s">
        <v>80</v>
      </c>
      <c r="P513" s="127" t="s">
        <v>81</v>
      </c>
      <c r="Q513" s="127" t="s">
        <v>82</v>
      </c>
      <c r="R513" s="115" t="str">
        <f t="shared" si="56"/>
        <v>53</v>
      </c>
      <c r="S513" s="112">
        <v>530803</v>
      </c>
      <c r="T513" s="122" t="e">
        <f>VLOOKUP(S513,ITEM!$C$1:$D$156,2,FALSE)</f>
        <v>#N/A</v>
      </c>
      <c r="U513" s="112">
        <v>1701</v>
      </c>
      <c r="V513" s="114" t="s">
        <v>82</v>
      </c>
      <c r="W513" s="114" t="s">
        <v>84</v>
      </c>
      <c r="X513" s="114" t="s">
        <v>84</v>
      </c>
      <c r="Y513" s="224" t="e">
        <f>'Matriz POA 2024-TRABAJO'!#REF!</f>
        <v>#REF!</v>
      </c>
      <c r="Z513" s="224" t="e">
        <f>'Matriz POA 2024-TRABAJO'!#REF!</f>
        <v>#REF!</v>
      </c>
      <c r="AA513" s="224" t="e">
        <f>'Matriz POA 2024-TRABAJO'!#REF!</f>
        <v>#REF!</v>
      </c>
      <c r="AB513" s="279">
        <v>0</v>
      </c>
      <c r="AC513" s="279">
        <v>0</v>
      </c>
      <c r="AD513" s="279">
        <v>0</v>
      </c>
      <c r="AE513" s="279">
        <v>0</v>
      </c>
      <c r="AF513" s="279">
        <v>0</v>
      </c>
      <c r="AG513" s="279">
        <v>0</v>
      </c>
      <c r="AH513" s="279">
        <v>0</v>
      </c>
      <c r="AI513" s="279">
        <v>0</v>
      </c>
      <c r="AJ513" s="279">
        <v>0</v>
      </c>
      <c r="AK513" s="279">
        <v>0</v>
      </c>
      <c r="AL513" s="279">
        <v>0</v>
      </c>
      <c r="AM513" s="279">
        <v>0</v>
      </c>
      <c r="AN513" s="224" t="e">
        <f>SUM(#REF!)</f>
        <v>#REF!</v>
      </c>
      <c r="AO513" s="224">
        <f t="shared" si="57"/>
        <v>0</v>
      </c>
      <c r="AP513" s="224" t="e">
        <f t="shared" si="63"/>
        <v>#REF!</v>
      </c>
      <c r="AQ513" s="224"/>
      <c r="AR513" s="224"/>
      <c r="AS513" s="224"/>
      <c r="AT513" s="224" t="str">
        <f>IFERROR(VLOOKUP($A513,'Constancias POA'!$A$2:$DH$9993,17,FALSE),"")</f>
        <v/>
      </c>
      <c r="AU513" s="224" t="str">
        <f t="shared" si="58"/>
        <v/>
      </c>
      <c r="AV513" s="224" t="str">
        <f>IFERROR(VLOOKUP($A513,CP!$A$1:$U$7992,18,FALSE),"")</f>
        <v/>
      </c>
      <c r="AW513" s="224" t="str">
        <f>IFERROR(VLOOKUP($A513,CP!$A$1:$U$7992,19,FALSE),"")</f>
        <v/>
      </c>
      <c r="AX513" s="224" t="str">
        <f>IFERROR(VLOOKUP($A513,CP!$A$1:$U$7992,20,FALSE),"")</f>
        <v/>
      </c>
      <c r="AY513" s="224" t="str">
        <f>IFERROR(VLOOKUP($A513,CP!$A$1:$U$1,21,FALSE),"")</f>
        <v/>
      </c>
      <c r="AZ513" s="224" t="str">
        <f>IFERROR(VLOOKUP(A513,Devengado!$A$1:AJ1,35,FALSE),"")</f>
        <v/>
      </c>
      <c r="BA513" s="224" t="str">
        <f t="shared" si="59"/>
        <v/>
      </c>
      <c r="BB513" s="224" t="str">
        <f>IFERROR(AZ513/#REF!,"")</f>
        <v/>
      </c>
      <c r="BC513" s="224" t="str">
        <f>IFERROR(VLOOKUP($A513,Devengado!$A$1:$AI$1,22,FALSE),"")</f>
        <v/>
      </c>
      <c r="BD513" s="224" t="str">
        <f>IFERROR(VLOOKUP($A513,Devengado!$A$1:$AI$1,23,FALSE),"")</f>
        <v/>
      </c>
      <c r="BE513" s="224" t="str">
        <f>IFERROR(VLOOKUP($A513,Devengado!$A$1:$AI$1,24,FALSE),"")</f>
        <v/>
      </c>
      <c r="BF513" s="224" t="str">
        <f>IFERROR(VLOOKUP($A513,Devengado!$A$1:$AI$1,25,FALSE),"")</f>
        <v/>
      </c>
      <c r="BG513" s="224" t="str">
        <f>IFERROR(VLOOKUP($A513,Devengado!$A$1:$AI$1,26,FALSE),"")</f>
        <v/>
      </c>
      <c r="BH513" s="224" t="str">
        <f>IFERROR(VLOOKUP($A513,Devengado!$A$1:$AI$1,27,FALSE),"")</f>
        <v/>
      </c>
      <c r="BI513" s="224" t="str">
        <f>IFERROR(VLOOKUP($A513,Devengado!$A$1:$AI$1,28,FALSE),"")</f>
        <v/>
      </c>
      <c r="BJ513" s="224" t="str">
        <f>IFERROR(VLOOKUP($A513,Devengado!$A$1:$AI$1,29,FALSE),"")</f>
        <v/>
      </c>
      <c r="BK513" s="224" t="str">
        <f>IFERROR(VLOOKUP($A513,Devengado!$A$1:$AI$1,30,FALSE),"")</f>
        <v/>
      </c>
      <c r="BL513" s="224" t="str">
        <f>IFERROR(VLOOKUP($A513,Devengado!$A$1:$AI$1,31,FALSE),"")</f>
        <v/>
      </c>
      <c r="BM513" s="224" t="str">
        <f>IFERROR(VLOOKUP($A513,Devengado!$A$1:$AI$1,32,FALSE),"")</f>
        <v/>
      </c>
      <c r="BN513" s="224" t="str">
        <f>IFERROR(VLOOKUP($A513,Devengado!$A$1:$AI$1,33,FALSE),"")</f>
        <v/>
      </c>
      <c r="BO513" s="224">
        <f t="shared" si="60"/>
        <v>0</v>
      </c>
      <c r="BP513" s="224" t="str">
        <f t="shared" si="61"/>
        <v/>
      </c>
      <c r="BQ513" s="207"/>
      <c r="BR513" s="207" t="str">
        <f t="shared" si="62"/>
        <v>53</v>
      </c>
    </row>
    <row r="514" spans="1:70" s="225" customFormat="1" ht="25.5" customHeight="1">
      <c r="A514" s="207">
        <v>510</v>
      </c>
      <c r="B514" s="112" t="s">
        <v>73</v>
      </c>
      <c r="C514" s="112" t="s">
        <v>187</v>
      </c>
      <c r="D514" s="125" t="s">
        <v>515</v>
      </c>
      <c r="E514" s="125" t="s">
        <v>76</v>
      </c>
      <c r="F514" s="112" t="s">
        <v>77</v>
      </c>
      <c r="G514" s="112" t="s">
        <v>77</v>
      </c>
      <c r="H514" s="112" t="s">
        <v>77</v>
      </c>
      <c r="I514" s="112" t="s">
        <v>77</v>
      </c>
      <c r="J514" s="112" t="s">
        <v>77</v>
      </c>
      <c r="K514" s="112" t="s">
        <v>77</v>
      </c>
      <c r="L514" s="112" t="s">
        <v>85</v>
      </c>
      <c r="M514" s="112" t="s">
        <v>522</v>
      </c>
      <c r="N514" s="126">
        <v>9999</v>
      </c>
      <c r="O514" s="127" t="s">
        <v>80</v>
      </c>
      <c r="P514" s="127" t="s">
        <v>81</v>
      </c>
      <c r="Q514" s="127" t="s">
        <v>82</v>
      </c>
      <c r="R514" s="115" t="str">
        <f t="shared" si="56"/>
        <v>53</v>
      </c>
      <c r="S514" s="112">
        <v>530813</v>
      </c>
      <c r="T514" s="122" t="e">
        <f>VLOOKUP(S514,ITEM!$C$1:$D$156,2,FALSE)</f>
        <v>#N/A</v>
      </c>
      <c r="U514" s="112">
        <v>1701</v>
      </c>
      <c r="V514" s="114" t="s">
        <v>82</v>
      </c>
      <c r="W514" s="114" t="s">
        <v>84</v>
      </c>
      <c r="X514" s="114" t="s">
        <v>84</v>
      </c>
      <c r="Y514" s="224" t="e">
        <f>'Matriz POA 2024-TRABAJO'!#REF!</f>
        <v>#REF!</v>
      </c>
      <c r="Z514" s="224" t="e">
        <f>'Matriz POA 2024-TRABAJO'!#REF!</f>
        <v>#REF!</v>
      </c>
      <c r="AA514" s="224" t="e">
        <f>'Matriz POA 2024-TRABAJO'!#REF!</f>
        <v>#REF!</v>
      </c>
      <c r="AB514" s="279">
        <v>0</v>
      </c>
      <c r="AC514" s="279">
        <v>0</v>
      </c>
      <c r="AD514" s="279">
        <v>2660.52</v>
      </c>
      <c r="AE514" s="279">
        <v>0</v>
      </c>
      <c r="AF514" s="279">
        <v>0</v>
      </c>
      <c r="AG514" s="279">
        <v>0</v>
      </c>
      <c r="AH514" s="279">
        <v>0</v>
      </c>
      <c r="AI514" s="279">
        <v>0</v>
      </c>
      <c r="AJ514" s="279">
        <v>0</v>
      </c>
      <c r="AK514" s="279">
        <v>0</v>
      </c>
      <c r="AL514" s="279">
        <v>0</v>
      </c>
      <c r="AM514" s="279">
        <v>0</v>
      </c>
      <c r="AN514" s="224" t="e">
        <f>SUM(#REF!)</f>
        <v>#REF!</v>
      </c>
      <c r="AO514" s="224">
        <f t="shared" si="57"/>
        <v>2660.52</v>
      </c>
      <c r="AP514" s="224" t="e">
        <f t="shared" si="63"/>
        <v>#REF!</v>
      </c>
      <c r="AQ514" s="224"/>
      <c r="AR514" s="224"/>
      <c r="AS514" s="224"/>
      <c r="AT514" s="224" t="str">
        <f>IFERROR(VLOOKUP($A514,'Constancias POA'!$A$2:$DH$9993,17,FALSE),"")</f>
        <v/>
      </c>
      <c r="AU514" s="224" t="str">
        <f t="shared" si="58"/>
        <v/>
      </c>
      <c r="AV514" s="224" t="str">
        <f>IFERROR(VLOOKUP($A514,CP!$A$1:$U$7992,18,FALSE),"")</f>
        <v/>
      </c>
      <c r="AW514" s="224" t="str">
        <f>IFERROR(VLOOKUP($A514,CP!$A$1:$U$7992,19,FALSE),"")</f>
        <v/>
      </c>
      <c r="AX514" s="224" t="str">
        <f>IFERROR(VLOOKUP($A514,CP!$A$1:$U$7992,20,FALSE),"")</f>
        <v/>
      </c>
      <c r="AY514" s="224" t="str">
        <f>IFERROR(VLOOKUP($A514,CP!$A$1:$U$1,21,FALSE),"")</f>
        <v/>
      </c>
      <c r="AZ514" s="224" t="str">
        <f>IFERROR(VLOOKUP(A514,Devengado!$A$1:AJ1,35,FALSE),"")</f>
        <v/>
      </c>
      <c r="BA514" s="224" t="str">
        <f t="shared" si="59"/>
        <v/>
      </c>
      <c r="BB514" s="224" t="str">
        <f>IFERROR(AZ514/#REF!,"")</f>
        <v/>
      </c>
      <c r="BC514" s="224" t="str">
        <f>IFERROR(VLOOKUP($A514,Devengado!$A$1:$AI$1,22,FALSE),"")</f>
        <v/>
      </c>
      <c r="BD514" s="224" t="str">
        <f>IFERROR(VLOOKUP($A514,Devengado!$A$1:$AI$1,23,FALSE),"")</f>
        <v/>
      </c>
      <c r="BE514" s="224" t="str">
        <f>IFERROR(VLOOKUP($A514,Devengado!$A$1:$AI$1,24,FALSE),"")</f>
        <v/>
      </c>
      <c r="BF514" s="224" t="str">
        <f>IFERROR(VLOOKUP($A514,Devengado!$A$1:$AI$1,25,FALSE),"")</f>
        <v/>
      </c>
      <c r="BG514" s="224" t="str">
        <f>IFERROR(VLOOKUP($A514,Devengado!$A$1:$AI$1,26,FALSE),"")</f>
        <v/>
      </c>
      <c r="BH514" s="224" t="str">
        <f>IFERROR(VLOOKUP($A514,Devengado!$A$1:$AI$1,27,FALSE),"")</f>
        <v/>
      </c>
      <c r="BI514" s="224" t="str">
        <f>IFERROR(VLOOKUP($A514,Devengado!$A$1:$AI$1,28,FALSE),"")</f>
        <v/>
      </c>
      <c r="BJ514" s="224" t="str">
        <f>IFERROR(VLOOKUP($A514,Devengado!$A$1:$AI$1,29,FALSE),"")</f>
        <v/>
      </c>
      <c r="BK514" s="224" t="str">
        <f>IFERROR(VLOOKUP($A514,Devengado!$A$1:$AI$1,30,FALSE),"")</f>
        <v/>
      </c>
      <c r="BL514" s="224" t="str">
        <f>IFERROR(VLOOKUP($A514,Devengado!$A$1:$AI$1,31,FALSE),"")</f>
        <v/>
      </c>
      <c r="BM514" s="224" t="str">
        <f>IFERROR(VLOOKUP($A514,Devengado!$A$1:$AI$1,32,FALSE),"")</f>
        <v/>
      </c>
      <c r="BN514" s="224" t="str">
        <f>IFERROR(VLOOKUP($A514,Devengado!$A$1:$AI$1,33,FALSE),"")</f>
        <v/>
      </c>
      <c r="BO514" s="224">
        <f t="shared" si="60"/>
        <v>0</v>
      </c>
      <c r="BP514" s="224" t="str">
        <f t="shared" si="61"/>
        <v/>
      </c>
      <c r="BQ514" s="207"/>
      <c r="BR514" s="207" t="str">
        <f t="shared" si="62"/>
        <v>53</v>
      </c>
    </row>
    <row r="515" spans="1:70" s="225" customFormat="1" ht="25.5" customHeight="1">
      <c r="A515" s="207">
        <v>511</v>
      </c>
      <c r="B515" s="112" t="s">
        <v>73</v>
      </c>
      <c r="C515" s="112" t="s">
        <v>187</v>
      </c>
      <c r="D515" s="125" t="s">
        <v>515</v>
      </c>
      <c r="E515" s="125" t="s">
        <v>76</v>
      </c>
      <c r="F515" s="112" t="s">
        <v>77</v>
      </c>
      <c r="G515" s="112" t="s">
        <v>77</v>
      </c>
      <c r="H515" s="112" t="s">
        <v>77</v>
      </c>
      <c r="I515" s="112" t="s">
        <v>77</v>
      </c>
      <c r="J515" s="112" t="s">
        <v>77</v>
      </c>
      <c r="K515" s="112" t="s">
        <v>77</v>
      </c>
      <c r="L515" s="112" t="s">
        <v>85</v>
      </c>
      <c r="M515" s="112" t="s">
        <v>523</v>
      </c>
      <c r="N515" s="126">
        <v>9999</v>
      </c>
      <c r="O515" s="127" t="s">
        <v>80</v>
      </c>
      <c r="P515" s="127" t="s">
        <v>81</v>
      </c>
      <c r="Q515" s="127" t="s">
        <v>82</v>
      </c>
      <c r="R515" s="115" t="str">
        <f t="shared" si="56"/>
        <v>53</v>
      </c>
      <c r="S515" s="112">
        <v>530246</v>
      </c>
      <c r="T515" s="122" t="str">
        <f>VLOOKUP(S515,ITEM!$C$1:$D$156,2,FALSE)</f>
        <v>Servicios de Identificación, Marcación, Autentificación, Rastreo, Monitoreo, Seguimiento y/o Trazabilidad</v>
      </c>
      <c r="U515" s="112">
        <v>1701</v>
      </c>
      <c r="V515" s="114" t="s">
        <v>82</v>
      </c>
      <c r="W515" s="114" t="s">
        <v>84</v>
      </c>
      <c r="X515" s="114" t="s">
        <v>84</v>
      </c>
      <c r="Y515" s="224" t="e">
        <f>'Matriz POA 2024-TRABAJO'!#REF!</f>
        <v>#REF!</v>
      </c>
      <c r="Z515" s="224" t="e">
        <f>'Matriz POA 2024-TRABAJO'!#REF!</f>
        <v>#REF!</v>
      </c>
      <c r="AA515" s="224" t="e">
        <f>'Matriz POA 2024-TRABAJO'!#REF!</f>
        <v>#REF!</v>
      </c>
      <c r="AB515" s="279">
        <v>417</v>
      </c>
      <c r="AC515" s="279">
        <v>417</v>
      </c>
      <c r="AD515" s="279">
        <v>417</v>
      </c>
      <c r="AE515" s="279">
        <v>417</v>
      </c>
      <c r="AF515" s="279">
        <v>417</v>
      </c>
      <c r="AG515" s="279">
        <v>417</v>
      </c>
      <c r="AH515" s="279">
        <v>417</v>
      </c>
      <c r="AI515" s="279">
        <v>417</v>
      </c>
      <c r="AJ515" s="279">
        <v>417</v>
      </c>
      <c r="AK515" s="279">
        <v>417</v>
      </c>
      <c r="AL515" s="279">
        <v>417</v>
      </c>
      <c r="AM515" s="279">
        <v>413</v>
      </c>
      <c r="AN515" s="224" t="e">
        <f>SUM(#REF!)</f>
        <v>#REF!</v>
      </c>
      <c r="AO515" s="224">
        <f t="shared" si="57"/>
        <v>5000</v>
      </c>
      <c r="AP515" s="224" t="e">
        <f t="shared" si="63"/>
        <v>#REF!</v>
      </c>
      <c r="AQ515" s="224"/>
      <c r="AR515" s="224"/>
      <c r="AS515" s="224"/>
      <c r="AT515" s="224" t="str">
        <f>IFERROR(VLOOKUP($A515,'Constancias POA'!$A$2:$DH$9993,17,FALSE),"")</f>
        <v/>
      </c>
      <c r="AU515" s="224" t="str">
        <f t="shared" si="58"/>
        <v/>
      </c>
      <c r="AV515" s="224" t="str">
        <f>IFERROR(VLOOKUP($A515,CP!$A$1:$U$7992,18,FALSE),"")</f>
        <v/>
      </c>
      <c r="AW515" s="224" t="str">
        <f>IFERROR(VLOOKUP($A515,CP!$A$1:$U$7992,19,FALSE),"")</f>
        <v/>
      </c>
      <c r="AX515" s="224" t="str">
        <f>IFERROR(VLOOKUP($A515,CP!$A$1:$U$7992,20,FALSE),"")</f>
        <v/>
      </c>
      <c r="AY515" s="224" t="str">
        <f>IFERROR(VLOOKUP($A515,CP!$A$1:$U$1,21,FALSE),"")</f>
        <v/>
      </c>
      <c r="AZ515" s="224" t="str">
        <f>IFERROR(VLOOKUP(A515,Devengado!$A$1:AJ1,35,FALSE),"")</f>
        <v/>
      </c>
      <c r="BA515" s="224" t="str">
        <f t="shared" si="59"/>
        <v/>
      </c>
      <c r="BB515" s="224" t="str">
        <f>IFERROR(AZ515/#REF!,"")</f>
        <v/>
      </c>
      <c r="BC515" s="224" t="str">
        <f>IFERROR(VLOOKUP($A515,Devengado!$A$1:$AI$1,22,FALSE),"")</f>
        <v/>
      </c>
      <c r="BD515" s="224" t="str">
        <f>IFERROR(VLOOKUP($A515,Devengado!$A$1:$AI$1,23,FALSE),"")</f>
        <v/>
      </c>
      <c r="BE515" s="224" t="str">
        <f>IFERROR(VLOOKUP($A515,Devengado!$A$1:$AI$1,24,FALSE),"")</f>
        <v/>
      </c>
      <c r="BF515" s="224" t="str">
        <f>IFERROR(VLOOKUP($A515,Devengado!$A$1:$AI$1,25,FALSE),"")</f>
        <v/>
      </c>
      <c r="BG515" s="224" t="str">
        <f>IFERROR(VLOOKUP($A515,Devengado!$A$1:$AI$1,26,FALSE),"")</f>
        <v/>
      </c>
      <c r="BH515" s="224" t="str">
        <f>IFERROR(VLOOKUP($A515,Devengado!$A$1:$AI$1,27,FALSE),"")</f>
        <v/>
      </c>
      <c r="BI515" s="224" t="str">
        <f>IFERROR(VLOOKUP($A515,Devengado!$A$1:$AI$1,28,FALSE),"")</f>
        <v/>
      </c>
      <c r="BJ515" s="224" t="str">
        <f>IFERROR(VLOOKUP($A515,Devengado!$A$1:$AI$1,29,FALSE),"")</f>
        <v/>
      </c>
      <c r="BK515" s="224" t="str">
        <f>IFERROR(VLOOKUP($A515,Devengado!$A$1:$AI$1,30,FALSE),"")</f>
        <v/>
      </c>
      <c r="BL515" s="224" t="str">
        <f>IFERROR(VLOOKUP($A515,Devengado!$A$1:$AI$1,31,FALSE),"")</f>
        <v/>
      </c>
      <c r="BM515" s="224" t="str">
        <f>IFERROR(VLOOKUP($A515,Devengado!$A$1:$AI$1,32,FALSE),"")</f>
        <v/>
      </c>
      <c r="BN515" s="224" t="str">
        <f>IFERROR(VLOOKUP($A515,Devengado!$A$1:$AI$1,33,FALSE),"")</f>
        <v/>
      </c>
      <c r="BO515" s="224">
        <f t="shared" si="60"/>
        <v>0</v>
      </c>
      <c r="BP515" s="224" t="str">
        <f t="shared" si="61"/>
        <v/>
      </c>
      <c r="BQ515" s="207"/>
      <c r="BR515" s="207" t="str">
        <f t="shared" si="62"/>
        <v>53</v>
      </c>
    </row>
    <row r="516" spans="1:70" s="225" customFormat="1" ht="25.5" customHeight="1">
      <c r="A516" s="207">
        <v>512</v>
      </c>
      <c r="B516" s="112" t="s">
        <v>73</v>
      </c>
      <c r="C516" s="112" t="s">
        <v>187</v>
      </c>
      <c r="D516" s="125" t="s">
        <v>515</v>
      </c>
      <c r="E516" s="125" t="s">
        <v>76</v>
      </c>
      <c r="F516" s="112" t="s">
        <v>77</v>
      </c>
      <c r="G516" s="112" t="s">
        <v>77</v>
      </c>
      <c r="H516" s="112" t="s">
        <v>77</v>
      </c>
      <c r="I516" s="112" t="s">
        <v>77</v>
      </c>
      <c r="J516" s="112" t="s">
        <v>77</v>
      </c>
      <c r="K516" s="112" t="s">
        <v>77</v>
      </c>
      <c r="L516" s="112" t="s">
        <v>85</v>
      </c>
      <c r="M516" s="112" t="s">
        <v>524</v>
      </c>
      <c r="N516" s="126">
        <v>9999</v>
      </c>
      <c r="O516" s="127" t="s">
        <v>80</v>
      </c>
      <c r="P516" s="127" t="s">
        <v>81</v>
      </c>
      <c r="Q516" s="127" t="s">
        <v>82</v>
      </c>
      <c r="R516" s="115" t="str">
        <f t="shared" si="56"/>
        <v>53</v>
      </c>
      <c r="S516" s="112">
        <v>530405</v>
      </c>
      <c r="T516" s="122" t="str">
        <f>VLOOKUP(S516,ITEM!$C$1:$D$156,2,FALSE)</f>
        <v>Vehículos (Servicio para Mantenimiento y Reparación)</v>
      </c>
      <c r="U516" s="112">
        <v>1701</v>
      </c>
      <c r="V516" s="114" t="s">
        <v>82</v>
      </c>
      <c r="W516" s="114" t="s">
        <v>84</v>
      </c>
      <c r="X516" s="114" t="s">
        <v>84</v>
      </c>
      <c r="Y516" s="224" t="e">
        <f>'Matriz POA 2024-TRABAJO'!#REF!</f>
        <v>#REF!</v>
      </c>
      <c r="Z516" s="224" t="e">
        <f>'Matriz POA 2024-TRABAJO'!#REF!</f>
        <v>#REF!</v>
      </c>
      <c r="AA516" s="224" t="e">
        <f>'Matriz POA 2024-TRABAJO'!#REF!</f>
        <v>#REF!</v>
      </c>
      <c r="AB516" s="279">
        <v>0</v>
      </c>
      <c r="AC516" s="279">
        <v>0</v>
      </c>
      <c r="AD516" s="279">
        <v>0</v>
      </c>
      <c r="AE516" s="279">
        <v>0</v>
      </c>
      <c r="AF516" s="279">
        <v>0</v>
      </c>
      <c r="AG516" s="279">
        <v>0</v>
      </c>
      <c r="AH516" s="279">
        <v>0</v>
      </c>
      <c r="AI516" s="279">
        <v>0</v>
      </c>
      <c r="AJ516" s="279">
        <v>0</v>
      </c>
      <c r="AK516" s="279">
        <v>0</v>
      </c>
      <c r="AL516" s="279">
        <v>0</v>
      </c>
      <c r="AM516" s="279">
        <v>0</v>
      </c>
      <c r="AN516" s="224" t="e">
        <f>SUM(#REF!)</f>
        <v>#REF!</v>
      </c>
      <c r="AO516" s="224">
        <f t="shared" si="57"/>
        <v>0</v>
      </c>
      <c r="AP516" s="224" t="e">
        <f t="shared" si="63"/>
        <v>#REF!</v>
      </c>
      <c r="AQ516" s="224"/>
      <c r="AR516" s="224"/>
      <c r="AS516" s="224"/>
      <c r="AT516" s="224" t="str">
        <f>IFERROR(VLOOKUP($A516,'Constancias POA'!$A$2:$DH$9993,17,FALSE),"")</f>
        <v/>
      </c>
      <c r="AU516" s="224" t="str">
        <f t="shared" si="58"/>
        <v/>
      </c>
      <c r="AV516" s="224" t="str">
        <f>IFERROR(VLOOKUP($A516,CP!$A$1:$U$7992,18,FALSE),"")</f>
        <v/>
      </c>
      <c r="AW516" s="224" t="str">
        <f>IFERROR(VLOOKUP($A516,CP!$A$1:$U$7992,19,FALSE),"")</f>
        <v/>
      </c>
      <c r="AX516" s="224" t="str">
        <f>IFERROR(VLOOKUP($A516,CP!$A$1:$U$7992,20,FALSE),"")</f>
        <v/>
      </c>
      <c r="AY516" s="224" t="str">
        <f>IFERROR(VLOOKUP($A516,CP!$A$1:$U$1,21,FALSE),"")</f>
        <v/>
      </c>
      <c r="AZ516" s="224" t="str">
        <f>IFERROR(VLOOKUP(A516,Devengado!$A$1:AJ1,35,FALSE),"")</f>
        <v/>
      </c>
      <c r="BA516" s="224" t="str">
        <f t="shared" si="59"/>
        <v/>
      </c>
      <c r="BB516" s="224" t="str">
        <f>IFERROR(AZ516/#REF!,"")</f>
        <v/>
      </c>
      <c r="BC516" s="224" t="str">
        <f>IFERROR(VLOOKUP($A516,Devengado!$A$1:$AI$1,22,FALSE),"")</f>
        <v/>
      </c>
      <c r="BD516" s="224" t="str">
        <f>IFERROR(VLOOKUP($A516,Devengado!$A$1:$AI$1,23,FALSE),"")</f>
        <v/>
      </c>
      <c r="BE516" s="224" t="str">
        <f>IFERROR(VLOOKUP($A516,Devengado!$A$1:$AI$1,24,FALSE),"")</f>
        <v/>
      </c>
      <c r="BF516" s="224" t="str">
        <f>IFERROR(VLOOKUP($A516,Devengado!$A$1:$AI$1,25,FALSE),"")</f>
        <v/>
      </c>
      <c r="BG516" s="224" t="str">
        <f>IFERROR(VLOOKUP($A516,Devengado!$A$1:$AI$1,26,FALSE),"")</f>
        <v/>
      </c>
      <c r="BH516" s="224" t="str">
        <f>IFERROR(VLOOKUP($A516,Devengado!$A$1:$AI$1,27,FALSE),"")</f>
        <v/>
      </c>
      <c r="BI516" s="224" t="str">
        <f>IFERROR(VLOOKUP($A516,Devengado!$A$1:$AI$1,28,FALSE),"")</f>
        <v/>
      </c>
      <c r="BJ516" s="224" t="str">
        <f>IFERROR(VLOOKUP($A516,Devengado!$A$1:$AI$1,29,FALSE),"")</f>
        <v/>
      </c>
      <c r="BK516" s="224" t="str">
        <f>IFERROR(VLOOKUP($A516,Devengado!$A$1:$AI$1,30,FALSE),"")</f>
        <v/>
      </c>
      <c r="BL516" s="224" t="str">
        <f>IFERROR(VLOOKUP($A516,Devengado!$A$1:$AI$1,31,FALSE),"")</f>
        <v/>
      </c>
      <c r="BM516" s="224" t="str">
        <f>IFERROR(VLOOKUP($A516,Devengado!$A$1:$AI$1,32,FALSE),"")</f>
        <v/>
      </c>
      <c r="BN516" s="224" t="str">
        <f>IFERROR(VLOOKUP($A516,Devengado!$A$1:$AI$1,33,FALSE),"")</f>
        <v/>
      </c>
      <c r="BO516" s="224">
        <f t="shared" si="60"/>
        <v>0</v>
      </c>
      <c r="BP516" s="224" t="str">
        <f t="shared" si="61"/>
        <v/>
      </c>
      <c r="BQ516" s="207"/>
      <c r="BR516" s="207" t="str">
        <f t="shared" si="62"/>
        <v>53</v>
      </c>
    </row>
    <row r="517" spans="1:70" s="225" customFormat="1" ht="25.5" customHeight="1">
      <c r="A517" s="207">
        <v>513</v>
      </c>
      <c r="B517" s="112" t="s">
        <v>73</v>
      </c>
      <c r="C517" s="112" t="s">
        <v>187</v>
      </c>
      <c r="D517" s="125" t="s">
        <v>515</v>
      </c>
      <c r="E517" s="125" t="s">
        <v>76</v>
      </c>
      <c r="F517" s="112" t="s">
        <v>77</v>
      </c>
      <c r="G517" s="112" t="s">
        <v>77</v>
      </c>
      <c r="H517" s="112" t="s">
        <v>77</v>
      </c>
      <c r="I517" s="112" t="s">
        <v>77</v>
      </c>
      <c r="J517" s="112" t="s">
        <v>77</v>
      </c>
      <c r="K517" s="112" t="s">
        <v>77</v>
      </c>
      <c r="L517" s="112" t="s">
        <v>85</v>
      </c>
      <c r="M517" s="112" t="s">
        <v>524</v>
      </c>
      <c r="N517" s="126">
        <v>9999</v>
      </c>
      <c r="O517" s="127" t="s">
        <v>80</v>
      </c>
      <c r="P517" s="127" t="s">
        <v>81</v>
      </c>
      <c r="Q517" s="127" t="s">
        <v>82</v>
      </c>
      <c r="R517" s="115" t="str">
        <f t="shared" ref="R517:R580" si="64">LEFT(S517,2)</f>
        <v>53</v>
      </c>
      <c r="S517" s="112">
        <v>530803</v>
      </c>
      <c r="T517" s="122" t="e">
        <f>VLOOKUP(S517,ITEM!$C$1:$D$156,2,FALSE)</f>
        <v>#N/A</v>
      </c>
      <c r="U517" s="112">
        <v>1701</v>
      </c>
      <c r="V517" s="114" t="s">
        <v>82</v>
      </c>
      <c r="W517" s="114" t="s">
        <v>84</v>
      </c>
      <c r="X517" s="114" t="s">
        <v>84</v>
      </c>
      <c r="Y517" s="224" t="e">
        <f>'Matriz POA 2024-TRABAJO'!#REF!</f>
        <v>#REF!</v>
      </c>
      <c r="Z517" s="224" t="e">
        <f>'Matriz POA 2024-TRABAJO'!#REF!</f>
        <v>#REF!</v>
      </c>
      <c r="AA517" s="224" t="e">
        <f>'Matriz POA 2024-TRABAJO'!#REF!</f>
        <v>#REF!</v>
      </c>
      <c r="AB517" s="279">
        <v>0</v>
      </c>
      <c r="AC517" s="279">
        <v>0</v>
      </c>
      <c r="AD517" s="279">
        <v>0</v>
      </c>
      <c r="AE517" s="279">
        <v>0</v>
      </c>
      <c r="AF517" s="279">
        <v>0</v>
      </c>
      <c r="AG517" s="279">
        <v>0</v>
      </c>
      <c r="AH517" s="279">
        <v>0</v>
      </c>
      <c r="AI517" s="279">
        <v>0</v>
      </c>
      <c r="AJ517" s="279">
        <v>0</v>
      </c>
      <c r="AK517" s="279">
        <v>0</v>
      </c>
      <c r="AL517" s="279">
        <v>0</v>
      </c>
      <c r="AM517" s="279">
        <v>0</v>
      </c>
      <c r="AN517" s="224" t="e">
        <f>SUM(#REF!)</f>
        <v>#REF!</v>
      </c>
      <c r="AO517" s="224">
        <f t="shared" ref="AO517:AO580" si="65">SUM(AB517:AM517)</f>
        <v>0</v>
      </c>
      <c r="AP517" s="224" t="e">
        <f t="shared" si="63"/>
        <v>#REF!</v>
      </c>
      <c r="AQ517" s="224"/>
      <c r="AR517" s="224"/>
      <c r="AS517" s="224"/>
      <c r="AT517" s="224" t="str">
        <f>IFERROR(VLOOKUP($A517,'Constancias POA'!$A$2:$DH$9993,17,FALSE),"")</f>
        <v/>
      </c>
      <c r="AU517" s="224" t="str">
        <f t="shared" ref="AU517:AU580" si="66">IFERROR(AA517-AT517,"")</f>
        <v/>
      </c>
      <c r="AV517" s="224" t="str">
        <f>IFERROR(VLOOKUP($A517,CP!$A$1:$U$7992,18,FALSE),"")</f>
        <v/>
      </c>
      <c r="AW517" s="224" t="str">
        <f>IFERROR(VLOOKUP($A517,CP!$A$1:$U$7992,19,FALSE),"")</f>
        <v/>
      </c>
      <c r="AX517" s="224" t="str">
        <f>IFERROR(VLOOKUP($A517,CP!$A$1:$U$7992,20,FALSE),"")</f>
        <v/>
      </c>
      <c r="AY517" s="224" t="str">
        <f>IFERROR(VLOOKUP($A517,CP!$A$1:$U$1,21,FALSE),"")</f>
        <v/>
      </c>
      <c r="AZ517" s="224" t="str">
        <f>IFERROR(VLOOKUP(A517,Devengado!$A$1:AJ1,35,FALSE),"")</f>
        <v/>
      </c>
      <c r="BA517" s="224" t="str">
        <f t="shared" ref="BA517:BA580" si="67">IFERROR((AA517-AZ517),"")</f>
        <v/>
      </c>
      <c r="BB517" s="224" t="str">
        <f>IFERROR(AZ517/#REF!,"")</f>
        <v/>
      </c>
      <c r="BC517" s="224" t="str">
        <f>IFERROR(VLOOKUP($A517,Devengado!$A$1:$AI$1,22,FALSE),"")</f>
        <v/>
      </c>
      <c r="BD517" s="224" t="str">
        <f>IFERROR(VLOOKUP($A517,Devengado!$A$1:$AI$1,23,FALSE),"")</f>
        <v/>
      </c>
      <c r="BE517" s="224" t="str">
        <f>IFERROR(VLOOKUP($A517,Devengado!$A$1:$AI$1,24,FALSE),"")</f>
        <v/>
      </c>
      <c r="BF517" s="224" t="str">
        <f>IFERROR(VLOOKUP($A517,Devengado!$A$1:$AI$1,25,FALSE),"")</f>
        <v/>
      </c>
      <c r="BG517" s="224" t="str">
        <f>IFERROR(VLOOKUP($A517,Devengado!$A$1:$AI$1,26,FALSE),"")</f>
        <v/>
      </c>
      <c r="BH517" s="224" t="str">
        <f>IFERROR(VLOOKUP($A517,Devengado!$A$1:$AI$1,27,FALSE),"")</f>
        <v/>
      </c>
      <c r="BI517" s="224" t="str">
        <f>IFERROR(VLOOKUP($A517,Devengado!$A$1:$AI$1,28,FALSE),"")</f>
        <v/>
      </c>
      <c r="BJ517" s="224" t="str">
        <f>IFERROR(VLOOKUP($A517,Devengado!$A$1:$AI$1,29,FALSE),"")</f>
        <v/>
      </c>
      <c r="BK517" s="224" t="str">
        <f>IFERROR(VLOOKUP($A517,Devengado!$A$1:$AI$1,30,FALSE),"")</f>
        <v/>
      </c>
      <c r="BL517" s="224" t="str">
        <f>IFERROR(VLOOKUP($A517,Devengado!$A$1:$AI$1,31,FALSE),"")</f>
        <v/>
      </c>
      <c r="BM517" s="224" t="str">
        <f>IFERROR(VLOOKUP($A517,Devengado!$A$1:$AI$1,32,FALSE),"")</f>
        <v/>
      </c>
      <c r="BN517" s="224" t="str">
        <f>IFERROR(VLOOKUP($A517,Devengado!$A$1:$AI$1,33,FALSE),"")</f>
        <v/>
      </c>
      <c r="BO517" s="224">
        <f t="shared" ref="BO517:BO580" si="68">SUM(BC517:BN517)</f>
        <v>0</v>
      </c>
      <c r="BP517" s="224" t="str">
        <f t="shared" ref="BP517:BP580" si="69">IFERROR(((AB517+AC517)-AZ517),"")</f>
        <v/>
      </c>
      <c r="BQ517" s="207"/>
      <c r="BR517" s="207" t="str">
        <f t="shared" ref="BR517:BR580" si="70">LEFT(R517,4)</f>
        <v>53</v>
      </c>
    </row>
    <row r="518" spans="1:70" s="225" customFormat="1" ht="25.5" customHeight="1">
      <c r="A518" s="207">
        <v>514</v>
      </c>
      <c r="B518" s="112" t="s">
        <v>73</v>
      </c>
      <c r="C518" s="112" t="s">
        <v>187</v>
      </c>
      <c r="D518" s="125" t="s">
        <v>515</v>
      </c>
      <c r="E518" s="125" t="s">
        <v>76</v>
      </c>
      <c r="F518" s="112" t="s">
        <v>77</v>
      </c>
      <c r="G518" s="112" t="s">
        <v>77</v>
      </c>
      <c r="H518" s="112" t="s">
        <v>77</v>
      </c>
      <c r="I518" s="112" t="s">
        <v>77</v>
      </c>
      <c r="J518" s="112" t="s">
        <v>77</v>
      </c>
      <c r="K518" s="112" t="s">
        <v>77</v>
      </c>
      <c r="L518" s="112" t="s">
        <v>85</v>
      </c>
      <c r="M518" s="112" t="s">
        <v>524</v>
      </c>
      <c r="N518" s="126">
        <v>9999</v>
      </c>
      <c r="O518" s="127" t="s">
        <v>80</v>
      </c>
      <c r="P518" s="127" t="s">
        <v>81</v>
      </c>
      <c r="Q518" s="127" t="s">
        <v>82</v>
      </c>
      <c r="R518" s="115" t="str">
        <f t="shared" si="64"/>
        <v>53</v>
      </c>
      <c r="S518" s="112">
        <v>530813</v>
      </c>
      <c r="T518" s="122" t="e">
        <f>VLOOKUP(S518,ITEM!$C$1:$D$156,2,FALSE)</f>
        <v>#N/A</v>
      </c>
      <c r="U518" s="112">
        <v>1701</v>
      </c>
      <c r="V518" s="114" t="s">
        <v>82</v>
      </c>
      <c r="W518" s="114" t="s">
        <v>84</v>
      </c>
      <c r="X518" s="114" t="s">
        <v>84</v>
      </c>
      <c r="Y518" s="224" t="e">
        <f>'Matriz POA 2024-TRABAJO'!#REF!</f>
        <v>#REF!</v>
      </c>
      <c r="Z518" s="224" t="e">
        <f>'Matriz POA 2024-TRABAJO'!#REF!</f>
        <v>#REF!</v>
      </c>
      <c r="AA518" s="224" t="e">
        <f>'Matriz POA 2024-TRABAJO'!#REF!</f>
        <v>#REF!</v>
      </c>
      <c r="AB518" s="279"/>
      <c r="AC518" s="279"/>
      <c r="AD518" s="279"/>
      <c r="AE518" s="279">
        <v>280.51000000000022</v>
      </c>
      <c r="AF518" s="279"/>
      <c r="AG518" s="279"/>
      <c r="AH518" s="279"/>
      <c r="AI518" s="279"/>
      <c r="AJ518" s="279"/>
      <c r="AK518" s="279"/>
      <c r="AL518" s="279"/>
      <c r="AM518" s="279"/>
      <c r="AN518" s="224" t="e">
        <f>SUM(#REF!)</f>
        <v>#REF!</v>
      </c>
      <c r="AO518" s="224">
        <f t="shared" si="65"/>
        <v>280.51000000000022</v>
      </c>
      <c r="AP518" s="224" t="e">
        <f t="shared" ref="AP518:AP581" si="71">+AO518-AA518</f>
        <v>#REF!</v>
      </c>
      <c r="AQ518" s="224"/>
      <c r="AR518" s="224"/>
      <c r="AS518" s="224"/>
      <c r="AT518" s="224" t="str">
        <f>IFERROR(VLOOKUP($A518,'Constancias POA'!$A$2:$DH$9993,17,FALSE),"")</f>
        <v/>
      </c>
      <c r="AU518" s="224" t="str">
        <f t="shared" si="66"/>
        <v/>
      </c>
      <c r="AV518" s="224" t="str">
        <f>IFERROR(VLOOKUP($A518,CP!$A$1:$U$7992,18,FALSE),"")</f>
        <v/>
      </c>
      <c r="AW518" s="224" t="str">
        <f>IFERROR(VLOOKUP($A518,CP!$A$1:$U$7992,19,FALSE),"")</f>
        <v/>
      </c>
      <c r="AX518" s="224" t="str">
        <f>IFERROR(VLOOKUP($A518,CP!$A$1:$U$7992,20,FALSE),"")</f>
        <v/>
      </c>
      <c r="AY518" s="224" t="str">
        <f>IFERROR(VLOOKUP($A518,CP!$A$1:$U$1,21,FALSE),"")</f>
        <v/>
      </c>
      <c r="AZ518" s="224" t="str">
        <f>IFERROR(VLOOKUP(A518,Devengado!$A$1:AJ1,35,FALSE),"")</f>
        <v/>
      </c>
      <c r="BA518" s="224" t="str">
        <f t="shared" si="67"/>
        <v/>
      </c>
      <c r="BB518" s="224" t="str">
        <f>IFERROR(AZ518/#REF!,"")</f>
        <v/>
      </c>
      <c r="BC518" s="224" t="str">
        <f>IFERROR(VLOOKUP($A518,Devengado!$A$1:$AI$1,22,FALSE),"")</f>
        <v/>
      </c>
      <c r="BD518" s="224" t="str">
        <f>IFERROR(VLOOKUP($A518,Devengado!$A$1:$AI$1,23,FALSE),"")</f>
        <v/>
      </c>
      <c r="BE518" s="224" t="str">
        <f>IFERROR(VLOOKUP($A518,Devengado!$A$1:$AI$1,24,FALSE),"")</f>
        <v/>
      </c>
      <c r="BF518" s="224" t="str">
        <f>IFERROR(VLOOKUP($A518,Devengado!$A$1:$AI$1,25,FALSE),"")</f>
        <v/>
      </c>
      <c r="BG518" s="224" t="str">
        <f>IFERROR(VLOOKUP($A518,Devengado!$A$1:$AI$1,26,FALSE),"")</f>
        <v/>
      </c>
      <c r="BH518" s="224" t="str">
        <f>IFERROR(VLOOKUP($A518,Devengado!$A$1:$AI$1,27,FALSE),"")</f>
        <v/>
      </c>
      <c r="BI518" s="224" t="str">
        <f>IFERROR(VLOOKUP($A518,Devengado!$A$1:$AI$1,28,FALSE),"")</f>
        <v/>
      </c>
      <c r="BJ518" s="224" t="str">
        <f>IFERROR(VLOOKUP($A518,Devengado!$A$1:$AI$1,29,FALSE),"")</f>
        <v/>
      </c>
      <c r="BK518" s="224" t="str">
        <f>IFERROR(VLOOKUP($A518,Devengado!$A$1:$AI$1,30,FALSE),"")</f>
        <v/>
      </c>
      <c r="BL518" s="224" t="str">
        <f>IFERROR(VLOOKUP($A518,Devengado!$A$1:$AI$1,31,FALSE),"")</f>
        <v/>
      </c>
      <c r="BM518" s="224" t="str">
        <f>IFERROR(VLOOKUP($A518,Devengado!$A$1:$AI$1,32,FALSE),"")</f>
        <v/>
      </c>
      <c r="BN518" s="224" t="str">
        <f>IFERROR(VLOOKUP($A518,Devengado!$A$1:$AI$1,33,FALSE),"")</f>
        <v/>
      </c>
      <c r="BO518" s="224">
        <f t="shared" si="68"/>
        <v>0</v>
      </c>
      <c r="BP518" s="224" t="str">
        <f t="shared" si="69"/>
        <v/>
      </c>
      <c r="BQ518" s="207"/>
      <c r="BR518" s="207" t="str">
        <f t="shared" si="70"/>
        <v>53</v>
      </c>
    </row>
    <row r="519" spans="1:70" s="225" customFormat="1" ht="25.5" customHeight="1">
      <c r="A519" s="207">
        <v>515</v>
      </c>
      <c r="B519" s="112" t="s">
        <v>73</v>
      </c>
      <c r="C519" s="112" t="s">
        <v>187</v>
      </c>
      <c r="D519" s="125" t="s">
        <v>515</v>
      </c>
      <c r="E519" s="125" t="s">
        <v>76</v>
      </c>
      <c r="F519" s="112" t="s">
        <v>77</v>
      </c>
      <c r="G519" s="112" t="s">
        <v>77</v>
      </c>
      <c r="H519" s="112" t="s">
        <v>77</v>
      </c>
      <c r="I519" s="112" t="s">
        <v>77</v>
      </c>
      <c r="J519" s="112" t="s">
        <v>77</v>
      </c>
      <c r="K519" s="112" t="s">
        <v>77</v>
      </c>
      <c r="L519" s="112" t="s">
        <v>516</v>
      </c>
      <c r="M519" s="112" t="s">
        <v>525</v>
      </c>
      <c r="N519" s="126">
        <v>9999</v>
      </c>
      <c r="O519" s="127" t="s">
        <v>80</v>
      </c>
      <c r="P519" s="127" t="s">
        <v>81</v>
      </c>
      <c r="Q519" s="127" t="s">
        <v>82</v>
      </c>
      <c r="R519" s="115" t="str">
        <f t="shared" si="64"/>
        <v>53</v>
      </c>
      <c r="S519" s="112">
        <v>530405</v>
      </c>
      <c r="T519" s="122" t="str">
        <f>VLOOKUP(S519,ITEM!$C$1:$D$156,2,FALSE)</f>
        <v>Vehículos (Servicio para Mantenimiento y Reparación)</v>
      </c>
      <c r="U519" s="112">
        <v>1701</v>
      </c>
      <c r="V519" s="114" t="s">
        <v>82</v>
      </c>
      <c r="W519" s="114" t="s">
        <v>84</v>
      </c>
      <c r="X519" s="114" t="s">
        <v>84</v>
      </c>
      <c r="Y519" s="224" t="e">
        <f>'Matriz POA 2024-TRABAJO'!#REF!</f>
        <v>#REF!</v>
      </c>
      <c r="Z519" s="224" t="e">
        <f>'Matriz POA 2024-TRABAJO'!#REF!</f>
        <v>#REF!</v>
      </c>
      <c r="AA519" s="224" t="e">
        <f>'Matriz POA 2024-TRABAJO'!#REF!</f>
        <v>#REF!</v>
      </c>
      <c r="AB519" s="279">
        <v>0</v>
      </c>
      <c r="AC519" s="279">
        <v>0</v>
      </c>
      <c r="AD519" s="279">
        <v>0</v>
      </c>
      <c r="AE519" s="279">
        <v>0</v>
      </c>
      <c r="AF519" s="279">
        <v>0</v>
      </c>
      <c r="AG519" s="279">
        <v>0</v>
      </c>
      <c r="AH519" s="279">
        <v>0</v>
      </c>
      <c r="AI519" s="279">
        <v>0</v>
      </c>
      <c r="AJ519" s="279">
        <v>0</v>
      </c>
      <c r="AK519" s="279">
        <v>0</v>
      </c>
      <c r="AL519" s="279">
        <v>0</v>
      </c>
      <c r="AM519" s="279">
        <v>0</v>
      </c>
      <c r="AN519" s="224" t="e">
        <f>SUM(#REF!)</f>
        <v>#REF!</v>
      </c>
      <c r="AO519" s="224">
        <f t="shared" si="65"/>
        <v>0</v>
      </c>
      <c r="AP519" s="224" t="e">
        <f t="shared" si="71"/>
        <v>#REF!</v>
      </c>
      <c r="AQ519" s="224"/>
      <c r="AR519" s="224"/>
      <c r="AS519" s="224"/>
      <c r="AT519" s="224" t="str">
        <f>IFERROR(VLOOKUP($A519,'Constancias POA'!$A$2:$DH$9993,17,FALSE),"")</f>
        <v/>
      </c>
      <c r="AU519" s="224" t="str">
        <f t="shared" si="66"/>
        <v/>
      </c>
      <c r="AV519" s="224" t="str">
        <f>IFERROR(VLOOKUP($A519,CP!$A$1:$U$7992,18,FALSE),"")</f>
        <v/>
      </c>
      <c r="AW519" s="224" t="str">
        <f>IFERROR(VLOOKUP($A519,CP!$A$1:$U$7992,19,FALSE),"")</f>
        <v/>
      </c>
      <c r="AX519" s="224" t="str">
        <f>IFERROR(VLOOKUP($A519,CP!$A$1:$U$7992,20,FALSE),"")</f>
        <v/>
      </c>
      <c r="AY519" s="224" t="str">
        <f>IFERROR(VLOOKUP($A519,CP!$A$1:$U$1,21,FALSE),"")</f>
        <v/>
      </c>
      <c r="AZ519" s="224" t="str">
        <f>IFERROR(VLOOKUP(A519,Devengado!$A$1:AJ1,35,FALSE),"")</f>
        <v/>
      </c>
      <c r="BA519" s="224" t="str">
        <f t="shared" si="67"/>
        <v/>
      </c>
      <c r="BB519" s="224" t="str">
        <f>IFERROR(AZ519/#REF!,"")</f>
        <v/>
      </c>
      <c r="BC519" s="224" t="str">
        <f>IFERROR(VLOOKUP($A519,Devengado!$A$1:$AI$1,22,FALSE),"")</f>
        <v/>
      </c>
      <c r="BD519" s="224" t="str">
        <f>IFERROR(VLOOKUP($A519,Devengado!$A$1:$AI$1,23,FALSE),"")</f>
        <v/>
      </c>
      <c r="BE519" s="224" t="str">
        <f>IFERROR(VLOOKUP($A519,Devengado!$A$1:$AI$1,24,FALSE),"")</f>
        <v/>
      </c>
      <c r="BF519" s="224" t="str">
        <f>IFERROR(VLOOKUP($A519,Devengado!$A$1:$AI$1,25,FALSE),"")</f>
        <v/>
      </c>
      <c r="BG519" s="224" t="str">
        <f>IFERROR(VLOOKUP($A519,Devengado!$A$1:$AI$1,26,FALSE),"")</f>
        <v/>
      </c>
      <c r="BH519" s="224" t="str">
        <f>IFERROR(VLOOKUP($A519,Devengado!$A$1:$AI$1,27,FALSE),"")</f>
        <v/>
      </c>
      <c r="BI519" s="224" t="str">
        <f>IFERROR(VLOOKUP($A519,Devengado!$A$1:$AI$1,28,FALSE),"")</f>
        <v/>
      </c>
      <c r="BJ519" s="224" t="str">
        <f>IFERROR(VLOOKUP($A519,Devengado!$A$1:$AI$1,29,FALSE),"")</f>
        <v/>
      </c>
      <c r="BK519" s="224" t="str">
        <f>IFERROR(VLOOKUP($A519,Devengado!$A$1:$AI$1,30,FALSE),"")</f>
        <v/>
      </c>
      <c r="BL519" s="224" t="str">
        <f>IFERROR(VLOOKUP($A519,Devengado!$A$1:$AI$1,31,FALSE),"")</f>
        <v/>
      </c>
      <c r="BM519" s="224" t="str">
        <f>IFERROR(VLOOKUP($A519,Devengado!$A$1:$AI$1,32,FALSE),"")</f>
        <v/>
      </c>
      <c r="BN519" s="224" t="str">
        <f>IFERROR(VLOOKUP($A519,Devengado!$A$1:$AI$1,33,FALSE),"")</f>
        <v/>
      </c>
      <c r="BO519" s="224">
        <f t="shared" si="68"/>
        <v>0</v>
      </c>
      <c r="BP519" s="224" t="str">
        <f t="shared" si="69"/>
        <v/>
      </c>
      <c r="BQ519" s="207"/>
      <c r="BR519" s="207" t="str">
        <f t="shared" si="70"/>
        <v>53</v>
      </c>
    </row>
    <row r="520" spans="1:70" s="225" customFormat="1" ht="25.5" customHeight="1">
      <c r="A520" s="207">
        <v>516</v>
      </c>
      <c r="B520" s="112" t="s">
        <v>73</v>
      </c>
      <c r="C520" s="112" t="s">
        <v>187</v>
      </c>
      <c r="D520" s="125" t="s">
        <v>515</v>
      </c>
      <c r="E520" s="125" t="s">
        <v>76</v>
      </c>
      <c r="F520" s="112" t="s">
        <v>77</v>
      </c>
      <c r="G520" s="112" t="s">
        <v>77</v>
      </c>
      <c r="H520" s="112" t="s">
        <v>77</v>
      </c>
      <c r="I520" s="112" t="s">
        <v>77</v>
      </c>
      <c r="J520" s="112" t="s">
        <v>77</v>
      </c>
      <c r="K520" s="112" t="s">
        <v>77</v>
      </c>
      <c r="L520" s="112" t="s">
        <v>516</v>
      </c>
      <c r="M520" s="112" t="s">
        <v>525</v>
      </c>
      <c r="N520" s="126">
        <v>9999</v>
      </c>
      <c r="O520" s="127" t="s">
        <v>80</v>
      </c>
      <c r="P520" s="127" t="s">
        <v>81</v>
      </c>
      <c r="Q520" s="127" t="s">
        <v>82</v>
      </c>
      <c r="R520" s="115" t="str">
        <f t="shared" si="64"/>
        <v>53</v>
      </c>
      <c r="S520" s="112">
        <v>530803</v>
      </c>
      <c r="T520" s="122" t="e">
        <f>VLOOKUP(S520,ITEM!$C$1:$D$156,2,FALSE)</f>
        <v>#N/A</v>
      </c>
      <c r="U520" s="112">
        <v>1701</v>
      </c>
      <c r="V520" s="114" t="s">
        <v>82</v>
      </c>
      <c r="W520" s="114" t="s">
        <v>84</v>
      </c>
      <c r="X520" s="114" t="s">
        <v>84</v>
      </c>
      <c r="Y520" s="224" t="e">
        <f>'Matriz POA 2024-TRABAJO'!#REF!</f>
        <v>#REF!</v>
      </c>
      <c r="Z520" s="224" t="e">
        <f>'Matriz POA 2024-TRABAJO'!#REF!</f>
        <v>#REF!</v>
      </c>
      <c r="AA520" s="224" t="e">
        <f>'Matriz POA 2024-TRABAJO'!#REF!</f>
        <v>#REF!</v>
      </c>
      <c r="AB520" s="279">
        <v>0</v>
      </c>
      <c r="AC520" s="279">
        <v>0</v>
      </c>
      <c r="AD520" s="279">
        <v>0</v>
      </c>
      <c r="AE520" s="279">
        <v>0</v>
      </c>
      <c r="AF520" s="279">
        <v>0</v>
      </c>
      <c r="AG520" s="279">
        <v>0</v>
      </c>
      <c r="AH520" s="279">
        <v>0</v>
      </c>
      <c r="AI520" s="279">
        <v>0</v>
      </c>
      <c r="AJ520" s="279">
        <v>0</v>
      </c>
      <c r="AK520" s="279">
        <v>0</v>
      </c>
      <c r="AL520" s="279">
        <v>0</v>
      </c>
      <c r="AM520" s="279">
        <v>0</v>
      </c>
      <c r="AN520" s="224" t="e">
        <f>SUM(#REF!)</f>
        <v>#REF!</v>
      </c>
      <c r="AO520" s="224">
        <f t="shared" si="65"/>
        <v>0</v>
      </c>
      <c r="AP520" s="224" t="e">
        <f t="shared" si="71"/>
        <v>#REF!</v>
      </c>
      <c r="AQ520" s="224"/>
      <c r="AR520" s="224"/>
      <c r="AS520" s="224"/>
      <c r="AT520" s="224" t="str">
        <f>IFERROR(VLOOKUP($A520,'Constancias POA'!$A$2:$DH$9993,17,FALSE),"")</f>
        <v/>
      </c>
      <c r="AU520" s="224" t="str">
        <f t="shared" si="66"/>
        <v/>
      </c>
      <c r="AV520" s="224" t="str">
        <f>IFERROR(VLOOKUP($A520,CP!$A$1:$U$7992,18,FALSE),"")</f>
        <v/>
      </c>
      <c r="AW520" s="224" t="str">
        <f>IFERROR(VLOOKUP($A520,CP!$A$1:$U$7992,19,FALSE),"")</f>
        <v/>
      </c>
      <c r="AX520" s="224" t="str">
        <f>IFERROR(VLOOKUP($A520,CP!$A$1:$U$7992,20,FALSE),"")</f>
        <v/>
      </c>
      <c r="AY520" s="224" t="str">
        <f>IFERROR(VLOOKUP($A520,CP!$A$1:$U$1,21,FALSE),"")</f>
        <v/>
      </c>
      <c r="AZ520" s="224" t="str">
        <f>IFERROR(VLOOKUP(A520,Devengado!$A$1:AJ1,35,FALSE),"")</f>
        <v/>
      </c>
      <c r="BA520" s="224" t="str">
        <f t="shared" si="67"/>
        <v/>
      </c>
      <c r="BB520" s="224" t="str">
        <f>IFERROR(AZ520/#REF!,"")</f>
        <v/>
      </c>
      <c r="BC520" s="224" t="str">
        <f>IFERROR(VLOOKUP($A520,Devengado!$A$1:$AI$1,22,FALSE),"")</f>
        <v/>
      </c>
      <c r="BD520" s="224" t="str">
        <f>IFERROR(VLOOKUP($A520,Devengado!$A$1:$AI$1,23,FALSE),"")</f>
        <v/>
      </c>
      <c r="BE520" s="224" t="str">
        <f>IFERROR(VLOOKUP($A520,Devengado!$A$1:$AI$1,24,FALSE),"")</f>
        <v/>
      </c>
      <c r="BF520" s="224" t="str">
        <f>IFERROR(VLOOKUP($A520,Devengado!$A$1:$AI$1,25,FALSE),"")</f>
        <v/>
      </c>
      <c r="BG520" s="224" t="str">
        <f>IFERROR(VLOOKUP($A520,Devengado!$A$1:$AI$1,26,FALSE),"")</f>
        <v/>
      </c>
      <c r="BH520" s="224" t="str">
        <f>IFERROR(VLOOKUP($A520,Devengado!$A$1:$AI$1,27,FALSE),"")</f>
        <v/>
      </c>
      <c r="BI520" s="224" t="str">
        <f>IFERROR(VLOOKUP($A520,Devengado!$A$1:$AI$1,28,FALSE),"")</f>
        <v/>
      </c>
      <c r="BJ520" s="224" t="str">
        <f>IFERROR(VLOOKUP($A520,Devengado!$A$1:$AI$1,29,FALSE),"")</f>
        <v/>
      </c>
      <c r="BK520" s="224" t="str">
        <f>IFERROR(VLOOKUP($A520,Devengado!$A$1:$AI$1,30,FALSE),"")</f>
        <v/>
      </c>
      <c r="BL520" s="224" t="str">
        <f>IFERROR(VLOOKUP($A520,Devengado!$A$1:$AI$1,31,FALSE),"")</f>
        <v/>
      </c>
      <c r="BM520" s="224" t="str">
        <f>IFERROR(VLOOKUP($A520,Devengado!$A$1:$AI$1,32,FALSE),"")</f>
        <v/>
      </c>
      <c r="BN520" s="224" t="str">
        <f>IFERROR(VLOOKUP($A520,Devengado!$A$1:$AI$1,33,FALSE),"")</f>
        <v/>
      </c>
      <c r="BO520" s="224">
        <f t="shared" si="68"/>
        <v>0</v>
      </c>
      <c r="BP520" s="224" t="str">
        <f t="shared" si="69"/>
        <v/>
      </c>
      <c r="BQ520" s="207"/>
      <c r="BR520" s="207" t="str">
        <f t="shared" si="70"/>
        <v>53</v>
      </c>
    </row>
    <row r="521" spans="1:70" s="225" customFormat="1" ht="25.5" customHeight="1">
      <c r="A521" s="207">
        <v>517</v>
      </c>
      <c r="B521" s="112" t="s">
        <v>73</v>
      </c>
      <c r="C521" s="112" t="s">
        <v>187</v>
      </c>
      <c r="D521" s="125" t="s">
        <v>515</v>
      </c>
      <c r="E521" s="125" t="s">
        <v>76</v>
      </c>
      <c r="F521" s="112" t="s">
        <v>77</v>
      </c>
      <c r="G521" s="112" t="s">
        <v>77</v>
      </c>
      <c r="H521" s="112" t="s">
        <v>77</v>
      </c>
      <c r="I521" s="112" t="s">
        <v>77</v>
      </c>
      <c r="J521" s="112" t="s">
        <v>77</v>
      </c>
      <c r="K521" s="112" t="s">
        <v>77</v>
      </c>
      <c r="L521" s="112" t="s">
        <v>516</v>
      </c>
      <c r="M521" s="112" t="s">
        <v>525</v>
      </c>
      <c r="N521" s="126">
        <v>9999</v>
      </c>
      <c r="O521" s="127" t="s">
        <v>80</v>
      </c>
      <c r="P521" s="127" t="s">
        <v>81</v>
      </c>
      <c r="Q521" s="127" t="s">
        <v>82</v>
      </c>
      <c r="R521" s="115" t="str">
        <f t="shared" si="64"/>
        <v>53</v>
      </c>
      <c r="S521" s="112">
        <v>530813</v>
      </c>
      <c r="T521" s="122" t="e">
        <f>VLOOKUP(S521,ITEM!$C$1:$D$156,2,FALSE)</f>
        <v>#N/A</v>
      </c>
      <c r="U521" s="112">
        <v>1701</v>
      </c>
      <c r="V521" s="114" t="s">
        <v>82</v>
      </c>
      <c r="W521" s="114" t="s">
        <v>84</v>
      </c>
      <c r="X521" s="114" t="s">
        <v>84</v>
      </c>
      <c r="Y521" s="224" t="e">
        <f>'Matriz POA 2024-TRABAJO'!#REF!</f>
        <v>#REF!</v>
      </c>
      <c r="Z521" s="224" t="e">
        <f>'Matriz POA 2024-TRABAJO'!#REF!</f>
        <v>#REF!</v>
      </c>
      <c r="AA521" s="224" t="e">
        <f>'Matriz POA 2024-TRABAJO'!#REF!</f>
        <v>#REF!</v>
      </c>
      <c r="AB521" s="279">
        <v>0</v>
      </c>
      <c r="AC521" s="279">
        <v>0</v>
      </c>
      <c r="AD521" s="279">
        <v>0</v>
      </c>
      <c r="AE521" s="279">
        <v>0</v>
      </c>
      <c r="AF521" s="279">
        <v>0</v>
      </c>
      <c r="AG521" s="279">
        <v>0</v>
      </c>
      <c r="AH521" s="279">
        <v>0</v>
      </c>
      <c r="AI521" s="279">
        <v>0</v>
      </c>
      <c r="AJ521" s="279">
        <v>0</v>
      </c>
      <c r="AK521" s="279">
        <v>0</v>
      </c>
      <c r="AL521" s="279">
        <v>0</v>
      </c>
      <c r="AM521" s="279">
        <v>0</v>
      </c>
      <c r="AN521" s="224" t="e">
        <f>SUM(#REF!)</f>
        <v>#REF!</v>
      </c>
      <c r="AO521" s="224">
        <f t="shared" si="65"/>
        <v>0</v>
      </c>
      <c r="AP521" s="224" t="e">
        <f t="shared" si="71"/>
        <v>#REF!</v>
      </c>
      <c r="AQ521" s="224"/>
      <c r="AR521" s="224"/>
      <c r="AS521" s="224"/>
      <c r="AT521" s="224" t="str">
        <f>IFERROR(VLOOKUP($A521,'Constancias POA'!$A$2:$DH$9993,17,FALSE),"")</f>
        <v/>
      </c>
      <c r="AU521" s="224" t="str">
        <f t="shared" si="66"/>
        <v/>
      </c>
      <c r="AV521" s="224" t="str">
        <f>IFERROR(VLOOKUP($A521,CP!$A$1:$U$7992,18,FALSE),"")</f>
        <v/>
      </c>
      <c r="AW521" s="224" t="str">
        <f>IFERROR(VLOOKUP($A521,CP!$A$1:$U$7992,19,FALSE),"")</f>
        <v/>
      </c>
      <c r="AX521" s="224" t="str">
        <f>IFERROR(VLOOKUP($A521,CP!$A$1:$U$7992,20,FALSE),"")</f>
        <v/>
      </c>
      <c r="AY521" s="224" t="str">
        <f>IFERROR(VLOOKUP($A521,CP!$A$1:$U$1,21,FALSE),"")</f>
        <v/>
      </c>
      <c r="AZ521" s="224" t="str">
        <f>IFERROR(VLOOKUP(A521,Devengado!$A$1:AJ1,35,FALSE),"")</f>
        <v/>
      </c>
      <c r="BA521" s="224" t="str">
        <f t="shared" si="67"/>
        <v/>
      </c>
      <c r="BB521" s="224" t="str">
        <f>IFERROR(AZ521/#REF!,"")</f>
        <v/>
      </c>
      <c r="BC521" s="224" t="str">
        <f>IFERROR(VLOOKUP($A521,Devengado!$A$1:$AI$1,22,FALSE),"")</f>
        <v/>
      </c>
      <c r="BD521" s="224" t="str">
        <f>IFERROR(VLOOKUP($A521,Devengado!$A$1:$AI$1,23,FALSE),"")</f>
        <v/>
      </c>
      <c r="BE521" s="224" t="str">
        <f>IFERROR(VLOOKUP($A521,Devengado!$A$1:$AI$1,24,FALSE),"")</f>
        <v/>
      </c>
      <c r="BF521" s="224" t="str">
        <f>IFERROR(VLOOKUP($A521,Devengado!$A$1:$AI$1,25,FALSE),"")</f>
        <v/>
      </c>
      <c r="BG521" s="224" t="str">
        <f>IFERROR(VLOOKUP($A521,Devengado!$A$1:$AI$1,26,FALSE),"")</f>
        <v/>
      </c>
      <c r="BH521" s="224" t="str">
        <f>IFERROR(VLOOKUP($A521,Devengado!$A$1:$AI$1,27,FALSE),"")</f>
        <v/>
      </c>
      <c r="BI521" s="224" t="str">
        <f>IFERROR(VLOOKUP($A521,Devengado!$A$1:$AI$1,28,FALSE),"")</f>
        <v/>
      </c>
      <c r="BJ521" s="224" t="str">
        <f>IFERROR(VLOOKUP($A521,Devengado!$A$1:$AI$1,29,FALSE),"")</f>
        <v/>
      </c>
      <c r="BK521" s="224" t="str">
        <f>IFERROR(VLOOKUP($A521,Devengado!$A$1:$AI$1,30,FALSE),"")</f>
        <v/>
      </c>
      <c r="BL521" s="224" t="str">
        <f>IFERROR(VLOOKUP($A521,Devengado!$A$1:$AI$1,31,FALSE),"")</f>
        <v/>
      </c>
      <c r="BM521" s="224" t="str">
        <f>IFERROR(VLOOKUP($A521,Devengado!$A$1:$AI$1,32,FALSE),"")</f>
        <v/>
      </c>
      <c r="BN521" s="224" t="str">
        <f>IFERROR(VLOOKUP($A521,Devengado!$A$1:$AI$1,33,FALSE),"")</f>
        <v/>
      </c>
      <c r="BO521" s="224">
        <f t="shared" si="68"/>
        <v>0</v>
      </c>
      <c r="BP521" s="224" t="str">
        <f t="shared" si="69"/>
        <v/>
      </c>
      <c r="BQ521" s="207"/>
      <c r="BR521" s="207" t="str">
        <f t="shared" si="70"/>
        <v>53</v>
      </c>
    </row>
    <row r="522" spans="1:70" s="225" customFormat="1" ht="25.5" customHeight="1">
      <c r="A522" s="207">
        <v>518</v>
      </c>
      <c r="B522" s="112" t="s">
        <v>73</v>
      </c>
      <c r="C522" s="112" t="s">
        <v>187</v>
      </c>
      <c r="D522" s="125" t="s">
        <v>515</v>
      </c>
      <c r="E522" s="125" t="s">
        <v>76</v>
      </c>
      <c r="F522" s="112" t="s">
        <v>77</v>
      </c>
      <c r="G522" s="112" t="s">
        <v>77</v>
      </c>
      <c r="H522" s="112" t="s">
        <v>77</v>
      </c>
      <c r="I522" s="112" t="s">
        <v>77</v>
      </c>
      <c r="J522" s="112" t="s">
        <v>77</v>
      </c>
      <c r="K522" s="112" t="s">
        <v>77</v>
      </c>
      <c r="L522" s="112" t="s">
        <v>87</v>
      </c>
      <c r="M522" s="112" t="s">
        <v>526</v>
      </c>
      <c r="N522" s="126">
        <v>9999</v>
      </c>
      <c r="O522" s="127" t="s">
        <v>80</v>
      </c>
      <c r="P522" s="127" t="s">
        <v>81</v>
      </c>
      <c r="Q522" s="127" t="s">
        <v>82</v>
      </c>
      <c r="R522" s="115" t="str">
        <f t="shared" si="64"/>
        <v>53</v>
      </c>
      <c r="S522" s="112">
        <v>530246</v>
      </c>
      <c r="T522" s="122" t="str">
        <f>VLOOKUP(S522,ITEM!$C$1:$D$156,2,FALSE)</f>
        <v>Servicios de Identificación, Marcación, Autentificación, Rastreo, Monitoreo, Seguimiento y/o Trazabilidad</v>
      </c>
      <c r="U522" s="112">
        <v>1701</v>
      </c>
      <c r="V522" s="114" t="s">
        <v>82</v>
      </c>
      <c r="W522" s="114" t="s">
        <v>84</v>
      </c>
      <c r="X522" s="114" t="s">
        <v>84</v>
      </c>
      <c r="Y522" s="272" t="e">
        <f>'Matriz POA 2024-TRABAJO'!#REF!</f>
        <v>#REF!</v>
      </c>
      <c r="Z522" s="272" t="e">
        <f>'Matriz POA 2024-TRABAJO'!#REF!</f>
        <v>#REF!</v>
      </c>
      <c r="AA522" s="272" t="e">
        <f>'Matriz POA 2024-TRABAJO'!#REF!</f>
        <v>#REF!</v>
      </c>
      <c r="AB522" s="273">
        <v>952</v>
      </c>
      <c r="AC522" s="279">
        <v>0</v>
      </c>
      <c r="AD522" s="279">
        <v>0</v>
      </c>
      <c r="AE522" s="279">
        <v>0</v>
      </c>
      <c r="AF522" s="279">
        <v>0</v>
      </c>
      <c r="AG522" s="279">
        <v>0</v>
      </c>
      <c r="AH522" s="279">
        <v>0</v>
      </c>
      <c r="AI522" s="279">
        <v>0</v>
      </c>
      <c r="AJ522" s="279">
        <v>0</v>
      </c>
      <c r="AK522" s="279">
        <v>0</v>
      </c>
      <c r="AL522" s="279">
        <v>0</v>
      </c>
      <c r="AM522" s="279">
        <v>0</v>
      </c>
      <c r="AN522" s="224" t="e">
        <f>SUM(#REF!)</f>
        <v>#REF!</v>
      </c>
      <c r="AO522" s="224">
        <f t="shared" si="65"/>
        <v>952</v>
      </c>
      <c r="AP522" s="224" t="e">
        <f t="shared" si="71"/>
        <v>#REF!</v>
      </c>
      <c r="AQ522" s="224"/>
      <c r="AR522" s="224"/>
      <c r="AS522" s="224"/>
      <c r="AT522" s="224" t="str">
        <f>IFERROR(VLOOKUP($A522,'Constancias POA'!$A$2:$DH$9993,17,FALSE),"")</f>
        <v/>
      </c>
      <c r="AU522" s="224" t="str">
        <f t="shared" si="66"/>
        <v/>
      </c>
      <c r="AV522" s="224" t="str">
        <f>IFERROR(VLOOKUP($A522,CP!$A$1:$U$7992,18,FALSE),"")</f>
        <v/>
      </c>
      <c r="AW522" s="224" t="str">
        <f>IFERROR(VLOOKUP($A522,CP!$A$1:$U$7992,19,FALSE),"")</f>
        <v/>
      </c>
      <c r="AX522" s="224" t="str">
        <f>IFERROR(VLOOKUP($A522,CP!$A$1:$U$7992,20,FALSE),"")</f>
        <v/>
      </c>
      <c r="AY522" s="224" t="str">
        <f>IFERROR(VLOOKUP($A522,CP!$A$1:$U$1,21,FALSE),"")</f>
        <v/>
      </c>
      <c r="AZ522" s="224" t="str">
        <f>IFERROR(VLOOKUP(A522,Devengado!$A$1:AJ1,35,FALSE),"")</f>
        <v/>
      </c>
      <c r="BA522" s="224" t="str">
        <f t="shared" si="67"/>
        <v/>
      </c>
      <c r="BB522" s="224" t="str">
        <f>IFERROR(AZ522/#REF!,"")</f>
        <v/>
      </c>
      <c r="BC522" s="224" t="str">
        <f>IFERROR(VLOOKUP($A522,Devengado!$A$1:$AI$1,22,FALSE),"")</f>
        <v/>
      </c>
      <c r="BD522" s="224" t="str">
        <f>IFERROR(VLOOKUP($A522,Devengado!$A$1:$AI$1,23,FALSE),"")</f>
        <v/>
      </c>
      <c r="BE522" s="224" t="str">
        <f>IFERROR(VLOOKUP($A522,Devengado!$A$1:$AI$1,24,FALSE),"")</f>
        <v/>
      </c>
      <c r="BF522" s="224" t="str">
        <f>IFERROR(VLOOKUP($A522,Devengado!$A$1:$AI$1,25,FALSE),"")</f>
        <v/>
      </c>
      <c r="BG522" s="224" t="str">
        <f>IFERROR(VLOOKUP($A522,Devengado!$A$1:$AI$1,26,FALSE),"")</f>
        <v/>
      </c>
      <c r="BH522" s="224" t="str">
        <f>IFERROR(VLOOKUP($A522,Devengado!$A$1:$AI$1,27,FALSE),"")</f>
        <v/>
      </c>
      <c r="BI522" s="224" t="str">
        <f>IFERROR(VLOOKUP($A522,Devengado!$A$1:$AI$1,28,FALSE),"")</f>
        <v/>
      </c>
      <c r="BJ522" s="224" t="str">
        <f>IFERROR(VLOOKUP($A522,Devengado!$A$1:$AI$1,29,FALSE),"")</f>
        <v/>
      </c>
      <c r="BK522" s="224" t="str">
        <f>IFERROR(VLOOKUP($A522,Devengado!$A$1:$AI$1,30,FALSE),"")</f>
        <v/>
      </c>
      <c r="BL522" s="224" t="str">
        <f>IFERROR(VLOOKUP($A522,Devengado!$A$1:$AI$1,31,FALSE),"")</f>
        <v/>
      </c>
      <c r="BM522" s="224" t="str">
        <f>IFERROR(VLOOKUP($A522,Devengado!$A$1:$AI$1,32,FALSE),"")</f>
        <v/>
      </c>
      <c r="BN522" s="224" t="str">
        <f>IFERROR(VLOOKUP($A522,Devengado!$A$1:$AI$1,33,FALSE),"")</f>
        <v/>
      </c>
      <c r="BO522" s="224">
        <f t="shared" si="68"/>
        <v>0</v>
      </c>
      <c r="BP522" s="224" t="str">
        <f t="shared" si="69"/>
        <v/>
      </c>
      <c r="BQ522" s="207"/>
      <c r="BR522" s="207" t="str">
        <f t="shared" si="70"/>
        <v>53</v>
      </c>
    </row>
    <row r="523" spans="1:70" s="225" customFormat="1" ht="25.5" customHeight="1">
      <c r="A523" s="207">
        <v>519</v>
      </c>
      <c r="B523" s="112" t="s">
        <v>73</v>
      </c>
      <c r="C523" s="112" t="s">
        <v>187</v>
      </c>
      <c r="D523" s="125" t="s">
        <v>515</v>
      </c>
      <c r="E523" s="125" t="s">
        <v>76</v>
      </c>
      <c r="F523" s="112" t="s">
        <v>77</v>
      </c>
      <c r="G523" s="112" t="s">
        <v>77</v>
      </c>
      <c r="H523" s="112" t="s">
        <v>77</v>
      </c>
      <c r="I523" s="112" t="s">
        <v>77</v>
      </c>
      <c r="J523" s="112" t="s">
        <v>77</v>
      </c>
      <c r="K523" s="112" t="s">
        <v>77</v>
      </c>
      <c r="L523" s="112" t="s">
        <v>85</v>
      </c>
      <c r="M523" s="112" t="s">
        <v>527</v>
      </c>
      <c r="N523" s="126">
        <v>9999</v>
      </c>
      <c r="O523" s="127" t="s">
        <v>80</v>
      </c>
      <c r="P523" s="127" t="s">
        <v>81</v>
      </c>
      <c r="Q523" s="127" t="s">
        <v>82</v>
      </c>
      <c r="R523" s="115" t="str">
        <f t="shared" si="64"/>
        <v>53</v>
      </c>
      <c r="S523" s="134">
        <v>530804</v>
      </c>
      <c r="T523" s="122" t="e">
        <f>VLOOKUP(S523,ITEM!$C$1:$D$156,2,FALSE)</f>
        <v>#N/A</v>
      </c>
      <c r="U523" s="112">
        <v>1701</v>
      </c>
      <c r="V523" s="114" t="s">
        <v>82</v>
      </c>
      <c r="W523" s="114" t="s">
        <v>84</v>
      </c>
      <c r="X523" s="114" t="s">
        <v>84</v>
      </c>
      <c r="Y523" s="224" t="e">
        <f>'Matriz POA 2024-TRABAJO'!#REF!</f>
        <v>#REF!</v>
      </c>
      <c r="Z523" s="224" t="e">
        <f>'Matriz POA 2024-TRABAJO'!#REF!</f>
        <v>#REF!</v>
      </c>
      <c r="AA523" s="224" t="e">
        <f>'Matriz POA 2024-TRABAJO'!#REF!</f>
        <v>#REF!</v>
      </c>
      <c r="AB523" s="279">
        <v>0</v>
      </c>
      <c r="AC523" s="279">
        <v>0</v>
      </c>
      <c r="AD523" s="279">
        <v>0</v>
      </c>
      <c r="AE523" s="279">
        <v>0</v>
      </c>
      <c r="AF523" s="279">
        <v>0</v>
      </c>
      <c r="AG523" s="279">
        <v>0</v>
      </c>
      <c r="AH523" s="279">
        <v>0</v>
      </c>
      <c r="AI523" s="279">
        <v>0</v>
      </c>
      <c r="AJ523" s="279">
        <v>0</v>
      </c>
      <c r="AK523" s="279">
        <v>0</v>
      </c>
      <c r="AL523" s="279">
        <v>0</v>
      </c>
      <c r="AM523" s="279">
        <v>0</v>
      </c>
      <c r="AN523" s="224" t="e">
        <f>SUM(#REF!)</f>
        <v>#REF!</v>
      </c>
      <c r="AO523" s="224">
        <f t="shared" si="65"/>
        <v>0</v>
      </c>
      <c r="AP523" s="224" t="e">
        <f t="shared" si="71"/>
        <v>#REF!</v>
      </c>
      <c r="AQ523" s="224"/>
      <c r="AR523" s="224"/>
      <c r="AS523" s="224"/>
      <c r="AT523" s="224" t="str">
        <f>IFERROR(VLOOKUP($A523,'Constancias POA'!$A$2:$DH$9993,17,FALSE),"")</f>
        <v/>
      </c>
      <c r="AU523" s="224" t="str">
        <f t="shared" si="66"/>
        <v/>
      </c>
      <c r="AV523" s="224" t="str">
        <f>IFERROR(VLOOKUP($A523,CP!$A$1:$U$7992,18,FALSE),"")</f>
        <v/>
      </c>
      <c r="AW523" s="224" t="str">
        <f>IFERROR(VLOOKUP($A523,CP!$A$1:$U$7992,19,FALSE),"")</f>
        <v/>
      </c>
      <c r="AX523" s="224" t="str">
        <f>IFERROR(VLOOKUP($A523,CP!$A$1:$U$7992,20,FALSE),"")</f>
        <v/>
      </c>
      <c r="AY523" s="224" t="str">
        <f>IFERROR(VLOOKUP($A523,CP!$A$1:$U$1,21,FALSE),"")</f>
        <v/>
      </c>
      <c r="AZ523" s="224" t="str">
        <f>IFERROR(VLOOKUP(A523,Devengado!$A$1:AJ1,35,FALSE),"")</f>
        <v/>
      </c>
      <c r="BA523" s="224" t="str">
        <f t="shared" si="67"/>
        <v/>
      </c>
      <c r="BB523" s="224" t="str">
        <f>IFERROR(AZ523/#REF!,"")</f>
        <v/>
      </c>
      <c r="BC523" s="224" t="str">
        <f>IFERROR(VLOOKUP($A523,Devengado!$A$1:$AI$1,22,FALSE),"")</f>
        <v/>
      </c>
      <c r="BD523" s="224" t="str">
        <f>IFERROR(VLOOKUP($A523,Devengado!$A$1:$AI$1,23,FALSE),"")</f>
        <v/>
      </c>
      <c r="BE523" s="224" t="str">
        <f>IFERROR(VLOOKUP($A523,Devengado!$A$1:$AI$1,24,FALSE),"")</f>
        <v/>
      </c>
      <c r="BF523" s="224" t="str">
        <f>IFERROR(VLOOKUP($A523,Devengado!$A$1:$AI$1,25,FALSE),"")</f>
        <v/>
      </c>
      <c r="BG523" s="224" t="str">
        <f>IFERROR(VLOOKUP($A523,Devengado!$A$1:$AI$1,26,FALSE),"")</f>
        <v/>
      </c>
      <c r="BH523" s="224" t="str">
        <f>IFERROR(VLOOKUP($A523,Devengado!$A$1:$AI$1,27,FALSE),"")</f>
        <v/>
      </c>
      <c r="BI523" s="224" t="str">
        <f>IFERROR(VLOOKUP($A523,Devengado!$A$1:$AI$1,28,FALSE),"")</f>
        <v/>
      </c>
      <c r="BJ523" s="224" t="str">
        <f>IFERROR(VLOOKUP($A523,Devengado!$A$1:$AI$1,29,FALSE),"")</f>
        <v/>
      </c>
      <c r="BK523" s="224" t="str">
        <f>IFERROR(VLOOKUP($A523,Devengado!$A$1:$AI$1,30,FALSE),"")</f>
        <v/>
      </c>
      <c r="BL523" s="224" t="str">
        <f>IFERROR(VLOOKUP($A523,Devengado!$A$1:$AI$1,31,FALSE),"")</f>
        <v/>
      </c>
      <c r="BM523" s="224" t="str">
        <f>IFERROR(VLOOKUP($A523,Devengado!$A$1:$AI$1,32,FALSE),"")</f>
        <v/>
      </c>
      <c r="BN523" s="224" t="str">
        <f>IFERROR(VLOOKUP($A523,Devengado!$A$1:$AI$1,33,FALSE),"")</f>
        <v/>
      </c>
      <c r="BO523" s="224">
        <f t="shared" si="68"/>
        <v>0</v>
      </c>
      <c r="BP523" s="224" t="str">
        <f t="shared" si="69"/>
        <v/>
      </c>
      <c r="BQ523" s="207"/>
      <c r="BR523" s="207" t="str">
        <f t="shared" si="70"/>
        <v>53</v>
      </c>
    </row>
    <row r="524" spans="1:70" s="225" customFormat="1" ht="25.5" customHeight="1">
      <c r="A524" s="207">
        <v>520</v>
      </c>
      <c r="B524" s="112" t="s">
        <v>73</v>
      </c>
      <c r="C524" s="112" t="s">
        <v>187</v>
      </c>
      <c r="D524" s="125" t="s">
        <v>515</v>
      </c>
      <c r="E524" s="125" t="s">
        <v>76</v>
      </c>
      <c r="F524" s="112" t="s">
        <v>77</v>
      </c>
      <c r="G524" s="112" t="s">
        <v>77</v>
      </c>
      <c r="H524" s="112" t="s">
        <v>77</v>
      </c>
      <c r="I524" s="112" t="s">
        <v>77</v>
      </c>
      <c r="J524" s="112" t="s">
        <v>77</v>
      </c>
      <c r="K524" s="112" t="s">
        <v>77</v>
      </c>
      <c r="L524" s="112" t="s">
        <v>85</v>
      </c>
      <c r="M524" s="112" t="s">
        <v>528</v>
      </c>
      <c r="N524" s="126">
        <v>9999</v>
      </c>
      <c r="O524" s="127" t="s">
        <v>80</v>
      </c>
      <c r="P524" s="127" t="s">
        <v>81</v>
      </c>
      <c r="Q524" s="127" t="s">
        <v>82</v>
      </c>
      <c r="R524" s="115" t="str">
        <f t="shared" si="64"/>
        <v>53</v>
      </c>
      <c r="S524" s="134">
        <v>530811</v>
      </c>
      <c r="T524" s="122" t="e">
        <f>VLOOKUP(S524,ITEM!$C$1:$D$156,2,FALSE)</f>
        <v>#N/A</v>
      </c>
      <c r="U524" s="112">
        <v>1701</v>
      </c>
      <c r="V524" s="114" t="s">
        <v>82</v>
      </c>
      <c r="W524" s="114" t="s">
        <v>84</v>
      </c>
      <c r="X524" s="114" t="s">
        <v>84</v>
      </c>
      <c r="Y524" s="224" t="e">
        <f>'Matriz POA 2024-TRABAJO'!#REF!</f>
        <v>#REF!</v>
      </c>
      <c r="Z524" s="224" t="e">
        <f>'Matriz POA 2024-TRABAJO'!#REF!</f>
        <v>#REF!</v>
      </c>
      <c r="AA524" s="224" t="e">
        <f>'Matriz POA 2024-TRABAJO'!#REF!</f>
        <v>#REF!</v>
      </c>
      <c r="AB524" s="279">
        <v>0</v>
      </c>
      <c r="AC524" s="279">
        <v>0</v>
      </c>
      <c r="AD524" s="279">
        <v>0</v>
      </c>
      <c r="AE524" s="279">
        <v>0</v>
      </c>
      <c r="AF524" s="279">
        <v>0</v>
      </c>
      <c r="AG524" s="279">
        <v>0</v>
      </c>
      <c r="AH524" s="279">
        <v>0</v>
      </c>
      <c r="AI524" s="279">
        <v>0</v>
      </c>
      <c r="AJ524" s="279">
        <v>0</v>
      </c>
      <c r="AK524" s="279">
        <v>0</v>
      </c>
      <c r="AL524" s="279">
        <v>0</v>
      </c>
      <c r="AM524" s="279">
        <v>0</v>
      </c>
      <c r="AN524" s="224" t="e">
        <f>SUM(#REF!)</f>
        <v>#REF!</v>
      </c>
      <c r="AO524" s="224">
        <f t="shared" si="65"/>
        <v>0</v>
      </c>
      <c r="AP524" s="224" t="e">
        <f t="shared" si="71"/>
        <v>#REF!</v>
      </c>
      <c r="AQ524" s="224"/>
      <c r="AR524" s="224"/>
      <c r="AS524" s="224"/>
      <c r="AT524" s="224" t="str">
        <f>IFERROR(VLOOKUP($A524,'Constancias POA'!$A$2:$DH$9993,17,FALSE),"")</f>
        <v/>
      </c>
      <c r="AU524" s="224" t="str">
        <f t="shared" si="66"/>
        <v/>
      </c>
      <c r="AV524" s="224" t="str">
        <f>IFERROR(VLOOKUP($A524,CP!$A$1:$U$7992,18,FALSE),"")</f>
        <v/>
      </c>
      <c r="AW524" s="224" t="str">
        <f>IFERROR(VLOOKUP($A524,CP!$A$1:$U$7992,19,FALSE),"")</f>
        <v/>
      </c>
      <c r="AX524" s="224" t="str">
        <f>IFERROR(VLOOKUP($A524,CP!$A$1:$U$7992,20,FALSE),"")</f>
        <v/>
      </c>
      <c r="AY524" s="224" t="str">
        <f>IFERROR(VLOOKUP($A524,CP!$A$1:$U$1,21,FALSE),"")</f>
        <v/>
      </c>
      <c r="AZ524" s="224" t="str">
        <f>IFERROR(VLOOKUP(A524,Devengado!$A$1:AJ1,35,FALSE),"")</f>
        <v/>
      </c>
      <c r="BA524" s="224" t="str">
        <f t="shared" si="67"/>
        <v/>
      </c>
      <c r="BB524" s="224" t="str">
        <f>IFERROR(AZ524/#REF!,"")</f>
        <v/>
      </c>
      <c r="BC524" s="224" t="str">
        <f>IFERROR(VLOOKUP($A524,Devengado!$A$1:$AI$1,22,FALSE),"")</f>
        <v/>
      </c>
      <c r="BD524" s="224" t="str">
        <f>IFERROR(VLOOKUP($A524,Devengado!$A$1:$AI$1,23,FALSE),"")</f>
        <v/>
      </c>
      <c r="BE524" s="224" t="str">
        <f>IFERROR(VLOOKUP($A524,Devengado!$A$1:$AI$1,24,FALSE),"")</f>
        <v/>
      </c>
      <c r="BF524" s="224" t="str">
        <f>IFERROR(VLOOKUP($A524,Devengado!$A$1:$AI$1,25,FALSE),"")</f>
        <v/>
      </c>
      <c r="BG524" s="224" t="str">
        <f>IFERROR(VLOOKUP($A524,Devengado!$A$1:$AI$1,26,FALSE),"")</f>
        <v/>
      </c>
      <c r="BH524" s="224" t="str">
        <f>IFERROR(VLOOKUP($A524,Devengado!$A$1:$AI$1,27,FALSE),"")</f>
        <v/>
      </c>
      <c r="BI524" s="224" t="str">
        <f>IFERROR(VLOOKUP($A524,Devengado!$A$1:$AI$1,28,FALSE),"")</f>
        <v/>
      </c>
      <c r="BJ524" s="224" t="str">
        <f>IFERROR(VLOOKUP($A524,Devengado!$A$1:$AI$1,29,FALSE),"")</f>
        <v/>
      </c>
      <c r="BK524" s="224" t="str">
        <f>IFERROR(VLOOKUP($A524,Devengado!$A$1:$AI$1,30,FALSE),"")</f>
        <v/>
      </c>
      <c r="BL524" s="224" t="str">
        <f>IFERROR(VLOOKUP($A524,Devengado!$A$1:$AI$1,31,FALSE),"")</f>
        <v/>
      </c>
      <c r="BM524" s="224" t="str">
        <f>IFERROR(VLOOKUP($A524,Devengado!$A$1:$AI$1,32,FALSE),"")</f>
        <v/>
      </c>
      <c r="BN524" s="224" t="str">
        <f>IFERROR(VLOOKUP($A524,Devengado!$A$1:$AI$1,33,FALSE),"")</f>
        <v/>
      </c>
      <c r="BO524" s="224">
        <f t="shared" si="68"/>
        <v>0</v>
      </c>
      <c r="BP524" s="224" t="str">
        <f t="shared" si="69"/>
        <v/>
      </c>
      <c r="BQ524" s="207"/>
      <c r="BR524" s="207" t="str">
        <f t="shared" si="70"/>
        <v>53</v>
      </c>
    </row>
    <row r="525" spans="1:70" s="225" customFormat="1" ht="25.5" customHeight="1">
      <c r="A525" s="207">
        <v>521</v>
      </c>
      <c r="B525" s="112" t="s">
        <v>73</v>
      </c>
      <c r="C525" s="112" t="s">
        <v>187</v>
      </c>
      <c r="D525" s="125" t="s">
        <v>515</v>
      </c>
      <c r="E525" s="125" t="s">
        <v>76</v>
      </c>
      <c r="F525" s="112" t="s">
        <v>77</v>
      </c>
      <c r="G525" s="112" t="s">
        <v>77</v>
      </c>
      <c r="H525" s="112" t="s">
        <v>77</v>
      </c>
      <c r="I525" s="112" t="s">
        <v>77</v>
      </c>
      <c r="J525" s="112" t="s">
        <v>77</v>
      </c>
      <c r="K525" s="112" t="s">
        <v>77</v>
      </c>
      <c r="L525" s="112" t="s">
        <v>85</v>
      </c>
      <c r="M525" s="112" t="s">
        <v>529</v>
      </c>
      <c r="N525" s="126">
        <v>9999</v>
      </c>
      <c r="O525" s="127" t="s">
        <v>80</v>
      </c>
      <c r="P525" s="127" t="s">
        <v>81</v>
      </c>
      <c r="Q525" s="127" t="s">
        <v>82</v>
      </c>
      <c r="R525" s="115" t="str">
        <f t="shared" si="64"/>
        <v>53</v>
      </c>
      <c r="S525" s="134">
        <v>530255</v>
      </c>
      <c r="T525" s="122" t="str">
        <f>VLOOKUP(S525,ITEM!$C$1:$D$156,2,FALSE)</f>
        <v>Combustibles</v>
      </c>
      <c r="U525" s="112">
        <v>1701</v>
      </c>
      <c r="V525" s="114" t="s">
        <v>82</v>
      </c>
      <c r="W525" s="114" t="s">
        <v>84</v>
      </c>
      <c r="X525" s="114" t="s">
        <v>84</v>
      </c>
      <c r="Y525" s="224" t="e">
        <f>'Matriz POA 2024-TRABAJO'!#REF!</f>
        <v>#REF!</v>
      </c>
      <c r="Z525" s="224" t="e">
        <f>'Matriz POA 2024-TRABAJO'!#REF!</f>
        <v>#REF!</v>
      </c>
      <c r="AA525" s="224" t="e">
        <f>'Matriz POA 2024-TRABAJO'!#REF!</f>
        <v>#REF!</v>
      </c>
      <c r="AB525" s="279">
        <v>0</v>
      </c>
      <c r="AC525" s="279">
        <v>0</v>
      </c>
      <c r="AD525" s="279">
        <v>0</v>
      </c>
      <c r="AE525" s="279">
        <v>0</v>
      </c>
      <c r="AF525" s="279">
        <v>0</v>
      </c>
      <c r="AG525" s="279">
        <v>0</v>
      </c>
      <c r="AH525" s="279">
        <v>0</v>
      </c>
      <c r="AI525" s="279">
        <v>0</v>
      </c>
      <c r="AJ525" s="279">
        <v>0</v>
      </c>
      <c r="AK525" s="279">
        <v>0</v>
      </c>
      <c r="AL525" s="279">
        <v>0</v>
      </c>
      <c r="AM525" s="279">
        <v>0</v>
      </c>
      <c r="AN525" s="224" t="e">
        <f>SUM(#REF!)</f>
        <v>#REF!</v>
      </c>
      <c r="AO525" s="224">
        <f t="shared" si="65"/>
        <v>0</v>
      </c>
      <c r="AP525" s="224" t="e">
        <f t="shared" si="71"/>
        <v>#REF!</v>
      </c>
      <c r="AQ525" s="224"/>
      <c r="AR525" s="224"/>
      <c r="AS525" s="224"/>
      <c r="AT525" s="224" t="str">
        <f>IFERROR(VLOOKUP($A525,'Constancias POA'!$A$2:$DH$9993,17,FALSE),"")</f>
        <v/>
      </c>
      <c r="AU525" s="224" t="str">
        <f t="shared" si="66"/>
        <v/>
      </c>
      <c r="AV525" s="224" t="str">
        <f>IFERROR(VLOOKUP($A525,CP!$A$1:$U$7992,18,FALSE),"")</f>
        <v/>
      </c>
      <c r="AW525" s="224" t="str">
        <f>IFERROR(VLOOKUP($A525,CP!$A$1:$U$7992,19,FALSE),"")</f>
        <v/>
      </c>
      <c r="AX525" s="224" t="str">
        <f>IFERROR(VLOOKUP($A525,CP!$A$1:$U$7992,20,FALSE),"")</f>
        <v/>
      </c>
      <c r="AY525" s="224" t="str">
        <f>IFERROR(VLOOKUP($A525,CP!$A$1:$U$1,21,FALSE),"")</f>
        <v/>
      </c>
      <c r="AZ525" s="224" t="str">
        <f>IFERROR(VLOOKUP(A525,Devengado!$A$1:AJ1,35,FALSE),"")</f>
        <v/>
      </c>
      <c r="BA525" s="224" t="str">
        <f t="shared" si="67"/>
        <v/>
      </c>
      <c r="BB525" s="224" t="str">
        <f>IFERROR(AZ525/#REF!,"")</f>
        <v/>
      </c>
      <c r="BC525" s="224" t="str">
        <f>IFERROR(VLOOKUP($A525,Devengado!$A$1:$AI$1,22,FALSE),"")</f>
        <v/>
      </c>
      <c r="BD525" s="224" t="str">
        <f>IFERROR(VLOOKUP($A525,Devengado!$A$1:$AI$1,23,FALSE),"")</f>
        <v/>
      </c>
      <c r="BE525" s="224" t="str">
        <f>IFERROR(VLOOKUP($A525,Devengado!$A$1:$AI$1,24,FALSE),"")</f>
        <v/>
      </c>
      <c r="BF525" s="224" t="str">
        <f>IFERROR(VLOOKUP($A525,Devengado!$A$1:$AI$1,25,FALSE),"")</f>
        <v/>
      </c>
      <c r="BG525" s="224" t="str">
        <f>IFERROR(VLOOKUP($A525,Devengado!$A$1:$AI$1,26,FALSE),"")</f>
        <v/>
      </c>
      <c r="BH525" s="224" t="str">
        <f>IFERROR(VLOOKUP($A525,Devengado!$A$1:$AI$1,27,FALSE),"")</f>
        <v/>
      </c>
      <c r="BI525" s="224" t="str">
        <f>IFERROR(VLOOKUP($A525,Devengado!$A$1:$AI$1,28,FALSE),"")</f>
        <v/>
      </c>
      <c r="BJ525" s="224" t="str">
        <f>IFERROR(VLOOKUP($A525,Devengado!$A$1:$AI$1,29,FALSE),"")</f>
        <v/>
      </c>
      <c r="BK525" s="224" t="str">
        <f>IFERROR(VLOOKUP($A525,Devengado!$A$1:$AI$1,30,FALSE),"")</f>
        <v/>
      </c>
      <c r="BL525" s="224" t="str">
        <f>IFERROR(VLOOKUP($A525,Devengado!$A$1:$AI$1,31,FALSE),"")</f>
        <v/>
      </c>
      <c r="BM525" s="224" t="str">
        <f>IFERROR(VLOOKUP($A525,Devengado!$A$1:$AI$1,32,FALSE),"")</f>
        <v/>
      </c>
      <c r="BN525" s="224" t="str">
        <f>IFERROR(VLOOKUP($A525,Devengado!$A$1:$AI$1,33,FALSE),"")</f>
        <v/>
      </c>
      <c r="BO525" s="224">
        <f t="shared" si="68"/>
        <v>0</v>
      </c>
      <c r="BP525" s="224" t="str">
        <f t="shared" si="69"/>
        <v/>
      </c>
      <c r="BQ525" s="207"/>
      <c r="BR525" s="207" t="str">
        <f t="shared" si="70"/>
        <v>53</v>
      </c>
    </row>
    <row r="526" spans="1:70" s="225" customFormat="1" ht="25.5" customHeight="1">
      <c r="A526" s="207">
        <v>522</v>
      </c>
      <c r="B526" s="112" t="s">
        <v>73</v>
      </c>
      <c r="C526" s="112" t="s">
        <v>187</v>
      </c>
      <c r="D526" s="125" t="s">
        <v>515</v>
      </c>
      <c r="E526" s="125" t="s">
        <v>76</v>
      </c>
      <c r="F526" s="112" t="s">
        <v>77</v>
      </c>
      <c r="G526" s="112" t="s">
        <v>77</v>
      </c>
      <c r="H526" s="112" t="s">
        <v>77</v>
      </c>
      <c r="I526" s="112" t="s">
        <v>77</v>
      </c>
      <c r="J526" s="112" t="s">
        <v>77</v>
      </c>
      <c r="K526" s="112" t="s">
        <v>77</v>
      </c>
      <c r="L526" s="112" t="s">
        <v>85</v>
      </c>
      <c r="M526" s="112" t="s">
        <v>530</v>
      </c>
      <c r="N526" s="126">
        <v>9999</v>
      </c>
      <c r="O526" s="127" t="s">
        <v>80</v>
      </c>
      <c r="P526" s="127" t="s">
        <v>81</v>
      </c>
      <c r="Q526" s="127" t="s">
        <v>82</v>
      </c>
      <c r="R526" s="115" t="str">
        <f t="shared" si="64"/>
        <v>53</v>
      </c>
      <c r="S526" s="112">
        <v>530813</v>
      </c>
      <c r="T526" s="122" t="e">
        <f>VLOOKUP(S526,ITEM!$C$1:$D$156,2,FALSE)</f>
        <v>#N/A</v>
      </c>
      <c r="U526" s="112">
        <v>1701</v>
      </c>
      <c r="V526" s="114" t="s">
        <v>82</v>
      </c>
      <c r="W526" s="114" t="s">
        <v>84</v>
      </c>
      <c r="X526" s="114" t="s">
        <v>84</v>
      </c>
      <c r="Y526" s="224" t="e">
        <f>'Matriz POA 2024-TRABAJO'!#REF!</f>
        <v>#REF!</v>
      </c>
      <c r="Z526" s="224" t="e">
        <f>'Matriz POA 2024-TRABAJO'!#REF!</f>
        <v>#REF!</v>
      </c>
      <c r="AA526" s="224" t="e">
        <f>'Matriz POA 2024-TRABAJO'!#REF!</f>
        <v>#REF!</v>
      </c>
      <c r="AB526" s="279">
        <v>0</v>
      </c>
      <c r="AC526" s="279">
        <v>0</v>
      </c>
      <c r="AD526" s="279">
        <v>0</v>
      </c>
      <c r="AE526" s="279">
        <v>0</v>
      </c>
      <c r="AF526" s="279">
        <v>0</v>
      </c>
      <c r="AG526" s="279">
        <v>0</v>
      </c>
      <c r="AH526" s="279">
        <v>0</v>
      </c>
      <c r="AI526" s="279">
        <v>0</v>
      </c>
      <c r="AJ526" s="279">
        <v>0</v>
      </c>
      <c r="AK526" s="279">
        <v>0</v>
      </c>
      <c r="AL526" s="279">
        <v>0</v>
      </c>
      <c r="AM526" s="279">
        <v>0</v>
      </c>
      <c r="AN526" s="224" t="e">
        <f>SUM(#REF!)</f>
        <v>#REF!</v>
      </c>
      <c r="AO526" s="224">
        <f t="shared" si="65"/>
        <v>0</v>
      </c>
      <c r="AP526" s="224" t="e">
        <f t="shared" si="71"/>
        <v>#REF!</v>
      </c>
      <c r="AQ526" s="224"/>
      <c r="AR526" s="224"/>
      <c r="AS526" s="224"/>
      <c r="AT526" s="224" t="str">
        <f>IFERROR(VLOOKUP($A526,'Constancias POA'!$A$2:$DH$9993,17,FALSE),"")</f>
        <v/>
      </c>
      <c r="AU526" s="224" t="str">
        <f t="shared" si="66"/>
        <v/>
      </c>
      <c r="AV526" s="224" t="str">
        <f>IFERROR(VLOOKUP($A526,CP!$A$1:$U$7992,18,FALSE),"")</f>
        <v/>
      </c>
      <c r="AW526" s="224" t="str">
        <f>IFERROR(VLOOKUP($A526,CP!$A$1:$U$7992,19,FALSE),"")</f>
        <v/>
      </c>
      <c r="AX526" s="224" t="str">
        <f>IFERROR(VLOOKUP($A526,CP!$A$1:$U$7992,20,FALSE),"")</f>
        <v/>
      </c>
      <c r="AY526" s="224" t="str">
        <f>IFERROR(VLOOKUP($A526,CP!$A$1:$U$1,21,FALSE),"")</f>
        <v/>
      </c>
      <c r="AZ526" s="224" t="str">
        <f>IFERROR(VLOOKUP(A526,Devengado!$A$1:AJ1,35,FALSE),"")</f>
        <v/>
      </c>
      <c r="BA526" s="224" t="str">
        <f t="shared" si="67"/>
        <v/>
      </c>
      <c r="BB526" s="224" t="str">
        <f>IFERROR(AZ526/#REF!,"")</f>
        <v/>
      </c>
      <c r="BC526" s="224" t="str">
        <f>IFERROR(VLOOKUP($A526,Devengado!$A$1:$AI$1,22,FALSE),"")</f>
        <v/>
      </c>
      <c r="BD526" s="224" t="str">
        <f>IFERROR(VLOOKUP($A526,Devengado!$A$1:$AI$1,23,FALSE),"")</f>
        <v/>
      </c>
      <c r="BE526" s="224" t="str">
        <f>IFERROR(VLOOKUP($A526,Devengado!$A$1:$AI$1,24,FALSE),"")</f>
        <v/>
      </c>
      <c r="BF526" s="224" t="str">
        <f>IFERROR(VLOOKUP($A526,Devengado!$A$1:$AI$1,25,FALSE),"")</f>
        <v/>
      </c>
      <c r="BG526" s="224" t="str">
        <f>IFERROR(VLOOKUP($A526,Devengado!$A$1:$AI$1,26,FALSE),"")</f>
        <v/>
      </c>
      <c r="BH526" s="224" t="str">
        <f>IFERROR(VLOOKUP($A526,Devengado!$A$1:$AI$1,27,FALSE),"")</f>
        <v/>
      </c>
      <c r="BI526" s="224" t="str">
        <f>IFERROR(VLOOKUP($A526,Devengado!$A$1:$AI$1,28,FALSE),"")</f>
        <v/>
      </c>
      <c r="BJ526" s="224" t="str">
        <f>IFERROR(VLOOKUP($A526,Devengado!$A$1:$AI$1,29,FALSE),"")</f>
        <v/>
      </c>
      <c r="BK526" s="224" t="str">
        <f>IFERROR(VLOOKUP($A526,Devengado!$A$1:$AI$1,30,FALSE),"")</f>
        <v/>
      </c>
      <c r="BL526" s="224" t="str">
        <f>IFERROR(VLOOKUP($A526,Devengado!$A$1:$AI$1,31,FALSE),"")</f>
        <v/>
      </c>
      <c r="BM526" s="224" t="str">
        <f>IFERROR(VLOOKUP($A526,Devengado!$A$1:$AI$1,32,FALSE),"")</f>
        <v/>
      </c>
      <c r="BN526" s="224" t="str">
        <f>IFERROR(VLOOKUP($A526,Devengado!$A$1:$AI$1,33,FALSE),"")</f>
        <v/>
      </c>
      <c r="BO526" s="224">
        <f t="shared" si="68"/>
        <v>0</v>
      </c>
      <c r="BP526" s="224" t="str">
        <f t="shared" si="69"/>
        <v/>
      </c>
      <c r="BQ526" s="207"/>
      <c r="BR526" s="207" t="str">
        <f t="shared" si="70"/>
        <v>53</v>
      </c>
    </row>
    <row r="527" spans="1:70" s="225" customFormat="1" ht="25.5" customHeight="1">
      <c r="A527" s="207">
        <v>523</v>
      </c>
      <c r="B527" s="112" t="s">
        <v>73</v>
      </c>
      <c r="C527" s="112" t="s">
        <v>187</v>
      </c>
      <c r="D527" s="125" t="s">
        <v>515</v>
      </c>
      <c r="E527" s="125" t="s">
        <v>76</v>
      </c>
      <c r="F527" s="112" t="s">
        <v>77</v>
      </c>
      <c r="G527" s="112" t="s">
        <v>77</v>
      </c>
      <c r="H527" s="112" t="s">
        <v>77</v>
      </c>
      <c r="I527" s="112" t="s">
        <v>77</v>
      </c>
      <c r="J527" s="112" t="s">
        <v>77</v>
      </c>
      <c r="K527" s="112" t="s">
        <v>77</v>
      </c>
      <c r="L527" s="112" t="s">
        <v>85</v>
      </c>
      <c r="M527" s="112" t="s">
        <v>531</v>
      </c>
      <c r="N527" s="126">
        <v>9999</v>
      </c>
      <c r="O527" s="127" t="s">
        <v>80</v>
      </c>
      <c r="P527" s="127" t="s">
        <v>81</v>
      </c>
      <c r="Q527" s="127" t="s">
        <v>82</v>
      </c>
      <c r="R527" s="115" t="str">
        <f t="shared" si="64"/>
        <v>53</v>
      </c>
      <c r="S527" s="112">
        <v>530813</v>
      </c>
      <c r="T527" s="122" t="e">
        <f>VLOOKUP(S527,ITEM!$C$1:$D$156,2,FALSE)</f>
        <v>#N/A</v>
      </c>
      <c r="U527" s="112">
        <v>1701</v>
      </c>
      <c r="V527" s="114" t="s">
        <v>82</v>
      </c>
      <c r="W527" s="114" t="s">
        <v>84</v>
      </c>
      <c r="X527" s="114" t="s">
        <v>84</v>
      </c>
      <c r="Y527" s="224" t="e">
        <f>'Matriz POA 2024-TRABAJO'!#REF!</f>
        <v>#REF!</v>
      </c>
      <c r="Z527" s="224" t="e">
        <f>'Matriz POA 2024-TRABAJO'!#REF!</f>
        <v>#REF!</v>
      </c>
      <c r="AA527" s="224" t="e">
        <f>'Matriz POA 2024-TRABAJO'!#REF!</f>
        <v>#REF!</v>
      </c>
      <c r="AB527" s="279">
        <v>0</v>
      </c>
      <c r="AC527" s="279">
        <v>0</v>
      </c>
      <c r="AD527" s="279">
        <v>0</v>
      </c>
      <c r="AE527" s="279">
        <v>0</v>
      </c>
      <c r="AF527" s="279">
        <v>0</v>
      </c>
      <c r="AG527" s="279">
        <v>0</v>
      </c>
      <c r="AH527" s="279">
        <v>0</v>
      </c>
      <c r="AI527" s="279">
        <v>0</v>
      </c>
      <c r="AJ527" s="279">
        <v>0</v>
      </c>
      <c r="AK527" s="279">
        <v>0</v>
      </c>
      <c r="AL527" s="279">
        <v>0</v>
      </c>
      <c r="AM527" s="279">
        <v>0</v>
      </c>
      <c r="AN527" s="224" t="e">
        <f>SUM(#REF!)</f>
        <v>#REF!</v>
      </c>
      <c r="AO527" s="224">
        <f t="shared" si="65"/>
        <v>0</v>
      </c>
      <c r="AP527" s="224" t="e">
        <f t="shared" si="71"/>
        <v>#REF!</v>
      </c>
      <c r="AQ527" s="224"/>
      <c r="AR527" s="224"/>
      <c r="AS527" s="224"/>
      <c r="AT527" s="224" t="str">
        <f>IFERROR(VLOOKUP($A527,'Constancias POA'!$A$2:$DH$9993,17,FALSE),"")</f>
        <v/>
      </c>
      <c r="AU527" s="224" t="str">
        <f t="shared" si="66"/>
        <v/>
      </c>
      <c r="AV527" s="224" t="str">
        <f>IFERROR(VLOOKUP($A527,CP!$A$1:$U$7992,18,FALSE),"")</f>
        <v/>
      </c>
      <c r="AW527" s="224" t="str">
        <f>IFERROR(VLOOKUP($A527,CP!$A$1:$U$7992,19,FALSE),"")</f>
        <v/>
      </c>
      <c r="AX527" s="224" t="str">
        <f>IFERROR(VLOOKUP($A527,CP!$A$1:$U$7992,20,FALSE),"")</f>
        <v/>
      </c>
      <c r="AY527" s="224" t="str">
        <f>IFERROR(VLOOKUP($A527,CP!$A$1:$U$1,21,FALSE),"")</f>
        <v/>
      </c>
      <c r="AZ527" s="224" t="str">
        <f>IFERROR(VLOOKUP(A527,Devengado!$A$1:AJ1,35,FALSE),"")</f>
        <v/>
      </c>
      <c r="BA527" s="224" t="str">
        <f t="shared" si="67"/>
        <v/>
      </c>
      <c r="BB527" s="224" t="str">
        <f>IFERROR(AZ527/#REF!,"")</f>
        <v/>
      </c>
      <c r="BC527" s="224" t="str">
        <f>IFERROR(VLOOKUP($A527,Devengado!$A$1:$AI$1,22,FALSE),"")</f>
        <v/>
      </c>
      <c r="BD527" s="224" t="str">
        <f>IFERROR(VLOOKUP($A527,Devengado!$A$1:$AI$1,23,FALSE),"")</f>
        <v/>
      </c>
      <c r="BE527" s="224" t="str">
        <f>IFERROR(VLOOKUP($A527,Devengado!$A$1:$AI$1,24,FALSE),"")</f>
        <v/>
      </c>
      <c r="BF527" s="224" t="str">
        <f>IFERROR(VLOOKUP($A527,Devengado!$A$1:$AI$1,25,FALSE),"")</f>
        <v/>
      </c>
      <c r="BG527" s="224" t="str">
        <f>IFERROR(VLOOKUP($A527,Devengado!$A$1:$AI$1,26,FALSE),"")</f>
        <v/>
      </c>
      <c r="BH527" s="224" t="str">
        <f>IFERROR(VLOOKUP($A527,Devengado!$A$1:$AI$1,27,FALSE),"")</f>
        <v/>
      </c>
      <c r="BI527" s="224" t="str">
        <f>IFERROR(VLOOKUP($A527,Devengado!$A$1:$AI$1,28,FALSE),"")</f>
        <v/>
      </c>
      <c r="BJ527" s="224" t="str">
        <f>IFERROR(VLOOKUP($A527,Devengado!$A$1:$AI$1,29,FALSE),"")</f>
        <v/>
      </c>
      <c r="BK527" s="224" t="str">
        <f>IFERROR(VLOOKUP($A527,Devengado!$A$1:$AI$1,30,FALSE),"")</f>
        <v/>
      </c>
      <c r="BL527" s="224" t="str">
        <f>IFERROR(VLOOKUP($A527,Devengado!$A$1:$AI$1,31,FALSE),"")</f>
        <v/>
      </c>
      <c r="BM527" s="224" t="str">
        <f>IFERROR(VLOOKUP($A527,Devengado!$A$1:$AI$1,32,FALSE),"")</f>
        <v/>
      </c>
      <c r="BN527" s="224" t="str">
        <f>IFERROR(VLOOKUP($A527,Devengado!$A$1:$AI$1,33,FALSE),"")</f>
        <v/>
      </c>
      <c r="BO527" s="224">
        <f t="shared" si="68"/>
        <v>0</v>
      </c>
      <c r="BP527" s="224" t="str">
        <f t="shared" si="69"/>
        <v/>
      </c>
      <c r="BQ527" s="207"/>
      <c r="BR527" s="207" t="str">
        <f t="shared" si="70"/>
        <v>53</v>
      </c>
    </row>
    <row r="528" spans="1:70" s="225" customFormat="1" ht="25.5" customHeight="1">
      <c r="A528" s="207">
        <v>524</v>
      </c>
      <c r="B528" s="112" t="s">
        <v>73</v>
      </c>
      <c r="C528" s="112" t="s">
        <v>187</v>
      </c>
      <c r="D528" s="125" t="s">
        <v>515</v>
      </c>
      <c r="E528" s="125" t="s">
        <v>76</v>
      </c>
      <c r="F528" s="112" t="s">
        <v>77</v>
      </c>
      <c r="G528" s="112" t="s">
        <v>77</v>
      </c>
      <c r="H528" s="112" t="s">
        <v>77</v>
      </c>
      <c r="I528" s="112" t="s">
        <v>77</v>
      </c>
      <c r="J528" s="112" t="s">
        <v>77</v>
      </c>
      <c r="K528" s="112" t="s">
        <v>77</v>
      </c>
      <c r="L528" s="112" t="s">
        <v>85</v>
      </c>
      <c r="M528" s="112" t="s">
        <v>532</v>
      </c>
      <c r="N528" s="126">
        <v>9999</v>
      </c>
      <c r="O528" s="127" t="s">
        <v>80</v>
      </c>
      <c r="P528" s="127" t="s">
        <v>81</v>
      </c>
      <c r="Q528" s="127" t="s">
        <v>82</v>
      </c>
      <c r="R528" s="115" t="str">
        <f t="shared" si="64"/>
        <v>57</v>
      </c>
      <c r="S528" s="134">
        <v>570102</v>
      </c>
      <c r="T528" s="122" t="e">
        <f>VLOOKUP(S528,ITEM!$C$1:$D$156,2,FALSE)</f>
        <v>#N/A</v>
      </c>
      <c r="U528" s="112">
        <v>1701</v>
      </c>
      <c r="V528" s="114" t="s">
        <v>82</v>
      </c>
      <c r="W528" s="114" t="s">
        <v>84</v>
      </c>
      <c r="X528" s="114" t="s">
        <v>84</v>
      </c>
      <c r="Y528" s="224" t="e">
        <f>'Matriz POA 2024-TRABAJO'!#REF!</f>
        <v>#REF!</v>
      </c>
      <c r="Z528" s="224" t="e">
        <f>'Matriz POA 2024-TRABAJO'!#REF!</f>
        <v>#REF!</v>
      </c>
      <c r="AA528" s="224" t="e">
        <f>'Matriz POA 2024-TRABAJO'!#REF!</f>
        <v>#REF!</v>
      </c>
      <c r="AB528" s="279">
        <v>0</v>
      </c>
      <c r="AC528" s="279">
        <v>4000</v>
      </c>
      <c r="AD528" s="279">
        <v>0</v>
      </c>
      <c r="AE528" s="279">
        <v>0</v>
      </c>
      <c r="AF528" s="279">
        <v>0</v>
      </c>
      <c r="AG528" s="279">
        <v>0</v>
      </c>
      <c r="AH528" s="279">
        <v>0</v>
      </c>
      <c r="AI528" s="279">
        <v>0</v>
      </c>
      <c r="AJ528" s="279">
        <v>0</v>
      </c>
      <c r="AK528" s="279">
        <v>0</v>
      </c>
      <c r="AL528" s="279">
        <v>0</v>
      </c>
      <c r="AM528" s="279">
        <v>0</v>
      </c>
      <c r="AN528" s="224" t="e">
        <f>SUM(#REF!)</f>
        <v>#REF!</v>
      </c>
      <c r="AO528" s="224">
        <f t="shared" si="65"/>
        <v>4000</v>
      </c>
      <c r="AP528" s="224" t="e">
        <f t="shared" si="71"/>
        <v>#REF!</v>
      </c>
      <c r="AQ528" s="224"/>
      <c r="AR528" s="224"/>
      <c r="AS528" s="224"/>
      <c r="AT528" s="224" t="str">
        <f>IFERROR(VLOOKUP($A528,'Constancias POA'!$A$2:$DH$9993,17,FALSE),"")</f>
        <v/>
      </c>
      <c r="AU528" s="224" t="str">
        <f t="shared" si="66"/>
        <v/>
      </c>
      <c r="AV528" s="224" t="str">
        <f>IFERROR(VLOOKUP($A528,CP!$A$1:$U$7992,18,FALSE),"")</f>
        <v/>
      </c>
      <c r="AW528" s="224" t="str">
        <f>IFERROR(VLOOKUP($A528,CP!$A$1:$U$7992,19,FALSE),"")</f>
        <v/>
      </c>
      <c r="AX528" s="224" t="str">
        <f>IFERROR(VLOOKUP($A528,CP!$A$1:$U$7992,20,FALSE),"")</f>
        <v/>
      </c>
      <c r="AY528" s="224" t="str">
        <f>IFERROR(VLOOKUP($A528,CP!$A$1:$U$1,21,FALSE),"")</f>
        <v/>
      </c>
      <c r="AZ528" s="224" t="str">
        <f>IFERROR(VLOOKUP(A528,Devengado!$A$1:AJ1,35,FALSE),"")</f>
        <v/>
      </c>
      <c r="BA528" s="224" t="str">
        <f t="shared" si="67"/>
        <v/>
      </c>
      <c r="BB528" s="224" t="str">
        <f>IFERROR(AZ528/#REF!,"")</f>
        <v/>
      </c>
      <c r="BC528" s="224" t="str">
        <f>IFERROR(VLOOKUP($A528,Devengado!$A$1:$AI$1,22,FALSE),"")</f>
        <v/>
      </c>
      <c r="BD528" s="224" t="str">
        <f>IFERROR(VLOOKUP($A528,Devengado!$A$1:$AI$1,23,FALSE),"")</f>
        <v/>
      </c>
      <c r="BE528" s="224" t="str">
        <f>IFERROR(VLOOKUP($A528,Devengado!$A$1:$AI$1,24,FALSE),"")</f>
        <v/>
      </c>
      <c r="BF528" s="224" t="str">
        <f>IFERROR(VLOOKUP($A528,Devengado!$A$1:$AI$1,25,FALSE),"")</f>
        <v/>
      </c>
      <c r="BG528" s="224" t="str">
        <f>IFERROR(VLOOKUP($A528,Devengado!$A$1:$AI$1,26,FALSE),"")</f>
        <v/>
      </c>
      <c r="BH528" s="224" t="str">
        <f>IFERROR(VLOOKUP($A528,Devengado!$A$1:$AI$1,27,FALSE),"")</f>
        <v/>
      </c>
      <c r="BI528" s="224" t="str">
        <f>IFERROR(VLOOKUP($A528,Devengado!$A$1:$AI$1,28,FALSE),"")</f>
        <v/>
      </c>
      <c r="BJ528" s="224" t="str">
        <f>IFERROR(VLOOKUP($A528,Devengado!$A$1:$AI$1,29,FALSE),"")</f>
        <v/>
      </c>
      <c r="BK528" s="224" t="str">
        <f>IFERROR(VLOOKUP($A528,Devengado!$A$1:$AI$1,30,FALSE),"")</f>
        <v/>
      </c>
      <c r="BL528" s="224" t="str">
        <f>IFERROR(VLOOKUP($A528,Devengado!$A$1:$AI$1,31,FALSE),"")</f>
        <v/>
      </c>
      <c r="BM528" s="224" t="str">
        <f>IFERROR(VLOOKUP($A528,Devengado!$A$1:$AI$1,32,FALSE),"")</f>
        <v/>
      </c>
      <c r="BN528" s="224" t="str">
        <f>IFERROR(VLOOKUP($A528,Devengado!$A$1:$AI$1,33,FALSE),"")</f>
        <v/>
      </c>
      <c r="BO528" s="224">
        <f t="shared" si="68"/>
        <v>0</v>
      </c>
      <c r="BP528" s="224" t="str">
        <f t="shared" si="69"/>
        <v/>
      </c>
      <c r="BQ528" s="207"/>
      <c r="BR528" s="207" t="str">
        <f t="shared" si="70"/>
        <v>57</v>
      </c>
    </row>
    <row r="529" spans="1:70" s="225" customFormat="1" ht="25.5" customHeight="1">
      <c r="A529" s="207">
        <v>525</v>
      </c>
      <c r="B529" s="112" t="s">
        <v>73</v>
      </c>
      <c r="C529" s="112" t="s">
        <v>187</v>
      </c>
      <c r="D529" s="125" t="s">
        <v>515</v>
      </c>
      <c r="E529" s="125" t="s">
        <v>76</v>
      </c>
      <c r="F529" s="112" t="s">
        <v>77</v>
      </c>
      <c r="G529" s="112" t="s">
        <v>77</v>
      </c>
      <c r="H529" s="112" t="s">
        <v>77</v>
      </c>
      <c r="I529" s="112" t="s">
        <v>77</v>
      </c>
      <c r="J529" s="112" t="s">
        <v>77</v>
      </c>
      <c r="K529" s="112" t="s">
        <v>77</v>
      </c>
      <c r="L529" s="112" t="s">
        <v>85</v>
      </c>
      <c r="M529" s="112" t="s">
        <v>533</v>
      </c>
      <c r="N529" s="126">
        <v>9999</v>
      </c>
      <c r="O529" s="127" t="s">
        <v>80</v>
      </c>
      <c r="P529" s="127" t="s">
        <v>81</v>
      </c>
      <c r="Q529" s="127" t="s">
        <v>82</v>
      </c>
      <c r="R529" s="115" t="str">
        <f t="shared" si="64"/>
        <v>53</v>
      </c>
      <c r="S529" s="134">
        <v>530255</v>
      </c>
      <c r="T529" s="122" t="str">
        <f>VLOOKUP(S529,ITEM!$C$1:$D$156,2,FALSE)</f>
        <v>Combustibles</v>
      </c>
      <c r="U529" s="112">
        <v>1701</v>
      </c>
      <c r="V529" s="114" t="s">
        <v>82</v>
      </c>
      <c r="W529" s="114" t="s">
        <v>84</v>
      </c>
      <c r="X529" s="114" t="s">
        <v>84</v>
      </c>
      <c r="Y529" s="224" t="e">
        <f>'Matriz POA 2024-TRABAJO'!#REF!</f>
        <v>#REF!</v>
      </c>
      <c r="Z529" s="224" t="e">
        <f>'Matriz POA 2024-TRABAJO'!#REF!</f>
        <v>#REF!</v>
      </c>
      <c r="AA529" s="224" t="e">
        <f>'Matriz POA 2024-TRABAJO'!#REF!</f>
        <v>#REF!</v>
      </c>
      <c r="AB529" s="279">
        <v>0</v>
      </c>
      <c r="AC529" s="279">
        <v>200</v>
      </c>
      <c r="AD529" s="279">
        <v>0</v>
      </c>
      <c r="AE529" s="279">
        <v>0</v>
      </c>
      <c r="AF529" s="279">
        <v>0</v>
      </c>
      <c r="AG529" s="279">
        <v>0</v>
      </c>
      <c r="AH529" s="279">
        <v>0</v>
      </c>
      <c r="AI529" s="279">
        <v>0</v>
      </c>
      <c r="AJ529" s="279">
        <v>0</v>
      </c>
      <c r="AK529" s="279">
        <v>0</v>
      </c>
      <c r="AL529" s="279">
        <v>0</v>
      </c>
      <c r="AM529" s="279">
        <v>0</v>
      </c>
      <c r="AN529" s="224" t="e">
        <f>SUM(#REF!)</f>
        <v>#REF!</v>
      </c>
      <c r="AO529" s="224">
        <f t="shared" si="65"/>
        <v>200</v>
      </c>
      <c r="AP529" s="224" t="e">
        <f t="shared" si="71"/>
        <v>#REF!</v>
      </c>
      <c r="AQ529" s="224"/>
      <c r="AR529" s="224"/>
      <c r="AS529" s="224"/>
      <c r="AT529" s="224" t="str">
        <f>IFERROR(VLOOKUP($A529,'Constancias POA'!$A$2:$DH$9993,17,FALSE),"")</f>
        <v/>
      </c>
      <c r="AU529" s="224" t="str">
        <f t="shared" si="66"/>
        <v/>
      </c>
      <c r="AV529" s="224" t="str">
        <f>IFERROR(VLOOKUP($A529,CP!$A$1:$U$7992,18,FALSE),"")</f>
        <v/>
      </c>
      <c r="AW529" s="224" t="str">
        <f>IFERROR(VLOOKUP($A529,CP!$A$1:$U$7992,19,FALSE),"")</f>
        <v/>
      </c>
      <c r="AX529" s="224" t="str">
        <f>IFERROR(VLOOKUP($A529,CP!$A$1:$U$7992,20,FALSE),"")</f>
        <v/>
      </c>
      <c r="AY529" s="224" t="str">
        <f>IFERROR(VLOOKUP($A529,CP!$A$1:$U$1,21,FALSE),"")</f>
        <v/>
      </c>
      <c r="AZ529" s="224" t="str">
        <f>IFERROR(VLOOKUP(A529,Devengado!$A$1:AJ1,35,FALSE),"")</f>
        <v/>
      </c>
      <c r="BA529" s="224" t="str">
        <f t="shared" si="67"/>
        <v/>
      </c>
      <c r="BB529" s="224" t="str">
        <f>IFERROR(AZ529/#REF!,"")</f>
        <v/>
      </c>
      <c r="BC529" s="224" t="str">
        <f>IFERROR(VLOOKUP($A529,Devengado!$A$1:$AI$1,22,FALSE),"")</f>
        <v/>
      </c>
      <c r="BD529" s="224" t="str">
        <f>IFERROR(VLOOKUP($A529,Devengado!$A$1:$AI$1,23,FALSE),"")</f>
        <v/>
      </c>
      <c r="BE529" s="224" t="str">
        <f>IFERROR(VLOOKUP($A529,Devengado!$A$1:$AI$1,24,FALSE),"")</f>
        <v/>
      </c>
      <c r="BF529" s="224" t="str">
        <f>IFERROR(VLOOKUP($A529,Devengado!$A$1:$AI$1,25,FALSE),"")</f>
        <v/>
      </c>
      <c r="BG529" s="224" t="str">
        <f>IFERROR(VLOOKUP($A529,Devengado!$A$1:$AI$1,26,FALSE),"")</f>
        <v/>
      </c>
      <c r="BH529" s="224" t="str">
        <f>IFERROR(VLOOKUP($A529,Devengado!$A$1:$AI$1,27,FALSE),"")</f>
        <v/>
      </c>
      <c r="BI529" s="224" t="str">
        <f>IFERROR(VLOOKUP($A529,Devengado!$A$1:$AI$1,28,FALSE),"")</f>
        <v/>
      </c>
      <c r="BJ529" s="224" t="str">
        <f>IFERROR(VLOOKUP($A529,Devengado!$A$1:$AI$1,29,FALSE),"")</f>
        <v/>
      </c>
      <c r="BK529" s="224" t="str">
        <f>IFERROR(VLOOKUP($A529,Devengado!$A$1:$AI$1,30,FALSE),"")</f>
        <v/>
      </c>
      <c r="BL529" s="224" t="str">
        <f>IFERROR(VLOOKUP($A529,Devengado!$A$1:$AI$1,31,FALSE),"")</f>
        <v/>
      </c>
      <c r="BM529" s="224" t="str">
        <f>IFERROR(VLOOKUP($A529,Devengado!$A$1:$AI$1,32,FALSE),"")</f>
        <v/>
      </c>
      <c r="BN529" s="224" t="str">
        <f>IFERROR(VLOOKUP($A529,Devengado!$A$1:$AI$1,33,FALSE),"")</f>
        <v/>
      </c>
      <c r="BO529" s="224">
        <f t="shared" si="68"/>
        <v>0</v>
      </c>
      <c r="BP529" s="224" t="str">
        <f t="shared" si="69"/>
        <v/>
      </c>
      <c r="BQ529" s="207"/>
      <c r="BR529" s="207" t="str">
        <f t="shared" si="70"/>
        <v>53</v>
      </c>
    </row>
    <row r="530" spans="1:70" s="225" customFormat="1" ht="25.5" customHeight="1">
      <c r="A530" s="207">
        <v>526</v>
      </c>
      <c r="B530" s="112" t="s">
        <v>73</v>
      </c>
      <c r="C530" s="112" t="s">
        <v>187</v>
      </c>
      <c r="D530" s="125" t="s">
        <v>515</v>
      </c>
      <c r="E530" s="125" t="s">
        <v>76</v>
      </c>
      <c r="F530" s="112" t="s">
        <v>77</v>
      </c>
      <c r="G530" s="112" t="s">
        <v>77</v>
      </c>
      <c r="H530" s="112" t="s">
        <v>77</v>
      </c>
      <c r="I530" s="112" t="s">
        <v>77</v>
      </c>
      <c r="J530" s="112" t="s">
        <v>77</v>
      </c>
      <c r="K530" s="112" t="s">
        <v>77</v>
      </c>
      <c r="L530" s="112" t="s">
        <v>85</v>
      </c>
      <c r="M530" s="112" t="s">
        <v>533</v>
      </c>
      <c r="N530" s="126">
        <v>9999</v>
      </c>
      <c r="O530" s="127" t="s">
        <v>80</v>
      </c>
      <c r="P530" s="127" t="s">
        <v>81</v>
      </c>
      <c r="Q530" s="127" t="s">
        <v>82</v>
      </c>
      <c r="R530" s="115" t="str">
        <f t="shared" si="64"/>
        <v>53</v>
      </c>
      <c r="S530" s="134">
        <v>530803</v>
      </c>
      <c r="T530" s="122" t="e">
        <f>VLOOKUP(S530,ITEM!$C$1:$D$156,2,FALSE)</f>
        <v>#N/A</v>
      </c>
      <c r="U530" s="112">
        <v>1701</v>
      </c>
      <c r="V530" s="114" t="s">
        <v>82</v>
      </c>
      <c r="W530" s="114" t="s">
        <v>84</v>
      </c>
      <c r="X530" s="114" t="s">
        <v>84</v>
      </c>
      <c r="Y530" s="224" t="e">
        <f>'Matriz POA 2024-TRABAJO'!#REF!</f>
        <v>#REF!</v>
      </c>
      <c r="Z530" s="224" t="e">
        <f>'Matriz POA 2024-TRABAJO'!#REF!</f>
        <v>#REF!</v>
      </c>
      <c r="AA530" s="224" t="e">
        <f>'Matriz POA 2024-TRABAJO'!#REF!</f>
        <v>#REF!</v>
      </c>
      <c r="AB530" s="279">
        <v>0</v>
      </c>
      <c r="AC530" s="279">
        <v>200</v>
      </c>
      <c r="AD530" s="279">
        <v>0</v>
      </c>
      <c r="AE530" s="279">
        <v>0</v>
      </c>
      <c r="AF530" s="279">
        <v>0</v>
      </c>
      <c r="AG530" s="279">
        <v>0</v>
      </c>
      <c r="AH530" s="279">
        <v>0</v>
      </c>
      <c r="AI530" s="279">
        <v>0</v>
      </c>
      <c r="AJ530" s="279">
        <v>0</v>
      </c>
      <c r="AK530" s="279">
        <v>0</v>
      </c>
      <c r="AL530" s="279">
        <v>0</v>
      </c>
      <c r="AM530" s="279">
        <v>0</v>
      </c>
      <c r="AN530" s="224" t="e">
        <f>SUM(#REF!)</f>
        <v>#REF!</v>
      </c>
      <c r="AO530" s="224">
        <f t="shared" si="65"/>
        <v>200</v>
      </c>
      <c r="AP530" s="224" t="e">
        <f t="shared" si="71"/>
        <v>#REF!</v>
      </c>
      <c r="AQ530" s="224"/>
      <c r="AR530" s="224"/>
      <c r="AS530" s="224"/>
      <c r="AT530" s="224" t="str">
        <f>IFERROR(VLOOKUP($A530,'Constancias POA'!$A$2:$DH$9993,17,FALSE),"")</f>
        <v/>
      </c>
      <c r="AU530" s="224" t="str">
        <f t="shared" si="66"/>
        <v/>
      </c>
      <c r="AV530" s="224" t="str">
        <f>IFERROR(VLOOKUP($A530,CP!$A$1:$U$7992,18,FALSE),"")</f>
        <v/>
      </c>
      <c r="AW530" s="224" t="str">
        <f>IFERROR(VLOOKUP($A530,CP!$A$1:$U$7992,19,FALSE),"")</f>
        <v/>
      </c>
      <c r="AX530" s="224" t="str">
        <f>IFERROR(VLOOKUP($A530,CP!$A$1:$U$7992,20,FALSE),"")</f>
        <v/>
      </c>
      <c r="AY530" s="224" t="str">
        <f>IFERROR(VLOOKUP($A530,CP!$A$1:$U$1,21,FALSE),"")</f>
        <v/>
      </c>
      <c r="AZ530" s="224" t="str">
        <f>IFERROR(VLOOKUP(A530,Devengado!$A$1:AJ1,35,FALSE),"")</f>
        <v/>
      </c>
      <c r="BA530" s="224" t="str">
        <f t="shared" si="67"/>
        <v/>
      </c>
      <c r="BB530" s="224" t="str">
        <f>IFERROR(AZ530/#REF!,"")</f>
        <v/>
      </c>
      <c r="BC530" s="224" t="str">
        <f>IFERROR(VLOOKUP($A530,Devengado!$A$1:$AI$1,22,FALSE),"")</f>
        <v/>
      </c>
      <c r="BD530" s="224" t="str">
        <f>IFERROR(VLOOKUP($A530,Devengado!$A$1:$AI$1,23,FALSE),"")</f>
        <v/>
      </c>
      <c r="BE530" s="224" t="str">
        <f>IFERROR(VLOOKUP($A530,Devengado!$A$1:$AI$1,24,FALSE),"")</f>
        <v/>
      </c>
      <c r="BF530" s="224" t="str">
        <f>IFERROR(VLOOKUP($A530,Devengado!$A$1:$AI$1,25,FALSE),"")</f>
        <v/>
      </c>
      <c r="BG530" s="224" t="str">
        <f>IFERROR(VLOOKUP($A530,Devengado!$A$1:$AI$1,26,FALSE),"")</f>
        <v/>
      </c>
      <c r="BH530" s="224" t="str">
        <f>IFERROR(VLOOKUP($A530,Devengado!$A$1:$AI$1,27,FALSE),"")</f>
        <v/>
      </c>
      <c r="BI530" s="224" t="str">
        <f>IFERROR(VLOOKUP($A530,Devengado!$A$1:$AI$1,28,FALSE),"")</f>
        <v/>
      </c>
      <c r="BJ530" s="224" t="str">
        <f>IFERROR(VLOOKUP($A530,Devengado!$A$1:$AI$1,29,FALSE),"")</f>
        <v/>
      </c>
      <c r="BK530" s="224" t="str">
        <f>IFERROR(VLOOKUP($A530,Devengado!$A$1:$AI$1,30,FALSE),"")</f>
        <v/>
      </c>
      <c r="BL530" s="224" t="str">
        <f>IFERROR(VLOOKUP($A530,Devengado!$A$1:$AI$1,31,FALSE),"")</f>
        <v/>
      </c>
      <c r="BM530" s="224" t="str">
        <f>IFERROR(VLOOKUP($A530,Devengado!$A$1:$AI$1,32,FALSE),"")</f>
        <v/>
      </c>
      <c r="BN530" s="224" t="str">
        <f>IFERROR(VLOOKUP($A530,Devengado!$A$1:$AI$1,33,FALSE),"")</f>
        <v/>
      </c>
      <c r="BO530" s="224">
        <f t="shared" si="68"/>
        <v>0</v>
      </c>
      <c r="BP530" s="224" t="str">
        <f t="shared" si="69"/>
        <v/>
      </c>
      <c r="BQ530" s="207"/>
      <c r="BR530" s="207" t="str">
        <f t="shared" si="70"/>
        <v>53</v>
      </c>
    </row>
    <row r="531" spans="1:70" s="225" customFormat="1" ht="25.5" customHeight="1">
      <c r="A531" s="207">
        <v>527</v>
      </c>
      <c r="B531" s="112" t="s">
        <v>73</v>
      </c>
      <c r="C531" s="112" t="s">
        <v>187</v>
      </c>
      <c r="D531" s="125" t="s">
        <v>515</v>
      </c>
      <c r="E531" s="125" t="s">
        <v>76</v>
      </c>
      <c r="F531" s="112" t="s">
        <v>77</v>
      </c>
      <c r="G531" s="112" t="s">
        <v>77</v>
      </c>
      <c r="H531" s="112" t="s">
        <v>77</v>
      </c>
      <c r="I531" s="112" t="s">
        <v>77</v>
      </c>
      <c r="J531" s="112" t="s">
        <v>77</v>
      </c>
      <c r="K531" s="112" t="s">
        <v>77</v>
      </c>
      <c r="L531" s="112" t="s">
        <v>85</v>
      </c>
      <c r="M531" s="112" t="s">
        <v>533</v>
      </c>
      <c r="N531" s="126">
        <v>9999</v>
      </c>
      <c r="O531" s="127" t="s">
        <v>80</v>
      </c>
      <c r="P531" s="127" t="s">
        <v>81</v>
      </c>
      <c r="Q531" s="127" t="s">
        <v>82</v>
      </c>
      <c r="R531" s="115" t="str">
        <f t="shared" si="64"/>
        <v>53</v>
      </c>
      <c r="S531" s="134">
        <v>530405</v>
      </c>
      <c r="T531" s="122" t="str">
        <f>VLOOKUP(S531,ITEM!$C$1:$D$156,2,FALSE)</f>
        <v>Vehículos (Servicio para Mantenimiento y Reparación)</v>
      </c>
      <c r="U531" s="112">
        <v>1701</v>
      </c>
      <c r="V531" s="114" t="s">
        <v>82</v>
      </c>
      <c r="W531" s="114" t="s">
        <v>84</v>
      </c>
      <c r="X531" s="114" t="s">
        <v>84</v>
      </c>
      <c r="Y531" s="224" t="e">
        <f>'Matriz POA 2024-TRABAJO'!#REF!</f>
        <v>#REF!</v>
      </c>
      <c r="Z531" s="224" t="e">
        <f>'Matriz POA 2024-TRABAJO'!#REF!</f>
        <v>#REF!</v>
      </c>
      <c r="AA531" s="224" t="e">
        <f>'Matriz POA 2024-TRABAJO'!#REF!</f>
        <v>#REF!</v>
      </c>
      <c r="AB531" s="279">
        <v>0</v>
      </c>
      <c r="AC531" s="279">
        <v>200</v>
      </c>
      <c r="AD531" s="279">
        <v>0</v>
      </c>
      <c r="AE531" s="279">
        <v>0</v>
      </c>
      <c r="AF531" s="279">
        <v>0</v>
      </c>
      <c r="AG531" s="279">
        <v>0</v>
      </c>
      <c r="AH531" s="279">
        <v>0</v>
      </c>
      <c r="AI531" s="279">
        <v>0</v>
      </c>
      <c r="AJ531" s="279">
        <v>0</v>
      </c>
      <c r="AK531" s="279">
        <v>0</v>
      </c>
      <c r="AL531" s="279">
        <v>0</v>
      </c>
      <c r="AM531" s="279">
        <v>0</v>
      </c>
      <c r="AN531" s="224" t="e">
        <f>SUM(#REF!)</f>
        <v>#REF!</v>
      </c>
      <c r="AO531" s="224">
        <f t="shared" si="65"/>
        <v>200</v>
      </c>
      <c r="AP531" s="224" t="e">
        <f t="shared" si="71"/>
        <v>#REF!</v>
      </c>
      <c r="AQ531" s="224"/>
      <c r="AR531" s="224"/>
      <c r="AS531" s="224"/>
      <c r="AT531" s="224" t="str">
        <f>IFERROR(VLOOKUP($A531,'Constancias POA'!$A$2:$DH$9993,17,FALSE),"")</f>
        <v/>
      </c>
      <c r="AU531" s="224" t="str">
        <f t="shared" si="66"/>
        <v/>
      </c>
      <c r="AV531" s="224" t="str">
        <f>IFERROR(VLOOKUP($A531,CP!$A$1:$U$7992,18,FALSE),"")</f>
        <v/>
      </c>
      <c r="AW531" s="224" t="str">
        <f>IFERROR(VLOOKUP($A531,CP!$A$1:$U$7992,19,FALSE),"")</f>
        <v/>
      </c>
      <c r="AX531" s="224" t="str">
        <f>IFERROR(VLOOKUP($A531,CP!$A$1:$U$7992,20,FALSE),"")</f>
        <v/>
      </c>
      <c r="AY531" s="224" t="str">
        <f>IFERROR(VLOOKUP($A531,CP!$A$1:$U$1,21,FALSE),"")</f>
        <v/>
      </c>
      <c r="AZ531" s="224" t="str">
        <f>IFERROR(VLOOKUP(A531,Devengado!$A$1:AJ1,35,FALSE),"")</f>
        <v/>
      </c>
      <c r="BA531" s="224" t="str">
        <f t="shared" si="67"/>
        <v/>
      </c>
      <c r="BB531" s="224" t="str">
        <f>IFERROR(AZ531/#REF!,"")</f>
        <v/>
      </c>
      <c r="BC531" s="224" t="str">
        <f>IFERROR(VLOOKUP($A531,Devengado!$A$1:$AI$1,22,FALSE),"")</f>
        <v/>
      </c>
      <c r="BD531" s="224" t="str">
        <f>IFERROR(VLOOKUP($A531,Devengado!$A$1:$AI$1,23,FALSE),"")</f>
        <v/>
      </c>
      <c r="BE531" s="224" t="str">
        <f>IFERROR(VLOOKUP($A531,Devengado!$A$1:$AI$1,24,FALSE),"")</f>
        <v/>
      </c>
      <c r="BF531" s="224" t="str">
        <f>IFERROR(VLOOKUP($A531,Devengado!$A$1:$AI$1,25,FALSE),"")</f>
        <v/>
      </c>
      <c r="BG531" s="224" t="str">
        <f>IFERROR(VLOOKUP($A531,Devengado!$A$1:$AI$1,26,FALSE),"")</f>
        <v/>
      </c>
      <c r="BH531" s="224" t="str">
        <f>IFERROR(VLOOKUP($A531,Devengado!$A$1:$AI$1,27,FALSE),"")</f>
        <v/>
      </c>
      <c r="BI531" s="224" t="str">
        <f>IFERROR(VLOOKUP($A531,Devengado!$A$1:$AI$1,28,FALSE),"")</f>
        <v/>
      </c>
      <c r="BJ531" s="224" t="str">
        <f>IFERROR(VLOOKUP($A531,Devengado!$A$1:$AI$1,29,FALSE),"")</f>
        <v/>
      </c>
      <c r="BK531" s="224" t="str">
        <f>IFERROR(VLOOKUP($A531,Devengado!$A$1:$AI$1,30,FALSE),"")</f>
        <v/>
      </c>
      <c r="BL531" s="224" t="str">
        <f>IFERROR(VLOOKUP($A531,Devengado!$A$1:$AI$1,31,FALSE),"")</f>
        <v/>
      </c>
      <c r="BM531" s="224" t="str">
        <f>IFERROR(VLOOKUP($A531,Devengado!$A$1:$AI$1,32,FALSE),"")</f>
        <v/>
      </c>
      <c r="BN531" s="224" t="str">
        <f>IFERROR(VLOOKUP($A531,Devengado!$A$1:$AI$1,33,FALSE),"")</f>
        <v/>
      </c>
      <c r="BO531" s="224">
        <f t="shared" si="68"/>
        <v>0</v>
      </c>
      <c r="BP531" s="224" t="str">
        <f t="shared" si="69"/>
        <v/>
      </c>
      <c r="BQ531" s="207"/>
      <c r="BR531" s="207" t="str">
        <f t="shared" si="70"/>
        <v>53</v>
      </c>
    </row>
    <row r="532" spans="1:70" s="225" customFormat="1" ht="25.5" customHeight="1">
      <c r="A532" s="207">
        <v>528</v>
      </c>
      <c r="B532" s="112" t="s">
        <v>73</v>
      </c>
      <c r="C532" s="112" t="s">
        <v>187</v>
      </c>
      <c r="D532" s="125" t="s">
        <v>515</v>
      </c>
      <c r="E532" s="125" t="s">
        <v>76</v>
      </c>
      <c r="F532" s="112" t="s">
        <v>77</v>
      </c>
      <c r="G532" s="112" t="s">
        <v>77</v>
      </c>
      <c r="H532" s="112" t="s">
        <v>77</v>
      </c>
      <c r="I532" s="112" t="s">
        <v>77</v>
      </c>
      <c r="J532" s="112" t="s">
        <v>77</v>
      </c>
      <c r="K532" s="112" t="s">
        <v>77</v>
      </c>
      <c r="L532" s="112" t="s">
        <v>85</v>
      </c>
      <c r="M532" s="112" t="s">
        <v>533</v>
      </c>
      <c r="N532" s="126">
        <v>9999</v>
      </c>
      <c r="O532" s="127" t="s">
        <v>80</v>
      </c>
      <c r="P532" s="127" t="s">
        <v>81</v>
      </c>
      <c r="Q532" s="127" t="s">
        <v>82</v>
      </c>
      <c r="R532" s="115" t="str">
        <f t="shared" si="64"/>
        <v>53</v>
      </c>
      <c r="S532" s="134">
        <v>530813</v>
      </c>
      <c r="T532" s="122" t="e">
        <f>VLOOKUP(S532,ITEM!$C$1:$D$156,2,FALSE)</f>
        <v>#N/A</v>
      </c>
      <c r="U532" s="112">
        <v>1701</v>
      </c>
      <c r="V532" s="114" t="s">
        <v>82</v>
      </c>
      <c r="W532" s="114" t="s">
        <v>84</v>
      </c>
      <c r="X532" s="114" t="s">
        <v>84</v>
      </c>
      <c r="Y532" s="224" t="e">
        <f>'Matriz POA 2024-TRABAJO'!#REF!</f>
        <v>#REF!</v>
      </c>
      <c r="Z532" s="224" t="e">
        <f>'Matriz POA 2024-TRABAJO'!#REF!</f>
        <v>#REF!</v>
      </c>
      <c r="AA532" s="224" t="e">
        <f>'Matriz POA 2024-TRABAJO'!#REF!</f>
        <v>#REF!</v>
      </c>
      <c r="AB532" s="279">
        <v>0</v>
      </c>
      <c r="AC532" s="279">
        <v>200</v>
      </c>
      <c r="AD532" s="279">
        <v>0</v>
      </c>
      <c r="AE532" s="279">
        <v>0</v>
      </c>
      <c r="AF532" s="279">
        <v>0</v>
      </c>
      <c r="AG532" s="279">
        <v>0</v>
      </c>
      <c r="AH532" s="279">
        <v>0</v>
      </c>
      <c r="AI532" s="279">
        <v>0</v>
      </c>
      <c r="AJ532" s="279">
        <v>0</v>
      </c>
      <c r="AK532" s="279">
        <v>0</v>
      </c>
      <c r="AL532" s="279">
        <v>0</v>
      </c>
      <c r="AM532" s="279">
        <v>0</v>
      </c>
      <c r="AN532" s="224" t="e">
        <f>SUM(#REF!)</f>
        <v>#REF!</v>
      </c>
      <c r="AO532" s="224">
        <f t="shared" si="65"/>
        <v>200</v>
      </c>
      <c r="AP532" s="224" t="e">
        <f t="shared" si="71"/>
        <v>#REF!</v>
      </c>
      <c r="AQ532" s="224"/>
      <c r="AR532" s="224"/>
      <c r="AS532" s="224"/>
      <c r="AT532" s="224" t="str">
        <f>IFERROR(VLOOKUP($A532,'Constancias POA'!$A$2:$DH$9993,17,FALSE),"")</f>
        <v/>
      </c>
      <c r="AU532" s="224" t="str">
        <f t="shared" si="66"/>
        <v/>
      </c>
      <c r="AV532" s="224" t="str">
        <f>IFERROR(VLOOKUP($A532,CP!$A$1:$U$7992,18,FALSE),"")</f>
        <v/>
      </c>
      <c r="AW532" s="224" t="str">
        <f>IFERROR(VLOOKUP($A532,CP!$A$1:$U$7992,19,FALSE),"")</f>
        <v/>
      </c>
      <c r="AX532" s="224" t="str">
        <f>IFERROR(VLOOKUP($A532,CP!$A$1:$U$7992,20,FALSE),"")</f>
        <v/>
      </c>
      <c r="AY532" s="224" t="str">
        <f>IFERROR(VLOOKUP($A532,CP!$A$1:$U$1,21,FALSE),"")</f>
        <v/>
      </c>
      <c r="AZ532" s="224" t="str">
        <f>IFERROR(VLOOKUP(A532,Devengado!$A$1:AJ1,35,FALSE),"")</f>
        <v/>
      </c>
      <c r="BA532" s="224" t="str">
        <f t="shared" si="67"/>
        <v/>
      </c>
      <c r="BB532" s="224" t="str">
        <f>IFERROR(AZ532/#REF!,"")</f>
        <v/>
      </c>
      <c r="BC532" s="224" t="str">
        <f>IFERROR(VLOOKUP($A532,Devengado!$A$1:$AI$1,22,FALSE),"")</f>
        <v/>
      </c>
      <c r="BD532" s="224" t="str">
        <f>IFERROR(VLOOKUP($A532,Devengado!$A$1:$AI$1,23,FALSE),"")</f>
        <v/>
      </c>
      <c r="BE532" s="224" t="str">
        <f>IFERROR(VLOOKUP($A532,Devengado!$A$1:$AI$1,24,FALSE),"")</f>
        <v/>
      </c>
      <c r="BF532" s="224" t="str">
        <f>IFERROR(VLOOKUP($A532,Devengado!$A$1:$AI$1,25,FALSE),"")</f>
        <v/>
      </c>
      <c r="BG532" s="224" t="str">
        <f>IFERROR(VLOOKUP($A532,Devengado!$A$1:$AI$1,26,FALSE),"")</f>
        <v/>
      </c>
      <c r="BH532" s="224" t="str">
        <f>IFERROR(VLOOKUP($A532,Devengado!$A$1:$AI$1,27,FALSE),"")</f>
        <v/>
      </c>
      <c r="BI532" s="224" t="str">
        <f>IFERROR(VLOOKUP($A532,Devengado!$A$1:$AI$1,28,FALSE),"")</f>
        <v/>
      </c>
      <c r="BJ532" s="224" t="str">
        <f>IFERROR(VLOOKUP($A532,Devengado!$A$1:$AI$1,29,FALSE),"")</f>
        <v/>
      </c>
      <c r="BK532" s="224" t="str">
        <f>IFERROR(VLOOKUP($A532,Devengado!$A$1:$AI$1,30,FALSE),"")</f>
        <v/>
      </c>
      <c r="BL532" s="224" t="str">
        <f>IFERROR(VLOOKUP($A532,Devengado!$A$1:$AI$1,31,FALSE),"")</f>
        <v/>
      </c>
      <c r="BM532" s="224" t="str">
        <f>IFERROR(VLOOKUP($A532,Devengado!$A$1:$AI$1,32,FALSE),"")</f>
        <v/>
      </c>
      <c r="BN532" s="224" t="str">
        <f>IFERROR(VLOOKUP($A532,Devengado!$A$1:$AI$1,33,FALSE),"")</f>
        <v/>
      </c>
      <c r="BO532" s="224">
        <f t="shared" si="68"/>
        <v>0</v>
      </c>
      <c r="BP532" s="224" t="str">
        <f t="shared" si="69"/>
        <v/>
      </c>
      <c r="BQ532" s="207"/>
      <c r="BR532" s="207" t="str">
        <f t="shared" si="70"/>
        <v>53</v>
      </c>
    </row>
    <row r="533" spans="1:70" s="225" customFormat="1" ht="25.5" customHeight="1">
      <c r="A533" s="207">
        <v>529</v>
      </c>
      <c r="B533" s="112" t="s">
        <v>73</v>
      </c>
      <c r="C533" s="112" t="s">
        <v>187</v>
      </c>
      <c r="D533" s="125" t="s">
        <v>515</v>
      </c>
      <c r="E533" s="125" t="s">
        <v>76</v>
      </c>
      <c r="F533" s="112" t="s">
        <v>77</v>
      </c>
      <c r="G533" s="112" t="s">
        <v>77</v>
      </c>
      <c r="H533" s="112" t="s">
        <v>77</v>
      </c>
      <c r="I533" s="112" t="s">
        <v>77</v>
      </c>
      <c r="J533" s="112" t="s">
        <v>77</v>
      </c>
      <c r="K533" s="112" t="s">
        <v>77</v>
      </c>
      <c r="L533" s="112" t="s">
        <v>85</v>
      </c>
      <c r="M533" s="112" t="s">
        <v>534</v>
      </c>
      <c r="N533" s="126">
        <v>9999</v>
      </c>
      <c r="O533" s="127" t="s">
        <v>80</v>
      </c>
      <c r="P533" s="127" t="s">
        <v>81</v>
      </c>
      <c r="Q533" s="127" t="s">
        <v>82</v>
      </c>
      <c r="R533" s="115" t="str">
        <f t="shared" si="64"/>
        <v>57</v>
      </c>
      <c r="S533" s="134">
        <v>570102</v>
      </c>
      <c r="T533" s="122" t="e">
        <f>VLOOKUP(S533,ITEM!$C$1:$D$156,2,FALSE)</f>
        <v>#N/A</v>
      </c>
      <c r="U533" s="112">
        <v>1701</v>
      </c>
      <c r="V533" s="114" t="s">
        <v>82</v>
      </c>
      <c r="W533" s="114" t="s">
        <v>84</v>
      </c>
      <c r="X533" s="114" t="s">
        <v>84</v>
      </c>
      <c r="Y533" s="224" t="e">
        <f>'Matriz POA 2024-TRABAJO'!#REF!</f>
        <v>#REF!</v>
      </c>
      <c r="Z533" s="224" t="e">
        <f>'Matriz POA 2024-TRABAJO'!#REF!</f>
        <v>#REF!</v>
      </c>
      <c r="AA533" s="224" t="e">
        <f>'Matriz POA 2024-TRABAJO'!#REF!</f>
        <v>#REF!</v>
      </c>
      <c r="AB533" s="279">
        <v>0</v>
      </c>
      <c r="AC533" s="279">
        <v>0</v>
      </c>
      <c r="AD533" s="279">
        <v>0</v>
      </c>
      <c r="AE533" s="279">
        <v>500</v>
      </c>
      <c r="AF533" s="279">
        <v>0</v>
      </c>
      <c r="AG533" s="279">
        <v>0</v>
      </c>
      <c r="AH533" s="279">
        <v>0</v>
      </c>
      <c r="AI533" s="279">
        <v>0</v>
      </c>
      <c r="AJ533" s="279">
        <v>0</v>
      </c>
      <c r="AK533" s="279">
        <v>0</v>
      </c>
      <c r="AL533" s="279">
        <v>0</v>
      </c>
      <c r="AM533" s="279">
        <v>0</v>
      </c>
      <c r="AN533" s="224" t="e">
        <f>SUM(#REF!)</f>
        <v>#REF!</v>
      </c>
      <c r="AO533" s="224">
        <f t="shared" si="65"/>
        <v>500</v>
      </c>
      <c r="AP533" s="224" t="e">
        <f t="shared" si="71"/>
        <v>#REF!</v>
      </c>
      <c r="AQ533" s="224"/>
      <c r="AR533" s="224"/>
      <c r="AS533" s="224"/>
      <c r="AT533" s="224" t="str">
        <f>IFERROR(VLOOKUP($A533,'Constancias POA'!$A$2:$DH$9993,17,FALSE),"")</f>
        <v/>
      </c>
      <c r="AU533" s="224" t="str">
        <f t="shared" si="66"/>
        <v/>
      </c>
      <c r="AV533" s="224" t="str">
        <f>IFERROR(VLOOKUP($A533,CP!$A$1:$U$7992,18,FALSE),"")</f>
        <v/>
      </c>
      <c r="AW533" s="224" t="str">
        <f>IFERROR(VLOOKUP($A533,CP!$A$1:$U$7992,19,FALSE),"")</f>
        <v/>
      </c>
      <c r="AX533" s="224" t="str">
        <f>IFERROR(VLOOKUP($A533,CP!$A$1:$U$7992,20,FALSE),"")</f>
        <v/>
      </c>
      <c r="AY533" s="224" t="str">
        <f>IFERROR(VLOOKUP($A533,CP!$A$1:$U$1,21,FALSE),"")</f>
        <v/>
      </c>
      <c r="AZ533" s="224" t="str">
        <f>IFERROR(VLOOKUP(A533,Devengado!$A$1:AJ1,35,FALSE),"")</f>
        <v/>
      </c>
      <c r="BA533" s="224" t="str">
        <f t="shared" si="67"/>
        <v/>
      </c>
      <c r="BB533" s="224" t="str">
        <f>IFERROR(AZ533/#REF!,"")</f>
        <v/>
      </c>
      <c r="BC533" s="224" t="str">
        <f>IFERROR(VLOOKUP($A533,Devengado!$A$1:$AI$1,22,FALSE),"")</f>
        <v/>
      </c>
      <c r="BD533" s="224" t="str">
        <f>IFERROR(VLOOKUP($A533,Devengado!$A$1:$AI$1,23,FALSE),"")</f>
        <v/>
      </c>
      <c r="BE533" s="224" t="str">
        <f>IFERROR(VLOOKUP($A533,Devengado!$A$1:$AI$1,24,FALSE),"")</f>
        <v/>
      </c>
      <c r="BF533" s="224" t="str">
        <f>IFERROR(VLOOKUP($A533,Devengado!$A$1:$AI$1,25,FALSE),"")</f>
        <v/>
      </c>
      <c r="BG533" s="224" t="str">
        <f>IFERROR(VLOOKUP($A533,Devengado!$A$1:$AI$1,26,FALSE),"")</f>
        <v/>
      </c>
      <c r="BH533" s="224" t="str">
        <f>IFERROR(VLOOKUP($A533,Devengado!$A$1:$AI$1,27,FALSE),"")</f>
        <v/>
      </c>
      <c r="BI533" s="224" t="str">
        <f>IFERROR(VLOOKUP($A533,Devengado!$A$1:$AI$1,28,FALSE),"")</f>
        <v/>
      </c>
      <c r="BJ533" s="224" t="str">
        <f>IFERROR(VLOOKUP($A533,Devengado!$A$1:$AI$1,29,FALSE),"")</f>
        <v/>
      </c>
      <c r="BK533" s="224" t="str">
        <f>IFERROR(VLOOKUP($A533,Devengado!$A$1:$AI$1,30,FALSE),"")</f>
        <v/>
      </c>
      <c r="BL533" s="224" t="str">
        <f>IFERROR(VLOOKUP($A533,Devengado!$A$1:$AI$1,31,FALSE),"")</f>
        <v/>
      </c>
      <c r="BM533" s="224" t="str">
        <f>IFERROR(VLOOKUP($A533,Devengado!$A$1:$AI$1,32,FALSE),"")</f>
        <v/>
      </c>
      <c r="BN533" s="224" t="str">
        <f>IFERROR(VLOOKUP($A533,Devengado!$A$1:$AI$1,33,FALSE),"")</f>
        <v/>
      </c>
      <c r="BO533" s="224">
        <f t="shared" si="68"/>
        <v>0</v>
      </c>
      <c r="BP533" s="224" t="str">
        <f t="shared" si="69"/>
        <v/>
      </c>
      <c r="BQ533" s="207"/>
      <c r="BR533" s="207" t="str">
        <f t="shared" si="70"/>
        <v>57</v>
      </c>
    </row>
    <row r="534" spans="1:70" s="225" customFormat="1" ht="25.5" customHeight="1">
      <c r="A534" s="207">
        <v>530</v>
      </c>
      <c r="B534" s="112" t="s">
        <v>73</v>
      </c>
      <c r="C534" s="112" t="s">
        <v>187</v>
      </c>
      <c r="D534" s="125" t="s">
        <v>515</v>
      </c>
      <c r="E534" s="125" t="s">
        <v>76</v>
      </c>
      <c r="F534" s="112" t="s">
        <v>77</v>
      </c>
      <c r="G534" s="112" t="s">
        <v>77</v>
      </c>
      <c r="H534" s="112" t="s">
        <v>77</v>
      </c>
      <c r="I534" s="112" t="s">
        <v>77</v>
      </c>
      <c r="J534" s="112" t="s">
        <v>77</v>
      </c>
      <c r="K534" s="112" t="s">
        <v>77</v>
      </c>
      <c r="L534" s="112" t="s">
        <v>85</v>
      </c>
      <c r="M534" s="112" t="s">
        <v>535</v>
      </c>
      <c r="N534" s="126">
        <v>9999</v>
      </c>
      <c r="O534" s="127" t="s">
        <v>80</v>
      </c>
      <c r="P534" s="127" t="s">
        <v>81</v>
      </c>
      <c r="Q534" s="127" t="s">
        <v>82</v>
      </c>
      <c r="R534" s="115" t="str">
        <f t="shared" si="64"/>
        <v>53</v>
      </c>
      <c r="S534" s="134">
        <v>530805</v>
      </c>
      <c r="T534" s="122" t="e">
        <f>VLOOKUP(S534,ITEM!$C$1:$D$156,2,FALSE)</f>
        <v>#N/A</v>
      </c>
      <c r="U534" s="112">
        <v>1701</v>
      </c>
      <c r="V534" s="114" t="s">
        <v>82</v>
      </c>
      <c r="W534" s="114" t="s">
        <v>84</v>
      </c>
      <c r="X534" s="114" t="s">
        <v>84</v>
      </c>
      <c r="Y534" s="224" t="e">
        <f>'Matriz POA 2024-TRABAJO'!#REF!</f>
        <v>#REF!</v>
      </c>
      <c r="Z534" s="224" t="e">
        <f>'Matriz POA 2024-TRABAJO'!#REF!</f>
        <v>#REF!</v>
      </c>
      <c r="AA534" s="224" t="e">
        <f>'Matriz POA 2024-TRABAJO'!#REF!</f>
        <v>#REF!</v>
      </c>
      <c r="AB534" s="279">
        <v>0</v>
      </c>
      <c r="AC534" s="279">
        <v>0</v>
      </c>
      <c r="AD534" s="279">
        <v>0</v>
      </c>
      <c r="AE534" s="279">
        <v>0</v>
      </c>
      <c r="AF534" s="279">
        <v>0</v>
      </c>
      <c r="AG534" s="279">
        <v>0</v>
      </c>
      <c r="AH534" s="279">
        <v>0</v>
      </c>
      <c r="AI534" s="279">
        <v>0</v>
      </c>
      <c r="AJ534" s="279">
        <v>0</v>
      </c>
      <c r="AK534" s="279">
        <v>0</v>
      </c>
      <c r="AL534" s="279">
        <v>0</v>
      </c>
      <c r="AM534" s="279">
        <v>0</v>
      </c>
      <c r="AN534" s="224" t="e">
        <f>SUM(#REF!)</f>
        <v>#REF!</v>
      </c>
      <c r="AO534" s="224">
        <f t="shared" si="65"/>
        <v>0</v>
      </c>
      <c r="AP534" s="224" t="e">
        <f t="shared" si="71"/>
        <v>#REF!</v>
      </c>
      <c r="AQ534" s="224"/>
      <c r="AR534" s="224"/>
      <c r="AS534" s="224"/>
      <c r="AT534" s="224" t="str">
        <f>IFERROR(VLOOKUP($A534,'Constancias POA'!$A$2:$DH$9993,17,FALSE),"")</f>
        <v/>
      </c>
      <c r="AU534" s="224" t="str">
        <f t="shared" si="66"/>
        <v/>
      </c>
      <c r="AV534" s="224" t="str">
        <f>IFERROR(VLOOKUP($A534,CP!$A$1:$U$7992,18,FALSE),"")</f>
        <v/>
      </c>
      <c r="AW534" s="224" t="str">
        <f>IFERROR(VLOOKUP($A534,CP!$A$1:$U$7992,19,FALSE),"")</f>
        <v/>
      </c>
      <c r="AX534" s="224" t="str">
        <f>IFERROR(VLOOKUP($A534,CP!$A$1:$U$7992,20,FALSE),"")</f>
        <v/>
      </c>
      <c r="AY534" s="224" t="str">
        <f>IFERROR(VLOOKUP($A534,CP!$A$1:$U$1,21,FALSE),"")</f>
        <v/>
      </c>
      <c r="AZ534" s="224" t="str">
        <f>IFERROR(VLOOKUP(A534,Devengado!$A$1:AJ1,35,FALSE),"")</f>
        <v/>
      </c>
      <c r="BA534" s="224" t="str">
        <f t="shared" si="67"/>
        <v/>
      </c>
      <c r="BB534" s="224" t="str">
        <f>IFERROR(AZ534/#REF!,"")</f>
        <v/>
      </c>
      <c r="BC534" s="224" t="str">
        <f>IFERROR(VLOOKUP($A534,Devengado!$A$1:$AI$1,22,FALSE),"")</f>
        <v/>
      </c>
      <c r="BD534" s="224" t="str">
        <f>IFERROR(VLOOKUP($A534,Devengado!$A$1:$AI$1,23,FALSE),"")</f>
        <v/>
      </c>
      <c r="BE534" s="224" t="str">
        <f>IFERROR(VLOOKUP($A534,Devengado!$A$1:$AI$1,24,FALSE),"")</f>
        <v/>
      </c>
      <c r="BF534" s="224" t="str">
        <f>IFERROR(VLOOKUP($A534,Devengado!$A$1:$AI$1,25,FALSE),"")</f>
        <v/>
      </c>
      <c r="BG534" s="224" t="str">
        <f>IFERROR(VLOOKUP($A534,Devengado!$A$1:$AI$1,26,FALSE),"")</f>
        <v/>
      </c>
      <c r="BH534" s="224" t="str">
        <f>IFERROR(VLOOKUP($A534,Devengado!$A$1:$AI$1,27,FALSE),"")</f>
        <v/>
      </c>
      <c r="BI534" s="224" t="str">
        <f>IFERROR(VLOOKUP($A534,Devengado!$A$1:$AI$1,28,FALSE),"")</f>
        <v/>
      </c>
      <c r="BJ534" s="224" t="str">
        <f>IFERROR(VLOOKUP($A534,Devengado!$A$1:$AI$1,29,FALSE),"")</f>
        <v/>
      </c>
      <c r="BK534" s="224" t="str">
        <f>IFERROR(VLOOKUP($A534,Devengado!$A$1:$AI$1,30,FALSE),"")</f>
        <v/>
      </c>
      <c r="BL534" s="224" t="str">
        <f>IFERROR(VLOOKUP($A534,Devengado!$A$1:$AI$1,31,FALSE),"")</f>
        <v/>
      </c>
      <c r="BM534" s="224" t="str">
        <f>IFERROR(VLOOKUP($A534,Devengado!$A$1:$AI$1,32,FALSE),"")</f>
        <v/>
      </c>
      <c r="BN534" s="224" t="str">
        <f>IFERROR(VLOOKUP($A534,Devengado!$A$1:$AI$1,33,FALSE),"")</f>
        <v/>
      </c>
      <c r="BO534" s="224">
        <f t="shared" si="68"/>
        <v>0</v>
      </c>
      <c r="BP534" s="224" t="str">
        <f t="shared" si="69"/>
        <v/>
      </c>
      <c r="BQ534" s="207"/>
      <c r="BR534" s="207" t="str">
        <f t="shared" si="70"/>
        <v>53</v>
      </c>
    </row>
    <row r="535" spans="1:70" s="225" customFormat="1" ht="25.5" customHeight="1">
      <c r="A535" s="207">
        <v>531</v>
      </c>
      <c r="B535" s="112" t="s">
        <v>73</v>
      </c>
      <c r="C535" s="112" t="s">
        <v>187</v>
      </c>
      <c r="D535" s="125" t="s">
        <v>515</v>
      </c>
      <c r="E535" s="125" t="s">
        <v>76</v>
      </c>
      <c r="F535" s="112" t="s">
        <v>77</v>
      </c>
      <c r="G535" s="112" t="s">
        <v>77</v>
      </c>
      <c r="H535" s="112" t="s">
        <v>77</v>
      </c>
      <c r="I535" s="112" t="s">
        <v>77</v>
      </c>
      <c r="J535" s="112" t="s">
        <v>77</v>
      </c>
      <c r="K535" s="112" t="s">
        <v>77</v>
      </c>
      <c r="L535" s="112" t="s">
        <v>85</v>
      </c>
      <c r="M535" s="112" t="s">
        <v>535</v>
      </c>
      <c r="N535" s="126">
        <v>9999</v>
      </c>
      <c r="O535" s="127" t="s">
        <v>80</v>
      </c>
      <c r="P535" s="127" t="s">
        <v>81</v>
      </c>
      <c r="Q535" s="127" t="s">
        <v>82</v>
      </c>
      <c r="R535" s="115" t="str">
        <f t="shared" si="64"/>
        <v>53</v>
      </c>
      <c r="S535" s="134">
        <v>531406</v>
      </c>
      <c r="T535" s="122" t="e">
        <f>VLOOKUP(S535,ITEM!$C$1:$D$156,2,FALSE)</f>
        <v>#N/A</v>
      </c>
      <c r="U535" s="112">
        <v>1701</v>
      </c>
      <c r="V535" s="114" t="s">
        <v>82</v>
      </c>
      <c r="W535" s="114" t="s">
        <v>84</v>
      </c>
      <c r="X535" s="114" t="s">
        <v>84</v>
      </c>
      <c r="Y535" s="224" t="e">
        <f>'Matriz POA 2024-TRABAJO'!#REF!</f>
        <v>#REF!</v>
      </c>
      <c r="Z535" s="224" t="e">
        <f>'Matriz POA 2024-TRABAJO'!#REF!</f>
        <v>#REF!</v>
      </c>
      <c r="AA535" s="224" t="e">
        <f>'Matriz POA 2024-TRABAJO'!#REF!</f>
        <v>#REF!</v>
      </c>
      <c r="AB535" s="279">
        <v>0</v>
      </c>
      <c r="AC535" s="279">
        <v>0</v>
      </c>
      <c r="AD535" s="279">
        <v>0</v>
      </c>
      <c r="AE535" s="279">
        <v>0</v>
      </c>
      <c r="AF535" s="279">
        <v>0</v>
      </c>
      <c r="AG535" s="279">
        <v>0</v>
      </c>
      <c r="AH535" s="279">
        <v>0</v>
      </c>
      <c r="AI535" s="279">
        <v>0</v>
      </c>
      <c r="AJ535" s="279">
        <v>0</v>
      </c>
      <c r="AK535" s="279">
        <v>0</v>
      </c>
      <c r="AL535" s="279">
        <v>0</v>
      </c>
      <c r="AM535" s="279">
        <v>0</v>
      </c>
      <c r="AN535" s="224" t="e">
        <f>SUM(#REF!)</f>
        <v>#REF!</v>
      </c>
      <c r="AO535" s="224">
        <f t="shared" si="65"/>
        <v>0</v>
      </c>
      <c r="AP535" s="224" t="e">
        <f t="shared" si="71"/>
        <v>#REF!</v>
      </c>
      <c r="AQ535" s="224"/>
      <c r="AR535" s="224"/>
      <c r="AS535" s="224"/>
      <c r="AT535" s="224" t="str">
        <f>IFERROR(VLOOKUP($A535,'Constancias POA'!$A$2:$DH$9993,17,FALSE),"")</f>
        <v/>
      </c>
      <c r="AU535" s="224" t="str">
        <f t="shared" si="66"/>
        <v/>
      </c>
      <c r="AV535" s="224" t="str">
        <f>IFERROR(VLOOKUP($A535,CP!$A$1:$U$7992,18,FALSE),"")</f>
        <v/>
      </c>
      <c r="AW535" s="224" t="str">
        <f>IFERROR(VLOOKUP($A535,CP!$A$1:$U$7992,19,FALSE),"")</f>
        <v/>
      </c>
      <c r="AX535" s="224" t="str">
        <f>IFERROR(VLOOKUP($A535,CP!$A$1:$U$7992,20,FALSE),"")</f>
        <v/>
      </c>
      <c r="AY535" s="224" t="str">
        <f>IFERROR(VLOOKUP($A535,CP!$A$1:$U$1,21,FALSE),"")</f>
        <v/>
      </c>
      <c r="AZ535" s="224" t="str">
        <f>IFERROR(VLOOKUP(A535,Devengado!$A$1:AJ1,35,FALSE),"")</f>
        <v/>
      </c>
      <c r="BA535" s="224" t="str">
        <f t="shared" si="67"/>
        <v/>
      </c>
      <c r="BB535" s="224" t="str">
        <f>IFERROR(AZ535/#REF!,"")</f>
        <v/>
      </c>
      <c r="BC535" s="224" t="str">
        <f>IFERROR(VLOOKUP($A535,Devengado!$A$1:$AI$1,22,FALSE),"")</f>
        <v/>
      </c>
      <c r="BD535" s="224" t="str">
        <f>IFERROR(VLOOKUP($A535,Devengado!$A$1:$AI$1,23,FALSE),"")</f>
        <v/>
      </c>
      <c r="BE535" s="224" t="str">
        <f>IFERROR(VLOOKUP($A535,Devengado!$A$1:$AI$1,24,FALSE),"")</f>
        <v/>
      </c>
      <c r="BF535" s="224" t="str">
        <f>IFERROR(VLOOKUP($A535,Devengado!$A$1:$AI$1,25,FALSE),"")</f>
        <v/>
      </c>
      <c r="BG535" s="224" t="str">
        <f>IFERROR(VLOOKUP($A535,Devengado!$A$1:$AI$1,26,FALSE),"")</f>
        <v/>
      </c>
      <c r="BH535" s="224" t="str">
        <f>IFERROR(VLOOKUP($A535,Devengado!$A$1:$AI$1,27,FALSE),"")</f>
        <v/>
      </c>
      <c r="BI535" s="224" t="str">
        <f>IFERROR(VLOOKUP($A535,Devengado!$A$1:$AI$1,28,FALSE),"")</f>
        <v/>
      </c>
      <c r="BJ535" s="224" t="str">
        <f>IFERROR(VLOOKUP($A535,Devengado!$A$1:$AI$1,29,FALSE),"")</f>
        <v/>
      </c>
      <c r="BK535" s="224" t="str">
        <f>IFERROR(VLOOKUP($A535,Devengado!$A$1:$AI$1,30,FALSE),"")</f>
        <v/>
      </c>
      <c r="BL535" s="224" t="str">
        <f>IFERROR(VLOOKUP($A535,Devengado!$A$1:$AI$1,31,FALSE),"")</f>
        <v/>
      </c>
      <c r="BM535" s="224" t="str">
        <f>IFERROR(VLOOKUP($A535,Devengado!$A$1:$AI$1,32,FALSE),"")</f>
        <v/>
      </c>
      <c r="BN535" s="224" t="str">
        <f>IFERROR(VLOOKUP($A535,Devengado!$A$1:$AI$1,33,FALSE),"")</f>
        <v/>
      </c>
      <c r="BO535" s="224">
        <f t="shared" si="68"/>
        <v>0</v>
      </c>
      <c r="BP535" s="224" t="str">
        <f t="shared" si="69"/>
        <v/>
      </c>
      <c r="BQ535" s="207"/>
      <c r="BR535" s="207" t="str">
        <f t="shared" si="70"/>
        <v>53</v>
      </c>
    </row>
    <row r="536" spans="1:70" s="225" customFormat="1" ht="25.5" customHeight="1">
      <c r="A536" s="207">
        <v>532</v>
      </c>
      <c r="B536" s="112" t="s">
        <v>73</v>
      </c>
      <c r="C536" s="112" t="s">
        <v>187</v>
      </c>
      <c r="D536" s="125" t="s">
        <v>515</v>
      </c>
      <c r="E536" s="125" t="s">
        <v>76</v>
      </c>
      <c r="F536" s="112" t="s">
        <v>77</v>
      </c>
      <c r="G536" s="112" t="s">
        <v>77</v>
      </c>
      <c r="H536" s="112" t="s">
        <v>77</v>
      </c>
      <c r="I536" s="112" t="s">
        <v>77</v>
      </c>
      <c r="J536" s="112" t="s">
        <v>77</v>
      </c>
      <c r="K536" s="112" t="s">
        <v>77</v>
      </c>
      <c r="L536" s="112" t="s">
        <v>85</v>
      </c>
      <c r="M536" s="112" t="s">
        <v>536</v>
      </c>
      <c r="N536" s="126">
        <v>9999</v>
      </c>
      <c r="O536" s="127" t="s">
        <v>80</v>
      </c>
      <c r="P536" s="127" t="s">
        <v>81</v>
      </c>
      <c r="Q536" s="127" t="s">
        <v>82</v>
      </c>
      <c r="R536" s="115" t="str">
        <f t="shared" si="64"/>
        <v>53</v>
      </c>
      <c r="S536" s="112">
        <v>530105</v>
      </c>
      <c r="T536" s="122" t="str">
        <f>VLOOKUP(S536,ITEM!$C$1:$D$156,2,FALSE)</f>
        <v>Telecomunicaciones</v>
      </c>
      <c r="U536" s="112">
        <v>1701</v>
      </c>
      <c r="V536" s="114" t="s">
        <v>82</v>
      </c>
      <c r="W536" s="114" t="s">
        <v>84</v>
      </c>
      <c r="X536" s="114" t="s">
        <v>84</v>
      </c>
      <c r="Y536" s="224" t="e">
        <f>'Matriz POA 2024-TRABAJO'!#REF!</f>
        <v>#REF!</v>
      </c>
      <c r="Z536" s="224" t="e">
        <f>'Matriz POA 2024-TRABAJO'!#REF!</f>
        <v>#REF!</v>
      </c>
      <c r="AA536" s="224" t="e">
        <f>'Matriz POA 2024-TRABAJO'!#REF!</f>
        <v>#REF!</v>
      </c>
      <c r="AB536" s="279">
        <v>600</v>
      </c>
      <c r="AC536" s="279">
        <v>600</v>
      </c>
      <c r="AD536" s="279">
        <v>600</v>
      </c>
      <c r="AE536" s="279">
        <v>600</v>
      </c>
      <c r="AF536" s="279">
        <v>600</v>
      </c>
      <c r="AG536" s="279">
        <v>600</v>
      </c>
      <c r="AH536" s="279">
        <v>0</v>
      </c>
      <c r="AI536" s="279">
        <v>0</v>
      </c>
      <c r="AJ536" s="279">
        <v>0</v>
      </c>
      <c r="AK536" s="279">
        <v>0</v>
      </c>
      <c r="AL536" s="279">
        <v>0</v>
      </c>
      <c r="AM536" s="279">
        <v>0</v>
      </c>
      <c r="AN536" s="224" t="e">
        <f>SUM(#REF!)</f>
        <v>#REF!</v>
      </c>
      <c r="AO536" s="224">
        <f t="shared" si="65"/>
        <v>3600</v>
      </c>
      <c r="AP536" s="224" t="e">
        <f t="shared" si="71"/>
        <v>#REF!</v>
      </c>
      <c r="AQ536" s="224"/>
      <c r="AR536" s="224"/>
      <c r="AS536" s="224"/>
      <c r="AT536" s="224" t="str">
        <f>IFERROR(VLOOKUP($A536,'Constancias POA'!$A$2:$DH$9993,17,FALSE),"")</f>
        <v/>
      </c>
      <c r="AU536" s="224" t="str">
        <f t="shared" si="66"/>
        <v/>
      </c>
      <c r="AV536" s="224" t="str">
        <f>IFERROR(VLOOKUP($A536,CP!$A$1:$U$7992,18,FALSE),"")</f>
        <v/>
      </c>
      <c r="AW536" s="224" t="str">
        <f>IFERROR(VLOOKUP($A536,CP!$A$1:$U$7992,19,FALSE),"")</f>
        <v/>
      </c>
      <c r="AX536" s="224" t="str">
        <f>IFERROR(VLOOKUP($A536,CP!$A$1:$U$7992,20,FALSE),"")</f>
        <v/>
      </c>
      <c r="AY536" s="224" t="str">
        <f>IFERROR(VLOOKUP($A536,CP!$A$1:$U$1,21,FALSE),"")</f>
        <v/>
      </c>
      <c r="AZ536" s="224" t="str">
        <f>IFERROR(VLOOKUP(A536,Devengado!$A$1:AJ1,35,FALSE),"")</f>
        <v/>
      </c>
      <c r="BA536" s="224" t="str">
        <f t="shared" si="67"/>
        <v/>
      </c>
      <c r="BB536" s="224" t="str">
        <f>IFERROR(AZ536/#REF!,"")</f>
        <v/>
      </c>
      <c r="BC536" s="224" t="str">
        <f>IFERROR(VLOOKUP($A536,Devengado!$A$1:$AI$1,22,FALSE),"")</f>
        <v/>
      </c>
      <c r="BD536" s="224" t="str">
        <f>IFERROR(VLOOKUP($A536,Devengado!$A$1:$AI$1,23,FALSE),"")</f>
        <v/>
      </c>
      <c r="BE536" s="224" t="str">
        <f>IFERROR(VLOOKUP($A536,Devengado!$A$1:$AI$1,24,FALSE),"")</f>
        <v/>
      </c>
      <c r="BF536" s="224" t="str">
        <f>IFERROR(VLOOKUP($A536,Devengado!$A$1:$AI$1,25,FALSE),"")</f>
        <v/>
      </c>
      <c r="BG536" s="224" t="str">
        <f>IFERROR(VLOOKUP($A536,Devengado!$A$1:$AI$1,26,FALSE),"")</f>
        <v/>
      </c>
      <c r="BH536" s="224" t="str">
        <f>IFERROR(VLOOKUP($A536,Devengado!$A$1:$AI$1,27,FALSE),"")</f>
        <v/>
      </c>
      <c r="BI536" s="224" t="str">
        <f>IFERROR(VLOOKUP($A536,Devengado!$A$1:$AI$1,28,FALSE),"")</f>
        <v/>
      </c>
      <c r="BJ536" s="224" t="str">
        <f>IFERROR(VLOOKUP($A536,Devengado!$A$1:$AI$1,29,FALSE),"")</f>
        <v/>
      </c>
      <c r="BK536" s="224" t="str">
        <f>IFERROR(VLOOKUP($A536,Devengado!$A$1:$AI$1,30,FALSE),"")</f>
        <v/>
      </c>
      <c r="BL536" s="224" t="str">
        <f>IFERROR(VLOOKUP($A536,Devengado!$A$1:$AI$1,31,FALSE),"")</f>
        <v/>
      </c>
      <c r="BM536" s="224" t="str">
        <f>IFERROR(VLOOKUP($A536,Devengado!$A$1:$AI$1,32,FALSE),"")</f>
        <v/>
      </c>
      <c r="BN536" s="224" t="str">
        <f>IFERROR(VLOOKUP($A536,Devengado!$A$1:$AI$1,33,FALSE),"")</f>
        <v/>
      </c>
      <c r="BO536" s="224">
        <f t="shared" si="68"/>
        <v>0</v>
      </c>
      <c r="BP536" s="224" t="str">
        <f t="shared" si="69"/>
        <v/>
      </c>
      <c r="BQ536" s="207"/>
      <c r="BR536" s="207" t="str">
        <f t="shared" si="70"/>
        <v>53</v>
      </c>
    </row>
    <row r="537" spans="1:70" s="225" customFormat="1" ht="25.5" customHeight="1">
      <c r="A537" s="207">
        <v>533</v>
      </c>
      <c r="B537" s="112" t="s">
        <v>73</v>
      </c>
      <c r="C537" s="112" t="s">
        <v>187</v>
      </c>
      <c r="D537" s="125" t="s">
        <v>515</v>
      </c>
      <c r="E537" s="125" t="s">
        <v>76</v>
      </c>
      <c r="F537" s="112" t="s">
        <v>77</v>
      </c>
      <c r="G537" s="112" t="s">
        <v>77</v>
      </c>
      <c r="H537" s="112" t="s">
        <v>77</v>
      </c>
      <c r="I537" s="112" t="s">
        <v>77</v>
      </c>
      <c r="J537" s="112" t="s">
        <v>77</v>
      </c>
      <c r="K537" s="112" t="s">
        <v>77</v>
      </c>
      <c r="L537" s="112" t="s">
        <v>85</v>
      </c>
      <c r="M537" s="112" t="s">
        <v>537</v>
      </c>
      <c r="N537" s="126">
        <v>9999</v>
      </c>
      <c r="O537" s="127" t="s">
        <v>80</v>
      </c>
      <c r="P537" s="127" t="s">
        <v>81</v>
      </c>
      <c r="Q537" s="127" t="s">
        <v>82</v>
      </c>
      <c r="R537" s="115" t="str">
        <f t="shared" si="64"/>
        <v>53</v>
      </c>
      <c r="S537" s="112">
        <v>530104</v>
      </c>
      <c r="T537" s="122" t="str">
        <f>VLOOKUP(S537,ITEM!$C$1:$D$156,2,FALSE)</f>
        <v>Energía Eléctrica</v>
      </c>
      <c r="U537" s="112">
        <v>1701</v>
      </c>
      <c r="V537" s="114" t="s">
        <v>82</v>
      </c>
      <c r="W537" s="114" t="s">
        <v>84</v>
      </c>
      <c r="X537" s="114" t="s">
        <v>84</v>
      </c>
      <c r="Y537" s="224" t="e">
        <f>'Matriz POA 2024-TRABAJO'!#REF!</f>
        <v>#REF!</v>
      </c>
      <c r="Z537" s="224" t="e">
        <f>'Matriz POA 2024-TRABAJO'!#REF!</f>
        <v>#REF!</v>
      </c>
      <c r="AA537" s="224" t="e">
        <f>'Matriz POA 2024-TRABAJO'!#REF!</f>
        <v>#REF!</v>
      </c>
      <c r="AB537" s="279">
        <v>12000</v>
      </c>
      <c r="AC537" s="279">
        <v>12000</v>
      </c>
      <c r="AD537" s="279">
        <v>12000</v>
      </c>
      <c r="AE537" s="279">
        <v>12000</v>
      </c>
      <c r="AF537" s="279">
        <v>12000</v>
      </c>
      <c r="AG537" s="279">
        <v>12000</v>
      </c>
      <c r="AH537" s="279">
        <v>0</v>
      </c>
      <c r="AI537" s="279">
        <v>0</v>
      </c>
      <c r="AJ537" s="279">
        <v>0</v>
      </c>
      <c r="AK537" s="279">
        <v>0</v>
      </c>
      <c r="AL537" s="279">
        <v>0</v>
      </c>
      <c r="AM537" s="279">
        <v>0</v>
      </c>
      <c r="AN537" s="224" t="e">
        <f>SUM(#REF!)</f>
        <v>#REF!</v>
      </c>
      <c r="AO537" s="224">
        <f t="shared" si="65"/>
        <v>72000</v>
      </c>
      <c r="AP537" s="224" t="e">
        <f t="shared" si="71"/>
        <v>#REF!</v>
      </c>
      <c r="AQ537" s="224"/>
      <c r="AR537" s="224"/>
      <c r="AS537" s="224"/>
      <c r="AT537" s="224" t="str">
        <f>IFERROR(VLOOKUP($A537,'Constancias POA'!$A$2:$DH$9993,17,FALSE),"")</f>
        <v/>
      </c>
      <c r="AU537" s="224" t="str">
        <f t="shared" si="66"/>
        <v/>
      </c>
      <c r="AV537" s="224" t="str">
        <f>IFERROR(VLOOKUP($A537,CP!$A$1:$U$7992,18,FALSE),"")</f>
        <v/>
      </c>
      <c r="AW537" s="224" t="str">
        <f>IFERROR(VLOOKUP($A537,CP!$A$1:$U$7992,19,FALSE),"")</f>
        <v/>
      </c>
      <c r="AX537" s="224" t="str">
        <f>IFERROR(VLOOKUP($A537,CP!$A$1:$U$7992,20,FALSE),"")</f>
        <v/>
      </c>
      <c r="AY537" s="224" t="str">
        <f>IFERROR(VLOOKUP($A537,CP!$A$1:$U$1,21,FALSE),"")</f>
        <v/>
      </c>
      <c r="AZ537" s="224" t="str">
        <f>IFERROR(VLOOKUP(A537,Devengado!$A$1:AJ1,35,FALSE),"")</f>
        <v/>
      </c>
      <c r="BA537" s="224" t="str">
        <f t="shared" si="67"/>
        <v/>
      </c>
      <c r="BB537" s="224" t="str">
        <f>IFERROR(AZ537/#REF!,"")</f>
        <v/>
      </c>
      <c r="BC537" s="224" t="str">
        <f>IFERROR(VLOOKUP($A537,Devengado!$A$1:$AI$1,22,FALSE),"")</f>
        <v/>
      </c>
      <c r="BD537" s="224" t="str">
        <f>IFERROR(VLOOKUP($A537,Devengado!$A$1:$AI$1,23,FALSE),"")</f>
        <v/>
      </c>
      <c r="BE537" s="224" t="str">
        <f>IFERROR(VLOOKUP($A537,Devengado!$A$1:$AI$1,24,FALSE),"")</f>
        <v/>
      </c>
      <c r="BF537" s="224" t="str">
        <f>IFERROR(VLOOKUP($A537,Devengado!$A$1:$AI$1,25,FALSE),"")</f>
        <v/>
      </c>
      <c r="BG537" s="224" t="str">
        <f>IFERROR(VLOOKUP($A537,Devengado!$A$1:$AI$1,26,FALSE),"")</f>
        <v/>
      </c>
      <c r="BH537" s="224" t="str">
        <f>IFERROR(VLOOKUP($A537,Devengado!$A$1:$AI$1,27,FALSE),"")</f>
        <v/>
      </c>
      <c r="BI537" s="224" t="str">
        <f>IFERROR(VLOOKUP($A537,Devengado!$A$1:$AI$1,28,FALSE),"")</f>
        <v/>
      </c>
      <c r="BJ537" s="224" t="str">
        <f>IFERROR(VLOOKUP($A537,Devengado!$A$1:$AI$1,29,FALSE),"")</f>
        <v/>
      </c>
      <c r="BK537" s="224" t="str">
        <f>IFERROR(VLOOKUP($A537,Devengado!$A$1:$AI$1,30,FALSE),"")</f>
        <v/>
      </c>
      <c r="BL537" s="224" t="str">
        <f>IFERROR(VLOOKUP($A537,Devengado!$A$1:$AI$1,31,FALSE),"")</f>
        <v/>
      </c>
      <c r="BM537" s="224" t="str">
        <f>IFERROR(VLOOKUP($A537,Devengado!$A$1:$AI$1,32,FALSE),"")</f>
        <v/>
      </c>
      <c r="BN537" s="224" t="str">
        <f>IFERROR(VLOOKUP($A537,Devengado!$A$1:$AI$1,33,FALSE),"")</f>
        <v/>
      </c>
      <c r="BO537" s="224">
        <f t="shared" si="68"/>
        <v>0</v>
      </c>
      <c r="BP537" s="224" t="str">
        <f t="shared" si="69"/>
        <v/>
      </c>
      <c r="BQ537" s="207"/>
      <c r="BR537" s="207" t="str">
        <f t="shared" si="70"/>
        <v>53</v>
      </c>
    </row>
    <row r="538" spans="1:70" s="225" customFormat="1" ht="25.5" customHeight="1">
      <c r="A538" s="207">
        <v>534</v>
      </c>
      <c r="B538" s="112" t="s">
        <v>73</v>
      </c>
      <c r="C538" s="112" t="s">
        <v>187</v>
      </c>
      <c r="D538" s="125" t="s">
        <v>515</v>
      </c>
      <c r="E538" s="125" t="s">
        <v>76</v>
      </c>
      <c r="F538" s="112" t="s">
        <v>77</v>
      </c>
      <c r="G538" s="112" t="s">
        <v>77</v>
      </c>
      <c r="H538" s="112" t="s">
        <v>77</v>
      </c>
      <c r="I538" s="112" t="s">
        <v>77</v>
      </c>
      <c r="J538" s="112" t="s">
        <v>77</v>
      </c>
      <c r="K538" s="112" t="s">
        <v>77</v>
      </c>
      <c r="L538" s="112" t="s">
        <v>85</v>
      </c>
      <c r="M538" s="112" t="s">
        <v>538</v>
      </c>
      <c r="N538" s="126">
        <v>9999</v>
      </c>
      <c r="O538" s="127" t="s">
        <v>80</v>
      </c>
      <c r="P538" s="127" t="s">
        <v>81</v>
      </c>
      <c r="Q538" s="127" t="s">
        <v>82</v>
      </c>
      <c r="R538" s="115" t="str">
        <f t="shared" si="64"/>
        <v>53</v>
      </c>
      <c r="S538" s="112">
        <v>530101</v>
      </c>
      <c r="T538" s="122" t="str">
        <f>VLOOKUP(S538,ITEM!$C$1:$D$156,2,FALSE)</f>
        <v>Agua Potable</v>
      </c>
      <c r="U538" s="112">
        <v>1701</v>
      </c>
      <c r="V538" s="114" t="s">
        <v>82</v>
      </c>
      <c r="W538" s="114" t="s">
        <v>84</v>
      </c>
      <c r="X538" s="114" t="s">
        <v>84</v>
      </c>
      <c r="Y538" s="224" t="e">
        <f>'Matriz POA 2024-TRABAJO'!#REF!</f>
        <v>#REF!</v>
      </c>
      <c r="Z538" s="224" t="e">
        <f>'Matriz POA 2024-TRABAJO'!#REF!</f>
        <v>#REF!</v>
      </c>
      <c r="AA538" s="224" t="e">
        <f>'Matriz POA 2024-TRABAJO'!#REF!</f>
        <v>#REF!</v>
      </c>
      <c r="AB538" s="279">
        <v>17680.84</v>
      </c>
      <c r="AC538" s="279">
        <v>17680.84</v>
      </c>
      <c r="AD538" s="279">
        <v>17680.84</v>
      </c>
      <c r="AE538" s="279">
        <v>17680.84</v>
      </c>
      <c r="AF538" s="279"/>
      <c r="AG538" s="279"/>
      <c r="AH538" s="279"/>
      <c r="AI538" s="279">
        <v>0</v>
      </c>
      <c r="AJ538" s="279">
        <v>0</v>
      </c>
      <c r="AK538" s="279">
        <v>0</v>
      </c>
      <c r="AL538" s="279"/>
      <c r="AM538" s="279"/>
      <c r="AN538" s="224" t="e">
        <f>SUM(#REF!)</f>
        <v>#REF!</v>
      </c>
      <c r="AO538" s="224">
        <f t="shared" si="65"/>
        <v>70723.360000000001</v>
      </c>
      <c r="AP538" s="224" t="e">
        <f t="shared" si="71"/>
        <v>#REF!</v>
      </c>
      <c r="AQ538" s="224"/>
      <c r="AR538" s="224"/>
      <c r="AS538" s="224"/>
      <c r="AT538" s="224" t="str">
        <f>IFERROR(VLOOKUP($A538,'Constancias POA'!$A$2:$DH$9993,17,FALSE),"")</f>
        <v/>
      </c>
      <c r="AU538" s="224" t="str">
        <f t="shared" si="66"/>
        <v/>
      </c>
      <c r="AV538" s="224" t="str">
        <f>IFERROR(VLOOKUP($A538,CP!$A$1:$U$7992,18,FALSE),"")</f>
        <v/>
      </c>
      <c r="AW538" s="224" t="str">
        <f>IFERROR(VLOOKUP($A538,CP!$A$1:$U$7992,19,FALSE),"")</f>
        <v/>
      </c>
      <c r="AX538" s="224" t="str">
        <f>IFERROR(VLOOKUP($A538,CP!$A$1:$U$7992,20,FALSE),"")</f>
        <v/>
      </c>
      <c r="AY538" s="224" t="str">
        <f>IFERROR(VLOOKUP($A538,CP!$A$1:$U$1,21,FALSE),"")</f>
        <v/>
      </c>
      <c r="AZ538" s="224" t="str">
        <f>IFERROR(VLOOKUP(A538,Devengado!$A$1:AJ1,35,FALSE),"")</f>
        <v/>
      </c>
      <c r="BA538" s="224" t="str">
        <f t="shared" si="67"/>
        <v/>
      </c>
      <c r="BB538" s="224" t="str">
        <f>IFERROR(AZ538/#REF!,"")</f>
        <v/>
      </c>
      <c r="BC538" s="224" t="str">
        <f>IFERROR(VLOOKUP($A538,Devengado!$A$1:$AI$1,22,FALSE),"")</f>
        <v/>
      </c>
      <c r="BD538" s="224" t="str">
        <f>IFERROR(VLOOKUP($A538,Devengado!$A$1:$AI$1,23,FALSE),"")</f>
        <v/>
      </c>
      <c r="BE538" s="224" t="str">
        <f>IFERROR(VLOOKUP($A538,Devengado!$A$1:$AI$1,24,FALSE),"")</f>
        <v/>
      </c>
      <c r="BF538" s="224" t="str">
        <f>IFERROR(VLOOKUP($A538,Devengado!$A$1:$AI$1,25,FALSE),"")</f>
        <v/>
      </c>
      <c r="BG538" s="224" t="str">
        <f>IFERROR(VLOOKUP($A538,Devengado!$A$1:$AI$1,26,FALSE),"")</f>
        <v/>
      </c>
      <c r="BH538" s="224" t="str">
        <f>IFERROR(VLOOKUP($A538,Devengado!$A$1:$AI$1,27,FALSE),"")</f>
        <v/>
      </c>
      <c r="BI538" s="224" t="str">
        <f>IFERROR(VLOOKUP($A538,Devengado!$A$1:$AI$1,28,FALSE),"")</f>
        <v/>
      </c>
      <c r="BJ538" s="224" t="str">
        <f>IFERROR(VLOOKUP($A538,Devengado!$A$1:$AI$1,29,FALSE),"")</f>
        <v/>
      </c>
      <c r="BK538" s="224" t="str">
        <f>IFERROR(VLOOKUP($A538,Devengado!$A$1:$AI$1,30,FALSE),"")</f>
        <v/>
      </c>
      <c r="BL538" s="224" t="str">
        <f>IFERROR(VLOOKUP($A538,Devengado!$A$1:$AI$1,31,FALSE),"")</f>
        <v/>
      </c>
      <c r="BM538" s="224" t="str">
        <f>IFERROR(VLOOKUP($A538,Devengado!$A$1:$AI$1,32,FALSE),"")</f>
        <v/>
      </c>
      <c r="BN538" s="224" t="str">
        <f>IFERROR(VLOOKUP($A538,Devengado!$A$1:$AI$1,33,FALSE),"")</f>
        <v/>
      </c>
      <c r="BO538" s="224">
        <f t="shared" si="68"/>
        <v>0</v>
      </c>
      <c r="BP538" s="224" t="str">
        <f t="shared" si="69"/>
        <v/>
      </c>
      <c r="BQ538" s="207"/>
      <c r="BR538" s="207" t="str">
        <f t="shared" si="70"/>
        <v>53</v>
      </c>
    </row>
    <row r="539" spans="1:70" s="225" customFormat="1" ht="25.5" customHeight="1">
      <c r="A539" s="207">
        <v>535</v>
      </c>
      <c r="B539" s="112" t="s">
        <v>73</v>
      </c>
      <c r="C539" s="112" t="s">
        <v>187</v>
      </c>
      <c r="D539" s="125" t="s">
        <v>515</v>
      </c>
      <c r="E539" s="125" t="s">
        <v>76</v>
      </c>
      <c r="F539" s="112" t="s">
        <v>77</v>
      </c>
      <c r="G539" s="112" t="s">
        <v>77</v>
      </c>
      <c r="H539" s="112" t="s">
        <v>77</v>
      </c>
      <c r="I539" s="112" t="s">
        <v>77</v>
      </c>
      <c r="J539" s="112" t="s">
        <v>77</v>
      </c>
      <c r="K539" s="112" t="s">
        <v>77</v>
      </c>
      <c r="L539" s="112" t="s">
        <v>85</v>
      </c>
      <c r="M539" s="112" t="s">
        <v>539</v>
      </c>
      <c r="N539" s="126">
        <v>9999</v>
      </c>
      <c r="O539" s="127" t="s">
        <v>80</v>
      </c>
      <c r="P539" s="127" t="s">
        <v>81</v>
      </c>
      <c r="Q539" s="127" t="s">
        <v>82</v>
      </c>
      <c r="R539" s="115" t="str">
        <f t="shared" si="64"/>
        <v>57</v>
      </c>
      <c r="S539" s="112">
        <v>570102</v>
      </c>
      <c r="T539" s="122" t="e">
        <f>VLOOKUP(S539,ITEM!$C$1:$D$156,2,FALSE)</f>
        <v>#N/A</v>
      </c>
      <c r="U539" s="112">
        <v>1701</v>
      </c>
      <c r="V539" s="114" t="s">
        <v>82</v>
      </c>
      <c r="W539" s="114" t="s">
        <v>84</v>
      </c>
      <c r="X539" s="114" t="s">
        <v>84</v>
      </c>
      <c r="Y539" s="224" t="e">
        <f>'Matriz POA 2024-TRABAJO'!#REF!</f>
        <v>#REF!</v>
      </c>
      <c r="Z539" s="224" t="e">
        <f>'Matriz POA 2024-TRABAJO'!#REF!</f>
        <v>#REF!</v>
      </c>
      <c r="AA539" s="224" t="e">
        <f>'Matriz POA 2024-TRABAJO'!#REF!</f>
        <v>#REF!</v>
      </c>
      <c r="AB539" s="279">
        <v>35000</v>
      </c>
      <c r="AC539" s="279">
        <v>0</v>
      </c>
      <c r="AD539" s="279">
        <v>0</v>
      </c>
      <c r="AE539" s="279">
        <v>0</v>
      </c>
      <c r="AF539" s="279">
        <v>0</v>
      </c>
      <c r="AG539" s="279">
        <v>0</v>
      </c>
      <c r="AH539" s="279">
        <v>0</v>
      </c>
      <c r="AI539" s="279">
        <v>0</v>
      </c>
      <c r="AJ539" s="279">
        <v>0</v>
      </c>
      <c r="AK539" s="279">
        <v>0</v>
      </c>
      <c r="AL539" s="279">
        <v>0</v>
      </c>
      <c r="AM539" s="279">
        <v>0</v>
      </c>
      <c r="AN539" s="224" t="e">
        <f>SUM(#REF!)</f>
        <v>#REF!</v>
      </c>
      <c r="AO539" s="224">
        <f t="shared" si="65"/>
        <v>35000</v>
      </c>
      <c r="AP539" s="224" t="e">
        <f t="shared" si="71"/>
        <v>#REF!</v>
      </c>
      <c r="AQ539" s="224"/>
      <c r="AR539" s="224"/>
      <c r="AS539" s="224"/>
      <c r="AT539" s="224" t="str">
        <f>IFERROR(VLOOKUP($A539,'Constancias POA'!$A$2:$DH$9993,17,FALSE),"")</f>
        <v/>
      </c>
      <c r="AU539" s="224" t="str">
        <f t="shared" si="66"/>
        <v/>
      </c>
      <c r="AV539" s="224" t="str">
        <f>IFERROR(VLOOKUP($A539,CP!$A$1:$U$7992,18,FALSE),"")</f>
        <v/>
      </c>
      <c r="AW539" s="224" t="str">
        <f>IFERROR(VLOOKUP($A539,CP!$A$1:$U$7992,19,FALSE),"")</f>
        <v/>
      </c>
      <c r="AX539" s="224" t="str">
        <f>IFERROR(VLOOKUP($A539,CP!$A$1:$U$7992,20,FALSE),"")</f>
        <v/>
      </c>
      <c r="AY539" s="224" t="str">
        <f>IFERROR(VLOOKUP($A539,CP!$A$1:$U$1,21,FALSE),"")</f>
        <v/>
      </c>
      <c r="AZ539" s="224" t="str">
        <f>IFERROR(VLOOKUP(A539,Devengado!$A$1:AJ1,35,FALSE),"")</f>
        <v/>
      </c>
      <c r="BA539" s="224" t="str">
        <f t="shared" si="67"/>
        <v/>
      </c>
      <c r="BB539" s="224" t="str">
        <f>IFERROR(AZ539/#REF!,"")</f>
        <v/>
      </c>
      <c r="BC539" s="224" t="str">
        <f>IFERROR(VLOOKUP($A539,Devengado!$A$1:$AI$1,22,FALSE),"")</f>
        <v/>
      </c>
      <c r="BD539" s="224" t="str">
        <f>IFERROR(VLOOKUP($A539,Devengado!$A$1:$AI$1,23,FALSE),"")</f>
        <v/>
      </c>
      <c r="BE539" s="224" t="str">
        <f>IFERROR(VLOOKUP($A539,Devengado!$A$1:$AI$1,24,FALSE),"")</f>
        <v/>
      </c>
      <c r="BF539" s="224" t="str">
        <f>IFERROR(VLOOKUP($A539,Devengado!$A$1:$AI$1,25,FALSE),"")</f>
        <v/>
      </c>
      <c r="BG539" s="224" t="str">
        <f>IFERROR(VLOOKUP($A539,Devengado!$A$1:$AI$1,26,FALSE),"")</f>
        <v/>
      </c>
      <c r="BH539" s="224" t="str">
        <f>IFERROR(VLOOKUP($A539,Devengado!$A$1:$AI$1,27,FALSE),"")</f>
        <v/>
      </c>
      <c r="BI539" s="224" t="str">
        <f>IFERROR(VLOOKUP($A539,Devengado!$A$1:$AI$1,28,FALSE),"")</f>
        <v/>
      </c>
      <c r="BJ539" s="224" t="str">
        <f>IFERROR(VLOOKUP($A539,Devengado!$A$1:$AI$1,29,FALSE),"")</f>
        <v/>
      </c>
      <c r="BK539" s="224" t="str">
        <f>IFERROR(VLOOKUP($A539,Devengado!$A$1:$AI$1,30,FALSE),"")</f>
        <v/>
      </c>
      <c r="BL539" s="224" t="str">
        <f>IFERROR(VLOOKUP($A539,Devengado!$A$1:$AI$1,31,FALSE),"")</f>
        <v/>
      </c>
      <c r="BM539" s="224" t="str">
        <f>IFERROR(VLOOKUP($A539,Devengado!$A$1:$AI$1,32,FALSE),"")</f>
        <v/>
      </c>
      <c r="BN539" s="224" t="str">
        <f>IFERROR(VLOOKUP($A539,Devengado!$A$1:$AI$1,33,FALSE),"")</f>
        <v/>
      </c>
      <c r="BO539" s="224">
        <f t="shared" si="68"/>
        <v>0</v>
      </c>
      <c r="BP539" s="224" t="str">
        <f t="shared" si="69"/>
        <v/>
      </c>
      <c r="BQ539" s="207"/>
      <c r="BR539" s="207" t="str">
        <f t="shared" si="70"/>
        <v>57</v>
      </c>
    </row>
    <row r="540" spans="1:70" s="225" customFormat="1" ht="25.5" customHeight="1">
      <c r="A540" s="207">
        <v>536</v>
      </c>
      <c r="B540" s="112" t="s">
        <v>73</v>
      </c>
      <c r="C540" s="112" t="s">
        <v>187</v>
      </c>
      <c r="D540" s="125" t="s">
        <v>515</v>
      </c>
      <c r="E540" s="125" t="s">
        <v>76</v>
      </c>
      <c r="F540" s="112" t="s">
        <v>77</v>
      </c>
      <c r="G540" s="112" t="s">
        <v>77</v>
      </c>
      <c r="H540" s="112" t="s">
        <v>77</v>
      </c>
      <c r="I540" s="112" t="s">
        <v>77</v>
      </c>
      <c r="J540" s="112" t="s">
        <v>77</v>
      </c>
      <c r="K540" s="112" t="s">
        <v>77</v>
      </c>
      <c r="L540" s="112" t="s">
        <v>85</v>
      </c>
      <c r="M540" s="112" t="s">
        <v>540</v>
      </c>
      <c r="N540" s="126">
        <v>9999</v>
      </c>
      <c r="O540" s="127" t="s">
        <v>80</v>
      </c>
      <c r="P540" s="127" t="s">
        <v>81</v>
      </c>
      <c r="Q540" s="127" t="s">
        <v>82</v>
      </c>
      <c r="R540" s="115" t="str">
        <f t="shared" si="64"/>
        <v>53</v>
      </c>
      <c r="S540" s="112">
        <v>530402</v>
      </c>
      <c r="T540" s="122" t="str">
        <f>VLOOKUP(S540,ITEM!$C$1:$D$156,2,FALSE)</f>
        <v>Edificios, Locales, Residencias y Cableado Estructurado (Instalación, Mantenimiento y Reparación)</v>
      </c>
      <c r="U540" s="112">
        <v>1701</v>
      </c>
      <c r="V540" s="114" t="s">
        <v>82</v>
      </c>
      <c r="W540" s="114" t="s">
        <v>84</v>
      </c>
      <c r="X540" s="114" t="s">
        <v>84</v>
      </c>
      <c r="Y540" s="224" t="e">
        <f>'Matriz POA 2024-TRABAJO'!#REF!</f>
        <v>#REF!</v>
      </c>
      <c r="Z540" s="224" t="e">
        <f>'Matriz POA 2024-TRABAJO'!#REF!</f>
        <v>#REF!</v>
      </c>
      <c r="AA540" s="224" t="e">
        <f>'Matriz POA 2024-TRABAJO'!#REF!</f>
        <v>#REF!</v>
      </c>
      <c r="AB540" s="279">
        <v>0</v>
      </c>
      <c r="AC540" s="279">
        <v>100</v>
      </c>
      <c r="AD540" s="279">
        <v>0</v>
      </c>
      <c r="AE540" s="279">
        <v>0</v>
      </c>
      <c r="AF540" s="279">
        <v>0</v>
      </c>
      <c r="AG540" s="279">
        <v>0</v>
      </c>
      <c r="AH540" s="279">
        <v>0</v>
      </c>
      <c r="AI540" s="279">
        <v>0</v>
      </c>
      <c r="AJ540" s="279">
        <v>0</v>
      </c>
      <c r="AK540" s="279">
        <v>0</v>
      </c>
      <c r="AL540" s="279">
        <v>0</v>
      </c>
      <c r="AM540" s="279">
        <v>0</v>
      </c>
      <c r="AN540" s="224" t="e">
        <f>SUM(#REF!)</f>
        <v>#REF!</v>
      </c>
      <c r="AO540" s="224">
        <f t="shared" si="65"/>
        <v>100</v>
      </c>
      <c r="AP540" s="224" t="e">
        <f t="shared" si="71"/>
        <v>#REF!</v>
      </c>
      <c r="AQ540" s="224"/>
      <c r="AR540" s="224"/>
      <c r="AS540" s="224"/>
      <c r="AT540" s="224" t="str">
        <f>IFERROR(VLOOKUP($A540,'Constancias POA'!$A$2:$DH$9993,17,FALSE),"")</f>
        <v/>
      </c>
      <c r="AU540" s="224" t="str">
        <f t="shared" si="66"/>
        <v/>
      </c>
      <c r="AV540" s="224" t="str">
        <f>IFERROR(VLOOKUP($A540,CP!$A$1:$U$7992,18,FALSE),"")</f>
        <v/>
      </c>
      <c r="AW540" s="224" t="str">
        <f>IFERROR(VLOOKUP($A540,CP!$A$1:$U$7992,19,FALSE),"")</f>
        <v/>
      </c>
      <c r="AX540" s="224" t="str">
        <f>IFERROR(VLOOKUP($A540,CP!$A$1:$U$7992,20,FALSE),"")</f>
        <v/>
      </c>
      <c r="AY540" s="224" t="str">
        <f>IFERROR(VLOOKUP($A540,CP!$A$1:$U$1,21,FALSE),"")</f>
        <v/>
      </c>
      <c r="AZ540" s="224" t="str">
        <f>IFERROR(VLOOKUP(A540,Devengado!$A$1:AJ1,35,FALSE),"")</f>
        <v/>
      </c>
      <c r="BA540" s="224" t="str">
        <f t="shared" si="67"/>
        <v/>
      </c>
      <c r="BB540" s="224" t="str">
        <f>IFERROR(AZ540/#REF!,"")</f>
        <v/>
      </c>
      <c r="BC540" s="224" t="str">
        <f>IFERROR(VLOOKUP($A540,Devengado!$A$1:$AI$1,22,FALSE),"")</f>
        <v/>
      </c>
      <c r="BD540" s="224" t="str">
        <f>IFERROR(VLOOKUP($A540,Devengado!$A$1:$AI$1,23,FALSE),"")</f>
        <v/>
      </c>
      <c r="BE540" s="224" t="str">
        <f>IFERROR(VLOOKUP($A540,Devengado!$A$1:$AI$1,24,FALSE),"")</f>
        <v/>
      </c>
      <c r="BF540" s="224" t="str">
        <f>IFERROR(VLOOKUP($A540,Devengado!$A$1:$AI$1,25,FALSE),"")</f>
        <v/>
      </c>
      <c r="BG540" s="224" t="str">
        <f>IFERROR(VLOOKUP($A540,Devengado!$A$1:$AI$1,26,FALSE),"")</f>
        <v/>
      </c>
      <c r="BH540" s="224" t="str">
        <f>IFERROR(VLOOKUP($A540,Devengado!$A$1:$AI$1,27,FALSE),"")</f>
        <v/>
      </c>
      <c r="BI540" s="224" t="str">
        <f>IFERROR(VLOOKUP($A540,Devengado!$A$1:$AI$1,28,FALSE),"")</f>
        <v/>
      </c>
      <c r="BJ540" s="224" t="str">
        <f>IFERROR(VLOOKUP($A540,Devengado!$A$1:$AI$1,29,FALSE),"")</f>
        <v/>
      </c>
      <c r="BK540" s="224" t="str">
        <f>IFERROR(VLOOKUP($A540,Devengado!$A$1:$AI$1,30,FALSE),"")</f>
        <v/>
      </c>
      <c r="BL540" s="224" t="str">
        <f>IFERROR(VLOOKUP($A540,Devengado!$A$1:$AI$1,31,FALSE),"")</f>
        <v/>
      </c>
      <c r="BM540" s="224" t="str">
        <f>IFERROR(VLOOKUP($A540,Devengado!$A$1:$AI$1,32,FALSE),"")</f>
        <v/>
      </c>
      <c r="BN540" s="224" t="str">
        <f>IFERROR(VLOOKUP($A540,Devengado!$A$1:$AI$1,33,FALSE),"")</f>
        <v/>
      </c>
      <c r="BO540" s="224">
        <f t="shared" si="68"/>
        <v>0</v>
      </c>
      <c r="BP540" s="224" t="str">
        <f t="shared" si="69"/>
        <v/>
      </c>
      <c r="BQ540" s="207"/>
      <c r="BR540" s="207" t="str">
        <f t="shared" si="70"/>
        <v>53</v>
      </c>
    </row>
    <row r="541" spans="1:70" s="225" customFormat="1" ht="25.5" customHeight="1">
      <c r="A541" s="207">
        <v>537</v>
      </c>
      <c r="B541" s="112" t="s">
        <v>73</v>
      </c>
      <c r="C541" s="112" t="s">
        <v>187</v>
      </c>
      <c r="D541" s="125" t="s">
        <v>515</v>
      </c>
      <c r="E541" s="125" t="s">
        <v>76</v>
      </c>
      <c r="F541" s="112" t="s">
        <v>77</v>
      </c>
      <c r="G541" s="112" t="s">
        <v>77</v>
      </c>
      <c r="H541" s="112" t="s">
        <v>77</v>
      </c>
      <c r="I541" s="112" t="s">
        <v>77</v>
      </c>
      <c r="J541" s="112" t="s">
        <v>77</v>
      </c>
      <c r="K541" s="112" t="s">
        <v>77</v>
      </c>
      <c r="L541" s="112" t="s">
        <v>85</v>
      </c>
      <c r="M541" s="112" t="s">
        <v>540</v>
      </c>
      <c r="N541" s="126">
        <v>9999</v>
      </c>
      <c r="O541" s="127" t="s">
        <v>80</v>
      </c>
      <c r="P541" s="127" t="s">
        <v>81</v>
      </c>
      <c r="Q541" s="127" t="s">
        <v>82</v>
      </c>
      <c r="R541" s="115" t="str">
        <f t="shared" si="64"/>
        <v>53</v>
      </c>
      <c r="S541" s="134">
        <v>530402</v>
      </c>
      <c r="T541" s="122" t="str">
        <f>VLOOKUP(S541,ITEM!$C$1:$D$156,2,FALSE)</f>
        <v>Edificios, Locales, Residencias y Cableado Estructurado (Instalación, Mantenimiento y Reparación)</v>
      </c>
      <c r="U541" s="112">
        <v>1701</v>
      </c>
      <c r="V541" s="114" t="s">
        <v>82</v>
      </c>
      <c r="W541" s="114" t="s">
        <v>84</v>
      </c>
      <c r="X541" s="114" t="s">
        <v>84</v>
      </c>
      <c r="Y541" s="224" t="e">
        <f>'Matriz POA 2024-TRABAJO'!#REF!</f>
        <v>#REF!</v>
      </c>
      <c r="Z541" s="224" t="e">
        <f>'Matriz POA 2024-TRABAJO'!#REF!</f>
        <v>#REF!</v>
      </c>
      <c r="AA541" s="224" t="e">
        <f>'Matriz POA 2024-TRABAJO'!#REF!</f>
        <v>#REF!</v>
      </c>
      <c r="AB541" s="279">
        <v>0</v>
      </c>
      <c r="AC541" s="279">
        <v>200</v>
      </c>
      <c r="AD541" s="279">
        <v>0</v>
      </c>
      <c r="AE541" s="279">
        <v>0</v>
      </c>
      <c r="AF541" s="279">
        <v>200</v>
      </c>
      <c r="AG541" s="279">
        <v>0</v>
      </c>
      <c r="AH541" s="279">
        <v>0</v>
      </c>
      <c r="AI541" s="279">
        <v>0</v>
      </c>
      <c r="AJ541" s="279">
        <v>0</v>
      </c>
      <c r="AK541" s="279">
        <v>0</v>
      </c>
      <c r="AL541" s="279">
        <v>0</v>
      </c>
      <c r="AM541" s="279">
        <v>0</v>
      </c>
      <c r="AN541" s="224" t="e">
        <f>SUM(#REF!)</f>
        <v>#REF!</v>
      </c>
      <c r="AO541" s="224">
        <f t="shared" si="65"/>
        <v>400</v>
      </c>
      <c r="AP541" s="224" t="e">
        <f t="shared" si="71"/>
        <v>#REF!</v>
      </c>
      <c r="AQ541" s="224"/>
      <c r="AR541" s="224"/>
      <c r="AS541" s="224"/>
      <c r="AT541" s="224" t="str">
        <f>IFERROR(VLOOKUP($A541,'Constancias POA'!$A$2:$DH$9993,17,FALSE),"")</f>
        <v/>
      </c>
      <c r="AU541" s="224" t="str">
        <f t="shared" si="66"/>
        <v/>
      </c>
      <c r="AV541" s="224" t="str">
        <f>IFERROR(VLOOKUP($A541,CP!$A$1:$U$7992,18,FALSE),"")</f>
        <v/>
      </c>
      <c r="AW541" s="224" t="str">
        <f>IFERROR(VLOOKUP($A541,CP!$A$1:$U$7992,19,FALSE),"")</f>
        <v/>
      </c>
      <c r="AX541" s="224" t="str">
        <f>IFERROR(VLOOKUP($A541,CP!$A$1:$U$7992,20,FALSE),"")</f>
        <v/>
      </c>
      <c r="AY541" s="224" t="str">
        <f>IFERROR(VLOOKUP($A541,CP!$A$1:$U$1,21,FALSE),"")</f>
        <v/>
      </c>
      <c r="AZ541" s="224" t="str">
        <f>IFERROR(VLOOKUP(A541,Devengado!$A$1:AJ1,35,FALSE),"")</f>
        <v/>
      </c>
      <c r="BA541" s="224" t="str">
        <f t="shared" si="67"/>
        <v/>
      </c>
      <c r="BB541" s="224" t="str">
        <f>IFERROR(AZ541/#REF!,"")</f>
        <v/>
      </c>
      <c r="BC541" s="224" t="str">
        <f>IFERROR(VLOOKUP($A541,Devengado!$A$1:$AI$1,22,FALSE),"")</f>
        <v/>
      </c>
      <c r="BD541" s="224" t="str">
        <f>IFERROR(VLOOKUP($A541,Devengado!$A$1:$AI$1,23,FALSE),"")</f>
        <v/>
      </c>
      <c r="BE541" s="224" t="str">
        <f>IFERROR(VLOOKUP($A541,Devengado!$A$1:$AI$1,24,FALSE),"")</f>
        <v/>
      </c>
      <c r="BF541" s="224" t="str">
        <f>IFERROR(VLOOKUP($A541,Devengado!$A$1:$AI$1,25,FALSE),"")</f>
        <v/>
      </c>
      <c r="BG541" s="224" t="str">
        <f>IFERROR(VLOOKUP($A541,Devengado!$A$1:$AI$1,26,FALSE),"")</f>
        <v/>
      </c>
      <c r="BH541" s="224" t="str">
        <f>IFERROR(VLOOKUP($A541,Devengado!$A$1:$AI$1,27,FALSE),"")</f>
        <v/>
      </c>
      <c r="BI541" s="224" t="str">
        <f>IFERROR(VLOOKUP($A541,Devengado!$A$1:$AI$1,28,FALSE),"")</f>
        <v/>
      </c>
      <c r="BJ541" s="224" t="str">
        <f>IFERROR(VLOOKUP($A541,Devengado!$A$1:$AI$1,29,FALSE),"")</f>
        <v/>
      </c>
      <c r="BK541" s="224" t="str">
        <f>IFERROR(VLOOKUP($A541,Devengado!$A$1:$AI$1,30,FALSE),"")</f>
        <v/>
      </c>
      <c r="BL541" s="224" t="str">
        <f>IFERROR(VLOOKUP($A541,Devengado!$A$1:$AI$1,31,FALSE),"")</f>
        <v/>
      </c>
      <c r="BM541" s="224" t="str">
        <f>IFERROR(VLOOKUP($A541,Devengado!$A$1:$AI$1,32,FALSE),"")</f>
        <v/>
      </c>
      <c r="BN541" s="224" t="str">
        <f>IFERROR(VLOOKUP($A541,Devengado!$A$1:$AI$1,33,FALSE),"")</f>
        <v/>
      </c>
      <c r="BO541" s="224">
        <f t="shared" si="68"/>
        <v>0</v>
      </c>
      <c r="BP541" s="224" t="str">
        <f t="shared" si="69"/>
        <v/>
      </c>
      <c r="BQ541" s="207"/>
      <c r="BR541" s="207" t="str">
        <f t="shared" si="70"/>
        <v>53</v>
      </c>
    </row>
    <row r="542" spans="1:70" s="225" customFormat="1" ht="25.5" customHeight="1">
      <c r="A542" s="207">
        <v>538</v>
      </c>
      <c r="B542" s="112" t="s">
        <v>73</v>
      </c>
      <c r="C542" s="112" t="s">
        <v>187</v>
      </c>
      <c r="D542" s="125" t="s">
        <v>515</v>
      </c>
      <c r="E542" s="125" t="s">
        <v>76</v>
      </c>
      <c r="F542" s="112" t="s">
        <v>77</v>
      </c>
      <c r="G542" s="112" t="s">
        <v>77</v>
      </c>
      <c r="H542" s="112" t="s">
        <v>77</v>
      </c>
      <c r="I542" s="112" t="s">
        <v>77</v>
      </c>
      <c r="J542" s="112" t="s">
        <v>77</v>
      </c>
      <c r="K542" s="112" t="s">
        <v>77</v>
      </c>
      <c r="L542" s="112" t="s">
        <v>85</v>
      </c>
      <c r="M542" s="112" t="s">
        <v>540</v>
      </c>
      <c r="N542" s="126">
        <v>9999</v>
      </c>
      <c r="O542" s="127" t="s">
        <v>80</v>
      </c>
      <c r="P542" s="127" t="s">
        <v>81</v>
      </c>
      <c r="Q542" s="127" t="s">
        <v>82</v>
      </c>
      <c r="R542" s="115" t="str">
        <f t="shared" si="64"/>
        <v>53</v>
      </c>
      <c r="S542" s="134">
        <v>530811</v>
      </c>
      <c r="T542" s="122" t="e">
        <f>VLOOKUP(S542,ITEM!$C$1:$D$156,2,FALSE)</f>
        <v>#N/A</v>
      </c>
      <c r="U542" s="112">
        <v>1701</v>
      </c>
      <c r="V542" s="114" t="s">
        <v>82</v>
      </c>
      <c r="W542" s="114" t="s">
        <v>84</v>
      </c>
      <c r="X542" s="114" t="s">
        <v>84</v>
      </c>
      <c r="Y542" s="224" t="e">
        <f>'Matriz POA 2024-TRABAJO'!#REF!</f>
        <v>#REF!</v>
      </c>
      <c r="Z542" s="224" t="e">
        <f>'Matriz POA 2024-TRABAJO'!#REF!</f>
        <v>#REF!</v>
      </c>
      <c r="AA542" s="224" t="e">
        <f>'Matriz POA 2024-TRABAJO'!#REF!</f>
        <v>#REF!</v>
      </c>
      <c r="AB542" s="279">
        <v>0</v>
      </c>
      <c r="AC542" s="279">
        <v>250</v>
      </c>
      <c r="AD542" s="279">
        <v>0</v>
      </c>
      <c r="AE542" s="279">
        <v>0</v>
      </c>
      <c r="AF542" s="279">
        <v>250</v>
      </c>
      <c r="AG542" s="279">
        <v>0</v>
      </c>
      <c r="AH542" s="279">
        <v>0</v>
      </c>
      <c r="AI542" s="279">
        <v>0</v>
      </c>
      <c r="AJ542" s="279">
        <v>0</v>
      </c>
      <c r="AK542" s="279">
        <v>0</v>
      </c>
      <c r="AL542" s="279">
        <v>0</v>
      </c>
      <c r="AM542" s="279">
        <v>0</v>
      </c>
      <c r="AN542" s="224" t="e">
        <f>SUM(#REF!)</f>
        <v>#REF!</v>
      </c>
      <c r="AO542" s="224">
        <f t="shared" si="65"/>
        <v>500</v>
      </c>
      <c r="AP542" s="224" t="e">
        <f t="shared" si="71"/>
        <v>#REF!</v>
      </c>
      <c r="AQ542" s="224"/>
      <c r="AR542" s="224"/>
      <c r="AS542" s="224"/>
      <c r="AT542" s="224" t="str">
        <f>IFERROR(VLOOKUP($A542,'Constancias POA'!$A$2:$DH$9993,17,FALSE),"")</f>
        <v/>
      </c>
      <c r="AU542" s="224" t="str">
        <f t="shared" si="66"/>
        <v/>
      </c>
      <c r="AV542" s="224" t="str">
        <f>IFERROR(VLOOKUP($A542,CP!$A$1:$U$7992,18,FALSE),"")</f>
        <v/>
      </c>
      <c r="AW542" s="224" t="str">
        <f>IFERROR(VLOOKUP($A542,CP!$A$1:$U$7992,19,FALSE),"")</f>
        <v/>
      </c>
      <c r="AX542" s="224" t="str">
        <f>IFERROR(VLOOKUP($A542,CP!$A$1:$U$7992,20,FALSE),"")</f>
        <v/>
      </c>
      <c r="AY542" s="224" t="str">
        <f>IFERROR(VLOOKUP($A542,CP!$A$1:$U$1,21,FALSE),"")</f>
        <v/>
      </c>
      <c r="AZ542" s="224" t="str">
        <f>IFERROR(VLOOKUP(A542,Devengado!$A$1:AJ1,35,FALSE),"")</f>
        <v/>
      </c>
      <c r="BA542" s="224" t="str">
        <f t="shared" si="67"/>
        <v/>
      </c>
      <c r="BB542" s="224" t="str">
        <f>IFERROR(AZ542/#REF!,"")</f>
        <v/>
      </c>
      <c r="BC542" s="224" t="str">
        <f>IFERROR(VLOOKUP($A542,Devengado!$A$1:$AI$1,22,FALSE),"")</f>
        <v/>
      </c>
      <c r="BD542" s="224" t="str">
        <f>IFERROR(VLOOKUP($A542,Devengado!$A$1:$AI$1,23,FALSE),"")</f>
        <v/>
      </c>
      <c r="BE542" s="224" t="str">
        <f>IFERROR(VLOOKUP($A542,Devengado!$A$1:$AI$1,24,FALSE),"")</f>
        <v/>
      </c>
      <c r="BF542" s="224" t="str">
        <f>IFERROR(VLOOKUP($A542,Devengado!$A$1:$AI$1,25,FALSE),"")</f>
        <v/>
      </c>
      <c r="BG542" s="224" t="str">
        <f>IFERROR(VLOOKUP($A542,Devengado!$A$1:$AI$1,26,FALSE),"")</f>
        <v/>
      </c>
      <c r="BH542" s="224" t="str">
        <f>IFERROR(VLOOKUP($A542,Devengado!$A$1:$AI$1,27,FALSE),"")</f>
        <v/>
      </c>
      <c r="BI542" s="224" t="str">
        <f>IFERROR(VLOOKUP($A542,Devengado!$A$1:$AI$1,28,FALSE),"")</f>
        <v/>
      </c>
      <c r="BJ542" s="224" t="str">
        <f>IFERROR(VLOOKUP($A542,Devengado!$A$1:$AI$1,29,FALSE),"")</f>
        <v/>
      </c>
      <c r="BK542" s="224" t="str">
        <f>IFERROR(VLOOKUP($A542,Devengado!$A$1:$AI$1,30,FALSE),"")</f>
        <v/>
      </c>
      <c r="BL542" s="224" t="str">
        <f>IFERROR(VLOOKUP($A542,Devengado!$A$1:$AI$1,31,FALSE),"")</f>
        <v/>
      </c>
      <c r="BM542" s="224" t="str">
        <f>IFERROR(VLOOKUP($A542,Devengado!$A$1:$AI$1,32,FALSE),"")</f>
        <v/>
      </c>
      <c r="BN542" s="224" t="str">
        <f>IFERROR(VLOOKUP($A542,Devengado!$A$1:$AI$1,33,FALSE),"")</f>
        <v/>
      </c>
      <c r="BO542" s="224">
        <f t="shared" si="68"/>
        <v>0</v>
      </c>
      <c r="BP542" s="224" t="str">
        <f t="shared" si="69"/>
        <v/>
      </c>
      <c r="BQ542" s="207"/>
      <c r="BR542" s="207" t="str">
        <f t="shared" si="70"/>
        <v>53</v>
      </c>
    </row>
    <row r="543" spans="1:70" s="225" customFormat="1" ht="25.5" customHeight="1">
      <c r="A543" s="207">
        <v>539</v>
      </c>
      <c r="B543" s="112" t="s">
        <v>73</v>
      </c>
      <c r="C543" s="112" t="s">
        <v>187</v>
      </c>
      <c r="D543" s="125" t="s">
        <v>515</v>
      </c>
      <c r="E543" s="125" t="s">
        <v>76</v>
      </c>
      <c r="F543" s="112" t="s">
        <v>77</v>
      </c>
      <c r="G543" s="112" t="s">
        <v>77</v>
      </c>
      <c r="H543" s="112" t="s">
        <v>77</v>
      </c>
      <c r="I543" s="112" t="s">
        <v>77</v>
      </c>
      <c r="J543" s="112" t="s">
        <v>77</v>
      </c>
      <c r="K543" s="112" t="s">
        <v>77</v>
      </c>
      <c r="L543" s="112" t="s">
        <v>85</v>
      </c>
      <c r="M543" s="112" t="s">
        <v>540</v>
      </c>
      <c r="N543" s="126">
        <v>9999</v>
      </c>
      <c r="O543" s="127" t="s">
        <v>80</v>
      </c>
      <c r="P543" s="127" t="s">
        <v>81</v>
      </c>
      <c r="Q543" s="127" t="s">
        <v>82</v>
      </c>
      <c r="R543" s="115" t="str">
        <f t="shared" si="64"/>
        <v>53</v>
      </c>
      <c r="S543" s="134">
        <v>530804</v>
      </c>
      <c r="T543" s="122" t="e">
        <f>VLOOKUP(S543,ITEM!$C$1:$D$156,2,FALSE)</f>
        <v>#N/A</v>
      </c>
      <c r="U543" s="112">
        <v>1701</v>
      </c>
      <c r="V543" s="114" t="s">
        <v>82</v>
      </c>
      <c r="W543" s="114" t="s">
        <v>84</v>
      </c>
      <c r="X543" s="114" t="s">
        <v>84</v>
      </c>
      <c r="Y543" s="224" t="e">
        <f>'Matriz POA 2024-TRABAJO'!#REF!</f>
        <v>#REF!</v>
      </c>
      <c r="Z543" s="224" t="e">
        <f>'Matriz POA 2024-TRABAJO'!#REF!</f>
        <v>#REF!</v>
      </c>
      <c r="AA543" s="224" t="e">
        <f>'Matriz POA 2024-TRABAJO'!#REF!</f>
        <v>#REF!</v>
      </c>
      <c r="AB543" s="279">
        <v>0</v>
      </c>
      <c r="AC543" s="279">
        <v>100</v>
      </c>
      <c r="AD543" s="279">
        <v>0</v>
      </c>
      <c r="AE543" s="279">
        <v>0</v>
      </c>
      <c r="AF543" s="279">
        <v>0</v>
      </c>
      <c r="AG543" s="279">
        <v>0</v>
      </c>
      <c r="AH543" s="279">
        <v>0</v>
      </c>
      <c r="AI543" s="279">
        <v>0</v>
      </c>
      <c r="AJ543" s="279">
        <v>0</v>
      </c>
      <c r="AK543" s="279">
        <v>0</v>
      </c>
      <c r="AL543" s="279">
        <v>0</v>
      </c>
      <c r="AM543" s="279">
        <v>0</v>
      </c>
      <c r="AN543" s="224" t="e">
        <f>SUM(#REF!)</f>
        <v>#REF!</v>
      </c>
      <c r="AO543" s="224">
        <f t="shared" si="65"/>
        <v>100</v>
      </c>
      <c r="AP543" s="224" t="e">
        <f t="shared" si="71"/>
        <v>#REF!</v>
      </c>
      <c r="AQ543" s="224"/>
      <c r="AR543" s="224"/>
      <c r="AS543" s="224"/>
      <c r="AT543" s="224" t="str">
        <f>IFERROR(VLOOKUP($A543,'Constancias POA'!$A$2:$DH$9993,17,FALSE),"")</f>
        <v/>
      </c>
      <c r="AU543" s="224" t="str">
        <f t="shared" si="66"/>
        <v/>
      </c>
      <c r="AV543" s="224" t="str">
        <f>IFERROR(VLOOKUP($A543,CP!$A$1:$U$7992,18,FALSE),"")</f>
        <v/>
      </c>
      <c r="AW543" s="224" t="str">
        <f>IFERROR(VLOOKUP($A543,CP!$A$1:$U$7992,19,FALSE),"")</f>
        <v/>
      </c>
      <c r="AX543" s="224" t="str">
        <f>IFERROR(VLOOKUP($A543,CP!$A$1:$U$7992,20,FALSE),"")</f>
        <v/>
      </c>
      <c r="AY543" s="224" t="str">
        <f>IFERROR(VLOOKUP($A543,CP!$A$1:$U$1,21,FALSE),"")</f>
        <v/>
      </c>
      <c r="AZ543" s="224" t="str">
        <f>IFERROR(VLOOKUP(A543,Devengado!$A$1:AJ1,35,FALSE),"")</f>
        <v/>
      </c>
      <c r="BA543" s="224" t="str">
        <f t="shared" si="67"/>
        <v/>
      </c>
      <c r="BB543" s="224" t="str">
        <f>IFERROR(AZ543/#REF!,"")</f>
        <v/>
      </c>
      <c r="BC543" s="224" t="str">
        <f>IFERROR(VLOOKUP($A543,Devengado!$A$1:$AI$1,22,FALSE),"")</f>
        <v/>
      </c>
      <c r="BD543" s="224" t="str">
        <f>IFERROR(VLOOKUP($A543,Devengado!$A$1:$AI$1,23,FALSE),"")</f>
        <v/>
      </c>
      <c r="BE543" s="224" t="str">
        <f>IFERROR(VLOOKUP($A543,Devengado!$A$1:$AI$1,24,FALSE),"")</f>
        <v/>
      </c>
      <c r="BF543" s="224" t="str">
        <f>IFERROR(VLOOKUP($A543,Devengado!$A$1:$AI$1,25,FALSE),"")</f>
        <v/>
      </c>
      <c r="BG543" s="224" t="str">
        <f>IFERROR(VLOOKUP($A543,Devengado!$A$1:$AI$1,26,FALSE),"")</f>
        <v/>
      </c>
      <c r="BH543" s="224" t="str">
        <f>IFERROR(VLOOKUP($A543,Devengado!$A$1:$AI$1,27,FALSE),"")</f>
        <v/>
      </c>
      <c r="BI543" s="224" t="str">
        <f>IFERROR(VLOOKUP($A543,Devengado!$A$1:$AI$1,28,FALSE),"")</f>
        <v/>
      </c>
      <c r="BJ543" s="224" t="str">
        <f>IFERROR(VLOOKUP($A543,Devengado!$A$1:$AI$1,29,FALSE),"")</f>
        <v/>
      </c>
      <c r="BK543" s="224" t="str">
        <f>IFERROR(VLOOKUP($A543,Devengado!$A$1:$AI$1,30,FALSE),"")</f>
        <v/>
      </c>
      <c r="BL543" s="224" t="str">
        <f>IFERROR(VLOOKUP($A543,Devengado!$A$1:$AI$1,31,FALSE),"")</f>
        <v/>
      </c>
      <c r="BM543" s="224" t="str">
        <f>IFERROR(VLOOKUP($A543,Devengado!$A$1:$AI$1,32,FALSE),"")</f>
        <v/>
      </c>
      <c r="BN543" s="224" t="str">
        <f>IFERROR(VLOOKUP($A543,Devengado!$A$1:$AI$1,33,FALSE),"")</f>
        <v/>
      </c>
      <c r="BO543" s="224">
        <f t="shared" si="68"/>
        <v>0</v>
      </c>
      <c r="BP543" s="224" t="str">
        <f t="shared" si="69"/>
        <v/>
      </c>
      <c r="BQ543" s="207"/>
      <c r="BR543" s="207" t="str">
        <f t="shared" si="70"/>
        <v>53</v>
      </c>
    </row>
    <row r="544" spans="1:70" s="225" customFormat="1" ht="25.5" customHeight="1">
      <c r="A544" s="207">
        <v>540</v>
      </c>
      <c r="B544" s="112" t="s">
        <v>73</v>
      </c>
      <c r="C544" s="112" t="s">
        <v>187</v>
      </c>
      <c r="D544" s="125" t="s">
        <v>515</v>
      </c>
      <c r="E544" s="125" t="s">
        <v>76</v>
      </c>
      <c r="F544" s="112" t="s">
        <v>77</v>
      </c>
      <c r="G544" s="112" t="s">
        <v>77</v>
      </c>
      <c r="H544" s="112" t="s">
        <v>77</v>
      </c>
      <c r="I544" s="112" t="s">
        <v>77</v>
      </c>
      <c r="J544" s="112" t="s">
        <v>77</v>
      </c>
      <c r="K544" s="112" t="s">
        <v>77</v>
      </c>
      <c r="L544" s="112" t="s">
        <v>85</v>
      </c>
      <c r="M544" s="112" t="s">
        <v>540</v>
      </c>
      <c r="N544" s="126">
        <v>9999</v>
      </c>
      <c r="O544" s="127" t="s">
        <v>80</v>
      </c>
      <c r="P544" s="127" t="s">
        <v>81</v>
      </c>
      <c r="Q544" s="127" t="s">
        <v>82</v>
      </c>
      <c r="R544" s="115" t="str">
        <f t="shared" si="64"/>
        <v>53</v>
      </c>
      <c r="S544" s="134">
        <v>530807</v>
      </c>
      <c r="T544" s="122" t="e">
        <f>VLOOKUP(S544,ITEM!$C$1:$D$156,2,FALSE)</f>
        <v>#N/A</v>
      </c>
      <c r="U544" s="112">
        <v>1701</v>
      </c>
      <c r="V544" s="114" t="s">
        <v>82</v>
      </c>
      <c r="W544" s="114" t="s">
        <v>84</v>
      </c>
      <c r="X544" s="114" t="s">
        <v>84</v>
      </c>
      <c r="Y544" s="224" t="e">
        <f>'Matriz POA 2024-TRABAJO'!#REF!</f>
        <v>#REF!</v>
      </c>
      <c r="Z544" s="224" t="e">
        <f>'Matriz POA 2024-TRABAJO'!#REF!</f>
        <v>#REF!</v>
      </c>
      <c r="AA544" s="224" t="e">
        <f>'Matriz POA 2024-TRABAJO'!#REF!</f>
        <v>#REF!</v>
      </c>
      <c r="AB544" s="279">
        <v>0</v>
      </c>
      <c r="AC544" s="279">
        <v>100</v>
      </c>
      <c r="AD544" s="279">
        <v>0</v>
      </c>
      <c r="AE544" s="279">
        <v>0</v>
      </c>
      <c r="AF544" s="279">
        <v>0</v>
      </c>
      <c r="AG544" s="279">
        <v>0</v>
      </c>
      <c r="AH544" s="279">
        <v>0</v>
      </c>
      <c r="AI544" s="279">
        <v>0</v>
      </c>
      <c r="AJ544" s="279">
        <v>0</v>
      </c>
      <c r="AK544" s="279">
        <v>0</v>
      </c>
      <c r="AL544" s="279">
        <v>0</v>
      </c>
      <c r="AM544" s="279">
        <v>0</v>
      </c>
      <c r="AN544" s="224" t="e">
        <f>SUM(#REF!)</f>
        <v>#REF!</v>
      </c>
      <c r="AO544" s="224">
        <f t="shared" si="65"/>
        <v>100</v>
      </c>
      <c r="AP544" s="224" t="e">
        <f t="shared" si="71"/>
        <v>#REF!</v>
      </c>
      <c r="AQ544" s="224"/>
      <c r="AR544" s="224"/>
      <c r="AS544" s="224"/>
      <c r="AT544" s="224" t="str">
        <f>IFERROR(VLOOKUP($A544,'Constancias POA'!$A$2:$DH$9993,17,FALSE),"")</f>
        <v/>
      </c>
      <c r="AU544" s="224" t="str">
        <f t="shared" si="66"/>
        <v/>
      </c>
      <c r="AV544" s="224" t="str">
        <f>IFERROR(VLOOKUP($A544,CP!$A$1:$U$7992,18,FALSE),"")</f>
        <v/>
      </c>
      <c r="AW544" s="224" t="str">
        <f>IFERROR(VLOOKUP($A544,CP!$A$1:$U$7992,19,FALSE),"")</f>
        <v/>
      </c>
      <c r="AX544" s="224" t="str">
        <f>IFERROR(VLOOKUP($A544,CP!$A$1:$U$7992,20,FALSE),"")</f>
        <v/>
      </c>
      <c r="AY544" s="224" t="str">
        <f>IFERROR(VLOOKUP($A544,CP!$A$1:$U$1,21,FALSE),"")</f>
        <v/>
      </c>
      <c r="AZ544" s="224" t="str">
        <f>IFERROR(VLOOKUP(A544,Devengado!$A$1:AJ1,35,FALSE),"")</f>
        <v/>
      </c>
      <c r="BA544" s="224" t="str">
        <f t="shared" si="67"/>
        <v/>
      </c>
      <c r="BB544" s="224" t="str">
        <f>IFERROR(AZ544/#REF!,"")</f>
        <v/>
      </c>
      <c r="BC544" s="224" t="str">
        <f>IFERROR(VLOOKUP($A544,Devengado!$A$1:$AI$1,22,FALSE),"")</f>
        <v/>
      </c>
      <c r="BD544" s="224" t="str">
        <f>IFERROR(VLOOKUP($A544,Devengado!$A$1:$AI$1,23,FALSE),"")</f>
        <v/>
      </c>
      <c r="BE544" s="224" t="str">
        <f>IFERROR(VLOOKUP($A544,Devengado!$A$1:$AI$1,24,FALSE),"")</f>
        <v/>
      </c>
      <c r="BF544" s="224" t="str">
        <f>IFERROR(VLOOKUP($A544,Devengado!$A$1:$AI$1,25,FALSE),"")</f>
        <v/>
      </c>
      <c r="BG544" s="224" t="str">
        <f>IFERROR(VLOOKUP($A544,Devengado!$A$1:$AI$1,26,FALSE),"")</f>
        <v/>
      </c>
      <c r="BH544" s="224" t="str">
        <f>IFERROR(VLOOKUP($A544,Devengado!$A$1:$AI$1,27,FALSE),"")</f>
        <v/>
      </c>
      <c r="BI544" s="224" t="str">
        <f>IFERROR(VLOOKUP($A544,Devengado!$A$1:$AI$1,28,FALSE),"")</f>
        <v/>
      </c>
      <c r="BJ544" s="224" t="str">
        <f>IFERROR(VLOOKUP($A544,Devengado!$A$1:$AI$1,29,FALSE),"")</f>
        <v/>
      </c>
      <c r="BK544" s="224" t="str">
        <f>IFERROR(VLOOKUP($A544,Devengado!$A$1:$AI$1,30,FALSE),"")</f>
        <v/>
      </c>
      <c r="BL544" s="224" t="str">
        <f>IFERROR(VLOOKUP($A544,Devengado!$A$1:$AI$1,31,FALSE),"")</f>
        <v/>
      </c>
      <c r="BM544" s="224" t="str">
        <f>IFERROR(VLOOKUP($A544,Devengado!$A$1:$AI$1,32,FALSE),"")</f>
        <v/>
      </c>
      <c r="BN544" s="224" t="str">
        <f>IFERROR(VLOOKUP($A544,Devengado!$A$1:$AI$1,33,FALSE),"")</f>
        <v/>
      </c>
      <c r="BO544" s="224">
        <f t="shared" si="68"/>
        <v>0</v>
      </c>
      <c r="BP544" s="224" t="str">
        <f t="shared" si="69"/>
        <v/>
      </c>
      <c r="BQ544" s="207"/>
      <c r="BR544" s="207" t="str">
        <f t="shared" si="70"/>
        <v>53</v>
      </c>
    </row>
    <row r="545" spans="1:70" s="225" customFormat="1" ht="25.5" customHeight="1">
      <c r="A545" s="207">
        <v>541</v>
      </c>
      <c r="B545" s="112" t="s">
        <v>73</v>
      </c>
      <c r="C545" s="112" t="s">
        <v>187</v>
      </c>
      <c r="D545" s="125" t="s">
        <v>515</v>
      </c>
      <c r="E545" s="125" t="s">
        <v>76</v>
      </c>
      <c r="F545" s="112" t="s">
        <v>77</v>
      </c>
      <c r="G545" s="112" t="s">
        <v>77</v>
      </c>
      <c r="H545" s="112" t="s">
        <v>77</v>
      </c>
      <c r="I545" s="112" t="s">
        <v>77</v>
      </c>
      <c r="J545" s="112" t="s">
        <v>77</v>
      </c>
      <c r="K545" s="112" t="s">
        <v>77</v>
      </c>
      <c r="L545" s="112" t="s">
        <v>85</v>
      </c>
      <c r="M545" s="112" t="s">
        <v>540</v>
      </c>
      <c r="N545" s="126">
        <v>9999</v>
      </c>
      <c r="O545" s="127" t="s">
        <v>80</v>
      </c>
      <c r="P545" s="127" t="s">
        <v>81</v>
      </c>
      <c r="Q545" s="127" t="s">
        <v>82</v>
      </c>
      <c r="R545" s="115" t="str">
        <f t="shared" si="64"/>
        <v>53</v>
      </c>
      <c r="S545" s="134">
        <v>530106</v>
      </c>
      <c r="T545" s="122" t="str">
        <f>VLOOKUP(S545,ITEM!$C$1:$D$156,2,FALSE)</f>
        <v>Servicio de Correo</v>
      </c>
      <c r="U545" s="112">
        <v>1701</v>
      </c>
      <c r="V545" s="114" t="s">
        <v>82</v>
      </c>
      <c r="W545" s="114" t="s">
        <v>84</v>
      </c>
      <c r="X545" s="114" t="s">
        <v>84</v>
      </c>
      <c r="Y545" s="224" t="e">
        <f>'Matriz POA 2024-TRABAJO'!#REF!</f>
        <v>#REF!</v>
      </c>
      <c r="Z545" s="224" t="e">
        <f>'Matriz POA 2024-TRABAJO'!#REF!</f>
        <v>#REF!</v>
      </c>
      <c r="AA545" s="224" t="e">
        <f>'Matriz POA 2024-TRABAJO'!#REF!</f>
        <v>#REF!</v>
      </c>
      <c r="AB545" s="279">
        <v>0</v>
      </c>
      <c r="AC545" s="279">
        <v>100</v>
      </c>
      <c r="AD545" s="279">
        <v>0</v>
      </c>
      <c r="AE545" s="279">
        <v>0</v>
      </c>
      <c r="AF545" s="279">
        <v>0</v>
      </c>
      <c r="AG545" s="279">
        <v>0</v>
      </c>
      <c r="AH545" s="279">
        <v>0</v>
      </c>
      <c r="AI545" s="279">
        <v>0</v>
      </c>
      <c r="AJ545" s="279">
        <v>0</v>
      </c>
      <c r="AK545" s="279">
        <v>0</v>
      </c>
      <c r="AL545" s="279">
        <v>0</v>
      </c>
      <c r="AM545" s="279">
        <v>0</v>
      </c>
      <c r="AN545" s="224" t="e">
        <f>SUM(#REF!)</f>
        <v>#REF!</v>
      </c>
      <c r="AO545" s="224">
        <f t="shared" si="65"/>
        <v>100</v>
      </c>
      <c r="AP545" s="224" t="e">
        <f t="shared" si="71"/>
        <v>#REF!</v>
      </c>
      <c r="AQ545" s="224"/>
      <c r="AR545" s="224"/>
      <c r="AS545" s="224"/>
      <c r="AT545" s="224" t="str">
        <f>IFERROR(VLOOKUP($A545,'Constancias POA'!$A$2:$DH$9993,17,FALSE),"")</f>
        <v/>
      </c>
      <c r="AU545" s="224" t="str">
        <f t="shared" si="66"/>
        <v/>
      </c>
      <c r="AV545" s="224" t="str">
        <f>IFERROR(VLOOKUP($A545,CP!$A$1:$U$7992,18,FALSE),"")</f>
        <v/>
      </c>
      <c r="AW545" s="224" t="str">
        <f>IFERROR(VLOOKUP($A545,CP!$A$1:$U$7992,19,FALSE),"")</f>
        <v/>
      </c>
      <c r="AX545" s="224" t="str">
        <f>IFERROR(VLOOKUP($A545,CP!$A$1:$U$7992,20,FALSE),"")</f>
        <v/>
      </c>
      <c r="AY545" s="224" t="str">
        <f>IFERROR(VLOOKUP($A545,CP!$A$1:$U$1,21,FALSE),"")</f>
        <v/>
      </c>
      <c r="AZ545" s="224" t="str">
        <f>IFERROR(VLOOKUP(A545,Devengado!$A$1:AJ1,35,FALSE),"")</f>
        <v/>
      </c>
      <c r="BA545" s="224" t="str">
        <f t="shared" si="67"/>
        <v/>
      </c>
      <c r="BB545" s="224" t="str">
        <f>IFERROR(AZ545/#REF!,"")</f>
        <v/>
      </c>
      <c r="BC545" s="224" t="str">
        <f>IFERROR(VLOOKUP($A545,Devengado!$A$1:$AI$1,22,FALSE),"")</f>
        <v/>
      </c>
      <c r="BD545" s="224" t="str">
        <f>IFERROR(VLOOKUP($A545,Devengado!$A$1:$AI$1,23,FALSE),"")</f>
        <v/>
      </c>
      <c r="BE545" s="224" t="str">
        <f>IFERROR(VLOOKUP($A545,Devengado!$A$1:$AI$1,24,FALSE),"")</f>
        <v/>
      </c>
      <c r="BF545" s="224" t="str">
        <f>IFERROR(VLOOKUP($A545,Devengado!$A$1:$AI$1,25,FALSE),"")</f>
        <v/>
      </c>
      <c r="BG545" s="224" t="str">
        <f>IFERROR(VLOOKUP($A545,Devengado!$A$1:$AI$1,26,FALSE),"")</f>
        <v/>
      </c>
      <c r="BH545" s="224" t="str">
        <f>IFERROR(VLOOKUP($A545,Devengado!$A$1:$AI$1,27,FALSE),"")</f>
        <v/>
      </c>
      <c r="BI545" s="224" t="str">
        <f>IFERROR(VLOOKUP($A545,Devengado!$A$1:$AI$1,28,FALSE),"")</f>
        <v/>
      </c>
      <c r="BJ545" s="224" t="str">
        <f>IFERROR(VLOOKUP($A545,Devengado!$A$1:$AI$1,29,FALSE),"")</f>
        <v/>
      </c>
      <c r="BK545" s="224" t="str">
        <f>IFERROR(VLOOKUP($A545,Devengado!$A$1:$AI$1,30,FALSE),"")</f>
        <v/>
      </c>
      <c r="BL545" s="224" t="str">
        <f>IFERROR(VLOOKUP($A545,Devengado!$A$1:$AI$1,31,FALSE),"")</f>
        <v/>
      </c>
      <c r="BM545" s="224" t="str">
        <f>IFERROR(VLOOKUP($A545,Devengado!$A$1:$AI$1,32,FALSE),"")</f>
        <v/>
      </c>
      <c r="BN545" s="224" t="str">
        <f>IFERROR(VLOOKUP($A545,Devengado!$A$1:$AI$1,33,FALSE),"")</f>
        <v/>
      </c>
      <c r="BO545" s="224">
        <f t="shared" si="68"/>
        <v>0</v>
      </c>
      <c r="BP545" s="224" t="str">
        <f t="shared" si="69"/>
        <v/>
      </c>
      <c r="BQ545" s="207"/>
      <c r="BR545" s="207" t="str">
        <f t="shared" si="70"/>
        <v>53</v>
      </c>
    </row>
    <row r="546" spans="1:70" s="225" customFormat="1" ht="25.5" customHeight="1">
      <c r="A546" s="207">
        <v>542</v>
      </c>
      <c r="B546" s="112" t="s">
        <v>73</v>
      </c>
      <c r="C546" s="112" t="s">
        <v>187</v>
      </c>
      <c r="D546" s="125" t="s">
        <v>515</v>
      </c>
      <c r="E546" s="125" t="s">
        <v>76</v>
      </c>
      <c r="F546" s="112" t="s">
        <v>77</v>
      </c>
      <c r="G546" s="112" t="s">
        <v>77</v>
      </c>
      <c r="H546" s="112" t="s">
        <v>77</v>
      </c>
      <c r="I546" s="112" t="s">
        <v>77</v>
      </c>
      <c r="J546" s="112" t="s">
        <v>77</v>
      </c>
      <c r="K546" s="112" t="s">
        <v>77</v>
      </c>
      <c r="L546" s="112" t="s">
        <v>85</v>
      </c>
      <c r="M546" s="112" t="s">
        <v>541</v>
      </c>
      <c r="N546" s="126">
        <v>9999</v>
      </c>
      <c r="O546" s="127" t="s">
        <v>80</v>
      </c>
      <c r="P546" s="127" t="s">
        <v>81</v>
      </c>
      <c r="Q546" s="127" t="s">
        <v>82</v>
      </c>
      <c r="R546" s="115" t="str">
        <f t="shared" si="64"/>
        <v>53</v>
      </c>
      <c r="S546" s="112">
        <v>530204</v>
      </c>
      <c r="T546" s="122" t="str">
        <f>VLOOKUP(S546,ITEM!$C$1:$D$156,2,FALSE)</f>
        <v>Edición, Impresión, Reproducción, Publicaciones, Suscripciones, Fotocopiado, Traducción, Empastado, Enmarcación,
Serigrafía, Fotografía, Carnetización, Filmación e Imágenes Satelitales.</v>
      </c>
      <c r="U546" s="112">
        <v>1701</v>
      </c>
      <c r="V546" s="114" t="s">
        <v>82</v>
      </c>
      <c r="W546" s="114" t="s">
        <v>84</v>
      </c>
      <c r="X546" s="114" t="s">
        <v>84</v>
      </c>
      <c r="Y546" s="224" t="e">
        <f>'Matriz POA 2024-TRABAJO'!#REF!</f>
        <v>#REF!</v>
      </c>
      <c r="Z546" s="224" t="e">
        <f>'Matriz POA 2024-TRABAJO'!#REF!</f>
        <v>#REF!</v>
      </c>
      <c r="AA546" s="224" t="e">
        <f>'Matriz POA 2024-TRABAJO'!#REF!</f>
        <v>#REF!</v>
      </c>
      <c r="AB546" s="279">
        <v>0</v>
      </c>
      <c r="AC546" s="279">
        <v>0</v>
      </c>
      <c r="AD546" s="279">
        <v>0</v>
      </c>
      <c r="AE546" s="279">
        <v>0</v>
      </c>
      <c r="AF546" s="279">
        <v>0</v>
      </c>
      <c r="AG546" s="279">
        <v>0</v>
      </c>
      <c r="AH546" s="279">
        <v>0</v>
      </c>
      <c r="AI546" s="279">
        <v>0</v>
      </c>
      <c r="AJ546" s="279">
        <v>0</v>
      </c>
      <c r="AK546" s="279">
        <v>0</v>
      </c>
      <c r="AL546" s="279">
        <v>0</v>
      </c>
      <c r="AM546" s="279">
        <v>0</v>
      </c>
      <c r="AN546" s="224" t="e">
        <f>SUM(#REF!)</f>
        <v>#REF!</v>
      </c>
      <c r="AO546" s="224">
        <f t="shared" si="65"/>
        <v>0</v>
      </c>
      <c r="AP546" s="224" t="e">
        <f t="shared" si="71"/>
        <v>#REF!</v>
      </c>
      <c r="AQ546" s="224"/>
      <c r="AR546" s="224"/>
      <c r="AS546" s="224"/>
      <c r="AT546" s="224" t="str">
        <f>IFERROR(VLOOKUP($A546,'Constancias POA'!$A$2:$DH$9993,17,FALSE),"")</f>
        <v/>
      </c>
      <c r="AU546" s="224" t="str">
        <f t="shared" si="66"/>
        <v/>
      </c>
      <c r="AV546" s="224" t="str">
        <f>IFERROR(VLOOKUP($A546,CP!$A$1:$U$7992,18,FALSE),"")</f>
        <v/>
      </c>
      <c r="AW546" s="224" t="str">
        <f>IFERROR(VLOOKUP($A546,CP!$A$1:$U$7992,19,FALSE),"")</f>
        <v/>
      </c>
      <c r="AX546" s="224" t="str">
        <f>IFERROR(VLOOKUP($A546,CP!$A$1:$U$7992,20,FALSE),"")</f>
        <v/>
      </c>
      <c r="AY546" s="224" t="str">
        <f>IFERROR(VLOOKUP($A546,CP!$A$1:$U$1,21,FALSE),"")</f>
        <v/>
      </c>
      <c r="AZ546" s="224" t="str">
        <f>IFERROR(VLOOKUP(A546,Devengado!$A$1:AJ1,35,FALSE),"")</f>
        <v/>
      </c>
      <c r="BA546" s="224" t="str">
        <f t="shared" si="67"/>
        <v/>
      </c>
      <c r="BB546" s="224" t="str">
        <f>IFERROR(AZ546/#REF!,"")</f>
        <v/>
      </c>
      <c r="BC546" s="224" t="str">
        <f>IFERROR(VLOOKUP($A546,Devengado!$A$1:$AI$1,22,FALSE),"")</f>
        <v/>
      </c>
      <c r="BD546" s="224" t="str">
        <f>IFERROR(VLOOKUP($A546,Devengado!$A$1:$AI$1,23,FALSE),"")</f>
        <v/>
      </c>
      <c r="BE546" s="224" t="str">
        <f>IFERROR(VLOOKUP($A546,Devengado!$A$1:$AI$1,24,FALSE),"")</f>
        <v/>
      </c>
      <c r="BF546" s="224" t="str">
        <f>IFERROR(VLOOKUP($A546,Devengado!$A$1:$AI$1,25,FALSE),"")</f>
        <v/>
      </c>
      <c r="BG546" s="224" t="str">
        <f>IFERROR(VLOOKUP($A546,Devengado!$A$1:$AI$1,26,FALSE),"")</f>
        <v/>
      </c>
      <c r="BH546" s="224" t="str">
        <f>IFERROR(VLOOKUP($A546,Devengado!$A$1:$AI$1,27,FALSE),"")</f>
        <v/>
      </c>
      <c r="BI546" s="224" t="str">
        <f>IFERROR(VLOOKUP($A546,Devengado!$A$1:$AI$1,28,FALSE),"")</f>
        <v/>
      </c>
      <c r="BJ546" s="224" t="str">
        <f>IFERROR(VLOOKUP($A546,Devengado!$A$1:$AI$1,29,FALSE),"")</f>
        <v/>
      </c>
      <c r="BK546" s="224" t="str">
        <f>IFERROR(VLOOKUP($A546,Devengado!$A$1:$AI$1,30,FALSE),"")</f>
        <v/>
      </c>
      <c r="BL546" s="224" t="str">
        <f>IFERROR(VLOOKUP($A546,Devengado!$A$1:$AI$1,31,FALSE),"")</f>
        <v/>
      </c>
      <c r="BM546" s="224" t="str">
        <f>IFERROR(VLOOKUP($A546,Devengado!$A$1:$AI$1,32,FALSE),"")</f>
        <v/>
      </c>
      <c r="BN546" s="224" t="str">
        <f>IFERROR(VLOOKUP($A546,Devengado!$A$1:$AI$1,33,FALSE),"")</f>
        <v/>
      </c>
      <c r="BO546" s="224">
        <f t="shared" si="68"/>
        <v>0</v>
      </c>
      <c r="BP546" s="224" t="str">
        <f t="shared" si="69"/>
        <v/>
      </c>
      <c r="BQ546" s="207"/>
      <c r="BR546" s="207" t="str">
        <f t="shared" si="70"/>
        <v>53</v>
      </c>
    </row>
    <row r="547" spans="1:70" s="225" customFormat="1" ht="25.5" customHeight="1">
      <c r="A547" s="207">
        <v>543</v>
      </c>
      <c r="B547" s="112" t="s">
        <v>73</v>
      </c>
      <c r="C547" s="112" t="s">
        <v>187</v>
      </c>
      <c r="D547" s="125" t="s">
        <v>515</v>
      </c>
      <c r="E547" s="125" t="s">
        <v>76</v>
      </c>
      <c r="F547" s="112" t="s">
        <v>77</v>
      </c>
      <c r="G547" s="112" t="s">
        <v>77</v>
      </c>
      <c r="H547" s="112" t="s">
        <v>77</v>
      </c>
      <c r="I547" s="112" t="s">
        <v>77</v>
      </c>
      <c r="J547" s="112" t="s">
        <v>77</v>
      </c>
      <c r="K547" s="112" t="s">
        <v>77</v>
      </c>
      <c r="L547" s="112" t="s">
        <v>85</v>
      </c>
      <c r="M547" s="112" t="s">
        <v>541</v>
      </c>
      <c r="N547" s="126">
        <v>9999</v>
      </c>
      <c r="O547" s="127" t="s">
        <v>80</v>
      </c>
      <c r="P547" s="127" t="s">
        <v>81</v>
      </c>
      <c r="Q547" s="127" t="s">
        <v>82</v>
      </c>
      <c r="R547" s="115" t="str">
        <f t="shared" si="64"/>
        <v>53</v>
      </c>
      <c r="S547" s="112">
        <v>530307</v>
      </c>
      <c r="T547" s="122" t="str">
        <f>VLOOKUP(S547,ITEM!$C$1:$D$156,2,FALSE)</f>
        <v>Atención a Delegados Extranjeros y Nacionales, Deportistas, Entrenadores y Cuerpo Técnico que Representen al País</v>
      </c>
      <c r="U547" s="112">
        <v>1701</v>
      </c>
      <c r="V547" s="114" t="s">
        <v>82</v>
      </c>
      <c r="W547" s="114" t="s">
        <v>84</v>
      </c>
      <c r="X547" s="114" t="s">
        <v>84</v>
      </c>
      <c r="Y547" s="224" t="e">
        <f>'Matriz POA 2024-TRABAJO'!#REF!</f>
        <v>#REF!</v>
      </c>
      <c r="Z547" s="224" t="e">
        <f>'Matriz POA 2024-TRABAJO'!#REF!</f>
        <v>#REF!</v>
      </c>
      <c r="AA547" s="224" t="e">
        <f>'Matriz POA 2024-TRABAJO'!#REF!</f>
        <v>#REF!</v>
      </c>
      <c r="AB547" s="279">
        <v>0</v>
      </c>
      <c r="AC547" s="279">
        <v>0</v>
      </c>
      <c r="AD547" s="279">
        <v>0</v>
      </c>
      <c r="AE547" s="279">
        <v>0</v>
      </c>
      <c r="AF547" s="279">
        <v>0</v>
      </c>
      <c r="AG547" s="279">
        <v>0</v>
      </c>
      <c r="AH547" s="279">
        <v>0</v>
      </c>
      <c r="AI547" s="279">
        <v>0</v>
      </c>
      <c r="AJ547" s="279">
        <v>0</v>
      </c>
      <c r="AK547" s="279">
        <v>0</v>
      </c>
      <c r="AL547" s="279">
        <v>0</v>
      </c>
      <c r="AM547" s="279">
        <v>0</v>
      </c>
      <c r="AN547" s="224" t="e">
        <f>SUM(#REF!)</f>
        <v>#REF!</v>
      </c>
      <c r="AO547" s="224">
        <f t="shared" si="65"/>
        <v>0</v>
      </c>
      <c r="AP547" s="224" t="e">
        <f t="shared" si="71"/>
        <v>#REF!</v>
      </c>
      <c r="AQ547" s="224"/>
      <c r="AR547" s="224"/>
      <c r="AS547" s="224"/>
      <c r="AT547" s="224" t="str">
        <f>IFERROR(VLOOKUP($A547,'Constancias POA'!$A$2:$DH$9993,17,FALSE),"")</f>
        <v/>
      </c>
      <c r="AU547" s="224" t="str">
        <f t="shared" si="66"/>
        <v/>
      </c>
      <c r="AV547" s="224" t="str">
        <f>IFERROR(VLOOKUP($A547,CP!$A$1:$U$7992,18,FALSE),"")</f>
        <v/>
      </c>
      <c r="AW547" s="224" t="str">
        <f>IFERROR(VLOOKUP($A547,CP!$A$1:$U$7992,19,FALSE),"")</f>
        <v/>
      </c>
      <c r="AX547" s="224" t="str">
        <f>IFERROR(VLOOKUP($A547,CP!$A$1:$U$7992,20,FALSE),"")</f>
        <v/>
      </c>
      <c r="AY547" s="224" t="str">
        <f>IFERROR(VLOOKUP($A547,CP!$A$1:$U$1,21,FALSE),"")</f>
        <v/>
      </c>
      <c r="AZ547" s="224" t="str">
        <f>IFERROR(VLOOKUP(A547,Devengado!$A$1:AJ1,35,FALSE),"")</f>
        <v/>
      </c>
      <c r="BA547" s="224" t="str">
        <f t="shared" si="67"/>
        <v/>
      </c>
      <c r="BB547" s="224" t="str">
        <f>IFERROR(AZ547/#REF!,"")</f>
        <v/>
      </c>
      <c r="BC547" s="224" t="str">
        <f>IFERROR(VLOOKUP($A547,Devengado!$A$1:$AI$1,22,FALSE),"")</f>
        <v/>
      </c>
      <c r="BD547" s="224" t="str">
        <f>IFERROR(VLOOKUP($A547,Devengado!$A$1:$AI$1,23,FALSE),"")</f>
        <v/>
      </c>
      <c r="BE547" s="224" t="str">
        <f>IFERROR(VLOOKUP($A547,Devengado!$A$1:$AI$1,24,FALSE),"")</f>
        <v/>
      </c>
      <c r="BF547" s="224" t="str">
        <f>IFERROR(VLOOKUP($A547,Devengado!$A$1:$AI$1,25,FALSE),"")</f>
        <v/>
      </c>
      <c r="BG547" s="224" t="str">
        <f>IFERROR(VLOOKUP($A547,Devengado!$A$1:$AI$1,26,FALSE),"")</f>
        <v/>
      </c>
      <c r="BH547" s="224" t="str">
        <f>IFERROR(VLOOKUP($A547,Devengado!$A$1:$AI$1,27,FALSE),"")</f>
        <v/>
      </c>
      <c r="BI547" s="224" t="str">
        <f>IFERROR(VLOOKUP($A547,Devengado!$A$1:$AI$1,28,FALSE),"")</f>
        <v/>
      </c>
      <c r="BJ547" s="224" t="str">
        <f>IFERROR(VLOOKUP($A547,Devengado!$A$1:$AI$1,29,FALSE),"")</f>
        <v/>
      </c>
      <c r="BK547" s="224" t="str">
        <f>IFERROR(VLOOKUP($A547,Devengado!$A$1:$AI$1,30,FALSE),"")</f>
        <v/>
      </c>
      <c r="BL547" s="224" t="str">
        <f>IFERROR(VLOOKUP($A547,Devengado!$A$1:$AI$1,31,FALSE),"")</f>
        <v/>
      </c>
      <c r="BM547" s="224" t="str">
        <f>IFERROR(VLOOKUP($A547,Devengado!$A$1:$AI$1,32,FALSE),"")</f>
        <v/>
      </c>
      <c r="BN547" s="224" t="str">
        <f>IFERROR(VLOOKUP($A547,Devengado!$A$1:$AI$1,33,FALSE),"")</f>
        <v/>
      </c>
      <c r="BO547" s="224">
        <f t="shared" si="68"/>
        <v>0</v>
      </c>
      <c r="BP547" s="224" t="str">
        <f t="shared" si="69"/>
        <v/>
      </c>
      <c r="BQ547" s="207"/>
      <c r="BR547" s="207" t="str">
        <f t="shared" si="70"/>
        <v>53</v>
      </c>
    </row>
    <row r="548" spans="1:70" s="225" customFormat="1" ht="25.5" customHeight="1">
      <c r="A548" s="207">
        <v>544</v>
      </c>
      <c r="B548" s="112" t="s">
        <v>73</v>
      </c>
      <c r="C548" s="112" t="s">
        <v>187</v>
      </c>
      <c r="D548" s="125" t="s">
        <v>515</v>
      </c>
      <c r="E548" s="125" t="s">
        <v>76</v>
      </c>
      <c r="F548" s="112" t="s">
        <v>77</v>
      </c>
      <c r="G548" s="112" t="s">
        <v>77</v>
      </c>
      <c r="H548" s="112" t="s">
        <v>77</v>
      </c>
      <c r="I548" s="112" t="s">
        <v>77</v>
      </c>
      <c r="J548" s="112" t="s">
        <v>77</v>
      </c>
      <c r="K548" s="112" t="s">
        <v>77</v>
      </c>
      <c r="L548" s="112" t="s">
        <v>85</v>
      </c>
      <c r="M548" s="112" t="s">
        <v>541</v>
      </c>
      <c r="N548" s="126">
        <v>9999</v>
      </c>
      <c r="O548" s="127" t="s">
        <v>80</v>
      </c>
      <c r="P548" s="127" t="s">
        <v>81</v>
      </c>
      <c r="Q548" s="127" t="s">
        <v>82</v>
      </c>
      <c r="R548" s="115" t="str">
        <f t="shared" si="64"/>
        <v>53</v>
      </c>
      <c r="S548" s="112">
        <v>530402</v>
      </c>
      <c r="T548" s="122" t="str">
        <f>VLOOKUP(S548,ITEM!$C$1:$D$156,2,FALSE)</f>
        <v>Edificios, Locales, Residencias y Cableado Estructurado (Instalación, Mantenimiento y Reparación)</v>
      </c>
      <c r="U548" s="112">
        <v>1701</v>
      </c>
      <c r="V548" s="114" t="s">
        <v>82</v>
      </c>
      <c r="W548" s="114" t="s">
        <v>84</v>
      </c>
      <c r="X548" s="114" t="s">
        <v>84</v>
      </c>
      <c r="Y548" s="224" t="e">
        <f>'Matriz POA 2024-TRABAJO'!#REF!</f>
        <v>#REF!</v>
      </c>
      <c r="Z548" s="224" t="e">
        <f>'Matriz POA 2024-TRABAJO'!#REF!</f>
        <v>#REF!</v>
      </c>
      <c r="AA548" s="224" t="e">
        <f>'Matriz POA 2024-TRABAJO'!#REF!</f>
        <v>#REF!</v>
      </c>
      <c r="AB548" s="279">
        <v>0</v>
      </c>
      <c r="AC548" s="279">
        <v>0</v>
      </c>
      <c r="AD548" s="279">
        <v>1000</v>
      </c>
      <c r="AE548" s="279">
        <v>0</v>
      </c>
      <c r="AF548" s="279">
        <v>0</v>
      </c>
      <c r="AG548" s="279">
        <v>0</v>
      </c>
      <c r="AH548" s="279">
        <v>0</v>
      </c>
      <c r="AI548" s="279">
        <v>0</v>
      </c>
      <c r="AJ548" s="279">
        <v>0</v>
      </c>
      <c r="AK548" s="279">
        <v>0</v>
      </c>
      <c r="AL548" s="279">
        <v>0</v>
      </c>
      <c r="AM548" s="279">
        <v>0</v>
      </c>
      <c r="AN548" s="224" t="e">
        <f>SUM(#REF!)</f>
        <v>#REF!</v>
      </c>
      <c r="AO548" s="224">
        <f t="shared" si="65"/>
        <v>1000</v>
      </c>
      <c r="AP548" s="224" t="e">
        <f t="shared" si="71"/>
        <v>#REF!</v>
      </c>
      <c r="AQ548" s="224"/>
      <c r="AR548" s="224"/>
      <c r="AS548" s="224"/>
      <c r="AT548" s="224" t="str">
        <f>IFERROR(VLOOKUP($A548,'Constancias POA'!$A$2:$DH$9993,17,FALSE),"")</f>
        <v/>
      </c>
      <c r="AU548" s="224" t="str">
        <f t="shared" si="66"/>
        <v/>
      </c>
      <c r="AV548" s="224" t="str">
        <f>IFERROR(VLOOKUP($A548,CP!$A$1:$U$7992,18,FALSE),"")</f>
        <v/>
      </c>
      <c r="AW548" s="224" t="str">
        <f>IFERROR(VLOOKUP($A548,CP!$A$1:$U$7992,19,FALSE),"")</f>
        <v/>
      </c>
      <c r="AX548" s="224" t="str">
        <f>IFERROR(VLOOKUP($A548,CP!$A$1:$U$7992,20,FALSE),"")</f>
        <v/>
      </c>
      <c r="AY548" s="224" t="str">
        <f>IFERROR(VLOOKUP($A548,CP!$A$1:$U$1,21,FALSE),"")</f>
        <v/>
      </c>
      <c r="AZ548" s="224" t="str">
        <f>IFERROR(VLOOKUP(A548,Devengado!$A$1:AJ1,35,FALSE),"")</f>
        <v/>
      </c>
      <c r="BA548" s="224" t="str">
        <f t="shared" si="67"/>
        <v/>
      </c>
      <c r="BB548" s="224" t="str">
        <f>IFERROR(AZ548/#REF!,"")</f>
        <v/>
      </c>
      <c r="BC548" s="224" t="str">
        <f>IFERROR(VLOOKUP($A548,Devengado!$A$1:$AI$1,22,FALSE),"")</f>
        <v/>
      </c>
      <c r="BD548" s="224" t="str">
        <f>IFERROR(VLOOKUP($A548,Devengado!$A$1:$AI$1,23,FALSE),"")</f>
        <v/>
      </c>
      <c r="BE548" s="224" t="str">
        <f>IFERROR(VLOOKUP($A548,Devengado!$A$1:$AI$1,24,FALSE),"")</f>
        <v/>
      </c>
      <c r="BF548" s="224" t="str">
        <f>IFERROR(VLOOKUP($A548,Devengado!$A$1:$AI$1,25,FALSE),"")</f>
        <v/>
      </c>
      <c r="BG548" s="224" t="str">
        <f>IFERROR(VLOOKUP($A548,Devengado!$A$1:$AI$1,26,FALSE),"")</f>
        <v/>
      </c>
      <c r="BH548" s="224" t="str">
        <f>IFERROR(VLOOKUP($A548,Devengado!$A$1:$AI$1,27,FALSE),"")</f>
        <v/>
      </c>
      <c r="BI548" s="224" t="str">
        <f>IFERROR(VLOOKUP($A548,Devengado!$A$1:$AI$1,28,FALSE),"")</f>
        <v/>
      </c>
      <c r="BJ548" s="224" t="str">
        <f>IFERROR(VLOOKUP($A548,Devengado!$A$1:$AI$1,29,FALSE),"")</f>
        <v/>
      </c>
      <c r="BK548" s="224" t="str">
        <f>IFERROR(VLOOKUP($A548,Devengado!$A$1:$AI$1,30,FALSE),"")</f>
        <v/>
      </c>
      <c r="BL548" s="224" t="str">
        <f>IFERROR(VLOOKUP($A548,Devengado!$A$1:$AI$1,31,FALSE),"")</f>
        <v/>
      </c>
      <c r="BM548" s="224" t="str">
        <f>IFERROR(VLOOKUP($A548,Devengado!$A$1:$AI$1,32,FALSE),"")</f>
        <v/>
      </c>
      <c r="BN548" s="224" t="str">
        <f>IFERROR(VLOOKUP($A548,Devengado!$A$1:$AI$1,33,FALSE),"")</f>
        <v/>
      </c>
      <c r="BO548" s="224">
        <f t="shared" si="68"/>
        <v>0</v>
      </c>
      <c r="BP548" s="224" t="str">
        <f t="shared" si="69"/>
        <v/>
      </c>
      <c r="BQ548" s="207"/>
      <c r="BR548" s="207" t="str">
        <f t="shared" si="70"/>
        <v>53</v>
      </c>
    </row>
    <row r="549" spans="1:70" s="225" customFormat="1" ht="15.75" customHeight="1">
      <c r="A549" s="207">
        <v>545</v>
      </c>
      <c r="B549" s="112" t="s">
        <v>73</v>
      </c>
      <c r="C549" s="112" t="s">
        <v>187</v>
      </c>
      <c r="D549" s="125" t="s">
        <v>515</v>
      </c>
      <c r="E549" s="125" t="s">
        <v>76</v>
      </c>
      <c r="F549" s="112" t="s">
        <v>77</v>
      </c>
      <c r="G549" s="112" t="s">
        <v>77</v>
      </c>
      <c r="H549" s="112" t="s">
        <v>77</v>
      </c>
      <c r="I549" s="112" t="s">
        <v>77</v>
      </c>
      <c r="J549" s="112" t="s">
        <v>77</v>
      </c>
      <c r="K549" s="112" t="s">
        <v>77</v>
      </c>
      <c r="L549" s="112" t="s">
        <v>85</v>
      </c>
      <c r="M549" s="112" t="s">
        <v>542</v>
      </c>
      <c r="N549" s="126">
        <v>9999</v>
      </c>
      <c r="O549" s="127" t="s">
        <v>80</v>
      </c>
      <c r="P549" s="127" t="s">
        <v>81</v>
      </c>
      <c r="Q549" s="127" t="s">
        <v>82</v>
      </c>
      <c r="R549" s="115" t="str">
        <f t="shared" si="64"/>
        <v>57</v>
      </c>
      <c r="S549" s="134">
        <v>570201</v>
      </c>
      <c r="T549" s="122" t="e">
        <f>VLOOKUP(S549,ITEM!$C$1:$D$156,2,FALSE)</f>
        <v>#N/A</v>
      </c>
      <c r="U549" s="112">
        <v>1701</v>
      </c>
      <c r="V549" s="114" t="s">
        <v>82</v>
      </c>
      <c r="W549" s="114" t="s">
        <v>84</v>
      </c>
      <c r="X549" s="114" t="s">
        <v>84</v>
      </c>
      <c r="Y549" s="224" t="e">
        <f>'Matriz POA 2024-TRABAJO'!#REF!</f>
        <v>#REF!</v>
      </c>
      <c r="Z549" s="224" t="e">
        <f>'Matriz POA 2024-TRABAJO'!#REF!</f>
        <v>#REF!</v>
      </c>
      <c r="AA549" s="224" t="e">
        <f>'Matriz POA 2024-TRABAJO'!#REF!</f>
        <v>#REF!</v>
      </c>
      <c r="AB549" s="279">
        <v>0</v>
      </c>
      <c r="AC549" s="279">
        <v>0</v>
      </c>
      <c r="AD549" s="279">
        <v>175841.46</v>
      </c>
      <c r="AE549" s="279">
        <v>0</v>
      </c>
      <c r="AF549" s="279">
        <v>11653.58</v>
      </c>
      <c r="AG549" s="279">
        <v>10498.11</v>
      </c>
      <c r="AH549" s="279">
        <v>0</v>
      </c>
      <c r="AI549" s="279">
        <v>0</v>
      </c>
      <c r="AJ549" s="279">
        <v>0</v>
      </c>
      <c r="AK549" s="279">
        <v>0</v>
      </c>
      <c r="AL549" s="279">
        <v>0</v>
      </c>
      <c r="AM549" s="279">
        <v>0</v>
      </c>
      <c r="AN549" s="224" t="e">
        <f>SUM(#REF!)</f>
        <v>#REF!</v>
      </c>
      <c r="AO549" s="224">
        <f t="shared" si="65"/>
        <v>197993.14999999997</v>
      </c>
      <c r="AP549" s="224" t="e">
        <f>+AO549-AA549</f>
        <v>#REF!</v>
      </c>
      <c r="AQ549" s="224"/>
      <c r="AR549" s="224"/>
      <c r="AS549" s="224"/>
      <c r="AT549" s="224" t="str">
        <f>IFERROR(VLOOKUP($A549,'Constancias POA'!$A$2:$DH$9993,17,FALSE),"")</f>
        <v/>
      </c>
      <c r="AU549" s="224" t="str">
        <f t="shared" si="66"/>
        <v/>
      </c>
      <c r="AV549" s="224" t="str">
        <f>IFERROR(VLOOKUP($A549,CP!$A$1:$U$7992,18,FALSE),"")</f>
        <v/>
      </c>
      <c r="AW549" s="224" t="str">
        <f>IFERROR(VLOOKUP($A549,CP!$A$1:$U$7992,19,FALSE),"")</f>
        <v/>
      </c>
      <c r="AX549" s="224" t="str">
        <f>IFERROR(VLOOKUP($A549,CP!$A$1:$U$7992,20,FALSE),"")</f>
        <v/>
      </c>
      <c r="AY549" s="224" t="str">
        <f>IFERROR(VLOOKUP($A549,CP!$A$1:$U$1,21,FALSE),"")</f>
        <v/>
      </c>
      <c r="AZ549" s="224" t="str">
        <f>IFERROR(VLOOKUP(A549,Devengado!$A$1:AJ1,35,FALSE),"")</f>
        <v/>
      </c>
      <c r="BA549" s="224" t="str">
        <f t="shared" si="67"/>
        <v/>
      </c>
      <c r="BB549" s="224" t="str">
        <f>IFERROR(AZ549/#REF!,"")</f>
        <v/>
      </c>
      <c r="BC549" s="224" t="str">
        <f>IFERROR(VLOOKUP($A549,Devengado!$A$1:$AI$1,22,FALSE),"")</f>
        <v/>
      </c>
      <c r="BD549" s="224" t="str">
        <f>IFERROR(VLOOKUP($A549,Devengado!$A$1:$AI$1,23,FALSE),"")</f>
        <v/>
      </c>
      <c r="BE549" s="224" t="str">
        <f>IFERROR(VLOOKUP($A549,Devengado!$A$1:$AI$1,24,FALSE),"")</f>
        <v/>
      </c>
      <c r="BF549" s="224" t="str">
        <f>IFERROR(VLOOKUP($A549,Devengado!$A$1:$AI$1,25,FALSE),"")</f>
        <v/>
      </c>
      <c r="BG549" s="224" t="str">
        <f>IFERROR(VLOOKUP($A549,Devengado!$A$1:$AI$1,26,FALSE),"")</f>
        <v/>
      </c>
      <c r="BH549" s="224" t="str">
        <f>IFERROR(VLOOKUP($A549,Devengado!$A$1:$AI$1,27,FALSE),"")</f>
        <v/>
      </c>
      <c r="BI549" s="224" t="str">
        <f>IFERROR(VLOOKUP($A549,Devengado!$A$1:$AI$1,28,FALSE),"")</f>
        <v/>
      </c>
      <c r="BJ549" s="224" t="str">
        <f>IFERROR(VLOOKUP($A549,Devengado!$A$1:$AI$1,29,FALSE),"")</f>
        <v/>
      </c>
      <c r="BK549" s="224" t="str">
        <f>IFERROR(VLOOKUP($A549,Devengado!$A$1:$AI$1,30,FALSE),"")</f>
        <v/>
      </c>
      <c r="BL549" s="224" t="str">
        <f>IFERROR(VLOOKUP($A549,Devengado!$A$1:$AI$1,31,FALSE),"")</f>
        <v/>
      </c>
      <c r="BM549" s="224" t="str">
        <f>IFERROR(VLOOKUP($A549,Devengado!$A$1:$AI$1,32,FALSE),"")</f>
        <v/>
      </c>
      <c r="BN549" s="224" t="str">
        <f>IFERROR(VLOOKUP($A549,Devengado!$A$1:$AI$1,33,FALSE),"")</f>
        <v/>
      </c>
      <c r="BO549" s="224">
        <f t="shared" si="68"/>
        <v>0</v>
      </c>
      <c r="BP549" s="224" t="str">
        <f t="shared" si="69"/>
        <v/>
      </c>
      <c r="BQ549" s="207"/>
      <c r="BR549" s="207" t="str">
        <f t="shared" si="70"/>
        <v>57</v>
      </c>
    </row>
    <row r="550" spans="1:70" s="225" customFormat="1" ht="25.5" customHeight="1">
      <c r="A550" s="207">
        <v>546</v>
      </c>
      <c r="B550" s="112" t="s">
        <v>73</v>
      </c>
      <c r="C550" s="112" t="s">
        <v>187</v>
      </c>
      <c r="D550" s="125" t="s">
        <v>515</v>
      </c>
      <c r="E550" s="125" t="s">
        <v>76</v>
      </c>
      <c r="F550" s="112" t="s">
        <v>77</v>
      </c>
      <c r="G550" s="112" t="s">
        <v>77</v>
      </c>
      <c r="H550" s="112" t="s">
        <v>77</v>
      </c>
      <c r="I550" s="112" t="s">
        <v>77</v>
      </c>
      <c r="J550" s="112" t="s">
        <v>77</v>
      </c>
      <c r="K550" s="112" t="s">
        <v>77</v>
      </c>
      <c r="L550" s="112" t="s">
        <v>85</v>
      </c>
      <c r="M550" s="112" t="s">
        <v>543</v>
      </c>
      <c r="N550" s="126">
        <v>9999</v>
      </c>
      <c r="O550" s="127" t="s">
        <v>80</v>
      </c>
      <c r="P550" s="127" t="s">
        <v>81</v>
      </c>
      <c r="Q550" s="127" t="s">
        <v>82</v>
      </c>
      <c r="R550" s="115" t="str">
        <f t="shared" si="64"/>
        <v>57</v>
      </c>
      <c r="S550" s="134">
        <v>570201</v>
      </c>
      <c r="T550" s="122" t="e">
        <f>VLOOKUP(S550,ITEM!$C$1:$D$156,2,FALSE)</f>
        <v>#N/A</v>
      </c>
      <c r="U550" s="112">
        <v>1701</v>
      </c>
      <c r="V550" s="114" t="s">
        <v>82</v>
      </c>
      <c r="W550" s="114" t="s">
        <v>84</v>
      </c>
      <c r="X550" s="114" t="s">
        <v>84</v>
      </c>
      <c r="Y550" s="224" t="e">
        <f>'Matriz POA 2024-TRABAJO'!#REF!</f>
        <v>#REF!</v>
      </c>
      <c r="Z550" s="224" t="e">
        <f>'Matriz POA 2024-TRABAJO'!#REF!</f>
        <v>#REF!</v>
      </c>
      <c r="AA550" s="224" t="e">
        <f>'Matriz POA 2024-TRABAJO'!#REF!</f>
        <v>#REF!</v>
      </c>
      <c r="AB550" s="279">
        <v>0</v>
      </c>
      <c r="AC550" s="279">
        <v>0</v>
      </c>
      <c r="AD550" s="279">
        <v>0</v>
      </c>
      <c r="AE550" s="279">
        <v>0</v>
      </c>
      <c r="AF550" s="279">
        <v>0</v>
      </c>
      <c r="AG550" s="279">
        <v>0</v>
      </c>
      <c r="AH550" s="279">
        <v>0</v>
      </c>
      <c r="AI550" s="279">
        <v>0</v>
      </c>
      <c r="AJ550" s="279">
        <v>0</v>
      </c>
      <c r="AK550" s="279">
        <v>0</v>
      </c>
      <c r="AL550" s="279">
        <v>0</v>
      </c>
      <c r="AM550" s="279">
        <v>0</v>
      </c>
      <c r="AN550" s="224" t="e">
        <f>SUM(#REF!)</f>
        <v>#REF!</v>
      </c>
      <c r="AO550" s="224">
        <f t="shared" si="65"/>
        <v>0</v>
      </c>
      <c r="AP550" s="224" t="e">
        <f t="shared" si="71"/>
        <v>#REF!</v>
      </c>
      <c r="AQ550" s="224"/>
      <c r="AR550" s="224"/>
      <c r="AS550" s="224"/>
      <c r="AT550" s="224" t="str">
        <f>IFERROR(VLOOKUP($A550,'Constancias POA'!$A$2:$DH$9993,17,FALSE),"")</f>
        <v/>
      </c>
      <c r="AU550" s="224" t="str">
        <f t="shared" si="66"/>
        <v/>
      </c>
      <c r="AV550" s="224" t="str">
        <f>IFERROR(VLOOKUP($A550,CP!$A$1:$U$7992,18,FALSE),"")</f>
        <v/>
      </c>
      <c r="AW550" s="224" t="str">
        <f>IFERROR(VLOOKUP($A550,CP!$A$1:$U$7992,19,FALSE),"")</f>
        <v/>
      </c>
      <c r="AX550" s="224" t="str">
        <f>IFERROR(VLOOKUP($A550,CP!$A$1:$U$7992,20,FALSE),"")</f>
        <v/>
      </c>
      <c r="AY550" s="224" t="str">
        <f>IFERROR(VLOOKUP($A550,CP!$A$1:$U$1,21,FALSE),"")</f>
        <v/>
      </c>
      <c r="AZ550" s="224" t="str">
        <f>IFERROR(VLOOKUP(A550,Devengado!$A$1:AJ1,35,FALSE),"")</f>
        <v/>
      </c>
      <c r="BA550" s="224" t="str">
        <f t="shared" si="67"/>
        <v/>
      </c>
      <c r="BB550" s="224" t="str">
        <f>IFERROR(AZ550/#REF!,"")</f>
        <v/>
      </c>
      <c r="BC550" s="224" t="str">
        <f>IFERROR(VLOOKUP($A550,Devengado!$A$1:$AI$1,22,FALSE),"")</f>
        <v/>
      </c>
      <c r="BD550" s="224" t="str">
        <f>IFERROR(VLOOKUP($A550,Devengado!$A$1:$AI$1,23,FALSE),"")</f>
        <v/>
      </c>
      <c r="BE550" s="224" t="str">
        <f>IFERROR(VLOOKUP($A550,Devengado!$A$1:$AI$1,24,FALSE),"")</f>
        <v/>
      </c>
      <c r="BF550" s="224" t="str">
        <f>IFERROR(VLOOKUP($A550,Devengado!$A$1:$AI$1,25,FALSE),"")</f>
        <v/>
      </c>
      <c r="BG550" s="224" t="str">
        <f>IFERROR(VLOOKUP($A550,Devengado!$A$1:$AI$1,26,FALSE),"")</f>
        <v/>
      </c>
      <c r="BH550" s="224" t="str">
        <f>IFERROR(VLOOKUP($A550,Devengado!$A$1:$AI$1,27,FALSE),"")</f>
        <v/>
      </c>
      <c r="BI550" s="224" t="str">
        <f>IFERROR(VLOOKUP($A550,Devengado!$A$1:$AI$1,28,FALSE),"")</f>
        <v/>
      </c>
      <c r="BJ550" s="224" t="str">
        <f>IFERROR(VLOOKUP($A550,Devengado!$A$1:$AI$1,29,FALSE),"")</f>
        <v/>
      </c>
      <c r="BK550" s="224" t="str">
        <f>IFERROR(VLOOKUP($A550,Devengado!$A$1:$AI$1,30,FALSE),"")</f>
        <v/>
      </c>
      <c r="BL550" s="224" t="str">
        <f>IFERROR(VLOOKUP($A550,Devengado!$A$1:$AI$1,31,FALSE),"")</f>
        <v/>
      </c>
      <c r="BM550" s="224" t="str">
        <f>IFERROR(VLOOKUP($A550,Devengado!$A$1:$AI$1,32,FALSE),"")</f>
        <v/>
      </c>
      <c r="BN550" s="224" t="str">
        <f>IFERROR(VLOOKUP($A550,Devengado!$A$1:$AI$1,33,FALSE),"")</f>
        <v/>
      </c>
      <c r="BO550" s="224">
        <f t="shared" si="68"/>
        <v>0</v>
      </c>
      <c r="BP550" s="224" t="str">
        <f t="shared" si="69"/>
        <v/>
      </c>
      <c r="BQ550" s="207"/>
      <c r="BR550" s="207" t="str">
        <f t="shared" si="70"/>
        <v>57</v>
      </c>
    </row>
    <row r="551" spans="1:70" s="225" customFormat="1" ht="25.5" customHeight="1">
      <c r="A551" s="207">
        <v>547</v>
      </c>
      <c r="B551" s="112" t="s">
        <v>73</v>
      </c>
      <c r="C551" s="112" t="s">
        <v>187</v>
      </c>
      <c r="D551" s="125" t="s">
        <v>515</v>
      </c>
      <c r="E551" s="125" t="s">
        <v>76</v>
      </c>
      <c r="F551" s="112" t="s">
        <v>77</v>
      </c>
      <c r="G551" s="112" t="s">
        <v>77</v>
      </c>
      <c r="H551" s="112" t="s">
        <v>77</v>
      </c>
      <c r="I551" s="112" t="s">
        <v>77</v>
      </c>
      <c r="J551" s="112" t="s">
        <v>77</v>
      </c>
      <c r="K551" s="112" t="s">
        <v>77</v>
      </c>
      <c r="L551" s="112" t="s">
        <v>85</v>
      </c>
      <c r="M551" s="112" t="s">
        <v>544</v>
      </c>
      <c r="N551" s="126">
        <v>9999</v>
      </c>
      <c r="O551" s="127" t="s">
        <v>80</v>
      </c>
      <c r="P551" s="127" t="s">
        <v>81</v>
      </c>
      <c r="Q551" s="127" t="s">
        <v>82</v>
      </c>
      <c r="R551" s="115" t="str">
        <f t="shared" si="64"/>
        <v>57</v>
      </c>
      <c r="S551" s="134">
        <v>570201</v>
      </c>
      <c r="T551" s="122" t="e">
        <f>VLOOKUP(S551,ITEM!$C$1:$D$156,2,FALSE)</f>
        <v>#N/A</v>
      </c>
      <c r="U551" s="112">
        <v>1701</v>
      </c>
      <c r="V551" s="114" t="s">
        <v>82</v>
      </c>
      <c r="W551" s="114" t="s">
        <v>84</v>
      </c>
      <c r="X551" s="114" t="s">
        <v>84</v>
      </c>
      <c r="Y551" s="224" t="e">
        <f>'Matriz POA 2024-TRABAJO'!#REF!</f>
        <v>#REF!</v>
      </c>
      <c r="Z551" s="224" t="e">
        <f>'Matriz POA 2024-TRABAJO'!#REF!</f>
        <v>#REF!</v>
      </c>
      <c r="AA551" s="224" t="e">
        <f>'Matriz POA 2024-TRABAJO'!#REF!</f>
        <v>#REF!</v>
      </c>
      <c r="AB551" s="279">
        <v>0</v>
      </c>
      <c r="AC551" s="279">
        <v>0</v>
      </c>
      <c r="AD551" s="279">
        <v>0</v>
      </c>
      <c r="AE551" s="279">
        <v>0</v>
      </c>
      <c r="AF551" s="279">
        <v>0</v>
      </c>
      <c r="AG551" s="279">
        <v>0</v>
      </c>
      <c r="AH551" s="279">
        <v>0</v>
      </c>
      <c r="AI551" s="279">
        <v>0</v>
      </c>
      <c r="AJ551" s="279">
        <v>0</v>
      </c>
      <c r="AK551" s="279">
        <v>0</v>
      </c>
      <c r="AL551" s="279">
        <v>0</v>
      </c>
      <c r="AM551" s="279">
        <v>0</v>
      </c>
      <c r="AN551" s="224" t="e">
        <f>SUM(#REF!)</f>
        <v>#REF!</v>
      </c>
      <c r="AO551" s="224">
        <f t="shared" si="65"/>
        <v>0</v>
      </c>
      <c r="AP551" s="224" t="e">
        <f t="shared" si="71"/>
        <v>#REF!</v>
      </c>
      <c r="AQ551" s="224"/>
      <c r="AR551" s="224"/>
      <c r="AS551" s="224"/>
      <c r="AT551" s="224" t="str">
        <f>IFERROR(VLOOKUP($A551,'Constancias POA'!$A$2:$DH$9993,17,FALSE),"")</f>
        <v/>
      </c>
      <c r="AU551" s="224" t="str">
        <f t="shared" si="66"/>
        <v/>
      </c>
      <c r="AV551" s="224" t="str">
        <f>IFERROR(VLOOKUP($A551,CP!$A$1:$U$7992,18,FALSE),"")</f>
        <v/>
      </c>
      <c r="AW551" s="224" t="str">
        <f>IFERROR(VLOOKUP($A551,CP!$A$1:$U$7992,19,FALSE),"")</f>
        <v/>
      </c>
      <c r="AX551" s="224" t="str">
        <f>IFERROR(VLOOKUP($A551,CP!$A$1:$U$7992,20,FALSE),"")</f>
        <v/>
      </c>
      <c r="AY551" s="224" t="str">
        <f>IFERROR(VLOOKUP($A551,CP!$A$1:$U$1,21,FALSE),"")</f>
        <v/>
      </c>
      <c r="AZ551" s="224" t="str">
        <f>IFERROR(VLOOKUP(A551,Devengado!$A$1:AJ1,35,FALSE),"")</f>
        <v/>
      </c>
      <c r="BA551" s="224" t="str">
        <f t="shared" si="67"/>
        <v/>
      </c>
      <c r="BB551" s="224" t="str">
        <f>IFERROR(AZ551/#REF!,"")</f>
        <v/>
      </c>
      <c r="BC551" s="224" t="str">
        <f>IFERROR(VLOOKUP($A551,Devengado!$A$1:$AI$1,22,FALSE),"")</f>
        <v/>
      </c>
      <c r="BD551" s="224" t="str">
        <f>IFERROR(VLOOKUP($A551,Devengado!$A$1:$AI$1,23,FALSE),"")</f>
        <v/>
      </c>
      <c r="BE551" s="224" t="str">
        <f>IFERROR(VLOOKUP($A551,Devengado!$A$1:$AI$1,24,FALSE),"")</f>
        <v/>
      </c>
      <c r="BF551" s="224" t="str">
        <f>IFERROR(VLOOKUP($A551,Devengado!$A$1:$AI$1,25,FALSE),"")</f>
        <v/>
      </c>
      <c r="BG551" s="224" t="str">
        <f>IFERROR(VLOOKUP($A551,Devengado!$A$1:$AI$1,26,FALSE),"")</f>
        <v/>
      </c>
      <c r="BH551" s="224" t="str">
        <f>IFERROR(VLOOKUP($A551,Devengado!$A$1:$AI$1,27,FALSE),"")</f>
        <v/>
      </c>
      <c r="BI551" s="224" t="str">
        <f>IFERROR(VLOOKUP($A551,Devengado!$A$1:$AI$1,28,FALSE),"")</f>
        <v/>
      </c>
      <c r="BJ551" s="224" t="str">
        <f>IFERROR(VLOOKUP($A551,Devengado!$A$1:$AI$1,29,FALSE),"")</f>
        <v/>
      </c>
      <c r="BK551" s="224" t="str">
        <f>IFERROR(VLOOKUP($A551,Devengado!$A$1:$AI$1,30,FALSE),"")</f>
        <v/>
      </c>
      <c r="BL551" s="224" t="str">
        <f>IFERROR(VLOOKUP($A551,Devengado!$A$1:$AI$1,31,FALSE),"")</f>
        <v/>
      </c>
      <c r="BM551" s="224" t="str">
        <f>IFERROR(VLOOKUP($A551,Devengado!$A$1:$AI$1,32,FALSE),"")</f>
        <v/>
      </c>
      <c r="BN551" s="224" t="str">
        <f>IFERROR(VLOOKUP($A551,Devengado!$A$1:$AI$1,33,FALSE),"")</f>
        <v/>
      </c>
      <c r="BO551" s="224">
        <f t="shared" si="68"/>
        <v>0</v>
      </c>
      <c r="BP551" s="224" t="str">
        <f t="shared" si="69"/>
        <v/>
      </c>
      <c r="BQ551" s="207"/>
      <c r="BR551" s="207" t="str">
        <f t="shared" si="70"/>
        <v>57</v>
      </c>
    </row>
    <row r="552" spans="1:70" s="225" customFormat="1" ht="25.5" customHeight="1">
      <c r="A552" s="207">
        <v>548</v>
      </c>
      <c r="B552" s="112" t="s">
        <v>73</v>
      </c>
      <c r="C552" s="112" t="s">
        <v>187</v>
      </c>
      <c r="D552" s="125" t="s">
        <v>515</v>
      </c>
      <c r="E552" s="125" t="s">
        <v>76</v>
      </c>
      <c r="F552" s="112" t="s">
        <v>77</v>
      </c>
      <c r="G552" s="112" t="s">
        <v>77</v>
      </c>
      <c r="H552" s="112" t="s">
        <v>77</v>
      </c>
      <c r="I552" s="112" t="s">
        <v>77</v>
      </c>
      <c r="J552" s="112" t="s">
        <v>77</v>
      </c>
      <c r="K552" s="112" t="s">
        <v>77</v>
      </c>
      <c r="L552" s="112" t="s">
        <v>85</v>
      </c>
      <c r="M552" s="112" t="s">
        <v>545</v>
      </c>
      <c r="N552" s="126">
        <v>9999</v>
      </c>
      <c r="O552" s="127" t="s">
        <v>80</v>
      </c>
      <c r="P552" s="127" t="s">
        <v>81</v>
      </c>
      <c r="Q552" s="127" t="s">
        <v>82</v>
      </c>
      <c r="R552" s="115" t="str">
        <f t="shared" si="64"/>
        <v>53</v>
      </c>
      <c r="S552" s="134">
        <v>530203</v>
      </c>
      <c r="T552" s="122" t="str">
        <f>VLOOKUP(S552,ITEM!$C$1:$D$156,2,FALSE)</f>
        <v>Almacenamiento, Embalaje, Desembalaje, Envase, Desenvase y Recarga de Extintores</v>
      </c>
      <c r="U552" s="112">
        <v>1701</v>
      </c>
      <c r="V552" s="114" t="s">
        <v>82</v>
      </c>
      <c r="W552" s="114" t="s">
        <v>84</v>
      </c>
      <c r="X552" s="114" t="s">
        <v>84</v>
      </c>
      <c r="Y552" s="224" t="e">
        <f>'Matriz POA 2024-TRABAJO'!#REF!</f>
        <v>#REF!</v>
      </c>
      <c r="Z552" s="224" t="e">
        <f>'Matriz POA 2024-TRABAJO'!#REF!</f>
        <v>#REF!</v>
      </c>
      <c r="AA552" s="224" t="e">
        <f>'Matriz POA 2024-TRABAJO'!#REF!</f>
        <v>#REF!</v>
      </c>
      <c r="AB552" s="279">
        <v>0</v>
      </c>
      <c r="AC552" s="279">
        <v>0</v>
      </c>
      <c r="AD552" s="279">
        <v>0</v>
      </c>
      <c r="AE552" s="279">
        <v>0</v>
      </c>
      <c r="AF552" s="279">
        <v>0</v>
      </c>
      <c r="AG552" s="279">
        <v>0</v>
      </c>
      <c r="AH552" s="279">
        <v>0</v>
      </c>
      <c r="AI552" s="279">
        <v>0</v>
      </c>
      <c r="AJ552" s="279">
        <v>0</v>
      </c>
      <c r="AK552" s="279">
        <v>0</v>
      </c>
      <c r="AL552" s="279">
        <v>0</v>
      </c>
      <c r="AM552" s="279">
        <v>0</v>
      </c>
      <c r="AN552" s="224" t="e">
        <f>SUM(#REF!)</f>
        <v>#REF!</v>
      </c>
      <c r="AO552" s="224">
        <f t="shared" si="65"/>
        <v>0</v>
      </c>
      <c r="AP552" s="224" t="e">
        <f t="shared" si="71"/>
        <v>#REF!</v>
      </c>
      <c r="AQ552" s="224"/>
      <c r="AR552" s="224"/>
      <c r="AS552" s="224"/>
      <c r="AT552" s="224" t="str">
        <f>IFERROR(VLOOKUP($A552,'Constancias POA'!$A$2:$DH$9993,17,FALSE),"")</f>
        <v/>
      </c>
      <c r="AU552" s="224" t="str">
        <f t="shared" si="66"/>
        <v/>
      </c>
      <c r="AV552" s="224" t="str">
        <f>IFERROR(VLOOKUP($A552,CP!$A$1:$U$7992,18,FALSE),"")</f>
        <v/>
      </c>
      <c r="AW552" s="224" t="str">
        <f>IFERROR(VLOOKUP($A552,CP!$A$1:$U$7992,19,FALSE),"")</f>
        <v/>
      </c>
      <c r="AX552" s="224" t="str">
        <f>IFERROR(VLOOKUP($A552,CP!$A$1:$U$7992,20,FALSE),"")</f>
        <v/>
      </c>
      <c r="AY552" s="224" t="str">
        <f>IFERROR(VLOOKUP($A552,CP!$A$1:$U$1,21,FALSE),"")</f>
        <v/>
      </c>
      <c r="AZ552" s="224" t="str">
        <f>IFERROR(VLOOKUP(A552,Devengado!$A$1:AJ1,35,FALSE),"")</f>
        <v/>
      </c>
      <c r="BA552" s="224" t="str">
        <f t="shared" si="67"/>
        <v/>
      </c>
      <c r="BB552" s="224" t="str">
        <f>IFERROR(AZ552/#REF!,"")</f>
        <v/>
      </c>
      <c r="BC552" s="224" t="str">
        <f>IFERROR(VLOOKUP($A552,Devengado!$A$1:$AI$1,22,FALSE),"")</f>
        <v/>
      </c>
      <c r="BD552" s="224" t="str">
        <f>IFERROR(VLOOKUP($A552,Devengado!$A$1:$AI$1,23,FALSE),"")</f>
        <v/>
      </c>
      <c r="BE552" s="224" t="str">
        <f>IFERROR(VLOOKUP($A552,Devengado!$A$1:$AI$1,24,FALSE),"")</f>
        <v/>
      </c>
      <c r="BF552" s="224" t="str">
        <f>IFERROR(VLOOKUP($A552,Devengado!$A$1:$AI$1,25,FALSE),"")</f>
        <v/>
      </c>
      <c r="BG552" s="224" t="str">
        <f>IFERROR(VLOOKUP($A552,Devengado!$A$1:$AI$1,26,FALSE),"")</f>
        <v/>
      </c>
      <c r="BH552" s="224" t="str">
        <f>IFERROR(VLOOKUP($A552,Devengado!$A$1:$AI$1,27,FALSE),"")</f>
        <v/>
      </c>
      <c r="BI552" s="224" t="str">
        <f>IFERROR(VLOOKUP($A552,Devengado!$A$1:$AI$1,28,FALSE),"")</f>
        <v/>
      </c>
      <c r="BJ552" s="224" t="str">
        <f>IFERROR(VLOOKUP($A552,Devengado!$A$1:$AI$1,29,FALSE),"")</f>
        <v/>
      </c>
      <c r="BK552" s="224" t="str">
        <f>IFERROR(VLOOKUP($A552,Devengado!$A$1:$AI$1,30,FALSE),"")</f>
        <v/>
      </c>
      <c r="BL552" s="224" t="str">
        <f>IFERROR(VLOOKUP($A552,Devengado!$A$1:$AI$1,31,FALSE),"")</f>
        <v/>
      </c>
      <c r="BM552" s="224" t="str">
        <f>IFERROR(VLOOKUP($A552,Devengado!$A$1:$AI$1,32,FALSE),"")</f>
        <v/>
      </c>
      <c r="BN552" s="224" t="str">
        <f>IFERROR(VLOOKUP($A552,Devengado!$A$1:$AI$1,33,FALSE),"")</f>
        <v/>
      </c>
      <c r="BO552" s="224">
        <f t="shared" si="68"/>
        <v>0</v>
      </c>
      <c r="BP552" s="224" t="str">
        <f t="shared" si="69"/>
        <v/>
      </c>
      <c r="BQ552" s="207"/>
      <c r="BR552" s="207" t="str">
        <f t="shared" si="70"/>
        <v>53</v>
      </c>
    </row>
    <row r="553" spans="1:70" s="225" customFormat="1" ht="25.5" customHeight="1">
      <c r="A553" s="207">
        <v>549</v>
      </c>
      <c r="B553" s="112" t="s">
        <v>73</v>
      </c>
      <c r="C553" s="112" t="s">
        <v>187</v>
      </c>
      <c r="D553" s="125" t="s">
        <v>515</v>
      </c>
      <c r="E553" s="125" t="s">
        <v>76</v>
      </c>
      <c r="F553" s="112" t="s">
        <v>77</v>
      </c>
      <c r="G553" s="112" t="s">
        <v>77</v>
      </c>
      <c r="H553" s="112" t="s">
        <v>77</v>
      </c>
      <c r="I553" s="112" t="s">
        <v>77</v>
      </c>
      <c r="J553" s="112" t="s">
        <v>77</v>
      </c>
      <c r="K553" s="112" t="s">
        <v>77</v>
      </c>
      <c r="L553" s="112" t="s">
        <v>85</v>
      </c>
      <c r="M553" s="112" t="s">
        <v>546</v>
      </c>
      <c r="N553" s="126">
        <v>9999</v>
      </c>
      <c r="O553" s="127" t="s">
        <v>80</v>
      </c>
      <c r="P553" s="127" t="s">
        <v>81</v>
      </c>
      <c r="Q553" s="127" t="s">
        <v>82</v>
      </c>
      <c r="R553" s="115" t="str">
        <f t="shared" si="64"/>
        <v>53</v>
      </c>
      <c r="S553" s="134">
        <v>530402</v>
      </c>
      <c r="T553" s="122" t="str">
        <f>VLOOKUP(S553,ITEM!$C$1:$D$156,2,FALSE)</f>
        <v>Edificios, Locales, Residencias y Cableado Estructurado (Instalación, Mantenimiento y Reparación)</v>
      </c>
      <c r="U553" s="112">
        <v>1701</v>
      </c>
      <c r="V553" s="114" t="s">
        <v>82</v>
      </c>
      <c r="W553" s="114" t="s">
        <v>84</v>
      </c>
      <c r="X553" s="114" t="s">
        <v>84</v>
      </c>
      <c r="Y553" s="224" t="e">
        <f>'Matriz POA 2024-TRABAJO'!#REF!</f>
        <v>#REF!</v>
      </c>
      <c r="Z553" s="224" t="e">
        <f>'Matriz POA 2024-TRABAJO'!#REF!</f>
        <v>#REF!</v>
      </c>
      <c r="AA553" s="224" t="e">
        <f>'Matriz POA 2024-TRABAJO'!#REF!</f>
        <v>#REF!</v>
      </c>
      <c r="AB553" s="279"/>
      <c r="AC553" s="279"/>
      <c r="AD553" s="279"/>
      <c r="AE553" s="279"/>
      <c r="AF553" s="279"/>
      <c r="AG553" s="279"/>
      <c r="AH553" s="279"/>
      <c r="AI553" s="279"/>
      <c r="AJ553" s="279"/>
      <c r="AK553" s="279"/>
      <c r="AL553" s="279"/>
      <c r="AM553" s="279"/>
      <c r="AN553" s="224" t="e">
        <f>SUM(#REF!)</f>
        <v>#REF!</v>
      </c>
      <c r="AO553" s="224">
        <f t="shared" si="65"/>
        <v>0</v>
      </c>
      <c r="AP553" s="224" t="e">
        <f t="shared" si="71"/>
        <v>#REF!</v>
      </c>
      <c r="AQ553" s="224"/>
      <c r="AR553" s="224"/>
      <c r="AS553" s="224"/>
      <c r="AT553" s="224" t="str">
        <f>IFERROR(VLOOKUP($A553,'Constancias POA'!$A$2:$DH$9993,17,FALSE),"")</f>
        <v/>
      </c>
      <c r="AU553" s="224" t="str">
        <f t="shared" si="66"/>
        <v/>
      </c>
      <c r="AV553" s="224" t="str">
        <f>IFERROR(VLOOKUP($A553,CP!$A$1:$U$7992,18,FALSE),"")</f>
        <v/>
      </c>
      <c r="AW553" s="224" t="str">
        <f>IFERROR(VLOOKUP($A553,CP!$A$1:$U$7992,19,FALSE),"")</f>
        <v/>
      </c>
      <c r="AX553" s="224" t="str">
        <f>IFERROR(VLOOKUP($A553,CP!$A$1:$U$7992,20,FALSE),"")</f>
        <v/>
      </c>
      <c r="AY553" s="224" t="str">
        <f>IFERROR(VLOOKUP($A553,CP!$A$1:$U$1,21,FALSE),"")</f>
        <v/>
      </c>
      <c r="AZ553" s="224" t="str">
        <f>IFERROR(VLOOKUP(A553,Devengado!$A$1:AJ1,35,FALSE),"")</f>
        <v/>
      </c>
      <c r="BA553" s="224" t="str">
        <f t="shared" si="67"/>
        <v/>
      </c>
      <c r="BB553" s="224" t="str">
        <f>IFERROR(AZ553/#REF!,"")</f>
        <v/>
      </c>
      <c r="BC553" s="224" t="str">
        <f>IFERROR(VLOOKUP($A553,Devengado!$A$1:$AI$1,22,FALSE),"")</f>
        <v/>
      </c>
      <c r="BD553" s="224" t="str">
        <f>IFERROR(VLOOKUP($A553,Devengado!$A$1:$AI$1,23,FALSE),"")</f>
        <v/>
      </c>
      <c r="BE553" s="224" t="str">
        <f>IFERROR(VLOOKUP($A553,Devengado!$A$1:$AI$1,24,FALSE),"")</f>
        <v/>
      </c>
      <c r="BF553" s="224" t="str">
        <f>IFERROR(VLOOKUP($A553,Devengado!$A$1:$AI$1,25,FALSE),"")</f>
        <v/>
      </c>
      <c r="BG553" s="224" t="str">
        <f>IFERROR(VLOOKUP($A553,Devengado!$A$1:$AI$1,26,FALSE),"")</f>
        <v/>
      </c>
      <c r="BH553" s="224" t="str">
        <f>IFERROR(VLOOKUP($A553,Devengado!$A$1:$AI$1,27,FALSE),"")</f>
        <v/>
      </c>
      <c r="BI553" s="224" t="str">
        <f>IFERROR(VLOOKUP($A553,Devengado!$A$1:$AI$1,28,FALSE),"")</f>
        <v/>
      </c>
      <c r="BJ553" s="224" t="str">
        <f>IFERROR(VLOOKUP($A553,Devengado!$A$1:$AI$1,29,FALSE),"")</f>
        <v/>
      </c>
      <c r="BK553" s="224" t="str">
        <f>IFERROR(VLOOKUP($A553,Devengado!$A$1:$AI$1,30,FALSE),"")</f>
        <v/>
      </c>
      <c r="BL553" s="224" t="str">
        <f>IFERROR(VLOOKUP($A553,Devengado!$A$1:$AI$1,31,FALSE),"")</f>
        <v/>
      </c>
      <c r="BM553" s="224" t="str">
        <f>IFERROR(VLOOKUP($A553,Devengado!$A$1:$AI$1,32,FALSE),"")</f>
        <v/>
      </c>
      <c r="BN553" s="224" t="str">
        <f>IFERROR(VLOOKUP($A553,Devengado!$A$1:$AI$1,33,FALSE),"")</f>
        <v/>
      </c>
      <c r="BO553" s="224">
        <f t="shared" si="68"/>
        <v>0</v>
      </c>
      <c r="BP553" s="224" t="str">
        <f t="shared" si="69"/>
        <v/>
      </c>
      <c r="BQ553" s="207"/>
      <c r="BR553" s="207" t="str">
        <f t="shared" si="70"/>
        <v>53</v>
      </c>
    </row>
    <row r="554" spans="1:70" s="225" customFormat="1" ht="25.5" customHeight="1">
      <c r="A554" s="207">
        <v>550</v>
      </c>
      <c r="B554" s="112" t="s">
        <v>73</v>
      </c>
      <c r="C554" s="112" t="s">
        <v>187</v>
      </c>
      <c r="D554" s="125" t="s">
        <v>515</v>
      </c>
      <c r="E554" s="125" t="s">
        <v>76</v>
      </c>
      <c r="F554" s="112" t="s">
        <v>77</v>
      </c>
      <c r="G554" s="112" t="s">
        <v>77</v>
      </c>
      <c r="H554" s="112" t="s">
        <v>77</v>
      </c>
      <c r="I554" s="112" t="s">
        <v>77</v>
      </c>
      <c r="J554" s="112" t="s">
        <v>77</v>
      </c>
      <c r="K554" s="112" t="s">
        <v>77</v>
      </c>
      <c r="L554" s="112" t="s">
        <v>85</v>
      </c>
      <c r="M554" s="112" t="s">
        <v>547</v>
      </c>
      <c r="N554" s="126">
        <v>9999</v>
      </c>
      <c r="O554" s="127" t="s">
        <v>80</v>
      </c>
      <c r="P554" s="127" t="s">
        <v>81</v>
      </c>
      <c r="Q554" s="127" t="s">
        <v>82</v>
      </c>
      <c r="R554" s="115" t="str">
        <f t="shared" si="64"/>
        <v>53</v>
      </c>
      <c r="S554" s="134">
        <v>530402</v>
      </c>
      <c r="T554" s="122" t="str">
        <f>VLOOKUP(S554,ITEM!$C$1:$D$156,2,FALSE)</f>
        <v>Edificios, Locales, Residencias y Cableado Estructurado (Instalación, Mantenimiento y Reparación)</v>
      </c>
      <c r="U554" s="112">
        <v>1701</v>
      </c>
      <c r="V554" s="114" t="s">
        <v>82</v>
      </c>
      <c r="W554" s="114" t="s">
        <v>84</v>
      </c>
      <c r="X554" s="114" t="s">
        <v>84</v>
      </c>
      <c r="Y554" s="224" t="e">
        <f>'Matriz POA 2024-TRABAJO'!#REF!</f>
        <v>#REF!</v>
      </c>
      <c r="Z554" s="224" t="e">
        <f>'Matriz POA 2024-TRABAJO'!#REF!</f>
        <v>#REF!</v>
      </c>
      <c r="AA554" s="224" t="e">
        <f>'Matriz POA 2024-TRABAJO'!#REF!</f>
        <v>#REF!</v>
      </c>
      <c r="AB554" s="279">
        <v>0</v>
      </c>
      <c r="AC554" s="279">
        <v>0</v>
      </c>
      <c r="AD554" s="279">
        <v>0</v>
      </c>
      <c r="AE554" s="279">
        <v>0</v>
      </c>
      <c r="AF554" s="279">
        <v>0</v>
      </c>
      <c r="AG554" s="279">
        <v>0</v>
      </c>
      <c r="AH554" s="279">
        <v>0</v>
      </c>
      <c r="AI554" s="279">
        <v>0</v>
      </c>
      <c r="AJ554" s="279">
        <v>0</v>
      </c>
      <c r="AK554" s="279">
        <v>0</v>
      </c>
      <c r="AL554" s="279">
        <v>0</v>
      </c>
      <c r="AM554" s="279">
        <v>0</v>
      </c>
      <c r="AN554" s="224" t="e">
        <f>SUM(#REF!)</f>
        <v>#REF!</v>
      </c>
      <c r="AO554" s="224">
        <f t="shared" si="65"/>
        <v>0</v>
      </c>
      <c r="AP554" s="224" t="e">
        <f t="shared" si="71"/>
        <v>#REF!</v>
      </c>
      <c r="AQ554" s="224"/>
      <c r="AR554" s="224"/>
      <c r="AS554" s="224"/>
      <c r="AT554" s="224" t="str">
        <f>IFERROR(VLOOKUP($A554,'Constancias POA'!$A$2:$DH$9993,17,FALSE),"")</f>
        <v/>
      </c>
      <c r="AU554" s="224" t="str">
        <f t="shared" si="66"/>
        <v/>
      </c>
      <c r="AV554" s="224" t="str">
        <f>IFERROR(VLOOKUP($A554,CP!$A$1:$U$7992,18,FALSE),"")</f>
        <v/>
      </c>
      <c r="AW554" s="224" t="str">
        <f>IFERROR(VLOOKUP($A554,CP!$A$1:$U$7992,19,FALSE),"")</f>
        <v/>
      </c>
      <c r="AX554" s="224" t="str">
        <f>IFERROR(VLOOKUP($A554,CP!$A$1:$U$7992,20,FALSE),"")</f>
        <v/>
      </c>
      <c r="AY554" s="224" t="str">
        <f>IFERROR(VLOOKUP($A554,CP!$A$1:$U$1,21,FALSE),"")</f>
        <v/>
      </c>
      <c r="AZ554" s="224" t="str">
        <f>IFERROR(VLOOKUP(A554,Devengado!$A$1:AJ1,35,FALSE),"")</f>
        <v/>
      </c>
      <c r="BA554" s="224" t="str">
        <f t="shared" si="67"/>
        <v/>
      </c>
      <c r="BB554" s="224" t="str">
        <f>IFERROR(AZ554/#REF!,"")</f>
        <v/>
      </c>
      <c r="BC554" s="224" t="str">
        <f>IFERROR(VLOOKUP($A554,Devengado!$A$1:$AI$1,22,FALSE),"")</f>
        <v/>
      </c>
      <c r="BD554" s="224" t="str">
        <f>IFERROR(VLOOKUP($A554,Devengado!$A$1:$AI$1,23,FALSE),"")</f>
        <v/>
      </c>
      <c r="BE554" s="224" t="str">
        <f>IFERROR(VLOOKUP($A554,Devengado!$A$1:$AI$1,24,FALSE),"")</f>
        <v/>
      </c>
      <c r="BF554" s="224" t="str">
        <f>IFERROR(VLOOKUP($A554,Devengado!$A$1:$AI$1,25,FALSE),"")</f>
        <v/>
      </c>
      <c r="BG554" s="224" t="str">
        <f>IFERROR(VLOOKUP($A554,Devengado!$A$1:$AI$1,26,FALSE),"")</f>
        <v/>
      </c>
      <c r="BH554" s="224" t="str">
        <f>IFERROR(VLOOKUP($A554,Devengado!$A$1:$AI$1,27,FALSE),"")</f>
        <v/>
      </c>
      <c r="BI554" s="224" t="str">
        <f>IFERROR(VLOOKUP($A554,Devengado!$A$1:$AI$1,28,FALSE),"")</f>
        <v/>
      </c>
      <c r="BJ554" s="224" t="str">
        <f>IFERROR(VLOOKUP($A554,Devengado!$A$1:$AI$1,29,FALSE),"")</f>
        <v/>
      </c>
      <c r="BK554" s="224" t="str">
        <f>IFERROR(VLOOKUP($A554,Devengado!$A$1:$AI$1,30,FALSE),"")</f>
        <v/>
      </c>
      <c r="BL554" s="224" t="str">
        <f>IFERROR(VLOOKUP($A554,Devengado!$A$1:$AI$1,31,FALSE),"")</f>
        <v/>
      </c>
      <c r="BM554" s="224" t="str">
        <f>IFERROR(VLOOKUP($A554,Devengado!$A$1:$AI$1,32,FALSE),"")</f>
        <v/>
      </c>
      <c r="BN554" s="224" t="str">
        <f>IFERROR(VLOOKUP($A554,Devengado!$A$1:$AI$1,33,FALSE),"")</f>
        <v/>
      </c>
      <c r="BO554" s="224">
        <f t="shared" si="68"/>
        <v>0</v>
      </c>
      <c r="BP554" s="224" t="str">
        <f t="shared" si="69"/>
        <v/>
      </c>
      <c r="BQ554" s="207"/>
      <c r="BR554" s="207" t="str">
        <f t="shared" si="70"/>
        <v>53</v>
      </c>
    </row>
    <row r="555" spans="1:70" s="225" customFormat="1" ht="25.5" customHeight="1">
      <c r="A555" s="207">
        <v>551</v>
      </c>
      <c r="B555" s="112" t="s">
        <v>73</v>
      </c>
      <c r="C555" s="112" t="s">
        <v>187</v>
      </c>
      <c r="D555" s="125" t="s">
        <v>515</v>
      </c>
      <c r="E555" s="125" t="s">
        <v>76</v>
      </c>
      <c r="F555" s="112" t="s">
        <v>77</v>
      </c>
      <c r="G555" s="112" t="s">
        <v>77</v>
      </c>
      <c r="H555" s="112" t="s">
        <v>77</v>
      </c>
      <c r="I555" s="112" t="s">
        <v>77</v>
      </c>
      <c r="J555" s="112" t="s">
        <v>77</v>
      </c>
      <c r="K555" s="112" t="s">
        <v>77</v>
      </c>
      <c r="L555" s="112" t="s">
        <v>85</v>
      </c>
      <c r="M555" s="112" t="s">
        <v>548</v>
      </c>
      <c r="N555" s="126">
        <v>9999</v>
      </c>
      <c r="O555" s="127" t="s">
        <v>80</v>
      </c>
      <c r="P555" s="127" t="s">
        <v>81</v>
      </c>
      <c r="Q555" s="127" t="s">
        <v>82</v>
      </c>
      <c r="R555" s="115" t="str">
        <f t="shared" si="64"/>
        <v>53</v>
      </c>
      <c r="S555" s="134">
        <v>530402</v>
      </c>
      <c r="T555" s="122" t="str">
        <f>VLOOKUP(S555,ITEM!$C$1:$D$156,2,FALSE)</f>
        <v>Edificios, Locales, Residencias y Cableado Estructurado (Instalación, Mantenimiento y Reparación)</v>
      </c>
      <c r="U555" s="112">
        <v>1701</v>
      </c>
      <c r="V555" s="114" t="s">
        <v>82</v>
      </c>
      <c r="W555" s="114" t="s">
        <v>84</v>
      </c>
      <c r="X555" s="114" t="s">
        <v>84</v>
      </c>
      <c r="Y555" s="224" t="e">
        <f>'Matriz POA 2024-TRABAJO'!#REF!</f>
        <v>#REF!</v>
      </c>
      <c r="Z555" s="224" t="e">
        <f>'Matriz POA 2024-TRABAJO'!#REF!</f>
        <v>#REF!</v>
      </c>
      <c r="AA555" s="224" t="e">
        <f>'Matriz POA 2024-TRABAJO'!#REF!</f>
        <v>#REF!</v>
      </c>
      <c r="AB555" s="279"/>
      <c r="AC555" s="279"/>
      <c r="AD555" s="279">
        <v>6659</v>
      </c>
      <c r="AE555" s="279"/>
      <c r="AF555" s="279"/>
      <c r="AG555" s="279"/>
      <c r="AH555" s="279"/>
      <c r="AI555" s="279"/>
      <c r="AJ555" s="279"/>
      <c r="AK555" s="279"/>
      <c r="AL555" s="279"/>
      <c r="AM555" s="279"/>
      <c r="AN555" s="224" t="e">
        <f>SUM(#REF!)</f>
        <v>#REF!</v>
      </c>
      <c r="AO555" s="224">
        <f t="shared" si="65"/>
        <v>6659</v>
      </c>
      <c r="AP555" s="224" t="e">
        <f t="shared" si="71"/>
        <v>#REF!</v>
      </c>
      <c r="AQ555" s="224"/>
      <c r="AR555" s="224"/>
      <c r="AS555" s="224"/>
      <c r="AT555" s="224" t="str">
        <f>IFERROR(VLOOKUP($A555,'Constancias POA'!$A$2:$DH$9993,17,FALSE),"")</f>
        <v/>
      </c>
      <c r="AU555" s="224" t="str">
        <f t="shared" si="66"/>
        <v/>
      </c>
      <c r="AV555" s="224" t="str">
        <f>IFERROR(VLOOKUP($A555,CP!$A$1:$U$7992,18,FALSE),"")</f>
        <v/>
      </c>
      <c r="AW555" s="224" t="str">
        <f>IFERROR(VLOOKUP($A555,CP!$A$1:$U$7992,19,FALSE),"")</f>
        <v/>
      </c>
      <c r="AX555" s="224" t="str">
        <f>IFERROR(VLOOKUP($A555,CP!$A$1:$U$7992,20,FALSE),"")</f>
        <v/>
      </c>
      <c r="AY555" s="224" t="str">
        <f>IFERROR(VLOOKUP($A555,CP!$A$1:$U$1,21,FALSE),"")</f>
        <v/>
      </c>
      <c r="AZ555" s="224" t="str">
        <f>IFERROR(VLOOKUP(A555,Devengado!$A$1:AJ1,35,FALSE),"")</f>
        <v/>
      </c>
      <c r="BA555" s="224" t="str">
        <f t="shared" si="67"/>
        <v/>
      </c>
      <c r="BB555" s="224" t="str">
        <f>IFERROR(AZ555/#REF!,"")</f>
        <v/>
      </c>
      <c r="BC555" s="224" t="str">
        <f>IFERROR(VLOOKUP($A555,Devengado!$A$1:$AI$1,22,FALSE),"")</f>
        <v/>
      </c>
      <c r="BD555" s="224" t="str">
        <f>IFERROR(VLOOKUP($A555,Devengado!$A$1:$AI$1,23,FALSE),"")</f>
        <v/>
      </c>
      <c r="BE555" s="224" t="str">
        <f>IFERROR(VLOOKUP($A555,Devengado!$A$1:$AI$1,24,FALSE),"")</f>
        <v/>
      </c>
      <c r="BF555" s="224" t="str">
        <f>IFERROR(VLOOKUP($A555,Devengado!$A$1:$AI$1,25,FALSE),"")</f>
        <v/>
      </c>
      <c r="BG555" s="224" t="str">
        <f>IFERROR(VLOOKUP($A555,Devengado!$A$1:$AI$1,26,FALSE),"")</f>
        <v/>
      </c>
      <c r="BH555" s="224" t="str">
        <f>IFERROR(VLOOKUP($A555,Devengado!$A$1:$AI$1,27,FALSE),"")</f>
        <v/>
      </c>
      <c r="BI555" s="224" t="str">
        <f>IFERROR(VLOOKUP($A555,Devengado!$A$1:$AI$1,28,FALSE),"")</f>
        <v/>
      </c>
      <c r="BJ555" s="224" t="str">
        <f>IFERROR(VLOOKUP($A555,Devengado!$A$1:$AI$1,29,FALSE),"")</f>
        <v/>
      </c>
      <c r="BK555" s="224" t="str">
        <f>IFERROR(VLOOKUP($A555,Devengado!$A$1:$AI$1,30,FALSE),"")</f>
        <v/>
      </c>
      <c r="BL555" s="224" t="str">
        <f>IFERROR(VLOOKUP($A555,Devengado!$A$1:$AI$1,31,FALSE),"")</f>
        <v/>
      </c>
      <c r="BM555" s="224" t="str">
        <f>IFERROR(VLOOKUP($A555,Devengado!$A$1:$AI$1,32,FALSE),"")</f>
        <v/>
      </c>
      <c r="BN555" s="224" t="str">
        <f>IFERROR(VLOOKUP($A555,Devengado!$A$1:$AI$1,33,FALSE),"")</f>
        <v/>
      </c>
      <c r="BO555" s="224">
        <f t="shared" si="68"/>
        <v>0</v>
      </c>
      <c r="BP555" s="224" t="str">
        <f t="shared" si="69"/>
        <v/>
      </c>
      <c r="BQ555" s="207"/>
      <c r="BR555" s="207" t="str">
        <f t="shared" si="70"/>
        <v>53</v>
      </c>
    </row>
    <row r="556" spans="1:70" s="225" customFormat="1" ht="25.5" customHeight="1">
      <c r="A556" s="207">
        <v>552</v>
      </c>
      <c r="B556" s="112" t="s">
        <v>73</v>
      </c>
      <c r="C556" s="112" t="s">
        <v>187</v>
      </c>
      <c r="D556" s="125" t="s">
        <v>515</v>
      </c>
      <c r="E556" s="125" t="s">
        <v>76</v>
      </c>
      <c r="F556" s="112" t="s">
        <v>77</v>
      </c>
      <c r="G556" s="112" t="s">
        <v>77</v>
      </c>
      <c r="H556" s="112" t="s">
        <v>77</v>
      </c>
      <c r="I556" s="112" t="s">
        <v>77</v>
      </c>
      <c r="J556" s="112" t="s">
        <v>77</v>
      </c>
      <c r="K556" s="112" t="s">
        <v>77</v>
      </c>
      <c r="L556" s="112" t="s">
        <v>85</v>
      </c>
      <c r="M556" s="112" t="s">
        <v>549</v>
      </c>
      <c r="N556" s="126">
        <v>9999</v>
      </c>
      <c r="O556" s="127" t="s">
        <v>80</v>
      </c>
      <c r="P556" s="127" t="s">
        <v>81</v>
      </c>
      <c r="Q556" s="127" t="s">
        <v>82</v>
      </c>
      <c r="R556" s="115" t="str">
        <f t="shared" si="64"/>
        <v>53</v>
      </c>
      <c r="S556" s="134">
        <v>530811</v>
      </c>
      <c r="T556" s="122" t="e">
        <f>VLOOKUP(S556,ITEM!$C$1:$D$156,2,FALSE)</f>
        <v>#N/A</v>
      </c>
      <c r="U556" s="112">
        <v>1701</v>
      </c>
      <c r="V556" s="114" t="s">
        <v>82</v>
      </c>
      <c r="W556" s="114" t="s">
        <v>84</v>
      </c>
      <c r="X556" s="114" t="s">
        <v>84</v>
      </c>
      <c r="Y556" s="224" t="e">
        <f>'Matriz POA 2024-TRABAJO'!#REF!</f>
        <v>#REF!</v>
      </c>
      <c r="Z556" s="224" t="e">
        <f>'Matriz POA 2024-TRABAJO'!#REF!</f>
        <v>#REF!</v>
      </c>
      <c r="AA556" s="224" t="e">
        <f>'Matriz POA 2024-TRABAJO'!#REF!</f>
        <v>#REF!</v>
      </c>
      <c r="AB556" s="279">
        <v>0</v>
      </c>
      <c r="AC556" s="279">
        <v>0</v>
      </c>
      <c r="AD556" s="279">
        <v>0</v>
      </c>
      <c r="AE556" s="279">
        <v>0</v>
      </c>
      <c r="AF556" s="279">
        <v>0</v>
      </c>
      <c r="AG556" s="279">
        <v>0</v>
      </c>
      <c r="AH556" s="279">
        <v>0</v>
      </c>
      <c r="AI556" s="279">
        <v>0</v>
      </c>
      <c r="AJ556" s="279">
        <v>0</v>
      </c>
      <c r="AK556" s="279">
        <v>0</v>
      </c>
      <c r="AL556" s="279">
        <v>0</v>
      </c>
      <c r="AM556" s="279">
        <v>0</v>
      </c>
      <c r="AN556" s="224" t="e">
        <f>SUM(#REF!)</f>
        <v>#REF!</v>
      </c>
      <c r="AO556" s="224">
        <f t="shared" si="65"/>
        <v>0</v>
      </c>
      <c r="AP556" s="224" t="e">
        <f t="shared" si="71"/>
        <v>#REF!</v>
      </c>
      <c r="AQ556" s="224"/>
      <c r="AR556" s="224"/>
      <c r="AS556" s="224"/>
      <c r="AT556" s="224" t="str">
        <f>IFERROR(VLOOKUP($A556,'Constancias POA'!$A$2:$DH$9993,17,FALSE),"")</f>
        <v/>
      </c>
      <c r="AU556" s="224" t="str">
        <f t="shared" si="66"/>
        <v/>
      </c>
      <c r="AV556" s="224" t="str">
        <f>IFERROR(VLOOKUP($A556,CP!$A$1:$U$7992,18,FALSE),"")</f>
        <v/>
      </c>
      <c r="AW556" s="224" t="str">
        <f>IFERROR(VLOOKUP($A556,CP!$A$1:$U$7992,19,FALSE),"")</f>
        <v/>
      </c>
      <c r="AX556" s="224" t="str">
        <f>IFERROR(VLOOKUP($A556,CP!$A$1:$U$7992,20,FALSE),"")</f>
        <v/>
      </c>
      <c r="AY556" s="224" t="str">
        <f>IFERROR(VLOOKUP($A556,CP!$A$1:$U$1,21,FALSE),"")</f>
        <v/>
      </c>
      <c r="AZ556" s="224" t="str">
        <f>IFERROR(VLOOKUP(A556,Devengado!$A$1:AJ1,35,FALSE),"")</f>
        <v/>
      </c>
      <c r="BA556" s="224" t="str">
        <f t="shared" si="67"/>
        <v/>
      </c>
      <c r="BB556" s="224" t="str">
        <f>IFERROR(AZ556/#REF!,"")</f>
        <v/>
      </c>
      <c r="BC556" s="224" t="str">
        <f>IFERROR(VLOOKUP($A556,Devengado!$A$1:$AI$1,22,FALSE),"")</f>
        <v/>
      </c>
      <c r="BD556" s="224" t="str">
        <f>IFERROR(VLOOKUP($A556,Devengado!$A$1:$AI$1,23,FALSE),"")</f>
        <v/>
      </c>
      <c r="BE556" s="224" t="str">
        <f>IFERROR(VLOOKUP($A556,Devengado!$A$1:$AI$1,24,FALSE),"")</f>
        <v/>
      </c>
      <c r="BF556" s="224" t="str">
        <f>IFERROR(VLOOKUP($A556,Devengado!$A$1:$AI$1,25,FALSE),"")</f>
        <v/>
      </c>
      <c r="BG556" s="224" t="str">
        <f>IFERROR(VLOOKUP($A556,Devengado!$A$1:$AI$1,26,FALSE),"")</f>
        <v/>
      </c>
      <c r="BH556" s="224" t="str">
        <f>IFERROR(VLOOKUP($A556,Devengado!$A$1:$AI$1,27,FALSE),"")</f>
        <v/>
      </c>
      <c r="BI556" s="224" t="str">
        <f>IFERROR(VLOOKUP($A556,Devengado!$A$1:$AI$1,28,FALSE),"")</f>
        <v/>
      </c>
      <c r="BJ556" s="224" t="str">
        <f>IFERROR(VLOOKUP($A556,Devengado!$A$1:$AI$1,29,FALSE),"")</f>
        <v/>
      </c>
      <c r="BK556" s="224" t="str">
        <f>IFERROR(VLOOKUP($A556,Devengado!$A$1:$AI$1,30,FALSE),"")</f>
        <v/>
      </c>
      <c r="BL556" s="224" t="str">
        <f>IFERROR(VLOOKUP($A556,Devengado!$A$1:$AI$1,31,FALSE),"")</f>
        <v/>
      </c>
      <c r="BM556" s="224" t="str">
        <f>IFERROR(VLOOKUP($A556,Devengado!$A$1:$AI$1,32,FALSE),"")</f>
        <v/>
      </c>
      <c r="BN556" s="224" t="str">
        <f>IFERROR(VLOOKUP($A556,Devengado!$A$1:$AI$1,33,FALSE),"")</f>
        <v/>
      </c>
      <c r="BO556" s="224">
        <f t="shared" si="68"/>
        <v>0</v>
      </c>
      <c r="BP556" s="224" t="str">
        <f t="shared" si="69"/>
        <v/>
      </c>
      <c r="BQ556" s="207"/>
      <c r="BR556" s="207" t="str">
        <f t="shared" si="70"/>
        <v>53</v>
      </c>
    </row>
    <row r="557" spans="1:70" s="225" customFormat="1" ht="25.5" customHeight="1">
      <c r="A557" s="207">
        <v>553</v>
      </c>
      <c r="B557" s="112" t="s">
        <v>73</v>
      </c>
      <c r="C557" s="112" t="s">
        <v>187</v>
      </c>
      <c r="D557" s="125" t="s">
        <v>515</v>
      </c>
      <c r="E557" s="125" t="s">
        <v>76</v>
      </c>
      <c r="F557" s="112" t="s">
        <v>77</v>
      </c>
      <c r="G557" s="112" t="s">
        <v>77</v>
      </c>
      <c r="H557" s="112" t="s">
        <v>77</v>
      </c>
      <c r="I557" s="112" t="s">
        <v>77</v>
      </c>
      <c r="J557" s="112" t="s">
        <v>77</v>
      </c>
      <c r="K557" s="112" t="s">
        <v>77</v>
      </c>
      <c r="L557" s="112" t="s">
        <v>85</v>
      </c>
      <c r="M557" s="112" t="s">
        <v>550</v>
      </c>
      <c r="N557" s="126">
        <v>9999</v>
      </c>
      <c r="O557" s="127" t="s">
        <v>80</v>
      </c>
      <c r="P557" s="127" t="s">
        <v>81</v>
      </c>
      <c r="Q557" s="127" t="s">
        <v>82</v>
      </c>
      <c r="R557" s="115" t="str">
        <f t="shared" si="64"/>
        <v>53</v>
      </c>
      <c r="S557" s="134">
        <v>530402</v>
      </c>
      <c r="T557" s="122" t="str">
        <f>VLOOKUP(S557,ITEM!$C$1:$D$156,2,FALSE)</f>
        <v>Edificios, Locales, Residencias y Cableado Estructurado (Instalación, Mantenimiento y Reparación)</v>
      </c>
      <c r="U557" s="112">
        <v>1701</v>
      </c>
      <c r="V557" s="114" t="s">
        <v>82</v>
      </c>
      <c r="W557" s="114" t="s">
        <v>84</v>
      </c>
      <c r="X557" s="114" t="s">
        <v>84</v>
      </c>
      <c r="Y557" s="224" t="e">
        <f>'Matriz POA 2024-TRABAJO'!#REF!</f>
        <v>#REF!</v>
      </c>
      <c r="Z557" s="224" t="e">
        <f>'Matriz POA 2024-TRABAJO'!#REF!</f>
        <v>#REF!</v>
      </c>
      <c r="AA557" s="224" t="e">
        <f>'Matriz POA 2024-TRABAJO'!#REF!</f>
        <v>#REF!</v>
      </c>
      <c r="AB557" s="279">
        <v>0</v>
      </c>
      <c r="AC557" s="279">
        <v>0</v>
      </c>
      <c r="AD557" s="279">
        <v>0</v>
      </c>
      <c r="AE557" s="279">
        <v>0</v>
      </c>
      <c r="AF557" s="279">
        <v>0</v>
      </c>
      <c r="AG557" s="279">
        <v>0</v>
      </c>
      <c r="AH557" s="279">
        <v>0</v>
      </c>
      <c r="AI557" s="279">
        <v>0</v>
      </c>
      <c r="AJ557" s="279">
        <v>0</v>
      </c>
      <c r="AK557" s="279">
        <v>0</v>
      </c>
      <c r="AL557" s="279">
        <v>0</v>
      </c>
      <c r="AM557" s="279">
        <v>0</v>
      </c>
      <c r="AN557" s="224" t="e">
        <f>SUM(#REF!)</f>
        <v>#REF!</v>
      </c>
      <c r="AO557" s="224">
        <f t="shared" si="65"/>
        <v>0</v>
      </c>
      <c r="AP557" s="224" t="e">
        <f t="shared" si="71"/>
        <v>#REF!</v>
      </c>
      <c r="AQ557" s="224"/>
      <c r="AR557" s="224"/>
      <c r="AS557" s="224"/>
      <c r="AT557" s="224" t="str">
        <f>IFERROR(VLOOKUP($A557,'Constancias POA'!$A$2:$DH$9993,17,FALSE),"")</f>
        <v/>
      </c>
      <c r="AU557" s="224" t="str">
        <f t="shared" si="66"/>
        <v/>
      </c>
      <c r="AV557" s="224" t="str">
        <f>IFERROR(VLOOKUP($A557,CP!$A$1:$U$7992,18,FALSE),"")</f>
        <v/>
      </c>
      <c r="AW557" s="224" t="str">
        <f>IFERROR(VLOOKUP($A557,CP!$A$1:$U$7992,19,FALSE),"")</f>
        <v/>
      </c>
      <c r="AX557" s="224" t="str">
        <f>IFERROR(VLOOKUP($A557,CP!$A$1:$U$7992,20,FALSE),"")</f>
        <v/>
      </c>
      <c r="AY557" s="224" t="str">
        <f>IFERROR(VLOOKUP($A557,CP!$A$1:$U$1,21,FALSE),"")</f>
        <v/>
      </c>
      <c r="AZ557" s="224" t="str">
        <f>IFERROR(VLOOKUP(A557,Devengado!$A$1:AJ1,35,FALSE),"")</f>
        <v/>
      </c>
      <c r="BA557" s="224" t="str">
        <f t="shared" si="67"/>
        <v/>
      </c>
      <c r="BB557" s="224" t="str">
        <f>IFERROR(AZ557/#REF!,"")</f>
        <v/>
      </c>
      <c r="BC557" s="224" t="str">
        <f>IFERROR(VLOOKUP($A557,Devengado!$A$1:$AI$1,22,FALSE),"")</f>
        <v/>
      </c>
      <c r="BD557" s="224" t="str">
        <f>IFERROR(VLOOKUP($A557,Devengado!$A$1:$AI$1,23,FALSE),"")</f>
        <v/>
      </c>
      <c r="BE557" s="224" t="str">
        <f>IFERROR(VLOOKUP($A557,Devengado!$A$1:$AI$1,24,FALSE),"")</f>
        <v/>
      </c>
      <c r="BF557" s="224" t="str">
        <f>IFERROR(VLOOKUP($A557,Devengado!$A$1:$AI$1,25,FALSE),"")</f>
        <v/>
      </c>
      <c r="BG557" s="224" t="str">
        <f>IFERROR(VLOOKUP($A557,Devengado!$A$1:$AI$1,26,FALSE),"")</f>
        <v/>
      </c>
      <c r="BH557" s="224" t="str">
        <f>IFERROR(VLOOKUP($A557,Devengado!$A$1:$AI$1,27,FALSE),"")</f>
        <v/>
      </c>
      <c r="BI557" s="224" t="str">
        <f>IFERROR(VLOOKUP($A557,Devengado!$A$1:$AI$1,28,FALSE),"")</f>
        <v/>
      </c>
      <c r="BJ557" s="224" t="str">
        <f>IFERROR(VLOOKUP($A557,Devengado!$A$1:$AI$1,29,FALSE),"")</f>
        <v/>
      </c>
      <c r="BK557" s="224" t="str">
        <f>IFERROR(VLOOKUP($A557,Devengado!$A$1:$AI$1,30,FALSE),"")</f>
        <v/>
      </c>
      <c r="BL557" s="224" t="str">
        <f>IFERROR(VLOOKUP($A557,Devengado!$A$1:$AI$1,31,FALSE),"")</f>
        <v/>
      </c>
      <c r="BM557" s="224" t="str">
        <f>IFERROR(VLOOKUP($A557,Devengado!$A$1:$AI$1,32,FALSE),"")</f>
        <v/>
      </c>
      <c r="BN557" s="224" t="str">
        <f>IFERROR(VLOOKUP($A557,Devengado!$A$1:$AI$1,33,FALSE),"")</f>
        <v/>
      </c>
      <c r="BO557" s="224">
        <f t="shared" si="68"/>
        <v>0</v>
      </c>
      <c r="BP557" s="224" t="str">
        <f t="shared" si="69"/>
        <v/>
      </c>
      <c r="BQ557" s="207"/>
      <c r="BR557" s="207" t="str">
        <f t="shared" si="70"/>
        <v>53</v>
      </c>
    </row>
    <row r="558" spans="1:70" s="225" customFormat="1" ht="25.5" customHeight="1">
      <c r="A558" s="207">
        <v>554</v>
      </c>
      <c r="B558" s="112" t="s">
        <v>73</v>
      </c>
      <c r="C558" s="112" t="s">
        <v>187</v>
      </c>
      <c r="D558" s="125" t="s">
        <v>515</v>
      </c>
      <c r="E558" s="125" t="s">
        <v>76</v>
      </c>
      <c r="F558" s="112" t="s">
        <v>77</v>
      </c>
      <c r="G558" s="112" t="s">
        <v>77</v>
      </c>
      <c r="H558" s="112" t="s">
        <v>77</v>
      </c>
      <c r="I558" s="112" t="s">
        <v>77</v>
      </c>
      <c r="J558" s="112" t="s">
        <v>77</v>
      </c>
      <c r="K558" s="112" t="s">
        <v>77</v>
      </c>
      <c r="L558" s="112" t="s">
        <v>85</v>
      </c>
      <c r="M558" s="112" t="s">
        <v>551</v>
      </c>
      <c r="N558" s="126">
        <v>9999</v>
      </c>
      <c r="O558" s="127" t="s">
        <v>80</v>
      </c>
      <c r="P558" s="127" t="s">
        <v>81</v>
      </c>
      <c r="Q558" s="127" t="s">
        <v>82</v>
      </c>
      <c r="R558" s="115" t="str">
        <f t="shared" si="64"/>
        <v>53</v>
      </c>
      <c r="S558" s="134">
        <v>530402</v>
      </c>
      <c r="T558" s="122" t="str">
        <f>VLOOKUP(S558,ITEM!$C$1:$D$156,2,FALSE)</f>
        <v>Edificios, Locales, Residencias y Cableado Estructurado (Instalación, Mantenimiento y Reparación)</v>
      </c>
      <c r="U558" s="112">
        <v>1701</v>
      </c>
      <c r="V558" s="114" t="s">
        <v>82</v>
      </c>
      <c r="W558" s="114" t="s">
        <v>84</v>
      </c>
      <c r="X558" s="114" t="s">
        <v>84</v>
      </c>
      <c r="Y558" s="224" t="e">
        <f>'Matriz POA 2024-TRABAJO'!#REF!</f>
        <v>#REF!</v>
      </c>
      <c r="Z558" s="224" t="e">
        <f>'Matriz POA 2024-TRABAJO'!#REF!</f>
        <v>#REF!</v>
      </c>
      <c r="AA558" s="224" t="e">
        <f>'Matriz POA 2024-TRABAJO'!#REF!</f>
        <v>#REF!</v>
      </c>
      <c r="AB558" s="279">
        <v>0</v>
      </c>
      <c r="AC558" s="279">
        <v>0</v>
      </c>
      <c r="AD558" s="279">
        <v>0</v>
      </c>
      <c r="AE558" s="279">
        <v>0</v>
      </c>
      <c r="AF558" s="279">
        <v>0</v>
      </c>
      <c r="AG558" s="279">
        <v>0</v>
      </c>
      <c r="AH558" s="279">
        <v>0</v>
      </c>
      <c r="AI558" s="279">
        <v>0</v>
      </c>
      <c r="AJ558" s="279">
        <v>0</v>
      </c>
      <c r="AK558" s="279">
        <v>0</v>
      </c>
      <c r="AL558" s="279">
        <v>0</v>
      </c>
      <c r="AM558" s="279">
        <v>0</v>
      </c>
      <c r="AN558" s="224" t="e">
        <f>SUM(#REF!)</f>
        <v>#REF!</v>
      </c>
      <c r="AO558" s="224">
        <f t="shared" si="65"/>
        <v>0</v>
      </c>
      <c r="AP558" s="224" t="e">
        <f t="shared" si="71"/>
        <v>#REF!</v>
      </c>
      <c r="AQ558" s="224"/>
      <c r="AR558" s="224"/>
      <c r="AS558" s="224"/>
      <c r="AT558" s="224" t="str">
        <f>IFERROR(VLOOKUP($A558,'Constancias POA'!$A$2:$DH$9993,17,FALSE),"")</f>
        <v/>
      </c>
      <c r="AU558" s="224" t="str">
        <f t="shared" si="66"/>
        <v/>
      </c>
      <c r="AV558" s="224" t="str">
        <f>IFERROR(VLOOKUP($A558,CP!$A$1:$U$7992,18,FALSE),"")</f>
        <v/>
      </c>
      <c r="AW558" s="224" t="str">
        <f>IFERROR(VLOOKUP($A558,CP!$A$1:$U$7992,19,FALSE),"")</f>
        <v/>
      </c>
      <c r="AX558" s="224" t="str">
        <f>IFERROR(VLOOKUP($A558,CP!$A$1:$U$7992,20,FALSE),"")</f>
        <v/>
      </c>
      <c r="AY558" s="224" t="str">
        <f>IFERROR(VLOOKUP($A558,CP!$A$1:$U$1,21,FALSE),"")</f>
        <v/>
      </c>
      <c r="AZ558" s="224" t="str">
        <f>IFERROR(VLOOKUP(A558,Devengado!$A$1:AJ1,35,FALSE),"")</f>
        <v/>
      </c>
      <c r="BA558" s="224" t="str">
        <f t="shared" si="67"/>
        <v/>
      </c>
      <c r="BB558" s="224" t="str">
        <f>IFERROR(AZ558/#REF!,"")</f>
        <v/>
      </c>
      <c r="BC558" s="224" t="str">
        <f>IFERROR(VLOOKUP($A558,Devengado!$A$1:$AI$1,22,FALSE),"")</f>
        <v/>
      </c>
      <c r="BD558" s="224" t="str">
        <f>IFERROR(VLOOKUP($A558,Devengado!$A$1:$AI$1,23,FALSE),"")</f>
        <v/>
      </c>
      <c r="BE558" s="224" t="str">
        <f>IFERROR(VLOOKUP($A558,Devengado!$A$1:$AI$1,24,FALSE),"")</f>
        <v/>
      </c>
      <c r="BF558" s="224" t="str">
        <f>IFERROR(VLOOKUP($A558,Devengado!$A$1:$AI$1,25,FALSE),"")</f>
        <v/>
      </c>
      <c r="BG558" s="224" t="str">
        <f>IFERROR(VLOOKUP($A558,Devengado!$A$1:$AI$1,26,FALSE),"")</f>
        <v/>
      </c>
      <c r="BH558" s="224" t="str">
        <f>IFERROR(VLOOKUP($A558,Devengado!$A$1:$AI$1,27,FALSE),"")</f>
        <v/>
      </c>
      <c r="BI558" s="224" t="str">
        <f>IFERROR(VLOOKUP($A558,Devengado!$A$1:$AI$1,28,FALSE),"")</f>
        <v/>
      </c>
      <c r="BJ558" s="224" t="str">
        <f>IFERROR(VLOOKUP($A558,Devengado!$A$1:$AI$1,29,FALSE),"")</f>
        <v/>
      </c>
      <c r="BK558" s="224" t="str">
        <f>IFERROR(VLOOKUP($A558,Devengado!$A$1:$AI$1,30,FALSE),"")</f>
        <v/>
      </c>
      <c r="BL558" s="224" t="str">
        <f>IFERROR(VLOOKUP($A558,Devengado!$A$1:$AI$1,31,FALSE),"")</f>
        <v/>
      </c>
      <c r="BM558" s="224" t="str">
        <f>IFERROR(VLOOKUP($A558,Devengado!$A$1:$AI$1,32,FALSE),"")</f>
        <v/>
      </c>
      <c r="BN558" s="224" t="str">
        <f>IFERROR(VLOOKUP($A558,Devengado!$A$1:$AI$1,33,FALSE),"")</f>
        <v/>
      </c>
      <c r="BO558" s="224">
        <f t="shared" si="68"/>
        <v>0</v>
      </c>
      <c r="BP558" s="224" t="str">
        <f t="shared" si="69"/>
        <v/>
      </c>
      <c r="BQ558" s="207"/>
      <c r="BR558" s="207" t="str">
        <f t="shared" si="70"/>
        <v>53</v>
      </c>
    </row>
    <row r="559" spans="1:70" s="225" customFormat="1" ht="25.5" customHeight="1">
      <c r="A559" s="207">
        <v>555</v>
      </c>
      <c r="B559" s="112" t="s">
        <v>73</v>
      </c>
      <c r="C559" s="112" t="s">
        <v>187</v>
      </c>
      <c r="D559" s="125" t="s">
        <v>515</v>
      </c>
      <c r="E559" s="125" t="s">
        <v>76</v>
      </c>
      <c r="F559" s="112" t="s">
        <v>77</v>
      </c>
      <c r="G559" s="112" t="s">
        <v>77</v>
      </c>
      <c r="H559" s="112" t="s">
        <v>77</v>
      </c>
      <c r="I559" s="112" t="s">
        <v>77</v>
      </c>
      <c r="J559" s="112" t="s">
        <v>77</v>
      </c>
      <c r="K559" s="112" t="s">
        <v>77</v>
      </c>
      <c r="L559" s="112" t="s">
        <v>85</v>
      </c>
      <c r="M559" s="112" t="s">
        <v>552</v>
      </c>
      <c r="N559" s="126">
        <v>9999</v>
      </c>
      <c r="O559" s="127" t="s">
        <v>80</v>
      </c>
      <c r="P559" s="127" t="s">
        <v>81</v>
      </c>
      <c r="Q559" s="127" t="s">
        <v>82</v>
      </c>
      <c r="R559" s="115" t="str">
        <f t="shared" si="64"/>
        <v>84</v>
      </c>
      <c r="S559" s="134">
        <v>840104</v>
      </c>
      <c r="T559" s="122" t="e">
        <f>VLOOKUP(S559,ITEM!$C$1:$D$156,2,FALSE)</f>
        <v>#N/A</v>
      </c>
      <c r="U559" s="112">
        <v>1701</v>
      </c>
      <c r="V559" s="114" t="s">
        <v>82</v>
      </c>
      <c r="W559" s="114" t="s">
        <v>84</v>
      </c>
      <c r="X559" s="114" t="s">
        <v>84</v>
      </c>
      <c r="Y559" s="224" t="e">
        <f>'Matriz POA 2024-TRABAJO'!#REF!</f>
        <v>#REF!</v>
      </c>
      <c r="Z559" s="224" t="e">
        <f>'Matriz POA 2024-TRABAJO'!#REF!</f>
        <v>#REF!</v>
      </c>
      <c r="AA559" s="224" t="e">
        <f>'Matriz POA 2024-TRABAJO'!#REF!</f>
        <v>#REF!</v>
      </c>
      <c r="AB559" s="279">
        <v>0</v>
      </c>
      <c r="AC559" s="279">
        <v>0</v>
      </c>
      <c r="AD559" s="279">
        <v>0</v>
      </c>
      <c r="AE559" s="279">
        <v>0</v>
      </c>
      <c r="AF559" s="279">
        <v>0</v>
      </c>
      <c r="AG559" s="279">
        <v>0</v>
      </c>
      <c r="AH559" s="279">
        <v>0</v>
      </c>
      <c r="AI559" s="279">
        <v>0</v>
      </c>
      <c r="AJ559" s="279">
        <v>0</v>
      </c>
      <c r="AK559" s="279">
        <v>0</v>
      </c>
      <c r="AL559" s="279">
        <v>0</v>
      </c>
      <c r="AM559" s="279">
        <v>0</v>
      </c>
      <c r="AN559" s="224" t="e">
        <f>SUM(#REF!)</f>
        <v>#REF!</v>
      </c>
      <c r="AO559" s="224">
        <f t="shared" si="65"/>
        <v>0</v>
      </c>
      <c r="AP559" s="224" t="e">
        <f t="shared" si="71"/>
        <v>#REF!</v>
      </c>
      <c r="AQ559" s="224"/>
      <c r="AR559" s="224"/>
      <c r="AS559" s="224"/>
      <c r="AT559" s="224" t="str">
        <f>IFERROR(VLOOKUP($A559,'Constancias POA'!$A$2:$DH$9993,17,FALSE),"")</f>
        <v/>
      </c>
      <c r="AU559" s="224" t="str">
        <f t="shared" si="66"/>
        <v/>
      </c>
      <c r="AV559" s="224" t="str">
        <f>IFERROR(VLOOKUP($A559,CP!$A$1:$U$7992,18,FALSE),"")</f>
        <v/>
      </c>
      <c r="AW559" s="224" t="str">
        <f>IFERROR(VLOOKUP($A559,CP!$A$1:$U$7992,19,FALSE),"")</f>
        <v/>
      </c>
      <c r="AX559" s="224" t="str">
        <f>IFERROR(VLOOKUP($A559,CP!$A$1:$U$7992,20,FALSE),"")</f>
        <v/>
      </c>
      <c r="AY559" s="224" t="str">
        <f>IFERROR(VLOOKUP($A559,CP!$A$1:$U$1,21,FALSE),"")</f>
        <v/>
      </c>
      <c r="AZ559" s="224" t="str">
        <f>IFERROR(VLOOKUP(A559,Devengado!$A$1:AJ1,35,FALSE),"")</f>
        <v/>
      </c>
      <c r="BA559" s="224" t="str">
        <f t="shared" si="67"/>
        <v/>
      </c>
      <c r="BB559" s="224" t="str">
        <f>IFERROR(AZ559/#REF!,"")</f>
        <v/>
      </c>
      <c r="BC559" s="224" t="str">
        <f>IFERROR(VLOOKUP($A559,Devengado!$A$1:$AI$1,22,FALSE),"")</f>
        <v/>
      </c>
      <c r="BD559" s="224" t="str">
        <f>IFERROR(VLOOKUP($A559,Devengado!$A$1:$AI$1,23,FALSE),"")</f>
        <v/>
      </c>
      <c r="BE559" s="224" t="str">
        <f>IFERROR(VLOOKUP($A559,Devengado!$A$1:$AI$1,24,FALSE),"")</f>
        <v/>
      </c>
      <c r="BF559" s="224" t="str">
        <f>IFERROR(VLOOKUP($A559,Devengado!$A$1:$AI$1,25,FALSE),"")</f>
        <v/>
      </c>
      <c r="BG559" s="224" t="str">
        <f>IFERROR(VLOOKUP($A559,Devengado!$A$1:$AI$1,26,FALSE),"")</f>
        <v/>
      </c>
      <c r="BH559" s="224" t="str">
        <f>IFERROR(VLOOKUP($A559,Devengado!$A$1:$AI$1,27,FALSE),"")</f>
        <v/>
      </c>
      <c r="BI559" s="224" t="str">
        <f>IFERROR(VLOOKUP($A559,Devengado!$A$1:$AI$1,28,FALSE),"")</f>
        <v/>
      </c>
      <c r="BJ559" s="224" t="str">
        <f>IFERROR(VLOOKUP($A559,Devengado!$A$1:$AI$1,29,FALSE),"")</f>
        <v/>
      </c>
      <c r="BK559" s="224" t="str">
        <f>IFERROR(VLOOKUP($A559,Devengado!$A$1:$AI$1,30,FALSE),"")</f>
        <v/>
      </c>
      <c r="BL559" s="224" t="str">
        <f>IFERROR(VLOOKUP($A559,Devengado!$A$1:$AI$1,31,FALSE),"")</f>
        <v/>
      </c>
      <c r="BM559" s="224" t="str">
        <f>IFERROR(VLOOKUP($A559,Devengado!$A$1:$AI$1,32,FALSE),"")</f>
        <v/>
      </c>
      <c r="BN559" s="224" t="str">
        <f>IFERROR(VLOOKUP($A559,Devengado!$A$1:$AI$1,33,FALSE),"")</f>
        <v/>
      </c>
      <c r="BO559" s="224">
        <f t="shared" si="68"/>
        <v>0</v>
      </c>
      <c r="BP559" s="224" t="str">
        <f t="shared" si="69"/>
        <v/>
      </c>
      <c r="BQ559" s="207"/>
      <c r="BR559" s="207" t="str">
        <f t="shared" si="70"/>
        <v>84</v>
      </c>
    </row>
    <row r="560" spans="1:70" s="225" customFormat="1" ht="25.5" customHeight="1">
      <c r="A560" s="207">
        <v>556</v>
      </c>
      <c r="B560" s="112" t="s">
        <v>73</v>
      </c>
      <c r="C560" s="112" t="s">
        <v>187</v>
      </c>
      <c r="D560" s="125" t="s">
        <v>515</v>
      </c>
      <c r="E560" s="125" t="s">
        <v>76</v>
      </c>
      <c r="F560" s="112" t="s">
        <v>77</v>
      </c>
      <c r="G560" s="112" t="s">
        <v>77</v>
      </c>
      <c r="H560" s="112" t="s">
        <v>77</v>
      </c>
      <c r="I560" s="112" t="s">
        <v>77</v>
      </c>
      <c r="J560" s="112" t="s">
        <v>77</v>
      </c>
      <c r="K560" s="112" t="s">
        <v>77</v>
      </c>
      <c r="L560" s="112" t="s">
        <v>85</v>
      </c>
      <c r="M560" s="112" t="s">
        <v>553</v>
      </c>
      <c r="N560" s="126">
        <v>9999</v>
      </c>
      <c r="O560" s="127" t="s">
        <v>80</v>
      </c>
      <c r="P560" s="127" t="s">
        <v>81</v>
      </c>
      <c r="Q560" s="127" t="s">
        <v>82</v>
      </c>
      <c r="R560" s="115" t="str">
        <f t="shared" si="64"/>
        <v>53</v>
      </c>
      <c r="S560" s="134">
        <v>530402</v>
      </c>
      <c r="T560" s="122" t="str">
        <f>VLOOKUP(S560,ITEM!$C$1:$D$156,2,FALSE)</f>
        <v>Edificios, Locales, Residencias y Cableado Estructurado (Instalación, Mantenimiento y Reparación)</v>
      </c>
      <c r="U560" s="112">
        <v>1701</v>
      </c>
      <c r="V560" s="114" t="s">
        <v>82</v>
      </c>
      <c r="W560" s="114" t="s">
        <v>84</v>
      </c>
      <c r="X560" s="114" t="s">
        <v>84</v>
      </c>
      <c r="Y560" s="224" t="e">
        <f>'Matriz POA 2024-TRABAJO'!#REF!</f>
        <v>#REF!</v>
      </c>
      <c r="Z560" s="224" t="e">
        <f>'Matriz POA 2024-TRABAJO'!#REF!</f>
        <v>#REF!</v>
      </c>
      <c r="AA560" s="224" t="e">
        <f>'Matriz POA 2024-TRABAJO'!#REF!</f>
        <v>#REF!</v>
      </c>
      <c r="AB560" s="279">
        <v>0</v>
      </c>
      <c r="AC560" s="279">
        <v>0</v>
      </c>
      <c r="AD560" s="279">
        <v>0</v>
      </c>
      <c r="AE560" s="279">
        <v>0</v>
      </c>
      <c r="AF560" s="279">
        <v>0</v>
      </c>
      <c r="AG560" s="279">
        <v>0</v>
      </c>
      <c r="AH560" s="279">
        <v>0</v>
      </c>
      <c r="AI560" s="279">
        <v>0</v>
      </c>
      <c r="AJ560" s="279">
        <v>0</v>
      </c>
      <c r="AK560" s="279">
        <v>0</v>
      </c>
      <c r="AL560" s="279">
        <v>0</v>
      </c>
      <c r="AM560" s="279">
        <v>0</v>
      </c>
      <c r="AN560" s="224" t="e">
        <f>SUM(#REF!)</f>
        <v>#REF!</v>
      </c>
      <c r="AO560" s="224">
        <f t="shared" si="65"/>
        <v>0</v>
      </c>
      <c r="AP560" s="224" t="e">
        <f t="shared" si="71"/>
        <v>#REF!</v>
      </c>
      <c r="AQ560" s="224"/>
      <c r="AR560" s="224"/>
      <c r="AS560" s="224"/>
      <c r="AT560" s="224" t="str">
        <f>IFERROR(VLOOKUP($A560,'Constancias POA'!$A$2:$DH$9993,17,FALSE),"")</f>
        <v/>
      </c>
      <c r="AU560" s="224" t="str">
        <f t="shared" si="66"/>
        <v/>
      </c>
      <c r="AV560" s="224" t="str">
        <f>IFERROR(VLOOKUP($A560,CP!$A$1:$U$7992,18,FALSE),"")</f>
        <v/>
      </c>
      <c r="AW560" s="224" t="str">
        <f>IFERROR(VLOOKUP($A560,CP!$A$1:$U$7992,19,FALSE),"")</f>
        <v/>
      </c>
      <c r="AX560" s="224" t="str">
        <f>IFERROR(VLOOKUP($A560,CP!$A$1:$U$7992,20,FALSE),"")</f>
        <v/>
      </c>
      <c r="AY560" s="224" t="str">
        <f>IFERROR(VLOOKUP($A560,CP!$A$1:$U$1,21,FALSE),"")</f>
        <v/>
      </c>
      <c r="AZ560" s="224" t="str">
        <f>IFERROR(VLOOKUP(A560,Devengado!$A$1:AJ1,35,FALSE),"")</f>
        <v/>
      </c>
      <c r="BA560" s="224" t="str">
        <f t="shared" si="67"/>
        <v/>
      </c>
      <c r="BB560" s="224" t="str">
        <f>IFERROR(AZ560/#REF!,"")</f>
        <v/>
      </c>
      <c r="BC560" s="224" t="str">
        <f>IFERROR(VLOOKUP($A560,Devengado!$A$1:$AI$1,22,FALSE),"")</f>
        <v/>
      </c>
      <c r="BD560" s="224" t="str">
        <f>IFERROR(VLOOKUP($A560,Devengado!$A$1:$AI$1,23,FALSE),"")</f>
        <v/>
      </c>
      <c r="BE560" s="224" t="str">
        <f>IFERROR(VLOOKUP($A560,Devengado!$A$1:$AI$1,24,FALSE),"")</f>
        <v/>
      </c>
      <c r="BF560" s="224" t="str">
        <f>IFERROR(VLOOKUP($A560,Devengado!$A$1:$AI$1,25,FALSE),"")</f>
        <v/>
      </c>
      <c r="BG560" s="224" t="str">
        <f>IFERROR(VLOOKUP($A560,Devengado!$A$1:$AI$1,26,FALSE),"")</f>
        <v/>
      </c>
      <c r="BH560" s="224" t="str">
        <f>IFERROR(VLOOKUP($A560,Devengado!$A$1:$AI$1,27,FALSE),"")</f>
        <v/>
      </c>
      <c r="BI560" s="224" t="str">
        <f>IFERROR(VLOOKUP($A560,Devengado!$A$1:$AI$1,28,FALSE),"")</f>
        <v/>
      </c>
      <c r="BJ560" s="224" t="str">
        <f>IFERROR(VLOOKUP($A560,Devengado!$A$1:$AI$1,29,FALSE),"")</f>
        <v/>
      </c>
      <c r="BK560" s="224" t="str">
        <f>IFERROR(VLOOKUP($A560,Devengado!$A$1:$AI$1,30,FALSE),"")</f>
        <v/>
      </c>
      <c r="BL560" s="224" t="str">
        <f>IFERROR(VLOOKUP($A560,Devengado!$A$1:$AI$1,31,FALSE),"")</f>
        <v/>
      </c>
      <c r="BM560" s="224" t="str">
        <f>IFERROR(VLOOKUP($A560,Devengado!$A$1:$AI$1,32,FALSE),"")</f>
        <v/>
      </c>
      <c r="BN560" s="224" t="str">
        <f>IFERROR(VLOOKUP($A560,Devengado!$A$1:$AI$1,33,FALSE),"")</f>
        <v/>
      </c>
      <c r="BO560" s="224">
        <f t="shared" si="68"/>
        <v>0</v>
      </c>
      <c r="BP560" s="224" t="str">
        <f t="shared" si="69"/>
        <v/>
      </c>
      <c r="BQ560" s="207"/>
      <c r="BR560" s="207" t="str">
        <f t="shared" si="70"/>
        <v>53</v>
      </c>
    </row>
    <row r="561" spans="1:70" s="225" customFormat="1" ht="25.5" customHeight="1">
      <c r="A561" s="207">
        <v>557</v>
      </c>
      <c r="B561" s="112" t="s">
        <v>73</v>
      </c>
      <c r="C561" s="112" t="s">
        <v>187</v>
      </c>
      <c r="D561" s="125" t="s">
        <v>515</v>
      </c>
      <c r="E561" s="125" t="s">
        <v>76</v>
      </c>
      <c r="F561" s="112" t="s">
        <v>77</v>
      </c>
      <c r="G561" s="112" t="s">
        <v>77</v>
      </c>
      <c r="H561" s="112" t="s">
        <v>77</v>
      </c>
      <c r="I561" s="112" t="s">
        <v>77</v>
      </c>
      <c r="J561" s="112" t="s">
        <v>77</v>
      </c>
      <c r="K561" s="112" t="s">
        <v>77</v>
      </c>
      <c r="L561" s="112" t="s">
        <v>85</v>
      </c>
      <c r="M561" s="112" t="s">
        <v>554</v>
      </c>
      <c r="N561" s="126">
        <v>9999</v>
      </c>
      <c r="O561" s="127" t="s">
        <v>80</v>
      </c>
      <c r="P561" s="127" t="s">
        <v>81</v>
      </c>
      <c r="Q561" s="127" t="s">
        <v>82</v>
      </c>
      <c r="R561" s="115" t="str">
        <f t="shared" si="64"/>
        <v>53</v>
      </c>
      <c r="S561" s="134">
        <v>530811</v>
      </c>
      <c r="T561" s="122" t="e">
        <f>VLOOKUP(S561,ITEM!$C$1:$D$156,2,FALSE)</f>
        <v>#N/A</v>
      </c>
      <c r="U561" s="112">
        <v>1701</v>
      </c>
      <c r="V561" s="114" t="s">
        <v>82</v>
      </c>
      <c r="W561" s="114" t="s">
        <v>84</v>
      </c>
      <c r="X561" s="114" t="s">
        <v>84</v>
      </c>
      <c r="Y561" s="224" t="e">
        <f>'Matriz POA 2024-TRABAJO'!#REF!</f>
        <v>#REF!</v>
      </c>
      <c r="Z561" s="224" t="e">
        <f>'Matriz POA 2024-TRABAJO'!#REF!</f>
        <v>#REF!</v>
      </c>
      <c r="AA561" s="224" t="e">
        <f>'Matriz POA 2024-TRABAJO'!#REF!</f>
        <v>#REF!</v>
      </c>
      <c r="AB561" s="279">
        <v>0</v>
      </c>
      <c r="AC561" s="279">
        <v>0</v>
      </c>
      <c r="AD561" s="279">
        <v>0</v>
      </c>
      <c r="AE561" s="279">
        <v>0</v>
      </c>
      <c r="AF561" s="279">
        <v>0</v>
      </c>
      <c r="AG561" s="279">
        <v>0</v>
      </c>
      <c r="AH561" s="279">
        <v>0</v>
      </c>
      <c r="AI561" s="279">
        <v>0</v>
      </c>
      <c r="AJ561" s="279">
        <v>0</v>
      </c>
      <c r="AK561" s="279">
        <v>0</v>
      </c>
      <c r="AL561" s="279">
        <v>0</v>
      </c>
      <c r="AM561" s="279">
        <v>0</v>
      </c>
      <c r="AN561" s="224" t="e">
        <f>SUM(#REF!)</f>
        <v>#REF!</v>
      </c>
      <c r="AO561" s="224">
        <f t="shared" si="65"/>
        <v>0</v>
      </c>
      <c r="AP561" s="224" t="e">
        <f t="shared" si="71"/>
        <v>#REF!</v>
      </c>
      <c r="AQ561" s="224"/>
      <c r="AR561" s="224"/>
      <c r="AS561" s="224"/>
      <c r="AT561" s="224" t="str">
        <f>IFERROR(VLOOKUP($A561,'Constancias POA'!$A$2:$DH$9993,17,FALSE),"")</f>
        <v/>
      </c>
      <c r="AU561" s="224" t="str">
        <f t="shared" si="66"/>
        <v/>
      </c>
      <c r="AV561" s="224" t="str">
        <f>IFERROR(VLOOKUP($A561,CP!$A$1:$U$7992,18,FALSE),"")</f>
        <v/>
      </c>
      <c r="AW561" s="224" t="str">
        <f>IFERROR(VLOOKUP($A561,CP!$A$1:$U$7992,19,FALSE),"")</f>
        <v/>
      </c>
      <c r="AX561" s="224" t="str">
        <f>IFERROR(VLOOKUP($A561,CP!$A$1:$U$7992,20,FALSE),"")</f>
        <v/>
      </c>
      <c r="AY561" s="224" t="str">
        <f>IFERROR(VLOOKUP($A561,CP!$A$1:$U$1,21,FALSE),"")</f>
        <v/>
      </c>
      <c r="AZ561" s="224" t="str">
        <f>IFERROR(VLOOKUP(A561,Devengado!$A$1:AJ1,35,FALSE),"")</f>
        <v/>
      </c>
      <c r="BA561" s="224" t="str">
        <f t="shared" si="67"/>
        <v/>
      </c>
      <c r="BB561" s="224" t="str">
        <f>IFERROR(AZ561/#REF!,"")</f>
        <v/>
      </c>
      <c r="BC561" s="224" t="str">
        <f>IFERROR(VLOOKUP($A561,Devengado!$A$1:$AI$1,22,FALSE),"")</f>
        <v/>
      </c>
      <c r="BD561" s="224" t="str">
        <f>IFERROR(VLOOKUP($A561,Devengado!$A$1:$AI$1,23,FALSE),"")</f>
        <v/>
      </c>
      <c r="BE561" s="224" t="str">
        <f>IFERROR(VLOOKUP($A561,Devengado!$A$1:$AI$1,24,FALSE),"")</f>
        <v/>
      </c>
      <c r="BF561" s="224" t="str">
        <f>IFERROR(VLOOKUP($A561,Devengado!$A$1:$AI$1,25,FALSE),"")</f>
        <v/>
      </c>
      <c r="BG561" s="224" t="str">
        <f>IFERROR(VLOOKUP($A561,Devengado!$A$1:$AI$1,26,FALSE),"")</f>
        <v/>
      </c>
      <c r="BH561" s="224" t="str">
        <f>IFERROR(VLOOKUP($A561,Devengado!$A$1:$AI$1,27,FALSE),"")</f>
        <v/>
      </c>
      <c r="BI561" s="224" t="str">
        <f>IFERROR(VLOOKUP($A561,Devengado!$A$1:$AI$1,28,FALSE),"")</f>
        <v/>
      </c>
      <c r="BJ561" s="224" t="str">
        <f>IFERROR(VLOOKUP($A561,Devengado!$A$1:$AI$1,29,FALSE),"")</f>
        <v/>
      </c>
      <c r="BK561" s="224" t="str">
        <f>IFERROR(VLOOKUP($A561,Devengado!$A$1:$AI$1,30,FALSE),"")</f>
        <v/>
      </c>
      <c r="BL561" s="224" t="str">
        <f>IFERROR(VLOOKUP($A561,Devengado!$A$1:$AI$1,31,FALSE),"")</f>
        <v/>
      </c>
      <c r="BM561" s="224" t="str">
        <f>IFERROR(VLOOKUP($A561,Devengado!$A$1:$AI$1,32,FALSE),"")</f>
        <v/>
      </c>
      <c r="BN561" s="224" t="str">
        <f>IFERROR(VLOOKUP($A561,Devengado!$A$1:$AI$1,33,FALSE),"")</f>
        <v/>
      </c>
      <c r="BO561" s="224">
        <f t="shared" si="68"/>
        <v>0</v>
      </c>
      <c r="BP561" s="224" t="str">
        <f t="shared" si="69"/>
        <v/>
      </c>
      <c r="BQ561" s="207"/>
      <c r="BR561" s="207" t="str">
        <f t="shared" si="70"/>
        <v>53</v>
      </c>
    </row>
    <row r="562" spans="1:70" s="225" customFormat="1" ht="25.5" customHeight="1">
      <c r="A562" s="207">
        <v>558</v>
      </c>
      <c r="B562" s="112" t="s">
        <v>73</v>
      </c>
      <c r="C562" s="112" t="s">
        <v>187</v>
      </c>
      <c r="D562" s="125" t="s">
        <v>515</v>
      </c>
      <c r="E562" s="125" t="s">
        <v>76</v>
      </c>
      <c r="F562" s="112" t="s">
        <v>77</v>
      </c>
      <c r="G562" s="112" t="s">
        <v>77</v>
      </c>
      <c r="H562" s="112" t="s">
        <v>77</v>
      </c>
      <c r="I562" s="112" t="s">
        <v>77</v>
      </c>
      <c r="J562" s="112" t="s">
        <v>77</v>
      </c>
      <c r="K562" s="112" t="s">
        <v>77</v>
      </c>
      <c r="L562" s="112" t="s">
        <v>85</v>
      </c>
      <c r="M562" s="112" t="s">
        <v>555</v>
      </c>
      <c r="N562" s="126">
        <v>9999</v>
      </c>
      <c r="O562" s="127" t="s">
        <v>80</v>
      </c>
      <c r="P562" s="127" t="s">
        <v>81</v>
      </c>
      <c r="Q562" s="127" t="s">
        <v>82</v>
      </c>
      <c r="R562" s="115" t="str">
        <f t="shared" si="64"/>
        <v>84</v>
      </c>
      <c r="S562" s="134">
        <v>840106</v>
      </c>
      <c r="T562" s="122" t="e">
        <f>VLOOKUP(S562,ITEM!$C$1:$D$156,2,FALSE)</f>
        <v>#N/A</v>
      </c>
      <c r="U562" s="112">
        <v>1701</v>
      </c>
      <c r="V562" s="114" t="s">
        <v>82</v>
      </c>
      <c r="W562" s="114" t="s">
        <v>84</v>
      </c>
      <c r="X562" s="114" t="s">
        <v>84</v>
      </c>
      <c r="Y562" s="224" t="e">
        <f>'Matriz POA 2024-TRABAJO'!#REF!</f>
        <v>#REF!</v>
      </c>
      <c r="Z562" s="224" t="e">
        <f>'Matriz POA 2024-TRABAJO'!#REF!</f>
        <v>#REF!</v>
      </c>
      <c r="AA562" s="224" t="e">
        <f>'Matriz POA 2024-TRABAJO'!#REF!</f>
        <v>#REF!</v>
      </c>
      <c r="AB562" s="279">
        <v>0</v>
      </c>
      <c r="AC562" s="279">
        <v>0</v>
      </c>
      <c r="AD562" s="279">
        <v>0</v>
      </c>
      <c r="AE562" s="279">
        <v>0</v>
      </c>
      <c r="AF562" s="279">
        <v>0</v>
      </c>
      <c r="AG562" s="279">
        <v>0</v>
      </c>
      <c r="AH562" s="279">
        <v>0</v>
      </c>
      <c r="AI562" s="279">
        <v>0</v>
      </c>
      <c r="AJ562" s="279">
        <v>0</v>
      </c>
      <c r="AK562" s="279">
        <v>0</v>
      </c>
      <c r="AL562" s="279">
        <v>0</v>
      </c>
      <c r="AM562" s="279">
        <v>0</v>
      </c>
      <c r="AN562" s="224" t="e">
        <f>SUM(#REF!)</f>
        <v>#REF!</v>
      </c>
      <c r="AO562" s="224">
        <f t="shared" si="65"/>
        <v>0</v>
      </c>
      <c r="AP562" s="224" t="e">
        <f t="shared" si="71"/>
        <v>#REF!</v>
      </c>
      <c r="AQ562" s="224"/>
      <c r="AR562" s="224"/>
      <c r="AS562" s="224"/>
      <c r="AT562" s="224" t="str">
        <f>IFERROR(VLOOKUP($A562,'Constancias POA'!$A$2:$DH$9993,17,FALSE),"")</f>
        <v/>
      </c>
      <c r="AU562" s="224" t="str">
        <f t="shared" si="66"/>
        <v/>
      </c>
      <c r="AV562" s="224" t="str">
        <f>IFERROR(VLOOKUP($A562,CP!$A$1:$U$7992,18,FALSE),"")</f>
        <v/>
      </c>
      <c r="AW562" s="224" t="str">
        <f>IFERROR(VLOOKUP($A562,CP!$A$1:$U$7992,19,FALSE),"")</f>
        <v/>
      </c>
      <c r="AX562" s="224" t="str">
        <f>IFERROR(VLOOKUP($A562,CP!$A$1:$U$7992,20,FALSE),"")</f>
        <v/>
      </c>
      <c r="AY562" s="224" t="str">
        <f>IFERROR(VLOOKUP($A562,CP!$A$1:$U$1,21,FALSE),"")</f>
        <v/>
      </c>
      <c r="AZ562" s="224" t="str">
        <f>IFERROR(VLOOKUP(A562,Devengado!$A$1:AJ1,35,FALSE),"")</f>
        <v/>
      </c>
      <c r="BA562" s="224" t="str">
        <f t="shared" si="67"/>
        <v/>
      </c>
      <c r="BB562" s="224" t="str">
        <f>IFERROR(AZ562/#REF!,"")</f>
        <v/>
      </c>
      <c r="BC562" s="224" t="str">
        <f>IFERROR(VLOOKUP($A562,Devengado!$A$1:$AI$1,22,FALSE),"")</f>
        <v/>
      </c>
      <c r="BD562" s="224" t="str">
        <f>IFERROR(VLOOKUP($A562,Devengado!$A$1:$AI$1,23,FALSE),"")</f>
        <v/>
      </c>
      <c r="BE562" s="224" t="str">
        <f>IFERROR(VLOOKUP($A562,Devengado!$A$1:$AI$1,24,FALSE),"")</f>
        <v/>
      </c>
      <c r="BF562" s="224" t="str">
        <f>IFERROR(VLOOKUP($A562,Devengado!$A$1:$AI$1,25,FALSE),"")</f>
        <v/>
      </c>
      <c r="BG562" s="224" t="str">
        <f>IFERROR(VLOOKUP($A562,Devengado!$A$1:$AI$1,26,FALSE),"")</f>
        <v/>
      </c>
      <c r="BH562" s="224" t="str">
        <f>IFERROR(VLOOKUP($A562,Devengado!$A$1:$AI$1,27,FALSE),"")</f>
        <v/>
      </c>
      <c r="BI562" s="224" t="str">
        <f>IFERROR(VLOOKUP($A562,Devengado!$A$1:$AI$1,28,FALSE),"")</f>
        <v/>
      </c>
      <c r="BJ562" s="224" t="str">
        <f>IFERROR(VLOOKUP($A562,Devengado!$A$1:$AI$1,29,FALSE),"")</f>
        <v/>
      </c>
      <c r="BK562" s="224" t="str">
        <f>IFERROR(VLOOKUP($A562,Devengado!$A$1:$AI$1,30,FALSE),"")</f>
        <v/>
      </c>
      <c r="BL562" s="224" t="str">
        <f>IFERROR(VLOOKUP($A562,Devengado!$A$1:$AI$1,31,FALSE),"")</f>
        <v/>
      </c>
      <c r="BM562" s="224" t="str">
        <f>IFERROR(VLOOKUP($A562,Devengado!$A$1:$AI$1,32,FALSE),"")</f>
        <v/>
      </c>
      <c r="BN562" s="224" t="str">
        <f>IFERROR(VLOOKUP($A562,Devengado!$A$1:$AI$1,33,FALSE),"")</f>
        <v/>
      </c>
      <c r="BO562" s="224">
        <f t="shared" si="68"/>
        <v>0</v>
      </c>
      <c r="BP562" s="224" t="str">
        <f t="shared" si="69"/>
        <v/>
      </c>
      <c r="BQ562" s="207"/>
      <c r="BR562" s="207" t="str">
        <f t="shared" si="70"/>
        <v>84</v>
      </c>
    </row>
    <row r="563" spans="1:70" s="225" customFormat="1" ht="25.5" customHeight="1">
      <c r="A563" s="207">
        <v>559</v>
      </c>
      <c r="B563" s="112" t="s">
        <v>73</v>
      </c>
      <c r="C563" s="112" t="s">
        <v>187</v>
      </c>
      <c r="D563" s="125" t="s">
        <v>515</v>
      </c>
      <c r="E563" s="125" t="s">
        <v>76</v>
      </c>
      <c r="F563" s="112" t="s">
        <v>77</v>
      </c>
      <c r="G563" s="112" t="s">
        <v>77</v>
      </c>
      <c r="H563" s="112" t="s">
        <v>77</v>
      </c>
      <c r="I563" s="112" t="s">
        <v>77</v>
      </c>
      <c r="J563" s="112" t="s">
        <v>77</v>
      </c>
      <c r="K563" s="112" t="s">
        <v>77</v>
      </c>
      <c r="L563" s="112" t="s">
        <v>85</v>
      </c>
      <c r="M563" s="112" t="s">
        <v>556</v>
      </c>
      <c r="N563" s="126">
        <v>9999</v>
      </c>
      <c r="O563" s="127" t="s">
        <v>80</v>
      </c>
      <c r="P563" s="127" t="s">
        <v>81</v>
      </c>
      <c r="Q563" s="127" t="s">
        <v>82</v>
      </c>
      <c r="R563" s="115" t="str">
        <f t="shared" si="64"/>
        <v>53</v>
      </c>
      <c r="S563" s="134">
        <v>530811</v>
      </c>
      <c r="T563" s="122" t="e">
        <f>VLOOKUP(S563,ITEM!$C$1:$D$156,2,FALSE)</f>
        <v>#N/A</v>
      </c>
      <c r="U563" s="112">
        <v>1701</v>
      </c>
      <c r="V563" s="114" t="s">
        <v>82</v>
      </c>
      <c r="W563" s="114" t="s">
        <v>84</v>
      </c>
      <c r="X563" s="114" t="s">
        <v>84</v>
      </c>
      <c r="Y563" s="224" t="e">
        <f>'Matriz POA 2024-TRABAJO'!#REF!</f>
        <v>#REF!</v>
      </c>
      <c r="Z563" s="224" t="e">
        <f>'Matriz POA 2024-TRABAJO'!#REF!</f>
        <v>#REF!</v>
      </c>
      <c r="AA563" s="224" t="e">
        <f>'Matriz POA 2024-TRABAJO'!#REF!</f>
        <v>#REF!</v>
      </c>
      <c r="AB563" s="279">
        <v>0</v>
      </c>
      <c r="AC563" s="279">
        <v>0</v>
      </c>
      <c r="AD563" s="279">
        <v>0</v>
      </c>
      <c r="AE563" s="279">
        <v>0</v>
      </c>
      <c r="AF563" s="279">
        <v>0</v>
      </c>
      <c r="AG563" s="279">
        <v>0</v>
      </c>
      <c r="AH563" s="279">
        <v>0</v>
      </c>
      <c r="AI563" s="279">
        <v>0</v>
      </c>
      <c r="AJ563" s="279">
        <v>0</v>
      </c>
      <c r="AK563" s="279">
        <v>0</v>
      </c>
      <c r="AL563" s="279">
        <v>0</v>
      </c>
      <c r="AM563" s="279">
        <v>0</v>
      </c>
      <c r="AN563" s="224" t="e">
        <f>SUM(#REF!)</f>
        <v>#REF!</v>
      </c>
      <c r="AO563" s="224">
        <f t="shared" si="65"/>
        <v>0</v>
      </c>
      <c r="AP563" s="224" t="e">
        <f t="shared" si="71"/>
        <v>#REF!</v>
      </c>
      <c r="AQ563" s="224"/>
      <c r="AR563" s="224"/>
      <c r="AS563" s="224"/>
      <c r="AT563" s="224" t="str">
        <f>IFERROR(VLOOKUP($A563,'Constancias POA'!$A$2:$DH$9993,17,FALSE),"")</f>
        <v/>
      </c>
      <c r="AU563" s="224" t="str">
        <f t="shared" si="66"/>
        <v/>
      </c>
      <c r="AV563" s="224" t="str">
        <f>IFERROR(VLOOKUP($A563,CP!$A$1:$U$7992,18,FALSE),"")</f>
        <v/>
      </c>
      <c r="AW563" s="224" t="str">
        <f>IFERROR(VLOOKUP($A563,CP!$A$1:$U$7992,19,FALSE),"")</f>
        <v/>
      </c>
      <c r="AX563" s="224" t="str">
        <f>IFERROR(VLOOKUP($A563,CP!$A$1:$U$7992,20,FALSE),"")</f>
        <v/>
      </c>
      <c r="AY563" s="224" t="str">
        <f>IFERROR(VLOOKUP($A563,CP!$A$1:$U$1,21,FALSE),"")</f>
        <v/>
      </c>
      <c r="AZ563" s="224" t="str">
        <f>IFERROR(VLOOKUP(A563,Devengado!$A$1:AJ1,35,FALSE),"")</f>
        <v/>
      </c>
      <c r="BA563" s="224" t="str">
        <f t="shared" si="67"/>
        <v/>
      </c>
      <c r="BB563" s="224" t="str">
        <f>IFERROR(AZ563/#REF!,"")</f>
        <v/>
      </c>
      <c r="BC563" s="224" t="str">
        <f>IFERROR(VLOOKUP($A563,Devengado!$A$1:$AI$1,22,FALSE),"")</f>
        <v/>
      </c>
      <c r="BD563" s="224" t="str">
        <f>IFERROR(VLOOKUP($A563,Devengado!$A$1:$AI$1,23,FALSE),"")</f>
        <v/>
      </c>
      <c r="BE563" s="224" t="str">
        <f>IFERROR(VLOOKUP($A563,Devengado!$A$1:$AI$1,24,FALSE),"")</f>
        <v/>
      </c>
      <c r="BF563" s="224" t="str">
        <f>IFERROR(VLOOKUP($A563,Devengado!$A$1:$AI$1,25,FALSE),"")</f>
        <v/>
      </c>
      <c r="BG563" s="224" t="str">
        <f>IFERROR(VLOOKUP($A563,Devengado!$A$1:$AI$1,26,FALSE),"")</f>
        <v/>
      </c>
      <c r="BH563" s="224" t="str">
        <f>IFERROR(VLOOKUP($A563,Devengado!$A$1:$AI$1,27,FALSE),"")</f>
        <v/>
      </c>
      <c r="BI563" s="224" t="str">
        <f>IFERROR(VLOOKUP($A563,Devengado!$A$1:$AI$1,28,FALSE),"")</f>
        <v/>
      </c>
      <c r="BJ563" s="224" t="str">
        <f>IFERROR(VLOOKUP($A563,Devengado!$A$1:$AI$1,29,FALSE),"")</f>
        <v/>
      </c>
      <c r="BK563" s="224" t="str">
        <f>IFERROR(VLOOKUP($A563,Devengado!$A$1:$AI$1,30,FALSE),"")</f>
        <v/>
      </c>
      <c r="BL563" s="224" t="str">
        <f>IFERROR(VLOOKUP($A563,Devengado!$A$1:$AI$1,31,FALSE),"")</f>
        <v/>
      </c>
      <c r="BM563" s="224" t="str">
        <f>IFERROR(VLOOKUP($A563,Devengado!$A$1:$AI$1,32,FALSE),"")</f>
        <v/>
      </c>
      <c r="BN563" s="224" t="str">
        <f>IFERROR(VLOOKUP($A563,Devengado!$A$1:$AI$1,33,FALSE),"")</f>
        <v/>
      </c>
      <c r="BO563" s="224">
        <f t="shared" si="68"/>
        <v>0</v>
      </c>
      <c r="BP563" s="224" t="str">
        <f t="shared" si="69"/>
        <v/>
      </c>
      <c r="BQ563" s="207"/>
      <c r="BR563" s="207" t="str">
        <f t="shared" si="70"/>
        <v>53</v>
      </c>
    </row>
    <row r="564" spans="1:70" s="225" customFormat="1" ht="25.5" customHeight="1">
      <c r="A564" s="207">
        <v>560</v>
      </c>
      <c r="B564" s="112" t="s">
        <v>73</v>
      </c>
      <c r="C564" s="112" t="s">
        <v>187</v>
      </c>
      <c r="D564" s="125" t="s">
        <v>515</v>
      </c>
      <c r="E564" s="125" t="s">
        <v>76</v>
      </c>
      <c r="F564" s="112" t="s">
        <v>77</v>
      </c>
      <c r="G564" s="112" t="s">
        <v>77</v>
      </c>
      <c r="H564" s="112" t="s">
        <v>77</v>
      </c>
      <c r="I564" s="112" t="s">
        <v>77</v>
      </c>
      <c r="J564" s="112" t="s">
        <v>77</v>
      </c>
      <c r="K564" s="112" t="s">
        <v>77</v>
      </c>
      <c r="L564" s="112" t="s">
        <v>85</v>
      </c>
      <c r="M564" s="112" t="s">
        <v>557</v>
      </c>
      <c r="N564" s="126">
        <v>9999</v>
      </c>
      <c r="O564" s="127" t="s">
        <v>80</v>
      </c>
      <c r="P564" s="127" t="s">
        <v>81</v>
      </c>
      <c r="Q564" s="127" t="s">
        <v>82</v>
      </c>
      <c r="R564" s="115" t="str">
        <f t="shared" si="64"/>
        <v>53</v>
      </c>
      <c r="S564" s="134">
        <v>530244</v>
      </c>
      <c r="T564" s="122" t="str">
        <f>VLOOKUP(S564,ITEM!$C$1:$D$156,2,FALSE)</f>
        <v>Servicio de Confección de Menaje de Hogar y/o Prendas de Protección</v>
      </c>
      <c r="U564" s="112">
        <v>1701</v>
      </c>
      <c r="V564" s="114" t="s">
        <v>82</v>
      </c>
      <c r="W564" s="114" t="s">
        <v>84</v>
      </c>
      <c r="X564" s="114" t="s">
        <v>84</v>
      </c>
      <c r="Y564" s="224" t="e">
        <f>'Matriz POA 2024-TRABAJO'!#REF!</f>
        <v>#REF!</v>
      </c>
      <c r="Z564" s="224" t="e">
        <f>'Matriz POA 2024-TRABAJO'!#REF!</f>
        <v>#REF!</v>
      </c>
      <c r="AA564" s="224" t="e">
        <f>'Matriz POA 2024-TRABAJO'!#REF!</f>
        <v>#REF!</v>
      </c>
      <c r="AB564" s="279">
        <v>0</v>
      </c>
      <c r="AC564" s="279">
        <v>0</v>
      </c>
      <c r="AD564" s="279">
        <v>0</v>
      </c>
      <c r="AE564" s="279">
        <v>0</v>
      </c>
      <c r="AF564" s="279">
        <v>0</v>
      </c>
      <c r="AG564" s="279">
        <v>0</v>
      </c>
      <c r="AH564" s="279">
        <v>0</v>
      </c>
      <c r="AI564" s="279">
        <v>0</v>
      </c>
      <c r="AJ564" s="279">
        <v>0</v>
      </c>
      <c r="AK564" s="279">
        <v>0</v>
      </c>
      <c r="AL564" s="279">
        <v>0</v>
      </c>
      <c r="AM564" s="279">
        <v>0</v>
      </c>
      <c r="AN564" s="224" t="e">
        <f>SUM(#REF!)</f>
        <v>#REF!</v>
      </c>
      <c r="AO564" s="224">
        <f t="shared" si="65"/>
        <v>0</v>
      </c>
      <c r="AP564" s="224" t="e">
        <f t="shared" si="71"/>
        <v>#REF!</v>
      </c>
      <c r="AQ564" s="224"/>
      <c r="AR564" s="224"/>
      <c r="AS564" s="224"/>
      <c r="AT564" s="224" t="str">
        <f>IFERROR(VLOOKUP($A564,'Constancias POA'!$A$2:$DH$9993,17,FALSE),"")</f>
        <v/>
      </c>
      <c r="AU564" s="224" t="str">
        <f t="shared" si="66"/>
        <v/>
      </c>
      <c r="AV564" s="224" t="str">
        <f>IFERROR(VLOOKUP($A564,CP!$A$1:$U$7992,18,FALSE),"")</f>
        <v/>
      </c>
      <c r="AW564" s="224" t="str">
        <f>IFERROR(VLOOKUP($A564,CP!$A$1:$U$7992,19,FALSE),"")</f>
        <v/>
      </c>
      <c r="AX564" s="224" t="str">
        <f>IFERROR(VLOOKUP($A564,CP!$A$1:$U$7992,20,FALSE),"")</f>
        <v/>
      </c>
      <c r="AY564" s="224" t="str">
        <f>IFERROR(VLOOKUP($A564,CP!$A$1:$U$1,21,FALSE),"")</f>
        <v/>
      </c>
      <c r="AZ564" s="224" t="str">
        <f>IFERROR(VLOOKUP(A564,Devengado!$A$1:AJ1,35,FALSE),"")</f>
        <v/>
      </c>
      <c r="BA564" s="224" t="str">
        <f t="shared" si="67"/>
        <v/>
      </c>
      <c r="BB564" s="224" t="str">
        <f>IFERROR(AZ564/#REF!,"")</f>
        <v/>
      </c>
      <c r="BC564" s="224" t="str">
        <f>IFERROR(VLOOKUP($A564,Devengado!$A$1:$AI$1,22,FALSE),"")</f>
        <v/>
      </c>
      <c r="BD564" s="224" t="str">
        <f>IFERROR(VLOOKUP($A564,Devengado!$A$1:$AI$1,23,FALSE),"")</f>
        <v/>
      </c>
      <c r="BE564" s="224" t="str">
        <f>IFERROR(VLOOKUP($A564,Devengado!$A$1:$AI$1,24,FALSE),"")</f>
        <v/>
      </c>
      <c r="BF564" s="224" t="str">
        <f>IFERROR(VLOOKUP($A564,Devengado!$A$1:$AI$1,25,FALSE),"")</f>
        <v/>
      </c>
      <c r="BG564" s="224" t="str">
        <f>IFERROR(VLOOKUP($A564,Devengado!$A$1:$AI$1,26,FALSE),"")</f>
        <v/>
      </c>
      <c r="BH564" s="224" t="str">
        <f>IFERROR(VLOOKUP($A564,Devengado!$A$1:$AI$1,27,FALSE),"")</f>
        <v/>
      </c>
      <c r="BI564" s="224" t="str">
        <f>IFERROR(VLOOKUP($A564,Devengado!$A$1:$AI$1,28,FALSE),"")</f>
        <v/>
      </c>
      <c r="BJ564" s="224" t="str">
        <f>IFERROR(VLOOKUP($A564,Devengado!$A$1:$AI$1,29,FALSE),"")</f>
        <v/>
      </c>
      <c r="BK564" s="224" t="str">
        <f>IFERROR(VLOOKUP($A564,Devengado!$A$1:$AI$1,30,FALSE),"")</f>
        <v/>
      </c>
      <c r="BL564" s="224" t="str">
        <f>IFERROR(VLOOKUP($A564,Devengado!$A$1:$AI$1,31,FALSE),"")</f>
        <v/>
      </c>
      <c r="BM564" s="224" t="str">
        <f>IFERROR(VLOOKUP($A564,Devengado!$A$1:$AI$1,32,FALSE),"")</f>
        <v/>
      </c>
      <c r="BN564" s="224" t="str">
        <f>IFERROR(VLOOKUP($A564,Devengado!$A$1:$AI$1,33,FALSE),"")</f>
        <v/>
      </c>
      <c r="BO564" s="224">
        <f t="shared" si="68"/>
        <v>0</v>
      </c>
      <c r="BP564" s="224" t="str">
        <f t="shared" si="69"/>
        <v/>
      </c>
      <c r="BQ564" s="207"/>
      <c r="BR564" s="207" t="str">
        <f t="shared" si="70"/>
        <v>53</v>
      </c>
    </row>
    <row r="565" spans="1:70" s="225" customFormat="1" ht="25.5" customHeight="1">
      <c r="A565" s="207">
        <v>561</v>
      </c>
      <c r="B565" s="112" t="s">
        <v>73</v>
      </c>
      <c r="C565" s="112" t="s">
        <v>187</v>
      </c>
      <c r="D565" s="125" t="s">
        <v>515</v>
      </c>
      <c r="E565" s="125" t="s">
        <v>76</v>
      </c>
      <c r="F565" s="112" t="s">
        <v>77</v>
      </c>
      <c r="G565" s="112" t="s">
        <v>77</v>
      </c>
      <c r="H565" s="112" t="s">
        <v>77</v>
      </c>
      <c r="I565" s="112" t="s">
        <v>77</v>
      </c>
      <c r="J565" s="112" t="s">
        <v>77</v>
      </c>
      <c r="K565" s="112" t="s">
        <v>77</v>
      </c>
      <c r="L565" s="112" t="s">
        <v>85</v>
      </c>
      <c r="M565" s="112" t="s">
        <v>558</v>
      </c>
      <c r="N565" s="126">
        <v>9999</v>
      </c>
      <c r="O565" s="127" t="s">
        <v>80</v>
      </c>
      <c r="P565" s="127" t="s">
        <v>81</v>
      </c>
      <c r="Q565" s="127" t="s">
        <v>82</v>
      </c>
      <c r="R565" s="115" t="str">
        <f t="shared" si="64"/>
        <v>84</v>
      </c>
      <c r="S565" s="134">
        <v>840107</v>
      </c>
      <c r="T565" s="122" t="e">
        <f>VLOOKUP(S565,ITEM!$C$1:$D$156,2,FALSE)</f>
        <v>#N/A</v>
      </c>
      <c r="U565" s="112">
        <v>1701</v>
      </c>
      <c r="V565" s="114" t="s">
        <v>82</v>
      </c>
      <c r="W565" s="114" t="s">
        <v>84</v>
      </c>
      <c r="X565" s="114" t="s">
        <v>84</v>
      </c>
      <c r="Y565" s="224" t="e">
        <f>'Matriz POA 2024-TRABAJO'!#REF!</f>
        <v>#REF!</v>
      </c>
      <c r="Z565" s="224" t="e">
        <f>'Matriz POA 2024-TRABAJO'!#REF!</f>
        <v>#REF!</v>
      </c>
      <c r="AA565" s="224" t="e">
        <f>'Matriz POA 2024-TRABAJO'!#REF!</f>
        <v>#REF!</v>
      </c>
      <c r="AB565" s="279">
        <v>0</v>
      </c>
      <c r="AC565" s="279">
        <v>0</v>
      </c>
      <c r="AD565" s="279">
        <v>0</v>
      </c>
      <c r="AE565" s="279">
        <v>0</v>
      </c>
      <c r="AF565" s="279">
        <v>0</v>
      </c>
      <c r="AG565" s="279">
        <v>0</v>
      </c>
      <c r="AH565" s="279">
        <v>0</v>
      </c>
      <c r="AI565" s="279">
        <v>0</v>
      </c>
      <c r="AJ565" s="279">
        <v>0</v>
      </c>
      <c r="AK565" s="279">
        <v>0</v>
      </c>
      <c r="AL565" s="279">
        <v>0</v>
      </c>
      <c r="AM565" s="279">
        <v>0</v>
      </c>
      <c r="AN565" s="224" t="e">
        <f>SUM(#REF!)</f>
        <v>#REF!</v>
      </c>
      <c r="AO565" s="224">
        <f t="shared" si="65"/>
        <v>0</v>
      </c>
      <c r="AP565" s="224" t="e">
        <f t="shared" si="71"/>
        <v>#REF!</v>
      </c>
      <c r="AQ565" s="224"/>
      <c r="AR565" s="224"/>
      <c r="AS565" s="224"/>
      <c r="AT565" s="224" t="str">
        <f>IFERROR(VLOOKUP($A565,'Constancias POA'!$A$2:$DH$9993,17,FALSE),"")</f>
        <v/>
      </c>
      <c r="AU565" s="224" t="str">
        <f t="shared" si="66"/>
        <v/>
      </c>
      <c r="AV565" s="224" t="str">
        <f>IFERROR(VLOOKUP($A565,CP!$A$1:$U$7992,18,FALSE),"")</f>
        <v/>
      </c>
      <c r="AW565" s="224" t="str">
        <f>IFERROR(VLOOKUP($A565,CP!$A$1:$U$7992,19,FALSE),"")</f>
        <v/>
      </c>
      <c r="AX565" s="224" t="str">
        <f>IFERROR(VLOOKUP($A565,CP!$A$1:$U$7992,20,FALSE),"")</f>
        <v/>
      </c>
      <c r="AY565" s="224" t="str">
        <f>IFERROR(VLOOKUP($A565,CP!$A$1:$U$1,21,FALSE),"")</f>
        <v/>
      </c>
      <c r="AZ565" s="224" t="str">
        <f>IFERROR(VLOOKUP(A565,Devengado!$A$1:AJ1,35,FALSE),"")</f>
        <v/>
      </c>
      <c r="BA565" s="224" t="str">
        <f t="shared" si="67"/>
        <v/>
      </c>
      <c r="BB565" s="224" t="str">
        <f>IFERROR(AZ565/#REF!,"")</f>
        <v/>
      </c>
      <c r="BC565" s="224" t="str">
        <f>IFERROR(VLOOKUP($A565,Devengado!$A$1:$AI$1,22,FALSE),"")</f>
        <v/>
      </c>
      <c r="BD565" s="224" t="str">
        <f>IFERROR(VLOOKUP($A565,Devengado!$A$1:$AI$1,23,FALSE),"")</f>
        <v/>
      </c>
      <c r="BE565" s="224" t="str">
        <f>IFERROR(VLOOKUP($A565,Devengado!$A$1:$AI$1,24,FALSE),"")</f>
        <v/>
      </c>
      <c r="BF565" s="224" t="str">
        <f>IFERROR(VLOOKUP($A565,Devengado!$A$1:$AI$1,25,FALSE),"")</f>
        <v/>
      </c>
      <c r="BG565" s="224" t="str">
        <f>IFERROR(VLOOKUP($A565,Devengado!$A$1:$AI$1,26,FALSE),"")</f>
        <v/>
      </c>
      <c r="BH565" s="224" t="str">
        <f>IFERROR(VLOOKUP($A565,Devengado!$A$1:$AI$1,27,FALSE),"")</f>
        <v/>
      </c>
      <c r="BI565" s="224" t="str">
        <f>IFERROR(VLOOKUP($A565,Devengado!$A$1:$AI$1,28,FALSE),"")</f>
        <v/>
      </c>
      <c r="BJ565" s="224" t="str">
        <f>IFERROR(VLOOKUP($A565,Devengado!$A$1:$AI$1,29,FALSE),"")</f>
        <v/>
      </c>
      <c r="BK565" s="224" t="str">
        <f>IFERROR(VLOOKUP($A565,Devengado!$A$1:$AI$1,30,FALSE),"")</f>
        <v/>
      </c>
      <c r="BL565" s="224" t="str">
        <f>IFERROR(VLOOKUP($A565,Devengado!$A$1:$AI$1,31,FALSE),"")</f>
        <v/>
      </c>
      <c r="BM565" s="224" t="str">
        <f>IFERROR(VLOOKUP($A565,Devengado!$A$1:$AI$1,32,FALSE),"")</f>
        <v/>
      </c>
      <c r="BN565" s="224" t="str">
        <f>IFERROR(VLOOKUP($A565,Devengado!$A$1:$AI$1,33,FALSE),"")</f>
        <v/>
      </c>
      <c r="BO565" s="224">
        <f t="shared" si="68"/>
        <v>0</v>
      </c>
      <c r="BP565" s="224" t="str">
        <f t="shared" si="69"/>
        <v/>
      </c>
      <c r="BQ565" s="207"/>
      <c r="BR565" s="207" t="str">
        <f t="shared" si="70"/>
        <v>84</v>
      </c>
    </row>
    <row r="566" spans="1:70" s="225" customFormat="1" ht="25.5" customHeight="1">
      <c r="A566" s="207">
        <v>562</v>
      </c>
      <c r="B566" s="112" t="s">
        <v>73</v>
      </c>
      <c r="C566" s="112" t="s">
        <v>187</v>
      </c>
      <c r="D566" s="125" t="s">
        <v>515</v>
      </c>
      <c r="E566" s="125" t="s">
        <v>76</v>
      </c>
      <c r="F566" s="112" t="s">
        <v>77</v>
      </c>
      <c r="G566" s="112" t="s">
        <v>77</v>
      </c>
      <c r="H566" s="112" t="s">
        <v>77</v>
      </c>
      <c r="I566" s="112" t="s">
        <v>77</v>
      </c>
      <c r="J566" s="112" t="s">
        <v>77</v>
      </c>
      <c r="K566" s="112" t="s">
        <v>77</v>
      </c>
      <c r="L566" s="112" t="s">
        <v>85</v>
      </c>
      <c r="M566" s="112" t="s">
        <v>559</v>
      </c>
      <c r="N566" s="126">
        <v>9999</v>
      </c>
      <c r="O566" s="127" t="s">
        <v>80</v>
      </c>
      <c r="P566" s="127" t="s">
        <v>81</v>
      </c>
      <c r="Q566" s="127" t="s">
        <v>82</v>
      </c>
      <c r="R566" s="115" t="str">
        <f t="shared" si="64"/>
        <v>53</v>
      </c>
      <c r="S566" s="112">
        <v>530303</v>
      </c>
      <c r="T566" s="122" t="str">
        <f>VLOOKUP(S566,ITEM!$C$1:$D$156,2,FALSE)</f>
        <v>Viáticos y Subsistencias en el Interior</v>
      </c>
      <c r="U566" s="112">
        <v>1701</v>
      </c>
      <c r="V566" s="114" t="s">
        <v>82</v>
      </c>
      <c r="W566" s="114" t="s">
        <v>84</v>
      </c>
      <c r="X566" s="114" t="s">
        <v>84</v>
      </c>
      <c r="Y566" s="224" t="e">
        <f>'Matriz POA 2024-TRABAJO'!#REF!</f>
        <v>#REF!</v>
      </c>
      <c r="Z566" s="224" t="e">
        <f>'Matriz POA 2024-TRABAJO'!#REF!</f>
        <v>#REF!</v>
      </c>
      <c r="AA566" s="224" t="e">
        <f>'Matriz POA 2024-TRABAJO'!#REF!</f>
        <v>#REF!</v>
      </c>
      <c r="AB566" s="279">
        <v>987.39</v>
      </c>
      <c r="AC566" s="279">
        <v>1731.57</v>
      </c>
      <c r="AD566" s="279">
        <v>1278.2</v>
      </c>
      <c r="AE566" s="279">
        <v>1460.72</v>
      </c>
      <c r="AF566" s="279">
        <v>1460.72</v>
      </c>
      <c r="AG566" s="279">
        <v>1463.56</v>
      </c>
      <c r="AH566" s="279"/>
      <c r="AI566" s="279"/>
      <c r="AJ566" s="279"/>
      <c r="AK566" s="279"/>
      <c r="AL566" s="279"/>
      <c r="AM566" s="279"/>
      <c r="AN566" s="224" t="e">
        <f>SUM(#REF!)</f>
        <v>#REF!</v>
      </c>
      <c r="AO566" s="224">
        <f t="shared" si="65"/>
        <v>8382.16</v>
      </c>
      <c r="AP566" s="224" t="e">
        <f>+AO566-AA566</f>
        <v>#REF!</v>
      </c>
      <c r="AQ566" s="224"/>
      <c r="AR566" s="224"/>
      <c r="AS566" s="224"/>
      <c r="AT566" s="224" t="str">
        <f>IFERROR(VLOOKUP($A566,'Constancias POA'!$A$2:$DH$9993,17,FALSE),"")</f>
        <v/>
      </c>
      <c r="AU566" s="224" t="str">
        <f t="shared" si="66"/>
        <v/>
      </c>
      <c r="AV566" s="224" t="str">
        <f>IFERROR(VLOOKUP($A566,CP!$A$1:$U$7992,18,FALSE),"")</f>
        <v/>
      </c>
      <c r="AW566" s="224" t="str">
        <f>IFERROR(VLOOKUP($A566,CP!$A$1:$U$7992,19,FALSE),"")</f>
        <v/>
      </c>
      <c r="AX566" s="224" t="str">
        <f>IFERROR(VLOOKUP($A566,CP!$A$1:$U$7992,20,FALSE),"")</f>
        <v/>
      </c>
      <c r="AY566" s="224" t="str">
        <f>IFERROR(VLOOKUP($A566,CP!$A$1:$U$1,21,FALSE),"")</f>
        <v/>
      </c>
      <c r="AZ566" s="224" t="str">
        <f>IFERROR(VLOOKUP(A566,Devengado!$A$1:AJ1,35,FALSE),"")</f>
        <v/>
      </c>
      <c r="BA566" s="224" t="str">
        <f t="shared" si="67"/>
        <v/>
      </c>
      <c r="BB566" s="224" t="str">
        <f>IFERROR(AZ566/#REF!,"")</f>
        <v/>
      </c>
      <c r="BC566" s="224" t="str">
        <f>IFERROR(VLOOKUP($A566,Devengado!$A$1:$AI$1,22,FALSE),"")</f>
        <v/>
      </c>
      <c r="BD566" s="224" t="str">
        <f>IFERROR(VLOOKUP($A566,Devengado!$A$1:$AI$1,23,FALSE),"")</f>
        <v/>
      </c>
      <c r="BE566" s="224" t="str">
        <f>IFERROR(VLOOKUP($A566,Devengado!$A$1:$AI$1,24,FALSE),"")</f>
        <v/>
      </c>
      <c r="BF566" s="224" t="str">
        <f>IFERROR(VLOOKUP($A566,Devengado!$A$1:$AI$1,25,FALSE),"")</f>
        <v/>
      </c>
      <c r="BG566" s="224" t="str">
        <f>IFERROR(VLOOKUP($A566,Devengado!$A$1:$AI$1,26,FALSE),"")</f>
        <v/>
      </c>
      <c r="BH566" s="224" t="str">
        <f>IFERROR(VLOOKUP($A566,Devengado!$A$1:$AI$1,27,FALSE),"")</f>
        <v/>
      </c>
      <c r="BI566" s="224" t="str">
        <f>IFERROR(VLOOKUP($A566,Devengado!$A$1:$AI$1,28,FALSE),"")</f>
        <v/>
      </c>
      <c r="BJ566" s="224" t="str">
        <f>IFERROR(VLOOKUP($A566,Devengado!$A$1:$AI$1,29,FALSE),"")</f>
        <v/>
      </c>
      <c r="BK566" s="224" t="str">
        <f>IFERROR(VLOOKUP($A566,Devengado!$A$1:$AI$1,30,FALSE),"")</f>
        <v/>
      </c>
      <c r="BL566" s="224" t="str">
        <f>IFERROR(VLOOKUP($A566,Devengado!$A$1:$AI$1,31,FALSE),"")</f>
        <v/>
      </c>
      <c r="BM566" s="224" t="str">
        <f>IFERROR(VLOOKUP($A566,Devengado!$A$1:$AI$1,32,FALSE),"")</f>
        <v/>
      </c>
      <c r="BN566" s="224" t="str">
        <f>IFERROR(VLOOKUP($A566,Devengado!$A$1:$AI$1,33,FALSE),"")</f>
        <v/>
      </c>
      <c r="BO566" s="224">
        <f t="shared" si="68"/>
        <v>0</v>
      </c>
      <c r="BP566" s="224" t="str">
        <f t="shared" si="69"/>
        <v/>
      </c>
      <c r="BQ566" s="207"/>
      <c r="BR566" s="207" t="str">
        <f t="shared" si="70"/>
        <v>53</v>
      </c>
    </row>
    <row r="567" spans="1:70" s="225" customFormat="1" ht="25.5" customHeight="1">
      <c r="A567" s="207">
        <v>563</v>
      </c>
      <c r="B567" s="112" t="s">
        <v>73</v>
      </c>
      <c r="C567" s="112" t="s">
        <v>187</v>
      </c>
      <c r="D567" s="125" t="s">
        <v>515</v>
      </c>
      <c r="E567" s="125" t="s">
        <v>76</v>
      </c>
      <c r="F567" s="112" t="s">
        <v>77</v>
      </c>
      <c r="G567" s="112" t="s">
        <v>77</v>
      </c>
      <c r="H567" s="112" t="s">
        <v>77</v>
      </c>
      <c r="I567" s="112" t="s">
        <v>77</v>
      </c>
      <c r="J567" s="112" t="s">
        <v>77</v>
      </c>
      <c r="K567" s="112" t="s">
        <v>77</v>
      </c>
      <c r="L567" s="112" t="s">
        <v>85</v>
      </c>
      <c r="M567" s="112" t="s">
        <v>559</v>
      </c>
      <c r="N567" s="126">
        <v>9999</v>
      </c>
      <c r="O567" s="127" t="s">
        <v>80</v>
      </c>
      <c r="P567" s="127" t="s">
        <v>81</v>
      </c>
      <c r="Q567" s="127" t="s">
        <v>82</v>
      </c>
      <c r="R567" s="115" t="str">
        <f t="shared" si="64"/>
        <v>57</v>
      </c>
      <c r="S567" s="134">
        <v>570102</v>
      </c>
      <c r="T567" s="122" t="e">
        <f>VLOOKUP(S567,ITEM!$C$1:$D$156,2,FALSE)</f>
        <v>#N/A</v>
      </c>
      <c r="U567" s="112">
        <v>1701</v>
      </c>
      <c r="V567" s="114" t="s">
        <v>82</v>
      </c>
      <c r="W567" s="114" t="s">
        <v>84</v>
      </c>
      <c r="X567" s="114" t="s">
        <v>84</v>
      </c>
      <c r="Y567" s="224" t="e">
        <f>'Matriz POA 2024-TRABAJO'!#REF!</f>
        <v>#REF!</v>
      </c>
      <c r="Z567" s="224" t="e">
        <f>'Matriz POA 2024-TRABAJO'!#REF!</f>
        <v>#REF!</v>
      </c>
      <c r="AA567" s="224" t="e">
        <f>'Matriz POA 2024-TRABAJO'!#REF!</f>
        <v>#REF!</v>
      </c>
      <c r="AB567" s="279">
        <v>0</v>
      </c>
      <c r="AC567" s="279">
        <v>500</v>
      </c>
      <c r="AD567" s="279">
        <v>0</v>
      </c>
      <c r="AE567" s="279">
        <v>0</v>
      </c>
      <c r="AF567" s="279">
        <v>0</v>
      </c>
      <c r="AG567" s="279">
        <v>0</v>
      </c>
      <c r="AH567" s="279">
        <v>0</v>
      </c>
      <c r="AI567" s="279">
        <v>0</v>
      </c>
      <c r="AJ567" s="279">
        <v>0</v>
      </c>
      <c r="AK567" s="279">
        <v>0</v>
      </c>
      <c r="AL567" s="279">
        <v>0</v>
      </c>
      <c r="AM567" s="279">
        <v>0</v>
      </c>
      <c r="AN567" s="224" t="e">
        <f>SUM(#REF!)</f>
        <v>#REF!</v>
      </c>
      <c r="AO567" s="224">
        <f t="shared" si="65"/>
        <v>500</v>
      </c>
      <c r="AP567" s="224" t="e">
        <f t="shared" si="71"/>
        <v>#REF!</v>
      </c>
      <c r="AQ567" s="224"/>
      <c r="AR567" s="224"/>
      <c r="AS567" s="224"/>
      <c r="AT567" s="224" t="str">
        <f>IFERROR(VLOOKUP($A567,'Constancias POA'!$A$2:$DH$9993,17,FALSE),"")</f>
        <v/>
      </c>
      <c r="AU567" s="224" t="str">
        <f t="shared" si="66"/>
        <v/>
      </c>
      <c r="AV567" s="224" t="str">
        <f>IFERROR(VLOOKUP($A567,CP!$A$1:$U$7992,18,FALSE),"")</f>
        <v/>
      </c>
      <c r="AW567" s="224" t="str">
        <f>IFERROR(VLOOKUP($A567,CP!$A$1:$U$7992,19,FALSE),"")</f>
        <v/>
      </c>
      <c r="AX567" s="224" t="str">
        <f>IFERROR(VLOOKUP($A567,CP!$A$1:$U$7992,20,FALSE),"")</f>
        <v/>
      </c>
      <c r="AY567" s="224" t="str">
        <f>IFERROR(VLOOKUP($A567,CP!$A$1:$U$1,21,FALSE),"")</f>
        <v/>
      </c>
      <c r="AZ567" s="224" t="str">
        <f>IFERROR(VLOOKUP(A567,Devengado!$A$1:AJ1,35,FALSE),"")</f>
        <v/>
      </c>
      <c r="BA567" s="224" t="str">
        <f t="shared" si="67"/>
        <v/>
      </c>
      <c r="BB567" s="224" t="str">
        <f>IFERROR(AZ567/#REF!,"")</f>
        <v/>
      </c>
      <c r="BC567" s="224" t="str">
        <f>IFERROR(VLOOKUP($A567,Devengado!$A$1:$AI$1,22,FALSE),"")</f>
        <v/>
      </c>
      <c r="BD567" s="224" t="str">
        <f>IFERROR(VLOOKUP($A567,Devengado!$A$1:$AI$1,23,FALSE),"")</f>
        <v/>
      </c>
      <c r="BE567" s="224" t="str">
        <f>IFERROR(VLOOKUP($A567,Devengado!$A$1:$AI$1,24,FALSE),"")</f>
        <v/>
      </c>
      <c r="BF567" s="224" t="str">
        <f>IFERROR(VLOOKUP($A567,Devengado!$A$1:$AI$1,25,FALSE),"")</f>
        <v/>
      </c>
      <c r="BG567" s="224" t="str">
        <f>IFERROR(VLOOKUP($A567,Devengado!$A$1:$AI$1,26,FALSE),"")</f>
        <v/>
      </c>
      <c r="BH567" s="224" t="str">
        <f>IFERROR(VLOOKUP($A567,Devengado!$A$1:$AI$1,27,FALSE),"")</f>
        <v/>
      </c>
      <c r="BI567" s="224" t="str">
        <f>IFERROR(VLOOKUP($A567,Devengado!$A$1:$AI$1,28,FALSE),"")</f>
        <v/>
      </c>
      <c r="BJ567" s="224" t="str">
        <f>IFERROR(VLOOKUP($A567,Devengado!$A$1:$AI$1,29,FALSE),"")</f>
        <v/>
      </c>
      <c r="BK567" s="224" t="str">
        <f>IFERROR(VLOOKUP($A567,Devengado!$A$1:$AI$1,30,FALSE),"")</f>
        <v/>
      </c>
      <c r="BL567" s="224" t="str">
        <f>IFERROR(VLOOKUP($A567,Devengado!$A$1:$AI$1,31,FALSE),"")</f>
        <v/>
      </c>
      <c r="BM567" s="224" t="str">
        <f>IFERROR(VLOOKUP($A567,Devengado!$A$1:$AI$1,32,FALSE),"")</f>
        <v/>
      </c>
      <c r="BN567" s="224" t="str">
        <f>IFERROR(VLOOKUP($A567,Devengado!$A$1:$AI$1,33,FALSE),"")</f>
        <v/>
      </c>
      <c r="BO567" s="224">
        <f t="shared" si="68"/>
        <v>0</v>
      </c>
      <c r="BP567" s="224" t="str">
        <f t="shared" si="69"/>
        <v/>
      </c>
      <c r="BQ567" s="207"/>
      <c r="BR567" s="207" t="str">
        <f t="shared" si="70"/>
        <v>57</v>
      </c>
    </row>
    <row r="568" spans="1:70" s="225" customFormat="1" ht="25.5" customHeight="1">
      <c r="A568" s="207">
        <v>564</v>
      </c>
      <c r="B568" s="112" t="s">
        <v>73</v>
      </c>
      <c r="C568" s="112" t="s">
        <v>187</v>
      </c>
      <c r="D568" s="125" t="s">
        <v>515</v>
      </c>
      <c r="E568" s="125" t="s">
        <v>76</v>
      </c>
      <c r="F568" s="112" t="s">
        <v>77</v>
      </c>
      <c r="G568" s="112" t="s">
        <v>77</v>
      </c>
      <c r="H568" s="112" t="s">
        <v>77</v>
      </c>
      <c r="I568" s="112" t="s">
        <v>77</v>
      </c>
      <c r="J568" s="112" t="s">
        <v>77</v>
      </c>
      <c r="K568" s="112" t="s">
        <v>77</v>
      </c>
      <c r="L568" s="112" t="s">
        <v>85</v>
      </c>
      <c r="M568" s="112" t="s">
        <v>559</v>
      </c>
      <c r="N568" s="126">
        <v>9999</v>
      </c>
      <c r="O568" s="127" t="s">
        <v>80</v>
      </c>
      <c r="P568" s="127" t="s">
        <v>81</v>
      </c>
      <c r="Q568" s="127" t="s">
        <v>82</v>
      </c>
      <c r="R568" s="115" t="str">
        <f t="shared" si="64"/>
        <v>53</v>
      </c>
      <c r="S568" s="134">
        <v>530255</v>
      </c>
      <c r="T568" s="122" t="str">
        <f>VLOOKUP(S568,ITEM!$C$1:$D$156,2,FALSE)</f>
        <v>Combustibles</v>
      </c>
      <c r="U568" s="112">
        <v>1701</v>
      </c>
      <c r="V568" s="114" t="s">
        <v>82</v>
      </c>
      <c r="W568" s="114" t="s">
        <v>84</v>
      </c>
      <c r="X568" s="114" t="s">
        <v>84</v>
      </c>
      <c r="Y568" s="224" t="e">
        <f>'Matriz POA 2024-TRABAJO'!#REF!</f>
        <v>#REF!</v>
      </c>
      <c r="Z568" s="224" t="e">
        <f>'Matriz POA 2024-TRABAJO'!#REF!</f>
        <v>#REF!</v>
      </c>
      <c r="AA568" s="224" t="e">
        <f>'Matriz POA 2024-TRABAJO'!#REF!</f>
        <v>#REF!</v>
      </c>
      <c r="AB568" s="279">
        <v>120.01</v>
      </c>
      <c r="AC568" s="279">
        <v>272.58</v>
      </c>
      <c r="AD568" s="279">
        <v>130.86000000000001</v>
      </c>
      <c r="AE568" s="279">
        <v>130.86000000000001</v>
      </c>
      <c r="AF568" s="279">
        <v>130.87</v>
      </c>
      <c r="AG568" s="279"/>
      <c r="AH568" s="279"/>
      <c r="AI568" s="279"/>
      <c r="AJ568" s="279"/>
      <c r="AK568" s="279"/>
      <c r="AL568" s="279"/>
      <c r="AM568" s="279"/>
      <c r="AN568" s="224" t="e">
        <f>SUM(#REF!)</f>
        <v>#REF!</v>
      </c>
      <c r="AO568" s="224">
        <f t="shared" si="65"/>
        <v>785.18000000000006</v>
      </c>
      <c r="AP568" s="224" t="e">
        <f>+AO568-AA568</f>
        <v>#REF!</v>
      </c>
      <c r="AQ568" s="224"/>
      <c r="AR568" s="224"/>
      <c r="AS568" s="224"/>
      <c r="AT568" s="224" t="str">
        <f>IFERROR(VLOOKUP($A568,'Constancias POA'!$A$2:$DH$9993,17,FALSE),"")</f>
        <v/>
      </c>
      <c r="AU568" s="224" t="str">
        <f t="shared" si="66"/>
        <v/>
      </c>
      <c r="AV568" s="224" t="str">
        <f>IFERROR(VLOOKUP($A568,CP!$A$1:$U$7992,18,FALSE),"")</f>
        <v/>
      </c>
      <c r="AW568" s="224" t="str">
        <f>IFERROR(VLOOKUP($A568,CP!$A$1:$U$7992,19,FALSE),"")</f>
        <v/>
      </c>
      <c r="AX568" s="224" t="str">
        <f>IFERROR(VLOOKUP($A568,CP!$A$1:$U$7992,20,FALSE),"")</f>
        <v/>
      </c>
      <c r="AY568" s="224" t="str">
        <f>IFERROR(VLOOKUP($A568,CP!$A$1:$U$1,21,FALSE),"")</f>
        <v/>
      </c>
      <c r="AZ568" s="224" t="str">
        <f>IFERROR(VLOOKUP(A568,Devengado!$A$1:AJ1,35,FALSE),"")</f>
        <v/>
      </c>
      <c r="BA568" s="224" t="str">
        <f t="shared" si="67"/>
        <v/>
      </c>
      <c r="BB568" s="224" t="str">
        <f>IFERROR(AZ568/#REF!,"")</f>
        <v/>
      </c>
      <c r="BC568" s="224" t="str">
        <f>IFERROR(VLOOKUP($A568,Devengado!$A$1:$AI$1,22,FALSE),"")</f>
        <v/>
      </c>
      <c r="BD568" s="224" t="str">
        <f>IFERROR(VLOOKUP($A568,Devengado!$A$1:$AI$1,23,FALSE),"")</f>
        <v/>
      </c>
      <c r="BE568" s="224" t="str">
        <f>IFERROR(VLOOKUP($A568,Devengado!$A$1:$AI$1,24,FALSE),"")</f>
        <v/>
      </c>
      <c r="BF568" s="224" t="str">
        <f>IFERROR(VLOOKUP($A568,Devengado!$A$1:$AI$1,25,FALSE),"")</f>
        <v/>
      </c>
      <c r="BG568" s="224" t="str">
        <f>IFERROR(VLOOKUP($A568,Devengado!$A$1:$AI$1,26,FALSE),"")</f>
        <v/>
      </c>
      <c r="BH568" s="224" t="str">
        <f>IFERROR(VLOOKUP($A568,Devengado!$A$1:$AI$1,27,FALSE),"")</f>
        <v/>
      </c>
      <c r="BI568" s="224" t="str">
        <f>IFERROR(VLOOKUP($A568,Devengado!$A$1:$AI$1,28,FALSE),"")</f>
        <v/>
      </c>
      <c r="BJ568" s="224" t="str">
        <f>IFERROR(VLOOKUP($A568,Devengado!$A$1:$AI$1,29,FALSE),"")</f>
        <v/>
      </c>
      <c r="BK568" s="224" t="str">
        <f>IFERROR(VLOOKUP($A568,Devengado!$A$1:$AI$1,30,FALSE),"")</f>
        <v/>
      </c>
      <c r="BL568" s="224" t="str">
        <f>IFERROR(VLOOKUP($A568,Devengado!$A$1:$AI$1,31,FALSE),"")</f>
        <v/>
      </c>
      <c r="BM568" s="224" t="str">
        <f>IFERROR(VLOOKUP($A568,Devengado!$A$1:$AI$1,32,FALSE),"")</f>
        <v/>
      </c>
      <c r="BN568" s="224" t="str">
        <f>IFERROR(VLOOKUP($A568,Devengado!$A$1:$AI$1,33,FALSE),"")</f>
        <v/>
      </c>
      <c r="BO568" s="224">
        <f t="shared" si="68"/>
        <v>0</v>
      </c>
      <c r="BP568" s="224" t="str">
        <f t="shared" si="69"/>
        <v/>
      </c>
      <c r="BQ568" s="207"/>
      <c r="BR568" s="207" t="str">
        <f t="shared" si="70"/>
        <v>53</v>
      </c>
    </row>
    <row r="569" spans="1:70" s="225" customFormat="1" ht="25.5" customHeight="1">
      <c r="A569" s="207">
        <v>565</v>
      </c>
      <c r="B569" s="112" t="s">
        <v>73</v>
      </c>
      <c r="C569" s="112" t="s">
        <v>187</v>
      </c>
      <c r="D569" s="125" t="s">
        <v>515</v>
      </c>
      <c r="E569" s="125" t="s">
        <v>76</v>
      </c>
      <c r="F569" s="112" t="s">
        <v>77</v>
      </c>
      <c r="G569" s="112" t="s">
        <v>77</v>
      </c>
      <c r="H569" s="112" t="s">
        <v>77</v>
      </c>
      <c r="I569" s="112" t="s">
        <v>77</v>
      </c>
      <c r="J569" s="112" t="s">
        <v>77</v>
      </c>
      <c r="K569" s="112" t="s">
        <v>77</v>
      </c>
      <c r="L569" s="112" t="s">
        <v>85</v>
      </c>
      <c r="M569" s="112" t="s">
        <v>559</v>
      </c>
      <c r="N569" s="126">
        <v>9999</v>
      </c>
      <c r="O569" s="127" t="s">
        <v>80</v>
      </c>
      <c r="P569" s="127" t="s">
        <v>81</v>
      </c>
      <c r="Q569" s="127" t="s">
        <v>82</v>
      </c>
      <c r="R569" s="115" t="str">
        <f t="shared" si="64"/>
        <v>53</v>
      </c>
      <c r="S569" s="134">
        <v>530301</v>
      </c>
      <c r="T569" s="122" t="str">
        <f>VLOOKUP(S569,ITEM!$C$1:$D$156,2,FALSE)</f>
        <v>Pasajes al Interior</v>
      </c>
      <c r="U569" s="112">
        <v>1701</v>
      </c>
      <c r="V569" s="114" t="s">
        <v>82</v>
      </c>
      <c r="W569" s="114" t="s">
        <v>84</v>
      </c>
      <c r="X569" s="114" t="s">
        <v>84</v>
      </c>
      <c r="Y569" s="224" t="e">
        <f>'Matriz POA 2024-TRABAJO'!#REF!</f>
        <v>#REF!</v>
      </c>
      <c r="Z569" s="224" t="e">
        <f>'Matriz POA 2024-TRABAJO'!#REF!</f>
        <v>#REF!</v>
      </c>
      <c r="AA569" s="224" t="e">
        <f>'Matriz POA 2024-TRABAJO'!#REF!</f>
        <v>#REF!</v>
      </c>
      <c r="AB569" s="279">
        <v>0</v>
      </c>
      <c r="AC569" s="279">
        <v>500</v>
      </c>
      <c r="AD569" s="279">
        <v>0</v>
      </c>
      <c r="AE569" s="279">
        <v>0</v>
      </c>
      <c r="AF569" s="279">
        <v>0</v>
      </c>
      <c r="AG569" s="279">
        <v>0</v>
      </c>
      <c r="AH569" s="279">
        <v>0</v>
      </c>
      <c r="AI569" s="279">
        <v>0</v>
      </c>
      <c r="AJ569" s="279">
        <v>0</v>
      </c>
      <c r="AK569" s="279">
        <v>0</v>
      </c>
      <c r="AL569" s="279">
        <v>0</v>
      </c>
      <c r="AM569" s="279">
        <v>0</v>
      </c>
      <c r="AN569" s="224" t="e">
        <f>SUM(#REF!)</f>
        <v>#REF!</v>
      </c>
      <c r="AO569" s="224">
        <f t="shared" si="65"/>
        <v>500</v>
      </c>
      <c r="AP569" s="224" t="e">
        <f t="shared" si="71"/>
        <v>#REF!</v>
      </c>
      <c r="AQ569" s="224"/>
      <c r="AR569" s="224"/>
      <c r="AS569" s="224"/>
      <c r="AT569" s="224" t="str">
        <f>IFERROR(VLOOKUP($A569,'Constancias POA'!$A$2:$DH$9993,17,FALSE),"")</f>
        <v/>
      </c>
      <c r="AU569" s="224" t="str">
        <f t="shared" si="66"/>
        <v/>
      </c>
      <c r="AV569" s="224" t="str">
        <f>IFERROR(VLOOKUP($A569,CP!$A$1:$U$7992,18,FALSE),"")</f>
        <v/>
      </c>
      <c r="AW569" s="224" t="str">
        <f>IFERROR(VLOOKUP($A569,CP!$A$1:$U$7992,19,FALSE),"")</f>
        <v/>
      </c>
      <c r="AX569" s="224" t="str">
        <f>IFERROR(VLOOKUP($A569,CP!$A$1:$U$7992,20,FALSE),"")</f>
        <v/>
      </c>
      <c r="AY569" s="224" t="str">
        <f>IFERROR(VLOOKUP($A569,CP!$A$1:$U$1,21,FALSE),"")</f>
        <v/>
      </c>
      <c r="AZ569" s="224" t="str">
        <f>IFERROR(VLOOKUP(A569,Devengado!$A$1:AJ1,35,FALSE),"")</f>
        <v/>
      </c>
      <c r="BA569" s="224" t="str">
        <f t="shared" si="67"/>
        <v/>
      </c>
      <c r="BB569" s="224" t="str">
        <f>IFERROR(AZ569/#REF!,"")</f>
        <v/>
      </c>
      <c r="BC569" s="224" t="str">
        <f>IFERROR(VLOOKUP($A569,Devengado!$A$1:$AI$1,22,FALSE),"")</f>
        <v/>
      </c>
      <c r="BD569" s="224" t="str">
        <f>IFERROR(VLOOKUP($A569,Devengado!$A$1:$AI$1,23,FALSE),"")</f>
        <v/>
      </c>
      <c r="BE569" s="224" t="str">
        <f>IFERROR(VLOOKUP($A569,Devengado!$A$1:$AI$1,24,FALSE),"")</f>
        <v/>
      </c>
      <c r="BF569" s="224" t="str">
        <f>IFERROR(VLOOKUP($A569,Devengado!$A$1:$AI$1,25,FALSE),"")</f>
        <v/>
      </c>
      <c r="BG569" s="224" t="str">
        <f>IFERROR(VLOOKUP($A569,Devengado!$A$1:$AI$1,26,FALSE),"")</f>
        <v/>
      </c>
      <c r="BH569" s="224" t="str">
        <f>IFERROR(VLOOKUP($A569,Devengado!$A$1:$AI$1,27,FALSE),"")</f>
        <v/>
      </c>
      <c r="BI569" s="224" t="str">
        <f>IFERROR(VLOOKUP($A569,Devengado!$A$1:$AI$1,28,FALSE),"")</f>
        <v/>
      </c>
      <c r="BJ569" s="224" t="str">
        <f>IFERROR(VLOOKUP($A569,Devengado!$A$1:$AI$1,29,FALSE),"")</f>
        <v/>
      </c>
      <c r="BK569" s="224" t="str">
        <f>IFERROR(VLOOKUP($A569,Devengado!$A$1:$AI$1,30,FALSE),"")</f>
        <v/>
      </c>
      <c r="BL569" s="224" t="str">
        <f>IFERROR(VLOOKUP($A569,Devengado!$A$1:$AI$1,31,FALSE),"")</f>
        <v/>
      </c>
      <c r="BM569" s="224" t="str">
        <f>IFERROR(VLOOKUP($A569,Devengado!$A$1:$AI$1,32,FALSE),"")</f>
        <v/>
      </c>
      <c r="BN569" s="224" t="str">
        <f>IFERROR(VLOOKUP($A569,Devengado!$A$1:$AI$1,33,FALSE),"")</f>
        <v/>
      </c>
      <c r="BO569" s="224">
        <f t="shared" si="68"/>
        <v>0</v>
      </c>
      <c r="BP569" s="224" t="str">
        <f t="shared" si="69"/>
        <v/>
      </c>
      <c r="BQ569" s="207"/>
      <c r="BR569" s="207" t="str">
        <f t="shared" si="70"/>
        <v>53</v>
      </c>
    </row>
    <row r="570" spans="1:70" s="225" customFormat="1" ht="25.5" customHeight="1">
      <c r="A570" s="207">
        <v>566</v>
      </c>
      <c r="B570" s="112" t="s">
        <v>73</v>
      </c>
      <c r="C570" s="112" t="s">
        <v>187</v>
      </c>
      <c r="D570" s="125" t="s">
        <v>515</v>
      </c>
      <c r="E570" s="125" t="s">
        <v>76</v>
      </c>
      <c r="F570" s="112" t="s">
        <v>77</v>
      </c>
      <c r="G570" s="112" t="s">
        <v>77</v>
      </c>
      <c r="H570" s="112" t="s">
        <v>77</v>
      </c>
      <c r="I570" s="112" t="s">
        <v>77</v>
      </c>
      <c r="J570" s="112" t="s">
        <v>77</v>
      </c>
      <c r="K570" s="112" t="s">
        <v>77</v>
      </c>
      <c r="L570" s="112" t="s">
        <v>85</v>
      </c>
      <c r="M570" s="112" t="s">
        <v>559</v>
      </c>
      <c r="N570" s="126">
        <v>9999</v>
      </c>
      <c r="O570" s="127" t="s">
        <v>80</v>
      </c>
      <c r="P570" s="127" t="s">
        <v>81</v>
      </c>
      <c r="Q570" s="127" t="s">
        <v>82</v>
      </c>
      <c r="R570" s="115" t="str">
        <f t="shared" si="64"/>
        <v>53</v>
      </c>
      <c r="S570" s="134">
        <v>530304</v>
      </c>
      <c r="T570" s="122" t="str">
        <f>VLOOKUP(S570,ITEM!$C$1:$D$156,2,FALSE)</f>
        <v>Viáticos y Subsistencias en el Exterior</v>
      </c>
      <c r="U570" s="112">
        <v>1701</v>
      </c>
      <c r="V570" s="114" t="s">
        <v>82</v>
      </c>
      <c r="W570" s="114" t="s">
        <v>84</v>
      </c>
      <c r="X570" s="114" t="s">
        <v>84</v>
      </c>
      <c r="Y570" s="224" t="e">
        <f>'Matriz POA 2024-TRABAJO'!#REF!</f>
        <v>#REF!</v>
      </c>
      <c r="Z570" s="224" t="e">
        <f>'Matriz POA 2024-TRABAJO'!#REF!</f>
        <v>#REF!</v>
      </c>
      <c r="AA570" s="224" t="e">
        <f>'Matriz POA 2024-TRABAJO'!#REF!</f>
        <v>#REF!</v>
      </c>
      <c r="AB570" s="279">
        <v>0</v>
      </c>
      <c r="AC570" s="279">
        <v>2500</v>
      </c>
      <c r="AD570" s="279">
        <v>0</v>
      </c>
      <c r="AE570" s="279">
        <v>0</v>
      </c>
      <c r="AF570" s="279">
        <v>0</v>
      </c>
      <c r="AG570" s="279">
        <v>0</v>
      </c>
      <c r="AH570" s="279">
        <v>0</v>
      </c>
      <c r="AI570" s="279">
        <v>0</v>
      </c>
      <c r="AJ570" s="279">
        <v>0</v>
      </c>
      <c r="AK570" s="279">
        <v>0</v>
      </c>
      <c r="AL570" s="279">
        <v>0</v>
      </c>
      <c r="AM570" s="279">
        <v>0</v>
      </c>
      <c r="AN570" s="224" t="e">
        <f>SUM(#REF!)</f>
        <v>#REF!</v>
      </c>
      <c r="AO570" s="224">
        <f t="shared" si="65"/>
        <v>2500</v>
      </c>
      <c r="AP570" s="224" t="e">
        <f t="shared" si="71"/>
        <v>#REF!</v>
      </c>
      <c r="AQ570" s="224"/>
      <c r="AR570" s="224"/>
      <c r="AS570" s="224"/>
      <c r="AT570" s="224" t="str">
        <f>IFERROR(VLOOKUP($A570,'Constancias POA'!$A$2:$DH$9993,17,FALSE),"")</f>
        <v/>
      </c>
      <c r="AU570" s="224" t="str">
        <f t="shared" si="66"/>
        <v/>
      </c>
      <c r="AV570" s="224" t="str">
        <f>IFERROR(VLOOKUP($A570,CP!$A$1:$U$7992,18,FALSE),"")</f>
        <v/>
      </c>
      <c r="AW570" s="224" t="str">
        <f>IFERROR(VLOOKUP($A570,CP!$A$1:$U$7992,19,FALSE),"")</f>
        <v/>
      </c>
      <c r="AX570" s="224" t="str">
        <f>IFERROR(VLOOKUP($A570,CP!$A$1:$U$7992,20,FALSE),"")</f>
        <v/>
      </c>
      <c r="AY570" s="224" t="str">
        <f>IFERROR(VLOOKUP($A570,CP!$A$1:$U$1,21,FALSE),"")</f>
        <v/>
      </c>
      <c r="AZ570" s="224" t="str">
        <f>IFERROR(VLOOKUP(A570,Devengado!$A$1:AJ1,35,FALSE),"")</f>
        <v/>
      </c>
      <c r="BA570" s="224" t="str">
        <f t="shared" si="67"/>
        <v/>
      </c>
      <c r="BB570" s="224" t="str">
        <f>IFERROR(AZ570/#REF!,"")</f>
        <v/>
      </c>
      <c r="BC570" s="224" t="str">
        <f>IFERROR(VLOOKUP($A570,Devengado!$A$1:$AI$1,22,FALSE),"")</f>
        <v/>
      </c>
      <c r="BD570" s="224" t="str">
        <f>IFERROR(VLOOKUP($A570,Devengado!$A$1:$AI$1,23,FALSE),"")</f>
        <v/>
      </c>
      <c r="BE570" s="224" t="str">
        <f>IFERROR(VLOOKUP($A570,Devengado!$A$1:$AI$1,24,FALSE),"")</f>
        <v/>
      </c>
      <c r="BF570" s="224" t="str">
        <f>IFERROR(VLOOKUP($A570,Devengado!$A$1:$AI$1,25,FALSE),"")</f>
        <v/>
      </c>
      <c r="BG570" s="224" t="str">
        <f>IFERROR(VLOOKUP($A570,Devengado!$A$1:$AI$1,26,FALSE),"")</f>
        <v/>
      </c>
      <c r="BH570" s="224" t="str">
        <f>IFERROR(VLOOKUP($A570,Devengado!$A$1:$AI$1,27,FALSE),"")</f>
        <v/>
      </c>
      <c r="BI570" s="224" t="str">
        <f>IFERROR(VLOOKUP($A570,Devengado!$A$1:$AI$1,28,FALSE),"")</f>
        <v/>
      </c>
      <c r="BJ570" s="224" t="str">
        <f>IFERROR(VLOOKUP($A570,Devengado!$A$1:$AI$1,29,FALSE),"")</f>
        <v/>
      </c>
      <c r="BK570" s="224" t="str">
        <f>IFERROR(VLOOKUP($A570,Devengado!$A$1:$AI$1,30,FALSE),"")</f>
        <v/>
      </c>
      <c r="BL570" s="224" t="str">
        <f>IFERROR(VLOOKUP($A570,Devengado!$A$1:$AI$1,31,FALSE),"")</f>
        <v/>
      </c>
      <c r="BM570" s="224" t="str">
        <f>IFERROR(VLOOKUP($A570,Devengado!$A$1:$AI$1,32,FALSE),"")</f>
        <v/>
      </c>
      <c r="BN570" s="224" t="str">
        <f>IFERROR(VLOOKUP($A570,Devengado!$A$1:$AI$1,33,FALSE),"")</f>
        <v/>
      </c>
      <c r="BO570" s="224">
        <f t="shared" si="68"/>
        <v>0</v>
      </c>
      <c r="BP570" s="224" t="str">
        <f t="shared" si="69"/>
        <v/>
      </c>
      <c r="BQ570" s="207"/>
      <c r="BR570" s="207" t="str">
        <f t="shared" si="70"/>
        <v>53</v>
      </c>
    </row>
    <row r="571" spans="1:70" s="225" customFormat="1" ht="25.5" customHeight="1">
      <c r="A571" s="207">
        <v>567</v>
      </c>
      <c r="B571" s="112" t="s">
        <v>73</v>
      </c>
      <c r="C571" s="112" t="s">
        <v>187</v>
      </c>
      <c r="D571" s="125" t="s">
        <v>515</v>
      </c>
      <c r="E571" s="125" t="s">
        <v>76</v>
      </c>
      <c r="F571" s="112" t="s">
        <v>77</v>
      </c>
      <c r="G571" s="112" t="s">
        <v>77</v>
      </c>
      <c r="H571" s="112" t="s">
        <v>77</v>
      </c>
      <c r="I571" s="112" t="s">
        <v>77</v>
      </c>
      <c r="J571" s="112" t="s">
        <v>77</v>
      </c>
      <c r="K571" s="112" t="s">
        <v>77</v>
      </c>
      <c r="L571" s="112" t="s">
        <v>87</v>
      </c>
      <c r="M571" s="112" t="s">
        <v>560</v>
      </c>
      <c r="N571" s="126">
        <v>9999</v>
      </c>
      <c r="O571" s="127" t="s">
        <v>80</v>
      </c>
      <c r="P571" s="127" t="s">
        <v>81</v>
      </c>
      <c r="Q571" s="127" t="s">
        <v>82</v>
      </c>
      <c r="R571" s="115" t="str">
        <f t="shared" si="64"/>
        <v>53</v>
      </c>
      <c r="S571" s="134">
        <v>530803</v>
      </c>
      <c r="T571" s="122" t="e">
        <f>VLOOKUP(S571,ITEM!$C$1:$D$156,2,FALSE)</f>
        <v>#N/A</v>
      </c>
      <c r="U571" s="112">
        <v>1701</v>
      </c>
      <c r="V571" s="114" t="s">
        <v>82</v>
      </c>
      <c r="W571" s="114" t="s">
        <v>84</v>
      </c>
      <c r="X571" s="114" t="s">
        <v>84</v>
      </c>
      <c r="Y571" s="272" t="e">
        <f>'Matriz POA 2024-TRABAJO'!#REF!</f>
        <v>#REF!</v>
      </c>
      <c r="Z571" s="272" t="e">
        <f>'Matriz POA 2024-TRABAJO'!#REF!</f>
        <v>#REF!</v>
      </c>
      <c r="AA571" s="272" t="e">
        <f>'Matriz POA 2024-TRABAJO'!#REF!</f>
        <v>#REF!</v>
      </c>
      <c r="AB571" s="273"/>
      <c r="AC571" s="279"/>
      <c r="AD571" s="279"/>
      <c r="AE571" s="279"/>
      <c r="AF571" s="279"/>
      <c r="AG571" s="279"/>
      <c r="AH571" s="279"/>
      <c r="AI571" s="279"/>
      <c r="AJ571" s="279"/>
      <c r="AK571" s="279"/>
      <c r="AL571" s="279"/>
      <c r="AM571" s="279"/>
      <c r="AN571" s="224" t="e">
        <f>SUM(#REF!)</f>
        <v>#REF!</v>
      </c>
      <c r="AO571" s="224">
        <f t="shared" si="65"/>
        <v>0</v>
      </c>
      <c r="AP571" s="224" t="e">
        <f t="shared" si="71"/>
        <v>#REF!</v>
      </c>
      <c r="AQ571" s="224"/>
      <c r="AR571" s="224"/>
      <c r="AS571" s="224"/>
      <c r="AT571" s="224" t="str">
        <f>IFERROR(VLOOKUP($A571,'Constancias POA'!$A$2:$DH$9993,17,FALSE),"")</f>
        <v/>
      </c>
      <c r="AU571" s="224" t="str">
        <f t="shared" si="66"/>
        <v/>
      </c>
      <c r="AV571" s="224" t="str">
        <f>IFERROR(VLOOKUP($A571,CP!$A$1:$U$7992,18,FALSE),"")</f>
        <v/>
      </c>
      <c r="AW571" s="224" t="str">
        <f>IFERROR(VLOOKUP($A571,CP!$A$1:$U$7992,19,FALSE),"")</f>
        <v/>
      </c>
      <c r="AX571" s="224" t="str">
        <f>IFERROR(VLOOKUP($A571,CP!$A$1:$U$7992,20,FALSE),"")</f>
        <v/>
      </c>
      <c r="AY571" s="224" t="str">
        <f>IFERROR(VLOOKUP($A571,CP!$A$1:$U$1,21,FALSE),"")</f>
        <v/>
      </c>
      <c r="AZ571" s="224" t="str">
        <f>IFERROR(VLOOKUP(A571,Devengado!$A$1:AJ1,35,FALSE),"")</f>
        <v/>
      </c>
      <c r="BA571" s="224" t="str">
        <f t="shared" si="67"/>
        <v/>
      </c>
      <c r="BB571" s="224" t="str">
        <f>IFERROR(AZ571/#REF!,"")</f>
        <v/>
      </c>
      <c r="BC571" s="224" t="str">
        <f>IFERROR(VLOOKUP($A571,Devengado!$A$1:$AI$1,22,FALSE),"")</f>
        <v/>
      </c>
      <c r="BD571" s="224" t="str">
        <f>IFERROR(VLOOKUP($A571,Devengado!$A$1:$AI$1,23,FALSE),"")</f>
        <v/>
      </c>
      <c r="BE571" s="224" t="str">
        <f>IFERROR(VLOOKUP($A571,Devengado!$A$1:$AI$1,24,FALSE),"")</f>
        <v/>
      </c>
      <c r="BF571" s="224" t="str">
        <f>IFERROR(VLOOKUP($A571,Devengado!$A$1:$AI$1,25,FALSE),"")</f>
        <v/>
      </c>
      <c r="BG571" s="224" t="str">
        <f>IFERROR(VLOOKUP($A571,Devengado!$A$1:$AI$1,26,FALSE),"")</f>
        <v/>
      </c>
      <c r="BH571" s="224" t="str">
        <f>IFERROR(VLOOKUP($A571,Devengado!$A$1:$AI$1,27,FALSE),"")</f>
        <v/>
      </c>
      <c r="BI571" s="224" t="str">
        <f>IFERROR(VLOOKUP($A571,Devengado!$A$1:$AI$1,28,FALSE),"")</f>
        <v/>
      </c>
      <c r="BJ571" s="224" t="str">
        <f>IFERROR(VLOOKUP($A571,Devengado!$A$1:$AI$1,29,FALSE),"")</f>
        <v/>
      </c>
      <c r="BK571" s="224" t="str">
        <f>IFERROR(VLOOKUP($A571,Devengado!$A$1:$AI$1,30,FALSE),"")</f>
        <v/>
      </c>
      <c r="BL571" s="224" t="str">
        <f>IFERROR(VLOOKUP($A571,Devengado!$A$1:$AI$1,31,FALSE),"")</f>
        <v/>
      </c>
      <c r="BM571" s="224" t="str">
        <f>IFERROR(VLOOKUP($A571,Devengado!$A$1:$AI$1,32,FALSE),"")</f>
        <v/>
      </c>
      <c r="BN571" s="224" t="str">
        <f>IFERROR(VLOOKUP($A571,Devengado!$A$1:$AI$1,33,FALSE),"")</f>
        <v/>
      </c>
      <c r="BO571" s="224">
        <f t="shared" si="68"/>
        <v>0</v>
      </c>
      <c r="BP571" s="224" t="str">
        <f t="shared" si="69"/>
        <v/>
      </c>
      <c r="BQ571" s="207"/>
      <c r="BR571" s="207" t="str">
        <f t="shared" si="70"/>
        <v>53</v>
      </c>
    </row>
    <row r="572" spans="1:70" s="225" customFormat="1" ht="25.5" customHeight="1">
      <c r="A572" s="207">
        <v>568</v>
      </c>
      <c r="B572" s="112" t="s">
        <v>73</v>
      </c>
      <c r="C572" s="112" t="s">
        <v>187</v>
      </c>
      <c r="D572" s="125" t="s">
        <v>515</v>
      </c>
      <c r="E572" s="125" t="s">
        <v>76</v>
      </c>
      <c r="F572" s="112" t="s">
        <v>77</v>
      </c>
      <c r="G572" s="112" t="s">
        <v>77</v>
      </c>
      <c r="H572" s="112" t="s">
        <v>77</v>
      </c>
      <c r="I572" s="112" t="s">
        <v>77</v>
      </c>
      <c r="J572" s="112" t="s">
        <v>77</v>
      </c>
      <c r="K572" s="112" t="s">
        <v>77</v>
      </c>
      <c r="L572" s="112" t="s">
        <v>87</v>
      </c>
      <c r="M572" s="112" t="s">
        <v>560</v>
      </c>
      <c r="N572" s="126">
        <v>9999</v>
      </c>
      <c r="O572" s="127" t="s">
        <v>80</v>
      </c>
      <c r="P572" s="127" t="s">
        <v>81</v>
      </c>
      <c r="Q572" s="127" t="s">
        <v>82</v>
      </c>
      <c r="R572" s="115" t="str">
        <f t="shared" si="64"/>
        <v>53</v>
      </c>
      <c r="S572" s="134">
        <v>530813</v>
      </c>
      <c r="T572" s="122" t="e">
        <f>VLOOKUP(S572,ITEM!$C$1:$D$156,2,FALSE)</f>
        <v>#N/A</v>
      </c>
      <c r="U572" s="112">
        <v>1701</v>
      </c>
      <c r="V572" s="114" t="s">
        <v>82</v>
      </c>
      <c r="W572" s="114" t="s">
        <v>84</v>
      </c>
      <c r="X572" s="114" t="s">
        <v>84</v>
      </c>
      <c r="Y572" s="272" t="e">
        <f>'Matriz POA 2024-TRABAJO'!#REF!</f>
        <v>#REF!</v>
      </c>
      <c r="Z572" s="272" t="e">
        <f>'Matriz POA 2024-TRABAJO'!#REF!</f>
        <v>#REF!</v>
      </c>
      <c r="AA572" s="272" t="e">
        <f>'Matriz POA 2024-TRABAJO'!#REF!</f>
        <v>#REF!</v>
      </c>
      <c r="AB572" s="273"/>
      <c r="AC572" s="273"/>
      <c r="AD572" s="273"/>
      <c r="AE572" s="279"/>
      <c r="AF572" s="279"/>
      <c r="AG572" s="279"/>
      <c r="AH572" s="279"/>
      <c r="AI572" s="279"/>
      <c r="AJ572" s="279"/>
      <c r="AK572" s="279"/>
      <c r="AL572" s="279"/>
      <c r="AM572" s="279"/>
      <c r="AN572" s="224" t="e">
        <f>SUM(#REF!)</f>
        <v>#REF!</v>
      </c>
      <c r="AO572" s="224">
        <f t="shared" si="65"/>
        <v>0</v>
      </c>
      <c r="AP572" s="224" t="e">
        <f t="shared" si="71"/>
        <v>#REF!</v>
      </c>
      <c r="AQ572" s="224"/>
      <c r="AR572" s="224"/>
      <c r="AS572" s="224"/>
      <c r="AT572" s="224" t="str">
        <f>IFERROR(VLOOKUP($A572,'Constancias POA'!$A$2:$DH$9993,17,FALSE),"")</f>
        <v/>
      </c>
      <c r="AU572" s="224" t="str">
        <f t="shared" si="66"/>
        <v/>
      </c>
      <c r="AV572" s="224" t="str">
        <f>IFERROR(VLOOKUP($A572,CP!$A$1:$U$7992,18,FALSE),"")</f>
        <v/>
      </c>
      <c r="AW572" s="224" t="str">
        <f>IFERROR(VLOOKUP($A572,CP!$A$1:$U$7992,19,FALSE),"")</f>
        <v/>
      </c>
      <c r="AX572" s="224" t="str">
        <f>IFERROR(VLOOKUP($A572,CP!$A$1:$U$7992,20,FALSE),"")</f>
        <v/>
      </c>
      <c r="AY572" s="224" t="str">
        <f>IFERROR(VLOOKUP($A572,CP!$A$1:$U$1,21,FALSE),"")</f>
        <v/>
      </c>
      <c r="AZ572" s="224" t="str">
        <f>IFERROR(VLOOKUP(A572,Devengado!$A$1:AJ1,35,FALSE),"")</f>
        <v/>
      </c>
      <c r="BA572" s="224" t="str">
        <f t="shared" si="67"/>
        <v/>
      </c>
      <c r="BB572" s="224" t="str">
        <f>IFERROR(AZ572/#REF!,"")</f>
        <v/>
      </c>
      <c r="BC572" s="224" t="str">
        <f>IFERROR(VLOOKUP($A572,Devengado!$A$1:$AI$1,22,FALSE),"")</f>
        <v/>
      </c>
      <c r="BD572" s="224" t="str">
        <f>IFERROR(VLOOKUP($A572,Devengado!$A$1:$AI$1,23,FALSE),"")</f>
        <v/>
      </c>
      <c r="BE572" s="224" t="str">
        <f>IFERROR(VLOOKUP($A572,Devengado!$A$1:$AI$1,24,FALSE),"")</f>
        <v/>
      </c>
      <c r="BF572" s="224" t="str">
        <f>IFERROR(VLOOKUP($A572,Devengado!$A$1:$AI$1,25,FALSE),"")</f>
        <v/>
      </c>
      <c r="BG572" s="224" t="str">
        <f>IFERROR(VLOOKUP($A572,Devengado!$A$1:$AI$1,26,FALSE),"")</f>
        <v/>
      </c>
      <c r="BH572" s="224" t="str">
        <f>IFERROR(VLOOKUP($A572,Devengado!$A$1:$AI$1,27,FALSE),"")</f>
        <v/>
      </c>
      <c r="BI572" s="224" t="str">
        <f>IFERROR(VLOOKUP($A572,Devengado!$A$1:$AI$1,28,FALSE),"")</f>
        <v/>
      </c>
      <c r="BJ572" s="224" t="str">
        <f>IFERROR(VLOOKUP($A572,Devengado!$A$1:$AI$1,29,FALSE),"")</f>
        <v/>
      </c>
      <c r="BK572" s="224" t="str">
        <f>IFERROR(VLOOKUP($A572,Devengado!$A$1:$AI$1,30,FALSE),"")</f>
        <v/>
      </c>
      <c r="BL572" s="224" t="str">
        <f>IFERROR(VLOOKUP($A572,Devengado!$A$1:$AI$1,31,FALSE),"")</f>
        <v/>
      </c>
      <c r="BM572" s="224" t="str">
        <f>IFERROR(VLOOKUP($A572,Devengado!$A$1:$AI$1,32,FALSE),"")</f>
        <v/>
      </c>
      <c r="BN572" s="224" t="str">
        <f>IFERROR(VLOOKUP($A572,Devengado!$A$1:$AI$1,33,FALSE),"")</f>
        <v/>
      </c>
      <c r="BO572" s="224">
        <f t="shared" si="68"/>
        <v>0</v>
      </c>
      <c r="BP572" s="224" t="str">
        <f t="shared" si="69"/>
        <v/>
      </c>
      <c r="BQ572" s="207"/>
      <c r="BR572" s="207" t="str">
        <f t="shared" si="70"/>
        <v>53</v>
      </c>
    </row>
    <row r="573" spans="1:70" s="225" customFormat="1" ht="25.5" customHeight="1">
      <c r="A573" s="207">
        <v>569</v>
      </c>
      <c r="B573" s="112" t="s">
        <v>73</v>
      </c>
      <c r="C573" s="112" t="s">
        <v>187</v>
      </c>
      <c r="D573" s="125" t="s">
        <v>515</v>
      </c>
      <c r="E573" s="125" t="s">
        <v>76</v>
      </c>
      <c r="F573" s="112" t="s">
        <v>77</v>
      </c>
      <c r="G573" s="112" t="s">
        <v>77</v>
      </c>
      <c r="H573" s="112" t="s">
        <v>77</v>
      </c>
      <c r="I573" s="112" t="s">
        <v>77</v>
      </c>
      <c r="J573" s="112" t="s">
        <v>77</v>
      </c>
      <c r="K573" s="112" t="s">
        <v>77</v>
      </c>
      <c r="L573" s="112" t="s">
        <v>87</v>
      </c>
      <c r="M573" s="112" t="s">
        <v>560</v>
      </c>
      <c r="N573" s="126">
        <v>9999</v>
      </c>
      <c r="O573" s="127" t="s">
        <v>80</v>
      </c>
      <c r="P573" s="127" t="s">
        <v>81</v>
      </c>
      <c r="Q573" s="127" t="s">
        <v>82</v>
      </c>
      <c r="R573" s="115" t="str">
        <f t="shared" si="64"/>
        <v>53</v>
      </c>
      <c r="S573" s="134">
        <v>530405</v>
      </c>
      <c r="T573" s="122" t="str">
        <f>VLOOKUP(S573,ITEM!$C$1:$D$156,2,FALSE)</f>
        <v>Vehículos (Servicio para Mantenimiento y Reparación)</v>
      </c>
      <c r="U573" s="112">
        <v>1701</v>
      </c>
      <c r="V573" s="114" t="s">
        <v>82</v>
      </c>
      <c r="W573" s="114" t="s">
        <v>84</v>
      </c>
      <c r="X573" s="114" t="s">
        <v>84</v>
      </c>
      <c r="Y573" s="272" t="e">
        <f>'Matriz POA 2024-TRABAJO'!#REF!</f>
        <v>#REF!</v>
      </c>
      <c r="Z573" s="272" t="e">
        <f>'Matriz POA 2024-TRABAJO'!#REF!</f>
        <v>#REF!</v>
      </c>
      <c r="AA573" s="272" t="e">
        <f>'Matriz POA 2024-TRABAJO'!#REF!</f>
        <v>#REF!</v>
      </c>
      <c r="AB573" s="273"/>
      <c r="AC573" s="273"/>
      <c r="AD573" s="273"/>
      <c r="AE573" s="279"/>
      <c r="AF573" s="279"/>
      <c r="AG573" s="279"/>
      <c r="AH573" s="279"/>
      <c r="AI573" s="279"/>
      <c r="AJ573" s="279"/>
      <c r="AK573" s="279"/>
      <c r="AL573" s="279"/>
      <c r="AM573" s="279"/>
      <c r="AN573" s="224" t="e">
        <f>SUM(#REF!)</f>
        <v>#REF!</v>
      </c>
      <c r="AO573" s="224">
        <f t="shared" si="65"/>
        <v>0</v>
      </c>
      <c r="AP573" s="224" t="e">
        <f t="shared" si="71"/>
        <v>#REF!</v>
      </c>
      <c r="AQ573" s="224"/>
      <c r="AR573" s="224"/>
      <c r="AS573" s="224"/>
      <c r="AT573" s="224" t="str">
        <f>IFERROR(VLOOKUP($A573,'Constancias POA'!$A$2:$DH$9993,17,FALSE),"")</f>
        <v/>
      </c>
      <c r="AU573" s="224" t="str">
        <f t="shared" si="66"/>
        <v/>
      </c>
      <c r="AV573" s="224" t="str">
        <f>IFERROR(VLOOKUP($A573,CP!$A$1:$U$7992,18,FALSE),"")</f>
        <v/>
      </c>
      <c r="AW573" s="224" t="str">
        <f>IFERROR(VLOOKUP($A573,CP!$A$1:$U$7992,19,FALSE),"")</f>
        <v/>
      </c>
      <c r="AX573" s="224" t="str">
        <f>IFERROR(VLOOKUP($A573,CP!$A$1:$U$7992,20,FALSE),"")</f>
        <v/>
      </c>
      <c r="AY573" s="224" t="str">
        <f>IFERROR(VLOOKUP($A573,CP!$A$1:$U$1,21,FALSE),"")</f>
        <v/>
      </c>
      <c r="AZ573" s="224" t="str">
        <f>IFERROR(VLOOKUP(A573,Devengado!$A$1:AJ1,35,FALSE),"")</f>
        <v/>
      </c>
      <c r="BA573" s="224" t="str">
        <f t="shared" si="67"/>
        <v/>
      </c>
      <c r="BB573" s="224" t="str">
        <f>IFERROR(AZ573/#REF!,"")</f>
        <v/>
      </c>
      <c r="BC573" s="224" t="str">
        <f>IFERROR(VLOOKUP($A573,Devengado!$A$1:$AI$1,22,FALSE),"")</f>
        <v/>
      </c>
      <c r="BD573" s="224" t="str">
        <f>IFERROR(VLOOKUP($A573,Devengado!$A$1:$AI$1,23,FALSE),"")</f>
        <v/>
      </c>
      <c r="BE573" s="224" t="str">
        <f>IFERROR(VLOOKUP($A573,Devengado!$A$1:$AI$1,24,FALSE),"")</f>
        <v/>
      </c>
      <c r="BF573" s="224" t="str">
        <f>IFERROR(VLOOKUP($A573,Devengado!$A$1:$AI$1,25,FALSE),"")</f>
        <v/>
      </c>
      <c r="BG573" s="224" t="str">
        <f>IFERROR(VLOOKUP($A573,Devengado!$A$1:$AI$1,26,FALSE),"")</f>
        <v/>
      </c>
      <c r="BH573" s="224" t="str">
        <f>IFERROR(VLOOKUP($A573,Devengado!$A$1:$AI$1,27,FALSE),"")</f>
        <v/>
      </c>
      <c r="BI573" s="224" t="str">
        <f>IFERROR(VLOOKUP($A573,Devengado!$A$1:$AI$1,28,FALSE),"")</f>
        <v/>
      </c>
      <c r="BJ573" s="224" t="str">
        <f>IFERROR(VLOOKUP($A573,Devengado!$A$1:$AI$1,29,FALSE),"")</f>
        <v/>
      </c>
      <c r="BK573" s="224" t="str">
        <f>IFERROR(VLOOKUP($A573,Devengado!$A$1:$AI$1,30,FALSE),"")</f>
        <v/>
      </c>
      <c r="BL573" s="224" t="str">
        <f>IFERROR(VLOOKUP($A573,Devengado!$A$1:$AI$1,31,FALSE),"")</f>
        <v/>
      </c>
      <c r="BM573" s="224" t="str">
        <f>IFERROR(VLOOKUP($A573,Devengado!$A$1:$AI$1,32,FALSE),"")</f>
        <v/>
      </c>
      <c r="BN573" s="224" t="str">
        <f>IFERROR(VLOOKUP($A573,Devengado!$A$1:$AI$1,33,FALSE),"")</f>
        <v/>
      </c>
      <c r="BO573" s="224">
        <f t="shared" si="68"/>
        <v>0</v>
      </c>
      <c r="BP573" s="224" t="str">
        <f t="shared" si="69"/>
        <v/>
      </c>
      <c r="BQ573" s="207"/>
      <c r="BR573" s="207" t="str">
        <f t="shared" si="70"/>
        <v>53</v>
      </c>
    </row>
    <row r="574" spans="1:70" s="225" customFormat="1" ht="25.5" customHeight="1">
      <c r="A574" s="207">
        <v>570</v>
      </c>
      <c r="B574" s="112" t="s">
        <v>73</v>
      </c>
      <c r="C574" s="112" t="s">
        <v>187</v>
      </c>
      <c r="D574" s="125" t="s">
        <v>515</v>
      </c>
      <c r="E574" s="125" t="s">
        <v>76</v>
      </c>
      <c r="F574" s="112" t="s">
        <v>77</v>
      </c>
      <c r="G574" s="112" t="s">
        <v>77</v>
      </c>
      <c r="H574" s="112" t="s">
        <v>77</v>
      </c>
      <c r="I574" s="112" t="s">
        <v>77</v>
      </c>
      <c r="J574" s="112" t="s">
        <v>77</v>
      </c>
      <c r="K574" s="112" t="s">
        <v>77</v>
      </c>
      <c r="L574" s="112" t="s">
        <v>87</v>
      </c>
      <c r="M574" s="112" t="s">
        <v>561</v>
      </c>
      <c r="N574" s="126">
        <v>9999</v>
      </c>
      <c r="O574" s="127" t="s">
        <v>80</v>
      </c>
      <c r="P574" s="127" t="s">
        <v>81</v>
      </c>
      <c r="Q574" s="127" t="s">
        <v>82</v>
      </c>
      <c r="R574" s="115" t="str">
        <f t="shared" si="64"/>
        <v>99</v>
      </c>
      <c r="S574" s="134">
        <v>990102</v>
      </c>
      <c r="T574" s="122" t="e">
        <f>VLOOKUP(S574,ITEM!$C$1:$D$156,2,FALSE)</f>
        <v>#N/A</v>
      </c>
      <c r="U574" s="112">
        <v>1701</v>
      </c>
      <c r="V574" s="114" t="s">
        <v>82</v>
      </c>
      <c r="W574" s="114" t="s">
        <v>84</v>
      </c>
      <c r="X574" s="114" t="s">
        <v>84</v>
      </c>
      <c r="Y574" s="272" t="e">
        <f>'Matriz POA 2024-TRABAJO'!#REF!</f>
        <v>#REF!</v>
      </c>
      <c r="Z574" s="272" t="e">
        <f>'Matriz POA 2024-TRABAJO'!#REF!</f>
        <v>#REF!</v>
      </c>
      <c r="AA574" s="272" t="e">
        <f>'Matriz POA 2024-TRABAJO'!#REF!</f>
        <v>#REF!</v>
      </c>
      <c r="AB574" s="273">
        <v>0</v>
      </c>
      <c r="AC574" s="273">
        <v>0</v>
      </c>
      <c r="AD574" s="273">
        <v>0</v>
      </c>
      <c r="AE574" s="279">
        <v>0</v>
      </c>
      <c r="AF574" s="279">
        <v>0</v>
      </c>
      <c r="AG574" s="279">
        <v>0</v>
      </c>
      <c r="AH574" s="279">
        <v>0</v>
      </c>
      <c r="AI574" s="279">
        <v>0</v>
      </c>
      <c r="AJ574" s="279">
        <v>0</v>
      </c>
      <c r="AK574" s="279">
        <v>0</v>
      </c>
      <c r="AL574" s="279">
        <v>0</v>
      </c>
      <c r="AM574" s="279">
        <v>0</v>
      </c>
      <c r="AN574" s="224" t="e">
        <f>SUM(#REF!)</f>
        <v>#REF!</v>
      </c>
      <c r="AO574" s="224">
        <f t="shared" si="65"/>
        <v>0</v>
      </c>
      <c r="AP574" s="224" t="e">
        <f t="shared" si="71"/>
        <v>#REF!</v>
      </c>
      <c r="AQ574" s="224"/>
      <c r="AR574" s="224"/>
      <c r="AS574" s="224"/>
      <c r="AT574" s="224" t="str">
        <f>IFERROR(VLOOKUP($A574,'Constancias POA'!$A$2:$DH$9993,17,FALSE),"")</f>
        <v/>
      </c>
      <c r="AU574" s="224" t="str">
        <f t="shared" si="66"/>
        <v/>
      </c>
      <c r="AV574" s="224" t="str">
        <f>IFERROR(VLOOKUP($A574,CP!$A$1:$U$7992,18,FALSE),"")</f>
        <v/>
      </c>
      <c r="AW574" s="224" t="str">
        <f>IFERROR(VLOOKUP($A574,CP!$A$1:$U$7992,19,FALSE),"")</f>
        <v/>
      </c>
      <c r="AX574" s="224" t="str">
        <f>IFERROR(VLOOKUP($A574,CP!$A$1:$U$7992,20,FALSE),"")</f>
        <v/>
      </c>
      <c r="AY574" s="224" t="str">
        <f>IFERROR(VLOOKUP($A574,CP!$A$1:$U$1,21,FALSE),"")</f>
        <v/>
      </c>
      <c r="AZ574" s="224" t="str">
        <f>IFERROR(VLOOKUP(A574,Devengado!$A$1:AJ1,35,FALSE),"")</f>
        <v/>
      </c>
      <c r="BA574" s="224" t="str">
        <f t="shared" si="67"/>
        <v/>
      </c>
      <c r="BB574" s="224" t="str">
        <f>IFERROR(AZ574/#REF!,"")</f>
        <v/>
      </c>
      <c r="BC574" s="224" t="str">
        <f>IFERROR(VLOOKUP($A574,Devengado!$A$1:$AI$1,22,FALSE),"")</f>
        <v/>
      </c>
      <c r="BD574" s="224" t="str">
        <f>IFERROR(VLOOKUP($A574,Devengado!$A$1:$AI$1,23,FALSE),"")</f>
        <v/>
      </c>
      <c r="BE574" s="224" t="str">
        <f>IFERROR(VLOOKUP($A574,Devengado!$A$1:$AI$1,24,FALSE),"")</f>
        <v/>
      </c>
      <c r="BF574" s="224" t="str">
        <f>IFERROR(VLOOKUP($A574,Devengado!$A$1:$AI$1,25,FALSE),"")</f>
        <v/>
      </c>
      <c r="BG574" s="224" t="str">
        <f>IFERROR(VLOOKUP($A574,Devengado!$A$1:$AI$1,26,FALSE),"")</f>
        <v/>
      </c>
      <c r="BH574" s="224" t="str">
        <f>IFERROR(VLOOKUP($A574,Devengado!$A$1:$AI$1,27,FALSE),"")</f>
        <v/>
      </c>
      <c r="BI574" s="224" t="str">
        <f>IFERROR(VLOOKUP($A574,Devengado!$A$1:$AI$1,28,FALSE),"")</f>
        <v/>
      </c>
      <c r="BJ574" s="224" t="str">
        <f>IFERROR(VLOOKUP($A574,Devengado!$A$1:$AI$1,29,FALSE),"")</f>
        <v/>
      </c>
      <c r="BK574" s="224" t="str">
        <f>IFERROR(VLOOKUP($A574,Devengado!$A$1:$AI$1,30,FALSE),"")</f>
        <v/>
      </c>
      <c r="BL574" s="224" t="str">
        <f>IFERROR(VLOOKUP($A574,Devengado!$A$1:$AI$1,31,FALSE),"")</f>
        <v/>
      </c>
      <c r="BM574" s="224" t="str">
        <f>IFERROR(VLOOKUP($A574,Devengado!$A$1:$AI$1,32,FALSE),"")</f>
        <v/>
      </c>
      <c r="BN574" s="224" t="str">
        <f>IFERROR(VLOOKUP($A574,Devengado!$A$1:$AI$1,33,FALSE),"")</f>
        <v/>
      </c>
      <c r="BO574" s="224">
        <f t="shared" si="68"/>
        <v>0</v>
      </c>
      <c r="BP574" s="224" t="str">
        <f t="shared" si="69"/>
        <v/>
      </c>
      <c r="BQ574" s="207"/>
      <c r="BR574" s="207" t="str">
        <f t="shared" si="70"/>
        <v>99</v>
      </c>
    </row>
    <row r="575" spans="1:70" s="225" customFormat="1" ht="25.5" customHeight="1">
      <c r="A575" s="207">
        <v>571</v>
      </c>
      <c r="B575" s="112" t="s">
        <v>73</v>
      </c>
      <c r="C575" s="112" t="s">
        <v>187</v>
      </c>
      <c r="D575" s="125" t="s">
        <v>515</v>
      </c>
      <c r="E575" s="125" t="s">
        <v>76</v>
      </c>
      <c r="F575" s="112" t="s">
        <v>77</v>
      </c>
      <c r="G575" s="112" t="s">
        <v>77</v>
      </c>
      <c r="H575" s="112" t="s">
        <v>77</v>
      </c>
      <c r="I575" s="112" t="s">
        <v>77</v>
      </c>
      <c r="J575" s="112" t="s">
        <v>77</v>
      </c>
      <c r="K575" s="112" t="s">
        <v>77</v>
      </c>
      <c r="L575" s="112" t="s">
        <v>85</v>
      </c>
      <c r="M575" s="112" t="s">
        <v>562</v>
      </c>
      <c r="N575" s="126">
        <v>9999</v>
      </c>
      <c r="O575" s="127" t="s">
        <v>80</v>
      </c>
      <c r="P575" s="127" t="s">
        <v>81</v>
      </c>
      <c r="Q575" s="127" t="s">
        <v>82</v>
      </c>
      <c r="R575" s="115" t="str">
        <f t="shared" si="64"/>
        <v>53</v>
      </c>
      <c r="S575" s="134">
        <v>530404</v>
      </c>
      <c r="T575" s="122" t="str">
        <f>VLOOKUP(S575,ITEM!$C$1:$D$156,2,FALSE)</f>
        <v>Maquinarias y Equipos (Instalación, Mantenimiento y Reparación)</v>
      </c>
      <c r="U575" s="112">
        <v>1701</v>
      </c>
      <c r="V575" s="114" t="s">
        <v>82</v>
      </c>
      <c r="W575" s="114" t="s">
        <v>84</v>
      </c>
      <c r="X575" s="114" t="s">
        <v>84</v>
      </c>
      <c r="Y575" s="224" t="e">
        <f>'Matriz POA 2024-TRABAJO'!#REF!</f>
        <v>#REF!</v>
      </c>
      <c r="Z575" s="224" t="e">
        <f>'Matriz POA 2024-TRABAJO'!#REF!</f>
        <v>#REF!</v>
      </c>
      <c r="AA575" s="224" t="e">
        <f>'Matriz POA 2024-TRABAJO'!#REF!</f>
        <v>#REF!</v>
      </c>
      <c r="AB575" s="279">
        <v>0</v>
      </c>
      <c r="AC575" s="279">
        <v>0</v>
      </c>
      <c r="AD575" s="279">
        <v>0</v>
      </c>
      <c r="AE575" s="279">
        <v>0</v>
      </c>
      <c r="AF575" s="279">
        <v>0</v>
      </c>
      <c r="AG575" s="279">
        <v>0</v>
      </c>
      <c r="AH575" s="279">
        <v>0</v>
      </c>
      <c r="AI575" s="279">
        <v>0</v>
      </c>
      <c r="AJ575" s="279">
        <v>0</v>
      </c>
      <c r="AK575" s="279">
        <v>0</v>
      </c>
      <c r="AL575" s="279">
        <v>0</v>
      </c>
      <c r="AM575" s="279">
        <v>0</v>
      </c>
      <c r="AN575" s="224" t="e">
        <f>SUM(#REF!)</f>
        <v>#REF!</v>
      </c>
      <c r="AO575" s="224">
        <f t="shared" si="65"/>
        <v>0</v>
      </c>
      <c r="AP575" s="224" t="e">
        <f t="shared" si="71"/>
        <v>#REF!</v>
      </c>
      <c r="AQ575" s="224"/>
      <c r="AR575" s="224"/>
      <c r="AS575" s="224"/>
      <c r="AT575" s="224" t="str">
        <f>IFERROR(VLOOKUP($A575,'Constancias POA'!$A$2:$DH$9993,17,FALSE),"")</f>
        <v/>
      </c>
      <c r="AU575" s="224" t="str">
        <f t="shared" si="66"/>
        <v/>
      </c>
      <c r="AV575" s="224" t="str">
        <f>IFERROR(VLOOKUP($A575,CP!$A$1:$U$7992,18,FALSE),"")</f>
        <v/>
      </c>
      <c r="AW575" s="224" t="str">
        <f>IFERROR(VLOOKUP($A575,CP!$A$1:$U$7992,19,FALSE),"")</f>
        <v/>
      </c>
      <c r="AX575" s="224" t="str">
        <f>IFERROR(VLOOKUP($A575,CP!$A$1:$U$7992,20,FALSE),"")</f>
        <v/>
      </c>
      <c r="AY575" s="224" t="str">
        <f>IFERROR(VLOOKUP($A575,CP!$A$1:$U$1,21,FALSE),"")</f>
        <v/>
      </c>
      <c r="AZ575" s="224" t="str">
        <f>IFERROR(VLOOKUP(A575,Devengado!$A$1:AJ1,35,FALSE),"")</f>
        <v/>
      </c>
      <c r="BA575" s="224" t="str">
        <f t="shared" si="67"/>
        <v/>
      </c>
      <c r="BB575" s="224" t="str">
        <f>IFERROR(AZ575/#REF!,"")</f>
        <v/>
      </c>
      <c r="BC575" s="224" t="str">
        <f>IFERROR(VLOOKUP($A575,Devengado!$A$1:$AI$1,22,FALSE),"")</f>
        <v/>
      </c>
      <c r="BD575" s="224" t="str">
        <f>IFERROR(VLOOKUP($A575,Devengado!$A$1:$AI$1,23,FALSE),"")</f>
        <v/>
      </c>
      <c r="BE575" s="224" t="str">
        <f>IFERROR(VLOOKUP($A575,Devengado!$A$1:$AI$1,24,FALSE),"")</f>
        <v/>
      </c>
      <c r="BF575" s="224" t="str">
        <f>IFERROR(VLOOKUP($A575,Devengado!$A$1:$AI$1,25,FALSE),"")</f>
        <v/>
      </c>
      <c r="BG575" s="224" t="str">
        <f>IFERROR(VLOOKUP($A575,Devengado!$A$1:$AI$1,26,FALSE),"")</f>
        <v/>
      </c>
      <c r="BH575" s="224" t="str">
        <f>IFERROR(VLOOKUP($A575,Devengado!$A$1:$AI$1,27,FALSE),"")</f>
        <v/>
      </c>
      <c r="BI575" s="224" t="str">
        <f>IFERROR(VLOOKUP($A575,Devengado!$A$1:$AI$1,28,FALSE),"")</f>
        <v/>
      </c>
      <c r="BJ575" s="224" t="str">
        <f>IFERROR(VLOOKUP($A575,Devengado!$A$1:$AI$1,29,FALSE),"")</f>
        <v/>
      </c>
      <c r="BK575" s="224" t="str">
        <f>IFERROR(VLOOKUP($A575,Devengado!$A$1:$AI$1,30,FALSE),"")</f>
        <v/>
      </c>
      <c r="BL575" s="224" t="str">
        <f>IFERROR(VLOOKUP($A575,Devengado!$A$1:$AI$1,31,FALSE),"")</f>
        <v/>
      </c>
      <c r="BM575" s="224" t="str">
        <f>IFERROR(VLOOKUP($A575,Devengado!$A$1:$AI$1,32,FALSE),"")</f>
        <v/>
      </c>
      <c r="BN575" s="224" t="str">
        <f>IFERROR(VLOOKUP($A575,Devengado!$A$1:$AI$1,33,FALSE),"")</f>
        <v/>
      </c>
      <c r="BO575" s="224">
        <f t="shared" si="68"/>
        <v>0</v>
      </c>
      <c r="BP575" s="224" t="str">
        <f t="shared" si="69"/>
        <v/>
      </c>
      <c r="BQ575" s="207"/>
      <c r="BR575" s="207" t="str">
        <f t="shared" si="70"/>
        <v>53</v>
      </c>
    </row>
    <row r="576" spans="1:70" s="225" customFormat="1" ht="25.5" customHeight="1">
      <c r="A576" s="207">
        <v>572</v>
      </c>
      <c r="B576" s="112" t="s">
        <v>73</v>
      </c>
      <c r="C576" s="112" t="s">
        <v>187</v>
      </c>
      <c r="D576" s="125" t="s">
        <v>515</v>
      </c>
      <c r="E576" s="125" t="s">
        <v>76</v>
      </c>
      <c r="F576" s="112" t="s">
        <v>77</v>
      </c>
      <c r="G576" s="112" t="s">
        <v>77</v>
      </c>
      <c r="H576" s="112" t="s">
        <v>77</v>
      </c>
      <c r="I576" s="112" t="s">
        <v>77</v>
      </c>
      <c r="J576" s="112" t="s">
        <v>77</v>
      </c>
      <c r="K576" s="112" t="s">
        <v>77</v>
      </c>
      <c r="L576" s="112" t="s">
        <v>85</v>
      </c>
      <c r="M576" s="112" t="s">
        <v>563</v>
      </c>
      <c r="N576" s="126">
        <v>9999</v>
      </c>
      <c r="O576" s="127" t="s">
        <v>80</v>
      </c>
      <c r="P576" s="127" t="s">
        <v>81</v>
      </c>
      <c r="Q576" s="127" t="s">
        <v>82</v>
      </c>
      <c r="R576" s="115" t="str">
        <f t="shared" si="64"/>
        <v>53</v>
      </c>
      <c r="S576" s="134">
        <v>530425</v>
      </c>
      <c r="T576" s="122" t="str">
        <f>VLOOKUP(S576,ITEM!$C$1:$D$156,2,FALSE)</f>
        <v>Instalación, Readecuación, Montaje de Exposiciones, Mantenimiento y Reparación de Espacios y Bienes Culturales</v>
      </c>
      <c r="U576" s="112">
        <v>1701</v>
      </c>
      <c r="V576" s="114" t="s">
        <v>82</v>
      </c>
      <c r="W576" s="114" t="s">
        <v>84</v>
      </c>
      <c r="X576" s="114" t="s">
        <v>84</v>
      </c>
      <c r="Y576" s="224" t="e">
        <f>'Matriz POA 2024-TRABAJO'!#REF!</f>
        <v>#REF!</v>
      </c>
      <c r="Z576" s="224" t="e">
        <f>'Matriz POA 2024-TRABAJO'!#REF!</f>
        <v>#REF!</v>
      </c>
      <c r="AA576" s="224" t="e">
        <f>'Matriz POA 2024-TRABAJO'!#REF!</f>
        <v>#REF!</v>
      </c>
      <c r="AB576" s="279">
        <v>0</v>
      </c>
      <c r="AC576" s="279">
        <v>0</v>
      </c>
      <c r="AD576" s="279">
        <v>0</v>
      </c>
      <c r="AE576" s="279">
        <v>0</v>
      </c>
      <c r="AF576" s="279">
        <v>0</v>
      </c>
      <c r="AG576" s="279">
        <v>0</v>
      </c>
      <c r="AH576" s="279">
        <v>0</v>
      </c>
      <c r="AI576" s="279">
        <v>0</v>
      </c>
      <c r="AJ576" s="279">
        <v>0</v>
      </c>
      <c r="AK576" s="279">
        <v>0</v>
      </c>
      <c r="AL576" s="279">
        <v>0</v>
      </c>
      <c r="AM576" s="279">
        <v>0</v>
      </c>
      <c r="AN576" s="224" t="e">
        <f>SUM(#REF!)</f>
        <v>#REF!</v>
      </c>
      <c r="AO576" s="224">
        <f t="shared" si="65"/>
        <v>0</v>
      </c>
      <c r="AP576" s="224" t="e">
        <f t="shared" si="71"/>
        <v>#REF!</v>
      </c>
      <c r="AQ576" s="224"/>
      <c r="AR576" s="224"/>
      <c r="AS576" s="224"/>
      <c r="AT576" s="224" t="str">
        <f>IFERROR(VLOOKUP($A576,'Constancias POA'!$A$2:$DH$9993,17,FALSE),"")</f>
        <v/>
      </c>
      <c r="AU576" s="224" t="str">
        <f t="shared" si="66"/>
        <v/>
      </c>
      <c r="AV576" s="224" t="str">
        <f>IFERROR(VLOOKUP($A576,CP!$A$1:$U$7992,18,FALSE),"")</f>
        <v/>
      </c>
      <c r="AW576" s="224" t="str">
        <f>IFERROR(VLOOKUP($A576,CP!$A$1:$U$7992,19,FALSE),"")</f>
        <v/>
      </c>
      <c r="AX576" s="224" t="str">
        <f>IFERROR(VLOOKUP($A576,CP!$A$1:$U$7992,20,FALSE),"")</f>
        <v/>
      </c>
      <c r="AY576" s="224" t="str">
        <f>IFERROR(VLOOKUP($A576,CP!$A$1:$U$1,21,FALSE),"")</f>
        <v/>
      </c>
      <c r="AZ576" s="224" t="str">
        <f>IFERROR(VLOOKUP(A576,Devengado!$A$1:AJ1,35,FALSE),"")</f>
        <v/>
      </c>
      <c r="BA576" s="224" t="str">
        <f t="shared" si="67"/>
        <v/>
      </c>
      <c r="BB576" s="224" t="str">
        <f>IFERROR(AZ576/#REF!,"")</f>
        <v/>
      </c>
      <c r="BC576" s="224" t="str">
        <f>IFERROR(VLOOKUP($A576,Devengado!$A$1:$AI$1,22,FALSE),"")</f>
        <v/>
      </c>
      <c r="BD576" s="224" t="str">
        <f>IFERROR(VLOOKUP($A576,Devengado!$A$1:$AI$1,23,FALSE),"")</f>
        <v/>
      </c>
      <c r="BE576" s="224" t="str">
        <f>IFERROR(VLOOKUP($A576,Devengado!$A$1:$AI$1,24,FALSE),"")</f>
        <v/>
      </c>
      <c r="BF576" s="224" t="str">
        <f>IFERROR(VLOOKUP($A576,Devengado!$A$1:$AI$1,25,FALSE),"")</f>
        <v/>
      </c>
      <c r="BG576" s="224" t="str">
        <f>IFERROR(VLOOKUP($A576,Devengado!$A$1:$AI$1,26,FALSE),"")</f>
        <v/>
      </c>
      <c r="BH576" s="224" t="str">
        <f>IFERROR(VLOOKUP($A576,Devengado!$A$1:$AI$1,27,FALSE),"")</f>
        <v/>
      </c>
      <c r="BI576" s="224" t="str">
        <f>IFERROR(VLOOKUP($A576,Devengado!$A$1:$AI$1,28,FALSE),"")</f>
        <v/>
      </c>
      <c r="BJ576" s="224" t="str">
        <f>IFERROR(VLOOKUP($A576,Devengado!$A$1:$AI$1,29,FALSE),"")</f>
        <v/>
      </c>
      <c r="BK576" s="224" t="str">
        <f>IFERROR(VLOOKUP($A576,Devengado!$A$1:$AI$1,30,FALSE),"")</f>
        <v/>
      </c>
      <c r="BL576" s="224" t="str">
        <f>IFERROR(VLOOKUP($A576,Devengado!$A$1:$AI$1,31,FALSE),"")</f>
        <v/>
      </c>
      <c r="BM576" s="224" t="str">
        <f>IFERROR(VLOOKUP($A576,Devengado!$A$1:$AI$1,32,FALSE),"")</f>
        <v/>
      </c>
      <c r="BN576" s="224" t="str">
        <f>IFERROR(VLOOKUP($A576,Devengado!$A$1:$AI$1,33,FALSE),"")</f>
        <v/>
      </c>
      <c r="BO576" s="224">
        <f t="shared" si="68"/>
        <v>0</v>
      </c>
      <c r="BP576" s="224" t="str">
        <f t="shared" si="69"/>
        <v/>
      </c>
      <c r="BQ576" s="207"/>
      <c r="BR576" s="207" t="str">
        <f t="shared" si="70"/>
        <v>53</v>
      </c>
    </row>
    <row r="577" spans="1:70" s="225" customFormat="1" ht="25.5" customHeight="1">
      <c r="A577" s="207">
        <v>573</v>
      </c>
      <c r="B577" s="112" t="s">
        <v>73</v>
      </c>
      <c r="C577" s="112" t="s">
        <v>187</v>
      </c>
      <c r="D577" s="125" t="s">
        <v>515</v>
      </c>
      <c r="E577" s="125" t="s">
        <v>76</v>
      </c>
      <c r="F577" s="112" t="s">
        <v>77</v>
      </c>
      <c r="G577" s="112" t="s">
        <v>77</v>
      </c>
      <c r="H577" s="112" t="s">
        <v>77</v>
      </c>
      <c r="I577" s="112" t="s">
        <v>77</v>
      </c>
      <c r="J577" s="112" t="s">
        <v>77</v>
      </c>
      <c r="K577" s="112" t="s">
        <v>77</v>
      </c>
      <c r="L577" s="112" t="s">
        <v>85</v>
      </c>
      <c r="M577" s="125" t="s">
        <v>564</v>
      </c>
      <c r="N577" s="126">
        <v>9999</v>
      </c>
      <c r="O577" s="127" t="s">
        <v>80</v>
      </c>
      <c r="P577" s="127" t="s">
        <v>81</v>
      </c>
      <c r="Q577" s="127" t="s">
        <v>82</v>
      </c>
      <c r="R577" s="115" t="str">
        <f t="shared" si="64"/>
        <v>99</v>
      </c>
      <c r="S577" s="134">
        <v>990102</v>
      </c>
      <c r="T577" s="122" t="e">
        <f>VLOOKUP(S577,ITEM!$C$1:$D$156,2,FALSE)</f>
        <v>#N/A</v>
      </c>
      <c r="U577" s="112">
        <v>1701</v>
      </c>
      <c r="V577" s="114" t="s">
        <v>82</v>
      </c>
      <c r="W577" s="114" t="s">
        <v>84</v>
      </c>
      <c r="X577" s="114" t="s">
        <v>84</v>
      </c>
      <c r="Y577" s="224" t="e">
        <f>'Matriz POA 2024-TRABAJO'!#REF!</f>
        <v>#REF!</v>
      </c>
      <c r="Z577" s="224" t="e">
        <f>'Matriz POA 2024-TRABAJO'!#REF!</f>
        <v>#REF!</v>
      </c>
      <c r="AA577" s="224" t="e">
        <f>'Matriz POA 2024-TRABAJO'!#REF!</f>
        <v>#REF!</v>
      </c>
      <c r="AB577" s="279">
        <v>0</v>
      </c>
      <c r="AC577" s="279">
        <v>0</v>
      </c>
      <c r="AD577" s="279">
        <v>0</v>
      </c>
      <c r="AE577" s="279">
        <v>0</v>
      </c>
      <c r="AF577" s="279">
        <v>0</v>
      </c>
      <c r="AG577" s="279">
        <v>0</v>
      </c>
      <c r="AH577" s="279">
        <v>0</v>
      </c>
      <c r="AI577" s="279">
        <v>0</v>
      </c>
      <c r="AJ577" s="279">
        <v>0</v>
      </c>
      <c r="AK577" s="279">
        <v>0</v>
      </c>
      <c r="AL577" s="279">
        <v>0</v>
      </c>
      <c r="AM577" s="279">
        <v>0</v>
      </c>
      <c r="AN577" s="224" t="e">
        <f>SUM(#REF!)</f>
        <v>#REF!</v>
      </c>
      <c r="AO577" s="224">
        <f t="shared" si="65"/>
        <v>0</v>
      </c>
      <c r="AP577" s="224" t="e">
        <f t="shared" si="71"/>
        <v>#REF!</v>
      </c>
      <c r="AQ577" s="224"/>
      <c r="AR577" s="224"/>
      <c r="AS577" s="224"/>
      <c r="AT577" s="224" t="str">
        <f>IFERROR(VLOOKUP($A577,'Constancias POA'!$A$2:$DH$9993,17,FALSE),"")</f>
        <v/>
      </c>
      <c r="AU577" s="224" t="str">
        <f t="shared" si="66"/>
        <v/>
      </c>
      <c r="AV577" s="224" t="str">
        <f>IFERROR(VLOOKUP($A577,CP!$A$1:$U$7992,18,FALSE),"")</f>
        <v/>
      </c>
      <c r="AW577" s="224" t="str">
        <f>IFERROR(VLOOKUP($A577,CP!$A$1:$U$7992,19,FALSE),"")</f>
        <v/>
      </c>
      <c r="AX577" s="224" t="str">
        <f>IFERROR(VLOOKUP($A577,CP!$A$1:$U$7992,20,FALSE),"")</f>
        <v/>
      </c>
      <c r="AY577" s="224" t="str">
        <f>IFERROR(VLOOKUP($A577,CP!$A$1:$U$1,21,FALSE),"")</f>
        <v/>
      </c>
      <c r="AZ577" s="224" t="str">
        <f>IFERROR(VLOOKUP(A577,Devengado!$A$1:AJ1,35,FALSE),"")</f>
        <v/>
      </c>
      <c r="BA577" s="224" t="str">
        <f t="shared" si="67"/>
        <v/>
      </c>
      <c r="BB577" s="224" t="str">
        <f>IFERROR(AZ577/#REF!,"")</f>
        <v/>
      </c>
      <c r="BC577" s="224" t="str">
        <f>IFERROR(VLOOKUP($A577,Devengado!$A$1:$AI$1,22,FALSE),"")</f>
        <v/>
      </c>
      <c r="BD577" s="224" t="str">
        <f>IFERROR(VLOOKUP($A577,Devengado!$A$1:$AI$1,23,FALSE),"")</f>
        <v/>
      </c>
      <c r="BE577" s="224" t="str">
        <f>IFERROR(VLOOKUP($A577,Devengado!$A$1:$AI$1,24,FALSE),"")</f>
        <v/>
      </c>
      <c r="BF577" s="224" t="str">
        <f>IFERROR(VLOOKUP($A577,Devengado!$A$1:$AI$1,25,FALSE),"")</f>
        <v/>
      </c>
      <c r="BG577" s="224" t="str">
        <f>IFERROR(VLOOKUP($A577,Devengado!$A$1:$AI$1,26,FALSE),"")</f>
        <v/>
      </c>
      <c r="BH577" s="224" t="str">
        <f>IFERROR(VLOOKUP($A577,Devengado!$A$1:$AI$1,27,FALSE),"")</f>
        <v/>
      </c>
      <c r="BI577" s="224" t="str">
        <f>IFERROR(VLOOKUP($A577,Devengado!$A$1:$AI$1,28,FALSE),"")</f>
        <v/>
      </c>
      <c r="BJ577" s="224" t="str">
        <f>IFERROR(VLOOKUP($A577,Devengado!$A$1:$AI$1,29,FALSE),"")</f>
        <v/>
      </c>
      <c r="BK577" s="224" t="str">
        <f>IFERROR(VLOOKUP($A577,Devengado!$A$1:$AI$1,30,FALSE),"")</f>
        <v/>
      </c>
      <c r="BL577" s="224" t="str">
        <f>IFERROR(VLOOKUP($A577,Devengado!$A$1:$AI$1,31,FALSE),"")</f>
        <v/>
      </c>
      <c r="BM577" s="224" t="str">
        <f>IFERROR(VLOOKUP($A577,Devengado!$A$1:$AI$1,32,FALSE),"")</f>
        <v/>
      </c>
      <c r="BN577" s="224" t="str">
        <f>IFERROR(VLOOKUP($A577,Devengado!$A$1:$AI$1,33,FALSE),"")</f>
        <v/>
      </c>
      <c r="BO577" s="224">
        <f t="shared" si="68"/>
        <v>0</v>
      </c>
      <c r="BP577" s="224" t="str">
        <f t="shared" si="69"/>
        <v/>
      </c>
      <c r="BQ577" s="207"/>
      <c r="BR577" s="207" t="str">
        <f t="shared" si="70"/>
        <v>99</v>
      </c>
    </row>
    <row r="578" spans="1:70" s="225" customFormat="1" ht="25.5" customHeight="1">
      <c r="A578" s="207">
        <v>574</v>
      </c>
      <c r="B578" s="112" t="s">
        <v>73</v>
      </c>
      <c r="C578" s="112" t="s">
        <v>187</v>
      </c>
      <c r="D578" s="125" t="s">
        <v>515</v>
      </c>
      <c r="E578" s="125" t="s">
        <v>76</v>
      </c>
      <c r="F578" s="112" t="s">
        <v>77</v>
      </c>
      <c r="G578" s="112" t="s">
        <v>77</v>
      </c>
      <c r="H578" s="112" t="s">
        <v>77</v>
      </c>
      <c r="I578" s="112" t="s">
        <v>77</v>
      </c>
      <c r="J578" s="112" t="s">
        <v>77</v>
      </c>
      <c r="K578" s="112" t="s">
        <v>77</v>
      </c>
      <c r="L578" s="112" t="s">
        <v>85</v>
      </c>
      <c r="M578" s="125" t="s">
        <v>565</v>
      </c>
      <c r="N578" s="126">
        <v>9999</v>
      </c>
      <c r="O578" s="127" t="s">
        <v>80</v>
      </c>
      <c r="P578" s="127" t="s">
        <v>81</v>
      </c>
      <c r="Q578" s="127" t="s">
        <v>82</v>
      </c>
      <c r="R578" s="115" t="str">
        <f t="shared" si="64"/>
        <v>99</v>
      </c>
      <c r="S578" s="134">
        <v>990102</v>
      </c>
      <c r="T578" s="122" t="e">
        <f>VLOOKUP(S578,ITEM!$C$1:$D$156,2,FALSE)</f>
        <v>#N/A</v>
      </c>
      <c r="U578" s="112">
        <v>1701</v>
      </c>
      <c r="V578" s="114" t="s">
        <v>82</v>
      </c>
      <c r="W578" s="114" t="s">
        <v>84</v>
      </c>
      <c r="X578" s="114" t="s">
        <v>84</v>
      </c>
      <c r="Y578" s="224" t="e">
        <f>'Matriz POA 2024-TRABAJO'!#REF!</f>
        <v>#REF!</v>
      </c>
      <c r="Z578" s="224" t="e">
        <f>'Matriz POA 2024-TRABAJO'!#REF!</f>
        <v>#REF!</v>
      </c>
      <c r="AA578" s="224" t="e">
        <f>'Matriz POA 2024-TRABAJO'!#REF!</f>
        <v>#REF!</v>
      </c>
      <c r="AB578" s="279">
        <v>0</v>
      </c>
      <c r="AC578" s="279">
        <v>0</v>
      </c>
      <c r="AD578" s="279">
        <v>0</v>
      </c>
      <c r="AE578" s="279">
        <v>0</v>
      </c>
      <c r="AF578" s="279">
        <v>0</v>
      </c>
      <c r="AG578" s="279">
        <v>0</v>
      </c>
      <c r="AH578" s="279">
        <v>0</v>
      </c>
      <c r="AI578" s="279">
        <v>0</v>
      </c>
      <c r="AJ578" s="279">
        <v>0</v>
      </c>
      <c r="AK578" s="279">
        <v>0</v>
      </c>
      <c r="AL578" s="279">
        <v>0</v>
      </c>
      <c r="AM578" s="279">
        <v>0</v>
      </c>
      <c r="AN578" s="224" t="e">
        <f>SUM(#REF!)</f>
        <v>#REF!</v>
      </c>
      <c r="AO578" s="224">
        <f t="shared" si="65"/>
        <v>0</v>
      </c>
      <c r="AP578" s="224" t="e">
        <f t="shared" si="71"/>
        <v>#REF!</v>
      </c>
      <c r="AQ578" s="224"/>
      <c r="AR578" s="224"/>
      <c r="AS578" s="224"/>
      <c r="AT578" s="224" t="str">
        <f>IFERROR(VLOOKUP($A578,'Constancias POA'!$A$2:$DH$9993,17,FALSE),"")</f>
        <v/>
      </c>
      <c r="AU578" s="224" t="str">
        <f t="shared" si="66"/>
        <v/>
      </c>
      <c r="AV578" s="224" t="str">
        <f>IFERROR(VLOOKUP($A578,CP!$A$1:$U$7992,18,FALSE),"")</f>
        <v/>
      </c>
      <c r="AW578" s="224" t="str">
        <f>IFERROR(VLOOKUP($A578,CP!$A$1:$U$7992,19,FALSE),"")</f>
        <v/>
      </c>
      <c r="AX578" s="224" t="str">
        <f>IFERROR(VLOOKUP($A578,CP!$A$1:$U$7992,20,FALSE),"")</f>
        <v/>
      </c>
      <c r="AY578" s="224" t="str">
        <f>IFERROR(VLOOKUP($A578,CP!$A$1:$U$1,21,FALSE),"")</f>
        <v/>
      </c>
      <c r="AZ578" s="224" t="str">
        <f>IFERROR(VLOOKUP(A578,Devengado!$A$1:AJ1,35,FALSE),"")</f>
        <v/>
      </c>
      <c r="BA578" s="224" t="str">
        <f t="shared" si="67"/>
        <v/>
      </c>
      <c r="BB578" s="224" t="str">
        <f>IFERROR(AZ578/#REF!,"")</f>
        <v/>
      </c>
      <c r="BC578" s="224" t="str">
        <f>IFERROR(VLOOKUP($A578,Devengado!$A$1:$AI$1,22,FALSE),"")</f>
        <v/>
      </c>
      <c r="BD578" s="224" t="str">
        <f>IFERROR(VLOOKUP($A578,Devengado!$A$1:$AI$1,23,FALSE),"")</f>
        <v/>
      </c>
      <c r="BE578" s="224" t="str">
        <f>IFERROR(VLOOKUP($A578,Devengado!$A$1:$AI$1,24,FALSE),"")</f>
        <v/>
      </c>
      <c r="BF578" s="224" t="str">
        <f>IFERROR(VLOOKUP($A578,Devengado!$A$1:$AI$1,25,FALSE),"")</f>
        <v/>
      </c>
      <c r="BG578" s="224" t="str">
        <f>IFERROR(VLOOKUP($A578,Devengado!$A$1:$AI$1,26,FALSE),"")</f>
        <v/>
      </c>
      <c r="BH578" s="224" t="str">
        <f>IFERROR(VLOOKUP($A578,Devengado!$A$1:$AI$1,27,FALSE),"")</f>
        <v/>
      </c>
      <c r="BI578" s="224" t="str">
        <f>IFERROR(VLOOKUP($A578,Devengado!$A$1:$AI$1,28,FALSE),"")</f>
        <v/>
      </c>
      <c r="BJ578" s="224" t="str">
        <f>IFERROR(VLOOKUP($A578,Devengado!$A$1:$AI$1,29,FALSE),"")</f>
        <v/>
      </c>
      <c r="BK578" s="224" t="str">
        <f>IFERROR(VLOOKUP($A578,Devengado!$A$1:$AI$1,30,FALSE),"")</f>
        <v/>
      </c>
      <c r="BL578" s="224" t="str">
        <f>IFERROR(VLOOKUP($A578,Devengado!$A$1:$AI$1,31,FALSE),"")</f>
        <v/>
      </c>
      <c r="BM578" s="224" t="str">
        <f>IFERROR(VLOOKUP($A578,Devengado!$A$1:$AI$1,32,FALSE),"")</f>
        <v/>
      </c>
      <c r="BN578" s="224" t="str">
        <f>IFERROR(VLOOKUP($A578,Devengado!$A$1:$AI$1,33,FALSE),"")</f>
        <v/>
      </c>
      <c r="BO578" s="224">
        <f t="shared" si="68"/>
        <v>0</v>
      </c>
      <c r="BP578" s="224" t="str">
        <f t="shared" si="69"/>
        <v/>
      </c>
      <c r="BQ578" s="207"/>
      <c r="BR578" s="207" t="str">
        <f t="shared" si="70"/>
        <v>99</v>
      </c>
    </row>
    <row r="579" spans="1:70" s="225" customFormat="1" ht="25.5" customHeight="1">
      <c r="A579" s="207">
        <v>575</v>
      </c>
      <c r="B579" s="112" t="s">
        <v>73</v>
      </c>
      <c r="C579" s="112" t="s">
        <v>187</v>
      </c>
      <c r="D579" s="125" t="s">
        <v>515</v>
      </c>
      <c r="E579" s="125" t="s">
        <v>76</v>
      </c>
      <c r="F579" s="112" t="s">
        <v>77</v>
      </c>
      <c r="G579" s="112" t="s">
        <v>77</v>
      </c>
      <c r="H579" s="112" t="s">
        <v>77</v>
      </c>
      <c r="I579" s="112" t="s">
        <v>77</v>
      </c>
      <c r="J579" s="112" t="s">
        <v>77</v>
      </c>
      <c r="K579" s="112" t="s">
        <v>77</v>
      </c>
      <c r="L579" s="112" t="s">
        <v>85</v>
      </c>
      <c r="M579" s="125" t="s">
        <v>566</v>
      </c>
      <c r="N579" s="126">
        <v>9999</v>
      </c>
      <c r="O579" s="127" t="s">
        <v>80</v>
      </c>
      <c r="P579" s="127" t="s">
        <v>81</v>
      </c>
      <c r="Q579" s="127" t="s">
        <v>82</v>
      </c>
      <c r="R579" s="115" t="str">
        <f t="shared" si="64"/>
        <v>99</v>
      </c>
      <c r="S579" s="134">
        <v>990102</v>
      </c>
      <c r="T579" s="122" t="e">
        <f>VLOOKUP(S579,ITEM!$C$1:$D$156,2,FALSE)</f>
        <v>#N/A</v>
      </c>
      <c r="U579" s="112">
        <v>1701</v>
      </c>
      <c r="V579" s="114" t="s">
        <v>82</v>
      </c>
      <c r="W579" s="114" t="s">
        <v>84</v>
      </c>
      <c r="X579" s="114" t="s">
        <v>84</v>
      </c>
      <c r="Y579" s="224" t="e">
        <f>'Matriz POA 2024-TRABAJO'!#REF!</f>
        <v>#REF!</v>
      </c>
      <c r="Z579" s="224" t="e">
        <f>'Matriz POA 2024-TRABAJO'!#REF!</f>
        <v>#REF!</v>
      </c>
      <c r="AA579" s="224" t="e">
        <f>'Matriz POA 2024-TRABAJO'!#REF!</f>
        <v>#REF!</v>
      </c>
      <c r="AB579" s="279">
        <v>0</v>
      </c>
      <c r="AC579" s="279">
        <v>0</v>
      </c>
      <c r="AD579" s="279">
        <v>0</v>
      </c>
      <c r="AE579" s="279">
        <v>0</v>
      </c>
      <c r="AF579" s="279">
        <v>0</v>
      </c>
      <c r="AG579" s="279">
        <v>0</v>
      </c>
      <c r="AH579" s="279">
        <v>0</v>
      </c>
      <c r="AI579" s="279">
        <v>0</v>
      </c>
      <c r="AJ579" s="279">
        <v>0</v>
      </c>
      <c r="AK579" s="279">
        <v>0</v>
      </c>
      <c r="AL579" s="279">
        <v>0</v>
      </c>
      <c r="AM579" s="279">
        <v>0</v>
      </c>
      <c r="AN579" s="224" t="e">
        <f>SUM(#REF!)</f>
        <v>#REF!</v>
      </c>
      <c r="AO579" s="224">
        <f t="shared" si="65"/>
        <v>0</v>
      </c>
      <c r="AP579" s="224" t="e">
        <f t="shared" si="71"/>
        <v>#REF!</v>
      </c>
      <c r="AQ579" s="224"/>
      <c r="AR579" s="224"/>
      <c r="AS579" s="224"/>
      <c r="AT579" s="224" t="str">
        <f>IFERROR(VLOOKUP($A579,'Constancias POA'!$A$2:$DH$9993,17,FALSE),"")</f>
        <v/>
      </c>
      <c r="AU579" s="224" t="str">
        <f t="shared" si="66"/>
        <v/>
      </c>
      <c r="AV579" s="224" t="str">
        <f>IFERROR(VLOOKUP($A579,CP!$A$1:$U$7992,18,FALSE),"")</f>
        <v/>
      </c>
      <c r="AW579" s="224" t="str">
        <f>IFERROR(VLOOKUP($A579,CP!$A$1:$U$7992,19,FALSE),"")</f>
        <v/>
      </c>
      <c r="AX579" s="224" t="str">
        <f>IFERROR(VLOOKUP($A579,CP!$A$1:$U$7992,20,FALSE),"")</f>
        <v/>
      </c>
      <c r="AY579" s="224" t="str">
        <f>IFERROR(VLOOKUP($A579,CP!$A$1:$U$1,21,FALSE),"")</f>
        <v/>
      </c>
      <c r="AZ579" s="224" t="str">
        <f>IFERROR(VLOOKUP(A579,Devengado!$A$1:AJ1,35,FALSE),"")</f>
        <v/>
      </c>
      <c r="BA579" s="224" t="str">
        <f t="shared" si="67"/>
        <v/>
      </c>
      <c r="BB579" s="224" t="str">
        <f>IFERROR(AZ579/#REF!,"")</f>
        <v/>
      </c>
      <c r="BC579" s="224" t="str">
        <f>IFERROR(VLOOKUP($A579,Devengado!$A$1:$AI$1,22,FALSE),"")</f>
        <v/>
      </c>
      <c r="BD579" s="224" t="str">
        <f>IFERROR(VLOOKUP($A579,Devengado!$A$1:$AI$1,23,FALSE),"")</f>
        <v/>
      </c>
      <c r="BE579" s="224" t="str">
        <f>IFERROR(VLOOKUP($A579,Devengado!$A$1:$AI$1,24,FALSE),"")</f>
        <v/>
      </c>
      <c r="BF579" s="224" t="str">
        <f>IFERROR(VLOOKUP($A579,Devengado!$A$1:$AI$1,25,FALSE),"")</f>
        <v/>
      </c>
      <c r="BG579" s="224" t="str">
        <f>IFERROR(VLOOKUP($A579,Devengado!$A$1:$AI$1,26,FALSE),"")</f>
        <v/>
      </c>
      <c r="BH579" s="224" t="str">
        <f>IFERROR(VLOOKUP($A579,Devengado!$A$1:$AI$1,27,FALSE),"")</f>
        <v/>
      </c>
      <c r="BI579" s="224" t="str">
        <f>IFERROR(VLOOKUP($A579,Devengado!$A$1:$AI$1,28,FALSE),"")</f>
        <v/>
      </c>
      <c r="BJ579" s="224" t="str">
        <f>IFERROR(VLOOKUP($A579,Devengado!$A$1:$AI$1,29,FALSE),"")</f>
        <v/>
      </c>
      <c r="BK579" s="224" t="str">
        <f>IFERROR(VLOOKUP($A579,Devengado!$A$1:$AI$1,30,FALSE),"")</f>
        <v/>
      </c>
      <c r="BL579" s="224" t="str">
        <f>IFERROR(VLOOKUP($A579,Devengado!$A$1:$AI$1,31,FALSE),"")</f>
        <v/>
      </c>
      <c r="BM579" s="224" t="str">
        <f>IFERROR(VLOOKUP($A579,Devengado!$A$1:$AI$1,32,FALSE),"")</f>
        <v/>
      </c>
      <c r="BN579" s="224" t="str">
        <f>IFERROR(VLOOKUP($A579,Devengado!$A$1:$AI$1,33,FALSE),"")</f>
        <v/>
      </c>
      <c r="BO579" s="224">
        <f t="shared" si="68"/>
        <v>0</v>
      </c>
      <c r="BP579" s="224" t="str">
        <f t="shared" si="69"/>
        <v/>
      </c>
      <c r="BQ579" s="207"/>
      <c r="BR579" s="207" t="str">
        <f t="shared" si="70"/>
        <v>99</v>
      </c>
    </row>
    <row r="580" spans="1:70" s="225" customFormat="1" ht="25.5" customHeight="1">
      <c r="A580" s="207">
        <v>576</v>
      </c>
      <c r="B580" s="112" t="s">
        <v>73</v>
      </c>
      <c r="C580" s="112" t="s">
        <v>187</v>
      </c>
      <c r="D580" s="125" t="s">
        <v>515</v>
      </c>
      <c r="E580" s="125" t="s">
        <v>76</v>
      </c>
      <c r="F580" s="112" t="s">
        <v>77</v>
      </c>
      <c r="G580" s="112" t="s">
        <v>77</v>
      </c>
      <c r="H580" s="112" t="s">
        <v>77</v>
      </c>
      <c r="I580" s="112" t="s">
        <v>77</v>
      </c>
      <c r="J580" s="112" t="s">
        <v>77</v>
      </c>
      <c r="K580" s="112" t="s">
        <v>77</v>
      </c>
      <c r="L580" s="112" t="s">
        <v>87</v>
      </c>
      <c r="M580" s="125" t="s">
        <v>567</v>
      </c>
      <c r="N580" s="126">
        <v>9999</v>
      </c>
      <c r="O580" s="127" t="s">
        <v>80</v>
      </c>
      <c r="P580" s="127" t="s">
        <v>81</v>
      </c>
      <c r="Q580" s="127" t="s">
        <v>82</v>
      </c>
      <c r="R580" s="115" t="str">
        <f t="shared" si="64"/>
        <v>53</v>
      </c>
      <c r="S580" s="112">
        <v>530208</v>
      </c>
      <c r="T580" s="122" t="str">
        <f>VLOOKUP(S580,ITEM!$C$1:$D$156,2,FALSE)</f>
        <v>Servicio de Seguridad y Vigilancia</v>
      </c>
      <c r="U580" s="112">
        <v>1701</v>
      </c>
      <c r="V580" s="114" t="s">
        <v>82</v>
      </c>
      <c r="W580" s="114" t="s">
        <v>84</v>
      </c>
      <c r="X580" s="114" t="s">
        <v>84</v>
      </c>
      <c r="Y580" s="272" t="e">
        <f>'Matriz POA 2024-TRABAJO'!#REF!</f>
        <v>#REF!</v>
      </c>
      <c r="Z580" s="272" t="e">
        <f>'Matriz POA 2024-TRABAJO'!#REF!</f>
        <v>#REF!</v>
      </c>
      <c r="AA580" s="272" t="e">
        <f>'Matriz POA 2024-TRABAJO'!#REF!</f>
        <v>#REF!</v>
      </c>
      <c r="AB580" s="273"/>
      <c r="AC580" s="273"/>
      <c r="AD580" s="273"/>
      <c r="AE580" s="279">
        <v>0</v>
      </c>
      <c r="AF580" s="279"/>
      <c r="AG580" s="279"/>
      <c r="AH580" s="279"/>
      <c r="AI580" s="279"/>
      <c r="AJ580" s="279"/>
      <c r="AK580" s="279"/>
      <c r="AL580" s="279"/>
      <c r="AM580" s="279"/>
      <c r="AN580" s="224" t="e">
        <f>SUM(#REF!)</f>
        <v>#REF!</v>
      </c>
      <c r="AO580" s="224">
        <f t="shared" si="65"/>
        <v>0</v>
      </c>
      <c r="AP580" s="224" t="e">
        <f t="shared" si="71"/>
        <v>#REF!</v>
      </c>
      <c r="AQ580" s="224"/>
      <c r="AR580" s="224"/>
      <c r="AS580" s="224"/>
      <c r="AT580" s="224" t="str">
        <f>IFERROR(VLOOKUP($A580,'Constancias POA'!$A$2:$DH$9993,17,FALSE),"")</f>
        <v/>
      </c>
      <c r="AU580" s="224" t="str">
        <f t="shared" si="66"/>
        <v/>
      </c>
      <c r="AV580" s="224" t="str">
        <f>IFERROR(VLOOKUP($A580,CP!$A$1:$U$7992,18,FALSE),"")</f>
        <v/>
      </c>
      <c r="AW580" s="224" t="str">
        <f>IFERROR(VLOOKUP($A580,CP!$A$1:$U$7992,19,FALSE),"")</f>
        <v/>
      </c>
      <c r="AX580" s="224" t="str">
        <f>IFERROR(VLOOKUP($A580,CP!$A$1:$U$7992,20,FALSE),"")</f>
        <v/>
      </c>
      <c r="AY580" s="224" t="str">
        <f>IFERROR(VLOOKUP($A580,CP!$A$1:$U$1,21,FALSE),"")</f>
        <v/>
      </c>
      <c r="AZ580" s="224" t="str">
        <f>IFERROR(VLOOKUP(A580,Devengado!$A$1:AJ1,35,FALSE),"")</f>
        <v/>
      </c>
      <c r="BA580" s="224" t="str">
        <f t="shared" si="67"/>
        <v/>
      </c>
      <c r="BB580" s="224" t="str">
        <f>IFERROR(AZ580/#REF!,"")</f>
        <v/>
      </c>
      <c r="BC580" s="224" t="str">
        <f>IFERROR(VLOOKUP($A580,Devengado!$A$1:$AI$1,22,FALSE),"")</f>
        <v/>
      </c>
      <c r="BD580" s="224" t="str">
        <f>IFERROR(VLOOKUP($A580,Devengado!$A$1:$AI$1,23,FALSE),"")</f>
        <v/>
      </c>
      <c r="BE580" s="224" t="str">
        <f>IFERROR(VLOOKUP($A580,Devengado!$A$1:$AI$1,24,FALSE),"")</f>
        <v/>
      </c>
      <c r="BF580" s="224" t="str">
        <f>IFERROR(VLOOKUP($A580,Devengado!$A$1:$AI$1,25,FALSE),"")</f>
        <v/>
      </c>
      <c r="BG580" s="224" t="str">
        <f>IFERROR(VLOOKUP($A580,Devengado!$A$1:$AI$1,26,FALSE),"")</f>
        <v/>
      </c>
      <c r="BH580" s="224" t="str">
        <f>IFERROR(VLOOKUP($A580,Devengado!$A$1:$AI$1,27,FALSE),"")</f>
        <v/>
      </c>
      <c r="BI580" s="224" t="str">
        <f>IFERROR(VLOOKUP($A580,Devengado!$A$1:$AI$1,28,FALSE),"")</f>
        <v/>
      </c>
      <c r="BJ580" s="224" t="str">
        <f>IFERROR(VLOOKUP($A580,Devengado!$A$1:$AI$1,29,FALSE),"")</f>
        <v/>
      </c>
      <c r="BK580" s="224" t="str">
        <f>IFERROR(VLOOKUP($A580,Devengado!$A$1:$AI$1,30,FALSE),"")</f>
        <v/>
      </c>
      <c r="BL580" s="224" t="str">
        <f>IFERROR(VLOOKUP($A580,Devengado!$A$1:$AI$1,31,FALSE),"")</f>
        <v/>
      </c>
      <c r="BM580" s="224" t="str">
        <f>IFERROR(VLOOKUP($A580,Devengado!$A$1:$AI$1,32,FALSE),"")</f>
        <v/>
      </c>
      <c r="BN580" s="224" t="str">
        <f>IFERROR(VLOOKUP($A580,Devengado!$A$1:$AI$1,33,FALSE),"")</f>
        <v/>
      </c>
      <c r="BO580" s="224">
        <f t="shared" si="68"/>
        <v>0</v>
      </c>
      <c r="BP580" s="224" t="str">
        <f t="shared" si="69"/>
        <v/>
      </c>
      <c r="BQ580" s="207"/>
      <c r="BR580" s="207" t="str">
        <f t="shared" si="70"/>
        <v>53</v>
      </c>
    </row>
    <row r="581" spans="1:70" s="225" customFormat="1" ht="25.5" customHeight="1">
      <c r="A581" s="207">
        <v>577</v>
      </c>
      <c r="B581" s="112" t="s">
        <v>73</v>
      </c>
      <c r="C581" s="112" t="s">
        <v>187</v>
      </c>
      <c r="D581" s="125" t="s">
        <v>515</v>
      </c>
      <c r="E581" s="125" t="s">
        <v>76</v>
      </c>
      <c r="F581" s="112" t="s">
        <v>77</v>
      </c>
      <c r="G581" s="112" t="s">
        <v>77</v>
      </c>
      <c r="H581" s="112" t="s">
        <v>77</v>
      </c>
      <c r="I581" s="112" t="s">
        <v>77</v>
      </c>
      <c r="J581" s="112" t="s">
        <v>77</v>
      </c>
      <c r="K581" s="112" t="s">
        <v>77</v>
      </c>
      <c r="L581" s="112" t="s">
        <v>87</v>
      </c>
      <c r="M581" s="125" t="s">
        <v>568</v>
      </c>
      <c r="N581" s="126">
        <v>9999</v>
      </c>
      <c r="O581" s="114" t="s">
        <v>80</v>
      </c>
      <c r="P581" s="127" t="s">
        <v>81</v>
      </c>
      <c r="Q581" s="127" t="s">
        <v>82</v>
      </c>
      <c r="R581" s="115" t="str">
        <f t="shared" ref="R581:R644" si="72">LEFT(S581,2)</f>
        <v>53</v>
      </c>
      <c r="S581" s="112">
        <v>530208</v>
      </c>
      <c r="T581" s="122" t="str">
        <f>VLOOKUP(S581,ITEM!$C$1:$D$156,2,FALSE)</f>
        <v>Servicio de Seguridad y Vigilancia</v>
      </c>
      <c r="U581" s="112">
        <v>1701</v>
      </c>
      <c r="V581" s="114" t="s">
        <v>82</v>
      </c>
      <c r="W581" s="114" t="s">
        <v>84</v>
      </c>
      <c r="X581" s="114" t="s">
        <v>84</v>
      </c>
      <c r="Y581" s="272" t="e">
        <f>'Matriz POA 2024-TRABAJO'!#REF!</f>
        <v>#REF!</v>
      </c>
      <c r="Z581" s="272" t="e">
        <f>'Matriz POA 2024-TRABAJO'!#REF!</f>
        <v>#REF!</v>
      </c>
      <c r="AA581" s="272" t="e">
        <f>'Matriz POA 2024-TRABAJO'!#REF!</f>
        <v>#REF!</v>
      </c>
      <c r="AB581" s="273">
        <v>0</v>
      </c>
      <c r="AC581" s="273">
        <v>0</v>
      </c>
      <c r="AD581" s="273">
        <v>0</v>
      </c>
      <c r="AE581" s="279">
        <v>0</v>
      </c>
      <c r="AF581" s="279">
        <v>0</v>
      </c>
      <c r="AG581" s="279">
        <v>0</v>
      </c>
      <c r="AH581" s="279">
        <v>0</v>
      </c>
      <c r="AI581" s="279">
        <v>0</v>
      </c>
      <c r="AJ581" s="279">
        <v>0</v>
      </c>
      <c r="AK581" s="279">
        <v>0</v>
      </c>
      <c r="AL581" s="279">
        <v>0</v>
      </c>
      <c r="AM581" s="279">
        <v>0</v>
      </c>
      <c r="AN581" s="224" t="e">
        <f>SUM(#REF!)</f>
        <v>#REF!</v>
      </c>
      <c r="AO581" s="224">
        <f t="shared" ref="AO581:AO644" si="73">SUM(AB581:AM581)</f>
        <v>0</v>
      </c>
      <c r="AP581" s="224" t="e">
        <f t="shared" si="71"/>
        <v>#REF!</v>
      </c>
      <c r="AQ581" s="224"/>
      <c r="AR581" s="224"/>
      <c r="AS581" s="224"/>
      <c r="AT581" s="224" t="str">
        <f>IFERROR(VLOOKUP($A581,'Constancias POA'!$A$2:$DH$9993,17,FALSE),"")</f>
        <v/>
      </c>
      <c r="AU581" s="224" t="str">
        <f t="shared" ref="AU581:AU646" si="74">IFERROR(AA581-AT581,"")</f>
        <v/>
      </c>
      <c r="AV581" s="224" t="str">
        <f>IFERROR(VLOOKUP($A581,CP!$A$1:$U$7992,18,FALSE),"")</f>
        <v/>
      </c>
      <c r="AW581" s="224" t="str">
        <f>IFERROR(VLOOKUP($A581,CP!$A$1:$U$7992,19,FALSE),"")</f>
        <v/>
      </c>
      <c r="AX581" s="224" t="str">
        <f>IFERROR(VLOOKUP($A581,CP!$A$1:$U$7992,20,FALSE),"")</f>
        <v/>
      </c>
      <c r="AY581" s="224" t="str">
        <f>IFERROR(VLOOKUP($A581,CP!$A$1:$U$1,21,FALSE),"")</f>
        <v/>
      </c>
      <c r="AZ581" s="224" t="str">
        <f>IFERROR(VLOOKUP(A581,Devengado!$A$1:AJ1,35,FALSE),"")</f>
        <v/>
      </c>
      <c r="BA581" s="224" t="str">
        <f t="shared" ref="BA581:BA644" si="75">IFERROR((AA581-AZ581),"")</f>
        <v/>
      </c>
      <c r="BB581" s="224" t="str">
        <f>IFERROR(AZ581/#REF!,"")</f>
        <v/>
      </c>
      <c r="BC581" s="224" t="str">
        <f>IFERROR(VLOOKUP($A581,Devengado!$A$1:$AI$1,22,FALSE),"")</f>
        <v/>
      </c>
      <c r="BD581" s="224" t="str">
        <f>IFERROR(VLOOKUP($A581,Devengado!$A$1:$AI$1,23,FALSE),"")</f>
        <v/>
      </c>
      <c r="BE581" s="224" t="str">
        <f>IFERROR(VLOOKUP($A581,Devengado!$A$1:$AI$1,24,FALSE),"")</f>
        <v/>
      </c>
      <c r="BF581" s="224" t="str">
        <f>IFERROR(VLOOKUP($A581,Devengado!$A$1:$AI$1,25,FALSE),"")</f>
        <v/>
      </c>
      <c r="BG581" s="224" t="str">
        <f>IFERROR(VLOOKUP($A581,Devengado!$A$1:$AI$1,26,FALSE),"")</f>
        <v/>
      </c>
      <c r="BH581" s="224" t="str">
        <f>IFERROR(VLOOKUP($A581,Devengado!$A$1:$AI$1,27,FALSE),"")</f>
        <v/>
      </c>
      <c r="BI581" s="224" t="str">
        <f>IFERROR(VLOOKUP($A581,Devengado!$A$1:$AI$1,28,FALSE),"")</f>
        <v/>
      </c>
      <c r="BJ581" s="224" t="str">
        <f>IFERROR(VLOOKUP($A581,Devengado!$A$1:$AI$1,29,FALSE),"")</f>
        <v/>
      </c>
      <c r="BK581" s="224" t="str">
        <f>IFERROR(VLOOKUP($A581,Devengado!$A$1:$AI$1,30,FALSE),"")</f>
        <v/>
      </c>
      <c r="BL581" s="224" t="str">
        <f>IFERROR(VLOOKUP($A581,Devengado!$A$1:$AI$1,31,FALSE),"")</f>
        <v/>
      </c>
      <c r="BM581" s="224" t="str">
        <f>IFERROR(VLOOKUP($A581,Devengado!$A$1:$AI$1,32,FALSE),"")</f>
        <v/>
      </c>
      <c r="BN581" s="224" t="str">
        <f>IFERROR(VLOOKUP($A581,Devengado!$A$1:$AI$1,33,FALSE),"")</f>
        <v/>
      </c>
      <c r="BO581" s="224">
        <f t="shared" ref="BO581:BO644" si="76">SUM(BC581:BN581)</f>
        <v>0</v>
      </c>
      <c r="BP581" s="224" t="str">
        <f t="shared" ref="BP581:BP644" si="77">IFERROR(((AB581+AC581)-AZ581),"")</f>
        <v/>
      </c>
      <c r="BQ581" s="207"/>
      <c r="BR581" s="207" t="str">
        <f t="shared" ref="BR581:BR644" si="78">LEFT(R581,4)</f>
        <v>53</v>
      </c>
    </row>
    <row r="582" spans="1:70" s="225" customFormat="1" ht="25.5" customHeight="1">
      <c r="A582" s="207">
        <v>578</v>
      </c>
      <c r="B582" s="112" t="s">
        <v>73</v>
      </c>
      <c r="C582" s="112" t="s">
        <v>129</v>
      </c>
      <c r="D582" s="112" t="s">
        <v>142</v>
      </c>
      <c r="E582" s="112" t="s">
        <v>569</v>
      </c>
      <c r="F582" s="128" t="s">
        <v>570</v>
      </c>
      <c r="G582" s="112" t="s">
        <v>571</v>
      </c>
      <c r="H582" s="112" t="s">
        <v>572</v>
      </c>
      <c r="I582" s="112" t="s">
        <v>77</v>
      </c>
      <c r="J582" s="112" t="s">
        <v>77</v>
      </c>
      <c r="K582" s="112" t="s">
        <v>77</v>
      </c>
      <c r="L582" s="112" t="s">
        <v>87</v>
      </c>
      <c r="M582" s="112" t="s">
        <v>573</v>
      </c>
      <c r="N582" s="127">
        <v>9999</v>
      </c>
      <c r="O582" s="127" t="s">
        <v>132</v>
      </c>
      <c r="P582" s="114" t="s">
        <v>574</v>
      </c>
      <c r="Q582" s="114" t="s">
        <v>112</v>
      </c>
      <c r="R582" s="115" t="str">
        <f t="shared" si="72"/>
        <v>73</v>
      </c>
      <c r="S582" s="112">
        <v>730207</v>
      </c>
      <c r="T582" s="122" t="e">
        <f>VLOOKUP(S582,ITEM!$C$1:$D$156,2,FALSE)</f>
        <v>#N/A</v>
      </c>
      <c r="U582" s="112" t="s">
        <v>83</v>
      </c>
      <c r="V582" s="112" t="s">
        <v>575</v>
      </c>
      <c r="W582" s="112"/>
      <c r="X582" s="112"/>
      <c r="Y582" s="224" t="e">
        <f>'Matriz POA 2024-TRABAJO'!#REF!</f>
        <v>#REF!</v>
      </c>
      <c r="Z582" s="224" t="e">
        <f>'Matriz POA 2024-TRABAJO'!#REF!</f>
        <v>#REF!</v>
      </c>
      <c r="AA582" s="224" t="e">
        <f>'Matriz POA 2024-TRABAJO'!#REF!</f>
        <v>#REF!</v>
      </c>
      <c r="AB582" s="279">
        <v>0</v>
      </c>
      <c r="AC582" s="279">
        <v>0</v>
      </c>
      <c r="AD582" s="279">
        <v>0</v>
      </c>
      <c r="AE582" s="279">
        <v>346969.71</v>
      </c>
      <c r="AF582" s="279">
        <v>0</v>
      </c>
      <c r="AG582" s="279">
        <v>0</v>
      </c>
      <c r="AH582" s="279">
        <v>0</v>
      </c>
      <c r="AI582" s="279">
        <v>0</v>
      </c>
      <c r="AJ582" s="279">
        <v>0</v>
      </c>
      <c r="AK582" s="279">
        <v>0</v>
      </c>
      <c r="AL582" s="279">
        <v>0</v>
      </c>
      <c r="AM582" s="279">
        <v>0</v>
      </c>
      <c r="AN582" s="224" t="e">
        <f>SUM(#REF!)</f>
        <v>#REF!</v>
      </c>
      <c r="AO582" s="224">
        <f t="shared" si="73"/>
        <v>346969.71</v>
      </c>
      <c r="AP582" s="224" t="e">
        <f t="shared" ref="AP582:AP645" si="79">+AO582-AA582</f>
        <v>#REF!</v>
      </c>
      <c r="AQ582" s="224"/>
      <c r="AR582" s="224"/>
      <c r="AS582" s="224"/>
      <c r="AT582" s="224" t="str">
        <f>IFERROR(VLOOKUP($A582,'Constancias POA'!$A$2:$DH$9993,17,FALSE),"")</f>
        <v/>
      </c>
      <c r="AU582" s="224" t="str">
        <f t="shared" si="74"/>
        <v/>
      </c>
      <c r="AV582" s="224" t="str">
        <f>IFERROR(VLOOKUP($A582,CP!$A$1:$U$7992,18,FALSE),"")</f>
        <v/>
      </c>
      <c r="AW582" s="224" t="str">
        <f>IFERROR(VLOOKUP($A582,CP!$A$1:$U$7992,19,FALSE),"")</f>
        <v/>
      </c>
      <c r="AX582" s="224" t="str">
        <f>IFERROR(VLOOKUP($A582,CP!$A$1:$U$7992,20,FALSE),"")</f>
        <v/>
      </c>
      <c r="AY582" s="224" t="str">
        <f>IFERROR(VLOOKUP($A582,CP!$A$1:$U$1,21,FALSE),"")</f>
        <v/>
      </c>
      <c r="AZ582" s="224" t="str">
        <f>IFERROR(VLOOKUP(A582,Devengado!$A$1:AJ1,35,FALSE),"")</f>
        <v/>
      </c>
      <c r="BA582" s="224" t="str">
        <f t="shared" si="75"/>
        <v/>
      </c>
      <c r="BB582" s="224" t="str">
        <f>IFERROR(AZ582/#REF!,"")</f>
        <v/>
      </c>
      <c r="BC582" s="224" t="str">
        <f>IFERROR(VLOOKUP($A582,Devengado!$A$1:$AI$1,22,FALSE),"")</f>
        <v/>
      </c>
      <c r="BD582" s="224" t="str">
        <f>IFERROR(VLOOKUP($A582,Devengado!$A$1:$AI$1,23,FALSE),"")</f>
        <v/>
      </c>
      <c r="BE582" s="224" t="str">
        <f>IFERROR(VLOOKUP($A582,Devengado!$A$1:$AI$1,24,FALSE),"")</f>
        <v/>
      </c>
      <c r="BF582" s="224" t="str">
        <f>IFERROR(VLOOKUP($A582,Devengado!$A$1:$AI$1,25,FALSE),"")</f>
        <v/>
      </c>
      <c r="BG582" s="224" t="str">
        <f>IFERROR(VLOOKUP($A582,Devengado!$A$1:$AI$1,26,FALSE),"")</f>
        <v/>
      </c>
      <c r="BH582" s="224" t="str">
        <f>IFERROR(VLOOKUP($A582,Devengado!$A$1:$AI$1,27,FALSE),"")</f>
        <v/>
      </c>
      <c r="BI582" s="224" t="str">
        <f>IFERROR(VLOOKUP($A582,Devengado!$A$1:$AI$1,28,FALSE),"")</f>
        <v/>
      </c>
      <c r="BJ582" s="224" t="str">
        <f>IFERROR(VLOOKUP($A582,Devengado!$A$1:$AI$1,29,FALSE),"")</f>
        <v/>
      </c>
      <c r="BK582" s="224" t="str">
        <f>IFERROR(VLOOKUP($A582,Devengado!$A$1:$AI$1,30,FALSE),"")</f>
        <v/>
      </c>
      <c r="BL582" s="224" t="str">
        <f>IFERROR(VLOOKUP($A582,Devengado!$A$1:$AI$1,31,FALSE),"")</f>
        <v/>
      </c>
      <c r="BM582" s="224" t="str">
        <f>IFERROR(VLOOKUP($A582,Devengado!$A$1:$AI$1,32,FALSE),"")</f>
        <v/>
      </c>
      <c r="BN582" s="224" t="str">
        <f>IFERROR(VLOOKUP($A582,Devengado!$A$1:$AI$1,33,FALSE),"")</f>
        <v/>
      </c>
      <c r="BO582" s="224">
        <f t="shared" si="76"/>
        <v>0</v>
      </c>
      <c r="BP582" s="224" t="str">
        <f t="shared" si="77"/>
        <v/>
      </c>
      <c r="BQ582" s="207"/>
      <c r="BR582" s="207" t="str">
        <f t="shared" si="78"/>
        <v>73</v>
      </c>
    </row>
    <row r="583" spans="1:70" s="225" customFormat="1" ht="25.5" customHeight="1">
      <c r="A583" s="207">
        <v>579</v>
      </c>
      <c r="B583" s="119" t="s">
        <v>73</v>
      </c>
      <c r="C583" s="119" t="s">
        <v>77</v>
      </c>
      <c r="D583" s="112" t="s">
        <v>176</v>
      </c>
      <c r="E583" s="112" t="s">
        <v>569</v>
      </c>
      <c r="F583" s="132" t="s">
        <v>576</v>
      </c>
      <c r="G583" s="112" t="s">
        <v>577</v>
      </c>
      <c r="H583" s="112" t="s">
        <v>578</v>
      </c>
      <c r="I583" s="112" t="s">
        <v>579</v>
      </c>
      <c r="J583" s="112" t="s">
        <v>580</v>
      </c>
      <c r="K583" s="207"/>
      <c r="L583" s="112" t="s">
        <v>85</v>
      </c>
      <c r="M583" s="112" t="s">
        <v>581</v>
      </c>
      <c r="N583" s="118">
        <v>9999</v>
      </c>
      <c r="O583" s="118" t="s">
        <v>132</v>
      </c>
      <c r="P583" s="114" t="s">
        <v>582</v>
      </c>
      <c r="Q583" s="114" t="s">
        <v>82</v>
      </c>
      <c r="R583" s="115" t="str">
        <f t="shared" si="72"/>
        <v>73</v>
      </c>
      <c r="S583" s="112">
        <v>730606</v>
      </c>
      <c r="T583" s="122" t="e">
        <f>VLOOKUP(S583,ITEM!$C$1:$D$156,2,FALSE)</f>
        <v>#N/A</v>
      </c>
      <c r="U583" s="114">
        <v>1701</v>
      </c>
      <c r="V583" s="114" t="s">
        <v>575</v>
      </c>
      <c r="W583" s="114"/>
      <c r="X583" s="114"/>
      <c r="Y583" s="224" t="e">
        <f>'Matriz POA 2024-TRABAJO'!#REF!</f>
        <v>#REF!</v>
      </c>
      <c r="Z583" s="224" t="e">
        <f>'Matriz POA 2024-TRABAJO'!#REF!</f>
        <v>#REF!</v>
      </c>
      <c r="AA583" s="224" t="e">
        <f>'Matriz POA 2024-TRABAJO'!#REF!</f>
        <v>#REF!</v>
      </c>
      <c r="AB583" s="279">
        <v>0</v>
      </c>
      <c r="AC583" s="279">
        <v>0</v>
      </c>
      <c r="AD583" s="279">
        <v>1676</v>
      </c>
      <c r="AE583" s="279">
        <v>1676</v>
      </c>
      <c r="AF583" s="279">
        <v>1676</v>
      </c>
      <c r="AG583" s="279">
        <v>1676</v>
      </c>
      <c r="AH583" s="279">
        <v>1676</v>
      </c>
      <c r="AI583" s="279">
        <v>1676</v>
      </c>
      <c r="AJ583" s="279">
        <v>1676</v>
      </c>
      <c r="AK583" s="279">
        <v>1676</v>
      </c>
      <c r="AL583" s="279">
        <v>1676</v>
      </c>
      <c r="AM583" s="279">
        <v>2120.56</v>
      </c>
      <c r="AN583" s="224" t="e">
        <f>SUM(#REF!)</f>
        <v>#REF!</v>
      </c>
      <c r="AO583" s="224">
        <f t="shared" si="73"/>
        <v>17204.560000000001</v>
      </c>
      <c r="AP583" s="224" t="e">
        <f t="shared" si="79"/>
        <v>#REF!</v>
      </c>
      <c r="AQ583" s="224"/>
      <c r="AR583" s="224"/>
      <c r="AS583" s="224"/>
      <c r="AT583" s="224" t="str">
        <f>IFERROR(VLOOKUP($A583,'Constancias POA'!$A$2:$DH$9993,17,FALSE),"")</f>
        <v/>
      </c>
      <c r="AU583" s="224" t="str">
        <f t="shared" si="74"/>
        <v/>
      </c>
      <c r="AV583" s="224" t="str">
        <f>IFERROR(VLOOKUP($A583,CP!$A$1:$U$7992,18,FALSE),"")</f>
        <v/>
      </c>
      <c r="AW583" s="224" t="str">
        <f>IFERROR(VLOOKUP($A583,CP!$A$1:$U$7992,19,FALSE),"")</f>
        <v/>
      </c>
      <c r="AX583" s="224" t="str">
        <f>IFERROR(VLOOKUP($A583,CP!$A$1:$U$7992,20,FALSE),"")</f>
        <v/>
      </c>
      <c r="AY583" s="224" t="str">
        <f>IFERROR(VLOOKUP($A583,CP!$A$1:$U$1,21,FALSE),"")</f>
        <v/>
      </c>
      <c r="AZ583" s="224" t="str">
        <f>IFERROR(VLOOKUP(A583,Devengado!$A$1:AJ1,35,FALSE),"")</f>
        <v/>
      </c>
      <c r="BA583" s="224" t="str">
        <f t="shared" si="75"/>
        <v/>
      </c>
      <c r="BB583" s="224" t="str">
        <f>IFERROR(AZ583/#REF!,"")</f>
        <v/>
      </c>
      <c r="BC583" s="224" t="str">
        <f>IFERROR(VLOOKUP($A583,Devengado!$A$1:$AI$1,22,FALSE),"")</f>
        <v/>
      </c>
      <c r="BD583" s="224" t="str">
        <f>IFERROR(VLOOKUP($A583,Devengado!$A$1:$AI$1,23,FALSE),"")</f>
        <v/>
      </c>
      <c r="BE583" s="224" t="str">
        <f>IFERROR(VLOOKUP($A583,Devengado!$A$1:$AI$1,24,FALSE),"")</f>
        <v/>
      </c>
      <c r="BF583" s="224" t="str">
        <f>IFERROR(VLOOKUP($A583,Devengado!$A$1:$AI$1,25,FALSE),"")</f>
        <v/>
      </c>
      <c r="BG583" s="224" t="str">
        <f>IFERROR(VLOOKUP($A583,Devengado!$A$1:$AI$1,26,FALSE),"")</f>
        <v/>
      </c>
      <c r="BH583" s="224" t="str">
        <f>IFERROR(VLOOKUP($A583,Devengado!$A$1:$AI$1,27,FALSE),"")</f>
        <v/>
      </c>
      <c r="BI583" s="224" t="str">
        <f>IFERROR(VLOOKUP($A583,Devengado!$A$1:$AI$1,28,FALSE),"")</f>
        <v/>
      </c>
      <c r="BJ583" s="224" t="str">
        <f>IFERROR(VLOOKUP($A583,Devengado!$A$1:$AI$1,29,FALSE),"")</f>
        <v/>
      </c>
      <c r="BK583" s="224" t="str">
        <f>IFERROR(VLOOKUP($A583,Devengado!$A$1:$AI$1,30,FALSE),"")</f>
        <v/>
      </c>
      <c r="BL583" s="224" t="str">
        <f>IFERROR(VLOOKUP($A583,Devengado!$A$1:$AI$1,31,FALSE),"")</f>
        <v/>
      </c>
      <c r="BM583" s="224" t="str">
        <f>IFERROR(VLOOKUP($A583,Devengado!$A$1:$AI$1,32,FALSE),"")</f>
        <v/>
      </c>
      <c r="BN583" s="224" t="str">
        <f>IFERROR(VLOOKUP($A583,Devengado!$A$1:$AI$1,33,FALSE),"")</f>
        <v/>
      </c>
      <c r="BO583" s="224">
        <f t="shared" si="76"/>
        <v>0</v>
      </c>
      <c r="BP583" s="224" t="str">
        <f t="shared" si="77"/>
        <v/>
      </c>
      <c r="BQ583" s="207"/>
      <c r="BR583" s="207" t="str">
        <f t="shared" si="78"/>
        <v>73</v>
      </c>
    </row>
    <row r="584" spans="1:70" s="225" customFormat="1" ht="25.5" customHeight="1">
      <c r="A584" s="207">
        <v>580</v>
      </c>
      <c r="B584" s="119" t="s">
        <v>73</v>
      </c>
      <c r="C584" s="119" t="s">
        <v>77</v>
      </c>
      <c r="D584" s="112" t="s">
        <v>176</v>
      </c>
      <c r="E584" s="112" t="s">
        <v>569</v>
      </c>
      <c r="F584" s="132" t="s">
        <v>576</v>
      </c>
      <c r="G584" s="112" t="s">
        <v>577</v>
      </c>
      <c r="H584" s="112" t="s">
        <v>578</v>
      </c>
      <c r="I584" s="112" t="s">
        <v>579</v>
      </c>
      <c r="J584" s="112" t="s">
        <v>580</v>
      </c>
      <c r="K584" s="207"/>
      <c r="L584" s="112" t="s">
        <v>85</v>
      </c>
      <c r="M584" s="112" t="s">
        <v>581</v>
      </c>
      <c r="N584" s="118">
        <v>9999</v>
      </c>
      <c r="O584" s="118" t="s">
        <v>132</v>
      </c>
      <c r="P584" s="114" t="s">
        <v>582</v>
      </c>
      <c r="Q584" s="114" t="s">
        <v>82</v>
      </c>
      <c r="R584" s="115" t="str">
        <f t="shared" si="72"/>
        <v>73</v>
      </c>
      <c r="S584" s="112">
        <v>730601</v>
      </c>
      <c r="T584" s="122" t="e">
        <f>VLOOKUP(S584,ITEM!$C$1:$D$156,2,FALSE)</f>
        <v>#N/A</v>
      </c>
      <c r="U584" s="114">
        <v>1701</v>
      </c>
      <c r="V584" s="114" t="s">
        <v>575</v>
      </c>
      <c r="W584" s="114"/>
      <c r="X584" s="114"/>
      <c r="Y584" s="224" t="e">
        <f>'Matriz POA 2024-TRABAJO'!#REF!</f>
        <v>#REF!</v>
      </c>
      <c r="Z584" s="224" t="e">
        <f>'Matriz POA 2024-TRABAJO'!#REF!</f>
        <v>#REF!</v>
      </c>
      <c r="AA584" s="224" t="e">
        <f>'Matriz POA 2024-TRABAJO'!#REF!</f>
        <v>#REF!</v>
      </c>
      <c r="AB584" s="279">
        <v>0</v>
      </c>
      <c r="AC584" s="279">
        <v>0</v>
      </c>
      <c r="AD584" s="279">
        <v>0</v>
      </c>
      <c r="AE584" s="279">
        <v>0</v>
      </c>
      <c r="AF584" s="279">
        <v>0</v>
      </c>
      <c r="AG584" s="279">
        <v>0</v>
      </c>
      <c r="AH584" s="279">
        <v>0</v>
      </c>
      <c r="AI584" s="279">
        <v>0</v>
      </c>
      <c r="AJ584" s="279">
        <v>0</v>
      </c>
      <c r="AK584" s="279">
        <v>0</v>
      </c>
      <c r="AL584" s="279">
        <v>0</v>
      </c>
      <c r="AM584" s="279">
        <v>0</v>
      </c>
      <c r="AN584" s="224" t="e">
        <f>SUM(#REF!)</f>
        <v>#REF!</v>
      </c>
      <c r="AO584" s="224">
        <f t="shared" si="73"/>
        <v>0</v>
      </c>
      <c r="AP584" s="224" t="e">
        <f t="shared" si="79"/>
        <v>#REF!</v>
      </c>
      <c r="AQ584" s="224"/>
      <c r="AR584" s="224"/>
      <c r="AS584" s="224"/>
      <c r="AT584" s="224" t="str">
        <f>IFERROR(VLOOKUP($A584,'Constancias POA'!$A$2:$DH$9993,17,FALSE),"")</f>
        <v/>
      </c>
      <c r="AU584" s="224" t="str">
        <f t="shared" si="74"/>
        <v/>
      </c>
      <c r="AV584" s="224" t="str">
        <f>IFERROR(VLOOKUP($A584,CP!$A$1:$U$7992,18,FALSE),"")</f>
        <v/>
      </c>
      <c r="AW584" s="224" t="str">
        <f>IFERROR(VLOOKUP($A584,CP!$A$1:$U$7992,19,FALSE),"")</f>
        <v/>
      </c>
      <c r="AX584" s="224" t="str">
        <f>IFERROR(VLOOKUP($A584,CP!$A$1:$U$7992,20,FALSE),"")</f>
        <v/>
      </c>
      <c r="AY584" s="224" t="str">
        <f>IFERROR(VLOOKUP($A584,CP!$A$1:$U$1,21,FALSE),"")</f>
        <v/>
      </c>
      <c r="AZ584" s="224" t="str">
        <f>IFERROR(VLOOKUP(A584,Devengado!$A$1:AJ1,35,FALSE),"")</f>
        <v/>
      </c>
      <c r="BA584" s="224" t="str">
        <f t="shared" si="75"/>
        <v/>
      </c>
      <c r="BB584" s="224" t="str">
        <f>IFERROR(AZ584/#REF!,"")</f>
        <v/>
      </c>
      <c r="BC584" s="224" t="str">
        <f>IFERROR(VLOOKUP($A584,Devengado!$A$1:$AI$1,22,FALSE),"")</f>
        <v/>
      </c>
      <c r="BD584" s="224" t="str">
        <f>IFERROR(VLOOKUP($A584,Devengado!$A$1:$AI$1,23,FALSE),"")</f>
        <v/>
      </c>
      <c r="BE584" s="224" t="str">
        <f>IFERROR(VLOOKUP($A584,Devengado!$A$1:$AI$1,24,FALSE),"")</f>
        <v/>
      </c>
      <c r="BF584" s="224" t="str">
        <f>IFERROR(VLOOKUP($A584,Devengado!$A$1:$AI$1,25,FALSE),"")</f>
        <v/>
      </c>
      <c r="BG584" s="224" t="str">
        <f>IFERROR(VLOOKUP($A584,Devengado!$A$1:$AI$1,26,FALSE),"")</f>
        <v/>
      </c>
      <c r="BH584" s="224" t="str">
        <f>IFERROR(VLOOKUP($A584,Devengado!$A$1:$AI$1,27,FALSE),"")</f>
        <v/>
      </c>
      <c r="BI584" s="224" t="str">
        <f>IFERROR(VLOOKUP($A584,Devengado!$A$1:$AI$1,28,FALSE),"")</f>
        <v/>
      </c>
      <c r="BJ584" s="224" t="str">
        <f>IFERROR(VLOOKUP($A584,Devengado!$A$1:$AI$1,29,FALSE),"")</f>
        <v/>
      </c>
      <c r="BK584" s="224" t="str">
        <f>IFERROR(VLOOKUP($A584,Devengado!$A$1:$AI$1,30,FALSE),"")</f>
        <v/>
      </c>
      <c r="BL584" s="224" t="str">
        <f>IFERROR(VLOOKUP($A584,Devengado!$A$1:$AI$1,31,FALSE),"")</f>
        <v/>
      </c>
      <c r="BM584" s="224" t="str">
        <f>IFERROR(VLOOKUP($A584,Devengado!$A$1:$AI$1,32,FALSE),"")</f>
        <v/>
      </c>
      <c r="BN584" s="224" t="str">
        <f>IFERROR(VLOOKUP($A584,Devengado!$A$1:$AI$1,33,FALSE),"")</f>
        <v/>
      </c>
      <c r="BO584" s="224">
        <f t="shared" si="76"/>
        <v>0</v>
      </c>
      <c r="BP584" s="224" t="str">
        <f t="shared" si="77"/>
        <v/>
      </c>
      <c r="BQ584" s="207"/>
      <c r="BR584" s="207" t="str">
        <f t="shared" si="78"/>
        <v>73</v>
      </c>
    </row>
    <row r="585" spans="1:70" s="225" customFormat="1" ht="25.5" customHeight="1">
      <c r="A585" s="207">
        <v>581</v>
      </c>
      <c r="B585" s="119" t="s">
        <v>73</v>
      </c>
      <c r="C585" s="119" t="s">
        <v>77</v>
      </c>
      <c r="D585" s="112" t="s">
        <v>176</v>
      </c>
      <c r="E585" s="112" t="s">
        <v>569</v>
      </c>
      <c r="F585" s="132" t="s">
        <v>576</v>
      </c>
      <c r="G585" s="112" t="s">
        <v>577</v>
      </c>
      <c r="H585" s="112" t="s">
        <v>578</v>
      </c>
      <c r="I585" s="112" t="s">
        <v>579</v>
      </c>
      <c r="J585" s="112" t="s">
        <v>583</v>
      </c>
      <c r="K585" s="207"/>
      <c r="L585" s="112" t="s">
        <v>85</v>
      </c>
      <c r="M585" s="112" t="s">
        <v>584</v>
      </c>
      <c r="N585" s="118">
        <v>9999</v>
      </c>
      <c r="O585" s="118" t="s">
        <v>132</v>
      </c>
      <c r="P585" s="114" t="s">
        <v>582</v>
      </c>
      <c r="Q585" s="114" t="s">
        <v>82</v>
      </c>
      <c r="R585" s="115" t="str">
        <f t="shared" si="72"/>
        <v>71</v>
      </c>
      <c r="S585" s="112">
        <v>710510</v>
      </c>
      <c r="T585" s="122" t="e">
        <f>VLOOKUP(S585,ITEM!$C$1:$D$156,2,FALSE)</f>
        <v>#N/A</v>
      </c>
      <c r="U585" s="114" t="s">
        <v>190</v>
      </c>
      <c r="V585" s="114" t="s">
        <v>575</v>
      </c>
      <c r="W585" s="114"/>
      <c r="X585" s="114"/>
      <c r="Y585" s="224" t="e">
        <f>'Matriz POA 2024-TRABAJO'!#REF!</f>
        <v>#REF!</v>
      </c>
      <c r="Z585" s="224" t="e">
        <f>'Matriz POA 2024-TRABAJO'!#REF!</f>
        <v>#REF!</v>
      </c>
      <c r="AA585" s="224" t="e">
        <f>'Matriz POA 2024-TRABAJO'!#REF!</f>
        <v>#REF!</v>
      </c>
      <c r="AB585" s="279"/>
      <c r="AC585" s="279"/>
      <c r="AD585" s="279"/>
      <c r="AE585" s="279"/>
      <c r="AF585" s="279"/>
      <c r="AG585" s="279"/>
      <c r="AH585" s="279"/>
      <c r="AI585" s="279"/>
      <c r="AJ585" s="279"/>
      <c r="AK585" s="279"/>
      <c r="AL585" s="279"/>
      <c r="AM585" s="279">
        <v>13332</v>
      </c>
      <c r="AN585" s="224" t="e">
        <f>SUM(#REF!)</f>
        <v>#REF!</v>
      </c>
      <c r="AO585" s="224">
        <f t="shared" si="73"/>
        <v>13332</v>
      </c>
      <c r="AP585" s="224" t="e">
        <f t="shared" si="79"/>
        <v>#REF!</v>
      </c>
      <c r="AQ585" s="224"/>
      <c r="AR585" s="224"/>
      <c r="AS585" s="224"/>
      <c r="AT585" s="224" t="str">
        <f>IFERROR(VLOOKUP($A585,'Constancias POA'!$A$2:$DH$9993,17,FALSE),"")</f>
        <v/>
      </c>
      <c r="AU585" s="224" t="str">
        <f t="shared" si="74"/>
        <v/>
      </c>
      <c r="AV585" s="224" t="str">
        <f>IFERROR(VLOOKUP($A585,CP!$A$1:$U$7992,18,FALSE),"")</f>
        <v/>
      </c>
      <c r="AW585" s="224" t="str">
        <f>IFERROR(VLOOKUP($A585,CP!$A$1:$U$7992,19,FALSE),"")</f>
        <v/>
      </c>
      <c r="AX585" s="224" t="str">
        <f>IFERROR(VLOOKUP($A585,CP!$A$1:$U$7992,20,FALSE),"")</f>
        <v/>
      </c>
      <c r="AY585" s="224" t="str">
        <f>IFERROR(VLOOKUP($A585,CP!$A$1:$U$1,21,FALSE),"")</f>
        <v/>
      </c>
      <c r="AZ585" s="224" t="str">
        <f>IFERROR(VLOOKUP(A585,Devengado!$A$1:AJ1,35,FALSE),"")</f>
        <v/>
      </c>
      <c r="BA585" s="224" t="str">
        <f t="shared" si="75"/>
        <v/>
      </c>
      <c r="BB585" s="224" t="str">
        <f>IFERROR(AZ585/#REF!,"")</f>
        <v/>
      </c>
      <c r="BC585" s="224" t="str">
        <f>IFERROR(VLOOKUP($A585,Devengado!$A$1:$AI$1,22,FALSE),"")</f>
        <v/>
      </c>
      <c r="BD585" s="224" t="str">
        <f>IFERROR(VLOOKUP($A585,Devengado!$A$1:$AI$1,23,FALSE),"")</f>
        <v/>
      </c>
      <c r="BE585" s="224" t="str">
        <f>IFERROR(VLOOKUP($A585,Devengado!$A$1:$AI$1,24,FALSE),"")</f>
        <v/>
      </c>
      <c r="BF585" s="224" t="str">
        <f>IFERROR(VLOOKUP($A585,Devengado!$A$1:$AI$1,25,FALSE),"")</f>
        <v/>
      </c>
      <c r="BG585" s="224" t="str">
        <f>IFERROR(VLOOKUP($A585,Devengado!$A$1:$AI$1,26,FALSE),"")</f>
        <v/>
      </c>
      <c r="BH585" s="224" t="str">
        <f>IFERROR(VLOOKUP($A585,Devengado!$A$1:$AI$1,27,FALSE),"")</f>
        <v/>
      </c>
      <c r="BI585" s="224" t="str">
        <f>IFERROR(VLOOKUP($A585,Devengado!$A$1:$AI$1,28,FALSE),"")</f>
        <v/>
      </c>
      <c r="BJ585" s="224" t="str">
        <f>IFERROR(VLOOKUP($A585,Devengado!$A$1:$AI$1,29,FALSE),"")</f>
        <v/>
      </c>
      <c r="BK585" s="224" t="str">
        <f>IFERROR(VLOOKUP($A585,Devengado!$A$1:$AI$1,30,FALSE),"")</f>
        <v/>
      </c>
      <c r="BL585" s="224" t="str">
        <f>IFERROR(VLOOKUP($A585,Devengado!$A$1:$AI$1,31,FALSE),"")</f>
        <v/>
      </c>
      <c r="BM585" s="224" t="str">
        <f>IFERROR(VLOOKUP($A585,Devengado!$A$1:$AI$1,32,FALSE),"")</f>
        <v/>
      </c>
      <c r="BN585" s="224" t="str">
        <f>IFERROR(VLOOKUP($A585,Devengado!$A$1:$AI$1,33,FALSE),"")</f>
        <v/>
      </c>
      <c r="BO585" s="224">
        <f t="shared" si="76"/>
        <v>0</v>
      </c>
      <c r="BP585" s="224" t="str">
        <f t="shared" si="77"/>
        <v/>
      </c>
      <c r="BQ585" s="207"/>
      <c r="BR585" s="207" t="str">
        <f t="shared" si="78"/>
        <v>71</v>
      </c>
    </row>
    <row r="586" spans="1:70" s="225" customFormat="1" ht="25.5" customHeight="1">
      <c r="A586" s="207">
        <v>582</v>
      </c>
      <c r="B586" s="119" t="s">
        <v>73</v>
      </c>
      <c r="C586" s="119" t="s">
        <v>77</v>
      </c>
      <c r="D586" s="112" t="s">
        <v>176</v>
      </c>
      <c r="E586" s="112" t="s">
        <v>569</v>
      </c>
      <c r="F586" s="132" t="s">
        <v>576</v>
      </c>
      <c r="G586" s="112" t="s">
        <v>577</v>
      </c>
      <c r="H586" s="112" t="s">
        <v>578</v>
      </c>
      <c r="I586" s="112" t="s">
        <v>579</v>
      </c>
      <c r="J586" s="112" t="s">
        <v>583</v>
      </c>
      <c r="K586" s="207"/>
      <c r="L586" s="112" t="s">
        <v>85</v>
      </c>
      <c r="M586" s="112" t="s">
        <v>584</v>
      </c>
      <c r="N586" s="118">
        <v>9999</v>
      </c>
      <c r="O586" s="118" t="s">
        <v>132</v>
      </c>
      <c r="P586" s="114" t="s">
        <v>582</v>
      </c>
      <c r="Q586" s="114" t="s">
        <v>82</v>
      </c>
      <c r="R586" s="115" t="str">
        <f t="shared" si="72"/>
        <v>71</v>
      </c>
      <c r="S586" s="112">
        <v>710203</v>
      </c>
      <c r="T586" s="122" t="e">
        <f>VLOOKUP(S586,ITEM!$C$1:$D$156,2,FALSE)</f>
        <v>#N/A</v>
      </c>
      <c r="U586" s="114" t="s">
        <v>190</v>
      </c>
      <c r="V586" s="114" t="s">
        <v>575</v>
      </c>
      <c r="W586" s="114"/>
      <c r="X586" s="114"/>
      <c r="Y586" s="224" t="e">
        <f>'Matriz POA 2024-TRABAJO'!#REF!</f>
        <v>#REF!</v>
      </c>
      <c r="Z586" s="224" t="e">
        <f>'Matriz POA 2024-TRABAJO'!#REF!</f>
        <v>#REF!</v>
      </c>
      <c r="AA586" s="224" t="e">
        <f>'Matriz POA 2024-TRABAJO'!#REF!</f>
        <v>#REF!</v>
      </c>
      <c r="AB586" s="279"/>
      <c r="AC586" s="279"/>
      <c r="AD586" s="279"/>
      <c r="AE586" s="279"/>
      <c r="AF586" s="279"/>
      <c r="AG586" s="279"/>
      <c r="AH586" s="279"/>
      <c r="AI586" s="279"/>
      <c r="AJ586" s="279"/>
      <c r="AK586" s="279"/>
      <c r="AL586" s="279"/>
      <c r="AM586" s="279">
        <v>1111</v>
      </c>
      <c r="AN586" s="224" t="e">
        <f>SUM(#REF!)</f>
        <v>#REF!</v>
      </c>
      <c r="AO586" s="224">
        <f t="shared" si="73"/>
        <v>1111</v>
      </c>
      <c r="AP586" s="224" t="e">
        <f t="shared" si="79"/>
        <v>#REF!</v>
      </c>
      <c r="AQ586" s="224"/>
      <c r="AR586" s="224"/>
      <c r="AS586" s="224"/>
      <c r="AT586" s="224" t="str">
        <f>IFERROR(VLOOKUP($A586,'Constancias POA'!$A$2:$DH$9993,17,FALSE),"")</f>
        <v/>
      </c>
      <c r="AU586" s="224" t="str">
        <f t="shared" si="74"/>
        <v/>
      </c>
      <c r="AV586" s="224" t="str">
        <f>IFERROR(VLOOKUP($A586,CP!$A$1:$U$7992,18,FALSE),"")</f>
        <v/>
      </c>
      <c r="AW586" s="224" t="str">
        <f>IFERROR(VLOOKUP($A586,CP!$A$1:$U$7992,19,FALSE),"")</f>
        <v/>
      </c>
      <c r="AX586" s="224" t="str">
        <f>IFERROR(VLOOKUP($A586,CP!$A$1:$U$7992,20,FALSE),"")</f>
        <v/>
      </c>
      <c r="AY586" s="224" t="str">
        <f>IFERROR(VLOOKUP($A586,CP!$A$1:$U$1,21,FALSE),"")</f>
        <v/>
      </c>
      <c r="AZ586" s="224" t="str">
        <f>IFERROR(VLOOKUP(A586,Devengado!$A$1:AJ1,35,FALSE),"")</f>
        <v/>
      </c>
      <c r="BA586" s="224" t="str">
        <f t="shared" si="75"/>
        <v/>
      </c>
      <c r="BB586" s="224" t="str">
        <f>IFERROR(AZ586/#REF!,"")</f>
        <v/>
      </c>
      <c r="BC586" s="224" t="str">
        <f>IFERROR(VLOOKUP($A586,Devengado!$A$1:$AI$1,22,FALSE),"")</f>
        <v/>
      </c>
      <c r="BD586" s="224" t="str">
        <f>IFERROR(VLOOKUP($A586,Devengado!$A$1:$AI$1,23,FALSE),"")</f>
        <v/>
      </c>
      <c r="BE586" s="224" t="str">
        <f>IFERROR(VLOOKUP($A586,Devengado!$A$1:$AI$1,24,FALSE),"")</f>
        <v/>
      </c>
      <c r="BF586" s="224" t="str">
        <f>IFERROR(VLOOKUP($A586,Devengado!$A$1:$AI$1,25,FALSE),"")</f>
        <v/>
      </c>
      <c r="BG586" s="224" t="str">
        <f>IFERROR(VLOOKUP($A586,Devengado!$A$1:$AI$1,26,FALSE),"")</f>
        <v/>
      </c>
      <c r="BH586" s="224" t="str">
        <f>IFERROR(VLOOKUP($A586,Devengado!$A$1:$AI$1,27,FALSE),"")</f>
        <v/>
      </c>
      <c r="BI586" s="224" t="str">
        <f>IFERROR(VLOOKUP($A586,Devengado!$A$1:$AI$1,28,FALSE),"")</f>
        <v/>
      </c>
      <c r="BJ586" s="224" t="str">
        <f>IFERROR(VLOOKUP($A586,Devengado!$A$1:$AI$1,29,FALSE),"")</f>
        <v/>
      </c>
      <c r="BK586" s="224" t="str">
        <f>IFERROR(VLOOKUP($A586,Devengado!$A$1:$AI$1,30,FALSE),"")</f>
        <v/>
      </c>
      <c r="BL586" s="224" t="str">
        <f>IFERROR(VLOOKUP($A586,Devengado!$A$1:$AI$1,31,FALSE),"")</f>
        <v/>
      </c>
      <c r="BM586" s="224" t="str">
        <f>IFERROR(VLOOKUP($A586,Devengado!$A$1:$AI$1,32,FALSE),"")</f>
        <v/>
      </c>
      <c r="BN586" s="224" t="str">
        <f>IFERROR(VLOOKUP($A586,Devengado!$A$1:$AI$1,33,FALSE),"")</f>
        <v/>
      </c>
      <c r="BO586" s="224">
        <f t="shared" si="76"/>
        <v>0</v>
      </c>
      <c r="BP586" s="224" t="str">
        <f t="shared" si="77"/>
        <v/>
      </c>
      <c r="BQ586" s="207"/>
      <c r="BR586" s="207" t="str">
        <f t="shared" si="78"/>
        <v>71</v>
      </c>
    </row>
    <row r="587" spans="1:70" s="225" customFormat="1" ht="25.5" customHeight="1">
      <c r="A587" s="207">
        <v>583</v>
      </c>
      <c r="B587" s="119" t="s">
        <v>73</v>
      </c>
      <c r="C587" s="119" t="s">
        <v>77</v>
      </c>
      <c r="D587" s="112" t="s">
        <v>176</v>
      </c>
      <c r="E587" s="112" t="s">
        <v>569</v>
      </c>
      <c r="F587" s="132" t="s">
        <v>576</v>
      </c>
      <c r="G587" s="112" t="s">
        <v>577</v>
      </c>
      <c r="H587" s="112" t="s">
        <v>578</v>
      </c>
      <c r="I587" s="112" t="s">
        <v>579</v>
      </c>
      <c r="J587" s="112" t="s">
        <v>583</v>
      </c>
      <c r="K587" s="207"/>
      <c r="L587" s="112" t="s">
        <v>85</v>
      </c>
      <c r="M587" s="112" t="s">
        <v>584</v>
      </c>
      <c r="N587" s="118">
        <v>9999</v>
      </c>
      <c r="O587" s="118" t="s">
        <v>132</v>
      </c>
      <c r="P587" s="114" t="s">
        <v>582</v>
      </c>
      <c r="Q587" s="114" t="s">
        <v>82</v>
      </c>
      <c r="R587" s="115" t="str">
        <f t="shared" si="72"/>
        <v>71</v>
      </c>
      <c r="S587" s="112">
        <v>710204</v>
      </c>
      <c r="T587" s="122" t="e">
        <f>VLOOKUP(S587,ITEM!$C$1:$D$156,2,FALSE)</f>
        <v>#N/A</v>
      </c>
      <c r="U587" s="114" t="s">
        <v>190</v>
      </c>
      <c r="V587" s="114" t="s">
        <v>575</v>
      </c>
      <c r="W587" s="114"/>
      <c r="X587" s="114"/>
      <c r="Y587" s="224" t="e">
        <f>'Matriz POA 2024-TRABAJO'!#REF!</f>
        <v>#REF!</v>
      </c>
      <c r="Z587" s="224" t="e">
        <f>'Matriz POA 2024-TRABAJO'!#REF!</f>
        <v>#REF!</v>
      </c>
      <c r="AA587" s="224" t="e">
        <f>'Matriz POA 2024-TRABAJO'!#REF!</f>
        <v>#REF!</v>
      </c>
      <c r="AB587" s="279"/>
      <c r="AC587" s="279"/>
      <c r="AD587" s="279"/>
      <c r="AE587" s="279"/>
      <c r="AF587" s="279"/>
      <c r="AG587" s="279"/>
      <c r="AH587" s="279"/>
      <c r="AI587" s="279"/>
      <c r="AJ587" s="279"/>
      <c r="AK587" s="279"/>
      <c r="AL587" s="279"/>
      <c r="AM587" s="279">
        <v>412.5</v>
      </c>
      <c r="AN587" s="224" t="e">
        <f>SUM(#REF!)</f>
        <v>#REF!</v>
      </c>
      <c r="AO587" s="224">
        <f t="shared" si="73"/>
        <v>412.5</v>
      </c>
      <c r="AP587" s="224" t="e">
        <f t="shared" si="79"/>
        <v>#REF!</v>
      </c>
      <c r="AQ587" s="224"/>
      <c r="AR587" s="224"/>
      <c r="AS587" s="224"/>
      <c r="AT587" s="224" t="str">
        <f>IFERROR(VLOOKUP($A587,'Constancias POA'!$A$2:$DH$9993,17,FALSE),"")</f>
        <v/>
      </c>
      <c r="AU587" s="224" t="str">
        <f t="shared" si="74"/>
        <v/>
      </c>
      <c r="AV587" s="224" t="str">
        <f>IFERROR(VLOOKUP($A587,CP!$A$1:$U$7992,18,FALSE),"")</f>
        <v/>
      </c>
      <c r="AW587" s="224" t="str">
        <f>IFERROR(VLOOKUP($A587,CP!$A$1:$U$7992,19,FALSE),"")</f>
        <v/>
      </c>
      <c r="AX587" s="224" t="str">
        <f>IFERROR(VLOOKUP($A587,CP!$A$1:$U$7992,20,FALSE),"")</f>
        <v/>
      </c>
      <c r="AY587" s="224" t="str">
        <f>IFERROR(VLOOKUP($A587,CP!$A$1:$U$1,21,FALSE),"")</f>
        <v/>
      </c>
      <c r="AZ587" s="224" t="str">
        <f>IFERROR(VLOOKUP(A587,Devengado!$A$1:AJ1,35,FALSE),"")</f>
        <v/>
      </c>
      <c r="BA587" s="224" t="str">
        <f t="shared" si="75"/>
        <v/>
      </c>
      <c r="BB587" s="224" t="str">
        <f>IFERROR(AZ587/#REF!,"")</f>
        <v/>
      </c>
      <c r="BC587" s="224" t="str">
        <f>IFERROR(VLOOKUP($A587,Devengado!$A$1:$AI$1,22,FALSE),"")</f>
        <v/>
      </c>
      <c r="BD587" s="224" t="str">
        <f>IFERROR(VLOOKUP($A587,Devengado!$A$1:$AI$1,23,FALSE),"")</f>
        <v/>
      </c>
      <c r="BE587" s="224" t="str">
        <f>IFERROR(VLOOKUP($A587,Devengado!$A$1:$AI$1,24,FALSE),"")</f>
        <v/>
      </c>
      <c r="BF587" s="224" t="str">
        <f>IFERROR(VLOOKUP($A587,Devengado!$A$1:$AI$1,25,FALSE),"")</f>
        <v/>
      </c>
      <c r="BG587" s="224" t="str">
        <f>IFERROR(VLOOKUP($A587,Devengado!$A$1:$AI$1,26,FALSE),"")</f>
        <v/>
      </c>
      <c r="BH587" s="224" t="str">
        <f>IFERROR(VLOOKUP($A587,Devengado!$A$1:$AI$1,27,FALSE),"")</f>
        <v/>
      </c>
      <c r="BI587" s="224" t="str">
        <f>IFERROR(VLOOKUP($A587,Devengado!$A$1:$AI$1,28,FALSE),"")</f>
        <v/>
      </c>
      <c r="BJ587" s="224" t="str">
        <f>IFERROR(VLOOKUP($A587,Devengado!$A$1:$AI$1,29,FALSE),"")</f>
        <v/>
      </c>
      <c r="BK587" s="224" t="str">
        <f>IFERROR(VLOOKUP($A587,Devengado!$A$1:$AI$1,30,FALSE),"")</f>
        <v/>
      </c>
      <c r="BL587" s="224" t="str">
        <f>IFERROR(VLOOKUP($A587,Devengado!$A$1:$AI$1,31,FALSE),"")</f>
        <v/>
      </c>
      <c r="BM587" s="224" t="str">
        <f>IFERROR(VLOOKUP($A587,Devengado!$A$1:$AI$1,32,FALSE),"")</f>
        <v/>
      </c>
      <c r="BN587" s="224" t="str">
        <f>IFERROR(VLOOKUP($A587,Devengado!$A$1:$AI$1,33,FALSE),"")</f>
        <v/>
      </c>
      <c r="BO587" s="224">
        <f t="shared" si="76"/>
        <v>0</v>
      </c>
      <c r="BP587" s="224" t="str">
        <f t="shared" si="77"/>
        <v/>
      </c>
      <c r="BQ587" s="207"/>
      <c r="BR587" s="207" t="str">
        <f t="shared" si="78"/>
        <v>71</v>
      </c>
    </row>
    <row r="588" spans="1:70" s="225" customFormat="1" ht="25.5" customHeight="1">
      <c r="A588" s="207">
        <v>584</v>
      </c>
      <c r="B588" s="119" t="s">
        <v>73</v>
      </c>
      <c r="C588" s="119" t="s">
        <v>77</v>
      </c>
      <c r="D588" s="112" t="s">
        <v>176</v>
      </c>
      <c r="E588" s="112" t="s">
        <v>569</v>
      </c>
      <c r="F588" s="132" t="s">
        <v>576</v>
      </c>
      <c r="G588" s="112" t="s">
        <v>577</v>
      </c>
      <c r="H588" s="112" t="s">
        <v>578</v>
      </c>
      <c r="I588" s="112" t="s">
        <v>579</v>
      </c>
      <c r="J588" s="112" t="s">
        <v>583</v>
      </c>
      <c r="K588" s="207"/>
      <c r="L588" s="112" t="s">
        <v>85</v>
      </c>
      <c r="M588" s="112" t="s">
        <v>584</v>
      </c>
      <c r="N588" s="118">
        <v>9999</v>
      </c>
      <c r="O588" s="118" t="s">
        <v>132</v>
      </c>
      <c r="P588" s="114" t="s">
        <v>582</v>
      </c>
      <c r="Q588" s="114" t="s">
        <v>82</v>
      </c>
      <c r="R588" s="115" t="str">
        <f t="shared" si="72"/>
        <v>71</v>
      </c>
      <c r="S588" s="112">
        <v>710601</v>
      </c>
      <c r="T588" s="122" t="e">
        <f>VLOOKUP(S588,ITEM!$C$1:$D$156,2,FALSE)</f>
        <v>#N/A</v>
      </c>
      <c r="U588" s="114" t="s">
        <v>190</v>
      </c>
      <c r="V588" s="114" t="s">
        <v>575</v>
      </c>
      <c r="W588" s="114"/>
      <c r="X588" s="114"/>
      <c r="Y588" s="224" t="e">
        <f>'Matriz POA 2024-TRABAJO'!#REF!</f>
        <v>#REF!</v>
      </c>
      <c r="Z588" s="224" t="e">
        <f>'Matriz POA 2024-TRABAJO'!#REF!</f>
        <v>#REF!</v>
      </c>
      <c r="AA588" s="224" t="e">
        <f>'Matriz POA 2024-TRABAJO'!#REF!</f>
        <v>#REF!</v>
      </c>
      <c r="AB588" s="279"/>
      <c r="AC588" s="279"/>
      <c r="AD588" s="279"/>
      <c r="AE588" s="279"/>
      <c r="AF588" s="279"/>
      <c r="AG588" s="279"/>
      <c r="AH588" s="279"/>
      <c r="AI588" s="279"/>
      <c r="AJ588" s="279"/>
      <c r="AK588" s="279"/>
      <c r="AL588" s="279"/>
      <c r="AM588" s="279">
        <v>1286.56</v>
      </c>
      <c r="AN588" s="224" t="e">
        <f>SUM(#REF!)</f>
        <v>#REF!</v>
      </c>
      <c r="AO588" s="224">
        <f t="shared" si="73"/>
        <v>1286.56</v>
      </c>
      <c r="AP588" s="224" t="e">
        <f t="shared" si="79"/>
        <v>#REF!</v>
      </c>
      <c r="AQ588" s="224"/>
      <c r="AR588" s="224"/>
      <c r="AS588" s="224"/>
      <c r="AT588" s="224" t="str">
        <f>IFERROR(VLOOKUP($A588,'Constancias POA'!$A$2:$DH$9993,17,FALSE),"")</f>
        <v/>
      </c>
      <c r="AU588" s="224" t="str">
        <f t="shared" si="74"/>
        <v/>
      </c>
      <c r="AV588" s="224" t="str">
        <f>IFERROR(VLOOKUP($A588,CP!$A$1:$U$7992,18,FALSE),"")</f>
        <v/>
      </c>
      <c r="AW588" s="224" t="str">
        <f>IFERROR(VLOOKUP($A588,CP!$A$1:$U$7992,19,FALSE),"")</f>
        <v/>
      </c>
      <c r="AX588" s="224" t="str">
        <f>IFERROR(VLOOKUP($A588,CP!$A$1:$U$7992,20,FALSE),"")</f>
        <v/>
      </c>
      <c r="AY588" s="224" t="str">
        <f>IFERROR(VLOOKUP($A588,CP!$A$1:$U$1,21,FALSE),"")</f>
        <v/>
      </c>
      <c r="AZ588" s="224" t="str">
        <f>IFERROR(VLOOKUP(A588,Devengado!$A$1:AJ1,35,FALSE),"")</f>
        <v/>
      </c>
      <c r="BA588" s="224" t="str">
        <f t="shared" si="75"/>
        <v/>
      </c>
      <c r="BB588" s="224" t="str">
        <f>IFERROR(AZ588/#REF!,"")</f>
        <v/>
      </c>
      <c r="BC588" s="224" t="str">
        <f>IFERROR(VLOOKUP($A588,Devengado!$A$1:$AI$1,22,FALSE),"")</f>
        <v/>
      </c>
      <c r="BD588" s="224" t="str">
        <f>IFERROR(VLOOKUP($A588,Devengado!$A$1:$AI$1,23,FALSE),"")</f>
        <v/>
      </c>
      <c r="BE588" s="224" t="str">
        <f>IFERROR(VLOOKUP($A588,Devengado!$A$1:$AI$1,24,FALSE),"")</f>
        <v/>
      </c>
      <c r="BF588" s="224" t="str">
        <f>IFERROR(VLOOKUP($A588,Devengado!$A$1:$AI$1,25,FALSE),"")</f>
        <v/>
      </c>
      <c r="BG588" s="224" t="str">
        <f>IFERROR(VLOOKUP($A588,Devengado!$A$1:$AI$1,26,FALSE),"")</f>
        <v/>
      </c>
      <c r="BH588" s="224" t="str">
        <f>IFERROR(VLOOKUP($A588,Devengado!$A$1:$AI$1,27,FALSE),"")</f>
        <v/>
      </c>
      <c r="BI588" s="224" t="str">
        <f>IFERROR(VLOOKUP($A588,Devengado!$A$1:$AI$1,28,FALSE),"")</f>
        <v/>
      </c>
      <c r="BJ588" s="224" t="str">
        <f>IFERROR(VLOOKUP($A588,Devengado!$A$1:$AI$1,29,FALSE),"")</f>
        <v/>
      </c>
      <c r="BK588" s="224" t="str">
        <f>IFERROR(VLOOKUP($A588,Devengado!$A$1:$AI$1,30,FALSE),"")</f>
        <v/>
      </c>
      <c r="BL588" s="224" t="str">
        <f>IFERROR(VLOOKUP($A588,Devengado!$A$1:$AI$1,31,FALSE),"")</f>
        <v/>
      </c>
      <c r="BM588" s="224" t="str">
        <f>IFERROR(VLOOKUP($A588,Devengado!$A$1:$AI$1,32,FALSE),"")</f>
        <v/>
      </c>
      <c r="BN588" s="224" t="str">
        <f>IFERROR(VLOOKUP($A588,Devengado!$A$1:$AI$1,33,FALSE),"")</f>
        <v/>
      </c>
      <c r="BO588" s="224">
        <f t="shared" si="76"/>
        <v>0</v>
      </c>
      <c r="BP588" s="224" t="str">
        <f t="shared" si="77"/>
        <v/>
      </c>
      <c r="BQ588" s="207"/>
      <c r="BR588" s="207" t="str">
        <f t="shared" si="78"/>
        <v>71</v>
      </c>
    </row>
    <row r="589" spans="1:70" s="225" customFormat="1" ht="25.5" customHeight="1">
      <c r="A589" s="207">
        <v>585</v>
      </c>
      <c r="B589" s="119" t="s">
        <v>73</v>
      </c>
      <c r="C589" s="119" t="s">
        <v>77</v>
      </c>
      <c r="D589" s="112" t="s">
        <v>176</v>
      </c>
      <c r="E589" s="112" t="s">
        <v>569</v>
      </c>
      <c r="F589" s="132" t="s">
        <v>576</v>
      </c>
      <c r="G589" s="112" t="s">
        <v>577</v>
      </c>
      <c r="H589" s="112" t="s">
        <v>578</v>
      </c>
      <c r="I589" s="112" t="s">
        <v>579</v>
      </c>
      <c r="J589" s="112" t="s">
        <v>583</v>
      </c>
      <c r="K589" s="207"/>
      <c r="L589" s="112" t="s">
        <v>85</v>
      </c>
      <c r="M589" s="112" t="s">
        <v>584</v>
      </c>
      <c r="N589" s="118">
        <v>9999</v>
      </c>
      <c r="O589" s="118" t="s">
        <v>132</v>
      </c>
      <c r="P589" s="114" t="s">
        <v>582</v>
      </c>
      <c r="Q589" s="114" t="s">
        <v>82</v>
      </c>
      <c r="R589" s="115" t="str">
        <f t="shared" si="72"/>
        <v>71</v>
      </c>
      <c r="S589" s="112">
        <v>710602</v>
      </c>
      <c r="T589" s="122" t="e">
        <f>VLOOKUP(S589,ITEM!$C$1:$D$156,2,FALSE)</f>
        <v>#N/A</v>
      </c>
      <c r="U589" s="114" t="s">
        <v>190</v>
      </c>
      <c r="V589" s="114" t="s">
        <v>575</v>
      </c>
      <c r="W589" s="114"/>
      <c r="X589" s="114"/>
      <c r="Y589" s="224" t="e">
        <f>'Matriz POA 2024-TRABAJO'!#REF!</f>
        <v>#REF!</v>
      </c>
      <c r="Z589" s="224" t="e">
        <f>'Matriz POA 2024-TRABAJO'!#REF!</f>
        <v>#REF!</v>
      </c>
      <c r="AA589" s="224" t="e">
        <f>'Matriz POA 2024-TRABAJO'!#REF!</f>
        <v>#REF!</v>
      </c>
      <c r="AB589" s="279"/>
      <c r="AC589" s="279"/>
      <c r="AD589" s="279"/>
      <c r="AE589" s="279"/>
      <c r="AF589" s="279"/>
      <c r="AG589" s="279"/>
      <c r="AH589" s="279"/>
      <c r="AI589" s="279"/>
      <c r="AJ589" s="279"/>
      <c r="AK589" s="279"/>
      <c r="AL589" s="279"/>
      <c r="AM589" s="279">
        <v>1110.56</v>
      </c>
      <c r="AN589" s="224" t="e">
        <f>SUM(#REF!)</f>
        <v>#REF!</v>
      </c>
      <c r="AO589" s="224">
        <f t="shared" si="73"/>
        <v>1110.56</v>
      </c>
      <c r="AP589" s="224" t="e">
        <f t="shared" si="79"/>
        <v>#REF!</v>
      </c>
      <c r="AQ589" s="224"/>
      <c r="AR589" s="224"/>
      <c r="AS589" s="224"/>
      <c r="AT589" s="224" t="str">
        <f>IFERROR(VLOOKUP($A589,'Constancias POA'!$A$2:$DH$9993,17,FALSE),"")</f>
        <v/>
      </c>
      <c r="AU589" s="224" t="str">
        <f t="shared" si="74"/>
        <v/>
      </c>
      <c r="AV589" s="224" t="str">
        <f>IFERROR(VLOOKUP($A589,CP!$A$1:$U$7992,18,FALSE),"")</f>
        <v/>
      </c>
      <c r="AW589" s="224" t="str">
        <f>IFERROR(VLOOKUP($A589,CP!$A$1:$U$7992,19,FALSE),"")</f>
        <v/>
      </c>
      <c r="AX589" s="224" t="str">
        <f>IFERROR(VLOOKUP($A589,CP!$A$1:$U$7992,20,FALSE),"")</f>
        <v/>
      </c>
      <c r="AY589" s="224" t="str">
        <f>IFERROR(VLOOKUP($A589,CP!$A$1:$U$1,21,FALSE),"")</f>
        <v/>
      </c>
      <c r="AZ589" s="224" t="str">
        <f>IFERROR(VLOOKUP(A589,Devengado!$A$1:AJ1,35,FALSE),"")</f>
        <v/>
      </c>
      <c r="BA589" s="224" t="str">
        <f t="shared" si="75"/>
        <v/>
      </c>
      <c r="BB589" s="224" t="str">
        <f>IFERROR(AZ589/#REF!,"")</f>
        <v/>
      </c>
      <c r="BC589" s="224" t="str">
        <f>IFERROR(VLOOKUP($A589,Devengado!$A$1:$AI$1,22,FALSE),"")</f>
        <v/>
      </c>
      <c r="BD589" s="224" t="str">
        <f>IFERROR(VLOOKUP($A589,Devengado!$A$1:$AI$1,23,FALSE),"")</f>
        <v/>
      </c>
      <c r="BE589" s="224" t="str">
        <f>IFERROR(VLOOKUP($A589,Devengado!$A$1:$AI$1,24,FALSE),"")</f>
        <v/>
      </c>
      <c r="BF589" s="224" t="str">
        <f>IFERROR(VLOOKUP($A589,Devengado!$A$1:$AI$1,25,FALSE),"")</f>
        <v/>
      </c>
      <c r="BG589" s="224" t="str">
        <f>IFERROR(VLOOKUP($A589,Devengado!$A$1:$AI$1,26,FALSE),"")</f>
        <v/>
      </c>
      <c r="BH589" s="224" t="str">
        <f>IFERROR(VLOOKUP($A589,Devengado!$A$1:$AI$1,27,FALSE),"")</f>
        <v/>
      </c>
      <c r="BI589" s="224" t="str">
        <f>IFERROR(VLOOKUP($A589,Devengado!$A$1:$AI$1,28,FALSE),"")</f>
        <v/>
      </c>
      <c r="BJ589" s="224" t="str">
        <f>IFERROR(VLOOKUP($A589,Devengado!$A$1:$AI$1,29,FALSE),"")</f>
        <v/>
      </c>
      <c r="BK589" s="224" t="str">
        <f>IFERROR(VLOOKUP($A589,Devengado!$A$1:$AI$1,30,FALSE),"")</f>
        <v/>
      </c>
      <c r="BL589" s="224" t="str">
        <f>IFERROR(VLOOKUP($A589,Devengado!$A$1:$AI$1,31,FALSE),"")</f>
        <v/>
      </c>
      <c r="BM589" s="224" t="str">
        <f>IFERROR(VLOOKUP($A589,Devengado!$A$1:$AI$1,32,FALSE),"")</f>
        <v/>
      </c>
      <c r="BN589" s="224" t="str">
        <f>IFERROR(VLOOKUP($A589,Devengado!$A$1:$AI$1,33,FALSE),"")</f>
        <v/>
      </c>
      <c r="BO589" s="224">
        <f t="shared" si="76"/>
        <v>0</v>
      </c>
      <c r="BP589" s="224" t="str">
        <f t="shared" si="77"/>
        <v/>
      </c>
      <c r="BQ589" s="207"/>
      <c r="BR589" s="207" t="str">
        <f t="shared" si="78"/>
        <v>71</v>
      </c>
    </row>
    <row r="590" spans="1:70" s="225" customFormat="1" ht="25.5" customHeight="1">
      <c r="A590" s="207">
        <v>586</v>
      </c>
      <c r="B590" s="119" t="s">
        <v>73</v>
      </c>
      <c r="C590" s="119" t="s">
        <v>77</v>
      </c>
      <c r="D590" s="112" t="s">
        <v>176</v>
      </c>
      <c r="E590" s="112" t="s">
        <v>569</v>
      </c>
      <c r="F590" s="132" t="s">
        <v>576</v>
      </c>
      <c r="G590" s="112" t="s">
        <v>577</v>
      </c>
      <c r="H590" s="112" t="s">
        <v>578</v>
      </c>
      <c r="I590" s="112" t="s">
        <v>579</v>
      </c>
      <c r="J590" s="112" t="s">
        <v>583</v>
      </c>
      <c r="K590" s="207"/>
      <c r="L590" s="112" t="s">
        <v>85</v>
      </c>
      <c r="M590" s="112" t="s">
        <v>584</v>
      </c>
      <c r="N590" s="118">
        <v>9999</v>
      </c>
      <c r="O590" s="118" t="s">
        <v>132</v>
      </c>
      <c r="P590" s="114" t="s">
        <v>582</v>
      </c>
      <c r="Q590" s="114" t="s">
        <v>82</v>
      </c>
      <c r="R590" s="115" t="str">
        <f t="shared" si="72"/>
        <v>71</v>
      </c>
      <c r="S590" s="112">
        <v>710707</v>
      </c>
      <c r="T590" s="122" t="e">
        <f>VLOOKUP(S590,ITEM!$C$1:$D$156,2,FALSE)</f>
        <v>#N/A</v>
      </c>
      <c r="U590" s="114" t="s">
        <v>190</v>
      </c>
      <c r="V590" s="114" t="s">
        <v>575</v>
      </c>
      <c r="W590" s="114"/>
      <c r="X590" s="114"/>
      <c r="Y590" s="224" t="e">
        <f>'Matriz POA 2024-TRABAJO'!#REF!</f>
        <v>#REF!</v>
      </c>
      <c r="Z590" s="224" t="e">
        <f>'Matriz POA 2024-TRABAJO'!#REF!</f>
        <v>#REF!</v>
      </c>
      <c r="AA590" s="224" t="e">
        <f>'Matriz POA 2024-TRABAJO'!#REF!</f>
        <v>#REF!</v>
      </c>
      <c r="AB590" s="279">
        <v>0</v>
      </c>
      <c r="AC590" s="279">
        <v>0</v>
      </c>
      <c r="AD590" s="279">
        <v>0</v>
      </c>
      <c r="AE590" s="279">
        <v>0</v>
      </c>
      <c r="AF590" s="279">
        <v>0</v>
      </c>
      <c r="AG590" s="279">
        <v>0</v>
      </c>
      <c r="AH590" s="279">
        <v>0</v>
      </c>
      <c r="AI590" s="279">
        <v>0</v>
      </c>
      <c r="AJ590" s="279">
        <v>0</v>
      </c>
      <c r="AK590" s="279">
        <v>0</v>
      </c>
      <c r="AL590" s="279">
        <v>0</v>
      </c>
      <c r="AM590" s="279">
        <v>0</v>
      </c>
      <c r="AN590" s="224" t="e">
        <f>SUM(#REF!)</f>
        <v>#REF!</v>
      </c>
      <c r="AO590" s="224">
        <f t="shared" si="73"/>
        <v>0</v>
      </c>
      <c r="AP590" s="224" t="e">
        <f t="shared" si="79"/>
        <v>#REF!</v>
      </c>
      <c r="AQ590" s="224"/>
      <c r="AR590" s="224"/>
      <c r="AS590" s="224"/>
      <c r="AT590" s="224" t="str">
        <f>IFERROR(VLOOKUP($A590,'Constancias POA'!$A$2:$DH$9993,17,FALSE),"")</f>
        <v/>
      </c>
      <c r="AU590" s="224" t="str">
        <f t="shared" si="74"/>
        <v/>
      </c>
      <c r="AV590" s="224" t="str">
        <f>IFERROR(VLOOKUP($A590,CP!$A$1:$U$7992,18,FALSE),"")</f>
        <v/>
      </c>
      <c r="AW590" s="224" t="str">
        <f>IFERROR(VLOOKUP($A590,CP!$A$1:$U$7992,19,FALSE),"")</f>
        <v/>
      </c>
      <c r="AX590" s="224" t="str">
        <f>IFERROR(VLOOKUP($A590,CP!$A$1:$U$7992,20,FALSE),"")</f>
        <v/>
      </c>
      <c r="AY590" s="224" t="str">
        <f>IFERROR(VLOOKUP($A590,CP!$A$1:$U$1,21,FALSE),"")</f>
        <v/>
      </c>
      <c r="AZ590" s="224" t="str">
        <f>IFERROR(VLOOKUP(A590,Devengado!$A$1:AJ1,35,FALSE),"")</f>
        <v/>
      </c>
      <c r="BA590" s="224" t="str">
        <f t="shared" si="75"/>
        <v/>
      </c>
      <c r="BB590" s="224" t="str">
        <f>IFERROR(AZ590/#REF!,"")</f>
        <v/>
      </c>
      <c r="BC590" s="224" t="str">
        <f>IFERROR(VLOOKUP($A590,Devengado!$A$1:$AI$1,22,FALSE),"")</f>
        <v/>
      </c>
      <c r="BD590" s="224" t="str">
        <f>IFERROR(VLOOKUP($A590,Devengado!$A$1:$AI$1,23,FALSE),"")</f>
        <v/>
      </c>
      <c r="BE590" s="224" t="str">
        <f>IFERROR(VLOOKUP($A590,Devengado!$A$1:$AI$1,24,FALSE),"")</f>
        <v/>
      </c>
      <c r="BF590" s="224" t="str">
        <f>IFERROR(VLOOKUP($A590,Devengado!$A$1:$AI$1,25,FALSE),"")</f>
        <v/>
      </c>
      <c r="BG590" s="224" t="str">
        <f>IFERROR(VLOOKUP($A590,Devengado!$A$1:$AI$1,26,FALSE),"")</f>
        <v/>
      </c>
      <c r="BH590" s="224" t="str">
        <f>IFERROR(VLOOKUP($A590,Devengado!$A$1:$AI$1,27,FALSE),"")</f>
        <v/>
      </c>
      <c r="BI590" s="224" t="str">
        <f>IFERROR(VLOOKUP($A590,Devengado!$A$1:$AI$1,28,FALSE),"")</f>
        <v/>
      </c>
      <c r="BJ590" s="224" t="str">
        <f>IFERROR(VLOOKUP($A590,Devengado!$A$1:$AI$1,29,FALSE),"")</f>
        <v/>
      </c>
      <c r="BK590" s="224" t="str">
        <f>IFERROR(VLOOKUP($A590,Devengado!$A$1:$AI$1,30,FALSE),"")</f>
        <v/>
      </c>
      <c r="BL590" s="224" t="str">
        <f>IFERROR(VLOOKUP($A590,Devengado!$A$1:$AI$1,31,FALSE),"")</f>
        <v/>
      </c>
      <c r="BM590" s="224" t="str">
        <f>IFERROR(VLOOKUP($A590,Devengado!$A$1:$AI$1,32,FALSE),"")</f>
        <v/>
      </c>
      <c r="BN590" s="224" t="str">
        <f>IFERROR(VLOOKUP($A590,Devengado!$A$1:$AI$1,33,FALSE),"")</f>
        <v/>
      </c>
      <c r="BO590" s="224">
        <f t="shared" si="76"/>
        <v>0</v>
      </c>
      <c r="BP590" s="224" t="str">
        <f t="shared" si="77"/>
        <v/>
      </c>
      <c r="BQ590" s="207"/>
      <c r="BR590" s="207" t="str">
        <f t="shared" si="78"/>
        <v>71</v>
      </c>
    </row>
    <row r="591" spans="1:70" s="225" customFormat="1" ht="25.5" customHeight="1">
      <c r="A591" s="207">
        <v>587</v>
      </c>
      <c r="B591" s="119" t="s">
        <v>73</v>
      </c>
      <c r="C591" s="119" t="s">
        <v>77</v>
      </c>
      <c r="D591" s="112" t="s">
        <v>176</v>
      </c>
      <c r="E591" s="112" t="s">
        <v>569</v>
      </c>
      <c r="F591" s="132" t="s">
        <v>576</v>
      </c>
      <c r="G591" s="112" t="s">
        <v>577</v>
      </c>
      <c r="H591" s="112" t="s">
        <v>578</v>
      </c>
      <c r="I591" s="112" t="s">
        <v>585</v>
      </c>
      <c r="J591" s="112" t="s">
        <v>586</v>
      </c>
      <c r="K591" s="207"/>
      <c r="L591" s="112" t="s">
        <v>85</v>
      </c>
      <c r="M591" s="112" t="s">
        <v>587</v>
      </c>
      <c r="N591" s="118">
        <v>9999</v>
      </c>
      <c r="O591" s="118" t="s">
        <v>132</v>
      </c>
      <c r="P591" s="114" t="s">
        <v>582</v>
      </c>
      <c r="Q591" s="114" t="s">
        <v>82</v>
      </c>
      <c r="R591" s="115" t="str">
        <f t="shared" si="72"/>
        <v>73</v>
      </c>
      <c r="S591" s="112">
        <v>730606</v>
      </c>
      <c r="T591" s="122" t="e">
        <f>VLOOKUP(S591,ITEM!$C$1:$D$156,2,FALSE)</f>
        <v>#N/A</v>
      </c>
      <c r="U591" s="114" t="s">
        <v>190</v>
      </c>
      <c r="V591" s="114" t="s">
        <v>575</v>
      </c>
      <c r="W591" s="114"/>
      <c r="X591" s="114"/>
      <c r="Y591" s="224" t="e">
        <f>'Matriz POA 2024-TRABAJO'!#REF!</f>
        <v>#REF!</v>
      </c>
      <c r="Z591" s="224" t="e">
        <f>'Matriz POA 2024-TRABAJO'!#REF!</f>
        <v>#REF!</v>
      </c>
      <c r="AA591" s="224" t="e">
        <f>'Matriz POA 2024-TRABAJO'!#REF!</f>
        <v>#REF!</v>
      </c>
      <c r="AB591" s="279">
        <v>0</v>
      </c>
      <c r="AC591" s="279">
        <v>1676</v>
      </c>
      <c r="AD591" s="279">
        <v>1676</v>
      </c>
      <c r="AE591" s="279">
        <v>1676</v>
      </c>
      <c r="AF591" s="279">
        <v>1676</v>
      </c>
      <c r="AG591" s="279">
        <v>1676</v>
      </c>
      <c r="AH591" s="279">
        <v>1676</v>
      </c>
      <c r="AI591" s="279">
        <v>1676</v>
      </c>
      <c r="AJ591" s="279">
        <v>1676</v>
      </c>
      <c r="AK591" s="279">
        <v>1676</v>
      </c>
      <c r="AL591" s="279">
        <v>1676</v>
      </c>
      <c r="AM591" s="279">
        <v>1676</v>
      </c>
      <c r="AN591" s="224" t="e">
        <f>SUM(#REF!)</f>
        <v>#REF!</v>
      </c>
      <c r="AO591" s="224">
        <f t="shared" si="73"/>
        <v>18436</v>
      </c>
      <c r="AP591" s="224" t="e">
        <f t="shared" si="79"/>
        <v>#REF!</v>
      </c>
      <c r="AQ591" s="224"/>
      <c r="AR591" s="224"/>
      <c r="AS591" s="224"/>
      <c r="AT591" s="224" t="str">
        <f>IFERROR(VLOOKUP($A591,'Constancias POA'!$A$2:$DH$9993,17,FALSE),"")</f>
        <v/>
      </c>
      <c r="AU591" s="224" t="str">
        <f t="shared" si="74"/>
        <v/>
      </c>
      <c r="AV591" s="224" t="str">
        <f>IFERROR(VLOOKUP($A591,CP!$A$1:$U$7992,18,FALSE),"")</f>
        <v/>
      </c>
      <c r="AW591" s="224" t="str">
        <f>IFERROR(VLOOKUP($A591,CP!$A$1:$U$7992,19,FALSE),"")</f>
        <v/>
      </c>
      <c r="AX591" s="224" t="str">
        <f>IFERROR(VLOOKUP($A591,CP!$A$1:$U$7992,20,FALSE),"")</f>
        <v/>
      </c>
      <c r="AY591" s="224" t="str">
        <f>IFERROR(VLOOKUP($A591,CP!$A$1:$U$1,21,FALSE),"")</f>
        <v/>
      </c>
      <c r="AZ591" s="224" t="str">
        <f>IFERROR(VLOOKUP(A591,Devengado!$A$1:AJ1,35,FALSE),"")</f>
        <v/>
      </c>
      <c r="BA591" s="224" t="str">
        <f t="shared" si="75"/>
        <v/>
      </c>
      <c r="BB591" s="224" t="str">
        <f>IFERROR(AZ591/#REF!,"")</f>
        <v/>
      </c>
      <c r="BC591" s="224" t="str">
        <f>IFERROR(VLOOKUP($A591,Devengado!$A$1:$AI$1,22,FALSE),"")</f>
        <v/>
      </c>
      <c r="BD591" s="224" t="str">
        <f>IFERROR(VLOOKUP($A591,Devengado!$A$1:$AI$1,23,FALSE),"")</f>
        <v/>
      </c>
      <c r="BE591" s="224" t="str">
        <f>IFERROR(VLOOKUP($A591,Devengado!$A$1:$AI$1,24,FALSE),"")</f>
        <v/>
      </c>
      <c r="BF591" s="224" t="str">
        <f>IFERROR(VLOOKUP($A591,Devengado!$A$1:$AI$1,25,FALSE),"")</f>
        <v/>
      </c>
      <c r="BG591" s="224" t="str">
        <f>IFERROR(VLOOKUP($A591,Devengado!$A$1:$AI$1,26,FALSE),"")</f>
        <v/>
      </c>
      <c r="BH591" s="224" t="str">
        <f>IFERROR(VLOOKUP($A591,Devengado!$A$1:$AI$1,27,FALSE),"")</f>
        <v/>
      </c>
      <c r="BI591" s="224" t="str">
        <f>IFERROR(VLOOKUP($A591,Devengado!$A$1:$AI$1,28,FALSE),"")</f>
        <v/>
      </c>
      <c r="BJ591" s="224" t="str">
        <f>IFERROR(VLOOKUP($A591,Devengado!$A$1:$AI$1,29,FALSE),"")</f>
        <v/>
      </c>
      <c r="BK591" s="224" t="str">
        <f>IFERROR(VLOOKUP($A591,Devengado!$A$1:$AI$1,30,FALSE),"")</f>
        <v/>
      </c>
      <c r="BL591" s="224" t="str">
        <f>IFERROR(VLOOKUP($A591,Devengado!$A$1:$AI$1,31,FALSE),"")</f>
        <v/>
      </c>
      <c r="BM591" s="224" t="str">
        <f>IFERROR(VLOOKUP($A591,Devengado!$A$1:$AI$1,32,FALSE),"")</f>
        <v/>
      </c>
      <c r="BN591" s="224" t="str">
        <f>IFERROR(VLOOKUP($A591,Devengado!$A$1:$AI$1,33,FALSE),"")</f>
        <v/>
      </c>
      <c r="BO591" s="224">
        <f t="shared" si="76"/>
        <v>0</v>
      </c>
      <c r="BP591" s="224" t="str">
        <f t="shared" si="77"/>
        <v/>
      </c>
      <c r="BQ591" s="207"/>
      <c r="BR591" s="207" t="str">
        <f t="shared" si="78"/>
        <v>73</v>
      </c>
    </row>
    <row r="592" spans="1:70" s="225" customFormat="1" ht="25.5" customHeight="1">
      <c r="A592" s="207">
        <v>588</v>
      </c>
      <c r="B592" s="119" t="s">
        <v>73</v>
      </c>
      <c r="C592" s="119" t="s">
        <v>77</v>
      </c>
      <c r="D592" s="112" t="s">
        <v>176</v>
      </c>
      <c r="E592" s="112" t="s">
        <v>569</v>
      </c>
      <c r="F592" s="132" t="s">
        <v>576</v>
      </c>
      <c r="G592" s="112" t="s">
        <v>577</v>
      </c>
      <c r="H592" s="112" t="s">
        <v>578</v>
      </c>
      <c r="I592" s="112" t="s">
        <v>585</v>
      </c>
      <c r="J592" s="112" t="s">
        <v>588</v>
      </c>
      <c r="K592" s="207"/>
      <c r="L592" s="112" t="s">
        <v>85</v>
      </c>
      <c r="M592" s="112" t="s">
        <v>589</v>
      </c>
      <c r="N592" s="118">
        <v>9999</v>
      </c>
      <c r="O592" s="118" t="s">
        <v>132</v>
      </c>
      <c r="P592" s="114" t="s">
        <v>582</v>
      </c>
      <c r="Q592" s="114" t="s">
        <v>82</v>
      </c>
      <c r="R592" s="115" t="str">
        <f t="shared" si="72"/>
        <v>71</v>
      </c>
      <c r="S592" s="112">
        <v>710510</v>
      </c>
      <c r="T592" s="122" t="e">
        <f>VLOOKUP(S592,ITEM!$C$1:$D$156,2,FALSE)</f>
        <v>#N/A</v>
      </c>
      <c r="U592" s="114" t="s">
        <v>190</v>
      </c>
      <c r="V592" s="114" t="s">
        <v>575</v>
      </c>
      <c r="W592" s="114"/>
      <c r="X592" s="114"/>
      <c r="Y592" s="224" t="e">
        <f>'Matriz POA 2024-TRABAJO'!#REF!</f>
        <v>#REF!</v>
      </c>
      <c r="Z592" s="224" t="e">
        <f>'Matriz POA 2024-TRABAJO'!#REF!</f>
        <v>#REF!</v>
      </c>
      <c r="AA592" s="224" t="e">
        <f>'Matriz POA 2024-TRABAJO'!#REF!</f>
        <v>#REF!</v>
      </c>
      <c r="AB592" s="279"/>
      <c r="AC592" s="279"/>
      <c r="AD592" s="279"/>
      <c r="AE592" s="279"/>
      <c r="AF592" s="279"/>
      <c r="AG592" s="279"/>
      <c r="AH592" s="279"/>
      <c r="AI592" s="279"/>
      <c r="AJ592" s="279"/>
      <c r="AK592" s="279"/>
      <c r="AL592" s="279"/>
      <c r="AM592" s="279">
        <v>2583.21</v>
      </c>
      <c r="AN592" s="224" t="e">
        <f>SUM(#REF!)</f>
        <v>#REF!</v>
      </c>
      <c r="AO592" s="224">
        <f t="shared" si="73"/>
        <v>2583.21</v>
      </c>
      <c r="AP592" s="224" t="e">
        <f t="shared" si="79"/>
        <v>#REF!</v>
      </c>
      <c r="AQ592" s="224"/>
      <c r="AR592" s="224"/>
      <c r="AS592" s="224"/>
      <c r="AT592" s="224" t="str">
        <f>IFERROR(VLOOKUP($A592,'Constancias POA'!$A$2:$DH$9993,17,FALSE),"")</f>
        <v/>
      </c>
      <c r="AU592" s="224" t="str">
        <f t="shared" si="74"/>
        <v/>
      </c>
      <c r="AV592" s="224" t="str">
        <f>IFERROR(VLOOKUP($A592,CP!$A$1:$U$7992,18,FALSE),"")</f>
        <v/>
      </c>
      <c r="AW592" s="224" t="str">
        <f>IFERROR(VLOOKUP($A592,CP!$A$1:$U$7992,19,FALSE),"")</f>
        <v/>
      </c>
      <c r="AX592" s="224" t="str">
        <f>IFERROR(VLOOKUP($A592,CP!$A$1:$U$7992,20,FALSE),"")</f>
        <v/>
      </c>
      <c r="AY592" s="224" t="str">
        <f>IFERROR(VLOOKUP($A592,CP!$A$1:$U$1,21,FALSE),"")</f>
        <v/>
      </c>
      <c r="AZ592" s="224" t="str">
        <f>IFERROR(VLOOKUP(A592,Devengado!$A$1:AJ1,35,FALSE),"")</f>
        <v/>
      </c>
      <c r="BA592" s="224" t="str">
        <f t="shared" si="75"/>
        <v/>
      </c>
      <c r="BB592" s="224" t="str">
        <f>IFERROR(AZ592/#REF!,"")</f>
        <v/>
      </c>
      <c r="BC592" s="224" t="str">
        <f>IFERROR(VLOOKUP($A592,Devengado!$A$1:$AI$1,22,FALSE),"")</f>
        <v/>
      </c>
      <c r="BD592" s="224" t="str">
        <f>IFERROR(VLOOKUP($A592,Devengado!$A$1:$AI$1,23,FALSE),"")</f>
        <v/>
      </c>
      <c r="BE592" s="224" t="str">
        <f>IFERROR(VLOOKUP($A592,Devengado!$A$1:$AI$1,24,FALSE),"")</f>
        <v/>
      </c>
      <c r="BF592" s="224" t="str">
        <f>IFERROR(VLOOKUP($A592,Devengado!$A$1:$AI$1,25,FALSE),"")</f>
        <v/>
      </c>
      <c r="BG592" s="224" t="str">
        <f>IFERROR(VLOOKUP($A592,Devengado!$A$1:$AI$1,26,FALSE),"")</f>
        <v/>
      </c>
      <c r="BH592" s="224" t="str">
        <f>IFERROR(VLOOKUP($A592,Devengado!$A$1:$AI$1,27,FALSE),"")</f>
        <v/>
      </c>
      <c r="BI592" s="224" t="str">
        <f>IFERROR(VLOOKUP($A592,Devengado!$A$1:$AI$1,28,FALSE),"")</f>
        <v/>
      </c>
      <c r="BJ592" s="224" t="str">
        <f>IFERROR(VLOOKUP($A592,Devengado!$A$1:$AI$1,29,FALSE),"")</f>
        <v/>
      </c>
      <c r="BK592" s="224" t="str">
        <f>IFERROR(VLOOKUP($A592,Devengado!$A$1:$AI$1,30,FALSE),"")</f>
        <v/>
      </c>
      <c r="BL592" s="224" t="str">
        <f>IFERROR(VLOOKUP($A592,Devengado!$A$1:$AI$1,31,FALSE),"")</f>
        <v/>
      </c>
      <c r="BM592" s="224" t="str">
        <f>IFERROR(VLOOKUP($A592,Devengado!$A$1:$AI$1,32,FALSE),"")</f>
        <v/>
      </c>
      <c r="BN592" s="224" t="str">
        <f>IFERROR(VLOOKUP($A592,Devengado!$A$1:$AI$1,33,FALSE),"")</f>
        <v/>
      </c>
      <c r="BO592" s="224">
        <f t="shared" si="76"/>
        <v>0</v>
      </c>
      <c r="BP592" s="224" t="str">
        <f t="shared" si="77"/>
        <v/>
      </c>
      <c r="BQ592" s="207"/>
      <c r="BR592" s="207" t="str">
        <f t="shared" si="78"/>
        <v>71</v>
      </c>
    </row>
    <row r="593" spans="1:70" s="225" customFormat="1" ht="25.5" customHeight="1">
      <c r="A593" s="207">
        <v>589</v>
      </c>
      <c r="B593" s="119" t="s">
        <v>73</v>
      </c>
      <c r="C593" s="119" t="s">
        <v>77</v>
      </c>
      <c r="D593" s="112" t="s">
        <v>176</v>
      </c>
      <c r="E593" s="112" t="s">
        <v>569</v>
      </c>
      <c r="F593" s="132" t="s">
        <v>576</v>
      </c>
      <c r="G593" s="112" t="s">
        <v>577</v>
      </c>
      <c r="H593" s="112" t="s">
        <v>578</v>
      </c>
      <c r="I593" s="112" t="s">
        <v>585</v>
      </c>
      <c r="J593" s="112" t="s">
        <v>588</v>
      </c>
      <c r="K593" s="207"/>
      <c r="L593" s="112" t="s">
        <v>85</v>
      </c>
      <c r="M593" s="112" t="s">
        <v>589</v>
      </c>
      <c r="N593" s="118">
        <v>9999</v>
      </c>
      <c r="O593" s="118" t="s">
        <v>132</v>
      </c>
      <c r="P593" s="114" t="s">
        <v>582</v>
      </c>
      <c r="Q593" s="114" t="s">
        <v>82</v>
      </c>
      <c r="R593" s="115" t="str">
        <f t="shared" si="72"/>
        <v>71</v>
      </c>
      <c r="S593" s="112">
        <v>710203</v>
      </c>
      <c r="T593" s="122" t="e">
        <f>VLOOKUP(S593,ITEM!$C$1:$D$156,2,FALSE)</f>
        <v>#N/A</v>
      </c>
      <c r="U593" s="114" t="s">
        <v>190</v>
      </c>
      <c r="V593" s="114" t="s">
        <v>575</v>
      </c>
      <c r="W593" s="114"/>
      <c r="X593" s="114"/>
      <c r="Y593" s="224" t="e">
        <f>'Matriz POA 2024-TRABAJO'!#REF!</f>
        <v>#REF!</v>
      </c>
      <c r="Z593" s="224" t="e">
        <f>'Matriz POA 2024-TRABAJO'!#REF!</f>
        <v>#REF!</v>
      </c>
      <c r="AA593" s="224" t="e">
        <f>'Matriz POA 2024-TRABAJO'!#REF!</f>
        <v>#REF!</v>
      </c>
      <c r="AB593" s="279"/>
      <c r="AC593" s="279"/>
      <c r="AD593" s="279"/>
      <c r="AE593" s="279"/>
      <c r="AF593" s="279"/>
      <c r="AG593" s="279"/>
      <c r="AH593" s="279"/>
      <c r="AI593" s="279"/>
      <c r="AJ593" s="279"/>
      <c r="AK593" s="279"/>
      <c r="AL593" s="279"/>
      <c r="AM593" s="279"/>
      <c r="AN593" s="224" t="e">
        <f>SUM(#REF!)</f>
        <v>#REF!</v>
      </c>
      <c r="AO593" s="224">
        <f t="shared" si="73"/>
        <v>0</v>
      </c>
      <c r="AP593" s="224" t="e">
        <f t="shared" si="79"/>
        <v>#REF!</v>
      </c>
      <c r="AQ593" s="224"/>
      <c r="AR593" s="224"/>
      <c r="AS593" s="224"/>
      <c r="AT593" s="224" t="str">
        <f>IFERROR(VLOOKUP($A593,'Constancias POA'!$A$2:$DH$9993,17,FALSE),"")</f>
        <v/>
      </c>
      <c r="AU593" s="224" t="str">
        <f t="shared" si="74"/>
        <v/>
      </c>
      <c r="AV593" s="224" t="str">
        <f>IFERROR(VLOOKUP($A593,CP!$A$1:$U$7992,18,FALSE),"")</f>
        <v/>
      </c>
      <c r="AW593" s="224" t="str">
        <f>IFERROR(VLOOKUP($A593,CP!$A$1:$U$7992,19,FALSE),"")</f>
        <v/>
      </c>
      <c r="AX593" s="224" t="str">
        <f>IFERROR(VLOOKUP($A593,CP!$A$1:$U$7992,20,FALSE),"")</f>
        <v/>
      </c>
      <c r="AY593" s="224" t="str">
        <f>IFERROR(VLOOKUP($A593,CP!$A$1:$U$1,21,FALSE),"")</f>
        <v/>
      </c>
      <c r="AZ593" s="224" t="str">
        <f>IFERROR(VLOOKUP(A593,Devengado!$A$1:AJ1,35,FALSE),"")</f>
        <v/>
      </c>
      <c r="BA593" s="224" t="str">
        <f t="shared" si="75"/>
        <v/>
      </c>
      <c r="BB593" s="224" t="str">
        <f>IFERROR(AZ593/#REF!,"")</f>
        <v/>
      </c>
      <c r="BC593" s="224" t="str">
        <f>IFERROR(VLOOKUP($A593,Devengado!$A$1:$AI$1,22,FALSE),"")</f>
        <v/>
      </c>
      <c r="BD593" s="224" t="str">
        <f>IFERROR(VLOOKUP($A593,Devengado!$A$1:$AI$1,23,FALSE),"")</f>
        <v/>
      </c>
      <c r="BE593" s="224" t="str">
        <f>IFERROR(VLOOKUP($A593,Devengado!$A$1:$AI$1,24,FALSE),"")</f>
        <v/>
      </c>
      <c r="BF593" s="224" t="str">
        <f>IFERROR(VLOOKUP($A593,Devengado!$A$1:$AI$1,25,FALSE),"")</f>
        <v/>
      </c>
      <c r="BG593" s="224" t="str">
        <f>IFERROR(VLOOKUP($A593,Devengado!$A$1:$AI$1,26,FALSE),"")</f>
        <v/>
      </c>
      <c r="BH593" s="224" t="str">
        <f>IFERROR(VLOOKUP($A593,Devengado!$A$1:$AI$1,27,FALSE),"")</f>
        <v/>
      </c>
      <c r="BI593" s="224" t="str">
        <f>IFERROR(VLOOKUP($A593,Devengado!$A$1:$AI$1,28,FALSE),"")</f>
        <v/>
      </c>
      <c r="BJ593" s="224" t="str">
        <f>IFERROR(VLOOKUP($A593,Devengado!$A$1:$AI$1,29,FALSE),"")</f>
        <v/>
      </c>
      <c r="BK593" s="224" t="str">
        <f>IFERROR(VLOOKUP($A593,Devengado!$A$1:$AI$1,30,FALSE),"")</f>
        <v/>
      </c>
      <c r="BL593" s="224" t="str">
        <f>IFERROR(VLOOKUP($A593,Devengado!$A$1:$AI$1,31,FALSE),"")</f>
        <v/>
      </c>
      <c r="BM593" s="224" t="str">
        <f>IFERROR(VLOOKUP($A593,Devengado!$A$1:$AI$1,32,FALSE),"")</f>
        <v/>
      </c>
      <c r="BN593" s="224" t="str">
        <f>IFERROR(VLOOKUP($A593,Devengado!$A$1:$AI$1,33,FALSE),"")</f>
        <v/>
      </c>
      <c r="BO593" s="224">
        <f t="shared" si="76"/>
        <v>0</v>
      </c>
      <c r="BP593" s="224" t="str">
        <f t="shared" si="77"/>
        <v/>
      </c>
      <c r="BQ593" s="207"/>
      <c r="BR593" s="207" t="str">
        <f t="shared" si="78"/>
        <v>71</v>
      </c>
    </row>
    <row r="594" spans="1:70" s="225" customFormat="1" ht="25.5" customHeight="1">
      <c r="A594" s="207">
        <v>590</v>
      </c>
      <c r="B594" s="119" t="s">
        <v>73</v>
      </c>
      <c r="C594" s="119" t="s">
        <v>77</v>
      </c>
      <c r="D594" s="112" t="s">
        <v>176</v>
      </c>
      <c r="E594" s="112" t="s">
        <v>569</v>
      </c>
      <c r="F594" s="132" t="s">
        <v>576</v>
      </c>
      <c r="G594" s="112" t="s">
        <v>577</v>
      </c>
      <c r="H594" s="112" t="s">
        <v>578</v>
      </c>
      <c r="I594" s="112" t="s">
        <v>585</v>
      </c>
      <c r="J594" s="112" t="s">
        <v>588</v>
      </c>
      <c r="K594" s="207"/>
      <c r="L594" s="112" t="s">
        <v>85</v>
      </c>
      <c r="M594" s="112" t="s">
        <v>589</v>
      </c>
      <c r="N594" s="118">
        <v>9999</v>
      </c>
      <c r="O594" s="118" t="s">
        <v>132</v>
      </c>
      <c r="P594" s="114" t="s">
        <v>582</v>
      </c>
      <c r="Q594" s="114" t="s">
        <v>82</v>
      </c>
      <c r="R594" s="115" t="str">
        <f t="shared" si="72"/>
        <v>71</v>
      </c>
      <c r="S594" s="112">
        <v>710204</v>
      </c>
      <c r="T594" s="122" t="e">
        <f>VLOOKUP(S594,ITEM!$C$1:$D$156,2,FALSE)</f>
        <v>#N/A</v>
      </c>
      <c r="U594" s="114" t="s">
        <v>190</v>
      </c>
      <c r="V594" s="114" t="s">
        <v>575</v>
      </c>
      <c r="W594" s="114"/>
      <c r="X594" s="114"/>
      <c r="Y594" s="224" t="e">
        <f>'Matriz POA 2024-TRABAJO'!#REF!</f>
        <v>#REF!</v>
      </c>
      <c r="Z594" s="224" t="e">
        <f>'Matriz POA 2024-TRABAJO'!#REF!</f>
        <v>#REF!</v>
      </c>
      <c r="AA594" s="224" t="e">
        <f>'Matriz POA 2024-TRABAJO'!#REF!</f>
        <v>#REF!</v>
      </c>
      <c r="AB594" s="279"/>
      <c r="AC594" s="279"/>
      <c r="AD594" s="279"/>
      <c r="AE594" s="279"/>
      <c r="AF594" s="279"/>
      <c r="AG594" s="279"/>
      <c r="AH594" s="279"/>
      <c r="AI594" s="279"/>
      <c r="AJ594" s="279"/>
      <c r="AK594" s="279"/>
      <c r="AL594" s="279"/>
      <c r="AM594" s="279"/>
      <c r="AN594" s="224" t="e">
        <f>SUM(#REF!)</f>
        <v>#REF!</v>
      </c>
      <c r="AO594" s="224">
        <f t="shared" si="73"/>
        <v>0</v>
      </c>
      <c r="AP594" s="224" t="e">
        <f t="shared" si="79"/>
        <v>#REF!</v>
      </c>
      <c r="AQ594" s="224"/>
      <c r="AR594" s="224"/>
      <c r="AS594" s="224"/>
      <c r="AT594" s="224" t="str">
        <f>IFERROR(VLOOKUP($A594,'Constancias POA'!$A$2:$DH$9993,17,FALSE),"")</f>
        <v/>
      </c>
      <c r="AU594" s="224" t="str">
        <f t="shared" si="74"/>
        <v/>
      </c>
      <c r="AV594" s="224" t="str">
        <f>IFERROR(VLOOKUP($A594,CP!$A$1:$U$7992,18,FALSE),"")</f>
        <v/>
      </c>
      <c r="AW594" s="224" t="str">
        <f>IFERROR(VLOOKUP($A594,CP!$A$1:$U$7992,19,FALSE),"")</f>
        <v/>
      </c>
      <c r="AX594" s="224" t="str">
        <f>IFERROR(VLOOKUP($A594,CP!$A$1:$U$7992,20,FALSE),"")</f>
        <v/>
      </c>
      <c r="AY594" s="224" t="str">
        <f>IFERROR(VLOOKUP($A594,CP!$A$1:$U$1,21,FALSE),"")</f>
        <v/>
      </c>
      <c r="AZ594" s="224" t="str">
        <f>IFERROR(VLOOKUP(A594,Devengado!$A$1:AJ1,35,FALSE),"")</f>
        <v/>
      </c>
      <c r="BA594" s="224" t="str">
        <f t="shared" si="75"/>
        <v/>
      </c>
      <c r="BB594" s="224" t="str">
        <f>IFERROR(AZ594/#REF!,"")</f>
        <v/>
      </c>
      <c r="BC594" s="224" t="str">
        <f>IFERROR(VLOOKUP($A594,Devengado!$A$1:$AI$1,22,FALSE),"")</f>
        <v/>
      </c>
      <c r="BD594" s="224" t="str">
        <f>IFERROR(VLOOKUP($A594,Devengado!$A$1:$AI$1,23,FALSE),"")</f>
        <v/>
      </c>
      <c r="BE594" s="224" t="str">
        <f>IFERROR(VLOOKUP($A594,Devengado!$A$1:$AI$1,24,FALSE),"")</f>
        <v/>
      </c>
      <c r="BF594" s="224" t="str">
        <f>IFERROR(VLOOKUP($A594,Devengado!$A$1:$AI$1,25,FALSE),"")</f>
        <v/>
      </c>
      <c r="BG594" s="224" t="str">
        <f>IFERROR(VLOOKUP($A594,Devengado!$A$1:$AI$1,26,FALSE),"")</f>
        <v/>
      </c>
      <c r="BH594" s="224" t="str">
        <f>IFERROR(VLOOKUP($A594,Devengado!$A$1:$AI$1,27,FALSE),"")</f>
        <v/>
      </c>
      <c r="BI594" s="224" t="str">
        <f>IFERROR(VLOOKUP($A594,Devengado!$A$1:$AI$1,28,FALSE),"")</f>
        <v/>
      </c>
      <c r="BJ594" s="224" t="str">
        <f>IFERROR(VLOOKUP($A594,Devengado!$A$1:$AI$1,29,FALSE),"")</f>
        <v/>
      </c>
      <c r="BK594" s="224" t="str">
        <f>IFERROR(VLOOKUP($A594,Devengado!$A$1:$AI$1,30,FALSE),"")</f>
        <v/>
      </c>
      <c r="BL594" s="224" t="str">
        <f>IFERROR(VLOOKUP($A594,Devengado!$A$1:$AI$1,31,FALSE),"")</f>
        <v/>
      </c>
      <c r="BM594" s="224" t="str">
        <f>IFERROR(VLOOKUP($A594,Devengado!$A$1:$AI$1,32,FALSE),"")</f>
        <v/>
      </c>
      <c r="BN594" s="224" t="str">
        <f>IFERROR(VLOOKUP($A594,Devengado!$A$1:$AI$1,33,FALSE),"")</f>
        <v/>
      </c>
      <c r="BO594" s="224">
        <f t="shared" si="76"/>
        <v>0</v>
      </c>
      <c r="BP594" s="224" t="str">
        <f t="shared" si="77"/>
        <v/>
      </c>
      <c r="BQ594" s="207"/>
      <c r="BR594" s="207" t="str">
        <f t="shared" si="78"/>
        <v>71</v>
      </c>
    </row>
    <row r="595" spans="1:70" s="225" customFormat="1" ht="25.5" customHeight="1">
      <c r="A595" s="207">
        <v>591</v>
      </c>
      <c r="B595" s="119" t="s">
        <v>73</v>
      </c>
      <c r="C595" s="119" t="s">
        <v>77</v>
      </c>
      <c r="D595" s="112" t="s">
        <v>176</v>
      </c>
      <c r="E595" s="112" t="s">
        <v>569</v>
      </c>
      <c r="F595" s="132" t="s">
        <v>576</v>
      </c>
      <c r="G595" s="112" t="s">
        <v>577</v>
      </c>
      <c r="H595" s="112" t="s">
        <v>578</v>
      </c>
      <c r="I595" s="112" t="s">
        <v>585</v>
      </c>
      <c r="J595" s="112" t="s">
        <v>588</v>
      </c>
      <c r="K595" s="207"/>
      <c r="L595" s="112" t="s">
        <v>85</v>
      </c>
      <c r="M595" s="112" t="s">
        <v>589</v>
      </c>
      <c r="N595" s="118">
        <v>9999</v>
      </c>
      <c r="O595" s="118" t="s">
        <v>132</v>
      </c>
      <c r="P595" s="114" t="s">
        <v>582</v>
      </c>
      <c r="Q595" s="114" t="s">
        <v>82</v>
      </c>
      <c r="R595" s="115" t="str">
        <f t="shared" si="72"/>
        <v>71</v>
      </c>
      <c r="S595" s="112">
        <v>710601</v>
      </c>
      <c r="T595" s="122" t="e">
        <f>VLOOKUP(S595,ITEM!$C$1:$D$156,2,FALSE)</f>
        <v>#N/A</v>
      </c>
      <c r="U595" s="114" t="s">
        <v>190</v>
      </c>
      <c r="V595" s="114" t="s">
        <v>575</v>
      </c>
      <c r="W595" s="114"/>
      <c r="X595" s="114"/>
      <c r="Y595" s="224" t="e">
        <f>'Matriz POA 2024-TRABAJO'!#REF!</f>
        <v>#REF!</v>
      </c>
      <c r="Z595" s="224" t="e">
        <f>'Matriz POA 2024-TRABAJO'!#REF!</f>
        <v>#REF!</v>
      </c>
      <c r="AA595" s="224" t="e">
        <f>'Matriz POA 2024-TRABAJO'!#REF!</f>
        <v>#REF!</v>
      </c>
      <c r="AB595" s="279"/>
      <c r="AC595" s="279"/>
      <c r="AD595" s="279"/>
      <c r="AE595" s="279"/>
      <c r="AF595" s="279"/>
      <c r="AG595" s="279"/>
      <c r="AH595" s="279"/>
      <c r="AI595" s="279"/>
      <c r="AJ595" s="279"/>
      <c r="AK595" s="279"/>
      <c r="AL595" s="279"/>
      <c r="AM595" s="279">
        <v>278.69</v>
      </c>
      <c r="AN595" s="224" t="e">
        <f>SUM(#REF!)</f>
        <v>#REF!</v>
      </c>
      <c r="AO595" s="224">
        <f t="shared" si="73"/>
        <v>278.69</v>
      </c>
      <c r="AP595" s="224" t="e">
        <f t="shared" si="79"/>
        <v>#REF!</v>
      </c>
      <c r="AQ595" s="224"/>
      <c r="AR595" s="224"/>
      <c r="AS595" s="224"/>
      <c r="AT595" s="224" t="str">
        <f>IFERROR(VLOOKUP($A595,'Constancias POA'!$A$2:$DH$9993,17,FALSE),"")</f>
        <v/>
      </c>
      <c r="AU595" s="224" t="str">
        <f t="shared" si="74"/>
        <v/>
      </c>
      <c r="AV595" s="224" t="str">
        <f>IFERROR(VLOOKUP($A595,CP!$A$1:$U$7992,18,FALSE),"")</f>
        <v/>
      </c>
      <c r="AW595" s="224" t="str">
        <f>IFERROR(VLOOKUP($A595,CP!$A$1:$U$7992,19,FALSE),"")</f>
        <v/>
      </c>
      <c r="AX595" s="224" t="str">
        <f>IFERROR(VLOOKUP($A595,CP!$A$1:$U$7992,20,FALSE),"")</f>
        <v/>
      </c>
      <c r="AY595" s="224" t="str">
        <f>IFERROR(VLOOKUP($A595,CP!$A$1:$U$1,21,FALSE),"")</f>
        <v/>
      </c>
      <c r="AZ595" s="224" t="str">
        <f>IFERROR(VLOOKUP(A595,Devengado!$A$1:AJ1,35,FALSE),"")</f>
        <v/>
      </c>
      <c r="BA595" s="224" t="str">
        <f t="shared" si="75"/>
        <v/>
      </c>
      <c r="BB595" s="224" t="str">
        <f>IFERROR(AZ595/#REF!,"")</f>
        <v/>
      </c>
      <c r="BC595" s="224" t="str">
        <f>IFERROR(VLOOKUP($A595,Devengado!$A$1:$AI$1,22,FALSE),"")</f>
        <v/>
      </c>
      <c r="BD595" s="224" t="str">
        <f>IFERROR(VLOOKUP($A595,Devengado!$A$1:$AI$1,23,FALSE),"")</f>
        <v/>
      </c>
      <c r="BE595" s="224" t="str">
        <f>IFERROR(VLOOKUP($A595,Devengado!$A$1:$AI$1,24,FALSE),"")</f>
        <v/>
      </c>
      <c r="BF595" s="224" t="str">
        <f>IFERROR(VLOOKUP($A595,Devengado!$A$1:$AI$1,25,FALSE),"")</f>
        <v/>
      </c>
      <c r="BG595" s="224" t="str">
        <f>IFERROR(VLOOKUP($A595,Devengado!$A$1:$AI$1,26,FALSE),"")</f>
        <v/>
      </c>
      <c r="BH595" s="224" t="str">
        <f>IFERROR(VLOOKUP($A595,Devengado!$A$1:$AI$1,27,FALSE),"")</f>
        <v/>
      </c>
      <c r="BI595" s="224" t="str">
        <f>IFERROR(VLOOKUP($A595,Devengado!$A$1:$AI$1,28,FALSE),"")</f>
        <v/>
      </c>
      <c r="BJ595" s="224" t="str">
        <f>IFERROR(VLOOKUP($A595,Devengado!$A$1:$AI$1,29,FALSE),"")</f>
        <v/>
      </c>
      <c r="BK595" s="224" t="str">
        <f>IFERROR(VLOOKUP($A595,Devengado!$A$1:$AI$1,30,FALSE),"")</f>
        <v/>
      </c>
      <c r="BL595" s="224" t="str">
        <f>IFERROR(VLOOKUP($A595,Devengado!$A$1:$AI$1,31,FALSE),"")</f>
        <v/>
      </c>
      <c r="BM595" s="224" t="str">
        <f>IFERROR(VLOOKUP($A595,Devengado!$A$1:$AI$1,32,FALSE),"")</f>
        <v/>
      </c>
      <c r="BN595" s="224" t="str">
        <f>IFERROR(VLOOKUP($A595,Devengado!$A$1:$AI$1,33,FALSE),"")</f>
        <v/>
      </c>
      <c r="BO595" s="224">
        <f t="shared" si="76"/>
        <v>0</v>
      </c>
      <c r="BP595" s="224" t="str">
        <f t="shared" si="77"/>
        <v/>
      </c>
      <c r="BQ595" s="207"/>
      <c r="BR595" s="207" t="str">
        <f t="shared" si="78"/>
        <v>71</v>
      </c>
    </row>
    <row r="596" spans="1:70" s="225" customFormat="1" ht="25.5" customHeight="1">
      <c r="A596" s="207">
        <v>592</v>
      </c>
      <c r="B596" s="119" t="s">
        <v>73</v>
      </c>
      <c r="C596" s="119" t="s">
        <v>77</v>
      </c>
      <c r="D596" s="112" t="s">
        <v>176</v>
      </c>
      <c r="E596" s="112" t="s">
        <v>569</v>
      </c>
      <c r="F596" s="132" t="s">
        <v>576</v>
      </c>
      <c r="G596" s="112" t="s">
        <v>577</v>
      </c>
      <c r="H596" s="112" t="s">
        <v>578</v>
      </c>
      <c r="I596" s="112" t="s">
        <v>585</v>
      </c>
      <c r="J596" s="112" t="s">
        <v>588</v>
      </c>
      <c r="K596" s="207"/>
      <c r="L596" s="112" t="s">
        <v>85</v>
      </c>
      <c r="M596" s="112" t="s">
        <v>589</v>
      </c>
      <c r="N596" s="118">
        <v>9999</v>
      </c>
      <c r="O596" s="118" t="s">
        <v>132</v>
      </c>
      <c r="P596" s="114" t="s">
        <v>582</v>
      </c>
      <c r="Q596" s="114" t="s">
        <v>82</v>
      </c>
      <c r="R596" s="115" t="str">
        <f t="shared" si="72"/>
        <v>71</v>
      </c>
      <c r="S596" s="112">
        <v>710602</v>
      </c>
      <c r="T596" s="122" t="e">
        <f>VLOOKUP(S596,ITEM!$C$1:$D$156,2,FALSE)</f>
        <v>#N/A</v>
      </c>
      <c r="U596" s="114" t="s">
        <v>190</v>
      </c>
      <c r="V596" s="114" t="s">
        <v>575</v>
      </c>
      <c r="W596" s="114"/>
      <c r="X596" s="114"/>
      <c r="Y596" s="224" t="e">
        <f>'Matriz POA 2024-TRABAJO'!#REF!</f>
        <v>#REF!</v>
      </c>
      <c r="Z596" s="224" t="e">
        <f>'Matriz POA 2024-TRABAJO'!#REF!</f>
        <v>#REF!</v>
      </c>
      <c r="AA596" s="224" t="e">
        <f>'Matriz POA 2024-TRABAJO'!#REF!</f>
        <v>#REF!</v>
      </c>
      <c r="AB596" s="279"/>
      <c r="AC596" s="279"/>
      <c r="AD596" s="279"/>
      <c r="AE596" s="279"/>
      <c r="AF596" s="279"/>
      <c r="AG596" s="279"/>
      <c r="AH596" s="279"/>
      <c r="AI596" s="279"/>
      <c r="AJ596" s="279"/>
      <c r="AK596" s="279"/>
      <c r="AL596" s="279"/>
      <c r="AM596" s="279">
        <v>240.57</v>
      </c>
      <c r="AN596" s="224" t="e">
        <f>SUM(#REF!)</f>
        <v>#REF!</v>
      </c>
      <c r="AO596" s="224">
        <f t="shared" si="73"/>
        <v>240.57</v>
      </c>
      <c r="AP596" s="224" t="e">
        <f t="shared" si="79"/>
        <v>#REF!</v>
      </c>
      <c r="AQ596" s="224"/>
      <c r="AR596" s="224"/>
      <c r="AS596" s="224"/>
      <c r="AT596" s="224" t="str">
        <f>IFERROR(VLOOKUP($A596,'Constancias POA'!$A$2:$DH$9993,17,FALSE),"")</f>
        <v/>
      </c>
      <c r="AU596" s="224" t="str">
        <f t="shared" si="74"/>
        <v/>
      </c>
      <c r="AV596" s="224" t="str">
        <f>IFERROR(VLOOKUP($A596,CP!$A$1:$U$7992,18,FALSE),"")</f>
        <v/>
      </c>
      <c r="AW596" s="224" t="str">
        <f>IFERROR(VLOOKUP($A596,CP!$A$1:$U$7992,19,FALSE),"")</f>
        <v/>
      </c>
      <c r="AX596" s="224" t="str">
        <f>IFERROR(VLOOKUP($A596,CP!$A$1:$U$7992,20,FALSE),"")</f>
        <v/>
      </c>
      <c r="AY596" s="224" t="str">
        <f>IFERROR(VLOOKUP($A596,CP!$A$1:$U$1,21,FALSE),"")</f>
        <v/>
      </c>
      <c r="AZ596" s="224" t="str">
        <f>IFERROR(VLOOKUP(A596,Devengado!$A$1:AJ1,35,FALSE),"")</f>
        <v/>
      </c>
      <c r="BA596" s="224" t="str">
        <f t="shared" si="75"/>
        <v/>
      </c>
      <c r="BB596" s="224" t="str">
        <f>IFERROR(AZ596/#REF!,"")</f>
        <v/>
      </c>
      <c r="BC596" s="224" t="str">
        <f>IFERROR(VLOOKUP($A596,Devengado!$A$1:$AI$1,22,FALSE),"")</f>
        <v/>
      </c>
      <c r="BD596" s="224" t="str">
        <f>IFERROR(VLOOKUP($A596,Devengado!$A$1:$AI$1,23,FALSE),"")</f>
        <v/>
      </c>
      <c r="BE596" s="224" t="str">
        <f>IFERROR(VLOOKUP($A596,Devengado!$A$1:$AI$1,24,FALSE),"")</f>
        <v/>
      </c>
      <c r="BF596" s="224" t="str">
        <f>IFERROR(VLOOKUP($A596,Devengado!$A$1:$AI$1,25,FALSE),"")</f>
        <v/>
      </c>
      <c r="BG596" s="224" t="str">
        <f>IFERROR(VLOOKUP($A596,Devengado!$A$1:$AI$1,26,FALSE),"")</f>
        <v/>
      </c>
      <c r="BH596" s="224" t="str">
        <f>IFERROR(VLOOKUP($A596,Devengado!$A$1:$AI$1,27,FALSE),"")</f>
        <v/>
      </c>
      <c r="BI596" s="224" t="str">
        <f>IFERROR(VLOOKUP($A596,Devengado!$A$1:$AI$1,28,FALSE),"")</f>
        <v/>
      </c>
      <c r="BJ596" s="224" t="str">
        <f>IFERROR(VLOOKUP($A596,Devengado!$A$1:$AI$1,29,FALSE),"")</f>
        <v/>
      </c>
      <c r="BK596" s="224" t="str">
        <f>IFERROR(VLOOKUP($A596,Devengado!$A$1:$AI$1,30,FALSE),"")</f>
        <v/>
      </c>
      <c r="BL596" s="224" t="str">
        <f>IFERROR(VLOOKUP($A596,Devengado!$A$1:$AI$1,31,FALSE),"")</f>
        <v/>
      </c>
      <c r="BM596" s="224" t="str">
        <f>IFERROR(VLOOKUP($A596,Devengado!$A$1:$AI$1,32,FALSE),"")</f>
        <v/>
      </c>
      <c r="BN596" s="224" t="str">
        <f>IFERROR(VLOOKUP($A596,Devengado!$A$1:$AI$1,33,FALSE),"")</f>
        <v/>
      </c>
      <c r="BO596" s="224">
        <f t="shared" si="76"/>
        <v>0</v>
      </c>
      <c r="BP596" s="224" t="str">
        <f t="shared" si="77"/>
        <v/>
      </c>
      <c r="BQ596" s="207"/>
      <c r="BR596" s="207" t="str">
        <f t="shared" si="78"/>
        <v>71</v>
      </c>
    </row>
    <row r="597" spans="1:70" s="225" customFormat="1" ht="25.5" customHeight="1">
      <c r="A597" s="207">
        <v>593</v>
      </c>
      <c r="B597" s="119" t="s">
        <v>73</v>
      </c>
      <c r="C597" s="119" t="s">
        <v>77</v>
      </c>
      <c r="D597" s="112" t="s">
        <v>176</v>
      </c>
      <c r="E597" s="112" t="s">
        <v>569</v>
      </c>
      <c r="F597" s="132" t="s">
        <v>576</v>
      </c>
      <c r="G597" s="112" t="s">
        <v>577</v>
      </c>
      <c r="H597" s="112" t="s">
        <v>578</v>
      </c>
      <c r="I597" s="112" t="s">
        <v>585</v>
      </c>
      <c r="J597" s="112" t="s">
        <v>588</v>
      </c>
      <c r="K597" s="207"/>
      <c r="L597" s="112" t="s">
        <v>85</v>
      </c>
      <c r="M597" s="112" t="s">
        <v>589</v>
      </c>
      <c r="N597" s="118">
        <v>9999</v>
      </c>
      <c r="O597" s="118" t="s">
        <v>132</v>
      </c>
      <c r="P597" s="114" t="s">
        <v>582</v>
      </c>
      <c r="Q597" s="114" t="s">
        <v>82</v>
      </c>
      <c r="R597" s="115" t="str">
        <f t="shared" si="72"/>
        <v>71</v>
      </c>
      <c r="S597" s="112">
        <v>710707</v>
      </c>
      <c r="T597" s="122" t="e">
        <f>VLOOKUP(S597,ITEM!$C$1:$D$156,2,FALSE)</f>
        <v>#N/A</v>
      </c>
      <c r="U597" s="114" t="s">
        <v>190</v>
      </c>
      <c r="V597" s="114" t="s">
        <v>575</v>
      </c>
      <c r="W597" s="114"/>
      <c r="X597" s="114"/>
      <c r="Y597" s="224" t="e">
        <f>'Matriz POA 2024-TRABAJO'!#REF!</f>
        <v>#REF!</v>
      </c>
      <c r="Z597" s="224" t="e">
        <f>'Matriz POA 2024-TRABAJO'!#REF!</f>
        <v>#REF!</v>
      </c>
      <c r="AA597" s="224" t="e">
        <f>'Matriz POA 2024-TRABAJO'!#REF!</f>
        <v>#REF!</v>
      </c>
      <c r="AB597" s="279">
        <v>0</v>
      </c>
      <c r="AC597" s="279">
        <v>0</v>
      </c>
      <c r="AD597" s="279">
        <v>0</v>
      </c>
      <c r="AE597" s="279">
        <v>0</v>
      </c>
      <c r="AF597" s="279">
        <v>0</v>
      </c>
      <c r="AG597" s="279">
        <v>0</v>
      </c>
      <c r="AH597" s="279">
        <v>0</v>
      </c>
      <c r="AI597" s="279">
        <v>0</v>
      </c>
      <c r="AJ597" s="279">
        <v>0</v>
      </c>
      <c r="AK597" s="279">
        <v>0</v>
      </c>
      <c r="AL597" s="279">
        <v>0</v>
      </c>
      <c r="AM597" s="279">
        <v>0</v>
      </c>
      <c r="AN597" s="224" t="e">
        <f>SUM(#REF!)</f>
        <v>#REF!</v>
      </c>
      <c r="AO597" s="224">
        <f t="shared" si="73"/>
        <v>0</v>
      </c>
      <c r="AP597" s="224" t="e">
        <f t="shared" si="79"/>
        <v>#REF!</v>
      </c>
      <c r="AQ597" s="224"/>
      <c r="AR597" s="224"/>
      <c r="AS597" s="224"/>
      <c r="AT597" s="224" t="str">
        <f>IFERROR(VLOOKUP($A597,'Constancias POA'!$A$2:$DH$9993,17,FALSE),"")</f>
        <v/>
      </c>
      <c r="AU597" s="224" t="str">
        <f t="shared" si="74"/>
        <v/>
      </c>
      <c r="AV597" s="224" t="str">
        <f>IFERROR(VLOOKUP($A597,CP!$A$1:$U$7992,18,FALSE),"")</f>
        <v/>
      </c>
      <c r="AW597" s="224" t="str">
        <f>IFERROR(VLOOKUP($A597,CP!$A$1:$U$7992,19,FALSE),"")</f>
        <v/>
      </c>
      <c r="AX597" s="224" t="str">
        <f>IFERROR(VLOOKUP($A597,CP!$A$1:$U$7992,20,FALSE),"")</f>
        <v/>
      </c>
      <c r="AY597" s="224" t="str">
        <f>IFERROR(VLOOKUP($A597,CP!$A$1:$U$1,21,FALSE),"")</f>
        <v/>
      </c>
      <c r="AZ597" s="224" t="str">
        <f>IFERROR(VLOOKUP(A597,Devengado!$A$1:AJ1,35,FALSE),"")</f>
        <v/>
      </c>
      <c r="BA597" s="224" t="str">
        <f t="shared" si="75"/>
        <v/>
      </c>
      <c r="BB597" s="224" t="str">
        <f>IFERROR(AZ597/#REF!,"")</f>
        <v/>
      </c>
      <c r="BC597" s="224" t="str">
        <f>IFERROR(VLOOKUP($A597,Devengado!$A$1:$AI$1,22,FALSE),"")</f>
        <v/>
      </c>
      <c r="BD597" s="224" t="str">
        <f>IFERROR(VLOOKUP($A597,Devengado!$A$1:$AI$1,23,FALSE),"")</f>
        <v/>
      </c>
      <c r="BE597" s="224" t="str">
        <f>IFERROR(VLOOKUP($A597,Devengado!$A$1:$AI$1,24,FALSE),"")</f>
        <v/>
      </c>
      <c r="BF597" s="224" t="str">
        <f>IFERROR(VLOOKUP($A597,Devengado!$A$1:$AI$1,25,FALSE),"")</f>
        <v/>
      </c>
      <c r="BG597" s="224" t="str">
        <f>IFERROR(VLOOKUP($A597,Devengado!$A$1:$AI$1,26,FALSE),"")</f>
        <v/>
      </c>
      <c r="BH597" s="224" t="str">
        <f>IFERROR(VLOOKUP($A597,Devengado!$A$1:$AI$1,27,FALSE),"")</f>
        <v/>
      </c>
      <c r="BI597" s="224" t="str">
        <f>IFERROR(VLOOKUP($A597,Devengado!$A$1:$AI$1,28,FALSE),"")</f>
        <v/>
      </c>
      <c r="BJ597" s="224" t="str">
        <f>IFERROR(VLOOKUP($A597,Devengado!$A$1:$AI$1,29,FALSE),"")</f>
        <v/>
      </c>
      <c r="BK597" s="224" t="str">
        <f>IFERROR(VLOOKUP($A597,Devengado!$A$1:$AI$1,30,FALSE),"")</f>
        <v/>
      </c>
      <c r="BL597" s="224" t="str">
        <f>IFERROR(VLOOKUP($A597,Devengado!$A$1:$AI$1,31,FALSE),"")</f>
        <v/>
      </c>
      <c r="BM597" s="224" t="str">
        <f>IFERROR(VLOOKUP($A597,Devengado!$A$1:$AI$1,32,FALSE),"")</f>
        <v/>
      </c>
      <c r="BN597" s="224" t="str">
        <f>IFERROR(VLOOKUP($A597,Devengado!$A$1:$AI$1,33,FALSE),"")</f>
        <v/>
      </c>
      <c r="BO597" s="224">
        <f t="shared" si="76"/>
        <v>0</v>
      </c>
      <c r="BP597" s="224" t="str">
        <f t="shared" si="77"/>
        <v/>
      </c>
      <c r="BQ597" s="207"/>
      <c r="BR597" s="207" t="str">
        <f t="shared" si="78"/>
        <v>71</v>
      </c>
    </row>
    <row r="598" spans="1:70" s="225" customFormat="1" ht="25.5" customHeight="1">
      <c r="A598" s="207">
        <v>594</v>
      </c>
      <c r="B598" s="119" t="s">
        <v>73</v>
      </c>
      <c r="C598" s="119" t="s">
        <v>77</v>
      </c>
      <c r="D598" s="112" t="s">
        <v>176</v>
      </c>
      <c r="E598" s="112" t="s">
        <v>569</v>
      </c>
      <c r="F598" s="132" t="s">
        <v>576</v>
      </c>
      <c r="G598" s="112" t="s">
        <v>577</v>
      </c>
      <c r="H598" s="112" t="s">
        <v>578</v>
      </c>
      <c r="I598" s="112" t="s">
        <v>585</v>
      </c>
      <c r="J598" s="112" t="s">
        <v>590</v>
      </c>
      <c r="K598" s="207"/>
      <c r="L598" s="112" t="s">
        <v>85</v>
      </c>
      <c r="M598" s="112" t="s">
        <v>591</v>
      </c>
      <c r="N598" s="118">
        <v>9999</v>
      </c>
      <c r="O598" s="118" t="s">
        <v>132</v>
      </c>
      <c r="P598" s="114" t="s">
        <v>582</v>
      </c>
      <c r="Q598" s="114" t="s">
        <v>82</v>
      </c>
      <c r="R598" s="115" t="str">
        <f t="shared" si="72"/>
        <v>73</v>
      </c>
      <c r="S598" s="112">
        <v>730606</v>
      </c>
      <c r="T598" s="122" t="e">
        <f>VLOOKUP(S598,ITEM!$C$1:$D$156,2,FALSE)</f>
        <v>#N/A</v>
      </c>
      <c r="U598" s="114">
        <v>1701</v>
      </c>
      <c r="V598" s="114" t="s">
        <v>575</v>
      </c>
      <c r="W598" s="114"/>
      <c r="X598" s="114"/>
      <c r="Y598" s="224" t="e">
        <f>'Matriz POA 2024-TRABAJO'!#REF!</f>
        <v>#REF!</v>
      </c>
      <c r="Z598" s="224" t="e">
        <f>'Matriz POA 2024-TRABAJO'!#REF!</f>
        <v>#REF!</v>
      </c>
      <c r="AA598" s="224" t="e">
        <f>'Matriz POA 2024-TRABAJO'!#REF!</f>
        <v>#REF!</v>
      </c>
      <c r="AB598" s="279"/>
      <c r="AC598" s="279">
        <v>1676</v>
      </c>
      <c r="AD598" s="279">
        <v>1676</v>
      </c>
      <c r="AE598" s="279">
        <v>1676</v>
      </c>
      <c r="AF598" s="279">
        <v>1676</v>
      </c>
      <c r="AG598" s="279">
        <v>1676</v>
      </c>
      <c r="AH598" s="279">
        <v>1676</v>
      </c>
      <c r="AI598" s="279">
        <v>1676</v>
      </c>
      <c r="AJ598" s="279">
        <v>1676</v>
      </c>
      <c r="AK598" s="279">
        <v>1676</v>
      </c>
      <c r="AL598" s="279">
        <v>1676</v>
      </c>
      <c r="AM598" s="279">
        <v>1676</v>
      </c>
      <c r="AN598" s="224" t="e">
        <f>SUM(#REF!)</f>
        <v>#REF!</v>
      </c>
      <c r="AO598" s="224">
        <f t="shared" si="73"/>
        <v>18436</v>
      </c>
      <c r="AP598" s="224" t="e">
        <f t="shared" si="79"/>
        <v>#REF!</v>
      </c>
      <c r="AQ598" s="224"/>
      <c r="AR598" s="224"/>
      <c r="AS598" s="224"/>
      <c r="AT598" s="224" t="str">
        <f>IFERROR(VLOOKUP($A598,'Constancias POA'!$A$2:$DH$9993,17,FALSE),"")</f>
        <v/>
      </c>
      <c r="AU598" s="224" t="str">
        <f t="shared" si="74"/>
        <v/>
      </c>
      <c r="AV598" s="224" t="str">
        <f>IFERROR(VLOOKUP($A598,CP!$A$1:$U$7992,18,FALSE),"")</f>
        <v/>
      </c>
      <c r="AW598" s="224" t="str">
        <f>IFERROR(VLOOKUP($A598,CP!$A$1:$U$7992,19,FALSE),"")</f>
        <v/>
      </c>
      <c r="AX598" s="224" t="str">
        <f>IFERROR(VLOOKUP($A598,CP!$A$1:$U$7992,20,FALSE),"")</f>
        <v/>
      </c>
      <c r="AY598" s="224" t="str">
        <f>IFERROR(VLOOKUP($A598,CP!$A$1:$U$1,21,FALSE),"")</f>
        <v/>
      </c>
      <c r="AZ598" s="224" t="str">
        <f>IFERROR(VLOOKUP(A598,Devengado!$A$1:AJ1,35,FALSE),"")</f>
        <v/>
      </c>
      <c r="BA598" s="224" t="str">
        <f t="shared" si="75"/>
        <v/>
      </c>
      <c r="BB598" s="224" t="str">
        <f>IFERROR(AZ598/#REF!,"")</f>
        <v/>
      </c>
      <c r="BC598" s="224" t="str">
        <f>IFERROR(VLOOKUP($A598,Devengado!$A$1:$AI$1,22,FALSE),"")</f>
        <v/>
      </c>
      <c r="BD598" s="224" t="str">
        <f>IFERROR(VLOOKUP($A598,Devengado!$A$1:$AI$1,23,FALSE),"")</f>
        <v/>
      </c>
      <c r="BE598" s="224" t="str">
        <f>IFERROR(VLOOKUP($A598,Devengado!$A$1:$AI$1,24,FALSE),"")</f>
        <v/>
      </c>
      <c r="BF598" s="224" t="str">
        <f>IFERROR(VLOOKUP($A598,Devengado!$A$1:$AI$1,25,FALSE),"")</f>
        <v/>
      </c>
      <c r="BG598" s="224" t="str">
        <f>IFERROR(VLOOKUP($A598,Devengado!$A$1:$AI$1,26,FALSE),"")</f>
        <v/>
      </c>
      <c r="BH598" s="224" t="str">
        <f>IFERROR(VLOOKUP($A598,Devengado!$A$1:$AI$1,27,FALSE),"")</f>
        <v/>
      </c>
      <c r="BI598" s="224" t="str">
        <f>IFERROR(VLOOKUP($A598,Devengado!$A$1:$AI$1,28,FALSE),"")</f>
        <v/>
      </c>
      <c r="BJ598" s="224" t="str">
        <f>IFERROR(VLOOKUP($A598,Devengado!$A$1:$AI$1,29,FALSE),"")</f>
        <v/>
      </c>
      <c r="BK598" s="224" t="str">
        <f>IFERROR(VLOOKUP($A598,Devengado!$A$1:$AI$1,30,FALSE),"")</f>
        <v/>
      </c>
      <c r="BL598" s="224" t="str">
        <f>IFERROR(VLOOKUP($A598,Devengado!$A$1:$AI$1,31,FALSE),"")</f>
        <v/>
      </c>
      <c r="BM598" s="224" t="str">
        <f>IFERROR(VLOOKUP($A598,Devengado!$A$1:$AI$1,32,FALSE),"")</f>
        <v/>
      </c>
      <c r="BN598" s="224" t="str">
        <f>IFERROR(VLOOKUP($A598,Devengado!$A$1:$AI$1,33,FALSE),"")</f>
        <v/>
      </c>
      <c r="BO598" s="224">
        <f t="shared" si="76"/>
        <v>0</v>
      </c>
      <c r="BP598" s="224" t="str">
        <f t="shared" si="77"/>
        <v/>
      </c>
      <c r="BQ598" s="207"/>
      <c r="BR598" s="207" t="str">
        <f t="shared" si="78"/>
        <v>73</v>
      </c>
    </row>
    <row r="599" spans="1:70" s="225" customFormat="1" ht="25.5" customHeight="1">
      <c r="A599" s="207">
        <v>595</v>
      </c>
      <c r="B599" s="264" t="s">
        <v>73</v>
      </c>
      <c r="C599" s="264" t="s">
        <v>77</v>
      </c>
      <c r="D599" s="207" t="s">
        <v>176</v>
      </c>
      <c r="E599" s="207" t="s">
        <v>569</v>
      </c>
      <c r="F599" s="265" t="s">
        <v>576</v>
      </c>
      <c r="G599" s="207" t="s">
        <v>577</v>
      </c>
      <c r="H599" s="207" t="s">
        <v>578</v>
      </c>
      <c r="I599" s="112" t="s">
        <v>585</v>
      </c>
      <c r="J599" s="207" t="s">
        <v>592</v>
      </c>
      <c r="K599" s="112"/>
      <c r="L599" s="207" t="s">
        <v>85</v>
      </c>
      <c r="M599" s="207" t="s">
        <v>591</v>
      </c>
      <c r="N599" s="266">
        <v>9999</v>
      </c>
      <c r="O599" s="266" t="s">
        <v>132</v>
      </c>
      <c r="P599" s="208" t="s">
        <v>582</v>
      </c>
      <c r="Q599" s="208" t="s">
        <v>82</v>
      </c>
      <c r="R599" s="115" t="str">
        <f t="shared" si="72"/>
        <v>73</v>
      </c>
      <c r="S599" s="207">
        <v>730606</v>
      </c>
      <c r="T599" s="122" t="e">
        <f>VLOOKUP(S599,ITEM!$C$1:$D$156,2,FALSE)</f>
        <v>#N/A</v>
      </c>
      <c r="U599" s="208">
        <v>1701</v>
      </c>
      <c r="V599" s="208" t="s">
        <v>575</v>
      </c>
      <c r="W599" s="208"/>
      <c r="X599" s="208"/>
      <c r="Y599" s="296" t="e">
        <f>'Matriz POA 2024-TRABAJO'!#REF!</f>
        <v>#REF!</v>
      </c>
      <c r="Z599" s="296" t="e">
        <f>'Matriz POA 2024-TRABAJO'!#REF!</f>
        <v>#REF!</v>
      </c>
      <c r="AA599" s="296" t="e">
        <f>'Matriz POA 2024-TRABAJO'!#REF!</f>
        <v>#REF!</v>
      </c>
      <c r="AB599" s="279"/>
      <c r="AC599" s="279">
        <v>1676</v>
      </c>
      <c r="AD599" s="279">
        <v>1676</v>
      </c>
      <c r="AE599" s="279">
        <v>1676</v>
      </c>
      <c r="AF599" s="279">
        <v>1676</v>
      </c>
      <c r="AG599" s="279">
        <v>1676</v>
      </c>
      <c r="AH599" s="279">
        <v>1676</v>
      </c>
      <c r="AI599" s="279">
        <v>1676</v>
      </c>
      <c r="AJ599" s="279">
        <v>1676</v>
      </c>
      <c r="AK599" s="279">
        <v>1676</v>
      </c>
      <c r="AL599" s="279">
        <v>1676</v>
      </c>
      <c r="AM599" s="279">
        <v>1675</v>
      </c>
      <c r="AN599" s="296" t="e">
        <f>SUM(#REF!)</f>
        <v>#REF!</v>
      </c>
      <c r="AO599" s="224">
        <f t="shared" si="73"/>
        <v>18435</v>
      </c>
      <c r="AP599" s="224" t="e">
        <f t="shared" si="79"/>
        <v>#REF!</v>
      </c>
      <c r="AQ599" s="296"/>
      <c r="AR599" s="296"/>
      <c r="AS599" s="296"/>
      <c r="AT599" s="224" t="str">
        <f>IFERROR(VLOOKUP($A599,'Constancias POA'!$A$2:$DH$9993,17,FALSE),"")</f>
        <v/>
      </c>
      <c r="AU599" s="296" t="str">
        <f>IFERROR(AA599-AT599,"")</f>
        <v/>
      </c>
      <c r="AV599" s="224" t="str">
        <f>IFERROR(VLOOKUP($A599,CP!$A$1:$U$7992,18,FALSE),"")</f>
        <v/>
      </c>
      <c r="AW599" s="224" t="str">
        <f>IFERROR(VLOOKUP($A599,CP!$A$1:$U$7992,19,FALSE),"")</f>
        <v/>
      </c>
      <c r="AX599" s="224" t="str">
        <f>IFERROR(VLOOKUP($A599,CP!$A$1:$U$7992,20,FALSE),"")</f>
        <v/>
      </c>
      <c r="AY599" s="296" t="str">
        <f>IFERROR(VLOOKUP($A599,CP!$A$1:$U$1,21,FALSE),"")</f>
        <v/>
      </c>
      <c r="AZ599" s="224" t="str">
        <f>IFERROR(VLOOKUP(A599,Devengado!$A$1:AJ1,35,FALSE),"")</f>
        <v/>
      </c>
      <c r="BA599" s="224" t="str">
        <f t="shared" si="75"/>
        <v/>
      </c>
      <c r="BB599" s="224" t="str">
        <f>IFERROR(AZ599/#REF!,"")</f>
        <v/>
      </c>
      <c r="BC599" s="224" t="str">
        <f>IFERROR(VLOOKUP($A599,Devengado!$A$1:$AI$1,22,FALSE),"")</f>
        <v/>
      </c>
      <c r="BD599" s="224" t="str">
        <f>IFERROR(VLOOKUP($A599,Devengado!$A$1:$AI$1,23,FALSE),"")</f>
        <v/>
      </c>
      <c r="BE599" s="224" t="str">
        <f>IFERROR(VLOOKUP($A599,Devengado!$A$1:$AI$1,24,FALSE),"")</f>
        <v/>
      </c>
      <c r="BF599" s="224" t="str">
        <f>IFERROR(VLOOKUP($A599,Devengado!$A$1:$AI$1,25,FALSE),"")</f>
        <v/>
      </c>
      <c r="BG599" s="224" t="str">
        <f>IFERROR(VLOOKUP($A599,Devengado!$A$1:$AI$1,26,FALSE),"")</f>
        <v/>
      </c>
      <c r="BH599" s="224" t="str">
        <f>IFERROR(VLOOKUP($A599,Devengado!$A$1:$AI$1,27,FALSE),"")</f>
        <v/>
      </c>
      <c r="BI599" s="224" t="str">
        <f>IFERROR(VLOOKUP($A599,Devengado!$A$1:$AI$1,28,FALSE),"")</f>
        <v/>
      </c>
      <c r="BJ599" s="224" t="str">
        <f>IFERROR(VLOOKUP($A599,Devengado!$A$1:$AI$1,29,FALSE),"")</f>
        <v/>
      </c>
      <c r="BK599" s="224" t="str">
        <f>IFERROR(VLOOKUP($A599,Devengado!$A$1:$AI$1,30,FALSE),"")</f>
        <v/>
      </c>
      <c r="BL599" s="224" t="str">
        <f>IFERROR(VLOOKUP($A599,Devengado!$A$1:$AI$1,31,FALSE),"")</f>
        <v/>
      </c>
      <c r="BM599" s="224" t="str">
        <f>IFERROR(VLOOKUP($A599,Devengado!$A$1:$AI$1,32,FALSE),"")</f>
        <v/>
      </c>
      <c r="BN599" s="224" t="str">
        <f>IFERROR(VLOOKUP($A599,Devengado!$A$1:$AI$1,33,FALSE),"")</f>
        <v/>
      </c>
      <c r="BO599" s="224">
        <f t="shared" si="76"/>
        <v>0</v>
      </c>
      <c r="BP599" s="224" t="str">
        <f t="shared" si="77"/>
        <v/>
      </c>
      <c r="BQ599" s="207"/>
      <c r="BR599" s="207" t="str">
        <f t="shared" si="78"/>
        <v>73</v>
      </c>
    </row>
    <row r="600" spans="1:70" s="225" customFormat="1" ht="25.5" customHeight="1">
      <c r="A600" s="207">
        <v>596</v>
      </c>
      <c r="B600" s="264" t="s">
        <v>73</v>
      </c>
      <c r="C600" s="264" t="s">
        <v>77</v>
      </c>
      <c r="D600" s="207" t="s">
        <v>176</v>
      </c>
      <c r="E600" s="207" t="s">
        <v>569</v>
      </c>
      <c r="F600" s="265" t="s">
        <v>576</v>
      </c>
      <c r="G600" s="207" t="s">
        <v>577</v>
      </c>
      <c r="H600" s="207" t="s">
        <v>578</v>
      </c>
      <c r="I600" s="112" t="s">
        <v>585</v>
      </c>
      <c r="J600" s="207" t="s">
        <v>593</v>
      </c>
      <c r="K600" s="112"/>
      <c r="L600" s="207" t="s">
        <v>85</v>
      </c>
      <c r="M600" s="207" t="s">
        <v>594</v>
      </c>
      <c r="N600" s="266">
        <v>9999</v>
      </c>
      <c r="O600" s="266" t="s">
        <v>132</v>
      </c>
      <c r="P600" s="208" t="s">
        <v>582</v>
      </c>
      <c r="Q600" s="208" t="s">
        <v>82</v>
      </c>
      <c r="R600" s="115" t="str">
        <f t="shared" si="72"/>
        <v>73</v>
      </c>
      <c r="S600" s="207">
        <v>730204</v>
      </c>
      <c r="T600" s="122" t="e">
        <f>VLOOKUP(S600,ITEM!$C$1:$D$156,2,FALSE)</f>
        <v>#N/A</v>
      </c>
      <c r="U600" s="208">
        <v>1701</v>
      </c>
      <c r="V600" s="208" t="s">
        <v>575</v>
      </c>
      <c r="W600" s="208"/>
      <c r="X600" s="208"/>
      <c r="Y600" s="296" t="e">
        <f>'Matriz POA 2024-TRABAJO'!#REF!</f>
        <v>#REF!</v>
      </c>
      <c r="Z600" s="296" t="e">
        <f>'Matriz POA 2024-TRABAJO'!#REF!</f>
        <v>#REF!</v>
      </c>
      <c r="AA600" s="296" t="e">
        <f>'Matriz POA 2024-TRABAJO'!#REF!</f>
        <v>#REF!</v>
      </c>
      <c r="AB600" s="279"/>
      <c r="AC600" s="279"/>
      <c r="AD600" s="279"/>
      <c r="AE600" s="279"/>
      <c r="AF600" s="279"/>
      <c r="AG600" s="279"/>
      <c r="AH600" s="279"/>
      <c r="AI600" s="279"/>
      <c r="AJ600" s="279"/>
      <c r="AK600" s="279"/>
      <c r="AL600" s="279"/>
      <c r="AM600" s="279">
        <v>1</v>
      </c>
      <c r="AN600" s="296" t="e">
        <f>SUM(#REF!)</f>
        <v>#REF!</v>
      </c>
      <c r="AO600" s="224">
        <f t="shared" si="73"/>
        <v>1</v>
      </c>
      <c r="AP600" s="224" t="e">
        <f t="shared" si="79"/>
        <v>#REF!</v>
      </c>
      <c r="AQ600" s="296"/>
      <c r="AR600" s="296"/>
      <c r="AS600" s="296"/>
      <c r="AT600" s="224" t="str">
        <f>IFERROR(VLOOKUP($A600,'Constancias POA'!$A$2:$DH$9993,17,FALSE),"")</f>
        <v/>
      </c>
      <c r="AU600" s="296" t="str">
        <f>IFERROR(AA600-AT600,"")</f>
        <v/>
      </c>
      <c r="AV600" s="224" t="str">
        <f>IFERROR(VLOOKUP($A600,CP!$A$1:$U$7992,18,FALSE),"")</f>
        <v/>
      </c>
      <c r="AW600" s="224" t="str">
        <f>IFERROR(VLOOKUP($A600,CP!$A$1:$U$7992,19,FALSE),"")</f>
        <v/>
      </c>
      <c r="AX600" s="224" t="str">
        <f>IFERROR(VLOOKUP($A600,CP!$A$1:$U$7992,20,FALSE),"")</f>
        <v/>
      </c>
      <c r="AY600" s="296" t="str">
        <f>IFERROR(VLOOKUP($A600,CP!$A$1:$U$1,21,FALSE),"")</f>
        <v/>
      </c>
      <c r="AZ600" s="224" t="str">
        <f>IFERROR(VLOOKUP(A600,Devengado!$A$1:AJ1,35,FALSE),"")</f>
        <v/>
      </c>
      <c r="BA600" s="224" t="str">
        <f t="shared" si="75"/>
        <v/>
      </c>
      <c r="BB600" s="224" t="str">
        <f>IFERROR(AZ600/#REF!,"")</f>
        <v/>
      </c>
      <c r="BC600" s="224" t="str">
        <f>IFERROR(VLOOKUP($A600,Devengado!$A$1:$AI$1,22,FALSE),"")</f>
        <v/>
      </c>
      <c r="BD600" s="224" t="str">
        <f>IFERROR(VLOOKUP($A600,Devengado!$A$1:$AI$1,23,FALSE),"")</f>
        <v/>
      </c>
      <c r="BE600" s="224" t="str">
        <f>IFERROR(VLOOKUP($A600,Devengado!$A$1:$AI$1,24,FALSE),"")</f>
        <v/>
      </c>
      <c r="BF600" s="224" t="str">
        <f>IFERROR(VLOOKUP($A600,Devengado!$A$1:$AI$1,25,FALSE),"")</f>
        <v/>
      </c>
      <c r="BG600" s="224" t="str">
        <f>IFERROR(VLOOKUP($A600,Devengado!$A$1:$AI$1,26,FALSE),"")</f>
        <v/>
      </c>
      <c r="BH600" s="224" t="str">
        <f>IFERROR(VLOOKUP($A600,Devengado!$A$1:$AI$1,27,FALSE),"")</f>
        <v/>
      </c>
      <c r="BI600" s="224" t="str">
        <f>IFERROR(VLOOKUP($A600,Devengado!$A$1:$AI$1,28,FALSE),"")</f>
        <v/>
      </c>
      <c r="BJ600" s="224" t="str">
        <f>IFERROR(VLOOKUP($A600,Devengado!$A$1:$AI$1,29,FALSE),"")</f>
        <v/>
      </c>
      <c r="BK600" s="224" t="str">
        <f>IFERROR(VLOOKUP($A600,Devengado!$A$1:$AI$1,30,FALSE),"")</f>
        <v/>
      </c>
      <c r="BL600" s="224" t="str">
        <f>IFERROR(VLOOKUP($A600,Devengado!$A$1:$AI$1,31,FALSE),"")</f>
        <v/>
      </c>
      <c r="BM600" s="224" t="str">
        <f>IFERROR(VLOOKUP($A600,Devengado!$A$1:$AI$1,32,FALSE),"")</f>
        <v/>
      </c>
      <c r="BN600" s="224" t="str">
        <f>IFERROR(VLOOKUP($A600,Devengado!$A$1:$AI$1,33,FALSE),"")</f>
        <v/>
      </c>
      <c r="BO600" s="224">
        <f t="shared" si="76"/>
        <v>0</v>
      </c>
      <c r="BP600" s="224" t="str">
        <f t="shared" si="77"/>
        <v/>
      </c>
      <c r="BQ600" s="207"/>
      <c r="BR600" s="207" t="str">
        <f t="shared" si="78"/>
        <v>73</v>
      </c>
    </row>
    <row r="601" spans="1:70" s="225" customFormat="1" ht="25.5" customHeight="1">
      <c r="A601" s="207">
        <v>597</v>
      </c>
      <c r="B601" s="119" t="s">
        <v>73</v>
      </c>
      <c r="C601" s="119" t="s">
        <v>77</v>
      </c>
      <c r="D601" s="112" t="s">
        <v>176</v>
      </c>
      <c r="E601" s="112" t="s">
        <v>569</v>
      </c>
      <c r="F601" s="132" t="s">
        <v>576</v>
      </c>
      <c r="G601" s="112" t="s">
        <v>577</v>
      </c>
      <c r="H601" s="112" t="s">
        <v>578</v>
      </c>
      <c r="I601" s="112" t="s">
        <v>585</v>
      </c>
      <c r="J601" s="112" t="s">
        <v>590</v>
      </c>
      <c r="K601" s="207"/>
      <c r="L601" s="112" t="s">
        <v>85</v>
      </c>
      <c r="M601" s="112" t="s">
        <v>591</v>
      </c>
      <c r="N601" s="118">
        <v>9999</v>
      </c>
      <c r="O601" s="118" t="s">
        <v>132</v>
      </c>
      <c r="P601" s="114" t="s">
        <v>582</v>
      </c>
      <c r="Q601" s="114" t="s">
        <v>82</v>
      </c>
      <c r="R601" s="115" t="str">
        <f t="shared" si="72"/>
        <v>73</v>
      </c>
      <c r="S601" s="112">
        <v>730701</v>
      </c>
      <c r="T601" s="122" t="e">
        <f>VLOOKUP(S601,ITEM!$C$1:$D$156,2,FALSE)</f>
        <v>#N/A</v>
      </c>
      <c r="U601" s="114">
        <v>1701</v>
      </c>
      <c r="V601" s="114" t="s">
        <v>575</v>
      </c>
      <c r="W601" s="114"/>
      <c r="X601" s="114"/>
      <c r="Y601" s="224" t="e">
        <f>'Matriz POA 2024-TRABAJO'!#REF!</f>
        <v>#REF!</v>
      </c>
      <c r="Z601" s="224" t="e">
        <f>'Matriz POA 2024-TRABAJO'!#REF!</f>
        <v>#REF!</v>
      </c>
      <c r="AA601" s="224" t="e">
        <f>'Matriz POA 2024-TRABAJO'!#REF!</f>
        <v>#REF!</v>
      </c>
      <c r="AB601" s="279">
        <v>0</v>
      </c>
      <c r="AC601" s="279">
        <v>0</v>
      </c>
      <c r="AD601" s="279">
        <v>0</v>
      </c>
      <c r="AE601" s="279">
        <v>0</v>
      </c>
      <c r="AF601" s="279">
        <v>0</v>
      </c>
      <c r="AG601" s="279">
        <v>0</v>
      </c>
      <c r="AH601" s="279">
        <v>0</v>
      </c>
      <c r="AI601" s="279">
        <v>0</v>
      </c>
      <c r="AJ601" s="279">
        <v>0</v>
      </c>
      <c r="AK601" s="279">
        <v>0</v>
      </c>
      <c r="AL601" s="279">
        <v>0</v>
      </c>
      <c r="AM601" s="279">
        <v>0</v>
      </c>
      <c r="AN601" s="224" t="e">
        <f>SUM(#REF!)</f>
        <v>#REF!</v>
      </c>
      <c r="AO601" s="224">
        <f t="shared" si="73"/>
        <v>0</v>
      </c>
      <c r="AP601" s="224" t="e">
        <f t="shared" si="79"/>
        <v>#REF!</v>
      </c>
      <c r="AQ601" s="224"/>
      <c r="AR601" s="224"/>
      <c r="AS601" s="224"/>
      <c r="AT601" s="224" t="str">
        <f>IFERROR(VLOOKUP($A601,'Constancias POA'!$A$2:$DH$9993,17,FALSE),"")</f>
        <v/>
      </c>
      <c r="AU601" s="224" t="str">
        <f>IFERROR(AA601-AT601,"")</f>
        <v/>
      </c>
      <c r="AV601" s="224" t="str">
        <f>IFERROR(VLOOKUP($A601,CP!$A$1:$U$7992,18,FALSE),"")</f>
        <v/>
      </c>
      <c r="AW601" s="224" t="str">
        <f>IFERROR(VLOOKUP($A601,CP!$A$1:$U$7992,19,FALSE),"")</f>
        <v/>
      </c>
      <c r="AX601" s="224" t="str">
        <f>IFERROR(VLOOKUP($A601,CP!$A$1:$U$7992,20,FALSE),"")</f>
        <v/>
      </c>
      <c r="AY601" s="224" t="str">
        <f>IFERROR(VLOOKUP($A601,CP!$A$1:$U$1,21,FALSE),"")</f>
        <v/>
      </c>
      <c r="AZ601" s="224" t="str">
        <f>IFERROR(VLOOKUP(A601,Devengado!$A$1:AJ1,35,FALSE),"")</f>
        <v/>
      </c>
      <c r="BA601" s="224" t="str">
        <f t="shared" si="75"/>
        <v/>
      </c>
      <c r="BB601" s="224" t="str">
        <f>IFERROR(AZ601/#REF!,"")</f>
        <v/>
      </c>
      <c r="BC601" s="224" t="str">
        <f>IFERROR(VLOOKUP($A601,Devengado!$A$1:$AI$1,22,FALSE),"")</f>
        <v/>
      </c>
      <c r="BD601" s="224" t="str">
        <f>IFERROR(VLOOKUP($A601,Devengado!$A$1:$AI$1,23,FALSE),"")</f>
        <v/>
      </c>
      <c r="BE601" s="224" t="str">
        <f>IFERROR(VLOOKUP($A601,Devengado!$A$1:$AI$1,24,FALSE),"")</f>
        <v/>
      </c>
      <c r="BF601" s="224" t="str">
        <f>IFERROR(VLOOKUP($A601,Devengado!$A$1:$AI$1,25,FALSE),"")</f>
        <v/>
      </c>
      <c r="BG601" s="224" t="str">
        <f>IFERROR(VLOOKUP($A601,Devengado!$A$1:$AI$1,26,FALSE),"")</f>
        <v/>
      </c>
      <c r="BH601" s="224" t="str">
        <f>IFERROR(VLOOKUP($A601,Devengado!$A$1:$AI$1,27,FALSE),"")</f>
        <v/>
      </c>
      <c r="BI601" s="224" t="str">
        <f>IFERROR(VLOOKUP($A601,Devengado!$A$1:$AI$1,28,FALSE),"")</f>
        <v/>
      </c>
      <c r="BJ601" s="224" t="str">
        <f>IFERROR(VLOOKUP($A601,Devengado!$A$1:$AI$1,29,FALSE),"")</f>
        <v/>
      </c>
      <c r="BK601" s="224" t="str">
        <f>IFERROR(VLOOKUP($A601,Devengado!$A$1:$AI$1,30,FALSE),"")</f>
        <v/>
      </c>
      <c r="BL601" s="224" t="str">
        <f>IFERROR(VLOOKUP($A601,Devengado!$A$1:$AI$1,31,FALSE),"")</f>
        <v/>
      </c>
      <c r="BM601" s="224" t="str">
        <f>IFERROR(VLOOKUP($A601,Devengado!$A$1:$AI$1,32,FALSE),"")</f>
        <v/>
      </c>
      <c r="BN601" s="224" t="str">
        <f>IFERROR(VLOOKUP($A601,Devengado!$A$1:$AI$1,33,FALSE),"")</f>
        <v/>
      </c>
      <c r="BO601" s="224">
        <f t="shared" si="76"/>
        <v>0</v>
      </c>
      <c r="BP601" s="224" t="str">
        <f t="shared" si="77"/>
        <v/>
      </c>
      <c r="BQ601" s="207"/>
      <c r="BR601" s="207" t="str">
        <f t="shared" si="78"/>
        <v>73</v>
      </c>
    </row>
    <row r="602" spans="1:70" s="225" customFormat="1" ht="25.5" customHeight="1">
      <c r="A602" s="207">
        <v>598</v>
      </c>
      <c r="B602" s="119" t="s">
        <v>73</v>
      </c>
      <c r="C602" s="119" t="s">
        <v>77</v>
      </c>
      <c r="D602" s="112" t="s">
        <v>176</v>
      </c>
      <c r="E602" s="112" t="s">
        <v>569</v>
      </c>
      <c r="F602" s="132" t="s">
        <v>576</v>
      </c>
      <c r="G602" s="112" t="s">
        <v>577</v>
      </c>
      <c r="H602" s="112" t="s">
        <v>578</v>
      </c>
      <c r="I602" s="112" t="s">
        <v>595</v>
      </c>
      <c r="J602" s="112" t="s">
        <v>596</v>
      </c>
      <c r="K602" s="207"/>
      <c r="L602" s="112" t="s">
        <v>85</v>
      </c>
      <c r="M602" s="112" t="s">
        <v>597</v>
      </c>
      <c r="N602" s="118">
        <v>9999</v>
      </c>
      <c r="O602" s="118" t="s">
        <v>132</v>
      </c>
      <c r="P602" s="114" t="s">
        <v>582</v>
      </c>
      <c r="Q602" s="114" t="s">
        <v>82</v>
      </c>
      <c r="R602" s="115" t="str">
        <f t="shared" si="72"/>
        <v>71</v>
      </c>
      <c r="S602" s="112">
        <v>710510</v>
      </c>
      <c r="T602" s="122" t="e">
        <f>VLOOKUP(S602,ITEM!$C$1:$D$156,2,FALSE)</f>
        <v>#N/A</v>
      </c>
      <c r="U602" s="114" t="s">
        <v>190</v>
      </c>
      <c r="V602" s="114" t="s">
        <v>575</v>
      </c>
      <c r="W602" s="114"/>
      <c r="X602" s="114"/>
      <c r="Y602" s="224" t="e">
        <f>'Matriz POA 2024-TRABAJO'!#REF!</f>
        <v>#REF!</v>
      </c>
      <c r="Z602" s="224" t="e">
        <f>'Matriz POA 2024-TRABAJO'!#REF!</f>
        <v>#REF!</v>
      </c>
      <c r="AA602" s="224" t="e">
        <f>'Matriz POA 2024-TRABAJO'!#REF!</f>
        <v>#REF!</v>
      </c>
      <c r="AB602" s="279"/>
      <c r="AC602" s="279"/>
      <c r="AD602" s="279"/>
      <c r="AE602" s="279"/>
      <c r="AF602" s="279"/>
      <c r="AG602" s="279"/>
      <c r="AH602" s="279"/>
      <c r="AI602" s="279"/>
      <c r="AJ602" s="279"/>
      <c r="AK602" s="279"/>
      <c r="AL602" s="279"/>
      <c r="AM602" s="279">
        <v>1676</v>
      </c>
      <c r="AN602" s="224" t="e">
        <f>SUM(#REF!)</f>
        <v>#REF!</v>
      </c>
      <c r="AO602" s="224">
        <f t="shared" si="73"/>
        <v>1676</v>
      </c>
      <c r="AP602" s="224" t="e">
        <f t="shared" si="79"/>
        <v>#REF!</v>
      </c>
      <c r="AQ602" s="224"/>
      <c r="AR602" s="224"/>
      <c r="AS602" s="224"/>
      <c r="AT602" s="224" t="str">
        <f>IFERROR(VLOOKUP($A602,'Constancias POA'!$A$2:$DH$9993,17,FALSE),"")</f>
        <v/>
      </c>
      <c r="AU602" s="224" t="str">
        <f t="shared" si="74"/>
        <v/>
      </c>
      <c r="AV602" s="224" t="str">
        <f>IFERROR(VLOOKUP($A602,CP!$A$1:$U$7992,18,FALSE),"")</f>
        <v/>
      </c>
      <c r="AW602" s="224" t="str">
        <f>IFERROR(VLOOKUP($A602,CP!$A$1:$U$7992,19,FALSE),"")</f>
        <v/>
      </c>
      <c r="AX602" s="224" t="str">
        <f>IFERROR(VLOOKUP($A602,CP!$A$1:$U$7992,20,FALSE),"")</f>
        <v/>
      </c>
      <c r="AY602" s="224" t="str">
        <f>IFERROR(VLOOKUP($A602,CP!$A$1:$U$1,21,FALSE),"")</f>
        <v/>
      </c>
      <c r="AZ602" s="224" t="str">
        <f>IFERROR(VLOOKUP(A602,Devengado!$A$1:AJ1,35,FALSE),"")</f>
        <v/>
      </c>
      <c r="BA602" s="224" t="str">
        <f t="shared" si="75"/>
        <v/>
      </c>
      <c r="BB602" s="224" t="str">
        <f>IFERROR(AZ602/#REF!,"")</f>
        <v/>
      </c>
      <c r="BC602" s="224" t="str">
        <f>IFERROR(VLOOKUP($A602,Devengado!$A$1:$AI$1,22,FALSE),"")</f>
        <v/>
      </c>
      <c r="BD602" s="224" t="str">
        <f>IFERROR(VLOOKUP($A602,Devengado!$A$1:$AI$1,23,FALSE),"")</f>
        <v/>
      </c>
      <c r="BE602" s="224" t="str">
        <f>IFERROR(VLOOKUP($A602,Devengado!$A$1:$AI$1,24,FALSE),"")</f>
        <v/>
      </c>
      <c r="BF602" s="224" t="str">
        <f>IFERROR(VLOOKUP($A602,Devengado!$A$1:$AI$1,25,FALSE),"")</f>
        <v/>
      </c>
      <c r="BG602" s="224" t="str">
        <f>IFERROR(VLOOKUP($A602,Devengado!$A$1:$AI$1,26,FALSE),"")</f>
        <v/>
      </c>
      <c r="BH602" s="224" t="str">
        <f>IFERROR(VLOOKUP($A602,Devengado!$A$1:$AI$1,27,FALSE),"")</f>
        <v/>
      </c>
      <c r="BI602" s="224" t="str">
        <f>IFERROR(VLOOKUP($A602,Devengado!$A$1:$AI$1,28,FALSE),"")</f>
        <v/>
      </c>
      <c r="BJ602" s="224" t="str">
        <f>IFERROR(VLOOKUP($A602,Devengado!$A$1:$AI$1,29,FALSE),"")</f>
        <v/>
      </c>
      <c r="BK602" s="224" t="str">
        <f>IFERROR(VLOOKUP($A602,Devengado!$A$1:$AI$1,30,FALSE),"")</f>
        <v/>
      </c>
      <c r="BL602" s="224" t="str">
        <f>IFERROR(VLOOKUP($A602,Devengado!$A$1:$AI$1,31,FALSE),"")</f>
        <v/>
      </c>
      <c r="BM602" s="224" t="str">
        <f>IFERROR(VLOOKUP($A602,Devengado!$A$1:$AI$1,32,FALSE),"")</f>
        <v/>
      </c>
      <c r="BN602" s="224" t="str">
        <f>IFERROR(VLOOKUP($A602,Devengado!$A$1:$AI$1,33,FALSE),"")</f>
        <v/>
      </c>
      <c r="BO602" s="224">
        <f t="shared" si="76"/>
        <v>0</v>
      </c>
      <c r="BP602" s="224" t="str">
        <f t="shared" si="77"/>
        <v/>
      </c>
      <c r="BQ602" s="207"/>
      <c r="BR602" s="207" t="str">
        <f t="shared" si="78"/>
        <v>71</v>
      </c>
    </row>
    <row r="603" spans="1:70" s="225" customFormat="1" ht="25.5" customHeight="1">
      <c r="A603" s="207">
        <v>599</v>
      </c>
      <c r="B603" s="119" t="s">
        <v>73</v>
      </c>
      <c r="C603" s="119" t="s">
        <v>77</v>
      </c>
      <c r="D603" s="112" t="s">
        <v>176</v>
      </c>
      <c r="E603" s="112" t="s">
        <v>569</v>
      </c>
      <c r="F603" s="132" t="s">
        <v>576</v>
      </c>
      <c r="G603" s="112" t="s">
        <v>577</v>
      </c>
      <c r="H603" s="112" t="s">
        <v>578</v>
      </c>
      <c r="I603" s="112" t="s">
        <v>595</v>
      </c>
      <c r="J603" s="112" t="s">
        <v>596</v>
      </c>
      <c r="K603" s="207"/>
      <c r="L603" s="112" t="s">
        <v>85</v>
      </c>
      <c r="M603" s="112" t="s">
        <v>597</v>
      </c>
      <c r="N603" s="118">
        <v>9999</v>
      </c>
      <c r="O603" s="118" t="s">
        <v>132</v>
      </c>
      <c r="P603" s="114" t="s">
        <v>582</v>
      </c>
      <c r="Q603" s="114" t="s">
        <v>82</v>
      </c>
      <c r="R603" s="115" t="str">
        <f t="shared" si="72"/>
        <v>71</v>
      </c>
      <c r="S603" s="112">
        <v>710203</v>
      </c>
      <c r="T603" s="122" t="e">
        <f>VLOOKUP(S603,ITEM!$C$1:$D$156,2,FALSE)</f>
        <v>#N/A</v>
      </c>
      <c r="U603" s="114" t="s">
        <v>190</v>
      </c>
      <c r="V603" s="114" t="s">
        <v>575</v>
      </c>
      <c r="W603" s="114"/>
      <c r="X603" s="114"/>
      <c r="Y603" s="224" t="e">
        <f>'Matriz POA 2024-TRABAJO'!#REF!</f>
        <v>#REF!</v>
      </c>
      <c r="Z603" s="224" t="e">
        <f>'Matriz POA 2024-TRABAJO'!#REF!</f>
        <v>#REF!</v>
      </c>
      <c r="AA603" s="224" t="e">
        <f>'Matriz POA 2024-TRABAJO'!#REF!</f>
        <v>#REF!</v>
      </c>
      <c r="AB603" s="279"/>
      <c r="AC603" s="279"/>
      <c r="AD603" s="279"/>
      <c r="AE603" s="279"/>
      <c r="AF603" s="279"/>
      <c r="AG603" s="279"/>
      <c r="AH603" s="279"/>
      <c r="AI603" s="279"/>
      <c r="AJ603" s="279"/>
      <c r="AK603" s="279"/>
      <c r="AL603" s="279"/>
      <c r="AM603" s="279"/>
      <c r="AN603" s="224" t="e">
        <f>SUM(#REF!)</f>
        <v>#REF!</v>
      </c>
      <c r="AO603" s="224">
        <f t="shared" si="73"/>
        <v>0</v>
      </c>
      <c r="AP603" s="224" t="e">
        <f t="shared" si="79"/>
        <v>#REF!</v>
      </c>
      <c r="AQ603" s="224"/>
      <c r="AR603" s="224"/>
      <c r="AS603" s="224"/>
      <c r="AT603" s="224" t="str">
        <f>IFERROR(VLOOKUP($A603,'Constancias POA'!$A$2:$DH$9993,17,FALSE),"")</f>
        <v/>
      </c>
      <c r="AU603" s="224" t="str">
        <f t="shared" si="74"/>
        <v/>
      </c>
      <c r="AV603" s="224" t="str">
        <f>IFERROR(VLOOKUP($A603,CP!$A$1:$U$7992,18,FALSE),"")</f>
        <v/>
      </c>
      <c r="AW603" s="224" t="str">
        <f>IFERROR(VLOOKUP($A603,CP!$A$1:$U$7992,19,FALSE),"")</f>
        <v/>
      </c>
      <c r="AX603" s="224" t="str">
        <f>IFERROR(VLOOKUP($A603,CP!$A$1:$U$7992,20,FALSE),"")</f>
        <v/>
      </c>
      <c r="AY603" s="224" t="str">
        <f>IFERROR(VLOOKUP($A603,CP!$A$1:$U$1,21,FALSE),"")</f>
        <v/>
      </c>
      <c r="AZ603" s="224" t="str">
        <f>IFERROR(VLOOKUP(A603,Devengado!$A$1:AJ1,35,FALSE),"")</f>
        <v/>
      </c>
      <c r="BA603" s="224" t="str">
        <f t="shared" si="75"/>
        <v/>
      </c>
      <c r="BB603" s="224" t="str">
        <f>IFERROR(AZ603/#REF!,"")</f>
        <v/>
      </c>
      <c r="BC603" s="224" t="str">
        <f>IFERROR(VLOOKUP($A603,Devengado!$A$1:$AI$1,22,FALSE),"")</f>
        <v/>
      </c>
      <c r="BD603" s="224" t="str">
        <f>IFERROR(VLOOKUP($A603,Devengado!$A$1:$AI$1,23,FALSE),"")</f>
        <v/>
      </c>
      <c r="BE603" s="224" t="str">
        <f>IFERROR(VLOOKUP($A603,Devengado!$A$1:$AI$1,24,FALSE),"")</f>
        <v/>
      </c>
      <c r="BF603" s="224" t="str">
        <f>IFERROR(VLOOKUP($A603,Devengado!$A$1:$AI$1,25,FALSE),"")</f>
        <v/>
      </c>
      <c r="BG603" s="224" t="str">
        <f>IFERROR(VLOOKUP($A603,Devengado!$A$1:$AI$1,26,FALSE),"")</f>
        <v/>
      </c>
      <c r="BH603" s="224" t="str">
        <f>IFERROR(VLOOKUP($A603,Devengado!$A$1:$AI$1,27,FALSE),"")</f>
        <v/>
      </c>
      <c r="BI603" s="224" t="str">
        <f>IFERROR(VLOOKUP($A603,Devengado!$A$1:$AI$1,28,FALSE),"")</f>
        <v/>
      </c>
      <c r="BJ603" s="224" t="str">
        <f>IFERROR(VLOOKUP($A603,Devengado!$A$1:$AI$1,29,FALSE),"")</f>
        <v/>
      </c>
      <c r="BK603" s="224" t="str">
        <f>IFERROR(VLOOKUP($A603,Devengado!$A$1:$AI$1,30,FALSE),"")</f>
        <v/>
      </c>
      <c r="BL603" s="224" t="str">
        <f>IFERROR(VLOOKUP($A603,Devengado!$A$1:$AI$1,31,FALSE),"")</f>
        <v/>
      </c>
      <c r="BM603" s="224" t="str">
        <f>IFERROR(VLOOKUP($A603,Devengado!$A$1:$AI$1,32,FALSE),"")</f>
        <v/>
      </c>
      <c r="BN603" s="224" t="str">
        <f>IFERROR(VLOOKUP($A603,Devengado!$A$1:$AI$1,33,FALSE),"")</f>
        <v/>
      </c>
      <c r="BO603" s="224">
        <f t="shared" si="76"/>
        <v>0</v>
      </c>
      <c r="BP603" s="224" t="str">
        <f t="shared" si="77"/>
        <v/>
      </c>
      <c r="BQ603" s="207"/>
      <c r="BR603" s="207" t="str">
        <f t="shared" si="78"/>
        <v>71</v>
      </c>
    </row>
    <row r="604" spans="1:70" s="225" customFormat="1" ht="25.5" customHeight="1">
      <c r="A604" s="207">
        <v>600</v>
      </c>
      <c r="B604" s="119" t="s">
        <v>73</v>
      </c>
      <c r="C604" s="119" t="s">
        <v>77</v>
      </c>
      <c r="D604" s="112" t="s">
        <v>176</v>
      </c>
      <c r="E604" s="112" t="s">
        <v>569</v>
      </c>
      <c r="F604" s="132" t="s">
        <v>576</v>
      </c>
      <c r="G604" s="112" t="s">
        <v>577</v>
      </c>
      <c r="H604" s="112" t="s">
        <v>578</v>
      </c>
      <c r="I604" s="112" t="s">
        <v>595</v>
      </c>
      <c r="J604" s="112" t="s">
        <v>596</v>
      </c>
      <c r="K604" s="207"/>
      <c r="L604" s="112" t="s">
        <v>85</v>
      </c>
      <c r="M604" s="112" t="s">
        <v>597</v>
      </c>
      <c r="N604" s="118">
        <v>9999</v>
      </c>
      <c r="O604" s="118" t="s">
        <v>132</v>
      </c>
      <c r="P604" s="114" t="s">
        <v>582</v>
      </c>
      <c r="Q604" s="114" t="s">
        <v>82</v>
      </c>
      <c r="R604" s="115" t="str">
        <f t="shared" si="72"/>
        <v>71</v>
      </c>
      <c r="S604" s="112">
        <v>710204</v>
      </c>
      <c r="T604" s="122" t="e">
        <f>VLOOKUP(S604,ITEM!$C$1:$D$156,2,FALSE)</f>
        <v>#N/A</v>
      </c>
      <c r="U604" s="114" t="s">
        <v>190</v>
      </c>
      <c r="V604" s="114" t="s">
        <v>575</v>
      </c>
      <c r="W604" s="114"/>
      <c r="X604" s="114"/>
      <c r="Y604" s="224" t="e">
        <f>'Matriz POA 2024-TRABAJO'!#REF!</f>
        <v>#REF!</v>
      </c>
      <c r="Z604" s="224" t="e">
        <f>'Matriz POA 2024-TRABAJO'!#REF!</f>
        <v>#REF!</v>
      </c>
      <c r="AA604" s="224" t="e">
        <f>'Matriz POA 2024-TRABAJO'!#REF!</f>
        <v>#REF!</v>
      </c>
      <c r="AB604" s="279"/>
      <c r="AC604" s="279"/>
      <c r="AD604" s="279"/>
      <c r="AE604" s="279"/>
      <c r="AF604" s="279"/>
      <c r="AG604" s="279"/>
      <c r="AH604" s="279"/>
      <c r="AI604" s="279"/>
      <c r="AJ604" s="279"/>
      <c r="AK604" s="279"/>
      <c r="AL604" s="279"/>
      <c r="AM604" s="279"/>
      <c r="AN604" s="224" t="e">
        <f>SUM(#REF!)</f>
        <v>#REF!</v>
      </c>
      <c r="AO604" s="224">
        <f t="shared" si="73"/>
        <v>0</v>
      </c>
      <c r="AP604" s="224" t="e">
        <f t="shared" si="79"/>
        <v>#REF!</v>
      </c>
      <c r="AQ604" s="224"/>
      <c r="AR604" s="224"/>
      <c r="AS604" s="224"/>
      <c r="AT604" s="224" t="str">
        <f>IFERROR(VLOOKUP($A604,'Constancias POA'!$A$2:$DH$9993,17,FALSE),"")</f>
        <v/>
      </c>
      <c r="AU604" s="224" t="str">
        <f t="shared" si="74"/>
        <v/>
      </c>
      <c r="AV604" s="224" t="str">
        <f>IFERROR(VLOOKUP($A604,CP!$A$1:$U$7992,18,FALSE),"")</f>
        <v/>
      </c>
      <c r="AW604" s="224" t="str">
        <f>IFERROR(VLOOKUP($A604,CP!$A$1:$U$7992,19,FALSE),"")</f>
        <v/>
      </c>
      <c r="AX604" s="224" t="str">
        <f>IFERROR(VLOOKUP($A604,CP!$A$1:$U$7992,20,FALSE),"")</f>
        <v/>
      </c>
      <c r="AY604" s="224" t="str">
        <f>IFERROR(VLOOKUP($A604,CP!$A$1:$U$1,21,FALSE),"")</f>
        <v/>
      </c>
      <c r="AZ604" s="224" t="str">
        <f>IFERROR(VLOOKUP(A604,Devengado!$A$1:AJ1,35,FALSE),"")</f>
        <v/>
      </c>
      <c r="BA604" s="224" t="str">
        <f t="shared" si="75"/>
        <v/>
      </c>
      <c r="BB604" s="224" t="str">
        <f>IFERROR(AZ604/#REF!,"")</f>
        <v/>
      </c>
      <c r="BC604" s="224" t="str">
        <f>IFERROR(VLOOKUP($A604,Devengado!$A$1:$AI$1,22,FALSE),"")</f>
        <v/>
      </c>
      <c r="BD604" s="224" t="str">
        <f>IFERROR(VLOOKUP($A604,Devengado!$A$1:$AI$1,23,FALSE),"")</f>
        <v/>
      </c>
      <c r="BE604" s="224" t="str">
        <f>IFERROR(VLOOKUP($A604,Devengado!$A$1:$AI$1,24,FALSE),"")</f>
        <v/>
      </c>
      <c r="BF604" s="224" t="str">
        <f>IFERROR(VLOOKUP($A604,Devengado!$A$1:$AI$1,25,FALSE),"")</f>
        <v/>
      </c>
      <c r="BG604" s="224" t="str">
        <f>IFERROR(VLOOKUP($A604,Devengado!$A$1:$AI$1,26,FALSE),"")</f>
        <v/>
      </c>
      <c r="BH604" s="224" t="str">
        <f>IFERROR(VLOOKUP($A604,Devengado!$A$1:$AI$1,27,FALSE),"")</f>
        <v/>
      </c>
      <c r="BI604" s="224" t="str">
        <f>IFERROR(VLOOKUP($A604,Devengado!$A$1:$AI$1,28,FALSE),"")</f>
        <v/>
      </c>
      <c r="BJ604" s="224" t="str">
        <f>IFERROR(VLOOKUP($A604,Devengado!$A$1:$AI$1,29,FALSE),"")</f>
        <v/>
      </c>
      <c r="BK604" s="224" t="str">
        <f>IFERROR(VLOOKUP($A604,Devengado!$A$1:$AI$1,30,FALSE),"")</f>
        <v/>
      </c>
      <c r="BL604" s="224" t="str">
        <f>IFERROR(VLOOKUP($A604,Devengado!$A$1:$AI$1,31,FALSE),"")</f>
        <v/>
      </c>
      <c r="BM604" s="224" t="str">
        <f>IFERROR(VLOOKUP($A604,Devengado!$A$1:$AI$1,32,FALSE),"")</f>
        <v/>
      </c>
      <c r="BN604" s="224" t="str">
        <f>IFERROR(VLOOKUP($A604,Devengado!$A$1:$AI$1,33,FALSE),"")</f>
        <v/>
      </c>
      <c r="BO604" s="224">
        <f t="shared" si="76"/>
        <v>0</v>
      </c>
      <c r="BP604" s="224" t="str">
        <f t="shared" si="77"/>
        <v/>
      </c>
      <c r="BQ604" s="207"/>
      <c r="BR604" s="207" t="str">
        <f t="shared" si="78"/>
        <v>71</v>
      </c>
    </row>
    <row r="605" spans="1:70" s="225" customFormat="1" ht="25.5" customHeight="1">
      <c r="A605" s="207">
        <v>601</v>
      </c>
      <c r="B605" s="119" t="s">
        <v>73</v>
      </c>
      <c r="C605" s="119" t="s">
        <v>77</v>
      </c>
      <c r="D605" s="112" t="s">
        <v>176</v>
      </c>
      <c r="E605" s="112" t="s">
        <v>569</v>
      </c>
      <c r="F605" s="132" t="s">
        <v>576</v>
      </c>
      <c r="G605" s="112" t="s">
        <v>577</v>
      </c>
      <c r="H605" s="112" t="s">
        <v>578</v>
      </c>
      <c r="I605" s="112" t="s">
        <v>595</v>
      </c>
      <c r="J605" s="112" t="s">
        <v>596</v>
      </c>
      <c r="K605" s="207"/>
      <c r="L605" s="112" t="s">
        <v>85</v>
      </c>
      <c r="M605" s="112" t="s">
        <v>597</v>
      </c>
      <c r="N605" s="118">
        <v>9999</v>
      </c>
      <c r="O605" s="118" t="s">
        <v>132</v>
      </c>
      <c r="P605" s="114" t="s">
        <v>582</v>
      </c>
      <c r="Q605" s="114" t="s">
        <v>82</v>
      </c>
      <c r="R605" s="115" t="str">
        <f t="shared" si="72"/>
        <v>71</v>
      </c>
      <c r="S605" s="112">
        <v>710601</v>
      </c>
      <c r="T605" s="122" t="e">
        <f>VLOOKUP(S605,ITEM!$C$1:$D$156,2,FALSE)</f>
        <v>#N/A</v>
      </c>
      <c r="U605" s="114" t="s">
        <v>190</v>
      </c>
      <c r="V605" s="114" t="s">
        <v>575</v>
      </c>
      <c r="W605" s="114"/>
      <c r="X605" s="114"/>
      <c r="Y605" s="224" t="e">
        <f>'Matriz POA 2024-TRABAJO'!#REF!</f>
        <v>#REF!</v>
      </c>
      <c r="Z605" s="224" t="e">
        <f>'Matriz POA 2024-TRABAJO'!#REF!</f>
        <v>#REF!</v>
      </c>
      <c r="AA605" s="224" t="e">
        <f>'Matriz POA 2024-TRABAJO'!#REF!</f>
        <v>#REF!</v>
      </c>
      <c r="AB605" s="279"/>
      <c r="AC605" s="279"/>
      <c r="AD605" s="279"/>
      <c r="AE605" s="279"/>
      <c r="AF605" s="279"/>
      <c r="AG605" s="279"/>
      <c r="AH605" s="279"/>
      <c r="AI605" s="279"/>
      <c r="AJ605" s="279"/>
      <c r="AK605" s="279"/>
      <c r="AL605" s="279"/>
      <c r="AM605" s="279">
        <v>161.72999999999999</v>
      </c>
      <c r="AN605" s="224" t="e">
        <f>SUM(#REF!)</f>
        <v>#REF!</v>
      </c>
      <c r="AO605" s="224">
        <f t="shared" si="73"/>
        <v>161.72999999999999</v>
      </c>
      <c r="AP605" s="224" t="e">
        <f t="shared" si="79"/>
        <v>#REF!</v>
      </c>
      <c r="AQ605" s="224"/>
      <c r="AR605" s="224"/>
      <c r="AS605" s="224"/>
      <c r="AT605" s="224" t="str">
        <f>IFERROR(VLOOKUP($A605,'Constancias POA'!$A$2:$DH$9993,17,FALSE),"")</f>
        <v/>
      </c>
      <c r="AU605" s="224" t="str">
        <f t="shared" si="74"/>
        <v/>
      </c>
      <c r="AV605" s="224" t="str">
        <f>IFERROR(VLOOKUP($A605,CP!$A$1:$U$7992,18,FALSE),"")</f>
        <v/>
      </c>
      <c r="AW605" s="224" t="str">
        <f>IFERROR(VLOOKUP($A605,CP!$A$1:$U$7992,19,FALSE),"")</f>
        <v/>
      </c>
      <c r="AX605" s="224" t="str">
        <f>IFERROR(VLOOKUP($A605,CP!$A$1:$U$7992,20,FALSE),"")</f>
        <v/>
      </c>
      <c r="AY605" s="224" t="str">
        <f>IFERROR(VLOOKUP($A605,CP!$A$1:$U$1,21,FALSE),"")</f>
        <v/>
      </c>
      <c r="AZ605" s="224" t="str">
        <f>IFERROR(VLOOKUP(A605,Devengado!$A$1:AJ1,35,FALSE),"")</f>
        <v/>
      </c>
      <c r="BA605" s="224" t="str">
        <f t="shared" si="75"/>
        <v/>
      </c>
      <c r="BB605" s="224" t="str">
        <f>IFERROR(AZ605/#REF!,"")</f>
        <v/>
      </c>
      <c r="BC605" s="224" t="str">
        <f>IFERROR(VLOOKUP($A605,Devengado!$A$1:$AI$1,22,FALSE),"")</f>
        <v/>
      </c>
      <c r="BD605" s="224" t="str">
        <f>IFERROR(VLOOKUP($A605,Devengado!$A$1:$AI$1,23,FALSE),"")</f>
        <v/>
      </c>
      <c r="BE605" s="224" t="str">
        <f>IFERROR(VLOOKUP($A605,Devengado!$A$1:$AI$1,24,FALSE),"")</f>
        <v/>
      </c>
      <c r="BF605" s="224" t="str">
        <f>IFERROR(VLOOKUP($A605,Devengado!$A$1:$AI$1,25,FALSE),"")</f>
        <v/>
      </c>
      <c r="BG605" s="224" t="str">
        <f>IFERROR(VLOOKUP($A605,Devengado!$A$1:$AI$1,26,FALSE),"")</f>
        <v/>
      </c>
      <c r="BH605" s="224" t="str">
        <f>IFERROR(VLOOKUP($A605,Devengado!$A$1:$AI$1,27,FALSE),"")</f>
        <v/>
      </c>
      <c r="BI605" s="224" t="str">
        <f>IFERROR(VLOOKUP($A605,Devengado!$A$1:$AI$1,28,FALSE),"")</f>
        <v/>
      </c>
      <c r="BJ605" s="224" t="str">
        <f>IFERROR(VLOOKUP($A605,Devengado!$A$1:$AI$1,29,FALSE),"")</f>
        <v/>
      </c>
      <c r="BK605" s="224" t="str">
        <f>IFERROR(VLOOKUP($A605,Devengado!$A$1:$AI$1,30,FALSE),"")</f>
        <v/>
      </c>
      <c r="BL605" s="224" t="str">
        <f>IFERROR(VLOOKUP($A605,Devengado!$A$1:$AI$1,31,FALSE),"")</f>
        <v/>
      </c>
      <c r="BM605" s="224" t="str">
        <f>IFERROR(VLOOKUP($A605,Devengado!$A$1:$AI$1,32,FALSE),"")</f>
        <v/>
      </c>
      <c r="BN605" s="224" t="str">
        <f>IFERROR(VLOOKUP($A605,Devengado!$A$1:$AI$1,33,FALSE),"")</f>
        <v/>
      </c>
      <c r="BO605" s="224">
        <f t="shared" si="76"/>
        <v>0</v>
      </c>
      <c r="BP605" s="224" t="str">
        <f t="shared" si="77"/>
        <v/>
      </c>
      <c r="BQ605" s="207"/>
      <c r="BR605" s="207" t="str">
        <f t="shared" si="78"/>
        <v>71</v>
      </c>
    </row>
    <row r="606" spans="1:70" s="225" customFormat="1" ht="25.5" customHeight="1">
      <c r="A606" s="207">
        <v>602</v>
      </c>
      <c r="B606" s="119" t="s">
        <v>73</v>
      </c>
      <c r="C606" s="119" t="s">
        <v>77</v>
      </c>
      <c r="D606" s="112" t="s">
        <v>176</v>
      </c>
      <c r="E606" s="112" t="s">
        <v>569</v>
      </c>
      <c r="F606" s="132" t="s">
        <v>576</v>
      </c>
      <c r="G606" s="112" t="s">
        <v>577</v>
      </c>
      <c r="H606" s="112" t="s">
        <v>578</v>
      </c>
      <c r="I606" s="112" t="s">
        <v>595</v>
      </c>
      <c r="J606" s="112" t="s">
        <v>596</v>
      </c>
      <c r="K606" s="207"/>
      <c r="L606" s="112" t="s">
        <v>85</v>
      </c>
      <c r="M606" s="112" t="s">
        <v>597</v>
      </c>
      <c r="N606" s="118">
        <v>9999</v>
      </c>
      <c r="O606" s="118" t="s">
        <v>132</v>
      </c>
      <c r="P606" s="114" t="s">
        <v>582</v>
      </c>
      <c r="Q606" s="114" t="s">
        <v>82</v>
      </c>
      <c r="R606" s="115" t="str">
        <f t="shared" si="72"/>
        <v>71</v>
      </c>
      <c r="S606" s="112">
        <v>710602</v>
      </c>
      <c r="T606" s="122" t="e">
        <f>VLOOKUP(S606,ITEM!$C$1:$D$156,2,FALSE)</f>
        <v>#N/A</v>
      </c>
      <c r="U606" s="114" t="s">
        <v>190</v>
      </c>
      <c r="V606" s="114" t="s">
        <v>575</v>
      </c>
      <c r="W606" s="114"/>
      <c r="X606" s="114"/>
      <c r="Y606" s="224" t="e">
        <f>'Matriz POA 2024-TRABAJO'!#REF!</f>
        <v>#REF!</v>
      </c>
      <c r="Z606" s="224" t="e">
        <f>'Matriz POA 2024-TRABAJO'!#REF!</f>
        <v>#REF!</v>
      </c>
      <c r="AA606" s="224" t="e">
        <f>'Matriz POA 2024-TRABAJO'!#REF!</f>
        <v>#REF!</v>
      </c>
      <c r="AB606" s="279"/>
      <c r="AC606" s="279"/>
      <c r="AD606" s="279"/>
      <c r="AE606" s="279"/>
      <c r="AF606" s="279"/>
      <c r="AG606" s="279"/>
      <c r="AH606" s="279"/>
      <c r="AI606" s="279"/>
      <c r="AJ606" s="279"/>
      <c r="AK606" s="279"/>
      <c r="AL606" s="279"/>
      <c r="AM606" s="279">
        <v>139.61000000000001</v>
      </c>
      <c r="AN606" s="224" t="e">
        <f>SUM(#REF!)</f>
        <v>#REF!</v>
      </c>
      <c r="AO606" s="224">
        <f t="shared" si="73"/>
        <v>139.61000000000001</v>
      </c>
      <c r="AP606" s="224" t="e">
        <f t="shared" si="79"/>
        <v>#REF!</v>
      </c>
      <c r="AQ606" s="224"/>
      <c r="AR606" s="224"/>
      <c r="AS606" s="224"/>
      <c r="AT606" s="224" t="str">
        <f>IFERROR(VLOOKUP($A606,'Constancias POA'!$A$2:$DH$9993,17,FALSE),"")</f>
        <v/>
      </c>
      <c r="AU606" s="224" t="str">
        <f t="shared" si="74"/>
        <v/>
      </c>
      <c r="AV606" s="224" t="str">
        <f>IFERROR(VLOOKUP($A606,CP!$A$1:$U$7992,18,FALSE),"")</f>
        <v/>
      </c>
      <c r="AW606" s="224" t="str">
        <f>IFERROR(VLOOKUP($A606,CP!$A$1:$U$7992,19,FALSE),"")</f>
        <v/>
      </c>
      <c r="AX606" s="224" t="str">
        <f>IFERROR(VLOOKUP($A606,CP!$A$1:$U$7992,20,FALSE),"")</f>
        <v/>
      </c>
      <c r="AY606" s="224" t="str">
        <f>IFERROR(VLOOKUP($A606,CP!$A$1:$U$1,21,FALSE),"")</f>
        <v/>
      </c>
      <c r="AZ606" s="224" t="str">
        <f>IFERROR(VLOOKUP(A606,Devengado!$A$1:AJ1,35,FALSE),"")</f>
        <v/>
      </c>
      <c r="BA606" s="224" t="str">
        <f t="shared" si="75"/>
        <v/>
      </c>
      <c r="BB606" s="224" t="str">
        <f>IFERROR(AZ606/#REF!,"")</f>
        <v/>
      </c>
      <c r="BC606" s="224" t="str">
        <f>IFERROR(VLOOKUP($A606,Devengado!$A$1:$AI$1,22,FALSE),"")</f>
        <v/>
      </c>
      <c r="BD606" s="224" t="str">
        <f>IFERROR(VLOOKUP($A606,Devengado!$A$1:$AI$1,23,FALSE),"")</f>
        <v/>
      </c>
      <c r="BE606" s="224" t="str">
        <f>IFERROR(VLOOKUP($A606,Devengado!$A$1:$AI$1,24,FALSE),"")</f>
        <v/>
      </c>
      <c r="BF606" s="224" t="str">
        <f>IFERROR(VLOOKUP($A606,Devengado!$A$1:$AI$1,25,FALSE),"")</f>
        <v/>
      </c>
      <c r="BG606" s="224" t="str">
        <f>IFERROR(VLOOKUP($A606,Devengado!$A$1:$AI$1,26,FALSE),"")</f>
        <v/>
      </c>
      <c r="BH606" s="224" t="str">
        <f>IFERROR(VLOOKUP($A606,Devengado!$A$1:$AI$1,27,FALSE),"")</f>
        <v/>
      </c>
      <c r="BI606" s="224" t="str">
        <f>IFERROR(VLOOKUP($A606,Devengado!$A$1:$AI$1,28,FALSE),"")</f>
        <v/>
      </c>
      <c r="BJ606" s="224" t="str">
        <f>IFERROR(VLOOKUP($A606,Devengado!$A$1:$AI$1,29,FALSE),"")</f>
        <v/>
      </c>
      <c r="BK606" s="224" t="str">
        <f>IFERROR(VLOOKUP($A606,Devengado!$A$1:$AI$1,30,FALSE),"")</f>
        <v/>
      </c>
      <c r="BL606" s="224" t="str">
        <f>IFERROR(VLOOKUP($A606,Devengado!$A$1:$AI$1,31,FALSE),"")</f>
        <v/>
      </c>
      <c r="BM606" s="224" t="str">
        <f>IFERROR(VLOOKUP($A606,Devengado!$A$1:$AI$1,32,FALSE),"")</f>
        <v/>
      </c>
      <c r="BN606" s="224" t="str">
        <f>IFERROR(VLOOKUP($A606,Devengado!$A$1:$AI$1,33,FALSE),"")</f>
        <v/>
      </c>
      <c r="BO606" s="224">
        <f t="shared" si="76"/>
        <v>0</v>
      </c>
      <c r="BP606" s="224" t="str">
        <f t="shared" si="77"/>
        <v/>
      </c>
      <c r="BQ606" s="207"/>
      <c r="BR606" s="207" t="str">
        <f t="shared" si="78"/>
        <v>71</v>
      </c>
    </row>
    <row r="607" spans="1:70" s="225" customFormat="1" ht="25.5" customHeight="1">
      <c r="A607" s="207">
        <v>603</v>
      </c>
      <c r="B607" s="119" t="s">
        <v>73</v>
      </c>
      <c r="C607" s="119" t="s">
        <v>77</v>
      </c>
      <c r="D607" s="112" t="s">
        <v>176</v>
      </c>
      <c r="E607" s="112" t="s">
        <v>569</v>
      </c>
      <c r="F607" s="132" t="s">
        <v>576</v>
      </c>
      <c r="G607" s="112" t="s">
        <v>577</v>
      </c>
      <c r="H607" s="112" t="s">
        <v>578</v>
      </c>
      <c r="I607" s="112" t="s">
        <v>595</v>
      </c>
      <c r="J607" s="112" t="s">
        <v>596</v>
      </c>
      <c r="K607" s="207"/>
      <c r="L607" s="112" t="s">
        <v>85</v>
      </c>
      <c r="M607" s="112" t="s">
        <v>597</v>
      </c>
      <c r="N607" s="118">
        <v>9999</v>
      </c>
      <c r="O607" s="118" t="s">
        <v>132</v>
      </c>
      <c r="P607" s="114" t="s">
        <v>582</v>
      </c>
      <c r="Q607" s="114" t="s">
        <v>82</v>
      </c>
      <c r="R607" s="115" t="str">
        <f t="shared" si="72"/>
        <v>71</v>
      </c>
      <c r="S607" s="112">
        <v>710707</v>
      </c>
      <c r="T607" s="122" t="e">
        <f>VLOOKUP(S607,ITEM!$C$1:$D$156,2,FALSE)</f>
        <v>#N/A</v>
      </c>
      <c r="U607" s="114" t="s">
        <v>190</v>
      </c>
      <c r="V607" s="114" t="s">
        <v>575</v>
      </c>
      <c r="W607" s="114"/>
      <c r="X607" s="114"/>
      <c r="Y607" s="224" t="e">
        <f>'Matriz POA 2024-TRABAJO'!#REF!</f>
        <v>#REF!</v>
      </c>
      <c r="Z607" s="224" t="e">
        <f>'Matriz POA 2024-TRABAJO'!#REF!</f>
        <v>#REF!</v>
      </c>
      <c r="AA607" s="224" t="e">
        <f>'Matriz POA 2024-TRABAJO'!#REF!</f>
        <v>#REF!</v>
      </c>
      <c r="AB607" s="279">
        <v>0</v>
      </c>
      <c r="AC607" s="279">
        <v>0</v>
      </c>
      <c r="AD607" s="279">
        <v>0</v>
      </c>
      <c r="AE607" s="279">
        <v>0</v>
      </c>
      <c r="AF607" s="279">
        <v>0</v>
      </c>
      <c r="AG607" s="279">
        <v>0</v>
      </c>
      <c r="AH607" s="279">
        <v>0</v>
      </c>
      <c r="AI607" s="279">
        <v>0</v>
      </c>
      <c r="AJ607" s="279">
        <v>0</v>
      </c>
      <c r="AK607" s="279">
        <v>0</v>
      </c>
      <c r="AL607" s="279">
        <v>0</v>
      </c>
      <c r="AM607" s="279">
        <v>0</v>
      </c>
      <c r="AN607" s="224" t="e">
        <f>SUM(#REF!)</f>
        <v>#REF!</v>
      </c>
      <c r="AO607" s="224">
        <f t="shared" si="73"/>
        <v>0</v>
      </c>
      <c r="AP607" s="224" t="e">
        <f t="shared" si="79"/>
        <v>#REF!</v>
      </c>
      <c r="AQ607" s="224"/>
      <c r="AR607" s="224"/>
      <c r="AS607" s="224"/>
      <c r="AT607" s="224" t="str">
        <f>IFERROR(VLOOKUP($A607,'Constancias POA'!$A$2:$DH$9993,17,FALSE),"")</f>
        <v/>
      </c>
      <c r="AU607" s="224" t="str">
        <f t="shared" si="74"/>
        <v/>
      </c>
      <c r="AV607" s="224" t="str">
        <f>IFERROR(VLOOKUP($A607,CP!$A$1:$U$7992,18,FALSE),"")</f>
        <v/>
      </c>
      <c r="AW607" s="224" t="str">
        <f>IFERROR(VLOOKUP($A607,CP!$A$1:$U$7992,19,FALSE),"")</f>
        <v/>
      </c>
      <c r="AX607" s="224" t="str">
        <f>IFERROR(VLOOKUP($A607,CP!$A$1:$U$7992,20,FALSE),"")</f>
        <v/>
      </c>
      <c r="AY607" s="224" t="str">
        <f>IFERROR(VLOOKUP($A607,CP!$A$1:$U$1,21,FALSE),"")</f>
        <v/>
      </c>
      <c r="AZ607" s="224" t="str">
        <f>IFERROR(VLOOKUP(A607,Devengado!$A$1:AJ1,35,FALSE),"")</f>
        <v/>
      </c>
      <c r="BA607" s="224" t="str">
        <f t="shared" si="75"/>
        <v/>
      </c>
      <c r="BB607" s="224" t="str">
        <f>IFERROR(AZ607/#REF!,"")</f>
        <v/>
      </c>
      <c r="BC607" s="224" t="str">
        <f>IFERROR(VLOOKUP($A607,Devengado!$A$1:$AI$1,22,FALSE),"")</f>
        <v/>
      </c>
      <c r="BD607" s="224" t="str">
        <f>IFERROR(VLOOKUP($A607,Devengado!$A$1:$AI$1,23,FALSE),"")</f>
        <v/>
      </c>
      <c r="BE607" s="224" t="str">
        <f>IFERROR(VLOOKUP($A607,Devengado!$A$1:$AI$1,24,FALSE),"")</f>
        <v/>
      </c>
      <c r="BF607" s="224" t="str">
        <f>IFERROR(VLOOKUP($A607,Devengado!$A$1:$AI$1,25,FALSE),"")</f>
        <v/>
      </c>
      <c r="BG607" s="224" t="str">
        <f>IFERROR(VLOOKUP($A607,Devengado!$A$1:$AI$1,26,FALSE),"")</f>
        <v/>
      </c>
      <c r="BH607" s="224" t="str">
        <f>IFERROR(VLOOKUP($A607,Devengado!$A$1:$AI$1,27,FALSE),"")</f>
        <v/>
      </c>
      <c r="BI607" s="224" t="str">
        <f>IFERROR(VLOOKUP($A607,Devengado!$A$1:$AI$1,28,FALSE),"")</f>
        <v/>
      </c>
      <c r="BJ607" s="224" t="str">
        <f>IFERROR(VLOOKUP($A607,Devengado!$A$1:$AI$1,29,FALSE),"")</f>
        <v/>
      </c>
      <c r="BK607" s="224" t="str">
        <f>IFERROR(VLOOKUP($A607,Devengado!$A$1:$AI$1,30,FALSE),"")</f>
        <v/>
      </c>
      <c r="BL607" s="224" t="str">
        <f>IFERROR(VLOOKUP($A607,Devengado!$A$1:$AI$1,31,FALSE),"")</f>
        <v/>
      </c>
      <c r="BM607" s="224" t="str">
        <f>IFERROR(VLOOKUP($A607,Devengado!$A$1:$AI$1,32,FALSE),"")</f>
        <v/>
      </c>
      <c r="BN607" s="224" t="str">
        <f>IFERROR(VLOOKUP($A607,Devengado!$A$1:$AI$1,33,FALSE),"")</f>
        <v/>
      </c>
      <c r="BO607" s="224">
        <f t="shared" si="76"/>
        <v>0</v>
      </c>
      <c r="BP607" s="224" t="str">
        <f t="shared" si="77"/>
        <v/>
      </c>
      <c r="BQ607" s="207"/>
      <c r="BR607" s="207" t="str">
        <f t="shared" si="78"/>
        <v>71</v>
      </c>
    </row>
    <row r="608" spans="1:70" s="225" customFormat="1" ht="25.5" customHeight="1">
      <c r="A608" s="207">
        <v>604</v>
      </c>
      <c r="B608" s="119" t="s">
        <v>73</v>
      </c>
      <c r="C608" s="119" t="s">
        <v>77</v>
      </c>
      <c r="D608" s="112" t="s">
        <v>176</v>
      </c>
      <c r="E608" s="112" t="s">
        <v>569</v>
      </c>
      <c r="F608" s="132" t="s">
        <v>576</v>
      </c>
      <c r="G608" s="112" t="s">
        <v>577</v>
      </c>
      <c r="H608" s="112" t="s">
        <v>578</v>
      </c>
      <c r="I608" s="112" t="s">
        <v>595</v>
      </c>
      <c r="J608" s="112" t="s">
        <v>596</v>
      </c>
      <c r="K608" s="207"/>
      <c r="L608" s="112" t="s">
        <v>85</v>
      </c>
      <c r="M608" s="112" t="s">
        <v>598</v>
      </c>
      <c r="N608" s="118">
        <v>9999</v>
      </c>
      <c r="O608" s="118" t="s">
        <v>132</v>
      </c>
      <c r="P608" s="114" t="s">
        <v>582</v>
      </c>
      <c r="Q608" s="114" t="s">
        <v>82</v>
      </c>
      <c r="R608" s="115" t="str">
        <f t="shared" si="72"/>
        <v>73</v>
      </c>
      <c r="S608" s="112">
        <v>730303</v>
      </c>
      <c r="T608" s="122" t="e">
        <f>VLOOKUP(S608,ITEM!$C$1:$D$156,2,FALSE)</f>
        <v>#N/A</v>
      </c>
      <c r="U608" s="114">
        <v>1701</v>
      </c>
      <c r="V608" s="114" t="s">
        <v>575</v>
      </c>
      <c r="W608" s="114"/>
      <c r="X608" s="114"/>
      <c r="Y608" s="224" t="e">
        <f>'Matriz POA 2024-TRABAJO'!#REF!</f>
        <v>#REF!</v>
      </c>
      <c r="Z608" s="224" t="e">
        <f>'Matriz POA 2024-TRABAJO'!#REF!</f>
        <v>#REF!</v>
      </c>
      <c r="AA608" s="224" t="e">
        <f>'Matriz POA 2024-TRABAJO'!#REF!</f>
        <v>#REF!</v>
      </c>
      <c r="AB608" s="279">
        <v>0</v>
      </c>
      <c r="AC608" s="279">
        <v>0</v>
      </c>
      <c r="AD608" s="279">
        <v>0</v>
      </c>
      <c r="AE608" s="279">
        <v>1600</v>
      </c>
      <c r="AF608" s="279">
        <v>0</v>
      </c>
      <c r="AG608" s="279">
        <v>0</v>
      </c>
      <c r="AH608" s="279">
        <v>1600</v>
      </c>
      <c r="AI608" s="279">
        <v>0</v>
      </c>
      <c r="AJ608" s="279">
        <v>0</v>
      </c>
      <c r="AK608" s="279">
        <v>1600</v>
      </c>
      <c r="AL608" s="279">
        <v>0</v>
      </c>
      <c r="AM608" s="279">
        <v>0</v>
      </c>
      <c r="AN608" s="224" t="e">
        <f>SUM(#REF!)</f>
        <v>#REF!</v>
      </c>
      <c r="AO608" s="224">
        <f t="shared" si="73"/>
        <v>4800</v>
      </c>
      <c r="AP608" s="224" t="e">
        <f t="shared" si="79"/>
        <v>#REF!</v>
      </c>
      <c r="AQ608" s="224"/>
      <c r="AR608" s="224"/>
      <c r="AS608" s="224"/>
      <c r="AT608" s="224" t="str">
        <f>IFERROR(VLOOKUP($A608,'Constancias POA'!$A$2:$DH$9993,17,FALSE),"")</f>
        <v/>
      </c>
      <c r="AU608" s="224" t="str">
        <f t="shared" si="74"/>
        <v/>
      </c>
      <c r="AV608" s="224" t="str">
        <f>IFERROR(VLOOKUP($A608,CP!$A$1:$U$7992,18,FALSE),"")</f>
        <v/>
      </c>
      <c r="AW608" s="224" t="str">
        <f>IFERROR(VLOOKUP($A608,CP!$A$1:$U$7992,19,FALSE),"")</f>
        <v/>
      </c>
      <c r="AX608" s="224" t="str">
        <f>IFERROR(VLOOKUP($A608,CP!$A$1:$U$7992,20,FALSE),"")</f>
        <v/>
      </c>
      <c r="AY608" s="224" t="str">
        <f>IFERROR(VLOOKUP($A608,CP!$A$1:$U$1,21,FALSE),"")</f>
        <v/>
      </c>
      <c r="AZ608" s="224" t="str">
        <f>IFERROR(VLOOKUP(A608,Devengado!$A$1:AJ1,35,FALSE),"")</f>
        <v/>
      </c>
      <c r="BA608" s="224" t="str">
        <f t="shared" si="75"/>
        <v/>
      </c>
      <c r="BB608" s="224" t="str">
        <f>IFERROR(AZ608/#REF!,"")</f>
        <v/>
      </c>
      <c r="BC608" s="224" t="str">
        <f>IFERROR(VLOOKUP($A608,Devengado!$A$1:$AI$1,22,FALSE),"")</f>
        <v/>
      </c>
      <c r="BD608" s="224" t="str">
        <f>IFERROR(VLOOKUP($A608,Devengado!$A$1:$AI$1,23,FALSE),"")</f>
        <v/>
      </c>
      <c r="BE608" s="224" t="str">
        <f>IFERROR(VLOOKUP($A608,Devengado!$A$1:$AI$1,24,FALSE),"")</f>
        <v/>
      </c>
      <c r="BF608" s="224" t="str">
        <f>IFERROR(VLOOKUP($A608,Devengado!$A$1:$AI$1,25,FALSE),"")</f>
        <v/>
      </c>
      <c r="BG608" s="224" t="str">
        <f>IFERROR(VLOOKUP($A608,Devengado!$A$1:$AI$1,26,FALSE),"")</f>
        <v/>
      </c>
      <c r="BH608" s="224" t="str">
        <f>IFERROR(VLOOKUP($A608,Devengado!$A$1:$AI$1,27,FALSE),"")</f>
        <v/>
      </c>
      <c r="BI608" s="224" t="str">
        <f>IFERROR(VLOOKUP($A608,Devengado!$A$1:$AI$1,28,FALSE),"")</f>
        <v/>
      </c>
      <c r="BJ608" s="224" t="str">
        <f>IFERROR(VLOOKUP($A608,Devengado!$A$1:$AI$1,29,FALSE),"")</f>
        <v/>
      </c>
      <c r="BK608" s="224" t="str">
        <f>IFERROR(VLOOKUP($A608,Devengado!$A$1:$AI$1,30,FALSE),"")</f>
        <v/>
      </c>
      <c r="BL608" s="224" t="str">
        <f>IFERROR(VLOOKUP($A608,Devengado!$A$1:$AI$1,31,FALSE),"")</f>
        <v/>
      </c>
      <c r="BM608" s="224" t="str">
        <f>IFERROR(VLOOKUP($A608,Devengado!$A$1:$AI$1,32,FALSE),"")</f>
        <v/>
      </c>
      <c r="BN608" s="224" t="str">
        <f>IFERROR(VLOOKUP($A608,Devengado!$A$1:$AI$1,33,FALSE),"")</f>
        <v/>
      </c>
      <c r="BO608" s="224">
        <f t="shared" si="76"/>
        <v>0</v>
      </c>
      <c r="BP608" s="224" t="str">
        <f t="shared" si="77"/>
        <v/>
      </c>
      <c r="BQ608" s="207"/>
      <c r="BR608" s="207" t="str">
        <f t="shared" si="78"/>
        <v>73</v>
      </c>
    </row>
    <row r="609" spans="1:70" s="225" customFormat="1" ht="25.5" customHeight="1">
      <c r="A609" s="207">
        <v>605</v>
      </c>
      <c r="B609" s="119" t="s">
        <v>73</v>
      </c>
      <c r="C609" s="119" t="s">
        <v>77</v>
      </c>
      <c r="D609" s="112" t="s">
        <v>176</v>
      </c>
      <c r="E609" s="112" t="s">
        <v>569</v>
      </c>
      <c r="F609" s="132" t="s">
        <v>576</v>
      </c>
      <c r="G609" s="112" t="s">
        <v>577</v>
      </c>
      <c r="H609" s="112" t="s">
        <v>578</v>
      </c>
      <c r="I609" s="112" t="s">
        <v>595</v>
      </c>
      <c r="J609" s="112" t="s">
        <v>596</v>
      </c>
      <c r="K609" s="207"/>
      <c r="L609" s="112" t="s">
        <v>85</v>
      </c>
      <c r="M609" s="112" t="s">
        <v>599</v>
      </c>
      <c r="N609" s="118">
        <v>9999</v>
      </c>
      <c r="O609" s="118" t="s">
        <v>132</v>
      </c>
      <c r="P609" s="114" t="s">
        <v>582</v>
      </c>
      <c r="Q609" s="114" t="s">
        <v>82</v>
      </c>
      <c r="R609" s="115" t="str">
        <f t="shared" si="72"/>
        <v>73</v>
      </c>
      <c r="S609" s="112">
        <v>730301</v>
      </c>
      <c r="T609" s="122" t="e">
        <f>VLOOKUP(S609,ITEM!$C$1:$D$156,2,FALSE)</f>
        <v>#N/A</v>
      </c>
      <c r="U609" s="114">
        <v>1701</v>
      </c>
      <c r="V609" s="114" t="s">
        <v>575</v>
      </c>
      <c r="W609" s="114"/>
      <c r="X609" s="114"/>
      <c r="Y609" s="224" t="e">
        <f>'Matriz POA 2024-TRABAJO'!#REF!</f>
        <v>#REF!</v>
      </c>
      <c r="Z609" s="224" t="e">
        <f>'Matriz POA 2024-TRABAJO'!#REF!</f>
        <v>#REF!</v>
      </c>
      <c r="AA609" s="224" t="e">
        <f>'Matriz POA 2024-TRABAJO'!#REF!</f>
        <v>#REF!</v>
      </c>
      <c r="AB609" s="279">
        <v>0</v>
      </c>
      <c r="AC609" s="279">
        <v>0</v>
      </c>
      <c r="AD609" s="279">
        <v>0</v>
      </c>
      <c r="AE609" s="279">
        <v>694.65</v>
      </c>
      <c r="AF609" s="279">
        <v>0</v>
      </c>
      <c r="AG609" s="279">
        <v>0</v>
      </c>
      <c r="AH609" s="279">
        <v>694.64</v>
      </c>
      <c r="AI609" s="279">
        <v>0</v>
      </c>
      <c r="AJ609" s="279">
        <v>0</v>
      </c>
      <c r="AK609" s="279">
        <v>694.64</v>
      </c>
      <c r="AL609" s="279">
        <v>0</v>
      </c>
      <c r="AM609" s="279">
        <v>0</v>
      </c>
      <c r="AN609" s="224" t="e">
        <f>SUM(#REF!)</f>
        <v>#REF!</v>
      </c>
      <c r="AO609" s="224">
        <f t="shared" si="73"/>
        <v>2083.9299999999998</v>
      </c>
      <c r="AP609" s="224" t="e">
        <f t="shared" si="79"/>
        <v>#REF!</v>
      </c>
      <c r="AQ609" s="224"/>
      <c r="AR609" s="224"/>
      <c r="AS609" s="224"/>
      <c r="AT609" s="224" t="str">
        <f>IFERROR(VLOOKUP($A609,'Constancias POA'!$A$2:$DH$9993,17,FALSE),"")</f>
        <v/>
      </c>
      <c r="AU609" s="224" t="str">
        <f t="shared" si="74"/>
        <v/>
      </c>
      <c r="AV609" s="224" t="str">
        <f>IFERROR(VLOOKUP($A609,CP!$A$1:$U$7992,18,FALSE),"")</f>
        <v/>
      </c>
      <c r="AW609" s="224" t="str">
        <f>IFERROR(VLOOKUP($A609,CP!$A$1:$U$7992,19,FALSE),"")</f>
        <v/>
      </c>
      <c r="AX609" s="224" t="str">
        <f>IFERROR(VLOOKUP($A609,CP!$A$1:$U$7992,20,FALSE),"")</f>
        <v/>
      </c>
      <c r="AY609" s="224" t="str">
        <f>IFERROR(VLOOKUP($A609,CP!$A$1:$U$1,21,FALSE),"")</f>
        <v/>
      </c>
      <c r="AZ609" s="224" t="str">
        <f>IFERROR(VLOOKUP(A609,Devengado!$A$1:AJ1,35,FALSE),"")</f>
        <v/>
      </c>
      <c r="BA609" s="224" t="str">
        <f t="shared" si="75"/>
        <v/>
      </c>
      <c r="BB609" s="224" t="str">
        <f>IFERROR(AZ609/#REF!,"")</f>
        <v/>
      </c>
      <c r="BC609" s="224" t="str">
        <f>IFERROR(VLOOKUP($A609,Devengado!$A$1:$AI$1,22,FALSE),"")</f>
        <v/>
      </c>
      <c r="BD609" s="224" t="str">
        <f>IFERROR(VLOOKUP($A609,Devengado!$A$1:$AI$1,23,FALSE),"")</f>
        <v/>
      </c>
      <c r="BE609" s="224" t="str">
        <f>IFERROR(VLOOKUP($A609,Devengado!$A$1:$AI$1,24,FALSE),"")</f>
        <v/>
      </c>
      <c r="BF609" s="224" t="str">
        <f>IFERROR(VLOOKUP($A609,Devengado!$A$1:$AI$1,25,FALSE),"")</f>
        <v/>
      </c>
      <c r="BG609" s="224" t="str">
        <f>IFERROR(VLOOKUP($A609,Devengado!$A$1:$AI$1,26,FALSE),"")</f>
        <v/>
      </c>
      <c r="BH609" s="224" t="str">
        <f>IFERROR(VLOOKUP($A609,Devengado!$A$1:$AI$1,27,FALSE),"")</f>
        <v/>
      </c>
      <c r="BI609" s="224" t="str">
        <f>IFERROR(VLOOKUP($A609,Devengado!$A$1:$AI$1,28,FALSE),"")</f>
        <v/>
      </c>
      <c r="BJ609" s="224" t="str">
        <f>IFERROR(VLOOKUP($A609,Devengado!$A$1:$AI$1,29,FALSE),"")</f>
        <v/>
      </c>
      <c r="BK609" s="224" t="str">
        <f>IFERROR(VLOOKUP($A609,Devengado!$A$1:$AI$1,30,FALSE),"")</f>
        <v/>
      </c>
      <c r="BL609" s="224" t="str">
        <f>IFERROR(VLOOKUP($A609,Devengado!$A$1:$AI$1,31,FALSE),"")</f>
        <v/>
      </c>
      <c r="BM609" s="224" t="str">
        <f>IFERROR(VLOOKUP($A609,Devengado!$A$1:$AI$1,32,FALSE),"")</f>
        <v/>
      </c>
      <c r="BN609" s="224" t="str">
        <f>IFERROR(VLOOKUP($A609,Devengado!$A$1:$AI$1,33,FALSE),"")</f>
        <v/>
      </c>
      <c r="BO609" s="224">
        <f t="shared" si="76"/>
        <v>0</v>
      </c>
      <c r="BP609" s="224" t="str">
        <f t="shared" si="77"/>
        <v/>
      </c>
      <c r="BQ609" s="207"/>
      <c r="BR609" s="207" t="str">
        <f t="shared" si="78"/>
        <v>73</v>
      </c>
    </row>
    <row r="610" spans="1:70" s="225" customFormat="1" ht="25.5" customHeight="1">
      <c r="A610" s="207">
        <v>606</v>
      </c>
      <c r="B610" s="119" t="s">
        <v>73</v>
      </c>
      <c r="C610" s="119" t="s">
        <v>77</v>
      </c>
      <c r="D610" s="112" t="s">
        <v>176</v>
      </c>
      <c r="E610" s="112" t="s">
        <v>569</v>
      </c>
      <c r="F610" s="132" t="s">
        <v>576</v>
      </c>
      <c r="G610" s="112" t="s">
        <v>577</v>
      </c>
      <c r="H610" s="112" t="s">
        <v>578</v>
      </c>
      <c r="I610" s="112" t="s">
        <v>595</v>
      </c>
      <c r="J610" s="112" t="s">
        <v>596</v>
      </c>
      <c r="K610" s="207"/>
      <c r="L610" s="112" t="s">
        <v>85</v>
      </c>
      <c r="M610" s="112" t="s">
        <v>600</v>
      </c>
      <c r="N610" s="118">
        <v>9999</v>
      </c>
      <c r="O610" s="118" t="s">
        <v>132</v>
      </c>
      <c r="P610" s="114" t="s">
        <v>582</v>
      </c>
      <c r="Q610" s="114" t="s">
        <v>82</v>
      </c>
      <c r="R610" s="115" t="str">
        <f t="shared" si="72"/>
        <v>99</v>
      </c>
      <c r="S610" s="112">
        <v>990101</v>
      </c>
      <c r="T610" s="122" t="e">
        <f>VLOOKUP(S610,ITEM!$C$1:$D$156,2,FALSE)</f>
        <v>#N/A</v>
      </c>
      <c r="U610" s="114" t="s">
        <v>83</v>
      </c>
      <c r="V610" s="114" t="s">
        <v>575</v>
      </c>
      <c r="W610" s="114"/>
      <c r="X610" s="114"/>
      <c r="Y610" s="224" t="e">
        <f>'Matriz POA 2024-TRABAJO'!#REF!</f>
        <v>#REF!</v>
      </c>
      <c r="Z610" s="224" t="e">
        <f>'Matriz POA 2024-TRABAJO'!#REF!</f>
        <v>#REF!</v>
      </c>
      <c r="AA610" s="224" t="e">
        <f>'Matriz POA 2024-TRABAJO'!#REF!</f>
        <v>#REF!</v>
      </c>
      <c r="AB610" s="279">
        <v>0</v>
      </c>
      <c r="AC610" s="279">
        <v>0</v>
      </c>
      <c r="AD610" s="279">
        <v>0</v>
      </c>
      <c r="AE610" s="279">
        <v>0</v>
      </c>
      <c r="AF610" s="279">
        <v>1726.15</v>
      </c>
      <c r="AG610" s="279">
        <v>0</v>
      </c>
      <c r="AH610" s="279">
        <v>1095.46</v>
      </c>
      <c r="AI610" s="279">
        <v>0</v>
      </c>
      <c r="AJ610" s="279">
        <v>0</v>
      </c>
      <c r="AK610" s="279">
        <v>0</v>
      </c>
      <c r="AL610" s="279">
        <v>0</v>
      </c>
      <c r="AM610" s="279">
        <v>0</v>
      </c>
      <c r="AN610" s="224" t="e">
        <f>SUM(#REF!)</f>
        <v>#REF!</v>
      </c>
      <c r="AO610" s="224">
        <f t="shared" si="73"/>
        <v>2821.61</v>
      </c>
      <c r="AP610" s="224" t="e">
        <f t="shared" si="79"/>
        <v>#REF!</v>
      </c>
      <c r="AQ610" s="224"/>
      <c r="AR610" s="224"/>
      <c r="AS610" s="224"/>
      <c r="AT610" s="224" t="str">
        <f>IFERROR(VLOOKUP($A610,'Constancias POA'!$A$2:$DH$9993,17,FALSE),"")</f>
        <v/>
      </c>
      <c r="AU610" s="224" t="str">
        <f t="shared" si="74"/>
        <v/>
      </c>
      <c r="AV610" s="224" t="str">
        <f>IFERROR(VLOOKUP($A610,CP!$A$1:$U$7992,18,FALSE),"")</f>
        <v/>
      </c>
      <c r="AW610" s="224" t="str">
        <f>IFERROR(VLOOKUP($A610,CP!$A$1:$U$7992,19,FALSE),"")</f>
        <v/>
      </c>
      <c r="AX610" s="224" t="str">
        <f>IFERROR(VLOOKUP($A610,CP!$A$1:$U$7992,20,FALSE),"")</f>
        <v/>
      </c>
      <c r="AY610" s="224" t="str">
        <f>IFERROR(VLOOKUP($A610,CP!$A$1:$U$1,21,FALSE),"")</f>
        <v/>
      </c>
      <c r="AZ610" s="224" t="str">
        <f>IFERROR(VLOOKUP(A610,Devengado!$A$1:AJ1,35,FALSE),"")</f>
        <v/>
      </c>
      <c r="BA610" s="224" t="str">
        <f t="shared" si="75"/>
        <v/>
      </c>
      <c r="BB610" s="224" t="str">
        <f>IFERROR(AZ610/#REF!,"")</f>
        <v/>
      </c>
      <c r="BC610" s="224" t="str">
        <f>IFERROR(VLOOKUP($A610,Devengado!$A$1:$AI$1,22,FALSE),"")</f>
        <v/>
      </c>
      <c r="BD610" s="224" t="str">
        <f>IFERROR(VLOOKUP($A610,Devengado!$A$1:$AI$1,23,FALSE),"")</f>
        <v/>
      </c>
      <c r="BE610" s="224" t="str">
        <f>IFERROR(VLOOKUP($A610,Devengado!$A$1:$AI$1,24,FALSE),"")</f>
        <v/>
      </c>
      <c r="BF610" s="224" t="str">
        <f>IFERROR(VLOOKUP($A610,Devengado!$A$1:$AI$1,25,FALSE),"")</f>
        <v/>
      </c>
      <c r="BG610" s="224" t="str">
        <f>IFERROR(VLOOKUP($A610,Devengado!$A$1:$AI$1,26,FALSE),"")</f>
        <v/>
      </c>
      <c r="BH610" s="224" t="str">
        <f>IFERROR(VLOOKUP($A610,Devengado!$A$1:$AI$1,27,FALSE),"")</f>
        <v/>
      </c>
      <c r="BI610" s="224" t="str">
        <f>IFERROR(VLOOKUP($A610,Devengado!$A$1:$AI$1,28,FALSE),"")</f>
        <v/>
      </c>
      <c r="BJ610" s="224" t="str">
        <f>IFERROR(VLOOKUP($A610,Devengado!$A$1:$AI$1,29,FALSE),"")</f>
        <v/>
      </c>
      <c r="BK610" s="224" t="str">
        <f>IFERROR(VLOOKUP($A610,Devengado!$A$1:$AI$1,30,FALSE),"")</f>
        <v/>
      </c>
      <c r="BL610" s="224" t="str">
        <f>IFERROR(VLOOKUP($A610,Devengado!$A$1:$AI$1,31,FALSE),"")</f>
        <v/>
      </c>
      <c r="BM610" s="224" t="str">
        <f>IFERROR(VLOOKUP($A610,Devengado!$A$1:$AI$1,32,FALSE),"")</f>
        <v/>
      </c>
      <c r="BN610" s="224" t="str">
        <f>IFERROR(VLOOKUP($A610,Devengado!$A$1:$AI$1,33,FALSE),"")</f>
        <v/>
      </c>
      <c r="BO610" s="224">
        <f t="shared" si="76"/>
        <v>0</v>
      </c>
      <c r="BP610" s="224" t="str">
        <f t="shared" si="77"/>
        <v/>
      </c>
      <c r="BQ610" s="207"/>
      <c r="BR610" s="207" t="str">
        <f t="shared" si="78"/>
        <v>99</v>
      </c>
    </row>
    <row r="611" spans="1:70" s="225" customFormat="1" ht="25.5" customHeight="1">
      <c r="A611" s="207">
        <v>607</v>
      </c>
      <c r="B611" s="112" t="s">
        <v>73</v>
      </c>
      <c r="C611" s="112" t="s">
        <v>129</v>
      </c>
      <c r="D611" s="125" t="s">
        <v>142</v>
      </c>
      <c r="E611" s="125" t="s">
        <v>569</v>
      </c>
      <c r="F611" s="128" t="s">
        <v>570</v>
      </c>
      <c r="G611" s="112" t="s">
        <v>571</v>
      </c>
      <c r="H611" s="112" t="s">
        <v>572</v>
      </c>
      <c r="I611" s="112" t="s">
        <v>601</v>
      </c>
      <c r="J611" s="112" t="s">
        <v>602</v>
      </c>
      <c r="K611" s="112"/>
      <c r="L611" s="112" t="s">
        <v>603</v>
      </c>
      <c r="M611" s="112" t="s">
        <v>604</v>
      </c>
      <c r="N611" s="127">
        <v>9999</v>
      </c>
      <c r="O611" s="127" t="s">
        <v>132</v>
      </c>
      <c r="P611" s="127" t="s">
        <v>574</v>
      </c>
      <c r="Q611" s="127" t="s">
        <v>112</v>
      </c>
      <c r="R611" s="115" t="str">
        <f t="shared" si="72"/>
        <v>78</v>
      </c>
      <c r="S611" s="112">
        <v>780204</v>
      </c>
      <c r="T611" s="122" t="e">
        <f>VLOOKUP(S611,ITEM!$C$1:$D$156,2,FALSE)</f>
        <v>#N/A</v>
      </c>
      <c r="U611" s="112">
        <v>1701</v>
      </c>
      <c r="V611" s="114" t="s">
        <v>575</v>
      </c>
      <c r="W611" s="114"/>
      <c r="X611" s="114"/>
      <c r="Y611" s="224" t="e">
        <f>'Matriz POA 2024-TRABAJO'!#REF!</f>
        <v>#REF!</v>
      </c>
      <c r="Z611" s="224" t="e">
        <f>'Matriz POA 2024-TRABAJO'!#REF!</f>
        <v>#REF!</v>
      </c>
      <c r="AA611" s="224" t="e">
        <f>'Matriz POA 2024-TRABAJO'!#REF!</f>
        <v>#REF!</v>
      </c>
      <c r="AB611" s="279">
        <v>0</v>
      </c>
      <c r="AC611" s="279">
        <v>166666.66</v>
      </c>
      <c r="AD611" s="279">
        <v>166666.67000000001</v>
      </c>
      <c r="AE611" s="279">
        <v>166666.67000000001</v>
      </c>
      <c r="AF611" s="279">
        <v>0</v>
      </c>
      <c r="AG611" s="279">
        <v>0</v>
      </c>
      <c r="AH611" s="279">
        <v>0</v>
      </c>
      <c r="AI611" s="279">
        <v>0</v>
      </c>
      <c r="AJ611" s="279">
        <v>0</v>
      </c>
      <c r="AK611" s="279">
        <v>0</v>
      </c>
      <c r="AL611" s="279">
        <v>0</v>
      </c>
      <c r="AM611" s="279">
        <v>0</v>
      </c>
      <c r="AN611" s="224" t="e">
        <f>SUM(#REF!)</f>
        <v>#REF!</v>
      </c>
      <c r="AO611" s="224">
        <f t="shared" si="73"/>
        <v>500000</v>
      </c>
      <c r="AP611" s="224" t="e">
        <f t="shared" si="79"/>
        <v>#REF!</v>
      </c>
      <c r="AQ611" s="224"/>
      <c r="AR611" s="224"/>
      <c r="AS611" s="224"/>
      <c r="AT611" s="224" t="str">
        <f>IFERROR(VLOOKUP($A611,'Constancias POA'!$A$2:$DH$9993,17,FALSE),"")</f>
        <v/>
      </c>
      <c r="AU611" s="224" t="str">
        <f t="shared" si="74"/>
        <v/>
      </c>
      <c r="AV611" s="224" t="str">
        <f>IFERROR(VLOOKUP($A611,CP!$A$1:$U$7992,18,FALSE),"")</f>
        <v/>
      </c>
      <c r="AW611" s="224" t="str">
        <f>IFERROR(VLOOKUP($A611,CP!$A$1:$U$7992,19,FALSE),"")</f>
        <v/>
      </c>
      <c r="AX611" s="224" t="str">
        <f>IFERROR(VLOOKUP($A611,CP!$A$1:$U$7992,20,FALSE),"")</f>
        <v/>
      </c>
      <c r="AY611" s="224" t="str">
        <f>IFERROR(VLOOKUP($A611,CP!$A$1:$U$1,21,FALSE),"")</f>
        <v/>
      </c>
      <c r="AZ611" s="224" t="str">
        <f>IFERROR(VLOOKUP(A611,Devengado!$A$1:AJ1,35,FALSE),"")</f>
        <v/>
      </c>
      <c r="BA611" s="224" t="str">
        <f t="shared" si="75"/>
        <v/>
      </c>
      <c r="BB611" s="224" t="str">
        <f>IFERROR(AZ611/#REF!,"")</f>
        <v/>
      </c>
      <c r="BC611" s="224" t="str">
        <f>IFERROR(VLOOKUP($A611,Devengado!$A$1:$AI$1,22,FALSE),"")</f>
        <v/>
      </c>
      <c r="BD611" s="224" t="str">
        <f>IFERROR(VLOOKUP($A611,Devengado!$A$1:$AI$1,23,FALSE),"")</f>
        <v/>
      </c>
      <c r="BE611" s="224" t="str">
        <f>IFERROR(VLOOKUP($A611,Devengado!$A$1:$AI$1,24,FALSE),"")</f>
        <v/>
      </c>
      <c r="BF611" s="224" t="str">
        <f>IFERROR(VLOOKUP($A611,Devengado!$A$1:$AI$1,25,FALSE),"")</f>
        <v/>
      </c>
      <c r="BG611" s="224" t="str">
        <f>IFERROR(VLOOKUP($A611,Devengado!$A$1:$AI$1,26,FALSE),"")</f>
        <v/>
      </c>
      <c r="BH611" s="224" t="str">
        <f>IFERROR(VLOOKUP($A611,Devengado!$A$1:$AI$1,27,FALSE),"")</f>
        <v/>
      </c>
      <c r="BI611" s="224" t="str">
        <f>IFERROR(VLOOKUP($A611,Devengado!$A$1:$AI$1,28,FALSE),"")</f>
        <v/>
      </c>
      <c r="BJ611" s="224" t="str">
        <f>IFERROR(VLOOKUP($A611,Devengado!$A$1:$AI$1,29,FALSE),"")</f>
        <v/>
      </c>
      <c r="BK611" s="224" t="str">
        <f>IFERROR(VLOOKUP($A611,Devengado!$A$1:$AI$1,30,FALSE),"")</f>
        <v/>
      </c>
      <c r="BL611" s="224" t="str">
        <f>IFERROR(VLOOKUP($A611,Devengado!$A$1:$AI$1,31,FALSE),"")</f>
        <v/>
      </c>
      <c r="BM611" s="224" t="str">
        <f>IFERROR(VLOOKUP($A611,Devengado!$A$1:$AI$1,32,FALSE),"")</f>
        <v/>
      </c>
      <c r="BN611" s="224" t="str">
        <f>IFERROR(VLOOKUP($A611,Devengado!$A$1:$AI$1,33,FALSE),"")</f>
        <v/>
      </c>
      <c r="BO611" s="224">
        <f t="shared" si="76"/>
        <v>0</v>
      </c>
      <c r="BP611" s="224" t="str">
        <f t="shared" si="77"/>
        <v/>
      </c>
      <c r="BQ611" s="207"/>
      <c r="BR611" s="207" t="str">
        <f t="shared" si="78"/>
        <v>78</v>
      </c>
    </row>
    <row r="612" spans="1:70" s="225" customFormat="1" ht="25.5" customHeight="1">
      <c r="A612" s="207">
        <v>608</v>
      </c>
      <c r="B612" s="112" t="s">
        <v>73</v>
      </c>
      <c r="C612" s="112" t="s">
        <v>129</v>
      </c>
      <c r="D612" s="125" t="s">
        <v>142</v>
      </c>
      <c r="E612" s="125" t="s">
        <v>569</v>
      </c>
      <c r="F612" s="128" t="s">
        <v>570</v>
      </c>
      <c r="G612" s="112" t="s">
        <v>571</v>
      </c>
      <c r="H612" s="112" t="s">
        <v>572</v>
      </c>
      <c r="I612" s="112" t="s">
        <v>605</v>
      </c>
      <c r="J612" s="112" t="s">
        <v>606</v>
      </c>
      <c r="K612" s="112"/>
      <c r="L612" s="112" t="s">
        <v>603</v>
      </c>
      <c r="M612" s="112" t="s">
        <v>189</v>
      </c>
      <c r="N612" s="127">
        <v>9999</v>
      </c>
      <c r="O612" s="127" t="s">
        <v>132</v>
      </c>
      <c r="P612" s="127" t="s">
        <v>574</v>
      </c>
      <c r="Q612" s="127" t="s">
        <v>112</v>
      </c>
      <c r="R612" s="115" t="str">
        <f t="shared" si="72"/>
        <v>71</v>
      </c>
      <c r="S612" s="112">
        <v>710510</v>
      </c>
      <c r="T612" s="122" t="e">
        <f>VLOOKUP(S612,ITEM!$C$1:$D$156,2,FALSE)</f>
        <v>#N/A</v>
      </c>
      <c r="U612" s="112">
        <v>1700</v>
      </c>
      <c r="V612" s="114" t="s">
        <v>575</v>
      </c>
      <c r="W612" s="114"/>
      <c r="X612" s="114"/>
      <c r="Y612" s="224" t="e">
        <f>'Matriz POA 2024-TRABAJO'!#REF!</f>
        <v>#REF!</v>
      </c>
      <c r="Z612" s="224" t="e">
        <f>'Matriz POA 2024-TRABAJO'!#REF!</f>
        <v>#REF!</v>
      </c>
      <c r="AA612" s="224" t="e">
        <f>'Matriz POA 2024-TRABAJO'!#REF!</f>
        <v>#REF!</v>
      </c>
      <c r="AB612" s="279">
        <v>0</v>
      </c>
      <c r="AC612" s="279">
        <v>0</v>
      </c>
      <c r="AD612" s="279">
        <v>0</v>
      </c>
      <c r="AE612" s="279">
        <v>0</v>
      </c>
      <c r="AF612" s="279">
        <v>0</v>
      </c>
      <c r="AG612" s="279">
        <v>0</v>
      </c>
      <c r="AH612" s="279">
        <v>0</v>
      </c>
      <c r="AI612" s="279">
        <v>0</v>
      </c>
      <c r="AJ612" s="279">
        <v>0</v>
      </c>
      <c r="AK612" s="279">
        <v>0</v>
      </c>
      <c r="AL612" s="279">
        <v>0</v>
      </c>
      <c r="AM612" s="279">
        <v>0</v>
      </c>
      <c r="AN612" s="224" t="e">
        <f>SUM(#REF!)</f>
        <v>#REF!</v>
      </c>
      <c r="AO612" s="224">
        <f t="shared" si="73"/>
        <v>0</v>
      </c>
      <c r="AP612" s="224" t="e">
        <f t="shared" si="79"/>
        <v>#REF!</v>
      </c>
      <c r="AQ612" s="224"/>
      <c r="AR612" s="224"/>
      <c r="AS612" s="224"/>
      <c r="AT612" s="224" t="str">
        <f>IFERROR(VLOOKUP($A612,'Constancias POA'!$A$2:$DH$9993,17,FALSE),"")</f>
        <v/>
      </c>
      <c r="AU612" s="224" t="str">
        <f t="shared" si="74"/>
        <v/>
      </c>
      <c r="AV612" s="224" t="str">
        <f>IFERROR(VLOOKUP($A612,CP!$A$1:$U$7992,18,FALSE),"")</f>
        <v/>
      </c>
      <c r="AW612" s="224" t="str">
        <f>IFERROR(VLOOKUP($A612,CP!$A$1:$U$7992,19,FALSE),"")</f>
        <v/>
      </c>
      <c r="AX612" s="224" t="str">
        <f>IFERROR(VLOOKUP($A612,CP!$A$1:$U$7992,20,FALSE),"")</f>
        <v/>
      </c>
      <c r="AY612" s="224" t="str">
        <f>IFERROR(VLOOKUP($A612,CP!$A$1:$U$1,21,FALSE),"")</f>
        <v/>
      </c>
      <c r="AZ612" s="224" t="str">
        <f>IFERROR(VLOOKUP(A612,Devengado!$A$1:AJ1,35,FALSE),"")</f>
        <v/>
      </c>
      <c r="BA612" s="224" t="str">
        <f t="shared" si="75"/>
        <v/>
      </c>
      <c r="BB612" s="224" t="str">
        <f>IFERROR(AZ612/#REF!,"")</f>
        <v/>
      </c>
      <c r="BC612" s="224" t="str">
        <f>IFERROR(VLOOKUP($A612,Devengado!$A$1:$AI$1,22,FALSE),"")</f>
        <v/>
      </c>
      <c r="BD612" s="224" t="str">
        <f>IFERROR(VLOOKUP($A612,Devengado!$A$1:$AI$1,23,FALSE),"")</f>
        <v/>
      </c>
      <c r="BE612" s="224" t="str">
        <f>IFERROR(VLOOKUP($A612,Devengado!$A$1:$AI$1,24,FALSE),"")</f>
        <v/>
      </c>
      <c r="BF612" s="224" t="str">
        <f>IFERROR(VLOOKUP($A612,Devengado!$A$1:$AI$1,25,FALSE),"")</f>
        <v/>
      </c>
      <c r="BG612" s="224" t="str">
        <f>IFERROR(VLOOKUP($A612,Devengado!$A$1:$AI$1,26,FALSE),"")</f>
        <v/>
      </c>
      <c r="BH612" s="224" t="str">
        <f>IFERROR(VLOOKUP($A612,Devengado!$A$1:$AI$1,27,FALSE),"")</f>
        <v/>
      </c>
      <c r="BI612" s="224" t="str">
        <f>IFERROR(VLOOKUP($A612,Devengado!$A$1:$AI$1,28,FALSE),"")</f>
        <v/>
      </c>
      <c r="BJ612" s="224" t="str">
        <f>IFERROR(VLOOKUP($A612,Devengado!$A$1:$AI$1,29,FALSE),"")</f>
        <v/>
      </c>
      <c r="BK612" s="224" t="str">
        <f>IFERROR(VLOOKUP($A612,Devengado!$A$1:$AI$1,30,FALSE),"")</f>
        <v/>
      </c>
      <c r="BL612" s="224" t="str">
        <f>IFERROR(VLOOKUP($A612,Devengado!$A$1:$AI$1,31,FALSE),"")</f>
        <v/>
      </c>
      <c r="BM612" s="224" t="str">
        <f>IFERROR(VLOOKUP($A612,Devengado!$A$1:$AI$1,32,FALSE),"")</f>
        <v/>
      </c>
      <c r="BN612" s="224" t="str">
        <f>IFERROR(VLOOKUP($A612,Devengado!$A$1:$AI$1,33,FALSE),"")</f>
        <v/>
      </c>
      <c r="BO612" s="224">
        <f t="shared" si="76"/>
        <v>0</v>
      </c>
      <c r="BP612" s="224" t="str">
        <f t="shared" si="77"/>
        <v/>
      </c>
      <c r="BQ612" s="207"/>
      <c r="BR612" s="207" t="str">
        <f t="shared" si="78"/>
        <v>71</v>
      </c>
    </row>
    <row r="613" spans="1:70" s="225" customFormat="1" ht="25.5" customHeight="1">
      <c r="A613" s="207">
        <v>609</v>
      </c>
      <c r="B613" s="112" t="s">
        <v>73</v>
      </c>
      <c r="C613" s="112" t="s">
        <v>129</v>
      </c>
      <c r="D613" s="125" t="s">
        <v>142</v>
      </c>
      <c r="E613" s="125" t="s">
        <v>569</v>
      </c>
      <c r="F613" s="128" t="s">
        <v>570</v>
      </c>
      <c r="G613" s="112" t="s">
        <v>571</v>
      </c>
      <c r="H613" s="112" t="s">
        <v>572</v>
      </c>
      <c r="I613" s="112" t="s">
        <v>605</v>
      </c>
      <c r="J613" s="112" t="s">
        <v>606</v>
      </c>
      <c r="K613" s="112"/>
      <c r="L613" s="112" t="s">
        <v>603</v>
      </c>
      <c r="M613" s="112" t="s">
        <v>189</v>
      </c>
      <c r="N613" s="127">
        <v>9999</v>
      </c>
      <c r="O613" s="127" t="s">
        <v>132</v>
      </c>
      <c r="P613" s="127" t="s">
        <v>574</v>
      </c>
      <c r="Q613" s="127" t="s">
        <v>112</v>
      </c>
      <c r="R613" s="115" t="str">
        <f t="shared" si="72"/>
        <v>71</v>
      </c>
      <c r="S613" s="112">
        <v>710203</v>
      </c>
      <c r="T613" s="122" t="e">
        <f>VLOOKUP(S613,ITEM!$C$1:$D$156,2,FALSE)</f>
        <v>#N/A</v>
      </c>
      <c r="U613" s="112">
        <v>1700</v>
      </c>
      <c r="V613" s="114" t="s">
        <v>575</v>
      </c>
      <c r="W613" s="114"/>
      <c r="X613" s="114"/>
      <c r="Y613" s="224" t="e">
        <f>'Matriz POA 2024-TRABAJO'!#REF!</f>
        <v>#REF!</v>
      </c>
      <c r="Z613" s="224" t="e">
        <f>'Matriz POA 2024-TRABAJO'!#REF!</f>
        <v>#REF!</v>
      </c>
      <c r="AA613" s="224" t="e">
        <f>'Matriz POA 2024-TRABAJO'!#REF!</f>
        <v>#REF!</v>
      </c>
      <c r="AB613" s="279">
        <v>0</v>
      </c>
      <c r="AC613" s="279">
        <v>0</v>
      </c>
      <c r="AD613" s="279">
        <v>0</v>
      </c>
      <c r="AE613" s="279">
        <v>0</v>
      </c>
      <c r="AF613" s="279">
        <v>0</v>
      </c>
      <c r="AG613" s="279">
        <v>0</v>
      </c>
      <c r="AH613" s="279">
        <v>0</v>
      </c>
      <c r="AI613" s="279">
        <v>0</v>
      </c>
      <c r="AJ613" s="279">
        <v>0</v>
      </c>
      <c r="AK613" s="279">
        <v>0</v>
      </c>
      <c r="AL613" s="279">
        <v>0</v>
      </c>
      <c r="AM613" s="279">
        <v>0</v>
      </c>
      <c r="AN613" s="224" t="e">
        <f>SUM(#REF!)</f>
        <v>#REF!</v>
      </c>
      <c r="AO613" s="224">
        <f t="shared" si="73"/>
        <v>0</v>
      </c>
      <c r="AP613" s="224" t="e">
        <f t="shared" si="79"/>
        <v>#REF!</v>
      </c>
      <c r="AQ613" s="224"/>
      <c r="AR613" s="224"/>
      <c r="AS613" s="224"/>
      <c r="AT613" s="224" t="str">
        <f>IFERROR(VLOOKUP($A613,'Constancias POA'!$A$2:$DH$9993,17,FALSE),"")</f>
        <v/>
      </c>
      <c r="AU613" s="224" t="str">
        <f t="shared" si="74"/>
        <v/>
      </c>
      <c r="AV613" s="224" t="str">
        <f>IFERROR(VLOOKUP($A613,CP!$A$1:$U$7992,18,FALSE),"")</f>
        <v/>
      </c>
      <c r="AW613" s="224" t="str">
        <f>IFERROR(VLOOKUP($A613,CP!$A$1:$U$7992,19,FALSE),"")</f>
        <v/>
      </c>
      <c r="AX613" s="224" t="str">
        <f>IFERROR(VLOOKUP($A613,CP!$A$1:$U$7992,20,FALSE),"")</f>
        <v/>
      </c>
      <c r="AY613" s="224" t="str">
        <f>IFERROR(VLOOKUP($A613,CP!$A$1:$U$1,21,FALSE),"")</f>
        <v/>
      </c>
      <c r="AZ613" s="224" t="str">
        <f>IFERROR(VLOOKUP(A613,Devengado!$A$1:AJ1,35,FALSE),"")</f>
        <v/>
      </c>
      <c r="BA613" s="224" t="str">
        <f t="shared" si="75"/>
        <v/>
      </c>
      <c r="BB613" s="224" t="str">
        <f>IFERROR(AZ613/#REF!,"")</f>
        <v/>
      </c>
      <c r="BC613" s="224" t="str">
        <f>IFERROR(VLOOKUP($A613,Devengado!$A$1:$AI$1,22,FALSE),"")</f>
        <v/>
      </c>
      <c r="BD613" s="224" t="str">
        <f>IFERROR(VLOOKUP($A613,Devengado!$A$1:$AI$1,23,FALSE),"")</f>
        <v/>
      </c>
      <c r="BE613" s="224" t="str">
        <f>IFERROR(VLOOKUP($A613,Devengado!$A$1:$AI$1,24,FALSE),"")</f>
        <v/>
      </c>
      <c r="BF613" s="224" t="str">
        <f>IFERROR(VLOOKUP($A613,Devengado!$A$1:$AI$1,25,FALSE),"")</f>
        <v/>
      </c>
      <c r="BG613" s="224" t="str">
        <f>IFERROR(VLOOKUP($A613,Devengado!$A$1:$AI$1,26,FALSE),"")</f>
        <v/>
      </c>
      <c r="BH613" s="224" t="str">
        <f>IFERROR(VLOOKUP($A613,Devengado!$A$1:$AI$1,27,FALSE),"")</f>
        <v/>
      </c>
      <c r="BI613" s="224" t="str">
        <f>IFERROR(VLOOKUP($A613,Devengado!$A$1:$AI$1,28,FALSE),"")</f>
        <v/>
      </c>
      <c r="BJ613" s="224" t="str">
        <f>IFERROR(VLOOKUP($A613,Devengado!$A$1:$AI$1,29,FALSE),"")</f>
        <v/>
      </c>
      <c r="BK613" s="224" t="str">
        <f>IFERROR(VLOOKUP($A613,Devengado!$A$1:$AI$1,30,FALSE),"")</f>
        <v/>
      </c>
      <c r="BL613" s="224" t="str">
        <f>IFERROR(VLOOKUP($A613,Devengado!$A$1:$AI$1,31,FALSE),"")</f>
        <v/>
      </c>
      <c r="BM613" s="224" t="str">
        <f>IFERROR(VLOOKUP($A613,Devengado!$A$1:$AI$1,32,FALSE),"")</f>
        <v/>
      </c>
      <c r="BN613" s="224" t="str">
        <f>IFERROR(VLOOKUP($A613,Devengado!$A$1:$AI$1,33,FALSE),"")</f>
        <v/>
      </c>
      <c r="BO613" s="224">
        <f t="shared" si="76"/>
        <v>0</v>
      </c>
      <c r="BP613" s="224" t="str">
        <f t="shared" si="77"/>
        <v/>
      </c>
      <c r="BQ613" s="207"/>
      <c r="BR613" s="207" t="str">
        <f t="shared" si="78"/>
        <v>71</v>
      </c>
    </row>
    <row r="614" spans="1:70" s="225" customFormat="1" ht="25.5" customHeight="1">
      <c r="A614" s="207">
        <v>610</v>
      </c>
      <c r="B614" s="112" t="s">
        <v>73</v>
      </c>
      <c r="C614" s="112" t="s">
        <v>129</v>
      </c>
      <c r="D614" s="125" t="s">
        <v>142</v>
      </c>
      <c r="E614" s="125" t="s">
        <v>569</v>
      </c>
      <c r="F614" s="128" t="s">
        <v>570</v>
      </c>
      <c r="G614" s="112" t="s">
        <v>571</v>
      </c>
      <c r="H614" s="112" t="s">
        <v>572</v>
      </c>
      <c r="I614" s="112" t="s">
        <v>605</v>
      </c>
      <c r="J614" s="112" t="s">
        <v>606</v>
      </c>
      <c r="K614" s="112"/>
      <c r="L614" s="112" t="s">
        <v>603</v>
      </c>
      <c r="M614" s="112" t="s">
        <v>189</v>
      </c>
      <c r="N614" s="127">
        <v>9999</v>
      </c>
      <c r="O614" s="127" t="s">
        <v>132</v>
      </c>
      <c r="P614" s="127" t="s">
        <v>574</v>
      </c>
      <c r="Q614" s="127" t="s">
        <v>112</v>
      </c>
      <c r="R614" s="115" t="str">
        <f t="shared" si="72"/>
        <v>71</v>
      </c>
      <c r="S614" s="112">
        <v>710204</v>
      </c>
      <c r="T614" s="122" t="e">
        <f>VLOOKUP(S614,ITEM!$C$1:$D$156,2,FALSE)</f>
        <v>#N/A</v>
      </c>
      <c r="U614" s="112">
        <v>1700</v>
      </c>
      <c r="V614" s="114" t="s">
        <v>575</v>
      </c>
      <c r="W614" s="114"/>
      <c r="X614" s="114"/>
      <c r="Y614" s="224" t="e">
        <f>'Matriz POA 2024-TRABAJO'!#REF!</f>
        <v>#REF!</v>
      </c>
      <c r="Z614" s="224" t="e">
        <f>'Matriz POA 2024-TRABAJO'!#REF!</f>
        <v>#REF!</v>
      </c>
      <c r="AA614" s="224" t="e">
        <f>'Matriz POA 2024-TRABAJO'!#REF!</f>
        <v>#REF!</v>
      </c>
      <c r="AB614" s="279">
        <v>0</v>
      </c>
      <c r="AC614" s="279">
        <v>0</v>
      </c>
      <c r="AD614" s="279">
        <v>0</v>
      </c>
      <c r="AE614" s="279">
        <v>0</v>
      </c>
      <c r="AF614" s="279">
        <v>0</v>
      </c>
      <c r="AG614" s="279">
        <v>0</v>
      </c>
      <c r="AH614" s="279">
        <v>0</v>
      </c>
      <c r="AI614" s="279">
        <v>0</v>
      </c>
      <c r="AJ614" s="279">
        <v>0</v>
      </c>
      <c r="AK614" s="279">
        <v>0</v>
      </c>
      <c r="AL614" s="279">
        <v>0</v>
      </c>
      <c r="AM614" s="279">
        <v>0</v>
      </c>
      <c r="AN614" s="224" t="e">
        <f>SUM(#REF!)</f>
        <v>#REF!</v>
      </c>
      <c r="AO614" s="224">
        <f t="shared" si="73"/>
        <v>0</v>
      </c>
      <c r="AP614" s="224" t="e">
        <f t="shared" si="79"/>
        <v>#REF!</v>
      </c>
      <c r="AQ614" s="224"/>
      <c r="AR614" s="224"/>
      <c r="AS614" s="224"/>
      <c r="AT614" s="224" t="str">
        <f>IFERROR(VLOOKUP($A614,'Constancias POA'!$A$2:$DH$9993,17,FALSE),"")</f>
        <v/>
      </c>
      <c r="AU614" s="224" t="str">
        <f t="shared" si="74"/>
        <v/>
      </c>
      <c r="AV614" s="224" t="str">
        <f>IFERROR(VLOOKUP($A614,CP!$A$1:$U$7992,18,FALSE),"")</f>
        <v/>
      </c>
      <c r="AW614" s="224" t="str">
        <f>IFERROR(VLOOKUP($A614,CP!$A$1:$U$7992,19,FALSE),"")</f>
        <v/>
      </c>
      <c r="AX614" s="224" t="str">
        <f>IFERROR(VLOOKUP($A614,CP!$A$1:$U$7992,20,FALSE),"")</f>
        <v/>
      </c>
      <c r="AY614" s="224" t="str">
        <f>IFERROR(VLOOKUP($A614,CP!$A$1:$U$1,21,FALSE),"")</f>
        <v/>
      </c>
      <c r="AZ614" s="224" t="str">
        <f>IFERROR(VLOOKUP(A614,Devengado!$A$1:AJ1,35,FALSE),"")</f>
        <v/>
      </c>
      <c r="BA614" s="224" t="str">
        <f t="shared" si="75"/>
        <v/>
      </c>
      <c r="BB614" s="224" t="str">
        <f>IFERROR(AZ614/#REF!,"")</f>
        <v/>
      </c>
      <c r="BC614" s="224" t="str">
        <f>IFERROR(VLOOKUP($A614,Devengado!$A$1:$AI$1,22,FALSE),"")</f>
        <v/>
      </c>
      <c r="BD614" s="224" t="str">
        <f>IFERROR(VLOOKUP($A614,Devengado!$A$1:$AI$1,23,FALSE),"")</f>
        <v/>
      </c>
      <c r="BE614" s="224" t="str">
        <f>IFERROR(VLOOKUP($A614,Devengado!$A$1:$AI$1,24,FALSE),"")</f>
        <v/>
      </c>
      <c r="BF614" s="224" t="str">
        <f>IFERROR(VLOOKUP($A614,Devengado!$A$1:$AI$1,25,FALSE),"")</f>
        <v/>
      </c>
      <c r="BG614" s="224" t="str">
        <f>IFERROR(VLOOKUP($A614,Devengado!$A$1:$AI$1,26,FALSE),"")</f>
        <v/>
      </c>
      <c r="BH614" s="224" t="str">
        <f>IFERROR(VLOOKUP($A614,Devengado!$A$1:$AI$1,27,FALSE),"")</f>
        <v/>
      </c>
      <c r="BI614" s="224" t="str">
        <f>IFERROR(VLOOKUP($A614,Devengado!$A$1:$AI$1,28,FALSE),"")</f>
        <v/>
      </c>
      <c r="BJ614" s="224" t="str">
        <f>IFERROR(VLOOKUP($A614,Devengado!$A$1:$AI$1,29,FALSE),"")</f>
        <v/>
      </c>
      <c r="BK614" s="224" t="str">
        <f>IFERROR(VLOOKUP($A614,Devengado!$A$1:$AI$1,30,FALSE),"")</f>
        <v/>
      </c>
      <c r="BL614" s="224" t="str">
        <f>IFERROR(VLOOKUP($A614,Devengado!$A$1:$AI$1,31,FALSE),"")</f>
        <v/>
      </c>
      <c r="BM614" s="224" t="str">
        <f>IFERROR(VLOOKUP($A614,Devengado!$A$1:$AI$1,32,FALSE),"")</f>
        <v/>
      </c>
      <c r="BN614" s="224" t="str">
        <f>IFERROR(VLOOKUP($A614,Devengado!$A$1:$AI$1,33,FALSE),"")</f>
        <v/>
      </c>
      <c r="BO614" s="224">
        <f t="shared" si="76"/>
        <v>0</v>
      </c>
      <c r="BP614" s="224" t="str">
        <f t="shared" si="77"/>
        <v/>
      </c>
      <c r="BQ614" s="207"/>
      <c r="BR614" s="207" t="str">
        <f t="shared" si="78"/>
        <v>71</v>
      </c>
    </row>
    <row r="615" spans="1:70" s="225" customFormat="1" ht="25.5" customHeight="1">
      <c r="A615" s="207">
        <v>611</v>
      </c>
      <c r="B615" s="112" t="s">
        <v>73</v>
      </c>
      <c r="C615" s="112" t="s">
        <v>129</v>
      </c>
      <c r="D615" s="125" t="s">
        <v>142</v>
      </c>
      <c r="E615" s="125" t="s">
        <v>569</v>
      </c>
      <c r="F615" s="128" t="s">
        <v>570</v>
      </c>
      <c r="G615" s="112" t="s">
        <v>571</v>
      </c>
      <c r="H615" s="112" t="s">
        <v>572</v>
      </c>
      <c r="I615" s="112" t="s">
        <v>605</v>
      </c>
      <c r="J615" s="112" t="s">
        <v>606</v>
      </c>
      <c r="K615" s="112"/>
      <c r="L615" s="112" t="s">
        <v>603</v>
      </c>
      <c r="M615" s="112" t="s">
        <v>189</v>
      </c>
      <c r="N615" s="127">
        <v>9999</v>
      </c>
      <c r="O615" s="127" t="s">
        <v>132</v>
      </c>
      <c r="P615" s="127" t="s">
        <v>574</v>
      </c>
      <c r="Q615" s="127" t="s">
        <v>112</v>
      </c>
      <c r="R615" s="115" t="str">
        <f t="shared" si="72"/>
        <v>71</v>
      </c>
      <c r="S615" s="112">
        <v>710601</v>
      </c>
      <c r="T615" s="122" t="e">
        <f>VLOOKUP(S615,ITEM!$C$1:$D$156,2,FALSE)</f>
        <v>#N/A</v>
      </c>
      <c r="U615" s="112">
        <v>1700</v>
      </c>
      <c r="V615" s="114" t="s">
        <v>575</v>
      </c>
      <c r="W615" s="114"/>
      <c r="X615" s="114"/>
      <c r="Y615" s="224" t="e">
        <f>'Matriz POA 2024-TRABAJO'!#REF!</f>
        <v>#REF!</v>
      </c>
      <c r="Z615" s="224" t="e">
        <f>'Matriz POA 2024-TRABAJO'!#REF!</f>
        <v>#REF!</v>
      </c>
      <c r="AA615" s="224" t="e">
        <f>'Matriz POA 2024-TRABAJO'!#REF!</f>
        <v>#REF!</v>
      </c>
      <c r="AB615" s="279">
        <v>0</v>
      </c>
      <c r="AC615" s="279">
        <v>0</v>
      </c>
      <c r="AD615" s="279">
        <v>0</v>
      </c>
      <c r="AE615" s="279">
        <v>0</v>
      </c>
      <c r="AF615" s="279">
        <v>0</v>
      </c>
      <c r="AG615" s="279">
        <v>0</v>
      </c>
      <c r="AH615" s="279">
        <v>0</v>
      </c>
      <c r="AI615" s="279">
        <v>0</v>
      </c>
      <c r="AJ615" s="279">
        <v>0</v>
      </c>
      <c r="AK615" s="279">
        <v>0</v>
      </c>
      <c r="AL615" s="279">
        <v>0</v>
      </c>
      <c r="AM615" s="279">
        <v>0</v>
      </c>
      <c r="AN615" s="224" t="e">
        <f>SUM(#REF!)</f>
        <v>#REF!</v>
      </c>
      <c r="AO615" s="224">
        <f t="shared" si="73"/>
        <v>0</v>
      </c>
      <c r="AP615" s="224" t="e">
        <f t="shared" si="79"/>
        <v>#REF!</v>
      </c>
      <c r="AQ615" s="224"/>
      <c r="AR615" s="224"/>
      <c r="AS615" s="224"/>
      <c r="AT615" s="224" t="str">
        <f>IFERROR(VLOOKUP($A615,'Constancias POA'!$A$2:$DH$9993,17,FALSE),"")</f>
        <v/>
      </c>
      <c r="AU615" s="224" t="str">
        <f t="shared" si="74"/>
        <v/>
      </c>
      <c r="AV615" s="224" t="str">
        <f>IFERROR(VLOOKUP($A615,CP!$A$1:$U$7992,18,FALSE),"")</f>
        <v/>
      </c>
      <c r="AW615" s="224" t="str">
        <f>IFERROR(VLOOKUP($A615,CP!$A$1:$U$7992,19,FALSE),"")</f>
        <v/>
      </c>
      <c r="AX615" s="224" t="str">
        <f>IFERROR(VLOOKUP($A615,CP!$A$1:$U$7992,20,FALSE),"")</f>
        <v/>
      </c>
      <c r="AY615" s="224" t="str">
        <f>IFERROR(VLOOKUP($A615,CP!$A$1:$U$1,21,FALSE),"")</f>
        <v/>
      </c>
      <c r="AZ615" s="224" t="str">
        <f>IFERROR(VLOOKUP(A615,Devengado!$A$1:AJ1,35,FALSE),"")</f>
        <v/>
      </c>
      <c r="BA615" s="224" t="str">
        <f t="shared" si="75"/>
        <v/>
      </c>
      <c r="BB615" s="224" t="str">
        <f>IFERROR(AZ615/#REF!,"")</f>
        <v/>
      </c>
      <c r="BC615" s="224" t="str">
        <f>IFERROR(VLOOKUP($A615,Devengado!$A$1:$AI$1,22,FALSE),"")</f>
        <v/>
      </c>
      <c r="BD615" s="224" t="str">
        <f>IFERROR(VLOOKUP($A615,Devengado!$A$1:$AI$1,23,FALSE),"")</f>
        <v/>
      </c>
      <c r="BE615" s="224" t="str">
        <f>IFERROR(VLOOKUP($A615,Devengado!$A$1:$AI$1,24,FALSE),"")</f>
        <v/>
      </c>
      <c r="BF615" s="224" t="str">
        <f>IFERROR(VLOOKUP($A615,Devengado!$A$1:$AI$1,25,FALSE),"")</f>
        <v/>
      </c>
      <c r="BG615" s="224" t="str">
        <f>IFERROR(VLOOKUP($A615,Devengado!$A$1:$AI$1,26,FALSE),"")</f>
        <v/>
      </c>
      <c r="BH615" s="224" t="str">
        <f>IFERROR(VLOOKUP($A615,Devengado!$A$1:$AI$1,27,FALSE),"")</f>
        <v/>
      </c>
      <c r="BI615" s="224" t="str">
        <f>IFERROR(VLOOKUP($A615,Devengado!$A$1:$AI$1,28,FALSE),"")</f>
        <v/>
      </c>
      <c r="BJ615" s="224" t="str">
        <f>IFERROR(VLOOKUP($A615,Devengado!$A$1:$AI$1,29,FALSE),"")</f>
        <v/>
      </c>
      <c r="BK615" s="224" t="str">
        <f>IFERROR(VLOOKUP($A615,Devengado!$A$1:$AI$1,30,FALSE),"")</f>
        <v/>
      </c>
      <c r="BL615" s="224" t="str">
        <f>IFERROR(VLOOKUP($A615,Devengado!$A$1:$AI$1,31,FALSE),"")</f>
        <v/>
      </c>
      <c r="BM615" s="224" t="str">
        <f>IFERROR(VLOOKUP($A615,Devengado!$A$1:$AI$1,32,FALSE),"")</f>
        <v/>
      </c>
      <c r="BN615" s="224" t="str">
        <f>IFERROR(VLOOKUP($A615,Devengado!$A$1:$AI$1,33,FALSE),"")</f>
        <v/>
      </c>
      <c r="BO615" s="224">
        <f t="shared" si="76"/>
        <v>0</v>
      </c>
      <c r="BP615" s="224" t="str">
        <f t="shared" si="77"/>
        <v/>
      </c>
      <c r="BQ615" s="207"/>
      <c r="BR615" s="207" t="str">
        <f t="shared" si="78"/>
        <v>71</v>
      </c>
    </row>
    <row r="616" spans="1:70" s="225" customFormat="1" ht="25.5" customHeight="1">
      <c r="A616" s="207">
        <v>612</v>
      </c>
      <c r="B616" s="112" t="s">
        <v>73</v>
      </c>
      <c r="C616" s="112" t="s">
        <v>129</v>
      </c>
      <c r="D616" s="125" t="s">
        <v>142</v>
      </c>
      <c r="E616" s="125" t="s">
        <v>569</v>
      </c>
      <c r="F616" s="128" t="s">
        <v>570</v>
      </c>
      <c r="G616" s="112" t="s">
        <v>571</v>
      </c>
      <c r="H616" s="112" t="s">
        <v>572</v>
      </c>
      <c r="I616" s="112" t="s">
        <v>605</v>
      </c>
      <c r="J616" s="112" t="s">
        <v>606</v>
      </c>
      <c r="K616" s="112"/>
      <c r="L616" s="112" t="s">
        <v>603</v>
      </c>
      <c r="M616" s="112" t="s">
        <v>189</v>
      </c>
      <c r="N616" s="127">
        <v>9999</v>
      </c>
      <c r="O616" s="127" t="s">
        <v>132</v>
      </c>
      <c r="P616" s="127" t="s">
        <v>574</v>
      </c>
      <c r="Q616" s="127" t="s">
        <v>112</v>
      </c>
      <c r="R616" s="115" t="str">
        <f t="shared" si="72"/>
        <v>71</v>
      </c>
      <c r="S616" s="112">
        <v>710602</v>
      </c>
      <c r="T616" s="122" t="e">
        <f>VLOOKUP(S616,ITEM!$C$1:$D$156,2,FALSE)</f>
        <v>#N/A</v>
      </c>
      <c r="U616" s="112">
        <v>1700</v>
      </c>
      <c r="V616" s="114" t="s">
        <v>575</v>
      </c>
      <c r="W616" s="114"/>
      <c r="X616" s="114"/>
      <c r="Y616" s="224" t="e">
        <f>'Matriz POA 2024-TRABAJO'!#REF!</f>
        <v>#REF!</v>
      </c>
      <c r="Z616" s="224" t="e">
        <f>'Matriz POA 2024-TRABAJO'!#REF!</f>
        <v>#REF!</v>
      </c>
      <c r="AA616" s="224" t="e">
        <f>'Matriz POA 2024-TRABAJO'!#REF!</f>
        <v>#REF!</v>
      </c>
      <c r="AB616" s="279"/>
      <c r="AC616" s="279"/>
      <c r="AD616" s="279"/>
      <c r="AE616" s="279"/>
      <c r="AF616" s="279"/>
      <c r="AG616" s="279"/>
      <c r="AH616" s="279"/>
      <c r="AI616" s="279"/>
      <c r="AJ616" s="279"/>
      <c r="AK616" s="279"/>
      <c r="AL616" s="279"/>
      <c r="AM616" s="279">
        <v>452.34</v>
      </c>
      <c r="AN616" s="224" t="e">
        <f>SUM(#REF!)</f>
        <v>#REF!</v>
      </c>
      <c r="AO616" s="224">
        <f t="shared" si="73"/>
        <v>452.34</v>
      </c>
      <c r="AP616" s="224" t="e">
        <f t="shared" si="79"/>
        <v>#REF!</v>
      </c>
      <c r="AQ616" s="224"/>
      <c r="AR616" s="224"/>
      <c r="AS616" s="224"/>
      <c r="AT616" s="224" t="str">
        <f>IFERROR(VLOOKUP($A616,'Constancias POA'!$A$2:$DH$9993,17,FALSE),"")</f>
        <v/>
      </c>
      <c r="AU616" s="224" t="str">
        <f t="shared" si="74"/>
        <v/>
      </c>
      <c r="AV616" s="224" t="str">
        <f>IFERROR(VLOOKUP($A616,CP!$A$1:$U$7992,18,FALSE),"")</f>
        <v/>
      </c>
      <c r="AW616" s="224" t="str">
        <f>IFERROR(VLOOKUP($A616,CP!$A$1:$U$7992,19,FALSE),"")</f>
        <v/>
      </c>
      <c r="AX616" s="224" t="str">
        <f>IFERROR(VLOOKUP($A616,CP!$A$1:$U$7992,20,FALSE),"")</f>
        <v/>
      </c>
      <c r="AY616" s="224" t="str">
        <f>IFERROR(VLOOKUP($A616,CP!$A$1:$U$1,21,FALSE),"")</f>
        <v/>
      </c>
      <c r="AZ616" s="224" t="str">
        <f>IFERROR(VLOOKUP(A616,Devengado!$A$1:AJ1,35,FALSE),"")</f>
        <v/>
      </c>
      <c r="BA616" s="224" t="str">
        <f t="shared" si="75"/>
        <v/>
      </c>
      <c r="BB616" s="224" t="str">
        <f>IFERROR(AZ616/#REF!,"")</f>
        <v/>
      </c>
      <c r="BC616" s="224" t="str">
        <f>IFERROR(VLOOKUP($A616,Devengado!$A$1:$AI$1,22,FALSE),"")</f>
        <v/>
      </c>
      <c r="BD616" s="224" t="str">
        <f>IFERROR(VLOOKUP($A616,Devengado!$A$1:$AI$1,23,FALSE),"")</f>
        <v/>
      </c>
      <c r="BE616" s="224" t="str">
        <f>IFERROR(VLOOKUP($A616,Devengado!$A$1:$AI$1,24,FALSE),"")</f>
        <v/>
      </c>
      <c r="BF616" s="224" t="str">
        <f>IFERROR(VLOOKUP($A616,Devengado!$A$1:$AI$1,25,FALSE),"")</f>
        <v/>
      </c>
      <c r="BG616" s="224" t="str">
        <f>IFERROR(VLOOKUP($A616,Devengado!$A$1:$AI$1,26,FALSE),"")</f>
        <v/>
      </c>
      <c r="BH616" s="224" t="str">
        <f>IFERROR(VLOOKUP($A616,Devengado!$A$1:$AI$1,27,FALSE),"")</f>
        <v/>
      </c>
      <c r="BI616" s="224" t="str">
        <f>IFERROR(VLOOKUP($A616,Devengado!$A$1:$AI$1,28,FALSE),"")</f>
        <v/>
      </c>
      <c r="BJ616" s="224" t="str">
        <f>IFERROR(VLOOKUP($A616,Devengado!$A$1:$AI$1,29,FALSE),"")</f>
        <v/>
      </c>
      <c r="BK616" s="224" t="str">
        <f>IFERROR(VLOOKUP($A616,Devengado!$A$1:$AI$1,30,FALSE),"")</f>
        <v/>
      </c>
      <c r="BL616" s="224" t="str">
        <f>IFERROR(VLOOKUP($A616,Devengado!$A$1:$AI$1,31,FALSE),"")</f>
        <v/>
      </c>
      <c r="BM616" s="224" t="str">
        <f>IFERROR(VLOOKUP($A616,Devengado!$A$1:$AI$1,32,FALSE),"")</f>
        <v/>
      </c>
      <c r="BN616" s="224" t="str">
        <f>IFERROR(VLOOKUP($A616,Devengado!$A$1:$AI$1,33,FALSE),"")</f>
        <v/>
      </c>
      <c r="BO616" s="224">
        <f t="shared" si="76"/>
        <v>0</v>
      </c>
      <c r="BP616" s="224" t="str">
        <f t="shared" si="77"/>
        <v/>
      </c>
      <c r="BQ616" s="207"/>
      <c r="BR616" s="207" t="str">
        <f t="shared" si="78"/>
        <v>71</v>
      </c>
    </row>
    <row r="617" spans="1:70" s="225" customFormat="1" ht="25.5" customHeight="1">
      <c r="A617" s="207">
        <v>613</v>
      </c>
      <c r="B617" s="112" t="s">
        <v>73</v>
      </c>
      <c r="C617" s="112" t="s">
        <v>129</v>
      </c>
      <c r="D617" s="125" t="s">
        <v>142</v>
      </c>
      <c r="E617" s="125" t="s">
        <v>569</v>
      </c>
      <c r="F617" s="128" t="s">
        <v>570</v>
      </c>
      <c r="G617" s="112" t="s">
        <v>571</v>
      </c>
      <c r="H617" s="112" t="s">
        <v>572</v>
      </c>
      <c r="I617" s="112" t="s">
        <v>605</v>
      </c>
      <c r="J617" s="112" t="s">
        <v>606</v>
      </c>
      <c r="K617" s="112"/>
      <c r="L617" s="112" t="s">
        <v>603</v>
      </c>
      <c r="M617" s="112" t="s">
        <v>189</v>
      </c>
      <c r="N617" s="127">
        <v>9999</v>
      </c>
      <c r="O617" s="127" t="s">
        <v>132</v>
      </c>
      <c r="P617" s="127" t="s">
        <v>574</v>
      </c>
      <c r="Q617" s="127" t="s">
        <v>112</v>
      </c>
      <c r="R617" s="115" t="str">
        <f t="shared" si="72"/>
        <v>71</v>
      </c>
      <c r="S617" s="112">
        <v>710707</v>
      </c>
      <c r="T617" s="122" t="e">
        <f>VLOOKUP(S617,ITEM!$C$1:$D$156,2,FALSE)</f>
        <v>#N/A</v>
      </c>
      <c r="U617" s="112">
        <v>1700</v>
      </c>
      <c r="V617" s="114" t="s">
        <v>575</v>
      </c>
      <c r="W617" s="114"/>
      <c r="X617" s="114"/>
      <c r="Y617" s="224" t="e">
        <f>'Matriz POA 2024-TRABAJO'!#REF!</f>
        <v>#REF!</v>
      </c>
      <c r="Z617" s="224" t="e">
        <f>'Matriz POA 2024-TRABAJO'!#REF!</f>
        <v>#REF!</v>
      </c>
      <c r="AA617" s="224" t="e">
        <f>'Matriz POA 2024-TRABAJO'!#REF!</f>
        <v>#REF!</v>
      </c>
      <c r="AB617" s="279">
        <v>0</v>
      </c>
      <c r="AC617" s="279">
        <v>0</v>
      </c>
      <c r="AD617" s="279">
        <v>0</v>
      </c>
      <c r="AE617" s="279">
        <v>0</v>
      </c>
      <c r="AF617" s="279">
        <v>0</v>
      </c>
      <c r="AG617" s="279">
        <v>0</v>
      </c>
      <c r="AH617" s="279">
        <v>0</v>
      </c>
      <c r="AI617" s="279">
        <v>0</v>
      </c>
      <c r="AJ617" s="279">
        <v>0</v>
      </c>
      <c r="AK617" s="279">
        <v>0</v>
      </c>
      <c r="AL617" s="279">
        <v>0</v>
      </c>
      <c r="AM617" s="279">
        <v>0</v>
      </c>
      <c r="AN617" s="224" t="e">
        <f>SUM(#REF!)</f>
        <v>#REF!</v>
      </c>
      <c r="AO617" s="224">
        <f t="shared" si="73"/>
        <v>0</v>
      </c>
      <c r="AP617" s="224" t="e">
        <f t="shared" si="79"/>
        <v>#REF!</v>
      </c>
      <c r="AQ617" s="224"/>
      <c r="AR617" s="224"/>
      <c r="AS617" s="224"/>
      <c r="AT617" s="224" t="str">
        <f>IFERROR(VLOOKUP($A617,'Constancias POA'!$A$2:$DH$9993,17,FALSE),"")</f>
        <v/>
      </c>
      <c r="AU617" s="224" t="str">
        <f t="shared" si="74"/>
        <v/>
      </c>
      <c r="AV617" s="224" t="str">
        <f>IFERROR(VLOOKUP($A617,CP!$A$1:$U$7992,18,FALSE),"")</f>
        <v/>
      </c>
      <c r="AW617" s="224" t="str">
        <f>IFERROR(VLOOKUP($A617,CP!$A$1:$U$7992,19,FALSE),"")</f>
        <v/>
      </c>
      <c r="AX617" s="224" t="str">
        <f>IFERROR(VLOOKUP($A617,CP!$A$1:$U$7992,20,FALSE),"")</f>
        <v/>
      </c>
      <c r="AY617" s="224" t="str">
        <f>IFERROR(VLOOKUP($A617,CP!$A$1:$U$1,21,FALSE),"")</f>
        <v/>
      </c>
      <c r="AZ617" s="224" t="str">
        <f>IFERROR(VLOOKUP(A617,Devengado!$A$1:AJ1,35,FALSE),"")</f>
        <v/>
      </c>
      <c r="BA617" s="224" t="str">
        <f t="shared" si="75"/>
        <v/>
      </c>
      <c r="BB617" s="224" t="str">
        <f>IFERROR(AZ617/#REF!,"")</f>
        <v/>
      </c>
      <c r="BC617" s="224" t="str">
        <f>IFERROR(VLOOKUP($A617,Devengado!$A$1:$AI$1,22,FALSE),"")</f>
        <v/>
      </c>
      <c r="BD617" s="224" t="str">
        <f>IFERROR(VLOOKUP($A617,Devengado!$A$1:$AI$1,23,FALSE),"")</f>
        <v/>
      </c>
      <c r="BE617" s="224" t="str">
        <f>IFERROR(VLOOKUP($A617,Devengado!$A$1:$AI$1,24,FALSE),"")</f>
        <v/>
      </c>
      <c r="BF617" s="224" t="str">
        <f>IFERROR(VLOOKUP($A617,Devengado!$A$1:$AI$1,25,FALSE),"")</f>
        <v/>
      </c>
      <c r="BG617" s="224" t="str">
        <f>IFERROR(VLOOKUP($A617,Devengado!$A$1:$AI$1,26,FALSE),"")</f>
        <v/>
      </c>
      <c r="BH617" s="224" t="str">
        <f>IFERROR(VLOOKUP($A617,Devengado!$A$1:$AI$1,27,FALSE),"")</f>
        <v/>
      </c>
      <c r="BI617" s="224" t="str">
        <f>IFERROR(VLOOKUP($A617,Devengado!$A$1:$AI$1,28,FALSE),"")</f>
        <v/>
      </c>
      <c r="BJ617" s="224" t="str">
        <f>IFERROR(VLOOKUP($A617,Devengado!$A$1:$AI$1,29,FALSE),"")</f>
        <v/>
      </c>
      <c r="BK617" s="224" t="str">
        <f>IFERROR(VLOOKUP($A617,Devengado!$A$1:$AI$1,30,FALSE),"")</f>
        <v/>
      </c>
      <c r="BL617" s="224" t="str">
        <f>IFERROR(VLOOKUP($A617,Devengado!$A$1:$AI$1,31,FALSE),"")</f>
        <v/>
      </c>
      <c r="BM617" s="224" t="str">
        <f>IFERROR(VLOOKUP($A617,Devengado!$A$1:$AI$1,32,FALSE),"")</f>
        <v/>
      </c>
      <c r="BN617" s="224" t="str">
        <f>IFERROR(VLOOKUP($A617,Devengado!$A$1:$AI$1,33,FALSE),"")</f>
        <v/>
      </c>
      <c r="BO617" s="224">
        <f t="shared" si="76"/>
        <v>0</v>
      </c>
      <c r="BP617" s="224" t="str">
        <f t="shared" si="77"/>
        <v/>
      </c>
      <c r="BQ617" s="207"/>
      <c r="BR617" s="207" t="str">
        <f t="shared" si="78"/>
        <v>71</v>
      </c>
    </row>
    <row r="618" spans="1:70" s="225" customFormat="1" ht="25.5" customHeight="1">
      <c r="A618" s="207">
        <v>614</v>
      </c>
      <c r="B618" s="112" t="s">
        <v>73</v>
      </c>
      <c r="C618" s="112" t="s">
        <v>129</v>
      </c>
      <c r="D618" s="125" t="s">
        <v>142</v>
      </c>
      <c r="E618" s="125" t="s">
        <v>569</v>
      </c>
      <c r="F618" s="128" t="s">
        <v>570</v>
      </c>
      <c r="G618" s="112" t="s">
        <v>571</v>
      </c>
      <c r="H618" s="112" t="s">
        <v>572</v>
      </c>
      <c r="I618" s="112" t="s">
        <v>605</v>
      </c>
      <c r="J618" s="112" t="s">
        <v>606</v>
      </c>
      <c r="K618" s="112"/>
      <c r="L618" s="112" t="s">
        <v>603</v>
      </c>
      <c r="M618" s="112" t="s">
        <v>189</v>
      </c>
      <c r="N618" s="127">
        <v>9999</v>
      </c>
      <c r="O618" s="127" t="s">
        <v>132</v>
      </c>
      <c r="P618" s="127" t="s">
        <v>574</v>
      </c>
      <c r="Q618" s="127" t="s">
        <v>112</v>
      </c>
      <c r="R618" s="115" t="str">
        <f t="shared" si="72"/>
        <v>71</v>
      </c>
      <c r="S618" s="112">
        <v>710509</v>
      </c>
      <c r="T618" s="122" t="e">
        <f>VLOOKUP(S618,ITEM!$C$1:$D$156,2,FALSE)</f>
        <v>#N/A</v>
      </c>
      <c r="U618" s="112">
        <v>1700</v>
      </c>
      <c r="V618" s="114" t="s">
        <v>575</v>
      </c>
      <c r="W618" s="114"/>
      <c r="X618" s="114"/>
      <c r="Y618" s="224" t="e">
        <f>'Matriz POA 2024-TRABAJO'!#REF!</f>
        <v>#REF!</v>
      </c>
      <c r="Z618" s="224" t="e">
        <f>'Matriz POA 2024-TRABAJO'!#REF!</f>
        <v>#REF!</v>
      </c>
      <c r="AA618" s="224" t="e">
        <f>'Matriz POA 2024-TRABAJO'!#REF!</f>
        <v>#REF!</v>
      </c>
      <c r="AB618" s="279">
        <v>0</v>
      </c>
      <c r="AC618" s="279">
        <v>0</v>
      </c>
      <c r="AD618" s="279">
        <v>0</v>
      </c>
      <c r="AE618" s="279">
        <v>0</v>
      </c>
      <c r="AF618" s="279">
        <v>0</v>
      </c>
      <c r="AG618" s="279">
        <v>0</v>
      </c>
      <c r="AH618" s="279">
        <v>0</v>
      </c>
      <c r="AI618" s="279">
        <v>0</v>
      </c>
      <c r="AJ618" s="279">
        <v>0</v>
      </c>
      <c r="AK618" s="279">
        <v>0</v>
      </c>
      <c r="AL618" s="279">
        <v>0</v>
      </c>
      <c r="AM618" s="279">
        <v>0</v>
      </c>
      <c r="AN618" s="224" t="e">
        <f>SUM(#REF!)</f>
        <v>#REF!</v>
      </c>
      <c r="AO618" s="224">
        <f t="shared" si="73"/>
        <v>0</v>
      </c>
      <c r="AP618" s="224" t="e">
        <f t="shared" si="79"/>
        <v>#REF!</v>
      </c>
      <c r="AQ618" s="224"/>
      <c r="AR618" s="224"/>
      <c r="AS618" s="224"/>
      <c r="AT618" s="224" t="str">
        <f>IFERROR(VLOOKUP($A618,'Constancias POA'!$A$2:$DH$9993,17,FALSE),"")</f>
        <v/>
      </c>
      <c r="AU618" s="224" t="str">
        <f t="shared" si="74"/>
        <v/>
      </c>
      <c r="AV618" s="224" t="str">
        <f>IFERROR(VLOOKUP($A618,CP!$A$1:$U$7992,18,FALSE),"")</f>
        <v/>
      </c>
      <c r="AW618" s="224" t="str">
        <f>IFERROR(VLOOKUP($A618,CP!$A$1:$U$7992,19,FALSE),"")</f>
        <v/>
      </c>
      <c r="AX618" s="224" t="str">
        <f>IFERROR(VLOOKUP($A618,CP!$A$1:$U$7992,20,FALSE),"")</f>
        <v/>
      </c>
      <c r="AY618" s="224" t="str">
        <f>IFERROR(VLOOKUP($A618,CP!$A$1:$U$1,21,FALSE),"")</f>
        <v/>
      </c>
      <c r="AZ618" s="224" t="str">
        <f>IFERROR(VLOOKUP(A618,Devengado!$A$1:AJ1,35,FALSE),"")</f>
        <v/>
      </c>
      <c r="BA618" s="224" t="str">
        <f t="shared" si="75"/>
        <v/>
      </c>
      <c r="BB618" s="224" t="str">
        <f>IFERROR(AZ618/#REF!,"")</f>
        <v/>
      </c>
      <c r="BC618" s="224" t="str">
        <f>IFERROR(VLOOKUP($A618,Devengado!$A$1:$AI$1,22,FALSE),"")</f>
        <v/>
      </c>
      <c r="BD618" s="224" t="str">
        <f>IFERROR(VLOOKUP($A618,Devengado!$A$1:$AI$1,23,FALSE),"")</f>
        <v/>
      </c>
      <c r="BE618" s="224" t="str">
        <f>IFERROR(VLOOKUP($A618,Devengado!$A$1:$AI$1,24,FALSE),"")</f>
        <v/>
      </c>
      <c r="BF618" s="224" t="str">
        <f>IFERROR(VLOOKUP($A618,Devengado!$A$1:$AI$1,25,FALSE),"")</f>
        <v/>
      </c>
      <c r="BG618" s="224" t="str">
        <f>IFERROR(VLOOKUP($A618,Devengado!$A$1:$AI$1,26,FALSE),"")</f>
        <v/>
      </c>
      <c r="BH618" s="224" t="str">
        <f>IFERROR(VLOOKUP($A618,Devengado!$A$1:$AI$1,27,FALSE),"")</f>
        <v/>
      </c>
      <c r="BI618" s="224" t="str">
        <f>IFERROR(VLOOKUP($A618,Devengado!$A$1:$AI$1,28,FALSE),"")</f>
        <v/>
      </c>
      <c r="BJ618" s="224" t="str">
        <f>IFERROR(VLOOKUP($A618,Devengado!$A$1:$AI$1,29,FALSE),"")</f>
        <v/>
      </c>
      <c r="BK618" s="224" t="str">
        <f>IFERROR(VLOOKUP($A618,Devengado!$A$1:$AI$1,30,FALSE),"")</f>
        <v/>
      </c>
      <c r="BL618" s="224" t="str">
        <f>IFERROR(VLOOKUP($A618,Devengado!$A$1:$AI$1,31,FALSE),"")</f>
        <v/>
      </c>
      <c r="BM618" s="224" t="str">
        <f>IFERROR(VLOOKUP($A618,Devengado!$A$1:$AI$1,32,FALSE),"")</f>
        <v/>
      </c>
      <c r="BN618" s="224" t="str">
        <f>IFERROR(VLOOKUP($A618,Devengado!$A$1:$AI$1,33,FALSE),"")</f>
        <v/>
      </c>
      <c r="BO618" s="224">
        <f t="shared" si="76"/>
        <v>0</v>
      </c>
      <c r="BP618" s="224" t="str">
        <f t="shared" si="77"/>
        <v/>
      </c>
      <c r="BQ618" s="207"/>
      <c r="BR618" s="207" t="str">
        <f t="shared" si="78"/>
        <v>71</v>
      </c>
    </row>
    <row r="619" spans="1:70" s="225" customFormat="1" ht="52.5" customHeight="1">
      <c r="A619" s="207">
        <v>615</v>
      </c>
      <c r="B619" s="112" t="s">
        <v>73</v>
      </c>
      <c r="C619" s="112" t="s">
        <v>129</v>
      </c>
      <c r="D619" s="125" t="s">
        <v>142</v>
      </c>
      <c r="E619" s="125" t="s">
        <v>569</v>
      </c>
      <c r="F619" s="128" t="s">
        <v>570</v>
      </c>
      <c r="G619" s="112" t="s">
        <v>571</v>
      </c>
      <c r="H619" s="112" t="s">
        <v>572</v>
      </c>
      <c r="I619" s="112" t="s">
        <v>601</v>
      </c>
      <c r="J619" s="112" t="s">
        <v>607</v>
      </c>
      <c r="K619" s="112"/>
      <c r="L619" s="112" t="s">
        <v>603</v>
      </c>
      <c r="M619" s="112" t="s">
        <v>608</v>
      </c>
      <c r="N619" s="127">
        <v>9999</v>
      </c>
      <c r="O619" s="127" t="s">
        <v>132</v>
      </c>
      <c r="P619" s="127" t="s">
        <v>574</v>
      </c>
      <c r="Q619" s="127" t="s">
        <v>112</v>
      </c>
      <c r="R619" s="115" t="str">
        <f t="shared" si="72"/>
        <v>73</v>
      </c>
      <c r="S619" s="112">
        <v>730606</v>
      </c>
      <c r="T619" s="122" t="e">
        <f>VLOOKUP(S619,ITEM!$C$1:$D$156,2,FALSE)</f>
        <v>#N/A</v>
      </c>
      <c r="U619" s="112">
        <v>1701</v>
      </c>
      <c r="V619" s="114" t="s">
        <v>575</v>
      </c>
      <c r="W619" s="114"/>
      <c r="X619" s="114"/>
      <c r="Y619" s="224" t="e">
        <f>'Matriz POA 2024-TRABAJO'!#REF!</f>
        <v>#REF!</v>
      </c>
      <c r="Z619" s="224" t="e">
        <f>'Matriz POA 2024-TRABAJO'!#REF!</f>
        <v>#REF!</v>
      </c>
      <c r="AA619" s="224" t="e">
        <f>'Matriz POA 2024-TRABAJO'!#REF!</f>
        <v>#REF!</v>
      </c>
      <c r="AB619" s="279">
        <v>24626.7</v>
      </c>
      <c r="AC619" s="279">
        <v>24626.71</v>
      </c>
      <c r="AD619" s="279">
        <v>24626.71</v>
      </c>
      <c r="AE619" s="279">
        <v>24626.71</v>
      </c>
      <c r="AF619" s="279">
        <v>24626.71</v>
      </c>
      <c r="AG619" s="279">
        <v>24626.71</v>
      </c>
      <c r="AH619" s="279">
        <v>24626.71</v>
      </c>
      <c r="AI619" s="279">
        <v>24626.71</v>
      </c>
      <c r="AJ619" s="279">
        <v>24626.71</v>
      </c>
      <c r="AK619" s="279">
        <v>24626.71</v>
      </c>
      <c r="AL619" s="279">
        <v>24626.71</v>
      </c>
      <c r="AM619" s="279">
        <v>24626.7</v>
      </c>
      <c r="AN619" s="224" t="e">
        <f>SUM(#REF!)</f>
        <v>#REF!</v>
      </c>
      <c r="AO619" s="224">
        <f t="shared" si="73"/>
        <v>295520.49999999994</v>
      </c>
      <c r="AP619" s="224" t="e">
        <f t="shared" si="79"/>
        <v>#REF!</v>
      </c>
      <c r="AQ619" s="224"/>
      <c r="AR619" s="224"/>
      <c r="AS619" s="224"/>
      <c r="AT619" s="224" t="str">
        <f>IFERROR(VLOOKUP($A619,'Constancias POA'!$A$2:$DH$9993,17,FALSE),"")</f>
        <v/>
      </c>
      <c r="AU619" s="224" t="str">
        <f t="shared" si="74"/>
        <v/>
      </c>
      <c r="AV619" s="224" t="str">
        <f>IFERROR(VLOOKUP($A619,CP!$A$1:$U$7992,18,FALSE),"")</f>
        <v/>
      </c>
      <c r="AW619" s="224" t="str">
        <f>IFERROR(VLOOKUP($A619,CP!$A$1:$U$7992,19,FALSE),"")</f>
        <v/>
      </c>
      <c r="AX619" s="224" t="str">
        <f>IFERROR(VLOOKUP($A619,CP!$A$1:$U$7992,20,FALSE),"")</f>
        <v/>
      </c>
      <c r="AY619" s="224" t="str">
        <f>IFERROR(VLOOKUP($A619,CP!$A$1:$U$1,21,FALSE),"")</f>
        <v/>
      </c>
      <c r="AZ619" s="224" t="str">
        <f>IFERROR(VLOOKUP(A619,Devengado!$A$1:AJ1,35,FALSE),"")</f>
        <v/>
      </c>
      <c r="BA619" s="224" t="str">
        <f t="shared" si="75"/>
        <v/>
      </c>
      <c r="BB619" s="224" t="str">
        <f>IFERROR(AZ619/#REF!,"")</f>
        <v/>
      </c>
      <c r="BC619" s="224" t="str">
        <f>IFERROR(VLOOKUP($A619,Devengado!$A$1:$AI$1,22,FALSE),"")</f>
        <v/>
      </c>
      <c r="BD619" s="224" t="str">
        <f>IFERROR(VLOOKUP($A619,Devengado!$A$1:$AI$1,23,FALSE),"")</f>
        <v/>
      </c>
      <c r="BE619" s="224" t="str">
        <f>IFERROR(VLOOKUP($A619,Devengado!$A$1:$AI$1,24,FALSE),"")</f>
        <v/>
      </c>
      <c r="BF619" s="224" t="str">
        <f>IFERROR(VLOOKUP($A619,Devengado!$A$1:$AI$1,25,FALSE),"")</f>
        <v/>
      </c>
      <c r="BG619" s="224" t="str">
        <f>IFERROR(VLOOKUP($A619,Devengado!$A$1:$AI$1,26,FALSE),"")</f>
        <v/>
      </c>
      <c r="BH619" s="224" t="str">
        <f>IFERROR(VLOOKUP($A619,Devengado!$A$1:$AI$1,27,FALSE),"")</f>
        <v/>
      </c>
      <c r="BI619" s="224" t="str">
        <f>IFERROR(VLOOKUP($A619,Devengado!$A$1:$AI$1,28,FALSE),"")</f>
        <v/>
      </c>
      <c r="BJ619" s="224" t="str">
        <f>IFERROR(VLOOKUP($A619,Devengado!$A$1:$AI$1,29,FALSE),"")</f>
        <v/>
      </c>
      <c r="BK619" s="224" t="str">
        <f>IFERROR(VLOOKUP($A619,Devengado!$A$1:$AI$1,30,FALSE),"")</f>
        <v/>
      </c>
      <c r="BL619" s="224" t="str">
        <f>IFERROR(VLOOKUP($A619,Devengado!$A$1:$AI$1,31,FALSE),"")</f>
        <v/>
      </c>
      <c r="BM619" s="224" t="str">
        <f>IFERROR(VLOOKUP($A619,Devengado!$A$1:$AI$1,32,FALSE),"")</f>
        <v/>
      </c>
      <c r="BN619" s="224" t="str">
        <f>IFERROR(VLOOKUP($A619,Devengado!$A$1:$AI$1,33,FALSE),"")</f>
        <v/>
      </c>
      <c r="BO619" s="224">
        <f t="shared" si="76"/>
        <v>0</v>
      </c>
      <c r="BP619" s="224" t="str">
        <f t="shared" si="77"/>
        <v/>
      </c>
      <c r="BQ619" s="207"/>
      <c r="BR619" s="207" t="str">
        <f t="shared" si="78"/>
        <v>73</v>
      </c>
    </row>
    <row r="620" spans="1:70" s="225" customFormat="1" ht="63.75" customHeight="1">
      <c r="A620" s="207">
        <v>616</v>
      </c>
      <c r="B620" s="112" t="s">
        <v>73</v>
      </c>
      <c r="C620" s="112" t="s">
        <v>129</v>
      </c>
      <c r="D620" s="125" t="s">
        <v>142</v>
      </c>
      <c r="E620" s="125" t="s">
        <v>569</v>
      </c>
      <c r="F620" s="128" t="s">
        <v>570</v>
      </c>
      <c r="G620" s="112" t="s">
        <v>571</v>
      </c>
      <c r="H620" s="112" t="s">
        <v>572</v>
      </c>
      <c r="I620" s="112" t="s">
        <v>601</v>
      </c>
      <c r="J620" s="112" t="s">
        <v>607</v>
      </c>
      <c r="K620" s="112"/>
      <c r="L620" s="112" t="s">
        <v>609</v>
      </c>
      <c r="M620" s="112" t="s">
        <v>608</v>
      </c>
      <c r="N620" s="127">
        <v>9999</v>
      </c>
      <c r="O620" s="127" t="s">
        <v>132</v>
      </c>
      <c r="P620" s="127" t="s">
        <v>574</v>
      </c>
      <c r="Q620" s="127" t="s">
        <v>112</v>
      </c>
      <c r="R620" s="115" t="str">
        <f t="shared" si="72"/>
        <v>73</v>
      </c>
      <c r="S620" s="112">
        <v>730606</v>
      </c>
      <c r="T620" s="122" t="e">
        <f>VLOOKUP(S620,ITEM!$C$1:$D$156,2,FALSE)</f>
        <v>#N/A</v>
      </c>
      <c r="U620" s="112">
        <v>1701</v>
      </c>
      <c r="V620" s="114" t="s">
        <v>575</v>
      </c>
      <c r="W620" s="114" t="s">
        <v>610</v>
      </c>
      <c r="X620" s="114" t="s">
        <v>610</v>
      </c>
      <c r="Y620" s="224" t="e">
        <f>'Matriz POA 2024-TRABAJO'!#REF!</f>
        <v>#REF!</v>
      </c>
      <c r="Z620" s="224" t="e">
        <f>'Matriz POA 2024-TRABAJO'!#REF!</f>
        <v>#REF!</v>
      </c>
      <c r="AA620" s="224" t="e">
        <f>'Matriz POA 2024-TRABAJO'!#REF!</f>
        <v>#REF!</v>
      </c>
      <c r="AB620" s="279">
        <v>0</v>
      </c>
      <c r="AC620" s="279">
        <v>0</v>
      </c>
      <c r="AD620" s="279">
        <v>35827.660000000003</v>
      </c>
      <c r="AE620" s="279">
        <v>35827.67</v>
      </c>
      <c r="AF620" s="279">
        <v>35827.67</v>
      </c>
      <c r="AG620" s="279">
        <v>0</v>
      </c>
      <c r="AH620" s="279">
        <v>0</v>
      </c>
      <c r="AI620" s="279">
        <v>0</v>
      </c>
      <c r="AJ620" s="279">
        <v>0</v>
      </c>
      <c r="AK620" s="279">
        <v>0</v>
      </c>
      <c r="AL620" s="279">
        <v>0</v>
      </c>
      <c r="AM620" s="279">
        <v>0</v>
      </c>
      <c r="AN620" s="224" t="e">
        <f>SUM(#REF!)</f>
        <v>#REF!</v>
      </c>
      <c r="AO620" s="224">
        <f t="shared" si="73"/>
        <v>107483</v>
      </c>
      <c r="AP620" s="224" t="e">
        <f t="shared" si="79"/>
        <v>#REF!</v>
      </c>
      <c r="AQ620" s="224"/>
      <c r="AR620" s="224"/>
      <c r="AS620" s="224"/>
      <c r="AT620" s="224" t="str">
        <f>IFERROR(VLOOKUP($A620,'Constancias POA'!$A$2:$DH$9993,17,FALSE),"")</f>
        <v/>
      </c>
      <c r="AU620" s="224" t="str">
        <f t="shared" si="74"/>
        <v/>
      </c>
      <c r="AV620" s="224" t="str">
        <f>IFERROR(VLOOKUP($A620,CP!$A$1:$U$7992,18,FALSE),"")</f>
        <v/>
      </c>
      <c r="AW620" s="224" t="str">
        <f>IFERROR(VLOOKUP($A620,CP!$A$1:$U$7992,19,FALSE),"")</f>
        <v/>
      </c>
      <c r="AX620" s="224" t="str">
        <f>IFERROR(VLOOKUP($A620,CP!$A$1:$U$7992,20,FALSE),"")</f>
        <v/>
      </c>
      <c r="AY620" s="224" t="str">
        <f>IFERROR(VLOOKUP($A620,CP!$A$1:$U$1,21,FALSE),"")</f>
        <v/>
      </c>
      <c r="AZ620" s="224" t="str">
        <f>IFERROR(VLOOKUP(A620,Devengado!$A$1:AJ1,35,FALSE),"")</f>
        <v/>
      </c>
      <c r="BA620" s="224" t="str">
        <f t="shared" si="75"/>
        <v/>
      </c>
      <c r="BB620" s="224" t="str">
        <f>IFERROR(AZ620/#REF!,"")</f>
        <v/>
      </c>
      <c r="BC620" s="224" t="str">
        <f>IFERROR(VLOOKUP($A620,Devengado!$A$1:$AI$1,22,FALSE),"")</f>
        <v/>
      </c>
      <c r="BD620" s="224" t="str">
        <f>IFERROR(VLOOKUP($A620,Devengado!$A$1:$AI$1,23,FALSE),"")</f>
        <v/>
      </c>
      <c r="BE620" s="224" t="str">
        <f>IFERROR(VLOOKUP($A620,Devengado!$A$1:$AI$1,24,FALSE),"")</f>
        <v/>
      </c>
      <c r="BF620" s="224" t="str">
        <f>IFERROR(VLOOKUP($A620,Devengado!$A$1:$AI$1,25,FALSE),"")</f>
        <v/>
      </c>
      <c r="BG620" s="224" t="str">
        <f>IFERROR(VLOOKUP($A620,Devengado!$A$1:$AI$1,26,FALSE),"")</f>
        <v/>
      </c>
      <c r="BH620" s="224" t="str">
        <f>IFERROR(VLOOKUP($A620,Devengado!$A$1:$AI$1,27,FALSE),"")</f>
        <v/>
      </c>
      <c r="BI620" s="224" t="str">
        <f>IFERROR(VLOOKUP($A620,Devengado!$A$1:$AI$1,28,FALSE),"")</f>
        <v/>
      </c>
      <c r="BJ620" s="224" t="str">
        <f>IFERROR(VLOOKUP($A620,Devengado!$A$1:$AI$1,29,FALSE),"")</f>
        <v/>
      </c>
      <c r="BK620" s="224" t="str">
        <f>IFERROR(VLOOKUP($A620,Devengado!$A$1:$AI$1,30,FALSE),"")</f>
        <v/>
      </c>
      <c r="BL620" s="224" t="str">
        <f>IFERROR(VLOOKUP($A620,Devengado!$A$1:$AI$1,31,FALSE),"")</f>
        <v/>
      </c>
      <c r="BM620" s="224" t="str">
        <f>IFERROR(VLOOKUP($A620,Devengado!$A$1:$AI$1,32,FALSE),"")</f>
        <v/>
      </c>
      <c r="BN620" s="224" t="str">
        <f>IFERROR(VLOOKUP($A620,Devengado!$A$1:$AI$1,33,FALSE),"")</f>
        <v/>
      </c>
      <c r="BO620" s="224">
        <f t="shared" si="76"/>
        <v>0</v>
      </c>
      <c r="BP620" s="224" t="str">
        <f t="shared" si="77"/>
        <v/>
      </c>
      <c r="BQ620" s="207"/>
      <c r="BR620" s="207" t="str">
        <f t="shared" si="78"/>
        <v>73</v>
      </c>
    </row>
    <row r="621" spans="1:70" s="225" customFormat="1" ht="25.5" customHeight="1">
      <c r="A621" s="207">
        <v>617</v>
      </c>
      <c r="B621" s="112" t="s">
        <v>73</v>
      </c>
      <c r="C621" s="112" t="s">
        <v>129</v>
      </c>
      <c r="D621" s="125" t="s">
        <v>142</v>
      </c>
      <c r="E621" s="125" t="s">
        <v>569</v>
      </c>
      <c r="F621" s="128" t="s">
        <v>570</v>
      </c>
      <c r="G621" s="112" t="s">
        <v>571</v>
      </c>
      <c r="H621" s="112" t="s">
        <v>572</v>
      </c>
      <c r="I621" s="112" t="s">
        <v>605</v>
      </c>
      <c r="J621" s="112" t="s">
        <v>611</v>
      </c>
      <c r="K621" s="112"/>
      <c r="L621" s="112" t="s">
        <v>603</v>
      </c>
      <c r="M621" s="112" t="s">
        <v>612</v>
      </c>
      <c r="N621" s="127">
        <v>9999</v>
      </c>
      <c r="O621" s="127" t="s">
        <v>132</v>
      </c>
      <c r="P621" s="127" t="s">
        <v>574</v>
      </c>
      <c r="Q621" s="127" t="s">
        <v>112</v>
      </c>
      <c r="R621" s="115" t="str">
        <f t="shared" si="72"/>
        <v>73</v>
      </c>
      <c r="S621" s="112">
        <v>730303</v>
      </c>
      <c r="T621" s="122" t="e">
        <f>VLOOKUP(S621,ITEM!$C$1:$D$156,2,FALSE)</f>
        <v>#N/A</v>
      </c>
      <c r="U621" s="112">
        <v>1701</v>
      </c>
      <c r="V621" s="114" t="s">
        <v>575</v>
      </c>
      <c r="W621" s="114"/>
      <c r="X621" s="114"/>
      <c r="Y621" s="224" t="e">
        <f>'Matriz POA 2024-TRABAJO'!#REF!</f>
        <v>#REF!</v>
      </c>
      <c r="Z621" s="224" t="e">
        <f>'Matriz POA 2024-TRABAJO'!#REF!</f>
        <v>#REF!</v>
      </c>
      <c r="AA621" s="224" t="e">
        <f>'Matriz POA 2024-TRABAJO'!#REF!</f>
        <v>#REF!</v>
      </c>
      <c r="AB621" s="279">
        <v>353.33</v>
      </c>
      <c r="AC621" s="279">
        <v>353.33</v>
      </c>
      <c r="AD621" s="279">
        <v>353.33</v>
      </c>
      <c r="AE621" s="279">
        <v>353.33</v>
      </c>
      <c r="AF621" s="279">
        <v>353.33</v>
      </c>
      <c r="AG621" s="279">
        <v>353.33</v>
      </c>
      <c r="AH621" s="279">
        <v>353.33</v>
      </c>
      <c r="AI621" s="279">
        <v>353.33</v>
      </c>
      <c r="AJ621" s="279">
        <v>353.33</v>
      </c>
      <c r="AK621" s="279">
        <v>353.33</v>
      </c>
      <c r="AL621" s="279">
        <v>353.33</v>
      </c>
      <c r="AM621" s="279">
        <v>353.37</v>
      </c>
      <c r="AN621" s="224" t="e">
        <f>SUM(#REF!)</f>
        <v>#REF!</v>
      </c>
      <c r="AO621" s="224">
        <f t="shared" si="73"/>
        <v>4240</v>
      </c>
      <c r="AP621" s="224" t="e">
        <f t="shared" si="79"/>
        <v>#REF!</v>
      </c>
      <c r="AQ621" s="224"/>
      <c r="AR621" s="224"/>
      <c r="AS621" s="224"/>
      <c r="AT621" s="224" t="str">
        <f>IFERROR(VLOOKUP($A621,'Constancias POA'!$A$2:$DH$9993,17,FALSE),"")</f>
        <v/>
      </c>
      <c r="AU621" s="224" t="str">
        <f t="shared" si="74"/>
        <v/>
      </c>
      <c r="AV621" s="224" t="str">
        <f>IFERROR(VLOOKUP($A621,CP!$A$1:$U$7992,18,FALSE),"")</f>
        <v/>
      </c>
      <c r="AW621" s="224" t="str">
        <f>IFERROR(VLOOKUP($A621,CP!$A$1:$U$7992,19,FALSE),"")</f>
        <v/>
      </c>
      <c r="AX621" s="224" t="str">
        <f>IFERROR(VLOOKUP($A621,CP!$A$1:$U$7992,20,FALSE),"")</f>
        <v/>
      </c>
      <c r="AY621" s="224" t="str">
        <f>IFERROR(VLOOKUP($A621,CP!$A$1:$U$1,21,FALSE),"")</f>
        <v/>
      </c>
      <c r="AZ621" s="224" t="str">
        <f>IFERROR(VLOOKUP(A621,Devengado!$A$1:AJ1,35,FALSE),"")</f>
        <v/>
      </c>
      <c r="BA621" s="224" t="str">
        <f t="shared" si="75"/>
        <v/>
      </c>
      <c r="BB621" s="224" t="str">
        <f>IFERROR(AZ621/#REF!,"")</f>
        <v/>
      </c>
      <c r="BC621" s="224" t="str">
        <f>IFERROR(VLOOKUP($A621,Devengado!$A$1:$AI$1,22,FALSE),"")</f>
        <v/>
      </c>
      <c r="BD621" s="224" t="str">
        <f>IFERROR(VLOOKUP($A621,Devengado!$A$1:$AI$1,23,FALSE),"")</f>
        <v/>
      </c>
      <c r="BE621" s="224" t="str">
        <f>IFERROR(VLOOKUP($A621,Devengado!$A$1:$AI$1,24,FALSE),"")</f>
        <v/>
      </c>
      <c r="BF621" s="224" t="str">
        <f>IFERROR(VLOOKUP($A621,Devengado!$A$1:$AI$1,25,FALSE),"")</f>
        <v/>
      </c>
      <c r="BG621" s="224" t="str">
        <f>IFERROR(VLOOKUP($A621,Devengado!$A$1:$AI$1,26,FALSE),"")</f>
        <v/>
      </c>
      <c r="BH621" s="224" t="str">
        <f>IFERROR(VLOOKUP($A621,Devengado!$A$1:$AI$1,27,FALSE),"")</f>
        <v/>
      </c>
      <c r="BI621" s="224" t="str">
        <f>IFERROR(VLOOKUP($A621,Devengado!$A$1:$AI$1,28,FALSE),"")</f>
        <v/>
      </c>
      <c r="BJ621" s="224" t="str">
        <f>IFERROR(VLOOKUP($A621,Devengado!$A$1:$AI$1,29,FALSE),"")</f>
        <v/>
      </c>
      <c r="BK621" s="224" t="str">
        <f>IFERROR(VLOOKUP($A621,Devengado!$A$1:$AI$1,30,FALSE),"")</f>
        <v/>
      </c>
      <c r="BL621" s="224" t="str">
        <f>IFERROR(VLOOKUP($A621,Devengado!$A$1:$AI$1,31,FALSE),"")</f>
        <v/>
      </c>
      <c r="BM621" s="224" t="str">
        <f>IFERROR(VLOOKUP($A621,Devengado!$A$1:$AI$1,32,FALSE),"")</f>
        <v/>
      </c>
      <c r="BN621" s="224" t="str">
        <f>IFERROR(VLOOKUP($A621,Devengado!$A$1:$AI$1,33,FALSE),"")</f>
        <v/>
      </c>
      <c r="BO621" s="224">
        <f t="shared" si="76"/>
        <v>0</v>
      </c>
      <c r="BP621" s="224" t="str">
        <f t="shared" si="77"/>
        <v/>
      </c>
      <c r="BQ621" s="207"/>
      <c r="BR621" s="207" t="str">
        <f t="shared" si="78"/>
        <v>73</v>
      </c>
    </row>
    <row r="622" spans="1:70" s="225" customFormat="1" ht="25.5" customHeight="1">
      <c r="A622" s="207">
        <v>618</v>
      </c>
      <c r="B622" s="112" t="s">
        <v>73</v>
      </c>
      <c r="C622" s="112" t="s">
        <v>129</v>
      </c>
      <c r="D622" s="125" t="s">
        <v>142</v>
      </c>
      <c r="E622" s="125" t="s">
        <v>569</v>
      </c>
      <c r="F622" s="128" t="s">
        <v>570</v>
      </c>
      <c r="G622" s="112" t="s">
        <v>571</v>
      </c>
      <c r="H622" s="112" t="s">
        <v>572</v>
      </c>
      <c r="I622" s="112" t="s">
        <v>605</v>
      </c>
      <c r="J622" s="112" t="s">
        <v>611</v>
      </c>
      <c r="K622" s="112"/>
      <c r="L622" s="112" t="s">
        <v>603</v>
      </c>
      <c r="M622" s="112" t="s">
        <v>613</v>
      </c>
      <c r="N622" s="127">
        <v>9999</v>
      </c>
      <c r="O622" s="127" t="s">
        <v>132</v>
      </c>
      <c r="P622" s="127" t="s">
        <v>574</v>
      </c>
      <c r="Q622" s="127" t="s">
        <v>112</v>
      </c>
      <c r="R622" s="115" t="str">
        <f t="shared" si="72"/>
        <v>73</v>
      </c>
      <c r="S622" s="112">
        <v>730303</v>
      </c>
      <c r="T622" s="122" t="e">
        <f>VLOOKUP(S622,ITEM!$C$1:$D$156,2,FALSE)</f>
        <v>#N/A</v>
      </c>
      <c r="U622" s="112">
        <v>1701</v>
      </c>
      <c r="V622" s="114" t="s">
        <v>575</v>
      </c>
      <c r="W622" s="114"/>
      <c r="X622" s="114"/>
      <c r="Y622" s="224" t="e">
        <f>'Matriz POA 2024-TRABAJO'!#REF!</f>
        <v>#REF!</v>
      </c>
      <c r="Z622" s="224" t="e">
        <f>'Matriz POA 2024-TRABAJO'!#REF!</f>
        <v>#REF!</v>
      </c>
      <c r="AA622" s="224" t="e">
        <f>'Matriz POA 2024-TRABAJO'!#REF!</f>
        <v>#REF!</v>
      </c>
      <c r="AB622" s="279">
        <v>446.67</v>
      </c>
      <c r="AC622" s="279">
        <v>446.67</v>
      </c>
      <c r="AD622" s="279">
        <v>446.67</v>
      </c>
      <c r="AE622" s="279">
        <v>446.67</v>
      </c>
      <c r="AF622" s="279">
        <v>446.67</v>
      </c>
      <c r="AG622" s="279">
        <v>446.67</v>
      </c>
      <c r="AH622" s="279">
        <v>446.67</v>
      </c>
      <c r="AI622" s="279">
        <v>446.67</v>
      </c>
      <c r="AJ622" s="279">
        <v>446.67</v>
      </c>
      <c r="AK622" s="279">
        <v>446.67</v>
      </c>
      <c r="AL622" s="279">
        <v>446.67</v>
      </c>
      <c r="AM622" s="279">
        <v>446.63</v>
      </c>
      <c r="AN622" s="224" t="e">
        <f>SUM(#REF!)</f>
        <v>#REF!</v>
      </c>
      <c r="AO622" s="224">
        <f t="shared" si="73"/>
        <v>5360</v>
      </c>
      <c r="AP622" s="224" t="e">
        <f t="shared" si="79"/>
        <v>#REF!</v>
      </c>
      <c r="AQ622" s="224"/>
      <c r="AR622" s="224"/>
      <c r="AS622" s="224"/>
      <c r="AT622" s="224" t="str">
        <f>IFERROR(VLOOKUP($A622,'Constancias POA'!$A$2:$DH$9993,17,FALSE),"")</f>
        <v/>
      </c>
      <c r="AU622" s="224" t="str">
        <f t="shared" si="74"/>
        <v/>
      </c>
      <c r="AV622" s="224" t="str">
        <f>IFERROR(VLOOKUP($A622,CP!$A$1:$U$7992,18,FALSE),"")</f>
        <v/>
      </c>
      <c r="AW622" s="224" t="str">
        <f>IFERROR(VLOOKUP($A622,CP!$A$1:$U$7992,19,FALSE),"")</f>
        <v/>
      </c>
      <c r="AX622" s="224" t="str">
        <f>IFERROR(VLOOKUP($A622,CP!$A$1:$U$7992,20,FALSE),"")</f>
        <v/>
      </c>
      <c r="AY622" s="224" t="str">
        <f>IFERROR(VLOOKUP($A622,CP!$A$1:$U$1,21,FALSE),"")</f>
        <v/>
      </c>
      <c r="AZ622" s="224" t="str">
        <f>IFERROR(VLOOKUP(A622,Devengado!$A$1:AJ1,35,FALSE),"")</f>
        <v/>
      </c>
      <c r="BA622" s="224" t="str">
        <f t="shared" si="75"/>
        <v/>
      </c>
      <c r="BB622" s="224" t="str">
        <f>IFERROR(AZ622/#REF!,"")</f>
        <v/>
      </c>
      <c r="BC622" s="224" t="str">
        <f>IFERROR(VLOOKUP($A622,Devengado!$A$1:$AI$1,22,FALSE),"")</f>
        <v/>
      </c>
      <c r="BD622" s="224" t="str">
        <f>IFERROR(VLOOKUP($A622,Devengado!$A$1:$AI$1,23,FALSE),"")</f>
        <v/>
      </c>
      <c r="BE622" s="224" t="str">
        <f>IFERROR(VLOOKUP($A622,Devengado!$A$1:$AI$1,24,FALSE),"")</f>
        <v/>
      </c>
      <c r="BF622" s="224" t="str">
        <f>IFERROR(VLOOKUP($A622,Devengado!$A$1:$AI$1,25,FALSE),"")</f>
        <v/>
      </c>
      <c r="BG622" s="224" t="str">
        <f>IFERROR(VLOOKUP($A622,Devengado!$A$1:$AI$1,26,FALSE),"")</f>
        <v/>
      </c>
      <c r="BH622" s="224" t="str">
        <f>IFERROR(VLOOKUP($A622,Devengado!$A$1:$AI$1,27,FALSE),"")</f>
        <v/>
      </c>
      <c r="BI622" s="224" t="str">
        <f>IFERROR(VLOOKUP($A622,Devengado!$A$1:$AI$1,28,FALSE),"")</f>
        <v/>
      </c>
      <c r="BJ622" s="224" t="str">
        <f>IFERROR(VLOOKUP($A622,Devengado!$A$1:$AI$1,29,FALSE),"")</f>
        <v/>
      </c>
      <c r="BK622" s="224" t="str">
        <f>IFERROR(VLOOKUP($A622,Devengado!$A$1:$AI$1,30,FALSE),"")</f>
        <v/>
      </c>
      <c r="BL622" s="224" t="str">
        <f>IFERROR(VLOOKUP($A622,Devengado!$A$1:$AI$1,31,FALSE),"")</f>
        <v/>
      </c>
      <c r="BM622" s="224" t="str">
        <f>IFERROR(VLOOKUP($A622,Devengado!$A$1:$AI$1,32,FALSE),"")</f>
        <v/>
      </c>
      <c r="BN622" s="224" t="str">
        <f>IFERROR(VLOOKUP($A622,Devengado!$A$1:$AI$1,33,FALSE),"")</f>
        <v/>
      </c>
      <c r="BO622" s="224">
        <f t="shared" si="76"/>
        <v>0</v>
      </c>
      <c r="BP622" s="224" t="str">
        <f t="shared" si="77"/>
        <v/>
      </c>
      <c r="BQ622" s="207"/>
      <c r="BR622" s="207" t="str">
        <f t="shared" si="78"/>
        <v>73</v>
      </c>
    </row>
    <row r="623" spans="1:70" s="225" customFormat="1" ht="25.5" customHeight="1">
      <c r="A623" s="207">
        <v>619</v>
      </c>
      <c r="B623" s="112" t="s">
        <v>73</v>
      </c>
      <c r="C623" s="112" t="s">
        <v>129</v>
      </c>
      <c r="D623" s="125" t="s">
        <v>142</v>
      </c>
      <c r="E623" s="125" t="s">
        <v>569</v>
      </c>
      <c r="F623" s="128" t="s">
        <v>570</v>
      </c>
      <c r="G623" s="112" t="s">
        <v>571</v>
      </c>
      <c r="H623" s="112" t="s">
        <v>572</v>
      </c>
      <c r="I623" s="112" t="s">
        <v>605</v>
      </c>
      <c r="J623" s="112" t="s">
        <v>611</v>
      </c>
      <c r="K623" s="112"/>
      <c r="L623" s="112" t="s">
        <v>603</v>
      </c>
      <c r="M623" s="112" t="s">
        <v>614</v>
      </c>
      <c r="N623" s="127">
        <v>9999</v>
      </c>
      <c r="O623" s="127" t="s">
        <v>132</v>
      </c>
      <c r="P623" s="127" t="s">
        <v>574</v>
      </c>
      <c r="Q623" s="127" t="s">
        <v>112</v>
      </c>
      <c r="R623" s="115" t="str">
        <f t="shared" si="72"/>
        <v>73</v>
      </c>
      <c r="S623" s="112">
        <v>730303</v>
      </c>
      <c r="T623" s="122" t="e">
        <f>VLOOKUP(S623,ITEM!$C$1:$D$156,2,FALSE)</f>
        <v>#N/A</v>
      </c>
      <c r="U623" s="112">
        <v>1701</v>
      </c>
      <c r="V623" s="114" t="s">
        <v>575</v>
      </c>
      <c r="W623" s="114"/>
      <c r="X623" s="114"/>
      <c r="Y623" s="224" t="e">
        <f>'Matriz POA 2024-TRABAJO'!#REF!</f>
        <v>#REF!</v>
      </c>
      <c r="Z623" s="224" t="e">
        <f>'Matriz POA 2024-TRABAJO'!#REF!</f>
        <v>#REF!</v>
      </c>
      <c r="AA623" s="224" t="e">
        <f>'Matriz POA 2024-TRABAJO'!#REF!</f>
        <v>#REF!</v>
      </c>
      <c r="AB623" s="279">
        <v>621.62</v>
      </c>
      <c r="AC623" s="279">
        <v>621.62</v>
      </c>
      <c r="AD623" s="279">
        <v>621.62</v>
      </c>
      <c r="AE623" s="279">
        <v>621.62</v>
      </c>
      <c r="AF623" s="279">
        <v>621.62</v>
      </c>
      <c r="AG623" s="279">
        <v>621.62</v>
      </c>
      <c r="AH623" s="279">
        <v>621.62</v>
      </c>
      <c r="AI623" s="279">
        <v>621.62</v>
      </c>
      <c r="AJ623" s="279">
        <v>621.62</v>
      </c>
      <c r="AK623" s="279">
        <v>621.62</v>
      </c>
      <c r="AL623" s="279">
        <v>621.62</v>
      </c>
      <c r="AM623" s="279">
        <v>621.58000000000004</v>
      </c>
      <c r="AN623" s="224" t="e">
        <f>SUM(#REF!)</f>
        <v>#REF!</v>
      </c>
      <c r="AO623" s="224">
        <f t="shared" si="73"/>
        <v>7459.4</v>
      </c>
      <c r="AP623" s="224" t="e">
        <f t="shared" si="79"/>
        <v>#REF!</v>
      </c>
      <c r="AQ623" s="224"/>
      <c r="AR623" s="224"/>
      <c r="AS623" s="224"/>
      <c r="AT623" s="224" t="str">
        <f>IFERROR(VLOOKUP($A623,'Constancias POA'!$A$2:$DH$9993,17,FALSE),"")</f>
        <v/>
      </c>
      <c r="AU623" s="224" t="str">
        <f t="shared" si="74"/>
        <v/>
      </c>
      <c r="AV623" s="224" t="str">
        <f>IFERROR(VLOOKUP($A623,CP!$A$1:$U$7992,18,FALSE),"")</f>
        <v/>
      </c>
      <c r="AW623" s="224" t="str">
        <f>IFERROR(VLOOKUP($A623,CP!$A$1:$U$7992,19,FALSE),"")</f>
        <v/>
      </c>
      <c r="AX623" s="224" t="str">
        <f>IFERROR(VLOOKUP($A623,CP!$A$1:$U$7992,20,FALSE),"")</f>
        <v/>
      </c>
      <c r="AY623" s="224" t="str">
        <f>IFERROR(VLOOKUP($A623,CP!$A$1:$U$1,21,FALSE),"")</f>
        <v/>
      </c>
      <c r="AZ623" s="224" t="str">
        <f>IFERROR(VLOOKUP(A623,Devengado!$A$1:AJ1,35,FALSE),"")</f>
        <v/>
      </c>
      <c r="BA623" s="224" t="str">
        <f t="shared" si="75"/>
        <v/>
      </c>
      <c r="BB623" s="224" t="str">
        <f>IFERROR(AZ623/#REF!,"")</f>
        <v/>
      </c>
      <c r="BC623" s="224" t="str">
        <f>IFERROR(VLOOKUP($A623,Devengado!$A$1:$AI$1,22,FALSE),"")</f>
        <v/>
      </c>
      <c r="BD623" s="224" t="str">
        <f>IFERROR(VLOOKUP($A623,Devengado!$A$1:$AI$1,23,FALSE),"")</f>
        <v/>
      </c>
      <c r="BE623" s="224" t="str">
        <f>IFERROR(VLOOKUP($A623,Devengado!$A$1:$AI$1,24,FALSE),"")</f>
        <v/>
      </c>
      <c r="BF623" s="224" t="str">
        <f>IFERROR(VLOOKUP($A623,Devengado!$A$1:$AI$1,25,FALSE),"")</f>
        <v/>
      </c>
      <c r="BG623" s="224" t="str">
        <f>IFERROR(VLOOKUP($A623,Devengado!$A$1:$AI$1,26,FALSE),"")</f>
        <v/>
      </c>
      <c r="BH623" s="224" t="str">
        <f>IFERROR(VLOOKUP($A623,Devengado!$A$1:$AI$1,27,FALSE),"")</f>
        <v/>
      </c>
      <c r="BI623" s="224" t="str">
        <f>IFERROR(VLOOKUP($A623,Devengado!$A$1:$AI$1,28,FALSE),"")</f>
        <v/>
      </c>
      <c r="BJ623" s="224" t="str">
        <f>IFERROR(VLOOKUP($A623,Devengado!$A$1:$AI$1,29,FALSE),"")</f>
        <v/>
      </c>
      <c r="BK623" s="224" t="str">
        <f>IFERROR(VLOOKUP($A623,Devengado!$A$1:$AI$1,30,FALSE),"")</f>
        <v/>
      </c>
      <c r="BL623" s="224" t="str">
        <f>IFERROR(VLOOKUP($A623,Devengado!$A$1:$AI$1,31,FALSE),"")</f>
        <v/>
      </c>
      <c r="BM623" s="224" t="str">
        <f>IFERROR(VLOOKUP($A623,Devengado!$A$1:$AI$1,32,FALSE),"")</f>
        <v/>
      </c>
      <c r="BN623" s="224" t="str">
        <f>IFERROR(VLOOKUP($A623,Devengado!$A$1:$AI$1,33,FALSE),"")</f>
        <v/>
      </c>
      <c r="BO623" s="224">
        <f t="shared" si="76"/>
        <v>0</v>
      </c>
      <c r="BP623" s="224" t="str">
        <f t="shared" si="77"/>
        <v/>
      </c>
      <c r="BQ623" s="207"/>
      <c r="BR623" s="207" t="str">
        <f t="shared" si="78"/>
        <v>73</v>
      </c>
    </row>
    <row r="624" spans="1:70" s="225" customFormat="1" ht="25.5" customHeight="1">
      <c r="A624" s="207">
        <v>620</v>
      </c>
      <c r="B624" s="112" t="s">
        <v>73</v>
      </c>
      <c r="C624" s="112" t="s">
        <v>129</v>
      </c>
      <c r="D624" s="125" t="s">
        <v>142</v>
      </c>
      <c r="E624" s="125" t="s">
        <v>569</v>
      </c>
      <c r="F624" s="128" t="s">
        <v>570</v>
      </c>
      <c r="G624" s="112" t="s">
        <v>571</v>
      </c>
      <c r="H624" s="112" t="s">
        <v>572</v>
      </c>
      <c r="I624" s="112" t="s">
        <v>605</v>
      </c>
      <c r="J624" s="112" t="s">
        <v>611</v>
      </c>
      <c r="K624" s="112"/>
      <c r="L624" s="112" t="s">
        <v>609</v>
      </c>
      <c r="M624" s="112" t="s">
        <v>614</v>
      </c>
      <c r="N624" s="127">
        <v>9999</v>
      </c>
      <c r="O624" s="127" t="s">
        <v>132</v>
      </c>
      <c r="P624" s="127" t="s">
        <v>574</v>
      </c>
      <c r="Q624" s="127" t="s">
        <v>112</v>
      </c>
      <c r="R624" s="115" t="str">
        <f t="shared" si="72"/>
        <v>73</v>
      </c>
      <c r="S624" s="112">
        <v>730303</v>
      </c>
      <c r="T624" s="122" t="e">
        <f>VLOOKUP(S624,ITEM!$C$1:$D$156,2,FALSE)</f>
        <v>#N/A</v>
      </c>
      <c r="U624" s="112">
        <v>1701</v>
      </c>
      <c r="V624" s="114" t="s">
        <v>575</v>
      </c>
      <c r="W624" s="114"/>
      <c r="X624" s="114"/>
      <c r="Y624" s="224" t="e">
        <f>'Matriz POA 2024-TRABAJO'!#REF!</f>
        <v>#REF!</v>
      </c>
      <c r="Z624" s="224" t="e">
        <f>'Matriz POA 2024-TRABAJO'!#REF!</f>
        <v>#REF!</v>
      </c>
      <c r="AA624" s="224" t="e">
        <f>'Matriz POA 2024-TRABAJO'!#REF!</f>
        <v>#REF!</v>
      </c>
      <c r="AB624" s="279">
        <v>0</v>
      </c>
      <c r="AC624" s="279">
        <v>1340.6</v>
      </c>
      <c r="AD624" s="279">
        <v>0</v>
      </c>
      <c r="AE624" s="279">
        <v>0</v>
      </c>
      <c r="AF624" s="279">
        <v>0</v>
      </c>
      <c r="AG624" s="279">
        <v>0</v>
      </c>
      <c r="AH624" s="279">
        <v>0</v>
      </c>
      <c r="AI624" s="279">
        <v>0</v>
      </c>
      <c r="AJ624" s="279">
        <v>0</v>
      </c>
      <c r="AK624" s="279">
        <v>0</v>
      </c>
      <c r="AL624" s="279">
        <v>0</v>
      </c>
      <c r="AM624" s="279">
        <v>0</v>
      </c>
      <c r="AN624" s="224" t="e">
        <f>SUM(#REF!)</f>
        <v>#REF!</v>
      </c>
      <c r="AO624" s="224">
        <f t="shared" si="73"/>
        <v>1340.6</v>
      </c>
      <c r="AP624" s="224" t="e">
        <f t="shared" si="79"/>
        <v>#REF!</v>
      </c>
      <c r="AQ624" s="224"/>
      <c r="AR624" s="224"/>
      <c r="AS624" s="224"/>
      <c r="AT624" s="224" t="str">
        <f>IFERROR(VLOOKUP($A624,'Constancias POA'!$A$2:$DH$9993,17,FALSE),"")</f>
        <v/>
      </c>
      <c r="AU624" s="224" t="str">
        <f t="shared" si="74"/>
        <v/>
      </c>
      <c r="AV624" s="224" t="str">
        <f>IFERROR(VLOOKUP($A624,CP!$A$1:$U$7992,18,FALSE),"")</f>
        <v/>
      </c>
      <c r="AW624" s="224" t="str">
        <f>IFERROR(VLOOKUP($A624,CP!$A$1:$U$7992,19,FALSE),"")</f>
        <v/>
      </c>
      <c r="AX624" s="224" t="str">
        <f>IFERROR(VLOOKUP($A624,CP!$A$1:$U$7992,20,FALSE),"")</f>
        <v/>
      </c>
      <c r="AY624" s="224" t="str">
        <f>IFERROR(VLOOKUP($A624,CP!$A$1:$U$1,21,FALSE),"")</f>
        <v/>
      </c>
      <c r="AZ624" s="224" t="str">
        <f>IFERROR(VLOOKUP(A624,Devengado!$A$1:AJ1,35,FALSE),"")</f>
        <v/>
      </c>
      <c r="BA624" s="224" t="str">
        <f t="shared" si="75"/>
        <v/>
      </c>
      <c r="BB624" s="224" t="str">
        <f>IFERROR(AZ624/#REF!,"")</f>
        <v/>
      </c>
      <c r="BC624" s="224" t="str">
        <f>IFERROR(VLOOKUP($A624,Devengado!$A$1:$AI$1,22,FALSE),"")</f>
        <v/>
      </c>
      <c r="BD624" s="224" t="str">
        <f>IFERROR(VLOOKUP($A624,Devengado!$A$1:$AI$1,23,FALSE),"")</f>
        <v/>
      </c>
      <c r="BE624" s="224" t="str">
        <f>IFERROR(VLOOKUP($A624,Devengado!$A$1:$AI$1,24,FALSE),"")</f>
        <v/>
      </c>
      <c r="BF624" s="224" t="str">
        <f>IFERROR(VLOOKUP($A624,Devengado!$A$1:$AI$1,25,FALSE),"")</f>
        <v/>
      </c>
      <c r="BG624" s="224" t="str">
        <f>IFERROR(VLOOKUP($A624,Devengado!$A$1:$AI$1,26,FALSE),"")</f>
        <v/>
      </c>
      <c r="BH624" s="224" t="str">
        <f>IFERROR(VLOOKUP($A624,Devengado!$A$1:$AI$1,27,FALSE),"")</f>
        <v/>
      </c>
      <c r="BI624" s="224" t="str">
        <f>IFERROR(VLOOKUP($A624,Devengado!$A$1:$AI$1,28,FALSE),"")</f>
        <v/>
      </c>
      <c r="BJ624" s="224" t="str">
        <f>IFERROR(VLOOKUP($A624,Devengado!$A$1:$AI$1,29,FALSE),"")</f>
        <v/>
      </c>
      <c r="BK624" s="224" t="str">
        <f>IFERROR(VLOOKUP($A624,Devengado!$A$1:$AI$1,30,FALSE),"")</f>
        <v/>
      </c>
      <c r="BL624" s="224" t="str">
        <f>IFERROR(VLOOKUP($A624,Devengado!$A$1:$AI$1,31,FALSE),"")</f>
        <v/>
      </c>
      <c r="BM624" s="224" t="str">
        <f>IFERROR(VLOOKUP($A624,Devengado!$A$1:$AI$1,32,FALSE),"")</f>
        <v/>
      </c>
      <c r="BN624" s="224" t="str">
        <f>IFERROR(VLOOKUP($A624,Devengado!$A$1:$AI$1,33,FALSE),"")</f>
        <v/>
      </c>
      <c r="BO624" s="224">
        <f t="shared" si="76"/>
        <v>0</v>
      </c>
      <c r="BP624" s="224" t="str">
        <f t="shared" si="77"/>
        <v/>
      </c>
      <c r="BQ624" s="207"/>
      <c r="BR624" s="207" t="str">
        <f t="shared" si="78"/>
        <v>73</v>
      </c>
    </row>
    <row r="625" spans="1:70" s="225" customFormat="1" ht="25.5" customHeight="1">
      <c r="A625" s="207">
        <v>621</v>
      </c>
      <c r="B625" s="112" t="s">
        <v>73</v>
      </c>
      <c r="C625" s="112" t="s">
        <v>129</v>
      </c>
      <c r="D625" s="125" t="s">
        <v>142</v>
      </c>
      <c r="E625" s="125" t="s">
        <v>569</v>
      </c>
      <c r="F625" s="128" t="s">
        <v>570</v>
      </c>
      <c r="G625" s="112" t="s">
        <v>571</v>
      </c>
      <c r="H625" s="112" t="s">
        <v>572</v>
      </c>
      <c r="I625" s="112" t="s">
        <v>605</v>
      </c>
      <c r="J625" s="112" t="s">
        <v>611</v>
      </c>
      <c r="K625" s="112"/>
      <c r="L625" s="112" t="s">
        <v>603</v>
      </c>
      <c r="M625" s="112" t="s">
        <v>615</v>
      </c>
      <c r="N625" s="127">
        <v>9999</v>
      </c>
      <c r="O625" s="127" t="s">
        <v>132</v>
      </c>
      <c r="P625" s="127" t="s">
        <v>574</v>
      </c>
      <c r="Q625" s="127" t="s">
        <v>112</v>
      </c>
      <c r="R625" s="115" t="str">
        <f t="shared" si="72"/>
        <v>73</v>
      </c>
      <c r="S625" s="112">
        <v>730301</v>
      </c>
      <c r="T625" s="122" t="e">
        <f>VLOOKUP(S625,ITEM!$C$1:$D$156,2,FALSE)</f>
        <v>#N/A</v>
      </c>
      <c r="U625" s="112">
        <v>1701</v>
      </c>
      <c r="V625" s="114" t="s">
        <v>575</v>
      </c>
      <c r="W625" s="114"/>
      <c r="X625" s="114"/>
      <c r="Y625" s="224" t="e">
        <f>'Matriz POA 2024-TRABAJO'!#REF!</f>
        <v>#REF!</v>
      </c>
      <c r="Z625" s="224" t="e">
        <f>'Matriz POA 2024-TRABAJO'!#REF!</f>
        <v>#REF!</v>
      </c>
      <c r="AA625" s="224" t="e">
        <f>'Matriz POA 2024-TRABAJO'!#REF!</f>
        <v>#REF!</v>
      </c>
      <c r="AB625" s="279">
        <v>927.33</v>
      </c>
      <c r="AC625" s="279">
        <v>927.33</v>
      </c>
      <c r="AD625" s="279">
        <v>927.33</v>
      </c>
      <c r="AE625" s="279">
        <v>927.33</v>
      </c>
      <c r="AF625" s="279">
        <v>927.33</v>
      </c>
      <c r="AG625" s="279">
        <v>927.33</v>
      </c>
      <c r="AH625" s="279">
        <v>927.33</v>
      </c>
      <c r="AI625" s="279">
        <v>927.33</v>
      </c>
      <c r="AJ625" s="279">
        <v>927.33</v>
      </c>
      <c r="AK625" s="279">
        <v>927.33</v>
      </c>
      <c r="AL625" s="279">
        <v>927.33</v>
      </c>
      <c r="AM625" s="279">
        <v>927.37</v>
      </c>
      <c r="AN625" s="224" t="e">
        <f>SUM(#REF!)</f>
        <v>#REF!</v>
      </c>
      <c r="AO625" s="224">
        <f t="shared" si="73"/>
        <v>11128.000000000002</v>
      </c>
      <c r="AP625" s="224" t="e">
        <f t="shared" si="79"/>
        <v>#REF!</v>
      </c>
      <c r="AQ625" s="224"/>
      <c r="AR625" s="224"/>
      <c r="AS625" s="224"/>
      <c r="AT625" s="224" t="str">
        <f>IFERROR(VLOOKUP($A625,'Constancias POA'!$A$2:$DH$9993,17,FALSE),"")</f>
        <v/>
      </c>
      <c r="AU625" s="224" t="str">
        <f t="shared" si="74"/>
        <v/>
      </c>
      <c r="AV625" s="224" t="str">
        <f>IFERROR(VLOOKUP($A625,CP!$A$1:$U$7992,18,FALSE),"")</f>
        <v/>
      </c>
      <c r="AW625" s="224" t="str">
        <f>IFERROR(VLOOKUP($A625,CP!$A$1:$U$7992,19,FALSE),"")</f>
        <v/>
      </c>
      <c r="AX625" s="224" t="str">
        <f>IFERROR(VLOOKUP($A625,CP!$A$1:$U$7992,20,FALSE),"")</f>
        <v/>
      </c>
      <c r="AY625" s="224" t="str">
        <f>IFERROR(VLOOKUP($A625,CP!$A$1:$U$1,21,FALSE),"")</f>
        <v/>
      </c>
      <c r="AZ625" s="224" t="str">
        <f>IFERROR(VLOOKUP(A625,Devengado!$A$1:AJ1,35,FALSE),"")</f>
        <v/>
      </c>
      <c r="BA625" s="224" t="str">
        <f t="shared" si="75"/>
        <v/>
      </c>
      <c r="BB625" s="224" t="str">
        <f>IFERROR(AZ625/#REF!,"")</f>
        <v/>
      </c>
      <c r="BC625" s="224" t="str">
        <f>IFERROR(VLOOKUP($A625,Devengado!$A$1:$AI$1,22,FALSE),"")</f>
        <v/>
      </c>
      <c r="BD625" s="224" t="str">
        <f>IFERROR(VLOOKUP($A625,Devengado!$A$1:$AI$1,23,FALSE),"")</f>
        <v/>
      </c>
      <c r="BE625" s="224" t="str">
        <f>IFERROR(VLOOKUP($A625,Devengado!$A$1:$AI$1,24,FALSE),"")</f>
        <v/>
      </c>
      <c r="BF625" s="224" t="str">
        <f>IFERROR(VLOOKUP($A625,Devengado!$A$1:$AI$1,25,FALSE),"")</f>
        <v/>
      </c>
      <c r="BG625" s="224" t="str">
        <f>IFERROR(VLOOKUP($A625,Devengado!$A$1:$AI$1,26,FALSE),"")</f>
        <v/>
      </c>
      <c r="BH625" s="224" t="str">
        <f>IFERROR(VLOOKUP($A625,Devengado!$A$1:$AI$1,27,FALSE),"")</f>
        <v/>
      </c>
      <c r="BI625" s="224" t="str">
        <f>IFERROR(VLOOKUP($A625,Devengado!$A$1:$AI$1,28,FALSE),"")</f>
        <v/>
      </c>
      <c r="BJ625" s="224" t="str">
        <f>IFERROR(VLOOKUP($A625,Devengado!$A$1:$AI$1,29,FALSE),"")</f>
        <v/>
      </c>
      <c r="BK625" s="224" t="str">
        <f>IFERROR(VLOOKUP($A625,Devengado!$A$1:$AI$1,30,FALSE),"")</f>
        <v/>
      </c>
      <c r="BL625" s="224" t="str">
        <f>IFERROR(VLOOKUP($A625,Devengado!$A$1:$AI$1,31,FALSE),"")</f>
        <v/>
      </c>
      <c r="BM625" s="224" t="str">
        <f>IFERROR(VLOOKUP($A625,Devengado!$A$1:$AI$1,32,FALSE),"")</f>
        <v/>
      </c>
      <c r="BN625" s="224" t="str">
        <f>IFERROR(VLOOKUP($A625,Devengado!$A$1:$AI$1,33,FALSE),"")</f>
        <v/>
      </c>
      <c r="BO625" s="224">
        <f t="shared" si="76"/>
        <v>0</v>
      </c>
      <c r="BP625" s="224" t="str">
        <f t="shared" si="77"/>
        <v/>
      </c>
      <c r="BQ625" s="207"/>
      <c r="BR625" s="207" t="str">
        <f t="shared" si="78"/>
        <v>73</v>
      </c>
    </row>
    <row r="626" spans="1:70" s="225" customFormat="1" ht="25.5" customHeight="1">
      <c r="A626" s="207">
        <v>622</v>
      </c>
      <c r="B626" s="112" t="s">
        <v>73</v>
      </c>
      <c r="C626" s="112" t="s">
        <v>129</v>
      </c>
      <c r="D626" s="125" t="s">
        <v>142</v>
      </c>
      <c r="E626" s="125" t="s">
        <v>569</v>
      </c>
      <c r="F626" s="128" t="s">
        <v>570</v>
      </c>
      <c r="G626" s="112" t="s">
        <v>571</v>
      </c>
      <c r="H626" s="112" t="s">
        <v>572</v>
      </c>
      <c r="I626" s="112" t="s">
        <v>605</v>
      </c>
      <c r="J626" s="112" t="s">
        <v>611</v>
      </c>
      <c r="K626" s="112"/>
      <c r="L626" s="112" t="s">
        <v>603</v>
      </c>
      <c r="M626" s="112" t="s">
        <v>616</v>
      </c>
      <c r="N626" s="127">
        <v>9999</v>
      </c>
      <c r="O626" s="127" t="s">
        <v>132</v>
      </c>
      <c r="P626" s="127" t="s">
        <v>574</v>
      </c>
      <c r="Q626" s="127" t="s">
        <v>112</v>
      </c>
      <c r="R626" s="115" t="str">
        <f t="shared" si="72"/>
        <v>73</v>
      </c>
      <c r="S626" s="112">
        <v>730301</v>
      </c>
      <c r="T626" s="122" t="e">
        <f>VLOOKUP(S626,ITEM!$C$1:$D$156,2,FALSE)</f>
        <v>#N/A</v>
      </c>
      <c r="U626" s="112">
        <v>1701</v>
      </c>
      <c r="V626" s="114" t="s">
        <v>575</v>
      </c>
      <c r="W626" s="114"/>
      <c r="X626" s="114"/>
      <c r="Y626" s="224" t="e">
        <f>'Matriz POA 2024-TRABAJO'!#REF!</f>
        <v>#REF!</v>
      </c>
      <c r="Z626" s="224" t="e">
        <f>'Matriz POA 2024-TRABAJO'!#REF!</f>
        <v>#REF!</v>
      </c>
      <c r="AA626" s="224" t="e">
        <f>'Matriz POA 2024-TRABAJO'!#REF!</f>
        <v>#REF!</v>
      </c>
      <c r="AB626" s="279">
        <v>1444.17</v>
      </c>
      <c r="AC626" s="279">
        <v>1444.17</v>
      </c>
      <c r="AD626" s="279">
        <v>1444.17</v>
      </c>
      <c r="AE626" s="279">
        <v>1444.17</v>
      </c>
      <c r="AF626" s="279">
        <v>1444.17</v>
      </c>
      <c r="AG626" s="279">
        <v>1444.17</v>
      </c>
      <c r="AH626" s="279">
        <v>1444.17</v>
      </c>
      <c r="AI626" s="279">
        <v>1444.17</v>
      </c>
      <c r="AJ626" s="279">
        <v>1444.17</v>
      </c>
      <c r="AK626" s="279">
        <v>1444.17</v>
      </c>
      <c r="AL626" s="279">
        <v>1444.17</v>
      </c>
      <c r="AM626" s="279">
        <v>1444.13</v>
      </c>
      <c r="AN626" s="224" t="e">
        <f>SUM(#REF!)</f>
        <v>#REF!</v>
      </c>
      <c r="AO626" s="224">
        <f t="shared" si="73"/>
        <v>17330</v>
      </c>
      <c r="AP626" s="224" t="e">
        <f t="shared" si="79"/>
        <v>#REF!</v>
      </c>
      <c r="AQ626" s="224"/>
      <c r="AR626" s="224"/>
      <c r="AS626" s="224"/>
      <c r="AT626" s="224" t="str">
        <f>IFERROR(VLOOKUP($A626,'Constancias POA'!$A$2:$DH$9993,17,FALSE),"")</f>
        <v/>
      </c>
      <c r="AU626" s="224" t="str">
        <f t="shared" si="74"/>
        <v/>
      </c>
      <c r="AV626" s="224" t="str">
        <f>IFERROR(VLOOKUP($A626,CP!$A$1:$U$7992,18,FALSE),"")</f>
        <v/>
      </c>
      <c r="AW626" s="224" t="str">
        <f>IFERROR(VLOOKUP($A626,CP!$A$1:$U$7992,19,FALSE),"")</f>
        <v/>
      </c>
      <c r="AX626" s="224" t="str">
        <f>IFERROR(VLOOKUP($A626,CP!$A$1:$U$7992,20,FALSE),"")</f>
        <v/>
      </c>
      <c r="AY626" s="224" t="str">
        <f>IFERROR(VLOOKUP($A626,CP!$A$1:$U$1,21,FALSE),"")</f>
        <v/>
      </c>
      <c r="AZ626" s="224" t="str">
        <f>IFERROR(VLOOKUP(A626,Devengado!$A$1:AJ1,35,FALSE),"")</f>
        <v/>
      </c>
      <c r="BA626" s="224" t="str">
        <f t="shared" si="75"/>
        <v/>
      </c>
      <c r="BB626" s="224" t="str">
        <f>IFERROR(AZ626/#REF!,"")</f>
        <v/>
      </c>
      <c r="BC626" s="224" t="str">
        <f>IFERROR(VLOOKUP($A626,Devengado!$A$1:$AI$1,22,FALSE),"")</f>
        <v/>
      </c>
      <c r="BD626" s="224" t="str">
        <f>IFERROR(VLOOKUP($A626,Devengado!$A$1:$AI$1,23,FALSE),"")</f>
        <v/>
      </c>
      <c r="BE626" s="224" t="str">
        <f>IFERROR(VLOOKUP($A626,Devengado!$A$1:$AI$1,24,FALSE),"")</f>
        <v/>
      </c>
      <c r="BF626" s="224" t="str">
        <f>IFERROR(VLOOKUP($A626,Devengado!$A$1:$AI$1,25,FALSE),"")</f>
        <v/>
      </c>
      <c r="BG626" s="224" t="str">
        <f>IFERROR(VLOOKUP($A626,Devengado!$A$1:$AI$1,26,FALSE),"")</f>
        <v/>
      </c>
      <c r="BH626" s="224" t="str">
        <f>IFERROR(VLOOKUP($A626,Devengado!$A$1:$AI$1,27,FALSE),"")</f>
        <v/>
      </c>
      <c r="BI626" s="224" t="str">
        <f>IFERROR(VLOOKUP($A626,Devengado!$A$1:$AI$1,28,FALSE),"")</f>
        <v/>
      </c>
      <c r="BJ626" s="224" t="str">
        <f>IFERROR(VLOOKUP($A626,Devengado!$A$1:$AI$1,29,FALSE),"")</f>
        <v/>
      </c>
      <c r="BK626" s="224" t="str">
        <f>IFERROR(VLOOKUP($A626,Devengado!$A$1:$AI$1,30,FALSE),"")</f>
        <v/>
      </c>
      <c r="BL626" s="224" t="str">
        <f>IFERROR(VLOOKUP($A626,Devengado!$A$1:$AI$1,31,FALSE),"")</f>
        <v/>
      </c>
      <c r="BM626" s="224" t="str">
        <f>IFERROR(VLOOKUP($A626,Devengado!$A$1:$AI$1,32,FALSE),"")</f>
        <v/>
      </c>
      <c r="BN626" s="224" t="str">
        <f>IFERROR(VLOOKUP($A626,Devengado!$A$1:$AI$1,33,FALSE),"")</f>
        <v/>
      </c>
      <c r="BO626" s="224">
        <f t="shared" si="76"/>
        <v>0</v>
      </c>
      <c r="BP626" s="224" t="str">
        <f t="shared" si="77"/>
        <v/>
      </c>
      <c r="BQ626" s="207"/>
      <c r="BR626" s="207" t="str">
        <f t="shared" si="78"/>
        <v>73</v>
      </c>
    </row>
    <row r="627" spans="1:70" s="225" customFormat="1" ht="97.5" customHeight="1">
      <c r="A627" s="207">
        <v>623</v>
      </c>
      <c r="B627" s="112" t="s">
        <v>73</v>
      </c>
      <c r="C627" s="112" t="s">
        <v>129</v>
      </c>
      <c r="D627" s="112" t="s">
        <v>142</v>
      </c>
      <c r="E627" s="112" t="s">
        <v>569</v>
      </c>
      <c r="F627" s="128" t="s">
        <v>570</v>
      </c>
      <c r="G627" s="112" t="s">
        <v>571</v>
      </c>
      <c r="H627" s="112" t="s">
        <v>572</v>
      </c>
      <c r="I627" s="112" t="s">
        <v>601</v>
      </c>
      <c r="J627" s="112" t="s">
        <v>607</v>
      </c>
      <c r="K627" s="112"/>
      <c r="L627" s="112" t="s">
        <v>609</v>
      </c>
      <c r="M627" s="112" t="s">
        <v>617</v>
      </c>
      <c r="N627" s="127">
        <v>9999</v>
      </c>
      <c r="O627" s="127" t="s">
        <v>132</v>
      </c>
      <c r="P627" s="114" t="s">
        <v>574</v>
      </c>
      <c r="Q627" s="114" t="s">
        <v>112</v>
      </c>
      <c r="R627" s="115" t="str">
        <f t="shared" si="72"/>
        <v>73</v>
      </c>
      <c r="S627" s="112">
        <v>730606</v>
      </c>
      <c r="T627" s="122" t="e">
        <f>VLOOKUP(S627,ITEM!$C$1:$D$156,2,FALSE)</f>
        <v>#N/A</v>
      </c>
      <c r="U627" s="112">
        <v>1701</v>
      </c>
      <c r="V627" s="112" t="s">
        <v>575</v>
      </c>
      <c r="W627" s="112"/>
      <c r="X627" s="112"/>
      <c r="Y627" s="224" t="e">
        <f>'Matriz POA 2024-TRABAJO'!#REF!</f>
        <v>#REF!</v>
      </c>
      <c r="Z627" s="224" t="e">
        <f>'Matriz POA 2024-TRABAJO'!#REF!</f>
        <v>#REF!</v>
      </c>
      <c r="AA627" s="224" t="e">
        <f>'Matriz POA 2024-TRABAJO'!#REF!</f>
        <v>#REF!</v>
      </c>
      <c r="AB627" s="279">
        <v>0</v>
      </c>
      <c r="AC627" s="279">
        <v>1676</v>
      </c>
      <c r="AD627" s="279">
        <v>0</v>
      </c>
      <c r="AE627" s="279">
        <v>0</v>
      </c>
      <c r="AF627" s="279">
        <v>0</v>
      </c>
      <c r="AG627" s="279">
        <v>0</v>
      </c>
      <c r="AH627" s="279">
        <v>0</v>
      </c>
      <c r="AI627" s="279">
        <v>0</v>
      </c>
      <c r="AJ627" s="279">
        <v>0</v>
      </c>
      <c r="AK627" s="279">
        <v>0</v>
      </c>
      <c r="AL627" s="279">
        <v>0</v>
      </c>
      <c r="AM627" s="279">
        <v>0</v>
      </c>
      <c r="AN627" s="224" t="e">
        <f>SUM(#REF!)</f>
        <v>#REF!</v>
      </c>
      <c r="AO627" s="224">
        <f t="shared" si="73"/>
        <v>1676</v>
      </c>
      <c r="AP627" s="224" t="e">
        <f t="shared" si="79"/>
        <v>#REF!</v>
      </c>
      <c r="AQ627" s="224"/>
      <c r="AR627" s="224"/>
      <c r="AS627" s="224"/>
      <c r="AT627" s="224" t="str">
        <f>IFERROR(VLOOKUP($A627,'Constancias POA'!$A$2:$DH$9993,17,FALSE),"")</f>
        <v/>
      </c>
      <c r="AU627" s="224" t="str">
        <f t="shared" si="74"/>
        <v/>
      </c>
      <c r="AV627" s="224" t="str">
        <f>IFERROR(VLOOKUP($A627,CP!$A$1:$U$7992,18,FALSE),"")</f>
        <v/>
      </c>
      <c r="AW627" s="224" t="str">
        <f>IFERROR(VLOOKUP($A627,CP!$A$1:$U$7992,19,FALSE),"")</f>
        <v/>
      </c>
      <c r="AX627" s="224" t="str">
        <f>IFERROR(VLOOKUP($A627,CP!$A$1:$U$7992,20,FALSE),"")</f>
        <v/>
      </c>
      <c r="AY627" s="224" t="str">
        <f>IFERROR(VLOOKUP($A627,CP!$A$1:$U$1,21,FALSE),"")</f>
        <v/>
      </c>
      <c r="AZ627" s="224" t="str">
        <f>IFERROR(VLOOKUP(A627,Devengado!$A$1:AJ1,35,FALSE),"")</f>
        <v/>
      </c>
      <c r="BA627" s="224" t="str">
        <f t="shared" si="75"/>
        <v/>
      </c>
      <c r="BB627" s="224" t="str">
        <f>IFERROR(AZ627/#REF!,"")</f>
        <v/>
      </c>
      <c r="BC627" s="224" t="str">
        <f>IFERROR(VLOOKUP($A627,Devengado!$A$1:$AI$1,22,FALSE),"")</f>
        <v/>
      </c>
      <c r="BD627" s="224" t="str">
        <f>IFERROR(VLOOKUP($A627,Devengado!$A$1:$AI$1,23,FALSE),"")</f>
        <v/>
      </c>
      <c r="BE627" s="224" t="str">
        <f>IFERROR(VLOOKUP($A627,Devengado!$A$1:$AI$1,24,FALSE),"")</f>
        <v/>
      </c>
      <c r="BF627" s="224" t="str">
        <f>IFERROR(VLOOKUP($A627,Devengado!$A$1:$AI$1,25,FALSE),"")</f>
        <v/>
      </c>
      <c r="BG627" s="224" t="str">
        <f>IFERROR(VLOOKUP($A627,Devengado!$A$1:$AI$1,26,FALSE),"")</f>
        <v/>
      </c>
      <c r="BH627" s="224" t="str">
        <f>IFERROR(VLOOKUP($A627,Devengado!$A$1:$AI$1,27,FALSE),"")</f>
        <v/>
      </c>
      <c r="BI627" s="224" t="str">
        <f>IFERROR(VLOOKUP($A627,Devengado!$A$1:$AI$1,28,FALSE),"")</f>
        <v/>
      </c>
      <c r="BJ627" s="224" t="str">
        <f>IFERROR(VLOOKUP($A627,Devengado!$A$1:$AI$1,29,FALSE),"")</f>
        <v/>
      </c>
      <c r="BK627" s="224" t="str">
        <f>IFERROR(VLOOKUP($A627,Devengado!$A$1:$AI$1,30,FALSE),"")</f>
        <v/>
      </c>
      <c r="BL627" s="224" t="str">
        <f>IFERROR(VLOOKUP($A627,Devengado!$A$1:$AI$1,31,FALSE),"")</f>
        <v/>
      </c>
      <c r="BM627" s="224" t="str">
        <f>IFERROR(VLOOKUP($A627,Devengado!$A$1:$AI$1,32,FALSE),"")</f>
        <v/>
      </c>
      <c r="BN627" s="224" t="str">
        <f>IFERROR(VLOOKUP($A627,Devengado!$A$1:$AI$1,33,FALSE),"")</f>
        <v/>
      </c>
      <c r="BO627" s="224">
        <f t="shared" si="76"/>
        <v>0</v>
      </c>
      <c r="BP627" s="224" t="str">
        <f t="shared" si="77"/>
        <v/>
      </c>
      <c r="BQ627" s="207"/>
      <c r="BR627" s="207" t="str">
        <f t="shared" si="78"/>
        <v>73</v>
      </c>
    </row>
    <row r="628" spans="1:70" s="225" customFormat="1" ht="25.5" customHeight="1">
      <c r="A628" s="207">
        <v>624</v>
      </c>
      <c r="B628" s="112" t="s">
        <v>73</v>
      </c>
      <c r="C628" s="112" t="s">
        <v>129</v>
      </c>
      <c r="D628" s="112" t="s">
        <v>142</v>
      </c>
      <c r="E628" s="112" t="s">
        <v>569</v>
      </c>
      <c r="F628" s="128" t="s">
        <v>570</v>
      </c>
      <c r="G628" s="112" t="s">
        <v>571</v>
      </c>
      <c r="H628" s="112" t="s">
        <v>572</v>
      </c>
      <c r="I628" s="112" t="s">
        <v>605</v>
      </c>
      <c r="J628" s="112" t="s">
        <v>618</v>
      </c>
      <c r="K628" s="112"/>
      <c r="L628" s="112" t="s">
        <v>603</v>
      </c>
      <c r="M628" s="112" t="s">
        <v>619</v>
      </c>
      <c r="N628" s="127">
        <v>9999</v>
      </c>
      <c r="O628" s="127" t="s">
        <v>132</v>
      </c>
      <c r="P628" s="114" t="s">
        <v>574</v>
      </c>
      <c r="Q628" s="114" t="s">
        <v>112</v>
      </c>
      <c r="R628" s="115" t="str">
        <f t="shared" si="72"/>
        <v>73</v>
      </c>
      <c r="S628" s="112">
        <v>730205</v>
      </c>
      <c r="T628" s="122" t="e">
        <f>VLOOKUP(S628,ITEM!$C$1:$D$156,2,FALSE)</f>
        <v>#N/A</v>
      </c>
      <c r="U628" s="114" t="s">
        <v>83</v>
      </c>
      <c r="V628" s="114" t="s">
        <v>575</v>
      </c>
      <c r="W628" s="114"/>
      <c r="X628" s="114"/>
      <c r="Y628" s="224" t="e">
        <f>'Matriz POA 2024-TRABAJO'!#REF!</f>
        <v>#REF!</v>
      </c>
      <c r="Z628" s="224" t="e">
        <f>'Matriz POA 2024-TRABAJO'!#REF!</f>
        <v>#REF!</v>
      </c>
      <c r="AA628" s="224" t="e">
        <f>'Matriz POA 2024-TRABAJO'!#REF!</f>
        <v>#REF!</v>
      </c>
      <c r="AB628" s="279">
        <v>0</v>
      </c>
      <c r="AC628" s="279">
        <v>0</v>
      </c>
      <c r="AD628" s="279">
        <v>36447.57</v>
      </c>
      <c r="AE628" s="279">
        <v>0</v>
      </c>
      <c r="AF628" s="279">
        <v>0</v>
      </c>
      <c r="AG628" s="279">
        <v>36447.56</v>
      </c>
      <c r="AH628" s="279">
        <v>0</v>
      </c>
      <c r="AI628" s="279">
        <v>36447.58</v>
      </c>
      <c r="AJ628" s="279">
        <v>0</v>
      </c>
      <c r="AK628" s="279">
        <v>0</v>
      </c>
      <c r="AL628" s="279">
        <v>0</v>
      </c>
      <c r="AM628" s="279">
        <v>0</v>
      </c>
      <c r="AN628" s="224" t="e">
        <f>SUM(#REF!)</f>
        <v>#REF!</v>
      </c>
      <c r="AO628" s="224">
        <f t="shared" si="73"/>
        <v>109342.71</v>
      </c>
      <c r="AP628" s="224" t="e">
        <f t="shared" si="79"/>
        <v>#REF!</v>
      </c>
      <c r="AQ628" s="224"/>
      <c r="AR628" s="224"/>
      <c r="AS628" s="224"/>
      <c r="AT628" s="224" t="str">
        <f>IFERROR(VLOOKUP($A628,'Constancias POA'!$A$2:$DH$9993,17,FALSE),"")</f>
        <v/>
      </c>
      <c r="AU628" s="224" t="str">
        <f t="shared" si="74"/>
        <v/>
      </c>
      <c r="AV628" s="224" t="str">
        <f>IFERROR(VLOOKUP($A628,CP!$A$1:$U$7992,18,FALSE),"")</f>
        <v/>
      </c>
      <c r="AW628" s="224" t="str">
        <f>IFERROR(VLOOKUP($A628,CP!$A$1:$U$7992,19,FALSE),"")</f>
        <v/>
      </c>
      <c r="AX628" s="224" t="str">
        <f>IFERROR(VLOOKUP($A628,CP!$A$1:$U$7992,20,FALSE),"")</f>
        <v/>
      </c>
      <c r="AY628" s="224" t="str">
        <f>IFERROR(VLOOKUP($A628,CP!$A$1:$U$1,21,FALSE),"")</f>
        <v/>
      </c>
      <c r="AZ628" s="224" t="str">
        <f>IFERROR(VLOOKUP(A628,Devengado!$A$1:AJ1,35,FALSE),"")</f>
        <v/>
      </c>
      <c r="BA628" s="224" t="str">
        <f t="shared" si="75"/>
        <v/>
      </c>
      <c r="BB628" s="224" t="str">
        <f>IFERROR(AZ628/#REF!,"")</f>
        <v/>
      </c>
      <c r="BC628" s="224" t="str">
        <f>IFERROR(VLOOKUP($A628,Devengado!$A$1:$AI$1,22,FALSE),"")</f>
        <v/>
      </c>
      <c r="BD628" s="224" t="str">
        <f>IFERROR(VLOOKUP($A628,Devengado!$A$1:$AI$1,23,FALSE),"")</f>
        <v/>
      </c>
      <c r="BE628" s="224" t="str">
        <f>IFERROR(VLOOKUP($A628,Devengado!$A$1:$AI$1,24,FALSE),"")</f>
        <v/>
      </c>
      <c r="BF628" s="224" t="str">
        <f>IFERROR(VLOOKUP($A628,Devengado!$A$1:$AI$1,25,FALSE),"")</f>
        <v/>
      </c>
      <c r="BG628" s="224" t="str">
        <f>IFERROR(VLOOKUP($A628,Devengado!$A$1:$AI$1,26,FALSE),"")</f>
        <v/>
      </c>
      <c r="BH628" s="224" t="str">
        <f>IFERROR(VLOOKUP($A628,Devengado!$A$1:$AI$1,27,FALSE),"")</f>
        <v/>
      </c>
      <c r="BI628" s="224" t="str">
        <f>IFERROR(VLOOKUP($A628,Devengado!$A$1:$AI$1,28,FALSE),"")</f>
        <v/>
      </c>
      <c r="BJ628" s="224" t="str">
        <f>IFERROR(VLOOKUP($A628,Devengado!$A$1:$AI$1,29,FALSE),"")</f>
        <v/>
      </c>
      <c r="BK628" s="224" t="str">
        <f>IFERROR(VLOOKUP($A628,Devengado!$A$1:$AI$1,30,FALSE),"")</f>
        <v/>
      </c>
      <c r="BL628" s="224" t="str">
        <f>IFERROR(VLOOKUP($A628,Devengado!$A$1:$AI$1,31,FALSE),"")</f>
        <v/>
      </c>
      <c r="BM628" s="224" t="str">
        <f>IFERROR(VLOOKUP($A628,Devengado!$A$1:$AI$1,32,FALSE),"")</f>
        <v/>
      </c>
      <c r="BN628" s="224" t="str">
        <f>IFERROR(VLOOKUP($A628,Devengado!$A$1:$AI$1,33,FALSE),"")</f>
        <v/>
      </c>
      <c r="BO628" s="224">
        <f t="shared" si="76"/>
        <v>0</v>
      </c>
      <c r="BP628" s="224" t="str">
        <f t="shared" si="77"/>
        <v/>
      </c>
      <c r="BQ628" s="207"/>
      <c r="BR628" s="207" t="str">
        <f t="shared" si="78"/>
        <v>73</v>
      </c>
    </row>
    <row r="629" spans="1:70" s="225" customFormat="1" ht="25.5" customHeight="1">
      <c r="A629" s="207">
        <v>625</v>
      </c>
      <c r="B629" s="112" t="s">
        <v>73</v>
      </c>
      <c r="C629" s="112" t="s">
        <v>129</v>
      </c>
      <c r="D629" s="112" t="s">
        <v>142</v>
      </c>
      <c r="E629" s="112" t="s">
        <v>569</v>
      </c>
      <c r="F629" s="128" t="s">
        <v>570</v>
      </c>
      <c r="G629" s="112" t="s">
        <v>571</v>
      </c>
      <c r="H629" s="112" t="s">
        <v>572</v>
      </c>
      <c r="I629" s="112" t="s">
        <v>605</v>
      </c>
      <c r="J629" s="112" t="s">
        <v>618</v>
      </c>
      <c r="K629" s="112"/>
      <c r="L629" s="112" t="s">
        <v>603</v>
      </c>
      <c r="M629" s="112" t="s">
        <v>620</v>
      </c>
      <c r="N629" s="127">
        <v>9999</v>
      </c>
      <c r="O629" s="127" t="s">
        <v>132</v>
      </c>
      <c r="P629" s="114" t="s">
        <v>574</v>
      </c>
      <c r="Q629" s="114" t="s">
        <v>112</v>
      </c>
      <c r="R629" s="115" t="str">
        <f t="shared" si="72"/>
        <v>73</v>
      </c>
      <c r="S629" s="112">
        <v>730207</v>
      </c>
      <c r="T629" s="122" t="e">
        <f>VLOOKUP(S629,ITEM!$C$1:$D$156,2,FALSE)</f>
        <v>#N/A</v>
      </c>
      <c r="U629" s="112" t="s">
        <v>83</v>
      </c>
      <c r="V629" s="112" t="s">
        <v>575</v>
      </c>
      <c r="W629" s="112"/>
      <c r="X629" s="112"/>
      <c r="Y629" s="224" t="e">
        <f>'Matriz POA 2024-TRABAJO'!#REF!</f>
        <v>#REF!</v>
      </c>
      <c r="Z629" s="224" t="e">
        <f>'Matriz POA 2024-TRABAJO'!#REF!</f>
        <v>#REF!</v>
      </c>
      <c r="AA629" s="224" t="e">
        <f>'Matriz POA 2024-TRABAJO'!#REF!</f>
        <v>#REF!</v>
      </c>
      <c r="AB629" s="279">
        <v>0</v>
      </c>
      <c r="AC629" s="279">
        <v>0</v>
      </c>
      <c r="AD629" s="279">
        <v>25834.45</v>
      </c>
      <c r="AE629" s="279">
        <v>0</v>
      </c>
      <c r="AF629" s="279">
        <v>0</v>
      </c>
      <c r="AG629" s="279">
        <v>25834.45</v>
      </c>
      <c r="AH629" s="279">
        <v>0</v>
      </c>
      <c r="AI629" s="279">
        <v>25834.45</v>
      </c>
      <c r="AJ629" s="279">
        <v>0</v>
      </c>
      <c r="AK629" s="279">
        <v>0</v>
      </c>
      <c r="AL629" s="279">
        <v>0</v>
      </c>
      <c r="AM629" s="279">
        <v>0</v>
      </c>
      <c r="AN629" s="224" t="e">
        <f>SUM(#REF!)</f>
        <v>#REF!</v>
      </c>
      <c r="AO629" s="224">
        <f t="shared" si="73"/>
        <v>77503.350000000006</v>
      </c>
      <c r="AP629" s="224" t="e">
        <f t="shared" si="79"/>
        <v>#REF!</v>
      </c>
      <c r="AQ629" s="224"/>
      <c r="AR629" s="224"/>
      <c r="AS629" s="224"/>
      <c r="AT629" s="224" t="str">
        <f>IFERROR(VLOOKUP($A629,'Constancias POA'!$A$2:$DH$9993,17,FALSE),"")</f>
        <v/>
      </c>
      <c r="AU629" s="224" t="str">
        <f t="shared" si="74"/>
        <v/>
      </c>
      <c r="AV629" s="224" t="str">
        <f>IFERROR(VLOOKUP($A629,CP!$A$1:$U$7992,18,FALSE),"")</f>
        <v/>
      </c>
      <c r="AW629" s="224" t="str">
        <f>IFERROR(VLOOKUP($A629,CP!$A$1:$U$7992,19,FALSE),"")</f>
        <v/>
      </c>
      <c r="AX629" s="224" t="str">
        <f>IFERROR(VLOOKUP($A629,CP!$A$1:$U$7992,20,FALSE),"")</f>
        <v/>
      </c>
      <c r="AY629" s="224" t="str">
        <f>IFERROR(VLOOKUP($A629,CP!$A$1:$U$1,21,FALSE),"")</f>
        <v/>
      </c>
      <c r="AZ629" s="224" t="str">
        <f>IFERROR(VLOOKUP(A629,Devengado!$A$1:AJ1,35,FALSE),"")</f>
        <v/>
      </c>
      <c r="BA629" s="224" t="str">
        <f t="shared" si="75"/>
        <v/>
      </c>
      <c r="BB629" s="224" t="str">
        <f>IFERROR(AZ629/#REF!,"")</f>
        <v/>
      </c>
      <c r="BC629" s="224" t="str">
        <f>IFERROR(VLOOKUP($A629,Devengado!$A$1:$AI$1,22,FALSE),"")</f>
        <v/>
      </c>
      <c r="BD629" s="224" t="str">
        <f>IFERROR(VLOOKUP($A629,Devengado!$A$1:$AI$1,23,FALSE),"")</f>
        <v/>
      </c>
      <c r="BE629" s="224" t="str">
        <f>IFERROR(VLOOKUP($A629,Devengado!$A$1:$AI$1,24,FALSE),"")</f>
        <v/>
      </c>
      <c r="BF629" s="224" t="str">
        <f>IFERROR(VLOOKUP($A629,Devengado!$A$1:$AI$1,25,FALSE),"")</f>
        <v/>
      </c>
      <c r="BG629" s="224" t="str">
        <f>IFERROR(VLOOKUP($A629,Devengado!$A$1:$AI$1,26,FALSE),"")</f>
        <v/>
      </c>
      <c r="BH629" s="224" t="str">
        <f>IFERROR(VLOOKUP($A629,Devengado!$A$1:$AI$1,27,FALSE),"")</f>
        <v/>
      </c>
      <c r="BI629" s="224" t="str">
        <f>IFERROR(VLOOKUP($A629,Devengado!$A$1:$AI$1,28,FALSE),"")</f>
        <v/>
      </c>
      <c r="BJ629" s="224" t="str">
        <f>IFERROR(VLOOKUP($A629,Devengado!$A$1:$AI$1,29,FALSE),"")</f>
        <v/>
      </c>
      <c r="BK629" s="224" t="str">
        <f>IFERROR(VLOOKUP($A629,Devengado!$A$1:$AI$1,30,FALSE),"")</f>
        <v/>
      </c>
      <c r="BL629" s="224" t="str">
        <f>IFERROR(VLOOKUP($A629,Devengado!$A$1:$AI$1,31,FALSE),"")</f>
        <v/>
      </c>
      <c r="BM629" s="224" t="str">
        <f>IFERROR(VLOOKUP($A629,Devengado!$A$1:$AI$1,32,FALSE),"")</f>
        <v/>
      </c>
      <c r="BN629" s="224" t="str">
        <f>IFERROR(VLOOKUP($A629,Devengado!$A$1:$AI$1,33,FALSE),"")</f>
        <v/>
      </c>
      <c r="BO629" s="224">
        <f t="shared" si="76"/>
        <v>0</v>
      </c>
      <c r="BP629" s="224" t="str">
        <f t="shared" si="77"/>
        <v/>
      </c>
      <c r="BQ629" s="207"/>
      <c r="BR629" s="207" t="str">
        <f t="shared" si="78"/>
        <v>73</v>
      </c>
    </row>
    <row r="630" spans="1:70" s="225" customFormat="1" ht="25.5" customHeight="1">
      <c r="A630" s="207">
        <v>626</v>
      </c>
      <c r="B630" s="112" t="s">
        <v>621</v>
      </c>
      <c r="C630" s="112" t="s">
        <v>77</v>
      </c>
      <c r="D630" s="112" t="s">
        <v>77</v>
      </c>
      <c r="E630" s="112" t="s">
        <v>76</v>
      </c>
      <c r="F630" s="112" t="s">
        <v>77</v>
      </c>
      <c r="G630" s="112" t="s">
        <v>77</v>
      </c>
      <c r="H630" s="112" t="s">
        <v>77</v>
      </c>
      <c r="I630" s="112" t="s">
        <v>77</v>
      </c>
      <c r="J630" s="112" t="s">
        <v>77</v>
      </c>
      <c r="K630" s="112" t="s">
        <v>77</v>
      </c>
      <c r="L630" s="112" t="s">
        <v>85</v>
      </c>
      <c r="M630" s="112" t="s">
        <v>622</v>
      </c>
      <c r="N630" s="114" t="s">
        <v>623</v>
      </c>
      <c r="O630" s="123">
        <v>80</v>
      </c>
      <c r="P630" s="114" t="s">
        <v>81</v>
      </c>
      <c r="Q630" s="114" t="s">
        <v>112</v>
      </c>
      <c r="R630" s="115" t="str">
        <f t="shared" si="72"/>
        <v>51</v>
      </c>
      <c r="S630" s="112">
        <v>510105</v>
      </c>
      <c r="T630" s="122" t="str">
        <f>VLOOKUP(S630,ITEM!$C$1:$D$156,2,FALSE)</f>
        <v>Remuneraciones Unificadas</v>
      </c>
      <c r="U630" s="112">
        <v>100</v>
      </c>
      <c r="V630" s="114" t="s">
        <v>82</v>
      </c>
      <c r="W630" s="114" t="s">
        <v>84</v>
      </c>
      <c r="X630" s="114" t="s">
        <v>84</v>
      </c>
      <c r="Y630" s="224" t="e">
        <f>'Matriz POA 2024-TRABAJO'!#REF!</f>
        <v>#REF!</v>
      </c>
      <c r="Z630" s="224" t="e">
        <f>'Matriz POA 2024-TRABAJO'!#REF!</f>
        <v>#REF!</v>
      </c>
      <c r="AA630" s="224" t="e">
        <f>'Matriz POA 2024-TRABAJO'!#REF!</f>
        <v>#REF!</v>
      </c>
      <c r="AB630" s="279">
        <v>16682.29</v>
      </c>
      <c r="AC630" s="279">
        <v>16682.29</v>
      </c>
      <c r="AD630" s="279">
        <v>16682.29</v>
      </c>
      <c r="AE630" s="279">
        <v>16682.29</v>
      </c>
      <c r="AF630" s="279">
        <v>16682.29</v>
      </c>
      <c r="AG630" s="279">
        <v>16682.29</v>
      </c>
      <c r="AH630" s="279">
        <v>16682.29</v>
      </c>
      <c r="AI630" s="279">
        <v>16682.29</v>
      </c>
      <c r="AJ630" s="279">
        <v>16682.29</v>
      </c>
      <c r="AK630" s="279">
        <v>16682.29</v>
      </c>
      <c r="AL630" s="279">
        <v>16682.29</v>
      </c>
      <c r="AM630" s="279">
        <v>39456.29</v>
      </c>
      <c r="AN630" s="224" t="e">
        <f>SUM(#REF!)</f>
        <v>#REF!</v>
      </c>
      <c r="AO630" s="224">
        <f t="shared" si="73"/>
        <v>222961.48000000007</v>
      </c>
      <c r="AP630" s="224" t="e">
        <f t="shared" si="79"/>
        <v>#REF!</v>
      </c>
      <c r="AQ630" s="224"/>
      <c r="AR630" s="224"/>
      <c r="AS630" s="224"/>
      <c r="AT630" s="224" t="str">
        <f>IFERROR(VLOOKUP($A630,'Constancias POA'!$A$2:$DH$9993,17,FALSE),"")</f>
        <v/>
      </c>
      <c r="AU630" s="224" t="str">
        <f t="shared" si="74"/>
        <v/>
      </c>
      <c r="AV630" s="224" t="str">
        <f>IFERROR(VLOOKUP($A630,CP!$A$1:$U$7992,18,FALSE),"")</f>
        <v/>
      </c>
      <c r="AW630" s="224" t="str">
        <f>IFERROR(VLOOKUP($A630,CP!$A$1:$U$7992,19,FALSE),"")</f>
        <v/>
      </c>
      <c r="AX630" s="224" t="str">
        <f>IFERROR(VLOOKUP($A630,CP!$A$1:$U$7992,20,FALSE),"")</f>
        <v/>
      </c>
      <c r="AY630" s="224" t="str">
        <f>IFERROR(VLOOKUP($A630,CP!$A$1:$U$1,21,FALSE),"")</f>
        <v/>
      </c>
      <c r="AZ630" s="224" t="str">
        <f>IFERROR(VLOOKUP(A630,Devengado!$A$1:AJ1,35,FALSE),"")</f>
        <v/>
      </c>
      <c r="BA630" s="224" t="str">
        <f t="shared" si="75"/>
        <v/>
      </c>
      <c r="BB630" s="224" t="str">
        <f>IFERROR(AZ630/#REF!,"")</f>
        <v/>
      </c>
      <c r="BC630" s="224" t="str">
        <f>IFERROR(VLOOKUP($A630,Devengado!$A$1:$AI$1,22,FALSE),"")</f>
        <v/>
      </c>
      <c r="BD630" s="224" t="str">
        <f>IFERROR(VLOOKUP($A630,Devengado!$A$1:$AI$1,23,FALSE),"")</f>
        <v/>
      </c>
      <c r="BE630" s="224" t="str">
        <f>IFERROR(VLOOKUP($A630,Devengado!$A$1:$AI$1,24,FALSE),"")</f>
        <v/>
      </c>
      <c r="BF630" s="224" t="str">
        <f>IFERROR(VLOOKUP($A630,Devengado!$A$1:$AI$1,25,FALSE),"")</f>
        <v/>
      </c>
      <c r="BG630" s="224" t="str">
        <f>IFERROR(VLOOKUP($A630,Devengado!$A$1:$AI$1,26,FALSE),"")</f>
        <v/>
      </c>
      <c r="BH630" s="224" t="str">
        <f>IFERROR(VLOOKUP($A630,Devengado!$A$1:$AI$1,27,FALSE),"")</f>
        <v/>
      </c>
      <c r="BI630" s="224" t="str">
        <f>IFERROR(VLOOKUP($A630,Devengado!$A$1:$AI$1,28,FALSE),"")</f>
        <v/>
      </c>
      <c r="BJ630" s="224" t="str">
        <f>IFERROR(VLOOKUP($A630,Devengado!$A$1:$AI$1,29,FALSE),"")</f>
        <v/>
      </c>
      <c r="BK630" s="224" t="str">
        <f>IFERROR(VLOOKUP($A630,Devengado!$A$1:$AI$1,30,FALSE),"")</f>
        <v/>
      </c>
      <c r="BL630" s="224" t="str">
        <f>IFERROR(VLOOKUP($A630,Devengado!$A$1:$AI$1,31,FALSE),"")</f>
        <v/>
      </c>
      <c r="BM630" s="224" t="str">
        <f>IFERROR(VLOOKUP($A630,Devengado!$A$1:$AI$1,32,FALSE),"")</f>
        <v/>
      </c>
      <c r="BN630" s="224" t="str">
        <f>IFERROR(VLOOKUP($A630,Devengado!$A$1:$AI$1,33,FALSE),"")</f>
        <v/>
      </c>
      <c r="BO630" s="224">
        <f t="shared" si="76"/>
        <v>0</v>
      </c>
      <c r="BP630" s="224" t="str">
        <f t="shared" si="77"/>
        <v/>
      </c>
      <c r="BQ630" s="207"/>
      <c r="BR630" s="207" t="str">
        <f t="shared" si="78"/>
        <v>51</v>
      </c>
    </row>
    <row r="631" spans="1:70" s="225" customFormat="1" ht="25.5" customHeight="1">
      <c r="A631" s="207">
        <v>627</v>
      </c>
      <c r="B631" s="112" t="s">
        <v>621</v>
      </c>
      <c r="C631" s="112" t="s">
        <v>77</v>
      </c>
      <c r="D631" s="112" t="s">
        <v>77</v>
      </c>
      <c r="E631" s="112" t="s">
        <v>76</v>
      </c>
      <c r="F631" s="112" t="s">
        <v>77</v>
      </c>
      <c r="G631" s="112" t="s">
        <v>77</v>
      </c>
      <c r="H631" s="112" t="s">
        <v>77</v>
      </c>
      <c r="I631" s="112" t="s">
        <v>77</v>
      </c>
      <c r="J631" s="112" t="s">
        <v>77</v>
      </c>
      <c r="K631" s="112" t="s">
        <v>77</v>
      </c>
      <c r="L631" s="112" t="s">
        <v>85</v>
      </c>
      <c r="M631" s="112" t="s">
        <v>624</v>
      </c>
      <c r="N631" s="114" t="s">
        <v>623</v>
      </c>
      <c r="O631" s="123">
        <v>80</v>
      </c>
      <c r="P631" s="114" t="s">
        <v>81</v>
      </c>
      <c r="Q631" s="114" t="s">
        <v>112</v>
      </c>
      <c r="R631" s="115" t="str">
        <f t="shared" si="72"/>
        <v>51</v>
      </c>
      <c r="S631" s="112">
        <v>510106</v>
      </c>
      <c r="T631" s="122" t="str">
        <f>VLOOKUP(S631,ITEM!$C$1:$D$156,2,FALSE)</f>
        <v>Salarios Unificados</v>
      </c>
      <c r="U631" s="112">
        <v>100</v>
      </c>
      <c r="V631" s="114" t="s">
        <v>82</v>
      </c>
      <c r="W631" s="114" t="s">
        <v>84</v>
      </c>
      <c r="X631" s="114" t="s">
        <v>84</v>
      </c>
      <c r="Y631" s="224" t="e">
        <f>'Matriz POA 2024-TRABAJO'!#REF!</f>
        <v>#REF!</v>
      </c>
      <c r="Z631" s="224" t="e">
        <f>'Matriz POA 2024-TRABAJO'!#REF!</f>
        <v>#REF!</v>
      </c>
      <c r="AA631" s="224" t="e">
        <f>'Matriz POA 2024-TRABAJO'!#REF!</f>
        <v>#REF!</v>
      </c>
      <c r="AB631" s="279">
        <v>5715</v>
      </c>
      <c r="AC631" s="279">
        <v>5715</v>
      </c>
      <c r="AD631" s="279">
        <v>5715</v>
      </c>
      <c r="AE631" s="279">
        <v>5715</v>
      </c>
      <c r="AF631" s="279">
        <v>5715</v>
      </c>
      <c r="AG631" s="279">
        <v>5715</v>
      </c>
      <c r="AH631" s="279">
        <v>5715</v>
      </c>
      <c r="AI631" s="279">
        <v>5715</v>
      </c>
      <c r="AJ631" s="279">
        <v>5715</v>
      </c>
      <c r="AK631" s="279">
        <v>5715</v>
      </c>
      <c r="AL631" s="279">
        <v>5715</v>
      </c>
      <c r="AM631" s="279">
        <v>5715</v>
      </c>
      <c r="AN631" s="224" t="e">
        <f>SUM(#REF!)</f>
        <v>#REF!</v>
      </c>
      <c r="AO631" s="224">
        <f t="shared" si="73"/>
        <v>68580</v>
      </c>
      <c r="AP631" s="224" t="e">
        <f t="shared" si="79"/>
        <v>#REF!</v>
      </c>
      <c r="AQ631" s="224"/>
      <c r="AR631" s="224"/>
      <c r="AS631" s="224"/>
      <c r="AT631" s="224" t="str">
        <f>IFERROR(VLOOKUP($A631,'Constancias POA'!$A$2:$DH$9993,17,FALSE),"")</f>
        <v/>
      </c>
      <c r="AU631" s="224" t="str">
        <f t="shared" si="74"/>
        <v/>
      </c>
      <c r="AV631" s="224" t="str">
        <f>IFERROR(VLOOKUP($A631,CP!$A$1:$U$7992,18,FALSE),"")</f>
        <v/>
      </c>
      <c r="AW631" s="224" t="str">
        <f>IFERROR(VLOOKUP($A631,CP!$A$1:$U$7992,19,FALSE),"")</f>
        <v/>
      </c>
      <c r="AX631" s="224" t="str">
        <f>IFERROR(VLOOKUP($A631,CP!$A$1:$U$7992,20,FALSE),"")</f>
        <v/>
      </c>
      <c r="AY631" s="224" t="str">
        <f>IFERROR(VLOOKUP($A631,CP!$A$1:$U$1,21,FALSE),"")</f>
        <v/>
      </c>
      <c r="AZ631" s="224" t="str">
        <f>IFERROR(VLOOKUP(A631,Devengado!$A$1:AJ1,35,FALSE),"")</f>
        <v/>
      </c>
      <c r="BA631" s="224" t="str">
        <f t="shared" si="75"/>
        <v/>
      </c>
      <c r="BB631" s="224" t="str">
        <f>IFERROR(AZ631/#REF!,"")</f>
        <v/>
      </c>
      <c r="BC631" s="224" t="str">
        <f>IFERROR(VLOOKUP($A631,Devengado!$A$1:$AI$1,22,FALSE),"")</f>
        <v/>
      </c>
      <c r="BD631" s="224" t="str">
        <f>IFERROR(VLOOKUP($A631,Devengado!$A$1:$AI$1,23,FALSE),"")</f>
        <v/>
      </c>
      <c r="BE631" s="224" t="str">
        <f>IFERROR(VLOOKUP($A631,Devengado!$A$1:$AI$1,24,FALSE),"")</f>
        <v/>
      </c>
      <c r="BF631" s="224" t="str">
        <f>IFERROR(VLOOKUP($A631,Devengado!$A$1:$AI$1,25,FALSE),"")</f>
        <v/>
      </c>
      <c r="BG631" s="224" t="str">
        <f>IFERROR(VLOOKUP($A631,Devengado!$A$1:$AI$1,26,FALSE),"")</f>
        <v/>
      </c>
      <c r="BH631" s="224" t="str">
        <f>IFERROR(VLOOKUP($A631,Devengado!$A$1:$AI$1,27,FALSE),"")</f>
        <v/>
      </c>
      <c r="BI631" s="224" t="str">
        <f>IFERROR(VLOOKUP($A631,Devengado!$A$1:$AI$1,28,FALSE),"")</f>
        <v/>
      </c>
      <c r="BJ631" s="224" t="str">
        <f>IFERROR(VLOOKUP($A631,Devengado!$A$1:$AI$1,29,FALSE),"")</f>
        <v/>
      </c>
      <c r="BK631" s="224" t="str">
        <f>IFERROR(VLOOKUP($A631,Devengado!$A$1:$AI$1,30,FALSE),"")</f>
        <v/>
      </c>
      <c r="BL631" s="224" t="str">
        <f>IFERROR(VLOOKUP($A631,Devengado!$A$1:$AI$1,31,FALSE),"")</f>
        <v/>
      </c>
      <c r="BM631" s="224" t="str">
        <f>IFERROR(VLOOKUP($A631,Devengado!$A$1:$AI$1,32,FALSE),"")</f>
        <v/>
      </c>
      <c r="BN631" s="224" t="str">
        <f>IFERROR(VLOOKUP($A631,Devengado!$A$1:$AI$1,33,FALSE),"")</f>
        <v/>
      </c>
      <c r="BO631" s="224">
        <f t="shared" si="76"/>
        <v>0</v>
      </c>
      <c r="BP631" s="224" t="str">
        <f t="shared" si="77"/>
        <v/>
      </c>
      <c r="BQ631" s="207"/>
      <c r="BR631" s="207" t="str">
        <f t="shared" si="78"/>
        <v>51</v>
      </c>
    </row>
    <row r="632" spans="1:70" s="225" customFormat="1" ht="25.5" customHeight="1">
      <c r="A632" s="207">
        <v>628</v>
      </c>
      <c r="B632" s="112" t="s">
        <v>621</v>
      </c>
      <c r="C632" s="112" t="s">
        <v>77</v>
      </c>
      <c r="D632" s="112" t="s">
        <v>77</v>
      </c>
      <c r="E632" s="112" t="s">
        <v>76</v>
      </c>
      <c r="F632" s="112" t="s">
        <v>77</v>
      </c>
      <c r="G632" s="112" t="s">
        <v>77</v>
      </c>
      <c r="H632" s="112" t="s">
        <v>77</v>
      </c>
      <c r="I632" s="112" t="s">
        <v>77</v>
      </c>
      <c r="J632" s="112" t="s">
        <v>77</v>
      </c>
      <c r="K632" s="112" t="s">
        <v>77</v>
      </c>
      <c r="L632" s="112" t="s">
        <v>85</v>
      </c>
      <c r="M632" s="112" t="s">
        <v>625</v>
      </c>
      <c r="N632" s="114" t="s">
        <v>623</v>
      </c>
      <c r="O632" s="123">
        <v>80</v>
      </c>
      <c r="P632" s="114" t="s">
        <v>81</v>
      </c>
      <c r="Q632" s="114" t="s">
        <v>112</v>
      </c>
      <c r="R632" s="115" t="str">
        <f t="shared" si="72"/>
        <v>51</v>
      </c>
      <c r="S632" s="112">
        <v>510203</v>
      </c>
      <c r="T632" s="122" t="str">
        <f>VLOOKUP(S632,ITEM!$C$1:$D$156,2,FALSE)</f>
        <v>Decimo Tercer Sueldo</v>
      </c>
      <c r="U632" s="112">
        <v>100</v>
      </c>
      <c r="V632" s="114" t="s">
        <v>82</v>
      </c>
      <c r="W632" s="114" t="s">
        <v>84</v>
      </c>
      <c r="X632" s="114" t="s">
        <v>84</v>
      </c>
      <c r="Y632" s="224" t="e">
        <f>'Matriz POA 2024-TRABAJO'!#REF!</f>
        <v>#REF!</v>
      </c>
      <c r="Z632" s="224" t="e">
        <f>'Matriz POA 2024-TRABAJO'!#REF!</f>
        <v>#REF!</v>
      </c>
      <c r="AA632" s="224" t="e">
        <f>'Matriz POA 2024-TRABAJO'!#REF!</f>
        <v>#REF!</v>
      </c>
      <c r="AB632" s="279">
        <v>2844.27</v>
      </c>
      <c r="AC632" s="279">
        <v>2844.27</v>
      </c>
      <c r="AD632" s="279">
        <v>2844.27</v>
      </c>
      <c r="AE632" s="279">
        <v>2844.27</v>
      </c>
      <c r="AF632" s="279">
        <v>2844.27</v>
      </c>
      <c r="AG632" s="279">
        <v>2844.27</v>
      </c>
      <c r="AH632" s="279">
        <v>2844.27</v>
      </c>
      <c r="AI632" s="279">
        <v>2844.27</v>
      </c>
      <c r="AJ632" s="279">
        <v>2844.27</v>
      </c>
      <c r="AK632" s="279">
        <v>2844.27</v>
      </c>
      <c r="AL632" s="279">
        <v>2844.27</v>
      </c>
      <c r="AM632" s="279">
        <v>2799.5</v>
      </c>
      <c r="AN632" s="224" t="e">
        <f>SUM(#REF!)</f>
        <v>#REF!</v>
      </c>
      <c r="AO632" s="224">
        <f t="shared" si="73"/>
        <v>34086.47</v>
      </c>
      <c r="AP632" s="224" t="e">
        <f t="shared" si="79"/>
        <v>#REF!</v>
      </c>
      <c r="AQ632" s="224"/>
      <c r="AR632" s="224"/>
      <c r="AS632" s="224"/>
      <c r="AT632" s="224" t="str">
        <f>IFERROR(VLOOKUP($A632,'Constancias POA'!$A$2:$DH$9993,17,FALSE),"")</f>
        <v/>
      </c>
      <c r="AU632" s="224" t="str">
        <f t="shared" si="74"/>
        <v/>
      </c>
      <c r="AV632" s="224" t="str">
        <f>IFERROR(VLOOKUP($A632,CP!$A$1:$U$7992,18,FALSE),"")</f>
        <v/>
      </c>
      <c r="AW632" s="224" t="str">
        <f>IFERROR(VLOOKUP($A632,CP!$A$1:$U$7992,19,FALSE),"")</f>
        <v/>
      </c>
      <c r="AX632" s="224" t="str">
        <f>IFERROR(VLOOKUP($A632,CP!$A$1:$U$7992,20,FALSE),"")</f>
        <v/>
      </c>
      <c r="AY632" s="224" t="str">
        <f>IFERROR(VLOOKUP($A632,CP!$A$1:$U$1,21,FALSE),"")</f>
        <v/>
      </c>
      <c r="AZ632" s="224" t="str">
        <f>IFERROR(VLOOKUP(A632,Devengado!$A$1:AJ1,35,FALSE),"")</f>
        <v/>
      </c>
      <c r="BA632" s="224" t="str">
        <f t="shared" si="75"/>
        <v/>
      </c>
      <c r="BB632" s="224" t="str">
        <f>IFERROR(AZ632/#REF!,"")</f>
        <v/>
      </c>
      <c r="BC632" s="224" t="str">
        <f>IFERROR(VLOOKUP($A632,Devengado!$A$1:$AI$1,22,FALSE),"")</f>
        <v/>
      </c>
      <c r="BD632" s="224" t="str">
        <f>IFERROR(VLOOKUP($A632,Devengado!$A$1:$AI$1,23,FALSE),"")</f>
        <v/>
      </c>
      <c r="BE632" s="224" t="str">
        <f>IFERROR(VLOOKUP($A632,Devengado!$A$1:$AI$1,24,FALSE),"")</f>
        <v/>
      </c>
      <c r="BF632" s="224" t="str">
        <f>IFERROR(VLOOKUP($A632,Devengado!$A$1:$AI$1,25,FALSE),"")</f>
        <v/>
      </c>
      <c r="BG632" s="224" t="str">
        <f>IFERROR(VLOOKUP($A632,Devengado!$A$1:$AI$1,26,FALSE),"")</f>
        <v/>
      </c>
      <c r="BH632" s="224" t="str">
        <f>IFERROR(VLOOKUP($A632,Devengado!$A$1:$AI$1,27,FALSE),"")</f>
        <v/>
      </c>
      <c r="BI632" s="224" t="str">
        <f>IFERROR(VLOOKUP($A632,Devengado!$A$1:$AI$1,28,FALSE),"")</f>
        <v/>
      </c>
      <c r="BJ632" s="224" t="str">
        <f>IFERROR(VLOOKUP($A632,Devengado!$A$1:$AI$1,29,FALSE),"")</f>
        <v/>
      </c>
      <c r="BK632" s="224" t="str">
        <f>IFERROR(VLOOKUP($A632,Devengado!$A$1:$AI$1,30,FALSE),"")</f>
        <v/>
      </c>
      <c r="BL632" s="224" t="str">
        <f>IFERROR(VLOOKUP($A632,Devengado!$A$1:$AI$1,31,FALSE),"")</f>
        <v/>
      </c>
      <c r="BM632" s="224" t="str">
        <f>IFERROR(VLOOKUP($A632,Devengado!$A$1:$AI$1,32,FALSE),"")</f>
        <v/>
      </c>
      <c r="BN632" s="224" t="str">
        <f>IFERROR(VLOOKUP($A632,Devengado!$A$1:$AI$1,33,FALSE),"")</f>
        <v/>
      </c>
      <c r="BO632" s="224">
        <f t="shared" si="76"/>
        <v>0</v>
      </c>
      <c r="BP632" s="224" t="str">
        <f t="shared" si="77"/>
        <v/>
      </c>
      <c r="BQ632" s="207"/>
      <c r="BR632" s="207" t="str">
        <f t="shared" si="78"/>
        <v>51</v>
      </c>
    </row>
    <row r="633" spans="1:70" s="225" customFormat="1" ht="25.5" customHeight="1">
      <c r="A633" s="207">
        <v>629</v>
      </c>
      <c r="B633" s="112" t="s">
        <v>621</v>
      </c>
      <c r="C633" s="112" t="s">
        <v>77</v>
      </c>
      <c r="D633" s="112" t="s">
        <v>77</v>
      </c>
      <c r="E633" s="112" t="s">
        <v>76</v>
      </c>
      <c r="F633" s="112" t="s">
        <v>77</v>
      </c>
      <c r="G633" s="112" t="s">
        <v>77</v>
      </c>
      <c r="H633" s="112" t="s">
        <v>77</v>
      </c>
      <c r="I633" s="112" t="s">
        <v>77</v>
      </c>
      <c r="J633" s="112" t="s">
        <v>77</v>
      </c>
      <c r="K633" s="112" t="s">
        <v>77</v>
      </c>
      <c r="L633" s="112" t="s">
        <v>85</v>
      </c>
      <c r="M633" s="112" t="s">
        <v>626</v>
      </c>
      <c r="N633" s="114" t="s">
        <v>623</v>
      </c>
      <c r="O633" s="123">
        <v>80</v>
      </c>
      <c r="P633" s="114" t="s">
        <v>81</v>
      </c>
      <c r="Q633" s="114" t="s">
        <v>112</v>
      </c>
      <c r="R633" s="115" t="str">
        <f t="shared" si="72"/>
        <v>51</v>
      </c>
      <c r="S633" s="112">
        <v>510204</v>
      </c>
      <c r="T633" s="122" t="str">
        <f>VLOOKUP(S633,ITEM!$C$1:$D$156,2,FALSE)</f>
        <v>Decimo Cuarto Sueldo</v>
      </c>
      <c r="U633" s="112">
        <v>100</v>
      </c>
      <c r="V633" s="114" t="s">
        <v>82</v>
      </c>
      <c r="W633" s="114" t="s">
        <v>84</v>
      </c>
      <c r="X633" s="114" t="s">
        <v>84</v>
      </c>
      <c r="Y633" s="224" t="e">
        <f>'Matriz POA 2024-TRABAJO'!#REF!</f>
        <v>#REF!</v>
      </c>
      <c r="Z633" s="224" t="e">
        <f>'Matriz POA 2024-TRABAJO'!#REF!</f>
        <v>#REF!</v>
      </c>
      <c r="AA633" s="224" t="e">
        <f>'Matriz POA 2024-TRABAJO'!#REF!</f>
        <v>#REF!</v>
      </c>
      <c r="AB633" s="279">
        <v>1368.75</v>
      </c>
      <c r="AC633" s="279">
        <v>1368.75</v>
      </c>
      <c r="AD633" s="279">
        <v>1368.75</v>
      </c>
      <c r="AE633" s="279">
        <v>1368.75</v>
      </c>
      <c r="AF633" s="279">
        <v>1368.75</v>
      </c>
      <c r="AG633" s="279">
        <v>1368.75</v>
      </c>
      <c r="AH633" s="279">
        <v>1368.75</v>
      </c>
      <c r="AI633" s="279">
        <v>1368.75</v>
      </c>
      <c r="AJ633" s="279">
        <v>1368.75</v>
      </c>
      <c r="AK633" s="279">
        <v>1368.75</v>
      </c>
      <c r="AL633" s="279">
        <v>1368.75</v>
      </c>
      <c r="AM633" s="279">
        <v>1427.73</v>
      </c>
      <c r="AN633" s="224" t="e">
        <f>SUM(#REF!)</f>
        <v>#REF!</v>
      </c>
      <c r="AO633" s="224">
        <f t="shared" si="73"/>
        <v>16483.98</v>
      </c>
      <c r="AP633" s="224" t="e">
        <f t="shared" si="79"/>
        <v>#REF!</v>
      </c>
      <c r="AQ633" s="224"/>
      <c r="AR633" s="224"/>
      <c r="AS633" s="224"/>
      <c r="AT633" s="224" t="str">
        <f>IFERROR(VLOOKUP($A633,'Constancias POA'!$A$2:$DH$9993,17,FALSE),"")</f>
        <v/>
      </c>
      <c r="AU633" s="224" t="str">
        <f t="shared" si="74"/>
        <v/>
      </c>
      <c r="AV633" s="224" t="str">
        <f>IFERROR(VLOOKUP($A633,CP!$A$1:$U$7992,18,FALSE),"")</f>
        <v/>
      </c>
      <c r="AW633" s="224" t="str">
        <f>IFERROR(VLOOKUP($A633,CP!$A$1:$U$7992,19,FALSE),"")</f>
        <v/>
      </c>
      <c r="AX633" s="224" t="str">
        <f>IFERROR(VLOOKUP($A633,CP!$A$1:$U$7992,20,FALSE),"")</f>
        <v/>
      </c>
      <c r="AY633" s="224" t="str">
        <f>IFERROR(VLOOKUP($A633,CP!$A$1:$U$1,21,FALSE),"")</f>
        <v/>
      </c>
      <c r="AZ633" s="224" t="str">
        <f>IFERROR(VLOOKUP(A633,Devengado!$A$1:AJ1,35,FALSE),"")</f>
        <v/>
      </c>
      <c r="BA633" s="224" t="str">
        <f t="shared" si="75"/>
        <v/>
      </c>
      <c r="BB633" s="224" t="str">
        <f>IFERROR(AZ633/#REF!,"")</f>
        <v/>
      </c>
      <c r="BC633" s="224" t="str">
        <f>IFERROR(VLOOKUP($A633,Devengado!$A$1:$AI$1,22,FALSE),"")</f>
        <v/>
      </c>
      <c r="BD633" s="224" t="str">
        <f>IFERROR(VLOOKUP($A633,Devengado!$A$1:$AI$1,23,FALSE),"")</f>
        <v/>
      </c>
      <c r="BE633" s="224" t="str">
        <f>IFERROR(VLOOKUP($A633,Devengado!$A$1:$AI$1,24,FALSE),"")</f>
        <v/>
      </c>
      <c r="BF633" s="224" t="str">
        <f>IFERROR(VLOOKUP($A633,Devengado!$A$1:$AI$1,25,FALSE),"")</f>
        <v/>
      </c>
      <c r="BG633" s="224" t="str">
        <f>IFERROR(VLOOKUP($A633,Devengado!$A$1:$AI$1,26,FALSE),"")</f>
        <v/>
      </c>
      <c r="BH633" s="224" t="str">
        <f>IFERROR(VLOOKUP($A633,Devengado!$A$1:$AI$1,27,FALSE),"")</f>
        <v/>
      </c>
      <c r="BI633" s="224" t="str">
        <f>IFERROR(VLOOKUP($A633,Devengado!$A$1:$AI$1,28,FALSE),"")</f>
        <v/>
      </c>
      <c r="BJ633" s="224" t="str">
        <f>IFERROR(VLOOKUP($A633,Devengado!$A$1:$AI$1,29,FALSE),"")</f>
        <v/>
      </c>
      <c r="BK633" s="224" t="str">
        <f>IFERROR(VLOOKUP($A633,Devengado!$A$1:$AI$1,30,FALSE),"")</f>
        <v/>
      </c>
      <c r="BL633" s="224" t="str">
        <f>IFERROR(VLOOKUP($A633,Devengado!$A$1:$AI$1,31,FALSE),"")</f>
        <v/>
      </c>
      <c r="BM633" s="224" t="str">
        <f>IFERROR(VLOOKUP($A633,Devengado!$A$1:$AI$1,32,FALSE),"")</f>
        <v/>
      </c>
      <c r="BN633" s="224" t="str">
        <f>IFERROR(VLOOKUP($A633,Devengado!$A$1:$AI$1,33,FALSE),"")</f>
        <v/>
      </c>
      <c r="BO633" s="224">
        <f t="shared" si="76"/>
        <v>0</v>
      </c>
      <c r="BP633" s="224" t="str">
        <f t="shared" si="77"/>
        <v/>
      </c>
      <c r="BQ633" s="207"/>
      <c r="BR633" s="207" t="str">
        <f t="shared" si="78"/>
        <v>51</v>
      </c>
    </row>
    <row r="634" spans="1:70" s="225" customFormat="1" ht="25.5" customHeight="1">
      <c r="A634" s="207">
        <v>630</v>
      </c>
      <c r="B634" s="112" t="s">
        <v>621</v>
      </c>
      <c r="C634" s="112" t="s">
        <v>77</v>
      </c>
      <c r="D634" s="112" t="s">
        <v>77</v>
      </c>
      <c r="E634" s="112" t="s">
        <v>76</v>
      </c>
      <c r="F634" s="112" t="s">
        <v>77</v>
      </c>
      <c r="G634" s="112" t="s">
        <v>77</v>
      </c>
      <c r="H634" s="112" t="s">
        <v>77</v>
      </c>
      <c r="I634" s="112" t="s">
        <v>77</v>
      </c>
      <c r="J634" s="112" t="s">
        <v>77</v>
      </c>
      <c r="K634" s="112" t="s">
        <v>77</v>
      </c>
      <c r="L634" s="112" t="s">
        <v>85</v>
      </c>
      <c r="M634" s="112" t="s">
        <v>627</v>
      </c>
      <c r="N634" s="114" t="s">
        <v>623</v>
      </c>
      <c r="O634" s="123">
        <v>80</v>
      </c>
      <c r="P634" s="114" t="s">
        <v>81</v>
      </c>
      <c r="Q634" s="114" t="s">
        <v>112</v>
      </c>
      <c r="R634" s="115" t="str">
        <f t="shared" si="72"/>
        <v>51</v>
      </c>
      <c r="S634" s="112">
        <v>510304</v>
      </c>
      <c r="T634" s="122" t="str">
        <f>VLOOKUP(S634,ITEM!$C$1:$D$156,2,FALSE)</f>
        <v>Compensación por Transporte</v>
      </c>
      <c r="U634" s="112">
        <v>100</v>
      </c>
      <c r="V634" s="114" t="s">
        <v>82</v>
      </c>
      <c r="W634" s="114" t="s">
        <v>84</v>
      </c>
      <c r="X634" s="114" t="s">
        <v>84</v>
      </c>
      <c r="Y634" s="224" t="e">
        <f>'Matriz POA 2024-TRABAJO'!#REF!</f>
        <v>#REF!</v>
      </c>
      <c r="Z634" s="224" t="e">
        <f>'Matriz POA 2024-TRABAJO'!#REF!</f>
        <v>#REF!</v>
      </c>
      <c r="AA634" s="224" t="e">
        <f>'Matriz POA 2024-TRABAJO'!#REF!</f>
        <v>#REF!</v>
      </c>
      <c r="AB634" s="279">
        <v>108.33</v>
      </c>
      <c r="AC634" s="279">
        <v>108.33</v>
      </c>
      <c r="AD634" s="279">
        <v>108.33</v>
      </c>
      <c r="AE634" s="279">
        <v>108.33</v>
      </c>
      <c r="AF634" s="279">
        <v>108.33</v>
      </c>
      <c r="AG634" s="279">
        <v>108.33</v>
      </c>
      <c r="AH634" s="279">
        <v>108.33</v>
      </c>
      <c r="AI634" s="279">
        <v>108.33</v>
      </c>
      <c r="AJ634" s="279">
        <v>108.33</v>
      </c>
      <c r="AK634" s="279">
        <v>108.33</v>
      </c>
      <c r="AL634" s="279">
        <v>108.33</v>
      </c>
      <c r="AM634" s="279">
        <v>48.37</v>
      </c>
      <c r="AN634" s="224" t="e">
        <f>SUM(#REF!)</f>
        <v>#REF!</v>
      </c>
      <c r="AO634" s="224">
        <f t="shared" si="73"/>
        <v>1240</v>
      </c>
      <c r="AP634" s="224" t="e">
        <f t="shared" si="79"/>
        <v>#REF!</v>
      </c>
      <c r="AQ634" s="224"/>
      <c r="AR634" s="224"/>
      <c r="AS634" s="224"/>
      <c r="AT634" s="224" t="str">
        <f>IFERROR(VLOOKUP($A634,'Constancias POA'!$A$2:$DH$9993,17,FALSE),"")</f>
        <v/>
      </c>
      <c r="AU634" s="224" t="str">
        <f t="shared" si="74"/>
        <v/>
      </c>
      <c r="AV634" s="224" t="str">
        <f>IFERROR(VLOOKUP($A634,CP!$A$1:$U$7992,18,FALSE),"")</f>
        <v/>
      </c>
      <c r="AW634" s="224" t="str">
        <f>IFERROR(VLOOKUP($A634,CP!$A$1:$U$7992,19,FALSE),"")</f>
        <v/>
      </c>
      <c r="AX634" s="224" t="str">
        <f>IFERROR(VLOOKUP($A634,CP!$A$1:$U$7992,20,FALSE),"")</f>
        <v/>
      </c>
      <c r="AY634" s="224" t="str">
        <f>IFERROR(VLOOKUP($A634,CP!$A$1:$U$1,21,FALSE),"")</f>
        <v/>
      </c>
      <c r="AZ634" s="224" t="str">
        <f>IFERROR(VLOOKUP(A634,Devengado!$A$1:AJ1,35,FALSE),"")</f>
        <v/>
      </c>
      <c r="BA634" s="224" t="str">
        <f t="shared" si="75"/>
        <v/>
      </c>
      <c r="BB634" s="224" t="str">
        <f>IFERROR(AZ634/#REF!,"")</f>
        <v/>
      </c>
      <c r="BC634" s="224" t="str">
        <f>IFERROR(VLOOKUP($A634,Devengado!$A$1:$AI$1,22,FALSE),"")</f>
        <v/>
      </c>
      <c r="BD634" s="224" t="str">
        <f>IFERROR(VLOOKUP($A634,Devengado!$A$1:$AI$1,23,FALSE),"")</f>
        <v/>
      </c>
      <c r="BE634" s="224" t="str">
        <f>IFERROR(VLOOKUP($A634,Devengado!$A$1:$AI$1,24,FALSE),"")</f>
        <v/>
      </c>
      <c r="BF634" s="224" t="str">
        <f>IFERROR(VLOOKUP($A634,Devengado!$A$1:$AI$1,25,FALSE),"")</f>
        <v/>
      </c>
      <c r="BG634" s="224" t="str">
        <f>IFERROR(VLOOKUP($A634,Devengado!$A$1:$AI$1,26,FALSE),"")</f>
        <v/>
      </c>
      <c r="BH634" s="224" t="str">
        <f>IFERROR(VLOOKUP($A634,Devengado!$A$1:$AI$1,27,FALSE),"")</f>
        <v/>
      </c>
      <c r="BI634" s="224" t="str">
        <f>IFERROR(VLOOKUP($A634,Devengado!$A$1:$AI$1,28,FALSE),"")</f>
        <v/>
      </c>
      <c r="BJ634" s="224" t="str">
        <f>IFERROR(VLOOKUP($A634,Devengado!$A$1:$AI$1,29,FALSE),"")</f>
        <v/>
      </c>
      <c r="BK634" s="224" t="str">
        <f>IFERROR(VLOOKUP($A634,Devengado!$A$1:$AI$1,30,FALSE),"")</f>
        <v/>
      </c>
      <c r="BL634" s="224" t="str">
        <f>IFERROR(VLOOKUP($A634,Devengado!$A$1:$AI$1,31,FALSE),"")</f>
        <v/>
      </c>
      <c r="BM634" s="224" t="str">
        <f>IFERROR(VLOOKUP($A634,Devengado!$A$1:$AI$1,32,FALSE),"")</f>
        <v/>
      </c>
      <c r="BN634" s="224" t="str">
        <f>IFERROR(VLOOKUP($A634,Devengado!$A$1:$AI$1,33,FALSE),"")</f>
        <v/>
      </c>
      <c r="BO634" s="224">
        <f t="shared" si="76"/>
        <v>0</v>
      </c>
      <c r="BP634" s="224" t="str">
        <f t="shared" si="77"/>
        <v/>
      </c>
      <c r="BQ634" s="207"/>
      <c r="BR634" s="207" t="str">
        <f t="shared" si="78"/>
        <v>51</v>
      </c>
    </row>
    <row r="635" spans="1:70" s="225" customFormat="1" ht="25.5" customHeight="1">
      <c r="A635" s="207">
        <v>631</v>
      </c>
      <c r="B635" s="112" t="s">
        <v>621</v>
      </c>
      <c r="C635" s="112" t="s">
        <v>77</v>
      </c>
      <c r="D635" s="112" t="s">
        <v>77</v>
      </c>
      <c r="E635" s="112" t="s">
        <v>76</v>
      </c>
      <c r="F635" s="112" t="s">
        <v>77</v>
      </c>
      <c r="G635" s="112" t="s">
        <v>77</v>
      </c>
      <c r="H635" s="112" t="s">
        <v>77</v>
      </c>
      <c r="I635" s="112" t="s">
        <v>77</v>
      </c>
      <c r="J635" s="112" t="s">
        <v>77</v>
      </c>
      <c r="K635" s="112" t="s">
        <v>77</v>
      </c>
      <c r="L635" s="112" t="s">
        <v>85</v>
      </c>
      <c r="M635" s="112" t="s">
        <v>359</v>
      </c>
      <c r="N635" s="114" t="s">
        <v>623</v>
      </c>
      <c r="O635" s="123">
        <v>80</v>
      </c>
      <c r="P635" s="114" t="s">
        <v>81</v>
      </c>
      <c r="Q635" s="114" t="s">
        <v>112</v>
      </c>
      <c r="R635" s="115" t="str">
        <f t="shared" si="72"/>
        <v>51</v>
      </c>
      <c r="S635" s="112">
        <v>510306</v>
      </c>
      <c r="T635" s="122" t="str">
        <f>VLOOKUP(S635,ITEM!$C$1:$D$156,2,FALSE)</f>
        <v>Alimentación</v>
      </c>
      <c r="U635" s="112">
        <v>100</v>
      </c>
      <c r="V635" s="114" t="s">
        <v>82</v>
      </c>
      <c r="W635" s="114" t="s">
        <v>84</v>
      </c>
      <c r="X635" s="114" t="s">
        <v>84</v>
      </c>
      <c r="Y635" s="224" t="e">
        <f>'Matriz POA 2024-TRABAJO'!#REF!</f>
        <v>#REF!</v>
      </c>
      <c r="Z635" s="224" t="e">
        <f>'Matriz POA 2024-TRABAJO'!#REF!</f>
        <v>#REF!</v>
      </c>
      <c r="AA635" s="224" t="e">
        <f>'Matriz POA 2024-TRABAJO'!#REF!</f>
        <v>#REF!</v>
      </c>
      <c r="AB635" s="279">
        <v>708.33</v>
      </c>
      <c r="AC635" s="279">
        <v>708.33</v>
      </c>
      <c r="AD635" s="279">
        <v>708.33</v>
      </c>
      <c r="AE635" s="279">
        <v>708.33</v>
      </c>
      <c r="AF635" s="279">
        <v>708.33</v>
      </c>
      <c r="AG635" s="279">
        <v>708.33</v>
      </c>
      <c r="AH635" s="279">
        <v>708.33</v>
      </c>
      <c r="AI635" s="279">
        <v>708.33</v>
      </c>
      <c r="AJ635" s="279">
        <v>708.33</v>
      </c>
      <c r="AK635" s="279">
        <v>708.33</v>
      </c>
      <c r="AL635" s="279">
        <v>708.33</v>
      </c>
      <c r="AM635" s="279">
        <v>888.37</v>
      </c>
      <c r="AN635" s="224" t="e">
        <f>SUM(#REF!)</f>
        <v>#REF!</v>
      </c>
      <c r="AO635" s="224">
        <f t="shared" si="73"/>
        <v>8680</v>
      </c>
      <c r="AP635" s="224" t="e">
        <f t="shared" si="79"/>
        <v>#REF!</v>
      </c>
      <c r="AQ635" s="224"/>
      <c r="AR635" s="224"/>
      <c r="AS635" s="224"/>
      <c r="AT635" s="224" t="str">
        <f>IFERROR(VLOOKUP($A635,'Constancias POA'!$A$2:$DH$9993,17,FALSE),"")</f>
        <v/>
      </c>
      <c r="AU635" s="224" t="str">
        <f t="shared" si="74"/>
        <v/>
      </c>
      <c r="AV635" s="224" t="str">
        <f>IFERROR(VLOOKUP($A635,CP!$A$1:$U$7992,18,FALSE),"")</f>
        <v/>
      </c>
      <c r="AW635" s="224" t="str">
        <f>IFERROR(VLOOKUP($A635,CP!$A$1:$U$7992,19,FALSE),"")</f>
        <v/>
      </c>
      <c r="AX635" s="224" t="str">
        <f>IFERROR(VLOOKUP($A635,CP!$A$1:$U$7992,20,FALSE),"")</f>
        <v/>
      </c>
      <c r="AY635" s="224" t="str">
        <f>IFERROR(VLOOKUP($A635,CP!$A$1:$U$1,21,FALSE),"")</f>
        <v/>
      </c>
      <c r="AZ635" s="224" t="str">
        <f>IFERROR(VLOOKUP(A635,Devengado!$A$1:AJ1,35,FALSE),"")</f>
        <v/>
      </c>
      <c r="BA635" s="224" t="str">
        <f t="shared" si="75"/>
        <v/>
      </c>
      <c r="BB635" s="224" t="str">
        <f>IFERROR(AZ635/#REF!,"")</f>
        <v/>
      </c>
      <c r="BC635" s="224" t="str">
        <f>IFERROR(VLOOKUP($A635,Devengado!$A$1:$AI$1,22,FALSE),"")</f>
        <v/>
      </c>
      <c r="BD635" s="224" t="str">
        <f>IFERROR(VLOOKUP($A635,Devengado!$A$1:$AI$1,23,FALSE),"")</f>
        <v/>
      </c>
      <c r="BE635" s="224" t="str">
        <f>IFERROR(VLOOKUP($A635,Devengado!$A$1:$AI$1,24,FALSE),"")</f>
        <v/>
      </c>
      <c r="BF635" s="224" t="str">
        <f>IFERROR(VLOOKUP($A635,Devengado!$A$1:$AI$1,25,FALSE),"")</f>
        <v/>
      </c>
      <c r="BG635" s="224" t="str">
        <f>IFERROR(VLOOKUP($A635,Devengado!$A$1:$AI$1,26,FALSE),"")</f>
        <v/>
      </c>
      <c r="BH635" s="224" t="str">
        <f>IFERROR(VLOOKUP($A635,Devengado!$A$1:$AI$1,27,FALSE),"")</f>
        <v/>
      </c>
      <c r="BI635" s="224" t="str">
        <f>IFERROR(VLOOKUP($A635,Devengado!$A$1:$AI$1,28,FALSE),"")</f>
        <v/>
      </c>
      <c r="BJ635" s="224" t="str">
        <f>IFERROR(VLOOKUP($A635,Devengado!$A$1:$AI$1,29,FALSE),"")</f>
        <v/>
      </c>
      <c r="BK635" s="224" t="str">
        <f>IFERROR(VLOOKUP($A635,Devengado!$A$1:$AI$1,30,FALSE),"")</f>
        <v/>
      </c>
      <c r="BL635" s="224" t="str">
        <f>IFERROR(VLOOKUP($A635,Devengado!$A$1:$AI$1,31,FALSE),"")</f>
        <v/>
      </c>
      <c r="BM635" s="224" t="str">
        <f>IFERROR(VLOOKUP($A635,Devengado!$A$1:$AI$1,32,FALSE),"")</f>
        <v/>
      </c>
      <c r="BN635" s="224" t="str">
        <f>IFERROR(VLOOKUP($A635,Devengado!$A$1:$AI$1,33,FALSE),"")</f>
        <v/>
      </c>
      <c r="BO635" s="224">
        <f t="shared" si="76"/>
        <v>0</v>
      </c>
      <c r="BP635" s="224" t="str">
        <f t="shared" si="77"/>
        <v/>
      </c>
      <c r="BQ635" s="207"/>
      <c r="BR635" s="207" t="str">
        <f t="shared" si="78"/>
        <v>51</v>
      </c>
    </row>
    <row r="636" spans="1:70" s="225" customFormat="1" ht="25.5" customHeight="1">
      <c r="A636" s="207">
        <v>632</v>
      </c>
      <c r="B636" s="112" t="s">
        <v>621</v>
      </c>
      <c r="C636" s="112" t="s">
        <v>77</v>
      </c>
      <c r="D636" s="112" t="s">
        <v>77</v>
      </c>
      <c r="E636" s="112" t="s">
        <v>76</v>
      </c>
      <c r="F636" s="112" t="s">
        <v>77</v>
      </c>
      <c r="G636" s="112" t="s">
        <v>77</v>
      </c>
      <c r="H636" s="112" t="s">
        <v>77</v>
      </c>
      <c r="I636" s="112" t="s">
        <v>77</v>
      </c>
      <c r="J636" s="112" t="s">
        <v>77</v>
      </c>
      <c r="K636" s="112" t="s">
        <v>77</v>
      </c>
      <c r="L636" s="112" t="s">
        <v>85</v>
      </c>
      <c r="M636" s="112" t="s">
        <v>628</v>
      </c>
      <c r="N636" s="114" t="s">
        <v>623</v>
      </c>
      <c r="O636" s="123">
        <v>80</v>
      </c>
      <c r="P636" s="114" t="s">
        <v>81</v>
      </c>
      <c r="Q636" s="114" t="s">
        <v>112</v>
      </c>
      <c r="R636" s="115" t="str">
        <f t="shared" si="72"/>
        <v>51</v>
      </c>
      <c r="S636" s="112">
        <v>510401</v>
      </c>
      <c r="T636" s="122" t="str">
        <f>VLOOKUP(S636,ITEM!$C$1:$D$156,2,FALSE)</f>
        <v>Por Cargas Familiares</v>
      </c>
      <c r="U636" s="112">
        <v>100</v>
      </c>
      <c r="V636" s="114" t="s">
        <v>82</v>
      </c>
      <c r="W636" s="114" t="s">
        <v>84</v>
      </c>
      <c r="X636" s="114" t="s">
        <v>84</v>
      </c>
      <c r="Y636" s="224" t="e">
        <f>'Matriz POA 2024-TRABAJO'!#REF!</f>
        <v>#REF!</v>
      </c>
      <c r="Z636" s="224" t="e">
        <f>'Matriz POA 2024-TRABAJO'!#REF!</f>
        <v>#REF!</v>
      </c>
      <c r="AA636" s="224" t="e">
        <f>'Matriz POA 2024-TRABAJO'!#REF!</f>
        <v>#REF!</v>
      </c>
      <c r="AB636" s="279">
        <v>25</v>
      </c>
      <c r="AC636" s="279">
        <v>25</v>
      </c>
      <c r="AD636" s="279">
        <v>25</v>
      </c>
      <c r="AE636" s="279">
        <v>25</v>
      </c>
      <c r="AF636" s="279">
        <v>25</v>
      </c>
      <c r="AG636" s="279">
        <v>25</v>
      </c>
      <c r="AH636" s="279">
        <v>25</v>
      </c>
      <c r="AI636" s="279">
        <v>25</v>
      </c>
      <c r="AJ636" s="279">
        <v>25</v>
      </c>
      <c r="AK636" s="279">
        <v>25</v>
      </c>
      <c r="AL636" s="279">
        <v>8.6900000000000013</v>
      </c>
      <c r="AM636" s="279">
        <v>0</v>
      </c>
      <c r="AN636" s="224" t="e">
        <f>SUM(#REF!)</f>
        <v>#REF!</v>
      </c>
      <c r="AO636" s="224">
        <f t="shared" si="73"/>
        <v>258.69</v>
      </c>
      <c r="AP636" s="224" t="e">
        <f t="shared" si="79"/>
        <v>#REF!</v>
      </c>
      <c r="AQ636" s="224"/>
      <c r="AR636" s="224"/>
      <c r="AS636" s="224"/>
      <c r="AT636" s="224" t="str">
        <f>IFERROR(VLOOKUP($A636,'Constancias POA'!$A$2:$DH$9993,17,FALSE),"")</f>
        <v/>
      </c>
      <c r="AU636" s="224" t="str">
        <f t="shared" si="74"/>
        <v/>
      </c>
      <c r="AV636" s="224" t="str">
        <f>IFERROR(VLOOKUP($A636,CP!$A$1:$U$7992,18,FALSE),"")</f>
        <v/>
      </c>
      <c r="AW636" s="224" t="str">
        <f>IFERROR(VLOOKUP($A636,CP!$A$1:$U$7992,19,FALSE),"")</f>
        <v/>
      </c>
      <c r="AX636" s="224" t="str">
        <f>IFERROR(VLOOKUP($A636,CP!$A$1:$U$7992,20,FALSE),"")</f>
        <v/>
      </c>
      <c r="AY636" s="224" t="str">
        <f>IFERROR(VLOOKUP($A636,CP!$A$1:$U$1,21,FALSE),"")</f>
        <v/>
      </c>
      <c r="AZ636" s="224" t="str">
        <f>IFERROR(VLOOKUP(A636,Devengado!$A$1:AJ1,35,FALSE),"")</f>
        <v/>
      </c>
      <c r="BA636" s="224" t="str">
        <f t="shared" si="75"/>
        <v/>
      </c>
      <c r="BB636" s="224" t="str">
        <f>IFERROR(AZ636/#REF!,"")</f>
        <v/>
      </c>
      <c r="BC636" s="224" t="str">
        <f>IFERROR(VLOOKUP($A636,Devengado!$A$1:$AI$1,22,FALSE),"")</f>
        <v/>
      </c>
      <c r="BD636" s="224" t="str">
        <f>IFERROR(VLOOKUP($A636,Devengado!$A$1:$AI$1,23,FALSE),"")</f>
        <v/>
      </c>
      <c r="BE636" s="224" t="str">
        <f>IFERROR(VLOOKUP($A636,Devengado!$A$1:$AI$1,24,FALSE),"")</f>
        <v/>
      </c>
      <c r="BF636" s="224" t="str">
        <f>IFERROR(VLOOKUP($A636,Devengado!$A$1:$AI$1,25,FALSE),"")</f>
        <v/>
      </c>
      <c r="BG636" s="224" t="str">
        <f>IFERROR(VLOOKUP($A636,Devengado!$A$1:$AI$1,26,FALSE),"")</f>
        <v/>
      </c>
      <c r="BH636" s="224" t="str">
        <f>IFERROR(VLOOKUP($A636,Devengado!$A$1:$AI$1,27,FALSE),"")</f>
        <v/>
      </c>
      <c r="BI636" s="224" t="str">
        <f>IFERROR(VLOOKUP($A636,Devengado!$A$1:$AI$1,28,FALSE),"")</f>
        <v/>
      </c>
      <c r="BJ636" s="224" t="str">
        <f>IFERROR(VLOOKUP($A636,Devengado!$A$1:$AI$1,29,FALSE),"")</f>
        <v/>
      </c>
      <c r="BK636" s="224" t="str">
        <f>IFERROR(VLOOKUP($A636,Devengado!$A$1:$AI$1,30,FALSE),"")</f>
        <v/>
      </c>
      <c r="BL636" s="224" t="str">
        <f>IFERROR(VLOOKUP($A636,Devengado!$A$1:$AI$1,31,FALSE),"")</f>
        <v/>
      </c>
      <c r="BM636" s="224" t="str">
        <f>IFERROR(VLOOKUP($A636,Devengado!$A$1:$AI$1,32,FALSE),"")</f>
        <v/>
      </c>
      <c r="BN636" s="224" t="str">
        <f>IFERROR(VLOOKUP($A636,Devengado!$A$1:$AI$1,33,FALSE),"")</f>
        <v/>
      </c>
      <c r="BO636" s="224">
        <f t="shared" si="76"/>
        <v>0</v>
      </c>
      <c r="BP636" s="224" t="str">
        <f t="shared" si="77"/>
        <v/>
      </c>
      <c r="BQ636" s="207"/>
      <c r="BR636" s="207" t="str">
        <f t="shared" si="78"/>
        <v>51</v>
      </c>
    </row>
    <row r="637" spans="1:70" s="225" customFormat="1" ht="25.5" customHeight="1">
      <c r="A637" s="207">
        <v>633</v>
      </c>
      <c r="B637" s="112" t="s">
        <v>621</v>
      </c>
      <c r="C637" s="112" t="s">
        <v>77</v>
      </c>
      <c r="D637" s="112" t="s">
        <v>77</v>
      </c>
      <c r="E637" s="112" t="s">
        <v>76</v>
      </c>
      <c r="F637" s="112" t="s">
        <v>77</v>
      </c>
      <c r="G637" s="112" t="s">
        <v>77</v>
      </c>
      <c r="H637" s="112" t="s">
        <v>77</v>
      </c>
      <c r="I637" s="112" t="s">
        <v>77</v>
      </c>
      <c r="J637" s="112" t="s">
        <v>77</v>
      </c>
      <c r="K637" s="112" t="s">
        <v>77</v>
      </c>
      <c r="L637" s="112" t="s">
        <v>87</v>
      </c>
      <c r="M637" s="112" t="s">
        <v>629</v>
      </c>
      <c r="N637" s="114" t="s">
        <v>623</v>
      </c>
      <c r="O637" s="123">
        <v>80</v>
      </c>
      <c r="P637" s="114" t="s">
        <v>81</v>
      </c>
      <c r="Q637" s="114" t="s">
        <v>112</v>
      </c>
      <c r="R637" s="115" t="str">
        <f t="shared" si="72"/>
        <v>51</v>
      </c>
      <c r="S637" s="112">
        <v>510408</v>
      </c>
      <c r="T637" s="122" t="str">
        <f>VLOOKUP(S637,ITEM!$C$1:$D$156,2,FALSE)</f>
        <v>Subsidio de Antigüedad</v>
      </c>
      <c r="U637" s="112">
        <v>100</v>
      </c>
      <c r="V637" s="114" t="s">
        <v>82</v>
      </c>
      <c r="W637" s="114" t="s">
        <v>84</v>
      </c>
      <c r="X637" s="114" t="s">
        <v>84</v>
      </c>
      <c r="Y637" s="224" t="e">
        <f>'Matriz POA 2024-TRABAJO'!#REF!</f>
        <v>#REF!</v>
      </c>
      <c r="Z637" s="224" t="e">
        <f>'Matriz POA 2024-TRABAJO'!#REF!</f>
        <v>#REF!</v>
      </c>
      <c r="AA637" s="224" t="e">
        <f>'Matriz POA 2024-TRABAJO'!#REF!</f>
        <v>#REF!</v>
      </c>
      <c r="AB637" s="279">
        <v>30.6</v>
      </c>
      <c r="AC637" s="279">
        <v>30.59</v>
      </c>
      <c r="AD637" s="279">
        <v>30.59</v>
      </c>
      <c r="AE637" s="279">
        <v>30.59</v>
      </c>
      <c r="AF637" s="279">
        <v>30.59</v>
      </c>
      <c r="AG637" s="279">
        <v>30.59</v>
      </c>
      <c r="AH637" s="279">
        <v>30.59</v>
      </c>
      <c r="AI637" s="279">
        <v>30.59</v>
      </c>
      <c r="AJ637" s="279">
        <v>30.59</v>
      </c>
      <c r="AK637" s="279">
        <v>30.59</v>
      </c>
      <c r="AL637" s="279">
        <v>30.59</v>
      </c>
      <c r="AM637" s="279">
        <v>30.53</v>
      </c>
      <c r="AN637" s="224" t="e">
        <f>SUM(#REF!)</f>
        <v>#REF!</v>
      </c>
      <c r="AO637" s="224">
        <f t="shared" si="73"/>
        <v>367.03</v>
      </c>
      <c r="AP637" s="224" t="e">
        <f t="shared" si="79"/>
        <v>#REF!</v>
      </c>
      <c r="AQ637" s="224"/>
      <c r="AR637" s="224"/>
      <c r="AS637" s="224"/>
      <c r="AT637" s="224" t="str">
        <f>IFERROR(VLOOKUP($A637,'Constancias POA'!$A$2:$DH$9993,17,FALSE),"")</f>
        <v/>
      </c>
      <c r="AU637" s="224" t="str">
        <f t="shared" si="74"/>
        <v/>
      </c>
      <c r="AV637" s="224" t="str">
        <f>IFERROR(VLOOKUP($A637,CP!$A$1:$U$7992,18,FALSE),"")</f>
        <v/>
      </c>
      <c r="AW637" s="224" t="str">
        <f>IFERROR(VLOOKUP($A637,CP!$A$1:$U$7992,19,FALSE),"")</f>
        <v/>
      </c>
      <c r="AX637" s="224" t="str">
        <f>IFERROR(VLOOKUP($A637,CP!$A$1:$U$7992,20,FALSE),"")</f>
        <v/>
      </c>
      <c r="AY637" s="224" t="str">
        <f>IFERROR(VLOOKUP($A637,CP!$A$1:$U$1,21,FALSE),"")</f>
        <v/>
      </c>
      <c r="AZ637" s="224" t="str">
        <f>IFERROR(VLOOKUP(A637,Devengado!$A$1:AJ1,35,FALSE),"")</f>
        <v/>
      </c>
      <c r="BA637" s="224" t="str">
        <f t="shared" si="75"/>
        <v/>
      </c>
      <c r="BB637" s="224" t="str">
        <f>IFERROR(AZ637/#REF!,"")</f>
        <v/>
      </c>
      <c r="BC637" s="224" t="str">
        <f>IFERROR(VLOOKUP($A637,Devengado!$A$1:$AI$1,22,FALSE),"")</f>
        <v/>
      </c>
      <c r="BD637" s="224" t="str">
        <f>IFERROR(VLOOKUP($A637,Devengado!$A$1:$AI$1,23,FALSE),"")</f>
        <v/>
      </c>
      <c r="BE637" s="224" t="str">
        <f>IFERROR(VLOOKUP($A637,Devengado!$A$1:$AI$1,24,FALSE),"")</f>
        <v/>
      </c>
      <c r="BF637" s="224" t="str">
        <f>IFERROR(VLOOKUP($A637,Devengado!$A$1:$AI$1,25,FALSE),"")</f>
        <v/>
      </c>
      <c r="BG637" s="224" t="str">
        <f>IFERROR(VLOOKUP($A637,Devengado!$A$1:$AI$1,26,FALSE),"")</f>
        <v/>
      </c>
      <c r="BH637" s="224" t="str">
        <f>IFERROR(VLOOKUP($A637,Devengado!$A$1:$AI$1,27,FALSE),"")</f>
        <v/>
      </c>
      <c r="BI637" s="224" t="str">
        <f>IFERROR(VLOOKUP($A637,Devengado!$A$1:$AI$1,28,FALSE),"")</f>
        <v/>
      </c>
      <c r="BJ637" s="224" t="str">
        <f>IFERROR(VLOOKUP($A637,Devengado!$A$1:$AI$1,29,FALSE),"")</f>
        <v/>
      </c>
      <c r="BK637" s="224" t="str">
        <f>IFERROR(VLOOKUP($A637,Devengado!$A$1:$AI$1,30,FALSE),"")</f>
        <v/>
      </c>
      <c r="BL637" s="224" t="str">
        <f>IFERROR(VLOOKUP($A637,Devengado!$A$1:$AI$1,31,FALSE),"")</f>
        <v/>
      </c>
      <c r="BM637" s="224" t="str">
        <f>IFERROR(VLOOKUP($A637,Devengado!$A$1:$AI$1,32,FALSE),"")</f>
        <v/>
      </c>
      <c r="BN637" s="224" t="str">
        <f>IFERROR(VLOOKUP($A637,Devengado!$A$1:$AI$1,33,FALSE),"")</f>
        <v/>
      </c>
      <c r="BO637" s="224">
        <f t="shared" si="76"/>
        <v>0</v>
      </c>
      <c r="BP637" s="224" t="str">
        <f t="shared" si="77"/>
        <v/>
      </c>
      <c r="BQ637" s="207"/>
      <c r="BR637" s="207" t="str">
        <f t="shared" si="78"/>
        <v>51</v>
      </c>
    </row>
    <row r="638" spans="1:70" s="225" customFormat="1" ht="25.5" customHeight="1">
      <c r="A638" s="207">
        <v>634</v>
      </c>
      <c r="B638" s="112" t="s">
        <v>621</v>
      </c>
      <c r="C638" s="112" t="s">
        <v>77</v>
      </c>
      <c r="D638" s="112" t="s">
        <v>77</v>
      </c>
      <c r="E638" s="112" t="s">
        <v>76</v>
      </c>
      <c r="F638" s="112" t="s">
        <v>77</v>
      </c>
      <c r="G638" s="112" t="s">
        <v>77</v>
      </c>
      <c r="H638" s="112" t="s">
        <v>77</v>
      </c>
      <c r="I638" s="112" t="s">
        <v>77</v>
      </c>
      <c r="J638" s="112" t="s">
        <v>77</v>
      </c>
      <c r="K638" s="112" t="s">
        <v>77</v>
      </c>
      <c r="L638" s="112" t="s">
        <v>85</v>
      </c>
      <c r="M638" s="112" t="s">
        <v>630</v>
      </c>
      <c r="N638" s="114" t="s">
        <v>623</v>
      </c>
      <c r="O638" s="123">
        <v>80</v>
      </c>
      <c r="P638" s="114" t="s">
        <v>81</v>
      </c>
      <c r="Q638" s="114" t="s">
        <v>112</v>
      </c>
      <c r="R638" s="115" t="str">
        <f t="shared" si="72"/>
        <v>51</v>
      </c>
      <c r="S638" s="112">
        <v>510510</v>
      </c>
      <c r="T638" s="122" t="str">
        <f>VLOOKUP(S638,ITEM!$C$1:$D$156,2,FALSE)</f>
        <v>Servicios Personales por Contrato</v>
      </c>
      <c r="U638" s="112">
        <v>100</v>
      </c>
      <c r="V638" s="114" t="s">
        <v>82</v>
      </c>
      <c r="W638" s="114" t="s">
        <v>84</v>
      </c>
      <c r="X638" s="114" t="s">
        <v>84</v>
      </c>
      <c r="Y638" s="224" t="e">
        <f>'Matriz POA 2024-TRABAJO'!#REF!</f>
        <v>#REF!</v>
      </c>
      <c r="Z638" s="224" t="e">
        <f>'Matriz POA 2024-TRABAJO'!#REF!</f>
        <v>#REF!</v>
      </c>
      <c r="AA638" s="224" t="e">
        <f>'Matriz POA 2024-TRABAJO'!#REF!</f>
        <v>#REF!</v>
      </c>
      <c r="AB638" s="279">
        <v>9423.2000000000007</v>
      </c>
      <c r="AC638" s="279">
        <v>9423.2000000000007</v>
      </c>
      <c r="AD638" s="279">
        <v>9423.2000000000007</v>
      </c>
      <c r="AE638" s="279">
        <v>9423.2000000000007</v>
      </c>
      <c r="AF638" s="279">
        <v>9423.2000000000007</v>
      </c>
      <c r="AG638" s="279">
        <v>9423.2000000000007</v>
      </c>
      <c r="AH638" s="279">
        <v>9423.2000000000007</v>
      </c>
      <c r="AI638" s="279">
        <v>9423.2000000000007</v>
      </c>
      <c r="AJ638" s="279">
        <v>9423.2000000000007</v>
      </c>
      <c r="AK638" s="279">
        <v>9423.2000000000007</v>
      </c>
      <c r="AL638" s="279">
        <v>9423.2000000000007</v>
      </c>
      <c r="AM638" s="279">
        <v>9423.16</v>
      </c>
      <c r="AN638" s="224" t="e">
        <f>SUM(#REF!)</f>
        <v>#REF!</v>
      </c>
      <c r="AO638" s="224">
        <f t="shared" si="73"/>
        <v>113078.35999999999</v>
      </c>
      <c r="AP638" s="224" t="e">
        <f t="shared" si="79"/>
        <v>#REF!</v>
      </c>
      <c r="AQ638" s="224"/>
      <c r="AR638" s="224"/>
      <c r="AS638" s="224"/>
      <c r="AT638" s="224" t="str">
        <f>IFERROR(VLOOKUP($A638,'Constancias POA'!$A$2:$DH$9993,17,FALSE),"")</f>
        <v/>
      </c>
      <c r="AU638" s="224" t="str">
        <f t="shared" si="74"/>
        <v/>
      </c>
      <c r="AV638" s="224" t="str">
        <f>IFERROR(VLOOKUP($A638,CP!$A$1:$U$7992,18,FALSE),"")</f>
        <v/>
      </c>
      <c r="AW638" s="224" t="str">
        <f>IFERROR(VLOOKUP($A638,CP!$A$1:$U$7992,19,FALSE),"")</f>
        <v/>
      </c>
      <c r="AX638" s="224" t="str">
        <f>IFERROR(VLOOKUP($A638,CP!$A$1:$U$7992,20,FALSE),"")</f>
        <v/>
      </c>
      <c r="AY638" s="224" t="str">
        <f>IFERROR(VLOOKUP($A638,CP!$A$1:$U$1,21,FALSE),"")</f>
        <v/>
      </c>
      <c r="AZ638" s="224" t="str">
        <f>IFERROR(VLOOKUP(A638,Devengado!$A$1:AJ1,35,FALSE),"")</f>
        <v/>
      </c>
      <c r="BA638" s="224" t="str">
        <f t="shared" si="75"/>
        <v/>
      </c>
      <c r="BB638" s="224" t="str">
        <f>IFERROR(AZ638/#REF!,"")</f>
        <v/>
      </c>
      <c r="BC638" s="224" t="str">
        <f>IFERROR(VLOOKUP($A638,Devengado!$A$1:$AI$1,22,FALSE),"")</f>
        <v/>
      </c>
      <c r="BD638" s="224" t="str">
        <f>IFERROR(VLOOKUP($A638,Devengado!$A$1:$AI$1,23,FALSE),"")</f>
        <v/>
      </c>
      <c r="BE638" s="224" t="str">
        <f>IFERROR(VLOOKUP($A638,Devengado!$A$1:$AI$1,24,FALSE),"")</f>
        <v/>
      </c>
      <c r="BF638" s="224" t="str">
        <f>IFERROR(VLOOKUP($A638,Devengado!$A$1:$AI$1,25,FALSE),"")</f>
        <v/>
      </c>
      <c r="BG638" s="224" t="str">
        <f>IFERROR(VLOOKUP($A638,Devengado!$A$1:$AI$1,26,FALSE),"")</f>
        <v/>
      </c>
      <c r="BH638" s="224" t="str">
        <f>IFERROR(VLOOKUP($A638,Devengado!$A$1:$AI$1,27,FALSE),"")</f>
        <v/>
      </c>
      <c r="BI638" s="224" t="str">
        <f>IFERROR(VLOOKUP($A638,Devengado!$A$1:$AI$1,28,FALSE),"")</f>
        <v/>
      </c>
      <c r="BJ638" s="224" t="str">
        <f>IFERROR(VLOOKUP($A638,Devengado!$A$1:$AI$1,29,FALSE),"")</f>
        <v/>
      </c>
      <c r="BK638" s="224" t="str">
        <f>IFERROR(VLOOKUP($A638,Devengado!$A$1:$AI$1,30,FALSE),"")</f>
        <v/>
      </c>
      <c r="BL638" s="224" t="str">
        <f>IFERROR(VLOOKUP($A638,Devengado!$A$1:$AI$1,31,FALSE),"")</f>
        <v/>
      </c>
      <c r="BM638" s="224" t="str">
        <f>IFERROR(VLOOKUP($A638,Devengado!$A$1:$AI$1,32,FALSE),"")</f>
        <v/>
      </c>
      <c r="BN638" s="224" t="str">
        <f>IFERROR(VLOOKUP($A638,Devengado!$A$1:$AI$1,33,FALSE),"")</f>
        <v/>
      </c>
      <c r="BO638" s="224">
        <f t="shared" si="76"/>
        <v>0</v>
      </c>
      <c r="BP638" s="224" t="str">
        <f t="shared" si="77"/>
        <v/>
      </c>
      <c r="BQ638" s="207"/>
      <c r="BR638" s="207" t="str">
        <f t="shared" si="78"/>
        <v>51</v>
      </c>
    </row>
    <row r="639" spans="1:70" s="225" customFormat="1" ht="25.5" customHeight="1">
      <c r="A639" s="207">
        <v>635</v>
      </c>
      <c r="B639" s="112" t="s">
        <v>621</v>
      </c>
      <c r="C639" s="112" t="s">
        <v>77</v>
      </c>
      <c r="D639" s="112" t="s">
        <v>77</v>
      </c>
      <c r="E639" s="112" t="s">
        <v>76</v>
      </c>
      <c r="F639" s="112" t="s">
        <v>77</v>
      </c>
      <c r="G639" s="112" t="s">
        <v>77</v>
      </c>
      <c r="H639" s="112" t="s">
        <v>77</v>
      </c>
      <c r="I639" s="112" t="s">
        <v>77</v>
      </c>
      <c r="J639" s="112" t="s">
        <v>77</v>
      </c>
      <c r="K639" s="112" t="s">
        <v>77</v>
      </c>
      <c r="L639" s="112" t="s">
        <v>85</v>
      </c>
      <c r="M639" s="112" t="s">
        <v>631</v>
      </c>
      <c r="N639" s="114" t="s">
        <v>623</v>
      </c>
      <c r="O639" s="123">
        <v>80</v>
      </c>
      <c r="P639" s="114" t="s">
        <v>81</v>
      </c>
      <c r="Q639" s="114" t="s">
        <v>112</v>
      </c>
      <c r="R639" s="115" t="str">
        <f t="shared" si="72"/>
        <v>51</v>
      </c>
      <c r="S639" s="112">
        <v>510601</v>
      </c>
      <c r="T639" s="122" t="str">
        <f>VLOOKUP(S639,ITEM!$C$1:$D$156,2,FALSE)</f>
        <v>Aporte Patronal</v>
      </c>
      <c r="U639" s="112">
        <v>100</v>
      </c>
      <c r="V639" s="114" t="s">
        <v>82</v>
      </c>
      <c r="W639" s="114" t="s">
        <v>84</v>
      </c>
      <c r="X639" s="114" t="s">
        <v>84</v>
      </c>
      <c r="Y639" s="224" t="e">
        <f>'Matriz POA 2024-TRABAJO'!#REF!</f>
        <v>#REF!</v>
      </c>
      <c r="Z639" s="224" t="e">
        <f>'Matriz POA 2024-TRABAJO'!#REF!</f>
        <v>#REF!</v>
      </c>
      <c r="AA639" s="224" t="e">
        <f>'Matriz POA 2024-TRABAJO'!#REF!</f>
        <v>#REF!</v>
      </c>
      <c r="AB639" s="279">
        <v>3436.54</v>
      </c>
      <c r="AC639" s="279">
        <v>3436.54</v>
      </c>
      <c r="AD639" s="279">
        <v>3436.54</v>
      </c>
      <c r="AE639" s="279">
        <v>3436.54</v>
      </c>
      <c r="AF639" s="279">
        <v>3436.54</v>
      </c>
      <c r="AG639" s="279">
        <v>3436.54</v>
      </c>
      <c r="AH639" s="279">
        <v>3436.54</v>
      </c>
      <c r="AI639" s="279">
        <v>3436.54</v>
      </c>
      <c r="AJ639" s="279">
        <v>3436.54</v>
      </c>
      <c r="AK639" s="279">
        <v>3436.54</v>
      </c>
      <c r="AL639" s="279">
        <v>3436.54</v>
      </c>
      <c r="AM639" s="279">
        <v>3392.69</v>
      </c>
      <c r="AN639" s="224" t="e">
        <f>SUM(#REF!)</f>
        <v>#REF!</v>
      </c>
      <c r="AO639" s="224">
        <f t="shared" si="73"/>
        <v>41194.630000000005</v>
      </c>
      <c r="AP639" s="224" t="e">
        <f t="shared" si="79"/>
        <v>#REF!</v>
      </c>
      <c r="AQ639" s="224"/>
      <c r="AR639" s="224"/>
      <c r="AS639" s="224"/>
      <c r="AT639" s="224" t="str">
        <f>IFERROR(VLOOKUP($A639,'Constancias POA'!$A$2:$DH$9993,17,FALSE),"")</f>
        <v/>
      </c>
      <c r="AU639" s="224" t="str">
        <f t="shared" si="74"/>
        <v/>
      </c>
      <c r="AV639" s="224" t="str">
        <f>IFERROR(VLOOKUP($A639,CP!$A$1:$U$7992,18,FALSE),"")</f>
        <v/>
      </c>
      <c r="AW639" s="224" t="str">
        <f>IFERROR(VLOOKUP($A639,CP!$A$1:$U$7992,19,FALSE),"")</f>
        <v/>
      </c>
      <c r="AX639" s="224" t="str">
        <f>IFERROR(VLOOKUP($A639,CP!$A$1:$U$7992,20,FALSE),"")</f>
        <v/>
      </c>
      <c r="AY639" s="224" t="str">
        <f>IFERROR(VLOOKUP($A639,CP!$A$1:$U$1,21,FALSE),"")</f>
        <v/>
      </c>
      <c r="AZ639" s="224" t="str">
        <f>IFERROR(VLOOKUP(A639,Devengado!$A$1:AJ1,35,FALSE),"")</f>
        <v/>
      </c>
      <c r="BA639" s="224" t="str">
        <f t="shared" si="75"/>
        <v/>
      </c>
      <c r="BB639" s="224" t="str">
        <f>IFERROR(AZ639/#REF!,"")</f>
        <v/>
      </c>
      <c r="BC639" s="224" t="str">
        <f>IFERROR(VLOOKUP($A639,Devengado!$A$1:$AI$1,22,FALSE),"")</f>
        <v/>
      </c>
      <c r="BD639" s="224" t="str">
        <f>IFERROR(VLOOKUP($A639,Devengado!$A$1:$AI$1,23,FALSE),"")</f>
        <v/>
      </c>
      <c r="BE639" s="224" t="str">
        <f>IFERROR(VLOOKUP($A639,Devengado!$A$1:$AI$1,24,FALSE),"")</f>
        <v/>
      </c>
      <c r="BF639" s="224" t="str">
        <f>IFERROR(VLOOKUP($A639,Devengado!$A$1:$AI$1,25,FALSE),"")</f>
        <v/>
      </c>
      <c r="BG639" s="224" t="str">
        <f>IFERROR(VLOOKUP($A639,Devengado!$A$1:$AI$1,26,FALSE),"")</f>
        <v/>
      </c>
      <c r="BH639" s="224" t="str">
        <f>IFERROR(VLOOKUP($A639,Devengado!$A$1:$AI$1,27,FALSE),"")</f>
        <v/>
      </c>
      <c r="BI639" s="224" t="str">
        <f>IFERROR(VLOOKUP($A639,Devengado!$A$1:$AI$1,28,FALSE),"")</f>
        <v/>
      </c>
      <c r="BJ639" s="224" t="str">
        <f>IFERROR(VLOOKUP($A639,Devengado!$A$1:$AI$1,29,FALSE),"")</f>
        <v/>
      </c>
      <c r="BK639" s="224" t="str">
        <f>IFERROR(VLOOKUP($A639,Devengado!$A$1:$AI$1,30,FALSE),"")</f>
        <v/>
      </c>
      <c r="BL639" s="224" t="str">
        <f>IFERROR(VLOOKUP($A639,Devengado!$A$1:$AI$1,31,FALSE),"")</f>
        <v/>
      </c>
      <c r="BM639" s="224" t="str">
        <f>IFERROR(VLOOKUP($A639,Devengado!$A$1:$AI$1,32,FALSE),"")</f>
        <v/>
      </c>
      <c r="BN639" s="224" t="str">
        <f>IFERROR(VLOOKUP($A639,Devengado!$A$1:$AI$1,33,FALSE),"")</f>
        <v/>
      </c>
      <c r="BO639" s="224">
        <f t="shared" si="76"/>
        <v>0</v>
      </c>
      <c r="BP639" s="224" t="str">
        <f t="shared" si="77"/>
        <v/>
      </c>
      <c r="BQ639" s="207"/>
      <c r="BR639" s="207" t="str">
        <f t="shared" si="78"/>
        <v>51</v>
      </c>
    </row>
    <row r="640" spans="1:70" s="225" customFormat="1" ht="25.5" customHeight="1">
      <c r="A640" s="207">
        <v>636</v>
      </c>
      <c r="B640" s="112" t="s">
        <v>621</v>
      </c>
      <c r="C640" s="112" t="s">
        <v>77</v>
      </c>
      <c r="D640" s="112" t="s">
        <v>77</v>
      </c>
      <c r="E640" s="112" t="s">
        <v>76</v>
      </c>
      <c r="F640" s="112" t="s">
        <v>77</v>
      </c>
      <c r="G640" s="112" t="s">
        <v>77</v>
      </c>
      <c r="H640" s="112" t="s">
        <v>77</v>
      </c>
      <c r="I640" s="112" t="s">
        <v>77</v>
      </c>
      <c r="J640" s="112" t="s">
        <v>77</v>
      </c>
      <c r="K640" s="112" t="s">
        <v>77</v>
      </c>
      <c r="L640" s="112" t="s">
        <v>85</v>
      </c>
      <c r="M640" s="112" t="s">
        <v>632</v>
      </c>
      <c r="N640" s="114" t="s">
        <v>623</v>
      </c>
      <c r="O640" s="123">
        <v>80</v>
      </c>
      <c r="P640" s="114" t="s">
        <v>81</v>
      </c>
      <c r="Q640" s="114" t="s">
        <v>112</v>
      </c>
      <c r="R640" s="115" t="str">
        <f t="shared" si="72"/>
        <v>51</v>
      </c>
      <c r="S640" s="112">
        <v>510602</v>
      </c>
      <c r="T640" s="122" t="str">
        <f>VLOOKUP(S640,ITEM!$C$1:$D$156,2,FALSE)</f>
        <v>Fondo de Reserva</v>
      </c>
      <c r="U640" s="112">
        <v>100</v>
      </c>
      <c r="V640" s="114" t="s">
        <v>82</v>
      </c>
      <c r="W640" s="114" t="s">
        <v>84</v>
      </c>
      <c r="X640" s="114" t="s">
        <v>84</v>
      </c>
      <c r="Y640" s="224" t="e">
        <f>'Matriz POA 2024-TRABAJO'!#REF!</f>
        <v>#REF!</v>
      </c>
      <c r="Z640" s="224" t="e">
        <f>'Matriz POA 2024-TRABAJO'!#REF!</f>
        <v>#REF!</v>
      </c>
      <c r="AA640" s="224" t="e">
        <f>'Matriz POA 2024-TRABAJO'!#REF!</f>
        <v>#REF!</v>
      </c>
      <c r="AB640" s="279">
        <v>2807.19</v>
      </c>
      <c r="AC640" s="279">
        <v>2807.19</v>
      </c>
      <c r="AD640" s="279">
        <v>2807.19</v>
      </c>
      <c r="AE640" s="279">
        <v>2807.19</v>
      </c>
      <c r="AF640" s="279">
        <v>2807.19</v>
      </c>
      <c r="AG640" s="279">
        <v>2807.19</v>
      </c>
      <c r="AH640" s="279">
        <v>2807.19</v>
      </c>
      <c r="AI640" s="279">
        <v>2807.19</v>
      </c>
      <c r="AJ640" s="279">
        <v>2807.19</v>
      </c>
      <c r="AK640" s="279">
        <v>2807.19</v>
      </c>
      <c r="AL640" s="279">
        <v>2807.19</v>
      </c>
      <c r="AM640" s="279">
        <v>2807.19</v>
      </c>
      <c r="AN640" s="224" t="e">
        <f>SUM(#REF!)</f>
        <v>#REF!</v>
      </c>
      <c r="AO640" s="224">
        <f t="shared" si="73"/>
        <v>33686.279999999992</v>
      </c>
      <c r="AP640" s="224" t="e">
        <f t="shared" si="79"/>
        <v>#REF!</v>
      </c>
      <c r="AQ640" s="224"/>
      <c r="AR640" s="224"/>
      <c r="AS640" s="224"/>
      <c r="AT640" s="224" t="str">
        <f>IFERROR(VLOOKUP($A640,'Constancias POA'!$A$2:$DH$9993,17,FALSE),"")</f>
        <v/>
      </c>
      <c r="AU640" s="224" t="str">
        <f t="shared" si="74"/>
        <v/>
      </c>
      <c r="AV640" s="224" t="str">
        <f>IFERROR(VLOOKUP($A640,CP!$A$1:$U$7992,18,FALSE),"")</f>
        <v/>
      </c>
      <c r="AW640" s="224" t="str">
        <f>IFERROR(VLOOKUP($A640,CP!$A$1:$U$7992,19,FALSE),"")</f>
        <v/>
      </c>
      <c r="AX640" s="224" t="str">
        <f>IFERROR(VLOOKUP($A640,CP!$A$1:$U$7992,20,FALSE),"")</f>
        <v/>
      </c>
      <c r="AY640" s="224" t="str">
        <f>IFERROR(VLOOKUP($A640,CP!$A$1:$U$1,21,FALSE),"")</f>
        <v/>
      </c>
      <c r="AZ640" s="224" t="str">
        <f>IFERROR(VLOOKUP(A640,Devengado!$A$1:AJ1,35,FALSE),"")</f>
        <v/>
      </c>
      <c r="BA640" s="224" t="str">
        <f t="shared" si="75"/>
        <v/>
      </c>
      <c r="BB640" s="224" t="str">
        <f>IFERROR(AZ640/#REF!,"")</f>
        <v/>
      </c>
      <c r="BC640" s="224" t="str">
        <f>IFERROR(VLOOKUP($A640,Devengado!$A$1:$AI$1,22,FALSE),"")</f>
        <v/>
      </c>
      <c r="BD640" s="224" t="str">
        <f>IFERROR(VLOOKUP($A640,Devengado!$A$1:$AI$1,23,FALSE),"")</f>
        <v/>
      </c>
      <c r="BE640" s="224" t="str">
        <f>IFERROR(VLOOKUP($A640,Devengado!$A$1:$AI$1,24,FALSE),"")</f>
        <v/>
      </c>
      <c r="BF640" s="224" t="str">
        <f>IFERROR(VLOOKUP($A640,Devengado!$A$1:$AI$1,25,FALSE),"")</f>
        <v/>
      </c>
      <c r="BG640" s="224" t="str">
        <f>IFERROR(VLOOKUP($A640,Devengado!$A$1:$AI$1,26,FALSE),"")</f>
        <v/>
      </c>
      <c r="BH640" s="224" t="str">
        <f>IFERROR(VLOOKUP($A640,Devengado!$A$1:$AI$1,27,FALSE),"")</f>
        <v/>
      </c>
      <c r="BI640" s="224" t="str">
        <f>IFERROR(VLOOKUP($A640,Devengado!$A$1:$AI$1,28,FALSE),"")</f>
        <v/>
      </c>
      <c r="BJ640" s="224" t="str">
        <f>IFERROR(VLOOKUP($A640,Devengado!$A$1:$AI$1,29,FALSE),"")</f>
        <v/>
      </c>
      <c r="BK640" s="224" t="str">
        <f>IFERROR(VLOOKUP($A640,Devengado!$A$1:$AI$1,30,FALSE),"")</f>
        <v/>
      </c>
      <c r="BL640" s="224" t="str">
        <f>IFERROR(VLOOKUP($A640,Devengado!$A$1:$AI$1,31,FALSE),"")</f>
        <v/>
      </c>
      <c r="BM640" s="224" t="str">
        <f>IFERROR(VLOOKUP($A640,Devengado!$A$1:$AI$1,32,FALSE),"")</f>
        <v/>
      </c>
      <c r="BN640" s="224" t="str">
        <f>IFERROR(VLOOKUP($A640,Devengado!$A$1:$AI$1,33,FALSE),"")</f>
        <v/>
      </c>
      <c r="BO640" s="224">
        <f t="shared" si="76"/>
        <v>0</v>
      </c>
      <c r="BP640" s="224" t="str">
        <f t="shared" si="77"/>
        <v/>
      </c>
      <c r="BQ640" s="207"/>
      <c r="BR640" s="207" t="str">
        <f t="shared" si="78"/>
        <v>51</v>
      </c>
    </row>
    <row r="641" spans="1:70" s="225" customFormat="1" ht="25.5" customHeight="1">
      <c r="A641" s="207">
        <v>637</v>
      </c>
      <c r="B641" s="112" t="s">
        <v>621</v>
      </c>
      <c r="C641" s="112" t="s">
        <v>77</v>
      </c>
      <c r="D641" s="112" t="s">
        <v>77</v>
      </c>
      <c r="E641" s="112" t="s">
        <v>76</v>
      </c>
      <c r="F641" s="112" t="s">
        <v>77</v>
      </c>
      <c r="G641" s="112" t="s">
        <v>77</v>
      </c>
      <c r="H641" s="112" t="s">
        <v>77</v>
      </c>
      <c r="I641" s="112" t="s">
        <v>77</v>
      </c>
      <c r="J641" s="112" t="s">
        <v>77</v>
      </c>
      <c r="K641" s="112" t="s">
        <v>77</v>
      </c>
      <c r="L641" s="112" t="s">
        <v>85</v>
      </c>
      <c r="M641" s="112" t="s">
        <v>632</v>
      </c>
      <c r="N641" s="114" t="s">
        <v>623</v>
      </c>
      <c r="O641" s="123">
        <v>80</v>
      </c>
      <c r="P641" s="114" t="s">
        <v>81</v>
      </c>
      <c r="Q641" s="114" t="s">
        <v>112</v>
      </c>
      <c r="R641" s="115" t="str">
        <f t="shared" si="72"/>
        <v>51</v>
      </c>
      <c r="S641" s="112">
        <v>510707</v>
      </c>
      <c r="T641" s="122" t="str">
        <f>VLOOKUP(S641,ITEM!$C$1:$D$156,2,FALSE)</f>
        <v>Compensación por Vacaciones no Gozadas por Cesación de Funciones</v>
      </c>
      <c r="U641" s="112">
        <v>100</v>
      </c>
      <c r="V641" s="114" t="s">
        <v>82</v>
      </c>
      <c r="W641" s="114" t="s">
        <v>84</v>
      </c>
      <c r="X641" s="114" t="s">
        <v>84</v>
      </c>
      <c r="Y641" s="224" t="e">
        <f>'Matriz POA 2024-TRABAJO'!#REF!</f>
        <v>#REF!</v>
      </c>
      <c r="Z641" s="224" t="e">
        <f>'Matriz POA 2024-TRABAJO'!#REF!</f>
        <v>#REF!</v>
      </c>
      <c r="AA641" s="224" t="e">
        <f>'Matriz POA 2024-TRABAJO'!#REF!</f>
        <v>#REF!</v>
      </c>
      <c r="AB641" s="279">
        <v>0</v>
      </c>
      <c r="AC641" s="279">
        <v>0</v>
      </c>
      <c r="AD641" s="279">
        <v>0</v>
      </c>
      <c r="AE641" s="279">
        <v>0</v>
      </c>
      <c r="AF641" s="279">
        <v>0</v>
      </c>
      <c r="AG641" s="279">
        <v>0</v>
      </c>
      <c r="AH641" s="279">
        <v>0</v>
      </c>
      <c r="AI641" s="279">
        <v>0</v>
      </c>
      <c r="AJ641" s="279">
        <v>0</v>
      </c>
      <c r="AK641" s="279">
        <v>0</v>
      </c>
      <c r="AL641" s="279">
        <v>0</v>
      </c>
      <c r="AM641" s="279">
        <v>0</v>
      </c>
      <c r="AN641" s="224" t="e">
        <f>SUM(#REF!)</f>
        <v>#REF!</v>
      </c>
      <c r="AO641" s="224">
        <f t="shared" si="73"/>
        <v>0</v>
      </c>
      <c r="AP641" s="224" t="e">
        <f t="shared" si="79"/>
        <v>#REF!</v>
      </c>
      <c r="AQ641" s="224"/>
      <c r="AR641" s="224"/>
      <c r="AS641" s="224"/>
      <c r="AT641" s="224" t="str">
        <f>IFERROR(VLOOKUP($A641,'Constancias POA'!$A$2:$DH$9993,17,FALSE),"")</f>
        <v/>
      </c>
      <c r="AU641" s="224" t="str">
        <f t="shared" si="74"/>
        <v/>
      </c>
      <c r="AV641" s="224" t="str">
        <f>IFERROR(VLOOKUP($A641,CP!$A$1:$U$7992,18,FALSE),"")</f>
        <v/>
      </c>
      <c r="AW641" s="224" t="str">
        <f>IFERROR(VLOOKUP($A641,CP!$A$1:$U$7992,19,FALSE),"")</f>
        <v/>
      </c>
      <c r="AX641" s="224" t="str">
        <f>IFERROR(VLOOKUP($A641,CP!$A$1:$U$7992,20,FALSE),"")</f>
        <v/>
      </c>
      <c r="AY641" s="224" t="str">
        <f>IFERROR(VLOOKUP($A641,CP!$A$1:$U$1,21,FALSE),"")</f>
        <v/>
      </c>
      <c r="AZ641" s="224" t="str">
        <f>IFERROR(VLOOKUP(A641,Devengado!$A$1:AJ1,35,FALSE),"")</f>
        <v/>
      </c>
      <c r="BA641" s="224" t="str">
        <f t="shared" si="75"/>
        <v/>
      </c>
      <c r="BB641" s="224" t="str">
        <f>IFERROR(AZ641/#REF!,"")</f>
        <v/>
      </c>
      <c r="BC641" s="224" t="str">
        <f>IFERROR(VLOOKUP($A641,Devengado!$A$1:$AI$1,22,FALSE),"")</f>
        <v/>
      </c>
      <c r="BD641" s="224" t="str">
        <f>IFERROR(VLOOKUP($A641,Devengado!$A$1:$AI$1,23,FALSE),"")</f>
        <v/>
      </c>
      <c r="BE641" s="224" t="str">
        <f>IFERROR(VLOOKUP($A641,Devengado!$A$1:$AI$1,24,FALSE),"")</f>
        <v/>
      </c>
      <c r="BF641" s="224" t="str">
        <f>IFERROR(VLOOKUP($A641,Devengado!$A$1:$AI$1,25,FALSE),"")</f>
        <v/>
      </c>
      <c r="BG641" s="224" t="str">
        <f>IFERROR(VLOOKUP($A641,Devengado!$A$1:$AI$1,26,FALSE),"")</f>
        <v/>
      </c>
      <c r="BH641" s="224" t="str">
        <f>IFERROR(VLOOKUP($A641,Devengado!$A$1:$AI$1,27,FALSE),"")</f>
        <v/>
      </c>
      <c r="BI641" s="224" t="str">
        <f>IFERROR(VLOOKUP($A641,Devengado!$A$1:$AI$1,28,FALSE),"")</f>
        <v/>
      </c>
      <c r="BJ641" s="224" t="str">
        <f>IFERROR(VLOOKUP($A641,Devengado!$A$1:$AI$1,29,FALSE),"")</f>
        <v/>
      </c>
      <c r="BK641" s="224" t="str">
        <f>IFERROR(VLOOKUP($A641,Devengado!$A$1:$AI$1,30,FALSE),"")</f>
        <v/>
      </c>
      <c r="BL641" s="224" t="str">
        <f>IFERROR(VLOOKUP($A641,Devengado!$A$1:$AI$1,31,FALSE),"")</f>
        <v/>
      </c>
      <c r="BM641" s="224" t="str">
        <f>IFERROR(VLOOKUP($A641,Devengado!$A$1:$AI$1,32,FALSE),"")</f>
        <v/>
      </c>
      <c r="BN641" s="224" t="str">
        <f>IFERROR(VLOOKUP($A641,Devengado!$A$1:$AI$1,33,FALSE),"")</f>
        <v/>
      </c>
      <c r="BO641" s="224">
        <f t="shared" si="76"/>
        <v>0</v>
      </c>
      <c r="BP641" s="224" t="str">
        <f t="shared" si="77"/>
        <v/>
      </c>
      <c r="BQ641" s="207"/>
      <c r="BR641" s="207" t="str">
        <f t="shared" si="78"/>
        <v>51</v>
      </c>
    </row>
    <row r="642" spans="1:70" s="225" customFormat="1" ht="25.5" customHeight="1">
      <c r="A642" s="207">
        <v>638</v>
      </c>
      <c r="B642" s="112" t="s">
        <v>621</v>
      </c>
      <c r="C642" s="112" t="s">
        <v>77</v>
      </c>
      <c r="D642" s="112" t="s">
        <v>77</v>
      </c>
      <c r="E642" s="112" t="s">
        <v>76</v>
      </c>
      <c r="F642" s="112" t="s">
        <v>77</v>
      </c>
      <c r="G642" s="112" t="s">
        <v>77</v>
      </c>
      <c r="H642" s="112" t="s">
        <v>77</v>
      </c>
      <c r="I642" s="112" t="s">
        <v>77</v>
      </c>
      <c r="J642" s="112" t="s">
        <v>77</v>
      </c>
      <c r="K642" s="112" t="s">
        <v>77</v>
      </c>
      <c r="L642" s="112" t="s">
        <v>85</v>
      </c>
      <c r="M642" s="112" t="s">
        <v>633</v>
      </c>
      <c r="N642" s="114" t="s">
        <v>623</v>
      </c>
      <c r="O642" s="123">
        <v>80</v>
      </c>
      <c r="P642" s="114" t="s">
        <v>81</v>
      </c>
      <c r="Q642" s="114" t="s">
        <v>112</v>
      </c>
      <c r="R642" s="115" t="str">
        <f t="shared" si="72"/>
        <v>53</v>
      </c>
      <c r="S642" s="112">
        <v>530101</v>
      </c>
      <c r="T642" s="122" t="str">
        <f>VLOOKUP(S642,ITEM!$C$1:$D$156,2,FALSE)</f>
        <v>Agua Potable</v>
      </c>
      <c r="U642" s="112">
        <v>101</v>
      </c>
      <c r="V642" s="114" t="s">
        <v>82</v>
      </c>
      <c r="W642" s="114" t="s">
        <v>84</v>
      </c>
      <c r="X642" s="114" t="s">
        <v>84</v>
      </c>
      <c r="Y642" s="224" t="e">
        <f>'Matriz POA 2024-TRABAJO'!#REF!</f>
        <v>#REF!</v>
      </c>
      <c r="Z642" s="224" t="e">
        <f>'Matriz POA 2024-TRABAJO'!#REF!</f>
        <v>#REF!</v>
      </c>
      <c r="AA642" s="224" t="e">
        <f>'Matriz POA 2024-TRABAJO'!#REF!</f>
        <v>#REF!</v>
      </c>
      <c r="AB642" s="279">
        <v>250</v>
      </c>
      <c r="AC642" s="279">
        <v>250</v>
      </c>
      <c r="AD642" s="279">
        <v>250</v>
      </c>
      <c r="AE642" s="279">
        <v>250</v>
      </c>
      <c r="AF642" s="279">
        <v>250</v>
      </c>
      <c r="AG642" s="279">
        <v>250</v>
      </c>
      <c r="AH642" s="279">
        <v>250</v>
      </c>
      <c r="AI642" s="279">
        <v>250</v>
      </c>
      <c r="AJ642" s="279">
        <v>250</v>
      </c>
      <c r="AK642" s="279">
        <v>250</v>
      </c>
      <c r="AL642" s="279">
        <v>250</v>
      </c>
      <c r="AM642" s="279">
        <v>250</v>
      </c>
      <c r="AN642" s="224" t="e">
        <f>SUM(#REF!)</f>
        <v>#REF!</v>
      </c>
      <c r="AO642" s="224">
        <f t="shared" si="73"/>
        <v>3000</v>
      </c>
      <c r="AP642" s="224" t="e">
        <f t="shared" si="79"/>
        <v>#REF!</v>
      </c>
      <c r="AQ642" s="224"/>
      <c r="AR642" s="224"/>
      <c r="AS642" s="224"/>
      <c r="AT642" s="224" t="str">
        <f>IFERROR(VLOOKUP($A642,'Constancias POA'!$A$2:$DH$9993,17,FALSE),"")</f>
        <v/>
      </c>
      <c r="AU642" s="224" t="str">
        <f t="shared" si="74"/>
        <v/>
      </c>
      <c r="AV642" s="224" t="str">
        <f>IFERROR(VLOOKUP($A642,CP!$A$1:$U$7992,18,FALSE),"")</f>
        <v/>
      </c>
      <c r="AW642" s="224" t="str">
        <f>IFERROR(VLOOKUP($A642,CP!$A$1:$U$7992,19,FALSE),"")</f>
        <v/>
      </c>
      <c r="AX642" s="224" t="str">
        <f>IFERROR(VLOOKUP($A642,CP!$A$1:$U$7992,20,FALSE),"")</f>
        <v/>
      </c>
      <c r="AY642" s="224" t="str">
        <f>IFERROR(VLOOKUP($A642,CP!$A$1:$U$1,21,FALSE),"")</f>
        <v/>
      </c>
      <c r="AZ642" s="224" t="str">
        <f>IFERROR(VLOOKUP(A642,Devengado!$A$1:AJ1,35,FALSE),"")</f>
        <v/>
      </c>
      <c r="BA642" s="224" t="str">
        <f t="shared" si="75"/>
        <v/>
      </c>
      <c r="BB642" s="224" t="str">
        <f>IFERROR(AZ642/#REF!,"")</f>
        <v/>
      </c>
      <c r="BC642" s="224" t="str">
        <f>IFERROR(VLOOKUP($A642,Devengado!$A$1:$AI$1,22,FALSE),"")</f>
        <v/>
      </c>
      <c r="BD642" s="224" t="str">
        <f>IFERROR(VLOOKUP($A642,Devengado!$A$1:$AI$1,23,FALSE),"")</f>
        <v/>
      </c>
      <c r="BE642" s="224" t="str">
        <f>IFERROR(VLOOKUP($A642,Devengado!$A$1:$AI$1,24,FALSE),"")</f>
        <v/>
      </c>
      <c r="BF642" s="224" t="str">
        <f>IFERROR(VLOOKUP($A642,Devengado!$A$1:$AI$1,25,FALSE),"")</f>
        <v/>
      </c>
      <c r="BG642" s="224" t="str">
        <f>IFERROR(VLOOKUP($A642,Devengado!$A$1:$AI$1,26,FALSE),"")</f>
        <v/>
      </c>
      <c r="BH642" s="224" t="str">
        <f>IFERROR(VLOOKUP($A642,Devengado!$A$1:$AI$1,27,FALSE),"")</f>
        <v/>
      </c>
      <c r="BI642" s="224" t="str">
        <f>IFERROR(VLOOKUP($A642,Devengado!$A$1:$AI$1,28,FALSE),"")</f>
        <v/>
      </c>
      <c r="BJ642" s="224" t="str">
        <f>IFERROR(VLOOKUP($A642,Devengado!$A$1:$AI$1,29,FALSE),"")</f>
        <v/>
      </c>
      <c r="BK642" s="224" t="str">
        <f>IFERROR(VLOOKUP($A642,Devengado!$A$1:$AI$1,30,FALSE),"")</f>
        <v/>
      </c>
      <c r="BL642" s="224" t="str">
        <f>IFERROR(VLOOKUP($A642,Devengado!$A$1:$AI$1,31,FALSE),"")</f>
        <v/>
      </c>
      <c r="BM642" s="224" t="str">
        <f>IFERROR(VLOOKUP($A642,Devengado!$A$1:$AI$1,32,FALSE),"")</f>
        <v/>
      </c>
      <c r="BN642" s="224" t="str">
        <f>IFERROR(VLOOKUP($A642,Devengado!$A$1:$AI$1,33,FALSE),"")</f>
        <v/>
      </c>
      <c r="BO642" s="224">
        <f t="shared" si="76"/>
        <v>0</v>
      </c>
      <c r="BP642" s="224" t="str">
        <f t="shared" si="77"/>
        <v/>
      </c>
      <c r="BQ642" s="207"/>
      <c r="BR642" s="207" t="str">
        <f t="shared" si="78"/>
        <v>53</v>
      </c>
    </row>
    <row r="643" spans="1:70" s="225" customFormat="1" ht="25.5" customHeight="1">
      <c r="A643" s="207">
        <v>639</v>
      </c>
      <c r="B643" s="112" t="s">
        <v>621</v>
      </c>
      <c r="C643" s="112" t="s">
        <v>77</v>
      </c>
      <c r="D643" s="112" t="s">
        <v>77</v>
      </c>
      <c r="E643" s="112" t="s">
        <v>76</v>
      </c>
      <c r="F643" s="112" t="s">
        <v>77</v>
      </c>
      <c r="G643" s="112" t="s">
        <v>77</v>
      </c>
      <c r="H643" s="112" t="s">
        <v>77</v>
      </c>
      <c r="I643" s="112" t="s">
        <v>77</v>
      </c>
      <c r="J643" s="112" t="s">
        <v>77</v>
      </c>
      <c r="K643" s="112" t="s">
        <v>77</v>
      </c>
      <c r="L643" s="112" t="s">
        <v>85</v>
      </c>
      <c r="M643" s="112" t="s">
        <v>634</v>
      </c>
      <c r="N643" s="114" t="s">
        <v>623</v>
      </c>
      <c r="O643" s="123">
        <v>80</v>
      </c>
      <c r="P643" s="114" t="s">
        <v>81</v>
      </c>
      <c r="Q643" s="114" t="s">
        <v>112</v>
      </c>
      <c r="R643" s="115" t="str">
        <f t="shared" si="72"/>
        <v>53</v>
      </c>
      <c r="S643" s="112">
        <v>530101</v>
      </c>
      <c r="T643" s="122" t="str">
        <f>VLOOKUP(S643,ITEM!$C$1:$D$156,2,FALSE)</f>
        <v>Agua Potable</v>
      </c>
      <c r="U643" s="112">
        <v>101</v>
      </c>
      <c r="V643" s="114" t="s">
        <v>82</v>
      </c>
      <c r="W643" s="114" t="s">
        <v>84</v>
      </c>
      <c r="X643" s="114" t="s">
        <v>84</v>
      </c>
      <c r="Y643" s="224" t="e">
        <f>'Matriz POA 2024-TRABAJO'!#REF!</f>
        <v>#REF!</v>
      </c>
      <c r="Z643" s="224" t="e">
        <f>'Matriz POA 2024-TRABAJO'!#REF!</f>
        <v>#REF!</v>
      </c>
      <c r="AA643" s="224" t="e">
        <f>'Matriz POA 2024-TRABAJO'!#REF!</f>
        <v>#REF!</v>
      </c>
      <c r="AB643" s="279">
        <v>75</v>
      </c>
      <c r="AC643" s="279">
        <v>75</v>
      </c>
      <c r="AD643" s="279">
        <v>75</v>
      </c>
      <c r="AE643" s="279">
        <v>75</v>
      </c>
      <c r="AF643" s="279">
        <v>75</v>
      </c>
      <c r="AG643" s="279">
        <v>75</v>
      </c>
      <c r="AH643" s="279">
        <v>75</v>
      </c>
      <c r="AI643" s="279">
        <v>75</v>
      </c>
      <c r="AJ643" s="279">
        <v>75</v>
      </c>
      <c r="AK643" s="279">
        <v>75</v>
      </c>
      <c r="AL643" s="279">
        <v>75</v>
      </c>
      <c r="AM643" s="279">
        <v>75</v>
      </c>
      <c r="AN643" s="224" t="e">
        <f>SUM(#REF!)</f>
        <v>#REF!</v>
      </c>
      <c r="AO643" s="224">
        <f t="shared" si="73"/>
        <v>900</v>
      </c>
      <c r="AP643" s="224" t="e">
        <f t="shared" si="79"/>
        <v>#REF!</v>
      </c>
      <c r="AQ643" s="224"/>
      <c r="AR643" s="224"/>
      <c r="AS643" s="224"/>
      <c r="AT643" s="224" t="str">
        <f>IFERROR(VLOOKUP($A643,'Constancias POA'!$A$2:$DH$9993,17,FALSE),"")</f>
        <v/>
      </c>
      <c r="AU643" s="224" t="str">
        <f t="shared" si="74"/>
        <v/>
      </c>
      <c r="AV643" s="224" t="str">
        <f>IFERROR(VLOOKUP($A643,CP!$A$1:$U$7992,18,FALSE),"")</f>
        <v/>
      </c>
      <c r="AW643" s="224" t="str">
        <f>IFERROR(VLOOKUP($A643,CP!$A$1:$U$7992,19,FALSE),"")</f>
        <v/>
      </c>
      <c r="AX643" s="224" t="str">
        <f>IFERROR(VLOOKUP($A643,CP!$A$1:$U$7992,20,FALSE),"")</f>
        <v/>
      </c>
      <c r="AY643" s="224" t="str">
        <f>IFERROR(VLOOKUP($A643,CP!$A$1:$U$1,21,FALSE),"")</f>
        <v/>
      </c>
      <c r="AZ643" s="224" t="str">
        <f>IFERROR(VLOOKUP(A643,Devengado!$A$1:AJ1,35,FALSE),"")</f>
        <v/>
      </c>
      <c r="BA643" s="224" t="str">
        <f t="shared" si="75"/>
        <v/>
      </c>
      <c r="BB643" s="224" t="str">
        <f>IFERROR(AZ643/#REF!,"")</f>
        <v/>
      </c>
      <c r="BC643" s="224" t="str">
        <f>IFERROR(VLOOKUP($A643,Devengado!$A$1:$AI$1,22,FALSE),"")</f>
        <v/>
      </c>
      <c r="BD643" s="224" t="str">
        <f>IFERROR(VLOOKUP($A643,Devengado!$A$1:$AI$1,23,FALSE),"")</f>
        <v/>
      </c>
      <c r="BE643" s="224" t="str">
        <f>IFERROR(VLOOKUP($A643,Devengado!$A$1:$AI$1,24,FALSE),"")</f>
        <v/>
      </c>
      <c r="BF643" s="224" t="str">
        <f>IFERROR(VLOOKUP($A643,Devengado!$A$1:$AI$1,25,FALSE),"")</f>
        <v/>
      </c>
      <c r="BG643" s="224" t="str">
        <f>IFERROR(VLOOKUP($A643,Devengado!$A$1:$AI$1,26,FALSE),"")</f>
        <v/>
      </c>
      <c r="BH643" s="224" t="str">
        <f>IFERROR(VLOOKUP($A643,Devengado!$A$1:$AI$1,27,FALSE),"")</f>
        <v/>
      </c>
      <c r="BI643" s="224" t="str">
        <f>IFERROR(VLOOKUP($A643,Devengado!$A$1:$AI$1,28,FALSE),"")</f>
        <v/>
      </c>
      <c r="BJ643" s="224" t="str">
        <f>IFERROR(VLOOKUP($A643,Devengado!$A$1:$AI$1,29,FALSE),"")</f>
        <v/>
      </c>
      <c r="BK643" s="224" t="str">
        <f>IFERROR(VLOOKUP($A643,Devengado!$A$1:$AI$1,30,FALSE),"")</f>
        <v/>
      </c>
      <c r="BL643" s="224" t="str">
        <f>IFERROR(VLOOKUP($A643,Devengado!$A$1:$AI$1,31,FALSE),"")</f>
        <v/>
      </c>
      <c r="BM643" s="224" t="str">
        <f>IFERROR(VLOOKUP($A643,Devengado!$A$1:$AI$1,32,FALSE),"")</f>
        <v/>
      </c>
      <c r="BN643" s="224" t="str">
        <f>IFERROR(VLOOKUP($A643,Devengado!$A$1:$AI$1,33,FALSE),"")</f>
        <v/>
      </c>
      <c r="BO643" s="224">
        <f t="shared" si="76"/>
        <v>0</v>
      </c>
      <c r="BP643" s="224" t="str">
        <f t="shared" si="77"/>
        <v/>
      </c>
      <c r="BQ643" s="207"/>
      <c r="BR643" s="207" t="str">
        <f t="shared" si="78"/>
        <v>53</v>
      </c>
    </row>
    <row r="644" spans="1:70" s="225" customFormat="1" ht="25.5" customHeight="1">
      <c r="A644" s="207">
        <v>640</v>
      </c>
      <c r="B644" s="112" t="s">
        <v>621</v>
      </c>
      <c r="C644" s="112" t="s">
        <v>77</v>
      </c>
      <c r="D644" s="112" t="s">
        <v>77</v>
      </c>
      <c r="E644" s="112" t="s">
        <v>76</v>
      </c>
      <c r="F644" s="112" t="s">
        <v>77</v>
      </c>
      <c r="G644" s="112" t="s">
        <v>77</v>
      </c>
      <c r="H644" s="112" t="s">
        <v>77</v>
      </c>
      <c r="I644" s="112" t="s">
        <v>77</v>
      </c>
      <c r="J644" s="112" t="s">
        <v>77</v>
      </c>
      <c r="K644" s="112" t="s">
        <v>77</v>
      </c>
      <c r="L644" s="112" t="s">
        <v>85</v>
      </c>
      <c r="M644" s="112" t="s">
        <v>635</v>
      </c>
      <c r="N644" s="114" t="s">
        <v>623</v>
      </c>
      <c r="O644" s="123">
        <v>80</v>
      </c>
      <c r="P644" s="114" t="s">
        <v>81</v>
      </c>
      <c r="Q644" s="114" t="s">
        <v>112</v>
      </c>
      <c r="R644" s="115" t="str">
        <f t="shared" si="72"/>
        <v>53</v>
      </c>
      <c r="S644" s="112">
        <v>530101</v>
      </c>
      <c r="T644" s="122" t="str">
        <f>VLOOKUP(S644,ITEM!$C$1:$D$156,2,FALSE)</f>
        <v>Agua Potable</v>
      </c>
      <c r="U644" s="112">
        <v>101</v>
      </c>
      <c r="V644" s="114" t="s">
        <v>82</v>
      </c>
      <c r="W644" s="114" t="s">
        <v>84</v>
      </c>
      <c r="X644" s="114" t="s">
        <v>84</v>
      </c>
      <c r="Y644" s="224" t="e">
        <f>'Matriz POA 2024-TRABAJO'!#REF!</f>
        <v>#REF!</v>
      </c>
      <c r="Z644" s="224" t="e">
        <f>'Matriz POA 2024-TRABAJO'!#REF!</f>
        <v>#REF!</v>
      </c>
      <c r="AA644" s="224" t="e">
        <f>'Matriz POA 2024-TRABAJO'!#REF!</f>
        <v>#REF!</v>
      </c>
      <c r="AB644" s="279">
        <v>41.67</v>
      </c>
      <c r="AC644" s="279">
        <v>41.67</v>
      </c>
      <c r="AD644" s="279">
        <v>41.67</v>
      </c>
      <c r="AE644" s="279">
        <v>41.67</v>
      </c>
      <c r="AF644" s="279">
        <v>41.67</v>
      </c>
      <c r="AG644" s="279">
        <v>41.67</v>
      </c>
      <c r="AH644" s="279">
        <v>41.67</v>
      </c>
      <c r="AI644" s="279">
        <v>41.67</v>
      </c>
      <c r="AJ644" s="279">
        <v>41.67</v>
      </c>
      <c r="AK644" s="279">
        <v>41.67</v>
      </c>
      <c r="AL644" s="279">
        <v>41.67</v>
      </c>
      <c r="AM644" s="279">
        <v>41.63</v>
      </c>
      <c r="AN644" s="224" t="e">
        <f>SUM(#REF!)</f>
        <v>#REF!</v>
      </c>
      <c r="AO644" s="224">
        <f t="shared" si="73"/>
        <v>500.00000000000011</v>
      </c>
      <c r="AP644" s="224" t="e">
        <f t="shared" si="79"/>
        <v>#REF!</v>
      </c>
      <c r="AQ644" s="224"/>
      <c r="AR644" s="224"/>
      <c r="AS644" s="224"/>
      <c r="AT644" s="224" t="str">
        <f>IFERROR(VLOOKUP($A644,'Constancias POA'!$A$2:$DH$9993,17,FALSE),"")</f>
        <v/>
      </c>
      <c r="AU644" s="224" t="str">
        <f t="shared" si="74"/>
        <v/>
      </c>
      <c r="AV644" s="224" t="str">
        <f>IFERROR(VLOOKUP($A644,CP!$A$1:$U$7992,18,FALSE),"")</f>
        <v/>
      </c>
      <c r="AW644" s="224" t="str">
        <f>IFERROR(VLOOKUP($A644,CP!$A$1:$U$7992,19,FALSE),"")</f>
        <v/>
      </c>
      <c r="AX644" s="224" t="str">
        <f>IFERROR(VLOOKUP($A644,CP!$A$1:$U$7992,20,FALSE),"")</f>
        <v/>
      </c>
      <c r="AY644" s="224" t="str">
        <f>IFERROR(VLOOKUP($A644,CP!$A$1:$U$1,21,FALSE),"")</f>
        <v/>
      </c>
      <c r="AZ644" s="224" t="str">
        <f>IFERROR(VLOOKUP(A644,Devengado!$A$1:AJ1,35,FALSE),"")</f>
        <v/>
      </c>
      <c r="BA644" s="224" t="str">
        <f t="shared" si="75"/>
        <v/>
      </c>
      <c r="BB644" s="224" t="str">
        <f>IFERROR(AZ644/#REF!,"")</f>
        <v/>
      </c>
      <c r="BC644" s="224" t="str">
        <f>IFERROR(VLOOKUP($A644,Devengado!$A$1:$AI$1,22,FALSE),"")</f>
        <v/>
      </c>
      <c r="BD644" s="224" t="str">
        <f>IFERROR(VLOOKUP($A644,Devengado!$A$1:$AI$1,23,FALSE),"")</f>
        <v/>
      </c>
      <c r="BE644" s="224" t="str">
        <f>IFERROR(VLOOKUP($A644,Devengado!$A$1:$AI$1,24,FALSE),"")</f>
        <v/>
      </c>
      <c r="BF644" s="224" t="str">
        <f>IFERROR(VLOOKUP($A644,Devengado!$A$1:$AI$1,25,FALSE),"")</f>
        <v/>
      </c>
      <c r="BG644" s="224" t="str">
        <f>IFERROR(VLOOKUP($A644,Devengado!$A$1:$AI$1,26,FALSE),"")</f>
        <v/>
      </c>
      <c r="BH644" s="224" t="str">
        <f>IFERROR(VLOOKUP($A644,Devengado!$A$1:$AI$1,27,FALSE),"")</f>
        <v/>
      </c>
      <c r="BI644" s="224" t="str">
        <f>IFERROR(VLOOKUP($A644,Devengado!$A$1:$AI$1,28,FALSE),"")</f>
        <v/>
      </c>
      <c r="BJ644" s="224" t="str">
        <f>IFERROR(VLOOKUP($A644,Devengado!$A$1:$AI$1,29,FALSE),"")</f>
        <v/>
      </c>
      <c r="BK644" s="224" t="str">
        <f>IFERROR(VLOOKUP($A644,Devengado!$A$1:$AI$1,30,FALSE),"")</f>
        <v/>
      </c>
      <c r="BL644" s="224" t="str">
        <f>IFERROR(VLOOKUP($A644,Devengado!$A$1:$AI$1,31,FALSE),"")</f>
        <v/>
      </c>
      <c r="BM644" s="224" t="str">
        <f>IFERROR(VLOOKUP($A644,Devengado!$A$1:$AI$1,32,FALSE),"")</f>
        <v/>
      </c>
      <c r="BN644" s="224" t="str">
        <f>IFERROR(VLOOKUP($A644,Devengado!$A$1:$AI$1,33,FALSE),"")</f>
        <v/>
      </c>
      <c r="BO644" s="224">
        <f t="shared" si="76"/>
        <v>0</v>
      </c>
      <c r="BP644" s="224" t="str">
        <f t="shared" si="77"/>
        <v/>
      </c>
      <c r="BQ644" s="207"/>
      <c r="BR644" s="207" t="str">
        <f t="shared" si="78"/>
        <v>53</v>
      </c>
    </row>
    <row r="645" spans="1:70" s="225" customFormat="1" ht="25.5" customHeight="1">
      <c r="A645" s="207">
        <v>641</v>
      </c>
      <c r="B645" s="112" t="s">
        <v>621</v>
      </c>
      <c r="C645" s="112" t="s">
        <v>77</v>
      </c>
      <c r="D645" s="112" t="s">
        <v>77</v>
      </c>
      <c r="E645" s="112" t="s">
        <v>76</v>
      </c>
      <c r="F645" s="112" t="s">
        <v>77</v>
      </c>
      <c r="G645" s="112" t="s">
        <v>77</v>
      </c>
      <c r="H645" s="112" t="s">
        <v>77</v>
      </c>
      <c r="I645" s="112" t="s">
        <v>77</v>
      </c>
      <c r="J645" s="112" t="s">
        <v>77</v>
      </c>
      <c r="K645" s="112" t="s">
        <v>77</v>
      </c>
      <c r="L645" s="112" t="s">
        <v>85</v>
      </c>
      <c r="M645" s="112" t="s">
        <v>636</v>
      </c>
      <c r="N645" s="114" t="s">
        <v>623</v>
      </c>
      <c r="O645" s="123">
        <v>80</v>
      </c>
      <c r="P645" s="114" t="s">
        <v>81</v>
      </c>
      <c r="Q645" s="114" t="s">
        <v>112</v>
      </c>
      <c r="R645" s="115" t="str">
        <f t="shared" ref="R645:R708" si="80">LEFT(S645,2)</f>
        <v>53</v>
      </c>
      <c r="S645" s="112">
        <v>530104</v>
      </c>
      <c r="T645" s="122" t="str">
        <f>VLOOKUP(S645,ITEM!$C$1:$D$156,2,FALSE)</f>
        <v>Energía Eléctrica</v>
      </c>
      <c r="U645" s="112">
        <v>101</v>
      </c>
      <c r="V645" s="114" t="s">
        <v>82</v>
      </c>
      <c r="W645" s="114" t="s">
        <v>84</v>
      </c>
      <c r="X645" s="114" t="s">
        <v>84</v>
      </c>
      <c r="Y645" s="224" t="e">
        <f>'Matriz POA 2024-TRABAJO'!#REF!</f>
        <v>#REF!</v>
      </c>
      <c r="Z645" s="224" t="e">
        <f>'Matriz POA 2024-TRABAJO'!#REF!</f>
        <v>#REF!</v>
      </c>
      <c r="AA645" s="224" t="e">
        <f>'Matriz POA 2024-TRABAJO'!#REF!</f>
        <v>#REF!</v>
      </c>
      <c r="AB645" s="279">
        <v>2500</v>
      </c>
      <c r="AC645" s="279">
        <v>2500</v>
      </c>
      <c r="AD645" s="279">
        <v>2500</v>
      </c>
      <c r="AE645" s="279">
        <v>2500</v>
      </c>
      <c r="AF645" s="279">
        <v>2500</v>
      </c>
      <c r="AG645" s="279">
        <v>2500</v>
      </c>
      <c r="AH645" s="279">
        <v>2500</v>
      </c>
      <c r="AI645" s="279">
        <v>2500</v>
      </c>
      <c r="AJ645" s="279">
        <v>2500</v>
      </c>
      <c r="AK645" s="279">
        <v>2500</v>
      </c>
      <c r="AL645" s="279">
        <v>2500</v>
      </c>
      <c r="AM645" s="279">
        <v>2500</v>
      </c>
      <c r="AN645" s="224" t="e">
        <f>SUM(#REF!)</f>
        <v>#REF!</v>
      </c>
      <c r="AO645" s="224">
        <f t="shared" ref="AO645:AO708" si="81">SUM(AB645:AM645)</f>
        <v>30000</v>
      </c>
      <c r="AP645" s="224" t="e">
        <f t="shared" si="79"/>
        <v>#REF!</v>
      </c>
      <c r="AQ645" s="224"/>
      <c r="AR645" s="224"/>
      <c r="AS645" s="224"/>
      <c r="AT645" s="224" t="str">
        <f>IFERROR(VLOOKUP($A645,'Constancias POA'!$A$2:$DH$9993,17,FALSE),"")</f>
        <v/>
      </c>
      <c r="AU645" s="224" t="str">
        <f t="shared" si="74"/>
        <v/>
      </c>
      <c r="AV645" s="224" t="str">
        <f>IFERROR(VLOOKUP($A645,CP!$A$1:$U$7992,18,FALSE),"")</f>
        <v/>
      </c>
      <c r="AW645" s="224" t="str">
        <f>IFERROR(VLOOKUP($A645,CP!$A$1:$U$7992,19,FALSE),"")</f>
        <v/>
      </c>
      <c r="AX645" s="224" t="str">
        <f>IFERROR(VLOOKUP($A645,CP!$A$1:$U$7992,20,FALSE),"")</f>
        <v/>
      </c>
      <c r="AY645" s="224" t="str">
        <f>IFERROR(VLOOKUP($A645,CP!$A$1:$U$1,21,FALSE),"")</f>
        <v/>
      </c>
      <c r="AZ645" s="224" t="str">
        <f>IFERROR(VLOOKUP(A645,Devengado!$A$1:AJ1,35,FALSE),"")</f>
        <v/>
      </c>
      <c r="BA645" s="224" t="str">
        <f t="shared" ref="BA645:BA708" si="82">IFERROR((AA645-AZ645),"")</f>
        <v/>
      </c>
      <c r="BB645" s="224" t="str">
        <f>IFERROR(AZ645/#REF!,"")</f>
        <v/>
      </c>
      <c r="BC645" s="224" t="str">
        <f>IFERROR(VLOOKUP($A645,Devengado!$A$1:$AI$1,22,FALSE),"")</f>
        <v/>
      </c>
      <c r="BD645" s="224" t="str">
        <f>IFERROR(VLOOKUP($A645,Devengado!$A$1:$AI$1,23,FALSE),"")</f>
        <v/>
      </c>
      <c r="BE645" s="224" t="str">
        <f>IFERROR(VLOOKUP($A645,Devengado!$A$1:$AI$1,24,FALSE),"")</f>
        <v/>
      </c>
      <c r="BF645" s="224" t="str">
        <f>IFERROR(VLOOKUP($A645,Devengado!$A$1:$AI$1,25,FALSE),"")</f>
        <v/>
      </c>
      <c r="BG645" s="224" t="str">
        <f>IFERROR(VLOOKUP($A645,Devengado!$A$1:$AI$1,26,FALSE),"")</f>
        <v/>
      </c>
      <c r="BH645" s="224" t="str">
        <f>IFERROR(VLOOKUP($A645,Devengado!$A$1:$AI$1,27,FALSE),"")</f>
        <v/>
      </c>
      <c r="BI645" s="224" t="str">
        <f>IFERROR(VLOOKUP($A645,Devengado!$A$1:$AI$1,28,FALSE),"")</f>
        <v/>
      </c>
      <c r="BJ645" s="224" t="str">
        <f>IFERROR(VLOOKUP($A645,Devengado!$A$1:$AI$1,29,FALSE),"")</f>
        <v/>
      </c>
      <c r="BK645" s="224" t="str">
        <f>IFERROR(VLOOKUP($A645,Devengado!$A$1:$AI$1,30,FALSE),"")</f>
        <v/>
      </c>
      <c r="BL645" s="224" t="str">
        <f>IFERROR(VLOOKUP($A645,Devengado!$A$1:$AI$1,31,FALSE),"")</f>
        <v/>
      </c>
      <c r="BM645" s="224" t="str">
        <f>IFERROR(VLOOKUP($A645,Devengado!$A$1:$AI$1,32,FALSE),"")</f>
        <v/>
      </c>
      <c r="BN645" s="224" t="str">
        <f>IFERROR(VLOOKUP($A645,Devengado!$A$1:$AI$1,33,FALSE),"")</f>
        <v/>
      </c>
      <c r="BO645" s="224">
        <f t="shared" ref="BO645:BO708" si="83">SUM(BC645:BN645)</f>
        <v>0</v>
      </c>
      <c r="BP645" s="224" t="str">
        <f t="shared" ref="BP645:BP708" si="84">IFERROR(((AB645+AC645)-AZ645),"")</f>
        <v/>
      </c>
      <c r="BQ645" s="207"/>
      <c r="BR645" s="207" t="str">
        <f t="shared" ref="BR645:BR708" si="85">LEFT(R645,4)</f>
        <v>53</v>
      </c>
    </row>
    <row r="646" spans="1:70" s="225" customFormat="1" ht="25.5" customHeight="1">
      <c r="A646" s="207">
        <v>642</v>
      </c>
      <c r="B646" s="112" t="s">
        <v>621</v>
      </c>
      <c r="C646" s="112" t="s">
        <v>77</v>
      </c>
      <c r="D646" s="112" t="s">
        <v>77</v>
      </c>
      <c r="E646" s="112" t="s">
        <v>76</v>
      </c>
      <c r="F646" s="112" t="s">
        <v>77</v>
      </c>
      <c r="G646" s="112" t="s">
        <v>77</v>
      </c>
      <c r="H646" s="112" t="s">
        <v>77</v>
      </c>
      <c r="I646" s="112" t="s">
        <v>77</v>
      </c>
      <c r="J646" s="112" t="s">
        <v>77</v>
      </c>
      <c r="K646" s="112" t="s">
        <v>77</v>
      </c>
      <c r="L646" s="112" t="s">
        <v>85</v>
      </c>
      <c r="M646" s="112" t="s">
        <v>637</v>
      </c>
      <c r="N646" s="114" t="s">
        <v>623</v>
      </c>
      <c r="O646" s="123">
        <v>80</v>
      </c>
      <c r="P646" s="114" t="s">
        <v>81</v>
      </c>
      <c r="Q646" s="114" t="s">
        <v>112</v>
      </c>
      <c r="R646" s="115" t="str">
        <f t="shared" si="80"/>
        <v>53</v>
      </c>
      <c r="S646" s="112">
        <v>530104</v>
      </c>
      <c r="T646" s="122" t="str">
        <f>VLOOKUP(S646,ITEM!$C$1:$D$156,2,FALSE)</f>
        <v>Energía Eléctrica</v>
      </c>
      <c r="U646" s="112">
        <v>101</v>
      </c>
      <c r="V646" s="114" t="s">
        <v>82</v>
      </c>
      <c r="W646" s="114" t="s">
        <v>84</v>
      </c>
      <c r="X646" s="114" t="s">
        <v>84</v>
      </c>
      <c r="Y646" s="224" t="e">
        <f>'Matriz POA 2024-TRABAJO'!#REF!</f>
        <v>#REF!</v>
      </c>
      <c r="Z646" s="224" t="e">
        <f>'Matriz POA 2024-TRABAJO'!#REF!</f>
        <v>#REF!</v>
      </c>
      <c r="AA646" s="224" t="e">
        <f>'Matriz POA 2024-TRABAJO'!#REF!</f>
        <v>#REF!</v>
      </c>
      <c r="AB646" s="279">
        <v>183.33</v>
      </c>
      <c r="AC646" s="279">
        <v>183.33</v>
      </c>
      <c r="AD646" s="279">
        <v>183.33</v>
      </c>
      <c r="AE646" s="279">
        <v>183.33</v>
      </c>
      <c r="AF646" s="279">
        <v>183.33</v>
      </c>
      <c r="AG646" s="279">
        <v>183.33</v>
      </c>
      <c r="AH646" s="279">
        <v>183.33</v>
      </c>
      <c r="AI646" s="279">
        <v>183.33</v>
      </c>
      <c r="AJ646" s="279">
        <v>183.33</v>
      </c>
      <c r="AK646" s="279">
        <v>183.33</v>
      </c>
      <c r="AL646" s="279">
        <v>183.33</v>
      </c>
      <c r="AM646" s="279">
        <v>183.37</v>
      </c>
      <c r="AN646" s="224" t="e">
        <f>SUM(#REF!)</f>
        <v>#REF!</v>
      </c>
      <c r="AO646" s="224">
        <f t="shared" si="81"/>
        <v>2199.9999999999995</v>
      </c>
      <c r="AP646" s="224" t="e">
        <f t="shared" ref="AP646:AP709" si="86">+AO646-AA646</f>
        <v>#REF!</v>
      </c>
      <c r="AQ646" s="224"/>
      <c r="AR646" s="224"/>
      <c r="AS646" s="224"/>
      <c r="AT646" s="224" t="str">
        <f>IFERROR(VLOOKUP($A646,'Constancias POA'!$A$2:$DH$9993,17,FALSE),"")</f>
        <v/>
      </c>
      <c r="AU646" s="224" t="str">
        <f t="shared" si="74"/>
        <v/>
      </c>
      <c r="AV646" s="224" t="str">
        <f>IFERROR(VLOOKUP($A646,CP!$A$1:$U$7992,18,FALSE),"")</f>
        <v/>
      </c>
      <c r="AW646" s="224" t="str">
        <f>IFERROR(VLOOKUP($A646,CP!$A$1:$U$7992,19,FALSE),"")</f>
        <v/>
      </c>
      <c r="AX646" s="224" t="str">
        <f>IFERROR(VLOOKUP($A646,CP!$A$1:$U$7992,20,FALSE),"")</f>
        <v/>
      </c>
      <c r="AY646" s="224" t="str">
        <f>IFERROR(VLOOKUP($A646,CP!$A$1:$U$1,21,FALSE),"")</f>
        <v/>
      </c>
      <c r="AZ646" s="224" t="str">
        <f>IFERROR(VLOOKUP(A646,Devengado!$A$1:AJ1,35,FALSE),"")</f>
        <v/>
      </c>
      <c r="BA646" s="224" t="str">
        <f t="shared" si="82"/>
        <v/>
      </c>
      <c r="BB646" s="224" t="str">
        <f>IFERROR(AZ646/#REF!,"")</f>
        <v/>
      </c>
      <c r="BC646" s="224" t="str">
        <f>IFERROR(VLOOKUP($A646,Devengado!$A$1:$AI$1,22,FALSE),"")</f>
        <v/>
      </c>
      <c r="BD646" s="224" t="str">
        <f>IFERROR(VLOOKUP($A646,Devengado!$A$1:$AI$1,23,FALSE),"")</f>
        <v/>
      </c>
      <c r="BE646" s="224" t="str">
        <f>IFERROR(VLOOKUP($A646,Devengado!$A$1:$AI$1,24,FALSE),"")</f>
        <v/>
      </c>
      <c r="BF646" s="224" t="str">
        <f>IFERROR(VLOOKUP($A646,Devengado!$A$1:$AI$1,25,FALSE),"")</f>
        <v/>
      </c>
      <c r="BG646" s="224" t="str">
        <f>IFERROR(VLOOKUP($A646,Devengado!$A$1:$AI$1,26,FALSE),"")</f>
        <v/>
      </c>
      <c r="BH646" s="224" t="str">
        <f>IFERROR(VLOOKUP($A646,Devengado!$A$1:$AI$1,27,FALSE),"")</f>
        <v/>
      </c>
      <c r="BI646" s="224" t="str">
        <f>IFERROR(VLOOKUP($A646,Devengado!$A$1:$AI$1,28,FALSE),"")</f>
        <v/>
      </c>
      <c r="BJ646" s="224" t="str">
        <f>IFERROR(VLOOKUP($A646,Devengado!$A$1:$AI$1,29,FALSE),"")</f>
        <v/>
      </c>
      <c r="BK646" s="224" t="str">
        <f>IFERROR(VLOOKUP($A646,Devengado!$A$1:$AI$1,30,FALSE),"")</f>
        <v/>
      </c>
      <c r="BL646" s="224" t="str">
        <f>IFERROR(VLOOKUP($A646,Devengado!$A$1:$AI$1,31,FALSE),"")</f>
        <v/>
      </c>
      <c r="BM646" s="224" t="str">
        <f>IFERROR(VLOOKUP($A646,Devengado!$A$1:$AI$1,32,FALSE),"")</f>
        <v/>
      </c>
      <c r="BN646" s="224" t="str">
        <f>IFERROR(VLOOKUP($A646,Devengado!$A$1:$AI$1,33,FALSE),"")</f>
        <v/>
      </c>
      <c r="BO646" s="224">
        <f t="shared" si="83"/>
        <v>0</v>
      </c>
      <c r="BP646" s="224" t="str">
        <f t="shared" si="84"/>
        <v/>
      </c>
      <c r="BQ646" s="207"/>
      <c r="BR646" s="207" t="str">
        <f t="shared" si="85"/>
        <v>53</v>
      </c>
    </row>
    <row r="647" spans="1:70" s="225" customFormat="1" ht="25.5" customHeight="1">
      <c r="A647" s="207">
        <v>643</v>
      </c>
      <c r="B647" s="112" t="s">
        <v>621</v>
      </c>
      <c r="C647" s="112" t="s">
        <v>77</v>
      </c>
      <c r="D647" s="112" t="s">
        <v>77</v>
      </c>
      <c r="E647" s="112" t="s">
        <v>76</v>
      </c>
      <c r="F647" s="112" t="s">
        <v>77</v>
      </c>
      <c r="G647" s="112" t="s">
        <v>77</v>
      </c>
      <c r="H647" s="112" t="s">
        <v>77</v>
      </c>
      <c r="I647" s="112" t="s">
        <v>77</v>
      </c>
      <c r="J647" s="112" t="s">
        <v>77</v>
      </c>
      <c r="K647" s="112" t="s">
        <v>77</v>
      </c>
      <c r="L647" s="112" t="s">
        <v>85</v>
      </c>
      <c r="M647" s="112" t="s">
        <v>638</v>
      </c>
      <c r="N647" s="114" t="s">
        <v>623</v>
      </c>
      <c r="O647" s="123">
        <v>80</v>
      </c>
      <c r="P647" s="114" t="s">
        <v>81</v>
      </c>
      <c r="Q647" s="114" t="s">
        <v>112</v>
      </c>
      <c r="R647" s="115" t="str">
        <f t="shared" si="80"/>
        <v>53</v>
      </c>
      <c r="S647" s="112">
        <v>530104</v>
      </c>
      <c r="T647" s="122" t="str">
        <f>VLOOKUP(S647,ITEM!$C$1:$D$156,2,FALSE)</f>
        <v>Energía Eléctrica</v>
      </c>
      <c r="U647" s="112">
        <v>101</v>
      </c>
      <c r="V647" s="114" t="s">
        <v>82</v>
      </c>
      <c r="W647" s="114" t="s">
        <v>84</v>
      </c>
      <c r="X647" s="114" t="s">
        <v>84</v>
      </c>
      <c r="Y647" s="224" t="e">
        <f>'Matriz POA 2024-TRABAJO'!#REF!</f>
        <v>#REF!</v>
      </c>
      <c r="Z647" s="224" t="e">
        <f>'Matriz POA 2024-TRABAJO'!#REF!</f>
        <v>#REF!</v>
      </c>
      <c r="AA647" s="224" t="e">
        <f>'Matriz POA 2024-TRABAJO'!#REF!</f>
        <v>#REF!</v>
      </c>
      <c r="AB647" s="279">
        <v>116.67</v>
      </c>
      <c r="AC647" s="279">
        <v>116.67</v>
      </c>
      <c r="AD647" s="279">
        <v>116.67</v>
      </c>
      <c r="AE647" s="279">
        <v>116.67</v>
      </c>
      <c r="AF647" s="279">
        <v>116.67</v>
      </c>
      <c r="AG647" s="279">
        <v>116.67</v>
      </c>
      <c r="AH647" s="279">
        <v>116.67</v>
      </c>
      <c r="AI647" s="279">
        <v>116.67</v>
      </c>
      <c r="AJ647" s="279">
        <v>116.67</v>
      </c>
      <c r="AK647" s="279">
        <v>116.67</v>
      </c>
      <c r="AL647" s="279">
        <v>116.67</v>
      </c>
      <c r="AM647" s="279">
        <v>116.63</v>
      </c>
      <c r="AN647" s="224" t="e">
        <f>SUM(#REF!)</f>
        <v>#REF!</v>
      </c>
      <c r="AO647" s="224">
        <f t="shared" si="81"/>
        <v>1400</v>
      </c>
      <c r="AP647" s="224" t="e">
        <f t="shared" si="86"/>
        <v>#REF!</v>
      </c>
      <c r="AQ647" s="224"/>
      <c r="AR647" s="224"/>
      <c r="AS647" s="224"/>
      <c r="AT647" s="224" t="str">
        <f>IFERROR(VLOOKUP($A647,'Constancias POA'!$A$2:$DH$9993,17,FALSE),"")</f>
        <v/>
      </c>
      <c r="AU647" s="224" t="str">
        <f t="shared" ref="AU647:AU710" si="87">IFERROR(AA647-AT647,"")</f>
        <v/>
      </c>
      <c r="AV647" s="224" t="str">
        <f>IFERROR(VLOOKUP($A647,CP!$A$1:$U$7992,18,FALSE),"")</f>
        <v/>
      </c>
      <c r="AW647" s="224" t="str">
        <f>IFERROR(VLOOKUP($A647,CP!$A$1:$U$7992,19,FALSE),"")</f>
        <v/>
      </c>
      <c r="AX647" s="224" t="str">
        <f>IFERROR(VLOOKUP($A647,CP!$A$1:$U$7992,20,FALSE),"")</f>
        <v/>
      </c>
      <c r="AY647" s="224" t="str">
        <f>IFERROR(VLOOKUP($A647,CP!$A$1:$U$1,21,FALSE),"")</f>
        <v/>
      </c>
      <c r="AZ647" s="224" t="str">
        <f>IFERROR(VLOOKUP(A647,Devengado!$A$1:AJ1,35,FALSE),"")</f>
        <v/>
      </c>
      <c r="BA647" s="224" t="str">
        <f t="shared" si="82"/>
        <v/>
      </c>
      <c r="BB647" s="224" t="str">
        <f>IFERROR(AZ647/#REF!,"")</f>
        <v/>
      </c>
      <c r="BC647" s="224" t="str">
        <f>IFERROR(VLOOKUP($A647,Devengado!$A$1:$AI$1,22,FALSE),"")</f>
        <v/>
      </c>
      <c r="BD647" s="224" t="str">
        <f>IFERROR(VLOOKUP($A647,Devengado!$A$1:$AI$1,23,FALSE),"")</f>
        <v/>
      </c>
      <c r="BE647" s="224" t="str">
        <f>IFERROR(VLOOKUP($A647,Devengado!$A$1:$AI$1,24,FALSE),"")</f>
        <v/>
      </c>
      <c r="BF647" s="224" t="str">
        <f>IFERROR(VLOOKUP($A647,Devengado!$A$1:$AI$1,25,FALSE),"")</f>
        <v/>
      </c>
      <c r="BG647" s="224" t="str">
        <f>IFERROR(VLOOKUP($A647,Devengado!$A$1:$AI$1,26,FALSE),"")</f>
        <v/>
      </c>
      <c r="BH647" s="224" t="str">
        <f>IFERROR(VLOOKUP($A647,Devengado!$A$1:$AI$1,27,FALSE),"")</f>
        <v/>
      </c>
      <c r="BI647" s="224" t="str">
        <f>IFERROR(VLOOKUP($A647,Devengado!$A$1:$AI$1,28,FALSE),"")</f>
        <v/>
      </c>
      <c r="BJ647" s="224" t="str">
        <f>IFERROR(VLOOKUP($A647,Devengado!$A$1:$AI$1,29,FALSE),"")</f>
        <v/>
      </c>
      <c r="BK647" s="224" t="str">
        <f>IFERROR(VLOOKUP($A647,Devengado!$A$1:$AI$1,30,FALSE),"")</f>
        <v/>
      </c>
      <c r="BL647" s="224" t="str">
        <f>IFERROR(VLOOKUP($A647,Devengado!$A$1:$AI$1,31,FALSE),"")</f>
        <v/>
      </c>
      <c r="BM647" s="224" t="str">
        <f>IFERROR(VLOOKUP($A647,Devengado!$A$1:$AI$1,32,FALSE),"")</f>
        <v/>
      </c>
      <c r="BN647" s="224" t="str">
        <f>IFERROR(VLOOKUP($A647,Devengado!$A$1:$AI$1,33,FALSE),"")</f>
        <v/>
      </c>
      <c r="BO647" s="224">
        <f t="shared" si="83"/>
        <v>0</v>
      </c>
      <c r="BP647" s="224" t="str">
        <f t="shared" si="84"/>
        <v/>
      </c>
      <c r="BQ647" s="207"/>
      <c r="BR647" s="207" t="str">
        <f t="shared" si="85"/>
        <v>53</v>
      </c>
    </row>
    <row r="648" spans="1:70" s="225" customFormat="1" ht="25.5" customHeight="1">
      <c r="A648" s="207">
        <v>644</v>
      </c>
      <c r="B648" s="112" t="s">
        <v>621</v>
      </c>
      <c r="C648" s="112" t="s">
        <v>77</v>
      </c>
      <c r="D648" s="112" t="s">
        <v>77</v>
      </c>
      <c r="E648" s="112" t="s">
        <v>76</v>
      </c>
      <c r="F648" s="112" t="s">
        <v>77</v>
      </c>
      <c r="G648" s="112" t="s">
        <v>77</v>
      </c>
      <c r="H648" s="112" t="s">
        <v>77</v>
      </c>
      <c r="I648" s="112" t="s">
        <v>77</v>
      </c>
      <c r="J648" s="112" t="s">
        <v>77</v>
      </c>
      <c r="K648" s="112" t="s">
        <v>77</v>
      </c>
      <c r="L648" s="112" t="s">
        <v>85</v>
      </c>
      <c r="M648" s="112" t="s">
        <v>639</v>
      </c>
      <c r="N648" s="114" t="s">
        <v>623</v>
      </c>
      <c r="O648" s="123">
        <v>80</v>
      </c>
      <c r="P648" s="114" t="s">
        <v>81</v>
      </c>
      <c r="Q648" s="114" t="s">
        <v>112</v>
      </c>
      <c r="R648" s="115" t="str">
        <f t="shared" si="80"/>
        <v>53</v>
      </c>
      <c r="S648" s="112">
        <v>530104</v>
      </c>
      <c r="T648" s="122" t="str">
        <f>VLOOKUP(S648,ITEM!$C$1:$D$156,2,FALSE)</f>
        <v>Energía Eléctrica</v>
      </c>
      <c r="U648" s="112">
        <v>101</v>
      </c>
      <c r="V648" s="114" t="s">
        <v>82</v>
      </c>
      <c r="W648" s="114" t="s">
        <v>84</v>
      </c>
      <c r="X648" s="114" t="s">
        <v>84</v>
      </c>
      <c r="Y648" s="224" t="e">
        <f>'Matriz POA 2024-TRABAJO'!#REF!</f>
        <v>#REF!</v>
      </c>
      <c r="Z648" s="224" t="e">
        <f>'Matriz POA 2024-TRABAJO'!#REF!</f>
        <v>#REF!</v>
      </c>
      <c r="AA648" s="224" t="e">
        <f>'Matriz POA 2024-TRABAJO'!#REF!</f>
        <v>#REF!</v>
      </c>
      <c r="AB648" s="279">
        <v>116.67</v>
      </c>
      <c r="AC648" s="279">
        <v>116.67</v>
      </c>
      <c r="AD648" s="279">
        <v>116.67</v>
      </c>
      <c r="AE648" s="279">
        <v>116.67</v>
      </c>
      <c r="AF648" s="279">
        <v>116.67</v>
      </c>
      <c r="AG648" s="279">
        <v>116.67</v>
      </c>
      <c r="AH648" s="279">
        <v>116.67</v>
      </c>
      <c r="AI648" s="279">
        <v>116.67</v>
      </c>
      <c r="AJ648" s="279">
        <v>116.67</v>
      </c>
      <c r="AK648" s="279">
        <v>116.67</v>
      </c>
      <c r="AL648" s="279">
        <v>116.67</v>
      </c>
      <c r="AM648" s="279">
        <v>116.63</v>
      </c>
      <c r="AN648" s="224" t="e">
        <f>SUM(#REF!)</f>
        <v>#REF!</v>
      </c>
      <c r="AO648" s="224">
        <f t="shared" si="81"/>
        <v>1400</v>
      </c>
      <c r="AP648" s="224" t="e">
        <f t="shared" si="86"/>
        <v>#REF!</v>
      </c>
      <c r="AQ648" s="224"/>
      <c r="AR648" s="224"/>
      <c r="AS648" s="224"/>
      <c r="AT648" s="224" t="str">
        <f>IFERROR(VLOOKUP($A648,'Constancias POA'!$A$2:$DH$9993,17,FALSE),"")</f>
        <v/>
      </c>
      <c r="AU648" s="224" t="str">
        <f t="shared" si="87"/>
        <v/>
      </c>
      <c r="AV648" s="224" t="str">
        <f>IFERROR(VLOOKUP($A648,CP!$A$1:$U$7992,18,FALSE),"")</f>
        <v/>
      </c>
      <c r="AW648" s="224" t="str">
        <f>IFERROR(VLOOKUP($A648,CP!$A$1:$U$7992,19,FALSE),"")</f>
        <v/>
      </c>
      <c r="AX648" s="224" t="str">
        <f>IFERROR(VLOOKUP($A648,CP!$A$1:$U$7992,20,FALSE),"")</f>
        <v/>
      </c>
      <c r="AY648" s="224" t="str">
        <f>IFERROR(VLOOKUP($A648,CP!$A$1:$U$1,21,FALSE),"")</f>
        <v/>
      </c>
      <c r="AZ648" s="224" t="str">
        <f>IFERROR(VLOOKUP(A648,Devengado!$A$1:AJ1,35,FALSE),"")</f>
        <v/>
      </c>
      <c r="BA648" s="224" t="str">
        <f t="shared" si="82"/>
        <v/>
      </c>
      <c r="BB648" s="224" t="str">
        <f>IFERROR(AZ648/#REF!,"")</f>
        <v/>
      </c>
      <c r="BC648" s="224" t="str">
        <f>IFERROR(VLOOKUP($A648,Devengado!$A$1:$AI$1,22,FALSE),"")</f>
        <v/>
      </c>
      <c r="BD648" s="224" t="str">
        <f>IFERROR(VLOOKUP($A648,Devengado!$A$1:$AI$1,23,FALSE),"")</f>
        <v/>
      </c>
      <c r="BE648" s="224" t="str">
        <f>IFERROR(VLOOKUP($A648,Devengado!$A$1:$AI$1,24,FALSE),"")</f>
        <v/>
      </c>
      <c r="BF648" s="224" t="str">
        <f>IFERROR(VLOOKUP($A648,Devengado!$A$1:$AI$1,25,FALSE),"")</f>
        <v/>
      </c>
      <c r="BG648" s="224" t="str">
        <f>IFERROR(VLOOKUP($A648,Devengado!$A$1:$AI$1,26,FALSE),"")</f>
        <v/>
      </c>
      <c r="BH648" s="224" t="str">
        <f>IFERROR(VLOOKUP($A648,Devengado!$A$1:$AI$1,27,FALSE),"")</f>
        <v/>
      </c>
      <c r="BI648" s="224" t="str">
        <f>IFERROR(VLOOKUP($A648,Devengado!$A$1:$AI$1,28,FALSE),"")</f>
        <v/>
      </c>
      <c r="BJ648" s="224" t="str">
        <f>IFERROR(VLOOKUP($A648,Devengado!$A$1:$AI$1,29,FALSE),"")</f>
        <v/>
      </c>
      <c r="BK648" s="224" t="str">
        <f>IFERROR(VLOOKUP($A648,Devengado!$A$1:$AI$1,30,FALSE),"")</f>
        <v/>
      </c>
      <c r="BL648" s="224" t="str">
        <f>IFERROR(VLOOKUP($A648,Devengado!$A$1:$AI$1,31,FALSE),"")</f>
        <v/>
      </c>
      <c r="BM648" s="224" t="str">
        <f>IFERROR(VLOOKUP($A648,Devengado!$A$1:$AI$1,32,FALSE),"")</f>
        <v/>
      </c>
      <c r="BN648" s="224" t="str">
        <f>IFERROR(VLOOKUP($A648,Devengado!$A$1:$AI$1,33,FALSE),"")</f>
        <v/>
      </c>
      <c r="BO648" s="224">
        <f t="shared" si="83"/>
        <v>0</v>
      </c>
      <c r="BP648" s="224" t="str">
        <f t="shared" si="84"/>
        <v/>
      </c>
      <c r="BQ648" s="207"/>
      <c r="BR648" s="207" t="str">
        <f t="shared" si="85"/>
        <v>53</v>
      </c>
    </row>
    <row r="649" spans="1:70" s="225" customFormat="1" ht="25.5" customHeight="1">
      <c r="A649" s="207">
        <v>645</v>
      </c>
      <c r="B649" s="112" t="s">
        <v>621</v>
      </c>
      <c r="C649" s="112" t="s">
        <v>77</v>
      </c>
      <c r="D649" s="112" t="s">
        <v>77</v>
      </c>
      <c r="E649" s="112" t="s">
        <v>76</v>
      </c>
      <c r="F649" s="112" t="s">
        <v>77</v>
      </c>
      <c r="G649" s="112" t="s">
        <v>77</v>
      </c>
      <c r="H649" s="112" t="s">
        <v>77</v>
      </c>
      <c r="I649" s="112" t="s">
        <v>77</v>
      </c>
      <c r="J649" s="112" t="s">
        <v>77</v>
      </c>
      <c r="K649" s="112" t="s">
        <v>77</v>
      </c>
      <c r="L649" s="112" t="s">
        <v>85</v>
      </c>
      <c r="M649" s="112" t="s">
        <v>640</v>
      </c>
      <c r="N649" s="114" t="s">
        <v>623</v>
      </c>
      <c r="O649" s="123">
        <v>80</v>
      </c>
      <c r="P649" s="114" t="s">
        <v>81</v>
      </c>
      <c r="Q649" s="114" t="s">
        <v>112</v>
      </c>
      <c r="R649" s="115" t="str">
        <f t="shared" si="80"/>
        <v>53</v>
      </c>
      <c r="S649" s="112">
        <v>530105</v>
      </c>
      <c r="T649" s="122" t="str">
        <f>VLOOKUP(S649,ITEM!$C$1:$D$156,2,FALSE)</f>
        <v>Telecomunicaciones</v>
      </c>
      <c r="U649" s="112">
        <v>101</v>
      </c>
      <c r="V649" s="114" t="s">
        <v>82</v>
      </c>
      <c r="W649" s="114" t="s">
        <v>84</v>
      </c>
      <c r="X649" s="114" t="s">
        <v>84</v>
      </c>
      <c r="Y649" s="224" t="e">
        <f>'Matriz POA 2024-TRABAJO'!#REF!</f>
        <v>#REF!</v>
      </c>
      <c r="Z649" s="224" t="e">
        <f>'Matriz POA 2024-TRABAJO'!#REF!</f>
        <v>#REF!</v>
      </c>
      <c r="AA649" s="224" t="e">
        <f>'Matriz POA 2024-TRABAJO'!#REF!</f>
        <v>#REF!</v>
      </c>
      <c r="AB649" s="279">
        <v>12.5</v>
      </c>
      <c r="AC649" s="279">
        <v>12.5</v>
      </c>
      <c r="AD649" s="279">
        <v>12.5</v>
      </c>
      <c r="AE649" s="279">
        <v>12.5</v>
      </c>
      <c r="AF649" s="279">
        <v>12.5</v>
      </c>
      <c r="AG649" s="279">
        <v>12.5</v>
      </c>
      <c r="AH649" s="279">
        <v>12.5</v>
      </c>
      <c r="AI649" s="279">
        <v>12.5</v>
      </c>
      <c r="AJ649" s="279">
        <v>12.5</v>
      </c>
      <c r="AK649" s="279">
        <v>12.5</v>
      </c>
      <c r="AL649" s="279">
        <v>12.5</v>
      </c>
      <c r="AM649" s="279">
        <v>12.5</v>
      </c>
      <c r="AN649" s="224" t="e">
        <f>SUM(#REF!)</f>
        <v>#REF!</v>
      </c>
      <c r="AO649" s="224">
        <f t="shared" si="81"/>
        <v>150</v>
      </c>
      <c r="AP649" s="224" t="e">
        <f t="shared" si="86"/>
        <v>#REF!</v>
      </c>
      <c r="AQ649" s="224"/>
      <c r="AR649" s="224"/>
      <c r="AS649" s="224"/>
      <c r="AT649" s="224" t="str">
        <f>IFERROR(VLOOKUP($A649,'Constancias POA'!$A$2:$DH$9993,17,FALSE),"")</f>
        <v/>
      </c>
      <c r="AU649" s="224" t="str">
        <f t="shared" si="87"/>
        <v/>
      </c>
      <c r="AV649" s="224" t="str">
        <f>IFERROR(VLOOKUP($A649,CP!$A$1:$U$7992,18,FALSE),"")</f>
        <v/>
      </c>
      <c r="AW649" s="224" t="str">
        <f>IFERROR(VLOOKUP($A649,CP!$A$1:$U$7992,19,FALSE),"")</f>
        <v/>
      </c>
      <c r="AX649" s="224" t="str">
        <f>IFERROR(VLOOKUP($A649,CP!$A$1:$U$7992,20,FALSE),"")</f>
        <v/>
      </c>
      <c r="AY649" s="224" t="str">
        <f>IFERROR(VLOOKUP($A649,CP!$A$1:$U$1,21,FALSE),"")</f>
        <v/>
      </c>
      <c r="AZ649" s="224" t="str">
        <f>IFERROR(VLOOKUP(A649,Devengado!$A$1:AJ1,35,FALSE),"")</f>
        <v/>
      </c>
      <c r="BA649" s="224" t="str">
        <f t="shared" si="82"/>
        <v/>
      </c>
      <c r="BB649" s="224" t="str">
        <f>IFERROR(AZ649/#REF!,"")</f>
        <v/>
      </c>
      <c r="BC649" s="224" t="str">
        <f>IFERROR(VLOOKUP($A649,Devengado!$A$1:$AI$1,22,FALSE),"")</f>
        <v/>
      </c>
      <c r="BD649" s="224" t="str">
        <f>IFERROR(VLOOKUP($A649,Devengado!$A$1:$AI$1,23,FALSE),"")</f>
        <v/>
      </c>
      <c r="BE649" s="224" t="str">
        <f>IFERROR(VLOOKUP($A649,Devengado!$A$1:$AI$1,24,FALSE),"")</f>
        <v/>
      </c>
      <c r="BF649" s="224" t="str">
        <f>IFERROR(VLOOKUP($A649,Devengado!$A$1:$AI$1,25,FALSE),"")</f>
        <v/>
      </c>
      <c r="BG649" s="224" t="str">
        <f>IFERROR(VLOOKUP($A649,Devengado!$A$1:$AI$1,26,FALSE),"")</f>
        <v/>
      </c>
      <c r="BH649" s="224" t="str">
        <f>IFERROR(VLOOKUP($A649,Devengado!$A$1:$AI$1,27,FALSE),"")</f>
        <v/>
      </c>
      <c r="BI649" s="224" t="str">
        <f>IFERROR(VLOOKUP($A649,Devengado!$A$1:$AI$1,28,FALSE),"")</f>
        <v/>
      </c>
      <c r="BJ649" s="224" t="str">
        <f>IFERROR(VLOOKUP($A649,Devengado!$A$1:$AI$1,29,FALSE),"")</f>
        <v/>
      </c>
      <c r="BK649" s="224" t="str">
        <f>IFERROR(VLOOKUP($A649,Devengado!$A$1:$AI$1,30,FALSE),"")</f>
        <v/>
      </c>
      <c r="BL649" s="224" t="str">
        <f>IFERROR(VLOOKUP($A649,Devengado!$A$1:$AI$1,31,FALSE),"")</f>
        <v/>
      </c>
      <c r="BM649" s="224" t="str">
        <f>IFERROR(VLOOKUP($A649,Devengado!$A$1:$AI$1,32,FALSE),"")</f>
        <v/>
      </c>
      <c r="BN649" s="224" t="str">
        <f>IFERROR(VLOOKUP($A649,Devengado!$A$1:$AI$1,33,FALSE),"")</f>
        <v/>
      </c>
      <c r="BO649" s="224">
        <f t="shared" si="83"/>
        <v>0</v>
      </c>
      <c r="BP649" s="224" t="str">
        <f t="shared" si="84"/>
        <v/>
      </c>
      <c r="BQ649" s="207"/>
      <c r="BR649" s="207" t="str">
        <f t="shared" si="85"/>
        <v>53</v>
      </c>
    </row>
    <row r="650" spans="1:70" s="225" customFormat="1" ht="25.5" customHeight="1">
      <c r="A650" s="207">
        <v>646</v>
      </c>
      <c r="B650" s="112" t="s">
        <v>621</v>
      </c>
      <c r="C650" s="112" t="s">
        <v>77</v>
      </c>
      <c r="D650" s="112" t="s">
        <v>77</v>
      </c>
      <c r="E650" s="112" t="s">
        <v>76</v>
      </c>
      <c r="F650" s="112" t="s">
        <v>77</v>
      </c>
      <c r="G650" s="112" t="s">
        <v>77</v>
      </c>
      <c r="H650" s="112" t="s">
        <v>77</v>
      </c>
      <c r="I650" s="112" t="s">
        <v>77</v>
      </c>
      <c r="J650" s="112" t="s">
        <v>77</v>
      </c>
      <c r="K650" s="112" t="s">
        <v>77</v>
      </c>
      <c r="L650" s="112" t="s">
        <v>85</v>
      </c>
      <c r="M650" s="112" t="s">
        <v>641</v>
      </c>
      <c r="N650" s="114" t="s">
        <v>623</v>
      </c>
      <c r="O650" s="123">
        <v>80</v>
      </c>
      <c r="P650" s="114" t="s">
        <v>81</v>
      </c>
      <c r="Q650" s="114" t="s">
        <v>112</v>
      </c>
      <c r="R650" s="115" t="str">
        <f t="shared" si="80"/>
        <v>53</v>
      </c>
      <c r="S650" s="112">
        <v>530105</v>
      </c>
      <c r="T650" s="122" t="str">
        <f>VLOOKUP(S650,ITEM!$C$1:$D$156,2,FALSE)</f>
        <v>Telecomunicaciones</v>
      </c>
      <c r="U650" s="112">
        <v>101</v>
      </c>
      <c r="V650" s="114" t="s">
        <v>82</v>
      </c>
      <c r="W650" s="114" t="s">
        <v>84</v>
      </c>
      <c r="X650" s="114" t="s">
        <v>84</v>
      </c>
      <c r="Y650" s="224" t="e">
        <f>'Matriz POA 2024-TRABAJO'!#REF!</f>
        <v>#REF!</v>
      </c>
      <c r="Z650" s="224" t="e">
        <f>'Matriz POA 2024-TRABAJO'!#REF!</f>
        <v>#REF!</v>
      </c>
      <c r="AA650" s="224" t="e">
        <f>'Matriz POA 2024-TRABAJO'!#REF!</f>
        <v>#REF!</v>
      </c>
      <c r="AB650" s="279">
        <v>12.5</v>
      </c>
      <c r="AC650" s="279">
        <v>12.5</v>
      </c>
      <c r="AD650" s="279">
        <v>12.5</v>
      </c>
      <c r="AE650" s="279">
        <v>12.5</v>
      </c>
      <c r="AF650" s="279">
        <v>12.5</v>
      </c>
      <c r="AG650" s="279">
        <v>12.5</v>
      </c>
      <c r="AH650" s="279">
        <v>12.5</v>
      </c>
      <c r="AI650" s="279">
        <v>12.5</v>
      </c>
      <c r="AJ650" s="279">
        <v>12.5</v>
      </c>
      <c r="AK650" s="279">
        <v>12.5</v>
      </c>
      <c r="AL650" s="279">
        <v>12.5</v>
      </c>
      <c r="AM650" s="279">
        <v>12.5</v>
      </c>
      <c r="AN650" s="224" t="e">
        <f>SUM(#REF!)</f>
        <v>#REF!</v>
      </c>
      <c r="AO650" s="224">
        <f t="shared" si="81"/>
        <v>150</v>
      </c>
      <c r="AP650" s="224" t="e">
        <f t="shared" si="86"/>
        <v>#REF!</v>
      </c>
      <c r="AQ650" s="224"/>
      <c r="AR650" s="224"/>
      <c r="AS650" s="224"/>
      <c r="AT650" s="224" t="str">
        <f>IFERROR(VLOOKUP($A650,'Constancias POA'!$A$2:$DH$9993,17,FALSE),"")</f>
        <v/>
      </c>
      <c r="AU650" s="224" t="str">
        <f t="shared" si="87"/>
        <v/>
      </c>
      <c r="AV650" s="224" t="str">
        <f>IFERROR(VLOOKUP($A650,CP!$A$1:$U$7992,18,FALSE),"")</f>
        <v/>
      </c>
      <c r="AW650" s="224" t="str">
        <f>IFERROR(VLOOKUP($A650,CP!$A$1:$U$7992,19,FALSE),"")</f>
        <v/>
      </c>
      <c r="AX650" s="224" t="str">
        <f>IFERROR(VLOOKUP($A650,CP!$A$1:$U$7992,20,FALSE),"")</f>
        <v/>
      </c>
      <c r="AY650" s="224" t="str">
        <f>IFERROR(VLOOKUP($A650,CP!$A$1:$U$1,21,FALSE),"")</f>
        <v/>
      </c>
      <c r="AZ650" s="224" t="str">
        <f>IFERROR(VLOOKUP(A650,Devengado!$A$1:AJ1,35,FALSE),"")</f>
        <v/>
      </c>
      <c r="BA650" s="224" t="str">
        <f t="shared" si="82"/>
        <v/>
      </c>
      <c r="BB650" s="224" t="str">
        <f>IFERROR(AZ650/#REF!,"")</f>
        <v/>
      </c>
      <c r="BC650" s="224" t="str">
        <f>IFERROR(VLOOKUP($A650,Devengado!$A$1:$AI$1,22,FALSE),"")</f>
        <v/>
      </c>
      <c r="BD650" s="224" t="str">
        <f>IFERROR(VLOOKUP($A650,Devengado!$A$1:$AI$1,23,FALSE),"")</f>
        <v/>
      </c>
      <c r="BE650" s="224" t="str">
        <f>IFERROR(VLOOKUP($A650,Devengado!$A$1:$AI$1,24,FALSE),"")</f>
        <v/>
      </c>
      <c r="BF650" s="224" t="str">
        <f>IFERROR(VLOOKUP($A650,Devengado!$A$1:$AI$1,25,FALSE),"")</f>
        <v/>
      </c>
      <c r="BG650" s="224" t="str">
        <f>IFERROR(VLOOKUP($A650,Devengado!$A$1:$AI$1,26,FALSE),"")</f>
        <v/>
      </c>
      <c r="BH650" s="224" t="str">
        <f>IFERROR(VLOOKUP($A650,Devengado!$A$1:$AI$1,27,FALSE),"")</f>
        <v/>
      </c>
      <c r="BI650" s="224" t="str">
        <f>IFERROR(VLOOKUP($A650,Devengado!$A$1:$AI$1,28,FALSE),"")</f>
        <v/>
      </c>
      <c r="BJ650" s="224" t="str">
        <f>IFERROR(VLOOKUP($A650,Devengado!$A$1:$AI$1,29,FALSE),"")</f>
        <v/>
      </c>
      <c r="BK650" s="224" t="str">
        <f>IFERROR(VLOOKUP($A650,Devengado!$A$1:$AI$1,30,FALSE),"")</f>
        <v/>
      </c>
      <c r="BL650" s="224" t="str">
        <f>IFERROR(VLOOKUP($A650,Devengado!$A$1:$AI$1,31,FALSE),"")</f>
        <v/>
      </c>
      <c r="BM650" s="224" t="str">
        <f>IFERROR(VLOOKUP($A650,Devengado!$A$1:$AI$1,32,FALSE),"")</f>
        <v/>
      </c>
      <c r="BN650" s="224" t="str">
        <f>IFERROR(VLOOKUP($A650,Devengado!$A$1:$AI$1,33,FALSE),"")</f>
        <v/>
      </c>
      <c r="BO650" s="224">
        <f t="shared" si="83"/>
        <v>0</v>
      </c>
      <c r="BP650" s="224" t="str">
        <f t="shared" si="84"/>
        <v/>
      </c>
      <c r="BQ650" s="207"/>
      <c r="BR650" s="207" t="str">
        <f t="shared" si="85"/>
        <v>53</v>
      </c>
    </row>
    <row r="651" spans="1:70" s="225" customFormat="1" ht="25.5" customHeight="1">
      <c r="A651" s="207">
        <v>647</v>
      </c>
      <c r="B651" s="112" t="s">
        <v>621</v>
      </c>
      <c r="C651" s="112" t="s">
        <v>77</v>
      </c>
      <c r="D651" s="112" t="s">
        <v>77</v>
      </c>
      <c r="E651" s="112" t="s">
        <v>76</v>
      </c>
      <c r="F651" s="112" t="s">
        <v>77</v>
      </c>
      <c r="G651" s="112" t="s">
        <v>77</v>
      </c>
      <c r="H651" s="112" t="s">
        <v>77</v>
      </c>
      <c r="I651" s="112" t="s">
        <v>77</v>
      </c>
      <c r="J651" s="112" t="s">
        <v>77</v>
      </c>
      <c r="K651" s="112" t="s">
        <v>77</v>
      </c>
      <c r="L651" s="112" t="s">
        <v>85</v>
      </c>
      <c r="M651" s="112" t="s">
        <v>642</v>
      </c>
      <c r="N651" s="114" t="s">
        <v>623</v>
      </c>
      <c r="O651" s="123">
        <v>80</v>
      </c>
      <c r="P651" s="114" t="s">
        <v>81</v>
      </c>
      <c r="Q651" s="114" t="s">
        <v>112</v>
      </c>
      <c r="R651" s="115" t="str">
        <f t="shared" si="80"/>
        <v>53</v>
      </c>
      <c r="S651" s="112">
        <v>530105</v>
      </c>
      <c r="T651" s="122" t="str">
        <f>VLOOKUP(S651,ITEM!$C$1:$D$156,2,FALSE)</f>
        <v>Telecomunicaciones</v>
      </c>
      <c r="U651" s="112">
        <v>101</v>
      </c>
      <c r="V651" s="114" t="s">
        <v>82</v>
      </c>
      <c r="W651" s="114" t="s">
        <v>84</v>
      </c>
      <c r="X651" s="114" t="s">
        <v>84</v>
      </c>
      <c r="Y651" s="224" t="e">
        <f>'Matriz POA 2024-TRABAJO'!#REF!</f>
        <v>#REF!</v>
      </c>
      <c r="Z651" s="224" t="e">
        <f>'Matriz POA 2024-TRABAJO'!#REF!</f>
        <v>#REF!</v>
      </c>
      <c r="AA651" s="224" t="e">
        <f>'Matriz POA 2024-TRABAJO'!#REF!</f>
        <v>#REF!</v>
      </c>
      <c r="AB651" s="279">
        <v>12.5</v>
      </c>
      <c r="AC651" s="279">
        <v>12.5</v>
      </c>
      <c r="AD651" s="279">
        <v>12.5</v>
      </c>
      <c r="AE651" s="279">
        <v>12.5</v>
      </c>
      <c r="AF651" s="279">
        <v>12.5</v>
      </c>
      <c r="AG651" s="279">
        <v>12.5</v>
      </c>
      <c r="AH651" s="279">
        <v>12.5</v>
      </c>
      <c r="AI651" s="279">
        <v>12.5</v>
      </c>
      <c r="AJ651" s="279">
        <v>12.5</v>
      </c>
      <c r="AK651" s="279">
        <v>12.5</v>
      </c>
      <c r="AL651" s="279">
        <v>12.5</v>
      </c>
      <c r="AM651" s="279">
        <v>12.5</v>
      </c>
      <c r="AN651" s="224" t="e">
        <f>SUM(#REF!)</f>
        <v>#REF!</v>
      </c>
      <c r="AO651" s="224">
        <f t="shared" si="81"/>
        <v>150</v>
      </c>
      <c r="AP651" s="224" t="e">
        <f t="shared" si="86"/>
        <v>#REF!</v>
      </c>
      <c r="AQ651" s="224"/>
      <c r="AR651" s="224"/>
      <c r="AS651" s="224"/>
      <c r="AT651" s="224" t="str">
        <f>IFERROR(VLOOKUP($A651,'Constancias POA'!$A$2:$DH$9993,17,FALSE),"")</f>
        <v/>
      </c>
      <c r="AU651" s="224" t="str">
        <f t="shared" si="87"/>
        <v/>
      </c>
      <c r="AV651" s="224" t="str">
        <f>IFERROR(VLOOKUP($A651,CP!$A$1:$U$7992,18,FALSE),"")</f>
        <v/>
      </c>
      <c r="AW651" s="224" t="str">
        <f>IFERROR(VLOOKUP($A651,CP!$A$1:$U$7992,19,FALSE),"")</f>
        <v/>
      </c>
      <c r="AX651" s="224" t="str">
        <f>IFERROR(VLOOKUP($A651,CP!$A$1:$U$7992,20,FALSE),"")</f>
        <v/>
      </c>
      <c r="AY651" s="224" t="str">
        <f>IFERROR(VLOOKUP($A651,CP!$A$1:$U$1,21,FALSE),"")</f>
        <v/>
      </c>
      <c r="AZ651" s="224" t="str">
        <f>IFERROR(VLOOKUP(A651,Devengado!$A$1:AJ1,35,FALSE),"")</f>
        <v/>
      </c>
      <c r="BA651" s="224" t="str">
        <f t="shared" si="82"/>
        <v/>
      </c>
      <c r="BB651" s="224" t="str">
        <f>IFERROR(AZ651/#REF!,"")</f>
        <v/>
      </c>
      <c r="BC651" s="224" t="str">
        <f>IFERROR(VLOOKUP($A651,Devengado!$A$1:$AI$1,22,FALSE),"")</f>
        <v/>
      </c>
      <c r="BD651" s="224" t="str">
        <f>IFERROR(VLOOKUP($A651,Devengado!$A$1:$AI$1,23,FALSE),"")</f>
        <v/>
      </c>
      <c r="BE651" s="224" t="str">
        <f>IFERROR(VLOOKUP($A651,Devengado!$A$1:$AI$1,24,FALSE),"")</f>
        <v/>
      </c>
      <c r="BF651" s="224" t="str">
        <f>IFERROR(VLOOKUP($A651,Devengado!$A$1:$AI$1,25,FALSE),"")</f>
        <v/>
      </c>
      <c r="BG651" s="224" t="str">
        <f>IFERROR(VLOOKUP($A651,Devengado!$A$1:$AI$1,26,FALSE),"")</f>
        <v/>
      </c>
      <c r="BH651" s="224" t="str">
        <f>IFERROR(VLOOKUP($A651,Devengado!$A$1:$AI$1,27,FALSE),"")</f>
        <v/>
      </c>
      <c r="BI651" s="224" t="str">
        <f>IFERROR(VLOOKUP($A651,Devengado!$A$1:$AI$1,28,FALSE),"")</f>
        <v/>
      </c>
      <c r="BJ651" s="224" t="str">
        <f>IFERROR(VLOOKUP($A651,Devengado!$A$1:$AI$1,29,FALSE),"")</f>
        <v/>
      </c>
      <c r="BK651" s="224" t="str">
        <f>IFERROR(VLOOKUP($A651,Devengado!$A$1:$AI$1,30,FALSE),"")</f>
        <v/>
      </c>
      <c r="BL651" s="224" t="str">
        <f>IFERROR(VLOOKUP($A651,Devengado!$A$1:$AI$1,31,FALSE),"")</f>
        <v/>
      </c>
      <c r="BM651" s="224" t="str">
        <f>IFERROR(VLOOKUP($A651,Devengado!$A$1:$AI$1,32,FALSE),"")</f>
        <v/>
      </c>
      <c r="BN651" s="224" t="str">
        <f>IFERROR(VLOOKUP($A651,Devengado!$A$1:$AI$1,33,FALSE),"")</f>
        <v/>
      </c>
      <c r="BO651" s="224">
        <f t="shared" si="83"/>
        <v>0</v>
      </c>
      <c r="BP651" s="224" t="str">
        <f t="shared" si="84"/>
        <v/>
      </c>
      <c r="BQ651" s="207"/>
      <c r="BR651" s="207" t="str">
        <f t="shared" si="85"/>
        <v>53</v>
      </c>
    </row>
    <row r="652" spans="1:70" s="225" customFormat="1" ht="25.5" customHeight="1">
      <c r="A652" s="207">
        <v>648</v>
      </c>
      <c r="B652" s="112" t="s">
        <v>621</v>
      </c>
      <c r="C652" s="112" t="s">
        <v>77</v>
      </c>
      <c r="D652" s="112" t="s">
        <v>77</v>
      </c>
      <c r="E652" s="112" t="s">
        <v>76</v>
      </c>
      <c r="F652" s="112" t="s">
        <v>77</v>
      </c>
      <c r="G652" s="112" t="s">
        <v>77</v>
      </c>
      <c r="H652" s="112" t="s">
        <v>77</v>
      </c>
      <c r="I652" s="112" t="s">
        <v>77</v>
      </c>
      <c r="J652" s="112" t="s">
        <v>77</v>
      </c>
      <c r="K652" s="112" t="s">
        <v>77</v>
      </c>
      <c r="L652" s="112" t="s">
        <v>85</v>
      </c>
      <c r="M652" s="112" t="s">
        <v>643</v>
      </c>
      <c r="N652" s="114" t="s">
        <v>623</v>
      </c>
      <c r="O652" s="123">
        <v>80</v>
      </c>
      <c r="P652" s="114" t="s">
        <v>81</v>
      </c>
      <c r="Q652" s="114" t="s">
        <v>112</v>
      </c>
      <c r="R652" s="115" t="str">
        <f t="shared" si="80"/>
        <v>53</v>
      </c>
      <c r="S652" s="112">
        <v>530106</v>
      </c>
      <c r="T652" s="122" t="str">
        <f>VLOOKUP(S652,ITEM!$C$1:$D$156,2,FALSE)</f>
        <v>Servicio de Correo</v>
      </c>
      <c r="U652" s="112">
        <v>101</v>
      </c>
      <c r="V652" s="114" t="s">
        <v>82</v>
      </c>
      <c r="W652" s="114" t="s">
        <v>84</v>
      </c>
      <c r="X652" s="114" t="s">
        <v>84</v>
      </c>
      <c r="Y652" s="224" t="e">
        <f>'Matriz POA 2024-TRABAJO'!#REF!</f>
        <v>#REF!</v>
      </c>
      <c r="Z652" s="224" t="e">
        <f>'Matriz POA 2024-TRABAJO'!#REF!</f>
        <v>#REF!</v>
      </c>
      <c r="AA652" s="224" t="e">
        <f>'Matriz POA 2024-TRABAJO'!#REF!</f>
        <v>#REF!</v>
      </c>
      <c r="AB652" s="279">
        <v>0</v>
      </c>
      <c r="AC652" s="279">
        <v>0</v>
      </c>
      <c r="AD652" s="279">
        <v>15</v>
      </c>
      <c r="AE652" s="279">
        <v>15</v>
      </c>
      <c r="AF652" s="279">
        <v>15</v>
      </c>
      <c r="AG652" s="279">
        <v>15</v>
      </c>
      <c r="AH652" s="279">
        <v>15</v>
      </c>
      <c r="AI652" s="279">
        <v>15</v>
      </c>
      <c r="AJ652" s="279">
        <v>15</v>
      </c>
      <c r="AK652" s="279">
        <v>15</v>
      </c>
      <c r="AL652" s="279">
        <v>15</v>
      </c>
      <c r="AM652" s="279">
        <v>15</v>
      </c>
      <c r="AN652" s="224" t="e">
        <f>SUM(#REF!)</f>
        <v>#REF!</v>
      </c>
      <c r="AO652" s="224">
        <f t="shared" si="81"/>
        <v>150</v>
      </c>
      <c r="AP652" s="224" t="e">
        <f t="shared" si="86"/>
        <v>#REF!</v>
      </c>
      <c r="AQ652" s="224"/>
      <c r="AR652" s="224"/>
      <c r="AS652" s="224"/>
      <c r="AT652" s="224" t="str">
        <f>IFERROR(VLOOKUP($A652,'Constancias POA'!$A$2:$DH$9993,17,FALSE),"")</f>
        <v/>
      </c>
      <c r="AU652" s="224" t="str">
        <f t="shared" si="87"/>
        <v/>
      </c>
      <c r="AV652" s="224" t="str">
        <f>IFERROR(VLOOKUP($A652,CP!$A$1:$U$7992,18,FALSE),"")</f>
        <v/>
      </c>
      <c r="AW652" s="224" t="str">
        <f>IFERROR(VLOOKUP($A652,CP!$A$1:$U$7992,19,FALSE),"")</f>
        <v/>
      </c>
      <c r="AX652" s="224" t="str">
        <f>IFERROR(VLOOKUP($A652,CP!$A$1:$U$7992,20,FALSE),"")</f>
        <v/>
      </c>
      <c r="AY652" s="224" t="str">
        <f>IFERROR(VLOOKUP($A652,CP!$A$1:$U$1,21,FALSE),"")</f>
        <v/>
      </c>
      <c r="AZ652" s="224" t="str">
        <f>IFERROR(VLOOKUP(A652,Devengado!$A$1:AJ1,35,FALSE),"")</f>
        <v/>
      </c>
      <c r="BA652" s="224" t="str">
        <f t="shared" si="82"/>
        <v/>
      </c>
      <c r="BB652" s="224" t="str">
        <f>IFERROR(AZ652/#REF!,"")</f>
        <v/>
      </c>
      <c r="BC652" s="224" t="str">
        <f>IFERROR(VLOOKUP($A652,Devengado!$A$1:$AI$1,22,FALSE),"")</f>
        <v/>
      </c>
      <c r="BD652" s="224" t="str">
        <f>IFERROR(VLOOKUP($A652,Devengado!$A$1:$AI$1,23,FALSE),"")</f>
        <v/>
      </c>
      <c r="BE652" s="224" t="str">
        <f>IFERROR(VLOOKUP($A652,Devengado!$A$1:$AI$1,24,FALSE),"")</f>
        <v/>
      </c>
      <c r="BF652" s="224" t="str">
        <f>IFERROR(VLOOKUP($A652,Devengado!$A$1:$AI$1,25,FALSE),"")</f>
        <v/>
      </c>
      <c r="BG652" s="224" t="str">
        <f>IFERROR(VLOOKUP($A652,Devengado!$A$1:$AI$1,26,FALSE),"")</f>
        <v/>
      </c>
      <c r="BH652" s="224" t="str">
        <f>IFERROR(VLOOKUP($A652,Devengado!$A$1:$AI$1,27,FALSE),"")</f>
        <v/>
      </c>
      <c r="BI652" s="224" t="str">
        <f>IFERROR(VLOOKUP($A652,Devengado!$A$1:$AI$1,28,FALSE),"")</f>
        <v/>
      </c>
      <c r="BJ652" s="224" t="str">
        <f>IFERROR(VLOOKUP($A652,Devengado!$A$1:$AI$1,29,FALSE),"")</f>
        <v/>
      </c>
      <c r="BK652" s="224" t="str">
        <f>IFERROR(VLOOKUP($A652,Devengado!$A$1:$AI$1,30,FALSE),"")</f>
        <v/>
      </c>
      <c r="BL652" s="224" t="str">
        <f>IFERROR(VLOOKUP($A652,Devengado!$A$1:$AI$1,31,FALSE),"")</f>
        <v/>
      </c>
      <c r="BM652" s="224" t="str">
        <f>IFERROR(VLOOKUP($A652,Devengado!$A$1:$AI$1,32,FALSE),"")</f>
        <v/>
      </c>
      <c r="BN652" s="224" t="str">
        <f>IFERROR(VLOOKUP($A652,Devengado!$A$1:$AI$1,33,FALSE),"")</f>
        <v/>
      </c>
      <c r="BO652" s="224">
        <f t="shared" si="83"/>
        <v>0</v>
      </c>
      <c r="BP652" s="224" t="str">
        <f t="shared" si="84"/>
        <v/>
      </c>
      <c r="BQ652" s="207"/>
      <c r="BR652" s="207" t="str">
        <f t="shared" si="85"/>
        <v>53</v>
      </c>
    </row>
    <row r="653" spans="1:70" s="225" customFormat="1" ht="25.5" customHeight="1">
      <c r="A653" s="207">
        <v>649</v>
      </c>
      <c r="B653" s="112" t="s">
        <v>621</v>
      </c>
      <c r="C653" s="112" t="s">
        <v>77</v>
      </c>
      <c r="D653" s="112" t="s">
        <v>77</v>
      </c>
      <c r="E653" s="112" t="s">
        <v>76</v>
      </c>
      <c r="F653" s="112" t="s">
        <v>77</v>
      </c>
      <c r="G653" s="112" t="s">
        <v>77</v>
      </c>
      <c r="H653" s="112" t="s">
        <v>77</v>
      </c>
      <c r="I653" s="112" t="s">
        <v>77</v>
      </c>
      <c r="J653" s="112" t="s">
        <v>77</v>
      </c>
      <c r="K653" s="112" t="s">
        <v>77</v>
      </c>
      <c r="L653" s="112" t="s">
        <v>85</v>
      </c>
      <c r="M653" s="112" t="s">
        <v>644</v>
      </c>
      <c r="N653" s="114" t="s">
        <v>623</v>
      </c>
      <c r="O653" s="123">
        <v>80</v>
      </c>
      <c r="P653" s="114" t="s">
        <v>81</v>
      </c>
      <c r="Q653" s="114" t="s">
        <v>112</v>
      </c>
      <c r="R653" s="115" t="str">
        <f t="shared" si="80"/>
        <v>53</v>
      </c>
      <c r="S653" s="112">
        <v>530202</v>
      </c>
      <c r="T653" s="122" t="str">
        <f>VLOOKUP(S653,ITEM!$C$1:$D$156,2,FALSE)</f>
        <v>Fletes y Maniobras</v>
      </c>
      <c r="U653" s="112">
        <v>101</v>
      </c>
      <c r="V653" s="114" t="s">
        <v>82</v>
      </c>
      <c r="W653" s="114" t="s">
        <v>84</v>
      </c>
      <c r="X653" s="114" t="s">
        <v>84</v>
      </c>
      <c r="Y653" s="224" t="e">
        <f>'Matriz POA 2024-TRABAJO'!#REF!</f>
        <v>#REF!</v>
      </c>
      <c r="Z653" s="224" t="e">
        <f>'Matriz POA 2024-TRABAJO'!#REF!</f>
        <v>#REF!</v>
      </c>
      <c r="AA653" s="224" t="e">
        <f>'Matriz POA 2024-TRABAJO'!#REF!</f>
        <v>#REF!</v>
      </c>
      <c r="AB653" s="279">
        <v>0</v>
      </c>
      <c r="AC653" s="279">
        <v>0</v>
      </c>
      <c r="AD653" s="279">
        <v>0</v>
      </c>
      <c r="AE653" s="279">
        <v>0</v>
      </c>
      <c r="AF653" s="279">
        <v>0</v>
      </c>
      <c r="AG653" s="279">
        <v>0</v>
      </c>
      <c r="AH653" s="279">
        <v>0</v>
      </c>
      <c r="AI653" s="279">
        <v>0</v>
      </c>
      <c r="AJ653" s="279">
        <v>0</v>
      </c>
      <c r="AK653" s="279">
        <v>0</v>
      </c>
      <c r="AL653" s="279">
        <v>0</v>
      </c>
      <c r="AM653" s="279">
        <v>0</v>
      </c>
      <c r="AN653" s="224" t="e">
        <f>SUM(#REF!)</f>
        <v>#REF!</v>
      </c>
      <c r="AO653" s="224">
        <f t="shared" si="81"/>
        <v>0</v>
      </c>
      <c r="AP653" s="224" t="e">
        <f t="shared" si="86"/>
        <v>#REF!</v>
      </c>
      <c r="AQ653" s="224"/>
      <c r="AR653" s="224"/>
      <c r="AS653" s="224"/>
      <c r="AT653" s="224" t="str">
        <f>IFERROR(VLOOKUP($A653,'Constancias POA'!$A$2:$DH$9993,17,FALSE),"")</f>
        <v/>
      </c>
      <c r="AU653" s="224" t="str">
        <f t="shared" si="87"/>
        <v/>
      </c>
      <c r="AV653" s="224" t="str">
        <f>IFERROR(VLOOKUP($A653,CP!$A$1:$U$7992,18,FALSE),"")</f>
        <v/>
      </c>
      <c r="AW653" s="224" t="str">
        <f>IFERROR(VLOOKUP($A653,CP!$A$1:$U$7992,19,FALSE),"")</f>
        <v/>
      </c>
      <c r="AX653" s="224" t="str">
        <f>IFERROR(VLOOKUP($A653,CP!$A$1:$U$7992,20,FALSE),"")</f>
        <v/>
      </c>
      <c r="AY653" s="224" t="str">
        <f>IFERROR(VLOOKUP($A653,CP!$A$1:$U$1,21,FALSE),"")</f>
        <v/>
      </c>
      <c r="AZ653" s="224" t="str">
        <f>IFERROR(VLOOKUP(A653,Devengado!$A$1:AJ1,35,FALSE),"")</f>
        <v/>
      </c>
      <c r="BA653" s="224" t="str">
        <f t="shared" si="82"/>
        <v/>
      </c>
      <c r="BB653" s="224" t="str">
        <f>IFERROR(AZ653/#REF!,"")</f>
        <v/>
      </c>
      <c r="BC653" s="224" t="str">
        <f>IFERROR(VLOOKUP($A653,Devengado!$A$1:$AI$1,22,FALSE),"")</f>
        <v/>
      </c>
      <c r="BD653" s="224" t="str">
        <f>IFERROR(VLOOKUP($A653,Devengado!$A$1:$AI$1,23,FALSE),"")</f>
        <v/>
      </c>
      <c r="BE653" s="224" t="str">
        <f>IFERROR(VLOOKUP($A653,Devengado!$A$1:$AI$1,24,FALSE),"")</f>
        <v/>
      </c>
      <c r="BF653" s="224" t="str">
        <f>IFERROR(VLOOKUP($A653,Devengado!$A$1:$AI$1,25,FALSE),"")</f>
        <v/>
      </c>
      <c r="BG653" s="224" t="str">
        <f>IFERROR(VLOOKUP($A653,Devengado!$A$1:$AI$1,26,FALSE),"")</f>
        <v/>
      </c>
      <c r="BH653" s="224" t="str">
        <f>IFERROR(VLOOKUP($A653,Devengado!$A$1:$AI$1,27,FALSE),"")</f>
        <v/>
      </c>
      <c r="BI653" s="224" t="str">
        <f>IFERROR(VLOOKUP($A653,Devengado!$A$1:$AI$1,28,FALSE),"")</f>
        <v/>
      </c>
      <c r="BJ653" s="224" t="str">
        <f>IFERROR(VLOOKUP($A653,Devengado!$A$1:$AI$1,29,FALSE),"")</f>
        <v/>
      </c>
      <c r="BK653" s="224" t="str">
        <f>IFERROR(VLOOKUP($A653,Devengado!$A$1:$AI$1,30,FALSE),"")</f>
        <v/>
      </c>
      <c r="BL653" s="224" t="str">
        <f>IFERROR(VLOOKUP($A653,Devengado!$A$1:$AI$1,31,FALSE),"")</f>
        <v/>
      </c>
      <c r="BM653" s="224" t="str">
        <f>IFERROR(VLOOKUP($A653,Devengado!$A$1:$AI$1,32,FALSE),"")</f>
        <v/>
      </c>
      <c r="BN653" s="224" t="str">
        <f>IFERROR(VLOOKUP($A653,Devengado!$A$1:$AI$1,33,FALSE),"")</f>
        <v/>
      </c>
      <c r="BO653" s="224">
        <f t="shared" si="83"/>
        <v>0</v>
      </c>
      <c r="BP653" s="224" t="str">
        <f t="shared" si="84"/>
        <v/>
      </c>
      <c r="BQ653" s="207"/>
      <c r="BR653" s="207" t="str">
        <f t="shared" si="85"/>
        <v>53</v>
      </c>
    </row>
    <row r="654" spans="1:70" s="225" customFormat="1" ht="42.75" customHeight="1">
      <c r="A654" s="207">
        <v>650</v>
      </c>
      <c r="B654" s="112" t="s">
        <v>621</v>
      </c>
      <c r="C654" s="112" t="s">
        <v>77</v>
      </c>
      <c r="D654" s="112" t="s">
        <v>77</v>
      </c>
      <c r="E654" s="112" t="s">
        <v>76</v>
      </c>
      <c r="F654" s="112" t="s">
        <v>77</v>
      </c>
      <c r="G654" s="112" t="s">
        <v>77</v>
      </c>
      <c r="H654" s="112" t="s">
        <v>77</v>
      </c>
      <c r="I654" s="112" t="s">
        <v>77</v>
      </c>
      <c r="J654" s="112" t="s">
        <v>77</v>
      </c>
      <c r="K654" s="112" t="s">
        <v>77</v>
      </c>
      <c r="L654" s="112" t="s">
        <v>85</v>
      </c>
      <c r="M654" s="112" t="s">
        <v>645</v>
      </c>
      <c r="N654" s="114" t="s">
        <v>623</v>
      </c>
      <c r="O654" s="123">
        <v>80</v>
      </c>
      <c r="P654" s="114" t="s">
        <v>81</v>
      </c>
      <c r="Q654" s="114" t="s">
        <v>112</v>
      </c>
      <c r="R654" s="115" t="str">
        <f t="shared" si="80"/>
        <v>53</v>
      </c>
      <c r="S654" s="112">
        <v>530203</v>
      </c>
      <c r="T654" s="122" t="str">
        <f>VLOOKUP(S654,ITEM!$C$1:$D$156,2,FALSE)</f>
        <v>Almacenamiento, Embalaje, Desembalaje, Envase, Desenvase y Recarga de Extintores</v>
      </c>
      <c r="U654" s="112">
        <v>101</v>
      </c>
      <c r="V654" s="114" t="s">
        <v>82</v>
      </c>
      <c r="W654" s="114" t="s">
        <v>84</v>
      </c>
      <c r="X654" s="114" t="s">
        <v>84</v>
      </c>
      <c r="Y654" s="224" t="e">
        <f>'Matriz POA 2024-TRABAJO'!#REF!</f>
        <v>#REF!</v>
      </c>
      <c r="Z654" s="224" t="e">
        <f>'Matriz POA 2024-TRABAJO'!#REF!</f>
        <v>#REF!</v>
      </c>
      <c r="AA654" s="224" t="e">
        <f>'Matriz POA 2024-TRABAJO'!#REF!</f>
        <v>#REF!</v>
      </c>
      <c r="AB654" s="279">
        <v>0</v>
      </c>
      <c r="AC654" s="279">
        <v>0</v>
      </c>
      <c r="AD654" s="279">
        <v>0</v>
      </c>
      <c r="AE654" s="279">
        <v>0</v>
      </c>
      <c r="AF654" s="279">
        <v>800</v>
      </c>
      <c r="AG654" s="279">
        <v>0</v>
      </c>
      <c r="AH654" s="279">
        <v>0</v>
      </c>
      <c r="AI654" s="279">
        <v>0</v>
      </c>
      <c r="AJ654" s="279">
        <v>0</v>
      </c>
      <c r="AK654" s="279">
        <v>0</v>
      </c>
      <c r="AL654" s="279">
        <v>0</v>
      </c>
      <c r="AM654" s="279">
        <v>0</v>
      </c>
      <c r="AN654" s="224" t="e">
        <f>SUM(#REF!)</f>
        <v>#REF!</v>
      </c>
      <c r="AO654" s="224">
        <f t="shared" si="81"/>
        <v>800</v>
      </c>
      <c r="AP654" s="224" t="e">
        <f t="shared" si="86"/>
        <v>#REF!</v>
      </c>
      <c r="AQ654" s="224"/>
      <c r="AR654" s="224"/>
      <c r="AS654" s="224"/>
      <c r="AT654" s="224" t="str">
        <f>IFERROR(VLOOKUP($A654,'Constancias POA'!$A$2:$DH$9993,17,FALSE),"")</f>
        <v/>
      </c>
      <c r="AU654" s="224" t="str">
        <f t="shared" si="87"/>
        <v/>
      </c>
      <c r="AV654" s="224" t="str">
        <f>IFERROR(VLOOKUP($A654,CP!$A$1:$U$7992,18,FALSE),"")</f>
        <v/>
      </c>
      <c r="AW654" s="224" t="str">
        <f>IFERROR(VLOOKUP($A654,CP!$A$1:$U$7992,19,FALSE),"")</f>
        <v/>
      </c>
      <c r="AX654" s="224" t="str">
        <f>IFERROR(VLOOKUP($A654,CP!$A$1:$U$7992,20,FALSE),"")</f>
        <v/>
      </c>
      <c r="AY654" s="224" t="str">
        <f>IFERROR(VLOOKUP($A654,CP!$A$1:$U$1,21,FALSE),"")</f>
        <v/>
      </c>
      <c r="AZ654" s="224" t="str">
        <f>IFERROR(VLOOKUP(A654,Devengado!$A$1:AJ1,35,FALSE),"")</f>
        <v/>
      </c>
      <c r="BA654" s="224" t="str">
        <f t="shared" si="82"/>
        <v/>
      </c>
      <c r="BB654" s="224" t="str">
        <f>IFERROR(AZ654/#REF!,"")</f>
        <v/>
      </c>
      <c r="BC654" s="224" t="str">
        <f>IFERROR(VLOOKUP($A654,Devengado!$A$1:$AI$1,22,FALSE),"")</f>
        <v/>
      </c>
      <c r="BD654" s="224" t="str">
        <f>IFERROR(VLOOKUP($A654,Devengado!$A$1:$AI$1,23,FALSE),"")</f>
        <v/>
      </c>
      <c r="BE654" s="224" t="str">
        <f>IFERROR(VLOOKUP($A654,Devengado!$A$1:$AI$1,24,FALSE),"")</f>
        <v/>
      </c>
      <c r="BF654" s="224" t="str">
        <f>IFERROR(VLOOKUP($A654,Devengado!$A$1:$AI$1,25,FALSE),"")</f>
        <v/>
      </c>
      <c r="BG654" s="224" t="str">
        <f>IFERROR(VLOOKUP($A654,Devengado!$A$1:$AI$1,26,FALSE),"")</f>
        <v/>
      </c>
      <c r="BH654" s="224" t="str">
        <f>IFERROR(VLOOKUP($A654,Devengado!$A$1:$AI$1,27,FALSE),"")</f>
        <v/>
      </c>
      <c r="BI654" s="224" t="str">
        <f>IFERROR(VLOOKUP($A654,Devengado!$A$1:$AI$1,28,FALSE),"")</f>
        <v/>
      </c>
      <c r="BJ654" s="224" t="str">
        <f>IFERROR(VLOOKUP($A654,Devengado!$A$1:$AI$1,29,FALSE),"")</f>
        <v/>
      </c>
      <c r="BK654" s="224" t="str">
        <f>IFERROR(VLOOKUP($A654,Devengado!$A$1:$AI$1,30,FALSE),"")</f>
        <v/>
      </c>
      <c r="BL654" s="224" t="str">
        <f>IFERROR(VLOOKUP($A654,Devengado!$A$1:$AI$1,31,FALSE),"")</f>
        <v/>
      </c>
      <c r="BM654" s="224" t="str">
        <f>IFERROR(VLOOKUP($A654,Devengado!$A$1:$AI$1,32,FALSE),"")</f>
        <v/>
      </c>
      <c r="BN654" s="224" t="str">
        <f>IFERROR(VLOOKUP($A654,Devengado!$A$1:$AI$1,33,FALSE),"")</f>
        <v/>
      </c>
      <c r="BO654" s="224">
        <f t="shared" si="83"/>
        <v>0</v>
      </c>
      <c r="BP654" s="224" t="str">
        <f t="shared" si="84"/>
        <v/>
      </c>
      <c r="BQ654" s="207"/>
      <c r="BR654" s="207" t="str">
        <f t="shared" si="85"/>
        <v>53</v>
      </c>
    </row>
    <row r="655" spans="1:70" s="225" customFormat="1" ht="25.5" customHeight="1">
      <c r="A655" s="207">
        <v>651</v>
      </c>
      <c r="B655" s="112" t="s">
        <v>621</v>
      </c>
      <c r="C655" s="114" t="s">
        <v>77</v>
      </c>
      <c r="D655" s="123" t="s">
        <v>77</v>
      </c>
      <c r="E655" s="114" t="s">
        <v>76</v>
      </c>
      <c r="F655" s="112" t="s">
        <v>77</v>
      </c>
      <c r="G655" s="112" t="s">
        <v>77</v>
      </c>
      <c r="H655" s="112" t="s">
        <v>77</v>
      </c>
      <c r="I655" s="112" t="s">
        <v>77</v>
      </c>
      <c r="J655" s="112" t="s">
        <v>77</v>
      </c>
      <c r="K655" s="112" t="s">
        <v>77</v>
      </c>
      <c r="L655" s="114" t="s">
        <v>85</v>
      </c>
      <c r="M655" s="114" t="s">
        <v>646</v>
      </c>
      <c r="N655" s="114" t="s">
        <v>623</v>
      </c>
      <c r="O655" s="114">
        <v>80</v>
      </c>
      <c r="P655" s="127" t="s">
        <v>81</v>
      </c>
      <c r="Q655" s="127" t="s">
        <v>112</v>
      </c>
      <c r="R655" s="115" t="str">
        <f t="shared" si="80"/>
        <v>53</v>
      </c>
      <c r="S655" s="112">
        <v>530203</v>
      </c>
      <c r="T655" s="122" t="str">
        <f>VLOOKUP(S655,ITEM!$C$1:$D$156,2,FALSE)</f>
        <v>Almacenamiento, Embalaje, Desembalaje, Envase, Desenvase y Recarga de Extintores</v>
      </c>
      <c r="U655" s="112">
        <v>101</v>
      </c>
      <c r="V655" s="125" t="s">
        <v>82</v>
      </c>
      <c r="W655" s="125" t="s">
        <v>84</v>
      </c>
      <c r="X655" s="125" t="s">
        <v>84</v>
      </c>
      <c r="Y655" s="224" t="e">
        <f>'Matriz POA 2024-TRABAJO'!#REF!</f>
        <v>#REF!</v>
      </c>
      <c r="Z655" s="224" t="e">
        <f>'Matriz POA 2024-TRABAJO'!#REF!</f>
        <v>#REF!</v>
      </c>
      <c r="AA655" s="224" t="e">
        <f>'Matriz POA 2024-TRABAJO'!#REF!</f>
        <v>#REF!</v>
      </c>
      <c r="AB655" s="279">
        <v>0</v>
      </c>
      <c r="AC655" s="279">
        <v>0</v>
      </c>
      <c r="AD655" s="279">
        <v>0</v>
      </c>
      <c r="AE655" s="279">
        <v>0</v>
      </c>
      <c r="AF655" s="279">
        <v>0</v>
      </c>
      <c r="AG655" s="279">
        <v>0</v>
      </c>
      <c r="AH655" s="279">
        <v>0</v>
      </c>
      <c r="AI655" s="279">
        <v>0</v>
      </c>
      <c r="AJ655" s="279">
        <v>0</v>
      </c>
      <c r="AK655" s="279">
        <v>0</v>
      </c>
      <c r="AL655" s="279">
        <v>0</v>
      </c>
      <c r="AM655" s="279">
        <v>0</v>
      </c>
      <c r="AN655" s="224" t="e">
        <f>SUM(#REF!)</f>
        <v>#REF!</v>
      </c>
      <c r="AO655" s="224">
        <f t="shared" si="81"/>
        <v>0</v>
      </c>
      <c r="AP655" s="224" t="e">
        <f t="shared" si="86"/>
        <v>#REF!</v>
      </c>
      <c r="AQ655" s="224"/>
      <c r="AR655" s="224"/>
      <c r="AS655" s="224"/>
      <c r="AT655" s="224" t="str">
        <f>IFERROR(VLOOKUP($A655,'Constancias POA'!$A$2:$DH$9993,17,FALSE),"")</f>
        <v/>
      </c>
      <c r="AU655" s="224" t="str">
        <f t="shared" si="87"/>
        <v/>
      </c>
      <c r="AV655" s="224" t="str">
        <f>IFERROR(VLOOKUP($A655,CP!$A$1:$U$7992,18,FALSE),"")</f>
        <v/>
      </c>
      <c r="AW655" s="224" t="str">
        <f>IFERROR(VLOOKUP($A655,CP!$A$1:$U$7992,19,FALSE),"")</f>
        <v/>
      </c>
      <c r="AX655" s="224" t="str">
        <f>IFERROR(VLOOKUP($A655,CP!$A$1:$U$7992,20,FALSE),"")</f>
        <v/>
      </c>
      <c r="AY655" s="224" t="str">
        <f>IFERROR(VLOOKUP($A655,CP!$A$1:$U$1,21,FALSE),"")</f>
        <v/>
      </c>
      <c r="AZ655" s="224" t="str">
        <f>IFERROR(VLOOKUP(A655,Devengado!$A$1:AJ1,35,FALSE),"")</f>
        <v/>
      </c>
      <c r="BA655" s="224" t="str">
        <f t="shared" si="82"/>
        <v/>
      </c>
      <c r="BB655" s="224" t="str">
        <f>IFERROR(AZ655/#REF!,"")</f>
        <v/>
      </c>
      <c r="BC655" s="224" t="str">
        <f>IFERROR(VLOOKUP($A655,Devengado!$A$1:$AI$1,22,FALSE),"")</f>
        <v/>
      </c>
      <c r="BD655" s="224" t="str">
        <f>IFERROR(VLOOKUP($A655,Devengado!$A$1:$AI$1,23,FALSE),"")</f>
        <v/>
      </c>
      <c r="BE655" s="224" t="str">
        <f>IFERROR(VLOOKUP($A655,Devengado!$A$1:$AI$1,24,FALSE),"")</f>
        <v/>
      </c>
      <c r="BF655" s="224" t="str">
        <f>IFERROR(VLOOKUP($A655,Devengado!$A$1:$AI$1,25,FALSE),"")</f>
        <v/>
      </c>
      <c r="BG655" s="224" t="str">
        <f>IFERROR(VLOOKUP($A655,Devengado!$A$1:$AI$1,26,FALSE),"")</f>
        <v/>
      </c>
      <c r="BH655" s="224" t="str">
        <f>IFERROR(VLOOKUP($A655,Devengado!$A$1:$AI$1,27,FALSE),"")</f>
        <v/>
      </c>
      <c r="BI655" s="224" t="str">
        <f>IFERROR(VLOOKUP($A655,Devengado!$A$1:$AI$1,28,FALSE),"")</f>
        <v/>
      </c>
      <c r="BJ655" s="224" t="str">
        <f>IFERROR(VLOOKUP($A655,Devengado!$A$1:$AI$1,29,FALSE),"")</f>
        <v/>
      </c>
      <c r="BK655" s="224" t="str">
        <f>IFERROR(VLOOKUP($A655,Devengado!$A$1:$AI$1,30,FALSE),"")</f>
        <v/>
      </c>
      <c r="BL655" s="224" t="str">
        <f>IFERROR(VLOOKUP($A655,Devengado!$A$1:$AI$1,31,FALSE),"")</f>
        <v/>
      </c>
      <c r="BM655" s="224" t="str">
        <f>IFERROR(VLOOKUP($A655,Devengado!$A$1:$AI$1,32,FALSE),"")</f>
        <v/>
      </c>
      <c r="BN655" s="224" t="str">
        <f>IFERROR(VLOOKUP($A655,Devengado!$A$1:$AI$1,33,FALSE),"")</f>
        <v/>
      </c>
      <c r="BO655" s="224">
        <f t="shared" si="83"/>
        <v>0</v>
      </c>
      <c r="BP655" s="224" t="str">
        <f t="shared" si="84"/>
        <v/>
      </c>
      <c r="BQ655" s="207"/>
      <c r="BR655" s="207" t="str">
        <f t="shared" si="85"/>
        <v>53</v>
      </c>
    </row>
    <row r="656" spans="1:70" s="225" customFormat="1" ht="25.5" customHeight="1">
      <c r="A656" s="207">
        <v>652</v>
      </c>
      <c r="B656" s="112" t="s">
        <v>621</v>
      </c>
      <c r="C656" s="112" t="s">
        <v>77</v>
      </c>
      <c r="D656" s="112" t="s">
        <v>77</v>
      </c>
      <c r="E656" s="112" t="s">
        <v>76</v>
      </c>
      <c r="F656" s="112" t="s">
        <v>77</v>
      </c>
      <c r="G656" s="112" t="s">
        <v>77</v>
      </c>
      <c r="H656" s="112" t="s">
        <v>77</v>
      </c>
      <c r="I656" s="112" t="s">
        <v>77</v>
      </c>
      <c r="J656" s="112" t="s">
        <v>77</v>
      </c>
      <c r="K656" s="112" t="s">
        <v>77</v>
      </c>
      <c r="L656" s="112" t="s">
        <v>85</v>
      </c>
      <c r="M656" s="112" t="s">
        <v>647</v>
      </c>
      <c r="N656" s="114" t="s">
        <v>623</v>
      </c>
      <c r="O656" s="123">
        <v>80</v>
      </c>
      <c r="P656" s="114" t="s">
        <v>81</v>
      </c>
      <c r="Q656" s="114" t="s">
        <v>112</v>
      </c>
      <c r="R656" s="115" t="str">
        <f t="shared" si="80"/>
        <v>53</v>
      </c>
      <c r="S656" s="112">
        <v>530205</v>
      </c>
      <c r="T656" s="122" t="str">
        <f>VLOOKUP(S656,ITEM!$C$1:$D$156,2,FALSE)</f>
        <v>Espectáculos Culturales y Sociales</v>
      </c>
      <c r="U656" s="112">
        <v>101</v>
      </c>
      <c r="V656" s="114" t="s">
        <v>82</v>
      </c>
      <c r="W656" s="114" t="s">
        <v>84</v>
      </c>
      <c r="X656" s="114" t="s">
        <v>84</v>
      </c>
      <c r="Y656" s="224" t="e">
        <f>'Matriz POA 2024-TRABAJO'!#REF!</f>
        <v>#REF!</v>
      </c>
      <c r="Z656" s="224" t="e">
        <f>'Matriz POA 2024-TRABAJO'!#REF!</f>
        <v>#REF!</v>
      </c>
      <c r="AA656" s="224" t="e">
        <f>'Matriz POA 2024-TRABAJO'!#REF!</f>
        <v>#REF!</v>
      </c>
      <c r="AB656" s="279">
        <v>0</v>
      </c>
      <c r="AC656" s="279">
        <v>0</v>
      </c>
      <c r="AD656" s="279"/>
      <c r="AE656" s="279"/>
      <c r="AF656" s="279"/>
      <c r="AG656" s="279"/>
      <c r="AH656" s="279"/>
      <c r="AI656" s="279"/>
      <c r="AJ656" s="279"/>
      <c r="AK656" s="279"/>
      <c r="AL656" s="279"/>
      <c r="AM656" s="279"/>
      <c r="AN656" s="224" t="e">
        <f>SUM(#REF!)</f>
        <v>#REF!</v>
      </c>
      <c r="AO656" s="224">
        <f t="shared" si="81"/>
        <v>0</v>
      </c>
      <c r="AP656" s="224" t="e">
        <f t="shared" si="86"/>
        <v>#REF!</v>
      </c>
      <c r="AQ656" s="224"/>
      <c r="AR656" s="224"/>
      <c r="AS656" s="224"/>
      <c r="AT656" s="224" t="str">
        <f>IFERROR(VLOOKUP($A656,'Constancias POA'!$A$2:$DH$9993,17,FALSE),"")</f>
        <v/>
      </c>
      <c r="AU656" s="224" t="str">
        <f t="shared" si="87"/>
        <v/>
      </c>
      <c r="AV656" s="224" t="str">
        <f>IFERROR(VLOOKUP($A656,CP!$A$1:$U$7992,18,FALSE),"")</f>
        <v/>
      </c>
      <c r="AW656" s="224" t="str">
        <f>IFERROR(VLOOKUP($A656,CP!$A$1:$U$7992,19,FALSE),"")</f>
        <v/>
      </c>
      <c r="AX656" s="224" t="str">
        <f>IFERROR(VLOOKUP($A656,CP!$A$1:$U$7992,20,FALSE),"")</f>
        <v/>
      </c>
      <c r="AY656" s="224" t="str">
        <f>IFERROR(VLOOKUP($A656,CP!$A$1:$U$1,21,FALSE),"")</f>
        <v/>
      </c>
      <c r="AZ656" s="224" t="str">
        <f>IFERROR(VLOOKUP(A656,Devengado!$A$1:AJ1,35,FALSE),"")</f>
        <v/>
      </c>
      <c r="BA656" s="224" t="str">
        <f t="shared" si="82"/>
        <v/>
      </c>
      <c r="BB656" s="224" t="str">
        <f>IFERROR(AZ656/#REF!,"")</f>
        <v/>
      </c>
      <c r="BC656" s="224" t="str">
        <f>IFERROR(VLOOKUP($A656,Devengado!$A$1:$AI$1,22,FALSE),"")</f>
        <v/>
      </c>
      <c r="BD656" s="224" t="str">
        <f>IFERROR(VLOOKUP($A656,Devengado!$A$1:$AI$1,23,FALSE),"")</f>
        <v/>
      </c>
      <c r="BE656" s="224" t="str">
        <f>IFERROR(VLOOKUP($A656,Devengado!$A$1:$AI$1,24,FALSE),"")</f>
        <v/>
      </c>
      <c r="BF656" s="224" t="str">
        <f>IFERROR(VLOOKUP($A656,Devengado!$A$1:$AI$1,25,FALSE),"")</f>
        <v/>
      </c>
      <c r="BG656" s="224" t="str">
        <f>IFERROR(VLOOKUP($A656,Devengado!$A$1:$AI$1,26,FALSE),"")</f>
        <v/>
      </c>
      <c r="BH656" s="224" t="str">
        <f>IFERROR(VLOOKUP($A656,Devengado!$A$1:$AI$1,27,FALSE),"")</f>
        <v/>
      </c>
      <c r="BI656" s="224" t="str">
        <f>IFERROR(VLOOKUP($A656,Devengado!$A$1:$AI$1,28,FALSE),"")</f>
        <v/>
      </c>
      <c r="BJ656" s="224" t="str">
        <f>IFERROR(VLOOKUP($A656,Devengado!$A$1:$AI$1,29,FALSE),"")</f>
        <v/>
      </c>
      <c r="BK656" s="224" t="str">
        <f>IFERROR(VLOOKUP($A656,Devengado!$A$1:$AI$1,30,FALSE),"")</f>
        <v/>
      </c>
      <c r="BL656" s="224" t="str">
        <f>IFERROR(VLOOKUP($A656,Devengado!$A$1:$AI$1,31,FALSE),"")</f>
        <v/>
      </c>
      <c r="BM656" s="224" t="str">
        <f>IFERROR(VLOOKUP($A656,Devengado!$A$1:$AI$1,32,FALSE),"")</f>
        <v/>
      </c>
      <c r="BN656" s="224" t="str">
        <f>IFERROR(VLOOKUP($A656,Devengado!$A$1:$AI$1,33,FALSE),"")</f>
        <v/>
      </c>
      <c r="BO656" s="224">
        <f t="shared" si="83"/>
        <v>0</v>
      </c>
      <c r="BP656" s="224" t="str">
        <f t="shared" si="84"/>
        <v/>
      </c>
      <c r="BQ656" s="207"/>
      <c r="BR656" s="207" t="str">
        <f t="shared" si="85"/>
        <v>53</v>
      </c>
    </row>
    <row r="657" spans="1:70" s="225" customFormat="1" ht="25.5" customHeight="1">
      <c r="A657" s="207">
        <v>653</v>
      </c>
      <c r="B657" s="112" t="s">
        <v>621</v>
      </c>
      <c r="C657" s="112" t="s">
        <v>77</v>
      </c>
      <c r="D657" s="112" t="s">
        <v>77</v>
      </c>
      <c r="E657" s="112" t="s">
        <v>76</v>
      </c>
      <c r="F657" s="112" t="s">
        <v>77</v>
      </c>
      <c r="G657" s="112" t="s">
        <v>77</v>
      </c>
      <c r="H657" s="112" t="s">
        <v>77</v>
      </c>
      <c r="I657" s="112" t="s">
        <v>77</v>
      </c>
      <c r="J657" s="112" t="s">
        <v>77</v>
      </c>
      <c r="K657" s="112" t="s">
        <v>77</v>
      </c>
      <c r="L657" s="112" t="s">
        <v>85</v>
      </c>
      <c r="M657" s="112" t="s">
        <v>648</v>
      </c>
      <c r="N657" s="114" t="s">
        <v>623</v>
      </c>
      <c r="O657" s="123">
        <v>80</v>
      </c>
      <c r="P657" s="114" t="s">
        <v>81</v>
      </c>
      <c r="Q657" s="114" t="s">
        <v>112</v>
      </c>
      <c r="R657" s="115" t="str">
        <f t="shared" si="80"/>
        <v>53</v>
      </c>
      <c r="S657" s="112">
        <v>530208</v>
      </c>
      <c r="T657" s="122" t="str">
        <f>VLOOKUP(S657,ITEM!$C$1:$D$156,2,FALSE)</f>
        <v>Servicio de Seguridad y Vigilancia</v>
      </c>
      <c r="U657" s="112">
        <v>101</v>
      </c>
      <c r="V657" s="114" t="s">
        <v>82</v>
      </c>
      <c r="W657" s="114" t="s">
        <v>84</v>
      </c>
      <c r="X657" s="114" t="s">
        <v>84</v>
      </c>
      <c r="Y657" s="224" t="e">
        <f>'Matriz POA 2024-TRABAJO'!#REF!</f>
        <v>#REF!</v>
      </c>
      <c r="Z657" s="224" t="e">
        <f>'Matriz POA 2024-TRABAJO'!#REF!</f>
        <v>#REF!</v>
      </c>
      <c r="AA657" s="224" t="e">
        <f>'Matriz POA 2024-TRABAJO'!#REF!</f>
        <v>#REF!</v>
      </c>
      <c r="AB657" s="279">
        <v>0</v>
      </c>
      <c r="AC657" s="279">
        <v>0</v>
      </c>
      <c r="AD657" s="279">
        <v>0</v>
      </c>
      <c r="AE657" s="279">
        <v>0</v>
      </c>
      <c r="AF657" s="279">
        <v>0</v>
      </c>
      <c r="AG657" s="279">
        <v>0</v>
      </c>
      <c r="AH657" s="279">
        <v>29724.09</v>
      </c>
      <c r="AI657" s="279">
        <v>29724.09</v>
      </c>
      <c r="AJ657" s="279">
        <v>29724.09</v>
      </c>
      <c r="AK657" s="279">
        <v>29724.09</v>
      </c>
      <c r="AL657" s="279">
        <v>29724.09</v>
      </c>
      <c r="AM657" s="279">
        <v>6762.9500000000007</v>
      </c>
      <c r="AN657" s="224" t="e">
        <f>SUM(#REF!)</f>
        <v>#REF!</v>
      </c>
      <c r="AO657" s="224">
        <f t="shared" si="81"/>
        <v>155383.40000000002</v>
      </c>
      <c r="AP657" s="224" t="e">
        <f t="shared" si="86"/>
        <v>#REF!</v>
      </c>
      <c r="AQ657" s="224"/>
      <c r="AR657" s="224"/>
      <c r="AS657" s="224"/>
      <c r="AT657" s="224" t="str">
        <f>IFERROR(VLOOKUP($A657,'Constancias POA'!$A$2:$DH$9993,17,FALSE),"")</f>
        <v/>
      </c>
      <c r="AU657" s="224" t="str">
        <f t="shared" si="87"/>
        <v/>
      </c>
      <c r="AV657" s="224" t="str">
        <f>IFERROR(VLOOKUP($A657,CP!$A$1:$U$7992,18,FALSE),"")</f>
        <v/>
      </c>
      <c r="AW657" s="224" t="str">
        <f>IFERROR(VLOOKUP($A657,CP!$A$1:$U$7992,19,FALSE),"")</f>
        <v/>
      </c>
      <c r="AX657" s="224" t="str">
        <f>IFERROR(VLOOKUP($A657,CP!$A$1:$U$7992,20,FALSE),"")</f>
        <v/>
      </c>
      <c r="AY657" s="224" t="str">
        <f>IFERROR(VLOOKUP($A657,CP!$A$1:$U$1,21,FALSE),"")</f>
        <v/>
      </c>
      <c r="AZ657" s="224" t="str">
        <f>IFERROR(VLOOKUP(A657,Devengado!$A$1:AJ1,35,FALSE),"")</f>
        <v/>
      </c>
      <c r="BA657" s="224" t="str">
        <f t="shared" si="82"/>
        <v/>
      </c>
      <c r="BB657" s="224" t="str">
        <f>IFERROR(AZ657/#REF!,"")</f>
        <v/>
      </c>
      <c r="BC657" s="224" t="str">
        <f>IFERROR(VLOOKUP($A657,Devengado!$A$1:$AI$1,22,FALSE),"")</f>
        <v/>
      </c>
      <c r="BD657" s="224" t="str">
        <f>IFERROR(VLOOKUP($A657,Devengado!$A$1:$AI$1,23,FALSE),"")</f>
        <v/>
      </c>
      <c r="BE657" s="224" t="str">
        <f>IFERROR(VLOOKUP($A657,Devengado!$A$1:$AI$1,24,FALSE),"")</f>
        <v/>
      </c>
      <c r="BF657" s="224" t="str">
        <f>IFERROR(VLOOKUP($A657,Devengado!$A$1:$AI$1,25,FALSE),"")</f>
        <v/>
      </c>
      <c r="BG657" s="224" t="str">
        <f>IFERROR(VLOOKUP($A657,Devengado!$A$1:$AI$1,26,FALSE),"")</f>
        <v/>
      </c>
      <c r="BH657" s="224" t="str">
        <f>IFERROR(VLOOKUP($A657,Devengado!$A$1:$AI$1,27,FALSE),"")</f>
        <v/>
      </c>
      <c r="BI657" s="224" t="str">
        <f>IFERROR(VLOOKUP($A657,Devengado!$A$1:$AI$1,28,FALSE),"")</f>
        <v/>
      </c>
      <c r="BJ657" s="224" t="str">
        <f>IFERROR(VLOOKUP($A657,Devengado!$A$1:$AI$1,29,FALSE),"")</f>
        <v/>
      </c>
      <c r="BK657" s="224" t="str">
        <f>IFERROR(VLOOKUP($A657,Devengado!$A$1:$AI$1,30,FALSE),"")</f>
        <v/>
      </c>
      <c r="BL657" s="224" t="str">
        <f>IFERROR(VLOOKUP($A657,Devengado!$A$1:$AI$1,31,FALSE),"")</f>
        <v/>
      </c>
      <c r="BM657" s="224" t="str">
        <f>IFERROR(VLOOKUP($A657,Devengado!$A$1:$AI$1,32,FALSE),"")</f>
        <v/>
      </c>
      <c r="BN657" s="224" t="str">
        <f>IFERROR(VLOOKUP($A657,Devengado!$A$1:$AI$1,33,FALSE),"")</f>
        <v/>
      </c>
      <c r="BO657" s="224">
        <f t="shared" si="83"/>
        <v>0</v>
      </c>
      <c r="BP657" s="224" t="str">
        <f t="shared" si="84"/>
        <v/>
      </c>
      <c r="BQ657" s="207"/>
      <c r="BR657" s="207" t="str">
        <f t="shared" si="85"/>
        <v>53</v>
      </c>
    </row>
    <row r="658" spans="1:70" s="225" customFormat="1" ht="25.5" customHeight="1">
      <c r="A658" s="207">
        <v>654</v>
      </c>
      <c r="B658" s="112" t="s">
        <v>621</v>
      </c>
      <c r="C658" s="112" t="s">
        <v>77</v>
      </c>
      <c r="D658" s="112" t="s">
        <v>77</v>
      </c>
      <c r="E658" s="112" t="s">
        <v>76</v>
      </c>
      <c r="F658" s="112" t="s">
        <v>77</v>
      </c>
      <c r="G658" s="112" t="s">
        <v>77</v>
      </c>
      <c r="H658" s="112" t="s">
        <v>77</v>
      </c>
      <c r="I658" s="112" t="s">
        <v>77</v>
      </c>
      <c r="J658" s="112" t="s">
        <v>77</v>
      </c>
      <c r="K658" s="112" t="s">
        <v>77</v>
      </c>
      <c r="L658" s="112" t="s">
        <v>78</v>
      </c>
      <c r="M658" s="112" t="s">
        <v>648</v>
      </c>
      <c r="N658" s="114" t="s">
        <v>623</v>
      </c>
      <c r="O658" s="123">
        <v>80</v>
      </c>
      <c r="P658" s="114" t="s">
        <v>81</v>
      </c>
      <c r="Q658" s="114" t="s">
        <v>112</v>
      </c>
      <c r="R658" s="115" t="str">
        <f t="shared" si="80"/>
        <v>53</v>
      </c>
      <c r="S658" s="112">
        <v>530208</v>
      </c>
      <c r="T658" s="122" t="str">
        <f>VLOOKUP(S658,ITEM!$C$1:$D$156,2,FALSE)</f>
        <v>Servicio de Seguridad y Vigilancia</v>
      </c>
      <c r="U658" s="112">
        <v>101</v>
      </c>
      <c r="V658" s="114" t="s">
        <v>82</v>
      </c>
      <c r="W658" s="114" t="s">
        <v>84</v>
      </c>
      <c r="X658" s="114" t="s">
        <v>84</v>
      </c>
      <c r="Y658" s="224" t="e">
        <f>'Matriz POA 2024-TRABAJO'!#REF!</f>
        <v>#REF!</v>
      </c>
      <c r="Z658" s="224" t="e">
        <f>'Matriz POA 2024-TRABAJO'!#REF!</f>
        <v>#REF!</v>
      </c>
      <c r="AA658" s="224" t="e">
        <f>'Matriz POA 2024-TRABAJO'!#REF!</f>
        <v>#REF!</v>
      </c>
      <c r="AB658" s="279">
        <v>28646.98</v>
      </c>
      <c r="AC658" s="279">
        <v>28646.98</v>
      </c>
      <c r="AD658" s="279">
        <v>28646.98</v>
      </c>
      <c r="AE658" s="279">
        <v>28646.98</v>
      </c>
      <c r="AF658" s="279">
        <v>28646.98</v>
      </c>
      <c r="AG658" s="279">
        <v>28646.98</v>
      </c>
      <c r="AH658" s="279">
        <v>0</v>
      </c>
      <c r="AI658" s="279">
        <v>0</v>
      </c>
      <c r="AJ658" s="279">
        <v>0</v>
      </c>
      <c r="AK658" s="279">
        <v>0</v>
      </c>
      <c r="AL658" s="279">
        <v>0</v>
      </c>
      <c r="AM658" s="279">
        <v>0</v>
      </c>
      <c r="AN658" s="224" t="e">
        <f>SUM(#REF!)</f>
        <v>#REF!</v>
      </c>
      <c r="AO658" s="224">
        <f t="shared" si="81"/>
        <v>171881.88</v>
      </c>
      <c r="AP658" s="224" t="e">
        <f t="shared" si="86"/>
        <v>#REF!</v>
      </c>
      <c r="AQ658" s="224"/>
      <c r="AR658" s="224"/>
      <c r="AS658" s="224"/>
      <c r="AT658" s="224" t="str">
        <f>IFERROR(VLOOKUP($A658,'Constancias POA'!$A$2:$DH$9993,17,FALSE),"")</f>
        <v/>
      </c>
      <c r="AU658" s="224" t="str">
        <f t="shared" si="87"/>
        <v/>
      </c>
      <c r="AV658" s="224" t="str">
        <f>IFERROR(VLOOKUP($A658,CP!$A$1:$U$7992,18,FALSE),"")</f>
        <v/>
      </c>
      <c r="AW658" s="224" t="str">
        <f>IFERROR(VLOOKUP($A658,CP!$A$1:$U$7992,19,FALSE),"")</f>
        <v/>
      </c>
      <c r="AX658" s="224" t="str">
        <f>IFERROR(VLOOKUP($A658,CP!$A$1:$U$7992,20,FALSE),"")</f>
        <v/>
      </c>
      <c r="AY658" s="224" t="str">
        <f>IFERROR(VLOOKUP($A658,CP!$A$1:$U$1,21,FALSE),"")</f>
        <v/>
      </c>
      <c r="AZ658" s="224" t="str">
        <f>IFERROR(VLOOKUP(A658,Devengado!$A$1:AJ1,35,FALSE),"")</f>
        <v/>
      </c>
      <c r="BA658" s="224" t="str">
        <f t="shared" si="82"/>
        <v/>
      </c>
      <c r="BB658" s="224" t="str">
        <f>IFERROR(AZ658/#REF!,"")</f>
        <v/>
      </c>
      <c r="BC658" s="224" t="str">
        <f>IFERROR(VLOOKUP($A658,Devengado!$A$1:$AI$1,22,FALSE),"")</f>
        <v/>
      </c>
      <c r="BD658" s="224" t="str">
        <f>IFERROR(VLOOKUP($A658,Devengado!$A$1:$AI$1,23,FALSE),"")</f>
        <v/>
      </c>
      <c r="BE658" s="224" t="str">
        <f>IFERROR(VLOOKUP($A658,Devengado!$A$1:$AI$1,24,FALSE),"")</f>
        <v/>
      </c>
      <c r="BF658" s="224" t="str">
        <f>IFERROR(VLOOKUP($A658,Devengado!$A$1:$AI$1,25,FALSE),"")</f>
        <v/>
      </c>
      <c r="BG658" s="224" t="str">
        <f>IFERROR(VLOOKUP($A658,Devengado!$A$1:$AI$1,26,FALSE),"")</f>
        <v/>
      </c>
      <c r="BH658" s="224" t="str">
        <f>IFERROR(VLOOKUP($A658,Devengado!$A$1:$AI$1,27,FALSE),"")</f>
        <v/>
      </c>
      <c r="BI658" s="224" t="str">
        <f>IFERROR(VLOOKUP($A658,Devengado!$A$1:$AI$1,28,FALSE),"")</f>
        <v/>
      </c>
      <c r="BJ658" s="224" t="str">
        <f>IFERROR(VLOOKUP($A658,Devengado!$A$1:$AI$1,29,FALSE),"")</f>
        <v/>
      </c>
      <c r="BK658" s="224" t="str">
        <f>IFERROR(VLOOKUP($A658,Devengado!$A$1:$AI$1,30,FALSE),"")</f>
        <v/>
      </c>
      <c r="BL658" s="224" t="str">
        <f>IFERROR(VLOOKUP($A658,Devengado!$A$1:$AI$1,31,FALSE),"")</f>
        <v/>
      </c>
      <c r="BM658" s="224" t="str">
        <f>IFERROR(VLOOKUP($A658,Devengado!$A$1:$AI$1,32,FALSE),"")</f>
        <v/>
      </c>
      <c r="BN658" s="224" t="str">
        <f>IFERROR(VLOOKUP($A658,Devengado!$A$1:$AI$1,33,FALSE),"")</f>
        <v/>
      </c>
      <c r="BO658" s="224">
        <f t="shared" si="83"/>
        <v>0</v>
      </c>
      <c r="BP658" s="224" t="str">
        <f t="shared" si="84"/>
        <v/>
      </c>
      <c r="BQ658" s="207"/>
      <c r="BR658" s="207" t="str">
        <f t="shared" si="85"/>
        <v>53</v>
      </c>
    </row>
    <row r="659" spans="1:70" s="225" customFormat="1" ht="25.5" customHeight="1">
      <c r="A659" s="207">
        <v>655</v>
      </c>
      <c r="B659" s="112" t="s">
        <v>621</v>
      </c>
      <c r="C659" s="112" t="s">
        <v>77</v>
      </c>
      <c r="D659" s="112" t="s">
        <v>77</v>
      </c>
      <c r="E659" s="112" t="s">
        <v>76</v>
      </c>
      <c r="F659" s="112" t="s">
        <v>77</v>
      </c>
      <c r="G659" s="112" t="s">
        <v>77</v>
      </c>
      <c r="H659" s="112" t="s">
        <v>77</v>
      </c>
      <c r="I659" s="112" t="s">
        <v>77</v>
      </c>
      <c r="J659" s="112" t="s">
        <v>77</v>
      </c>
      <c r="K659" s="112" t="s">
        <v>77</v>
      </c>
      <c r="L659" s="112" t="s">
        <v>85</v>
      </c>
      <c r="M659" s="112" t="s">
        <v>649</v>
      </c>
      <c r="N659" s="114" t="s">
        <v>623</v>
      </c>
      <c r="O659" s="123">
        <v>80</v>
      </c>
      <c r="P659" s="114" t="s">
        <v>81</v>
      </c>
      <c r="Q659" s="114" t="s">
        <v>112</v>
      </c>
      <c r="R659" s="115" t="str">
        <f t="shared" si="80"/>
        <v>53</v>
      </c>
      <c r="S659" s="112">
        <v>530209</v>
      </c>
      <c r="T659" s="122" t="str">
        <f>VLOOKUP(S659,ITEM!$C$1:$D$156,2,FALSE)</f>
        <v>Servicios de Aseo, Lavado de Vestimenta de Trabajo, Fumigación, Desinfección,  Limpieza de Instalaciones, manejo
de desechos contaminados, recuperación y clasificación de materiales reciclables.</v>
      </c>
      <c r="U659" s="112">
        <v>101</v>
      </c>
      <c r="V659" s="114" t="s">
        <v>82</v>
      </c>
      <c r="W659" s="114" t="s">
        <v>84</v>
      </c>
      <c r="X659" s="114" t="s">
        <v>84</v>
      </c>
      <c r="Y659" s="224" t="e">
        <f>'Matriz POA 2024-TRABAJO'!#REF!</f>
        <v>#REF!</v>
      </c>
      <c r="Z659" s="224" t="e">
        <f>'Matriz POA 2024-TRABAJO'!#REF!</f>
        <v>#REF!</v>
      </c>
      <c r="AA659" s="224" t="e">
        <f>'Matriz POA 2024-TRABAJO'!#REF!</f>
        <v>#REF!</v>
      </c>
      <c r="AB659" s="279">
        <v>0</v>
      </c>
      <c r="AC659" s="279">
        <v>0</v>
      </c>
      <c r="AD659" s="279">
        <v>350</v>
      </c>
      <c r="AE659" s="279">
        <v>350</v>
      </c>
      <c r="AF659" s="279">
        <v>350</v>
      </c>
      <c r="AG659" s="279">
        <v>350</v>
      </c>
      <c r="AH659" s="279">
        <v>350</v>
      </c>
      <c r="AI659" s="279">
        <v>350</v>
      </c>
      <c r="AJ659" s="279">
        <v>350</v>
      </c>
      <c r="AK659" s="279">
        <v>350</v>
      </c>
      <c r="AL659" s="279">
        <v>350</v>
      </c>
      <c r="AM659" s="279">
        <v>350</v>
      </c>
      <c r="AN659" s="224" t="e">
        <f>SUM(#REF!)</f>
        <v>#REF!</v>
      </c>
      <c r="AO659" s="224">
        <f t="shared" si="81"/>
        <v>3500</v>
      </c>
      <c r="AP659" s="224" t="e">
        <f t="shared" si="86"/>
        <v>#REF!</v>
      </c>
      <c r="AQ659" s="224"/>
      <c r="AR659" s="224"/>
      <c r="AS659" s="224"/>
      <c r="AT659" s="224" t="str">
        <f>IFERROR(VLOOKUP($A659,'Constancias POA'!$A$2:$DH$9993,17,FALSE),"")</f>
        <v/>
      </c>
      <c r="AU659" s="224" t="str">
        <f t="shared" si="87"/>
        <v/>
      </c>
      <c r="AV659" s="224" t="str">
        <f>IFERROR(VLOOKUP($A659,CP!$A$1:$U$7992,18,FALSE),"")</f>
        <v/>
      </c>
      <c r="AW659" s="224" t="str">
        <f>IFERROR(VLOOKUP($A659,CP!$A$1:$U$7992,19,FALSE),"")</f>
        <v/>
      </c>
      <c r="AX659" s="224" t="str">
        <f>IFERROR(VLOOKUP($A659,CP!$A$1:$U$7992,20,FALSE),"")</f>
        <v/>
      </c>
      <c r="AY659" s="224" t="str">
        <f>IFERROR(VLOOKUP($A659,CP!$A$1:$U$1,21,FALSE),"")</f>
        <v/>
      </c>
      <c r="AZ659" s="224" t="str">
        <f>IFERROR(VLOOKUP(A659,Devengado!$A$1:AJ1,35,FALSE),"")</f>
        <v/>
      </c>
      <c r="BA659" s="224" t="str">
        <f t="shared" si="82"/>
        <v/>
      </c>
      <c r="BB659" s="224" t="str">
        <f>IFERROR(AZ659/#REF!,"")</f>
        <v/>
      </c>
      <c r="BC659" s="224" t="str">
        <f>IFERROR(VLOOKUP($A659,Devengado!$A$1:$AI$1,22,FALSE),"")</f>
        <v/>
      </c>
      <c r="BD659" s="224" t="str">
        <f>IFERROR(VLOOKUP($A659,Devengado!$A$1:$AI$1,23,FALSE),"")</f>
        <v/>
      </c>
      <c r="BE659" s="224" t="str">
        <f>IFERROR(VLOOKUP($A659,Devengado!$A$1:$AI$1,24,FALSE),"")</f>
        <v/>
      </c>
      <c r="BF659" s="224" t="str">
        <f>IFERROR(VLOOKUP($A659,Devengado!$A$1:$AI$1,25,FALSE),"")</f>
        <v/>
      </c>
      <c r="BG659" s="224" t="str">
        <f>IFERROR(VLOOKUP($A659,Devengado!$A$1:$AI$1,26,FALSE),"")</f>
        <v/>
      </c>
      <c r="BH659" s="224" t="str">
        <f>IFERROR(VLOOKUP($A659,Devengado!$A$1:$AI$1,27,FALSE),"")</f>
        <v/>
      </c>
      <c r="BI659" s="224" t="str">
        <f>IFERROR(VLOOKUP($A659,Devengado!$A$1:$AI$1,28,FALSE),"")</f>
        <v/>
      </c>
      <c r="BJ659" s="224" t="str">
        <f>IFERROR(VLOOKUP($A659,Devengado!$A$1:$AI$1,29,FALSE),"")</f>
        <v/>
      </c>
      <c r="BK659" s="224" t="str">
        <f>IFERROR(VLOOKUP($A659,Devengado!$A$1:$AI$1,30,FALSE),"")</f>
        <v/>
      </c>
      <c r="BL659" s="224" t="str">
        <f>IFERROR(VLOOKUP($A659,Devengado!$A$1:$AI$1,31,FALSE),"")</f>
        <v/>
      </c>
      <c r="BM659" s="224" t="str">
        <f>IFERROR(VLOOKUP($A659,Devengado!$A$1:$AI$1,32,FALSE),"")</f>
        <v/>
      </c>
      <c r="BN659" s="224" t="str">
        <f>IFERROR(VLOOKUP($A659,Devengado!$A$1:$AI$1,33,FALSE),"")</f>
        <v/>
      </c>
      <c r="BO659" s="224">
        <f t="shared" si="83"/>
        <v>0</v>
      </c>
      <c r="BP659" s="224" t="str">
        <f t="shared" si="84"/>
        <v/>
      </c>
      <c r="BQ659" s="207"/>
      <c r="BR659" s="207" t="str">
        <f t="shared" si="85"/>
        <v>53</v>
      </c>
    </row>
    <row r="660" spans="1:70" s="225" customFormat="1" ht="25.5" customHeight="1">
      <c r="A660" s="207">
        <v>656</v>
      </c>
      <c r="B660" s="112" t="s">
        <v>621</v>
      </c>
      <c r="C660" s="112" t="s">
        <v>77</v>
      </c>
      <c r="D660" s="112" t="s">
        <v>77</v>
      </c>
      <c r="E660" s="112" t="s">
        <v>76</v>
      </c>
      <c r="F660" s="112" t="s">
        <v>77</v>
      </c>
      <c r="G660" s="112" t="s">
        <v>77</v>
      </c>
      <c r="H660" s="112" t="s">
        <v>77</v>
      </c>
      <c r="I660" s="112" t="s">
        <v>77</v>
      </c>
      <c r="J660" s="112" t="s">
        <v>77</v>
      </c>
      <c r="K660" s="112" t="s">
        <v>77</v>
      </c>
      <c r="L660" s="112" t="s">
        <v>85</v>
      </c>
      <c r="M660" s="112" t="s">
        <v>650</v>
      </c>
      <c r="N660" s="114" t="s">
        <v>623</v>
      </c>
      <c r="O660" s="123">
        <v>80</v>
      </c>
      <c r="P660" s="114" t="s">
        <v>81</v>
      </c>
      <c r="Q660" s="114" t="s">
        <v>112</v>
      </c>
      <c r="R660" s="115" t="str">
        <f t="shared" si="80"/>
        <v>53</v>
      </c>
      <c r="S660" s="112">
        <v>530209</v>
      </c>
      <c r="T660" s="122" t="str">
        <f>VLOOKUP(S660,ITEM!$C$1:$D$156,2,FALSE)</f>
        <v>Servicios de Aseo, Lavado de Vestimenta de Trabajo, Fumigación, Desinfección,  Limpieza de Instalaciones, manejo
de desechos contaminados, recuperación y clasificación de materiales reciclables.</v>
      </c>
      <c r="U660" s="112">
        <v>101</v>
      </c>
      <c r="V660" s="114" t="s">
        <v>82</v>
      </c>
      <c r="W660" s="114" t="s">
        <v>84</v>
      </c>
      <c r="X660" s="114" t="s">
        <v>84</v>
      </c>
      <c r="Y660" s="224" t="e">
        <f>'Matriz POA 2024-TRABAJO'!#REF!</f>
        <v>#REF!</v>
      </c>
      <c r="Z660" s="224" t="e">
        <f>'Matriz POA 2024-TRABAJO'!#REF!</f>
        <v>#REF!</v>
      </c>
      <c r="AA660" s="224" t="e">
        <f>'Matriz POA 2024-TRABAJO'!#REF!</f>
        <v>#REF!</v>
      </c>
      <c r="AB660" s="279">
        <v>0</v>
      </c>
      <c r="AC660" s="279">
        <v>0</v>
      </c>
      <c r="AD660" s="279">
        <v>0</v>
      </c>
      <c r="AE660" s="279">
        <v>0</v>
      </c>
      <c r="AF660" s="279">
        <v>0</v>
      </c>
      <c r="AG660" s="279">
        <v>0</v>
      </c>
      <c r="AH660" s="279">
        <v>8707.5</v>
      </c>
      <c r="AI660" s="279">
        <v>8707.5</v>
      </c>
      <c r="AJ660" s="279">
        <v>8707.5</v>
      </c>
      <c r="AK660" s="279">
        <v>8707.5</v>
      </c>
      <c r="AL660" s="279">
        <v>8707.5</v>
      </c>
      <c r="AM660" s="279">
        <v>8707.5</v>
      </c>
      <c r="AN660" s="224" t="e">
        <f>SUM(#REF!)</f>
        <v>#REF!</v>
      </c>
      <c r="AO660" s="224">
        <f t="shared" si="81"/>
        <v>52245</v>
      </c>
      <c r="AP660" s="224" t="e">
        <f t="shared" si="86"/>
        <v>#REF!</v>
      </c>
      <c r="AQ660" s="224"/>
      <c r="AR660" s="224"/>
      <c r="AS660" s="224"/>
      <c r="AT660" s="224" t="str">
        <f>IFERROR(VLOOKUP($A660,'Constancias POA'!$A$2:$DH$9993,17,FALSE),"")</f>
        <v/>
      </c>
      <c r="AU660" s="224" t="str">
        <f t="shared" si="87"/>
        <v/>
      </c>
      <c r="AV660" s="224" t="str">
        <f>IFERROR(VLOOKUP($A660,CP!$A$1:$U$7992,18,FALSE),"")</f>
        <v/>
      </c>
      <c r="AW660" s="224" t="str">
        <f>IFERROR(VLOOKUP($A660,CP!$A$1:$U$7992,19,FALSE),"")</f>
        <v/>
      </c>
      <c r="AX660" s="224" t="str">
        <f>IFERROR(VLOOKUP($A660,CP!$A$1:$U$7992,20,FALSE),"")</f>
        <v/>
      </c>
      <c r="AY660" s="224" t="str">
        <f>IFERROR(VLOOKUP($A660,CP!$A$1:$U$1,21,FALSE),"")</f>
        <v/>
      </c>
      <c r="AZ660" s="224" t="str">
        <f>IFERROR(VLOOKUP(A660,Devengado!$A$1:AJ1,35,FALSE),"")</f>
        <v/>
      </c>
      <c r="BA660" s="224" t="str">
        <f t="shared" si="82"/>
        <v/>
      </c>
      <c r="BB660" s="224" t="str">
        <f>IFERROR(AZ660/#REF!,"")</f>
        <v/>
      </c>
      <c r="BC660" s="224" t="str">
        <f>IFERROR(VLOOKUP($A660,Devengado!$A$1:$AI$1,22,FALSE),"")</f>
        <v/>
      </c>
      <c r="BD660" s="224" t="str">
        <f>IFERROR(VLOOKUP($A660,Devengado!$A$1:$AI$1,23,FALSE),"")</f>
        <v/>
      </c>
      <c r="BE660" s="224" t="str">
        <f>IFERROR(VLOOKUP($A660,Devengado!$A$1:$AI$1,24,FALSE),"")</f>
        <v/>
      </c>
      <c r="BF660" s="224" t="str">
        <f>IFERROR(VLOOKUP($A660,Devengado!$A$1:$AI$1,25,FALSE),"")</f>
        <v/>
      </c>
      <c r="BG660" s="224" t="str">
        <f>IFERROR(VLOOKUP($A660,Devengado!$A$1:$AI$1,26,FALSE),"")</f>
        <v/>
      </c>
      <c r="BH660" s="224" t="str">
        <f>IFERROR(VLOOKUP($A660,Devengado!$A$1:$AI$1,27,FALSE),"")</f>
        <v/>
      </c>
      <c r="BI660" s="224" t="str">
        <f>IFERROR(VLOOKUP($A660,Devengado!$A$1:$AI$1,28,FALSE),"")</f>
        <v/>
      </c>
      <c r="BJ660" s="224" t="str">
        <f>IFERROR(VLOOKUP($A660,Devengado!$A$1:$AI$1,29,FALSE),"")</f>
        <v/>
      </c>
      <c r="BK660" s="224" t="str">
        <f>IFERROR(VLOOKUP($A660,Devengado!$A$1:$AI$1,30,FALSE),"")</f>
        <v/>
      </c>
      <c r="BL660" s="224" t="str">
        <f>IFERROR(VLOOKUP($A660,Devengado!$A$1:$AI$1,31,FALSE),"")</f>
        <v/>
      </c>
      <c r="BM660" s="224" t="str">
        <f>IFERROR(VLOOKUP($A660,Devengado!$A$1:$AI$1,32,FALSE),"")</f>
        <v/>
      </c>
      <c r="BN660" s="224" t="str">
        <f>IFERROR(VLOOKUP($A660,Devengado!$A$1:$AI$1,33,FALSE),"")</f>
        <v/>
      </c>
      <c r="BO660" s="224">
        <f t="shared" si="83"/>
        <v>0</v>
      </c>
      <c r="BP660" s="224" t="str">
        <f t="shared" si="84"/>
        <v/>
      </c>
      <c r="BQ660" s="207"/>
      <c r="BR660" s="207" t="str">
        <f t="shared" si="85"/>
        <v>53</v>
      </c>
    </row>
    <row r="661" spans="1:70" s="225" customFormat="1" ht="25.5" customHeight="1">
      <c r="A661" s="207">
        <v>657</v>
      </c>
      <c r="B661" s="112" t="s">
        <v>621</v>
      </c>
      <c r="C661" s="112" t="s">
        <v>77</v>
      </c>
      <c r="D661" s="112" t="s">
        <v>77</v>
      </c>
      <c r="E661" s="112" t="s">
        <v>76</v>
      </c>
      <c r="F661" s="112" t="s">
        <v>77</v>
      </c>
      <c r="G661" s="112" t="s">
        <v>77</v>
      </c>
      <c r="H661" s="112" t="s">
        <v>77</v>
      </c>
      <c r="I661" s="112" t="s">
        <v>77</v>
      </c>
      <c r="J661" s="112" t="s">
        <v>77</v>
      </c>
      <c r="K661" s="112" t="s">
        <v>77</v>
      </c>
      <c r="L661" s="112" t="s">
        <v>78</v>
      </c>
      <c r="M661" s="112" t="s">
        <v>650</v>
      </c>
      <c r="N661" s="114" t="s">
        <v>623</v>
      </c>
      <c r="O661" s="123">
        <v>80</v>
      </c>
      <c r="P661" s="114" t="s">
        <v>81</v>
      </c>
      <c r="Q661" s="114" t="s">
        <v>112</v>
      </c>
      <c r="R661" s="115" t="str">
        <f t="shared" si="80"/>
        <v>53</v>
      </c>
      <c r="S661" s="112">
        <v>530209</v>
      </c>
      <c r="T661" s="122" t="str">
        <f>VLOOKUP(S661,ITEM!$C$1:$D$156,2,FALSE)</f>
        <v>Servicios de Aseo, Lavado de Vestimenta de Trabajo, Fumigación, Desinfección,  Limpieza de Instalaciones, manejo
de desechos contaminados, recuperación y clasificación de materiales reciclables.</v>
      </c>
      <c r="U661" s="112">
        <v>101</v>
      </c>
      <c r="V661" s="114" t="s">
        <v>82</v>
      </c>
      <c r="W661" s="114" t="s">
        <v>84</v>
      </c>
      <c r="X661" s="114" t="s">
        <v>84</v>
      </c>
      <c r="Y661" s="224" t="e">
        <f>'Matriz POA 2024-TRABAJO'!#REF!</f>
        <v>#REF!</v>
      </c>
      <c r="Z661" s="224" t="e">
        <f>'Matriz POA 2024-TRABAJO'!#REF!</f>
        <v>#REF!</v>
      </c>
      <c r="AA661" s="224" t="e">
        <f>'Matriz POA 2024-TRABAJO'!#REF!</f>
        <v>#REF!</v>
      </c>
      <c r="AB661" s="279">
        <v>8707.5</v>
      </c>
      <c r="AC661" s="279">
        <v>8707.5</v>
      </c>
      <c r="AD661" s="279">
        <v>8707.5</v>
      </c>
      <c r="AE661" s="279">
        <v>8707.5</v>
      </c>
      <c r="AF661" s="279">
        <v>8707.5</v>
      </c>
      <c r="AG661" s="279">
        <v>8707.5</v>
      </c>
      <c r="AH661" s="279">
        <v>0</v>
      </c>
      <c r="AI661" s="279">
        <v>0</v>
      </c>
      <c r="AJ661" s="279">
        <v>0</v>
      </c>
      <c r="AK661" s="279">
        <v>0</v>
      </c>
      <c r="AL661" s="279">
        <v>0</v>
      </c>
      <c r="AM661" s="279">
        <v>0</v>
      </c>
      <c r="AN661" s="224" t="e">
        <f>SUM(#REF!)</f>
        <v>#REF!</v>
      </c>
      <c r="AO661" s="224">
        <f t="shared" si="81"/>
        <v>52245</v>
      </c>
      <c r="AP661" s="224" t="e">
        <f t="shared" si="86"/>
        <v>#REF!</v>
      </c>
      <c r="AQ661" s="224"/>
      <c r="AR661" s="224"/>
      <c r="AS661" s="224"/>
      <c r="AT661" s="224" t="str">
        <f>IFERROR(VLOOKUP($A661,'Constancias POA'!$A$2:$DH$9993,17,FALSE),"")</f>
        <v/>
      </c>
      <c r="AU661" s="224" t="str">
        <f t="shared" si="87"/>
        <v/>
      </c>
      <c r="AV661" s="224" t="str">
        <f>IFERROR(VLOOKUP($A661,CP!$A$1:$U$7992,18,FALSE),"")</f>
        <v/>
      </c>
      <c r="AW661" s="224" t="str">
        <f>IFERROR(VLOOKUP($A661,CP!$A$1:$U$7992,19,FALSE),"")</f>
        <v/>
      </c>
      <c r="AX661" s="224" t="str">
        <f>IFERROR(VLOOKUP($A661,CP!$A$1:$U$7992,20,FALSE),"")</f>
        <v/>
      </c>
      <c r="AY661" s="224" t="str">
        <f>IFERROR(VLOOKUP($A661,CP!$A$1:$U$1,21,FALSE),"")</f>
        <v/>
      </c>
      <c r="AZ661" s="224" t="str">
        <f>IFERROR(VLOOKUP(A661,Devengado!$A$1:AJ1,35,FALSE),"")</f>
        <v/>
      </c>
      <c r="BA661" s="224" t="str">
        <f t="shared" si="82"/>
        <v/>
      </c>
      <c r="BB661" s="224" t="str">
        <f>IFERROR(AZ661/#REF!,"")</f>
        <v/>
      </c>
      <c r="BC661" s="224" t="str">
        <f>IFERROR(VLOOKUP($A661,Devengado!$A$1:$AI$1,22,FALSE),"")</f>
        <v/>
      </c>
      <c r="BD661" s="224" t="str">
        <f>IFERROR(VLOOKUP($A661,Devengado!$A$1:$AI$1,23,FALSE),"")</f>
        <v/>
      </c>
      <c r="BE661" s="224" t="str">
        <f>IFERROR(VLOOKUP($A661,Devengado!$A$1:$AI$1,24,FALSE),"")</f>
        <v/>
      </c>
      <c r="BF661" s="224" t="str">
        <f>IFERROR(VLOOKUP($A661,Devengado!$A$1:$AI$1,25,FALSE),"")</f>
        <v/>
      </c>
      <c r="BG661" s="224" t="str">
        <f>IFERROR(VLOOKUP($A661,Devengado!$A$1:$AI$1,26,FALSE),"")</f>
        <v/>
      </c>
      <c r="BH661" s="224" t="str">
        <f>IFERROR(VLOOKUP($A661,Devengado!$A$1:$AI$1,27,FALSE),"")</f>
        <v/>
      </c>
      <c r="BI661" s="224" t="str">
        <f>IFERROR(VLOOKUP($A661,Devengado!$A$1:$AI$1,28,FALSE),"")</f>
        <v/>
      </c>
      <c r="BJ661" s="224" t="str">
        <f>IFERROR(VLOOKUP($A661,Devengado!$A$1:$AI$1,29,FALSE),"")</f>
        <v/>
      </c>
      <c r="BK661" s="224" t="str">
        <f>IFERROR(VLOOKUP($A661,Devengado!$A$1:$AI$1,30,FALSE),"")</f>
        <v/>
      </c>
      <c r="BL661" s="224" t="str">
        <f>IFERROR(VLOOKUP($A661,Devengado!$A$1:$AI$1,31,FALSE),"")</f>
        <v/>
      </c>
      <c r="BM661" s="224" t="str">
        <f>IFERROR(VLOOKUP($A661,Devengado!$A$1:$AI$1,32,FALSE),"")</f>
        <v/>
      </c>
      <c r="BN661" s="224" t="str">
        <f>IFERROR(VLOOKUP($A661,Devengado!$A$1:$AI$1,33,FALSE),"")</f>
        <v/>
      </c>
      <c r="BO661" s="224">
        <f t="shared" si="83"/>
        <v>0</v>
      </c>
      <c r="BP661" s="224" t="str">
        <f t="shared" si="84"/>
        <v/>
      </c>
      <c r="BQ661" s="207"/>
      <c r="BR661" s="207" t="str">
        <f t="shared" si="85"/>
        <v>53</v>
      </c>
    </row>
    <row r="662" spans="1:70" s="225" customFormat="1" ht="25.5" customHeight="1">
      <c r="A662" s="207">
        <v>658</v>
      </c>
      <c r="B662" s="112" t="s">
        <v>621</v>
      </c>
      <c r="C662" s="112" t="s">
        <v>77</v>
      </c>
      <c r="D662" s="112" t="s">
        <v>77</v>
      </c>
      <c r="E662" s="112" t="s">
        <v>76</v>
      </c>
      <c r="F662" s="112" t="s">
        <v>77</v>
      </c>
      <c r="G662" s="112" t="s">
        <v>77</v>
      </c>
      <c r="H662" s="112" t="s">
        <v>77</v>
      </c>
      <c r="I662" s="112" t="s">
        <v>77</v>
      </c>
      <c r="J662" s="112" t="s">
        <v>77</v>
      </c>
      <c r="K662" s="112" t="s">
        <v>77</v>
      </c>
      <c r="L662" s="112" t="s">
        <v>85</v>
      </c>
      <c r="M662" s="112" t="s">
        <v>651</v>
      </c>
      <c r="N662" s="114" t="s">
        <v>623</v>
      </c>
      <c r="O662" s="123">
        <v>80</v>
      </c>
      <c r="P662" s="114" t="s">
        <v>81</v>
      </c>
      <c r="Q662" s="114" t="s">
        <v>112</v>
      </c>
      <c r="R662" s="115" t="str">
        <f t="shared" si="80"/>
        <v>53</v>
      </c>
      <c r="S662" s="112">
        <v>530221</v>
      </c>
      <c r="T662" s="122" t="str">
        <f>VLOOKUP(S662,ITEM!$C$1:$D$156,2,FALSE)</f>
        <v>Servicios Personales Eventuales sin Relación de Dependencia</v>
      </c>
      <c r="U662" s="112">
        <v>101</v>
      </c>
      <c r="V662" s="114" t="s">
        <v>82</v>
      </c>
      <c r="W662" s="114" t="s">
        <v>84</v>
      </c>
      <c r="X662" s="114" t="s">
        <v>84</v>
      </c>
      <c r="Y662" s="224" t="e">
        <f>'Matriz POA 2024-TRABAJO'!#REF!</f>
        <v>#REF!</v>
      </c>
      <c r="Z662" s="224" t="e">
        <f>'Matriz POA 2024-TRABAJO'!#REF!</f>
        <v>#REF!</v>
      </c>
      <c r="AA662" s="224" t="e">
        <f>'Matriz POA 2024-TRABAJO'!#REF!</f>
        <v>#REF!</v>
      </c>
      <c r="AB662" s="279">
        <v>208.33</v>
      </c>
      <c r="AC662" s="279">
        <v>208.33</v>
      </c>
      <c r="AD662" s="279">
        <v>208.33</v>
      </c>
      <c r="AE662" s="279">
        <v>208.33</v>
      </c>
      <c r="AF662" s="279">
        <v>208.33</v>
      </c>
      <c r="AG662" s="279">
        <v>208.33</v>
      </c>
      <c r="AH662" s="279">
        <v>208.33</v>
      </c>
      <c r="AI662" s="279">
        <v>208.33</v>
      </c>
      <c r="AJ662" s="279">
        <v>208.33</v>
      </c>
      <c r="AK662" s="279">
        <v>208.33</v>
      </c>
      <c r="AL662" s="279">
        <v>208.33</v>
      </c>
      <c r="AM662" s="279">
        <v>208.37</v>
      </c>
      <c r="AN662" s="224" t="e">
        <f>SUM(#REF!)</f>
        <v>#REF!</v>
      </c>
      <c r="AO662" s="224">
        <f t="shared" si="81"/>
        <v>2499.9999999999995</v>
      </c>
      <c r="AP662" s="224" t="e">
        <f t="shared" si="86"/>
        <v>#REF!</v>
      </c>
      <c r="AQ662" s="224"/>
      <c r="AR662" s="224"/>
      <c r="AS662" s="224"/>
      <c r="AT662" s="224" t="str">
        <f>IFERROR(VLOOKUP($A662,'Constancias POA'!$A$2:$DH$9993,17,FALSE),"")</f>
        <v/>
      </c>
      <c r="AU662" s="224" t="str">
        <f t="shared" si="87"/>
        <v/>
      </c>
      <c r="AV662" s="224" t="str">
        <f>IFERROR(VLOOKUP($A662,CP!$A$1:$U$7992,18,FALSE),"")</f>
        <v/>
      </c>
      <c r="AW662" s="224" t="str">
        <f>IFERROR(VLOOKUP($A662,CP!$A$1:$U$7992,19,FALSE),"")</f>
        <v/>
      </c>
      <c r="AX662" s="224" t="str">
        <f>IFERROR(VLOOKUP($A662,CP!$A$1:$U$7992,20,FALSE),"")</f>
        <v/>
      </c>
      <c r="AY662" s="224" t="str">
        <f>IFERROR(VLOOKUP($A662,CP!$A$1:$U$1,21,FALSE),"")</f>
        <v/>
      </c>
      <c r="AZ662" s="224" t="str">
        <f>IFERROR(VLOOKUP(A662,Devengado!$A$1:AJ1,35,FALSE),"")</f>
        <v/>
      </c>
      <c r="BA662" s="224" t="str">
        <f t="shared" si="82"/>
        <v/>
      </c>
      <c r="BB662" s="224" t="str">
        <f>IFERROR(AZ662/#REF!,"")</f>
        <v/>
      </c>
      <c r="BC662" s="224" t="str">
        <f>IFERROR(VLOOKUP($A662,Devengado!$A$1:$AI$1,22,FALSE),"")</f>
        <v/>
      </c>
      <c r="BD662" s="224" t="str">
        <f>IFERROR(VLOOKUP($A662,Devengado!$A$1:$AI$1,23,FALSE),"")</f>
        <v/>
      </c>
      <c r="BE662" s="224" t="str">
        <f>IFERROR(VLOOKUP($A662,Devengado!$A$1:$AI$1,24,FALSE),"")</f>
        <v/>
      </c>
      <c r="BF662" s="224" t="str">
        <f>IFERROR(VLOOKUP($A662,Devengado!$A$1:$AI$1,25,FALSE),"")</f>
        <v/>
      </c>
      <c r="BG662" s="224" t="str">
        <f>IFERROR(VLOOKUP($A662,Devengado!$A$1:$AI$1,26,FALSE),"")</f>
        <v/>
      </c>
      <c r="BH662" s="224" t="str">
        <f>IFERROR(VLOOKUP($A662,Devengado!$A$1:$AI$1,27,FALSE),"")</f>
        <v/>
      </c>
      <c r="BI662" s="224" t="str">
        <f>IFERROR(VLOOKUP($A662,Devengado!$A$1:$AI$1,28,FALSE),"")</f>
        <v/>
      </c>
      <c r="BJ662" s="224" t="str">
        <f>IFERROR(VLOOKUP($A662,Devengado!$A$1:$AI$1,29,FALSE),"")</f>
        <v/>
      </c>
      <c r="BK662" s="224" t="str">
        <f>IFERROR(VLOOKUP($A662,Devengado!$A$1:$AI$1,30,FALSE),"")</f>
        <v/>
      </c>
      <c r="BL662" s="224" t="str">
        <f>IFERROR(VLOOKUP($A662,Devengado!$A$1:$AI$1,31,FALSE),"")</f>
        <v/>
      </c>
      <c r="BM662" s="224" t="str">
        <f>IFERROR(VLOOKUP($A662,Devengado!$A$1:$AI$1,32,FALSE),"")</f>
        <v/>
      </c>
      <c r="BN662" s="224" t="str">
        <f>IFERROR(VLOOKUP($A662,Devengado!$A$1:$AI$1,33,FALSE),"")</f>
        <v/>
      </c>
      <c r="BO662" s="224">
        <f t="shared" si="83"/>
        <v>0</v>
      </c>
      <c r="BP662" s="224" t="str">
        <f t="shared" si="84"/>
        <v/>
      </c>
      <c r="BQ662" s="207"/>
      <c r="BR662" s="207" t="str">
        <f t="shared" si="85"/>
        <v>53</v>
      </c>
    </row>
    <row r="663" spans="1:70" s="225" customFormat="1" ht="25.5" customHeight="1">
      <c r="A663" s="207">
        <v>659</v>
      </c>
      <c r="B663" s="112" t="s">
        <v>621</v>
      </c>
      <c r="C663" s="112" t="s">
        <v>77</v>
      </c>
      <c r="D663" s="112" t="s">
        <v>77</v>
      </c>
      <c r="E663" s="112" t="s">
        <v>76</v>
      </c>
      <c r="F663" s="112" t="s">
        <v>77</v>
      </c>
      <c r="G663" s="112" t="s">
        <v>77</v>
      </c>
      <c r="H663" s="112" t="s">
        <v>77</v>
      </c>
      <c r="I663" s="112" t="s">
        <v>77</v>
      </c>
      <c r="J663" s="112" t="s">
        <v>77</v>
      </c>
      <c r="K663" s="112" t="s">
        <v>77</v>
      </c>
      <c r="L663" s="112" t="s">
        <v>85</v>
      </c>
      <c r="M663" s="112" t="s">
        <v>652</v>
      </c>
      <c r="N663" s="114" t="s">
        <v>623</v>
      </c>
      <c r="O663" s="123">
        <v>80</v>
      </c>
      <c r="P663" s="114" t="s">
        <v>81</v>
      </c>
      <c r="Q663" s="114" t="s">
        <v>112</v>
      </c>
      <c r="R663" s="115" t="str">
        <f t="shared" si="80"/>
        <v>53</v>
      </c>
      <c r="S663" s="112">
        <v>530255</v>
      </c>
      <c r="T663" s="122" t="str">
        <f>VLOOKUP(S663,ITEM!$C$1:$D$156,2,FALSE)</f>
        <v>Combustibles</v>
      </c>
      <c r="U663" s="112">
        <v>101</v>
      </c>
      <c r="V663" s="114" t="s">
        <v>82</v>
      </c>
      <c r="W663" s="114" t="s">
        <v>84</v>
      </c>
      <c r="X663" s="114" t="s">
        <v>84</v>
      </c>
      <c r="Y663" s="224" t="e">
        <f>'Matriz POA 2024-TRABAJO'!#REF!</f>
        <v>#REF!</v>
      </c>
      <c r="Z663" s="224" t="e">
        <f>'Matriz POA 2024-TRABAJO'!#REF!</f>
        <v>#REF!</v>
      </c>
      <c r="AA663" s="224" t="e">
        <f>'Matriz POA 2024-TRABAJO'!#REF!</f>
        <v>#REF!</v>
      </c>
      <c r="AB663" s="279">
        <v>0</v>
      </c>
      <c r="AC663" s="279">
        <v>181.82</v>
      </c>
      <c r="AD663" s="279">
        <v>181.82</v>
      </c>
      <c r="AE663" s="279">
        <v>181.82</v>
      </c>
      <c r="AF663" s="279">
        <v>181.82</v>
      </c>
      <c r="AG663" s="279">
        <v>181.82</v>
      </c>
      <c r="AH663" s="279">
        <v>181.82</v>
      </c>
      <c r="AI663" s="279">
        <v>181.82</v>
      </c>
      <c r="AJ663" s="279">
        <v>181.82</v>
      </c>
      <c r="AK663" s="279">
        <v>181.82</v>
      </c>
      <c r="AL663" s="279">
        <v>181.82</v>
      </c>
      <c r="AM663" s="279">
        <v>181.8</v>
      </c>
      <c r="AN663" s="224" t="e">
        <f>SUM(#REF!)</f>
        <v>#REF!</v>
      </c>
      <c r="AO663" s="224">
        <f t="shared" si="81"/>
        <v>1999.9999999999995</v>
      </c>
      <c r="AP663" s="224" t="e">
        <f t="shared" si="86"/>
        <v>#REF!</v>
      </c>
      <c r="AQ663" s="224"/>
      <c r="AR663" s="224"/>
      <c r="AS663" s="224"/>
      <c r="AT663" s="224" t="str">
        <f>IFERROR(VLOOKUP($A663,'Constancias POA'!$A$2:$DH$9993,17,FALSE),"")</f>
        <v/>
      </c>
      <c r="AU663" s="224" t="str">
        <f t="shared" si="87"/>
        <v/>
      </c>
      <c r="AV663" s="224" t="str">
        <f>IFERROR(VLOOKUP($A663,CP!$A$1:$U$7992,18,FALSE),"")</f>
        <v/>
      </c>
      <c r="AW663" s="224" t="str">
        <f>IFERROR(VLOOKUP($A663,CP!$A$1:$U$7992,19,FALSE),"")</f>
        <v/>
      </c>
      <c r="AX663" s="224" t="str">
        <f>IFERROR(VLOOKUP($A663,CP!$A$1:$U$7992,20,FALSE),"")</f>
        <v/>
      </c>
      <c r="AY663" s="224" t="str">
        <f>IFERROR(VLOOKUP($A663,CP!$A$1:$U$1,21,FALSE),"")</f>
        <v/>
      </c>
      <c r="AZ663" s="224" t="str">
        <f>IFERROR(VLOOKUP(A663,Devengado!$A$1:AJ1,35,FALSE),"")</f>
        <v/>
      </c>
      <c r="BA663" s="224" t="str">
        <f t="shared" si="82"/>
        <v/>
      </c>
      <c r="BB663" s="224" t="str">
        <f>IFERROR(AZ663/#REF!,"")</f>
        <v/>
      </c>
      <c r="BC663" s="224" t="str">
        <f>IFERROR(VLOOKUP($A663,Devengado!$A$1:$AI$1,22,FALSE),"")</f>
        <v/>
      </c>
      <c r="BD663" s="224" t="str">
        <f>IFERROR(VLOOKUP($A663,Devengado!$A$1:$AI$1,23,FALSE),"")</f>
        <v/>
      </c>
      <c r="BE663" s="224" t="str">
        <f>IFERROR(VLOOKUP($A663,Devengado!$A$1:$AI$1,24,FALSE),"")</f>
        <v/>
      </c>
      <c r="BF663" s="224" t="str">
        <f>IFERROR(VLOOKUP($A663,Devengado!$A$1:$AI$1,25,FALSE),"")</f>
        <v/>
      </c>
      <c r="BG663" s="224" t="str">
        <f>IFERROR(VLOOKUP($A663,Devengado!$A$1:$AI$1,26,FALSE),"")</f>
        <v/>
      </c>
      <c r="BH663" s="224" t="str">
        <f>IFERROR(VLOOKUP($A663,Devengado!$A$1:$AI$1,27,FALSE),"")</f>
        <v/>
      </c>
      <c r="BI663" s="224" t="str">
        <f>IFERROR(VLOOKUP($A663,Devengado!$A$1:$AI$1,28,FALSE),"")</f>
        <v/>
      </c>
      <c r="BJ663" s="224" t="str">
        <f>IFERROR(VLOOKUP($A663,Devengado!$A$1:$AI$1,29,FALSE),"")</f>
        <v/>
      </c>
      <c r="BK663" s="224" t="str">
        <f>IFERROR(VLOOKUP($A663,Devengado!$A$1:$AI$1,30,FALSE),"")</f>
        <v/>
      </c>
      <c r="BL663" s="224" t="str">
        <f>IFERROR(VLOOKUP($A663,Devengado!$A$1:$AI$1,31,FALSE),"")</f>
        <v/>
      </c>
      <c r="BM663" s="224" t="str">
        <f>IFERROR(VLOOKUP($A663,Devengado!$A$1:$AI$1,32,FALSE),"")</f>
        <v/>
      </c>
      <c r="BN663" s="224" t="str">
        <f>IFERROR(VLOOKUP($A663,Devengado!$A$1:$AI$1,33,FALSE),"")</f>
        <v/>
      </c>
      <c r="BO663" s="224">
        <f t="shared" si="83"/>
        <v>0</v>
      </c>
      <c r="BP663" s="224" t="str">
        <f t="shared" si="84"/>
        <v/>
      </c>
      <c r="BQ663" s="207"/>
      <c r="BR663" s="207" t="str">
        <f t="shared" si="85"/>
        <v>53</v>
      </c>
    </row>
    <row r="664" spans="1:70" s="225" customFormat="1" ht="25.5" customHeight="1">
      <c r="A664" s="207">
        <v>660</v>
      </c>
      <c r="B664" s="112" t="s">
        <v>621</v>
      </c>
      <c r="C664" s="112" t="s">
        <v>77</v>
      </c>
      <c r="D664" s="112" t="s">
        <v>77</v>
      </c>
      <c r="E664" s="112" t="s">
        <v>76</v>
      </c>
      <c r="F664" s="112" t="s">
        <v>77</v>
      </c>
      <c r="G664" s="112" t="s">
        <v>77</v>
      </c>
      <c r="H664" s="112" t="s">
        <v>77</v>
      </c>
      <c r="I664" s="112" t="s">
        <v>77</v>
      </c>
      <c r="J664" s="112" t="s">
        <v>77</v>
      </c>
      <c r="K664" s="112" t="s">
        <v>77</v>
      </c>
      <c r="L664" s="112" t="s">
        <v>85</v>
      </c>
      <c r="M664" s="112" t="s">
        <v>653</v>
      </c>
      <c r="N664" s="114" t="s">
        <v>623</v>
      </c>
      <c r="O664" s="123">
        <v>80</v>
      </c>
      <c r="P664" s="114" t="s">
        <v>81</v>
      </c>
      <c r="Q664" s="114" t="s">
        <v>112</v>
      </c>
      <c r="R664" s="115" t="str">
        <f t="shared" si="80"/>
        <v>53</v>
      </c>
      <c r="S664" s="112">
        <v>530255</v>
      </c>
      <c r="T664" s="122" t="str">
        <f>VLOOKUP(S664,ITEM!$C$1:$D$156,2,FALSE)</f>
        <v>Combustibles</v>
      </c>
      <c r="U664" s="112">
        <v>101</v>
      </c>
      <c r="V664" s="114" t="s">
        <v>82</v>
      </c>
      <c r="W664" s="114" t="s">
        <v>84</v>
      </c>
      <c r="X664" s="114" t="s">
        <v>84</v>
      </c>
      <c r="Y664" s="224" t="e">
        <f>'Matriz POA 2024-TRABAJO'!#REF!</f>
        <v>#REF!</v>
      </c>
      <c r="Z664" s="224" t="e">
        <f>'Matriz POA 2024-TRABAJO'!#REF!</f>
        <v>#REF!</v>
      </c>
      <c r="AA664" s="224" t="e">
        <f>'Matriz POA 2024-TRABAJO'!#REF!</f>
        <v>#REF!</v>
      </c>
      <c r="AB664" s="279">
        <v>0</v>
      </c>
      <c r="AC664" s="279">
        <v>30</v>
      </c>
      <c r="AD664" s="279">
        <v>30</v>
      </c>
      <c r="AE664" s="279">
        <v>30</v>
      </c>
      <c r="AF664" s="279">
        <v>30</v>
      </c>
      <c r="AG664" s="279">
        <v>30</v>
      </c>
      <c r="AH664" s="279">
        <v>30</v>
      </c>
      <c r="AI664" s="279">
        <v>30</v>
      </c>
      <c r="AJ664" s="279">
        <v>30</v>
      </c>
      <c r="AK664" s="279">
        <v>30</v>
      </c>
      <c r="AL664" s="279">
        <v>30</v>
      </c>
      <c r="AM664" s="279">
        <v>20</v>
      </c>
      <c r="AN664" s="224" t="e">
        <f>SUM(#REF!)</f>
        <v>#REF!</v>
      </c>
      <c r="AO664" s="224">
        <f t="shared" si="81"/>
        <v>320</v>
      </c>
      <c r="AP664" s="224" t="e">
        <f t="shared" si="86"/>
        <v>#REF!</v>
      </c>
      <c r="AQ664" s="224"/>
      <c r="AR664" s="224"/>
      <c r="AS664" s="224"/>
      <c r="AT664" s="224" t="str">
        <f>IFERROR(VLOOKUP($A664,'Constancias POA'!$A$2:$DH$9993,17,FALSE),"")</f>
        <v/>
      </c>
      <c r="AU664" s="224" t="str">
        <f t="shared" si="87"/>
        <v/>
      </c>
      <c r="AV664" s="224" t="str">
        <f>IFERROR(VLOOKUP($A664,CP!$A$1:$U$7992,18,FALSE),"")</f>
        <v/>
      </c>
      <c r="AW664" s="224" t="str">
        <f>IFERROR(VLOOKUP($A664,CP!$A$1:$U$7992,19,FALSE),"")</f>
        <v/>
      </c>
      <c r="AX664" s="224" t="str">
        <f>IFERROR(VLOOKUP($A664,CP!$A$1:$U$7992,20,FALSE),"")</f>
        <v/>
      </c>
      <c r="AY664" s="224" t="str">
        <f>IFERROR(VLOOKUP($A664,CP!$A$1:$U$1,21,FALSE),"")</f>
        <v/>
      </c>
      <c r="AZ664" s="224" t="str">
        <f>IFERROR(VLOOKUP(A664,Devengado!$A$1:AJ1,35,FALSE),"")</f>
        <v/>
      </c>
      <c r="BA664" s="224" t="str">
        <f t="shared" si="82"/>
        <v/>
      </c>
      <c r="BB664" s="224" t="str">
        <f>IFERROR(AZ664/#REF!,"")</f>
        <v/>
      </c>
      <c r="BC664" s="224" t="str">
        <f>IFERROR(VLOOKUP($A664,Devengado!$A$1:$AI$1,22,FALSE),"")</f>
        <v/>
      </c>
      <c r="BD664" s="224" t="str">
        <f>IFERROR(VLOOKUP($A664,Devengado!$A$1:$AI$1,23,FALSE),"")</f>
        <v/>
      </c>
      <c r="BE664" s="224" t="str">
        <f>IFERROR(VLOOKUP($A664,Devengado!$A$1:$AI$1,24,FALSE),"")</f>
        <v/>
      </c>
      <c r="BF664" s="224" t="str">
        <f>IFERROR(VLOOKUP($A664,Devengado!$A$1:$AI$1,25,FALSE),"")</f>
        <v/>
      </c>
      <c r="BG664" s="224" t="str">
        <f>IFERROR(VLOOKUP($A664,Devengado!$A$1:$AI$1,26,FALSE),"")</f>
        <v/>
      </c>
      <c r="BH664" s="224" t="str">
        <f>IFERROR(VLOOKUP($A664,Devengado!$A$1:$AI$1,27,FALSE),"")</f>
        <v/>
      </c>
      <c r="BI664" s="224" t="str">
        <f>IFERROR(VLOOKUP($A664,Devengado!$A$1:$AI$1,28,FALSE),"")</f>
        <v/>
      </c>
      <c r="BJ664" s="224" t="str">
        <f>IFERROR(VLOOKUP($A664,Devengado!$A$1:$AI$1,29,FALSE),"")</f>
        <v/>
      </c>
      <c r="BK664" s="224" t="str">
        <f>IFERROR(VLOOKUP($A664,Devengado!$A$1:$AI$1,30,FALSE),"")</f>
        <v/>
      </c>
      <c r="BL664" s="224" t="str">
        <f>IFERROR(VLOOKUP($A664,Devengado!$A$1:$AI$1,31,FALSE),"")</f>
        <v/>
      </c>
      <c r="BM664" s="224" t="str">
        <f>IFERROR(VLOOKUP($A664,Devengado!$A$1:$AI$1,32,FALSE),"")</f>
        <v/>
      </c>
      <c r="BN664" s="224" t="str">
        <f>IFERROR(VLOOKUP($A664,Devengado!$A$1:$AI$1,33,FALSE),"")</f>
        <v/>
      </c>
      <c r="BO664" s="224">
        <f t="shared" si="83"/>
        <v>0</v>
      </c>
      <c r="BP664" s="224" t="str">
        <f t="shared" si="84"/>
        <v/>
      </c>
      <c r="BQ664" s="207"/>
      <c r="BR664" s="207" t="str">
        <f t="shared" si="85"/>
        <v>53</v>
      </c>
    </row>
    <row r="665" spans="1:70" s="225" customFormat="1" ht="25.5" customHeight="1">
      <c r="A665" s="207">
        <v>661</v>
      </c>
      <c r="B665" s="112" t="s">
        <v>621</v>
      </c>
      <c r="C665" s="112" t="s">
        <v>77</v>
      </c>
      <c r="D665" s="112" t="s">
        <v>77</v>
      </c>
      <c r="E665" s="112" t="s">
        <v>76</v>
      </c>
      <c r="F665" s="112" t="s">
        <v>77</v>
      </c>
      <c r="G665" s="112" t="s">
        <v>77</v>
      </c>
      <c r="H665" s="112" t="s">
        <v>77</v>
      </c>
      <c r="I665" s="112" t="s">
        <v>77</v>
      </c>
      <c r="J665" s="112" t="s">
        <v>77</v>
      </c>
      <c r="K665" s="112" t="s">
        <v>77</v>
      </c>
      <c r="L665" s="112" t="s">
        <v>85</v>
      </c>
      <c r="M665" s="112" t="s">
        <v>654</v>
      </c>
      <c r="N665" s="114" t="s">
        <v>623</v>
      </c>
      <c r="O665" s="123">
        <v>80</v>
      </c>
      <c r="P665" s="114" t="s">
        <v>81</v>
      </c>
      <c r="Q665" s="114" t="s">
        <v>112</v>
      </c>
      <c r="R665" s="115" t="str">
        <f t="shared" si="80"/>
        <v>53</v>
      </c>
      <c r="S665" s="112">
        <v>530301</v>
      </c>
      <c r="T665" s="122" t="str">
        <f>VLOOKUP(S665,ITEM!$C$1:$D$156,2,FALSE)</f>
        <v>Pasajes al Interior</v>
      </c>
      <c r="U665" s="112">
        <v>101</v>
      </c>
      <c r="V665" s="114" t="s">
        <v>82</v>
      </c>
      <c r="W665" s="114" t="s">
        <v>84</v>
      </c>
      <c r="X665" s="114" t="s">
        <v>84</v>
      </c>
      <c r="Y665" s="224" t="e">
        <f>'Matriz POA 2024-TRABAJO'!#REF!</f>
        <v>#REF!</v>
      </c>
      <c r="Z665" s="224" t="e">
        <f>'Matriz POA 2024-TRABAJO'!#REF!</f>
        <v>#REF!</v>
      </c>
      <c r="AA665" s="224" t="e">
        <f>'Matriz POA 2024-TRABAJO'!#REF!</f>
        <v>#REF!</v>
      </c>
      <c r="AB665" s="279">
        <v>0</v>
      </c>
      <c r="AC665" s="279">
        <v>0</v>
      </c>
      <c r="AD665" s="279">
        <v>0</v>
      </c>
      <c r="AE665" s="279">
        <v>0</v>
      </c>
      <c r="AF665" s="279">
        <v>0</v>
      </c>
      <c r="AG665" s="279">
        <v>0</v>
      </c>
      <c r="AH665" s="279">
        <v>0</v>
      </c>
      <c r="AI665" s="279">
        <v>0</v>
      </c>
      <c r="AJ665" s="279">
        <v>0</v>
      </c>
      <c r="AK665" s="279">
        <v>0</v>
      </c>
      <c r="AL665" s="279">
        <v>0</v>
      </c>
      <c r="AM665" s="279">
        <v>0</v>
      </c>
      <c r="AN665" s="224" t="e">
        <f>SUM(#REF!)</f>
        <v>#REF!</v>
      </c>
      <c r="AO665" s="224">
        <f t="shared" si="81"/>
        <v>0</v>
      </c>
      <c r="AP665" s="224" t="e">
        <f t="shared" si="86"/>
        <v>#REF!</v>
      </c>
      <c r="AQ665" s="224"/>
      <c r="AR665" s="224"/>
      <c r="AS665" s="224"/>
      <c r="AT665" s="224" t="str">
        <f>IFERROR(VLOOKUP($A665,'Constancias POA'!$A$2:$DH$9993,17,FALSE),"")</f>
        <v/>
      </c>
      <c r="AU665" s="224" t="str">
        <f t="shared" si="87"/>
        <v/>
      </c>
      <c r="AV665" s="224" t="str">
        <f>IFERROR(VLOOKUP($A665,CP!$A$1:$U$7992,18,FALSE),"")</f>
        <v/>
      </c>
      <c r="AW665" s="224" t="str">
        <f>IFERROR(VLOOKUP($A665,CP!$A$1:$U$7992,19,FALSE),"")</f>
        <v/>
      </c>
      <c r="AX665" s="224" t="str">
        <f>IFERROR(VLOOKUP($A665,CP!$A$1:$U$7992,20,FALSE),"")</f>
        <v/>
      </c>
      <c r="AY665" s="224" t="str">
        <f>IFERROR(VLOOKUP($A665,CP!$A$1:$U$1,21,FALSE),"")</f>
        <v/>
      </c>
      <c r="AZ665" s="224" t="str">
        <f>IFERROR(VLOOKUP(A665,Devengado!$A$1:AJ1,35,FALSE),"")</f>
        <v/>
      </c>
      <c r="BA665" s="224" t="str">
        <f t="shared" si="82"/>
        <v/>
      </c>
      <c r="BB665" s="224" t="str">
        <f>IFERROR(AZ665/#REF!,"")</f>
        <v/>
      </c>
      <c r="BC665" s="224" t="str">
        <f>IFERROR(VLOOKUP($A665,Devengado!$A$1:$AI$1,22,FALSE),"")</f>
        <v/>
      </c>
      <c r="BD665" s="224" t="str">
        <f>IFERROR(VLOOKUP($A665,Devengado!$A$1:$AI$1,23,FALSE),"")</f>
        <v/>
      </c>
      <c r="BE665" s="224" t="str">
        <f>IFERROR(VLOOKUP($A665,Devengado!$A$1:$AI$1,24,FALSE),"")</f>
        <v/>
      </c>
      <c r="BF665" s="224" t="str">
        <f>IFERROR(VLOOKUP($A665,Devengado!$A$1:$AI$1,25,FALSE),"")</f>
        <v/>
      </c>
      <c r="BG665" s="224" t="str">
        <f>IFERROR(VLOOKUP($A665,Devengado!$A$1:$AI$1,26,FALSE),"")</f>
        <v/>
      </c>
      <c r="BH665" s="224" t="str">
        <f>IFERROR(VLOOKUP($A665,Devengado!$A$1:$AI$1,27,FALSE),"")</f>
        <v/>
      </c>
      <c r="BI665" s="224" t="str">
        <f>IFERROR(VLOOKUP($A665,Devengado!$A$1:$AI$1,28,FALSE),"")</f>
        <v/>
      </c>
      <c r="BJ665" s="224" t="str">
        <f>IFERROR(VLOOKUP($A665,Devengado!$A$1:$AI$1,29,FALSE),"")</f>
        <v/>
      </c>
      <c r="BK665" s="224" t="str">
        <f>IFERROR(VLOOKUP($A665,Devengado!$A$1:$AI$1,30,FALSE),"")</f>
        <v/>
      </c>
      <c r="BL665" s="224" t="str">
        <f>IFERROR(VLOOKUP($A665,Devengado!$A$1:$AI$1,31,FALSE),"")</f>
        <v/>
      </c>
      <c r="BM665" s="224" t="str">
        <f>IFERROR(VLOOKUP($A665,Devengado!$A$1:$AI$1,32,FALSE),"")</f>
        <v/>
      </c>
      <c r="BN665" s="224" t="str">
        <f>IFERROR(VLOOKUP($A665,Devengado!$A$1:$AI$1,33,FALSE),"")</f>
        <v/>
      </c>
      <c r="BO665" s="224">
        <f t="shared" si="83"/>
        <v>0</v>
      </c>
      <c r="BP665" s="224" t="str">
        <f t="shared" si="84"/>
        <v/>
      </c>
      <c r="BQ665" s="207"/>
      <c r="BR665" s="207" t="str">
        <f t="shared" si="85"/>
        <v>53</v>
      </c>
    </row>
    <row r="666" spans="1:70" s="225" customFormat="1" ht="25.5" customHeight="1">
      <c r="A666" s="207">
        <v>662</v>
      </c>
      <c r="B666" s="112" t="s">
        <v>621</v>
      </c>
      <c r="C666" s="112" t="s">
        <v>77</v>
      </c>
      <c r="D666" s="112" t="s">
        <v>77</v>
      </c>
      <c r="E666" s="112" t="s">
        <v>76</v>
      </c>
      <c r="F666" s="112" t="s">
        <v>77</v>
      </c>
      <c r="G666" s="112" t="s">
        <v>77</v>
      </c>
      <c r="H666" s="112" t="s">
        <v>77</v>
      </c>
      <c r="I666" s="112" t="s">
        <v>77</v>
      </c>
      <c r="J666" s="112" t="s">
        <v>77</v>
      </c>
      <c r="K666" s="112" t="s">
        <v>77</v>
      </c>
      <c r="L666" s="112" t="s">
        <v>85</v>
      </c>
      <c r="M666" s="112" t="s">
        <v>655</v>
      </c>
      <c r="N666" s="114" t="s">
        <v>623</v>
      </c>
      <c r="O666" s="123">
        <v>80</v>
      </c>
      <c r="P666" s="114" t="s">
        <v>81</v>
      </c>
      <c r="Q666" s="114" t="s">
        <v>112</v>
      </c>
      <c r="R666" s="115" t="str">
        <f t="shared" si="80"/>
        <v>53</v>
      </c>
      <c r="S666" s="112">
        <v>530303</v>
      </c>
      <c r="T666" s="122" t="str">
        <f>VLOOKUP(S666,ITEM!$C$1:$D$156,2,FALSE)</f>
        <v>Viáticos y Subsistencias en el Interior</v>
      </c>
      <c r="U666" s="112">
        <v>101</v>
      </c>
      <c r="V666" s="114" t="s">
        <v>82</v>
      </c>
      <c r="W666" s="114" t="s">
        <v>84</v>
      </c>
      <c r="X666" s="114" t="s">
        <v>84</v>
      </c>
      <c r="Y666" s="224" t="e">
        <f>'Matriz POA 2024-TRABAJO'!#REF!</f>
        <v>#REF!</v>
      </c>
      <c r="Z666" s="224" t="e">
        <f>'Matriz POA 2024-TRABAJO'!#REF!</f>
        <v>#REF!</v>
      </c>
      <c r="AA666" s="224" t="e">
        <f>'Matriz POA 2024-TRABAJO'!#REF!</f>
        <v>#REF!</v>
      </c>
      <c r="AB666" s="279">
        <v>0</v>
      </c>
      <c r="AC666" s="279">
        <v>0</v>
      </c>
      <c r="AD666" s="279">
        <v>0</v>
      </c>
      <c r="AE666" s="279">
        <v>0</v>
      </c>
      <c r="AF666" s="279">
        <v>0</v>
      </c>
      <c r="AG666" s="279">
        <v>0</v>
      </c>
      <c r="AH666" s="279">
        <v>0</v>
      </c>
      <c r="AI666" s="279">
        <v>0</v>
      </c>
      <c r="AJ666" s="279">
        <v>0</v>
      </c>
      <c r="AK666" s="279">
        <v>0</v>
      </c>
      <c r="AL666" s="279">
        <v>0</v>
      </c>
      <c r="AM666" s="279">
        <v>0</v>
      </c>
      <c r="AN666" s="224" t="e">
        <f>SUM(#REF!)</f>
        <v>#REF!</v>
      </c>
      <c r="AO666" s="224">
        <f t="shared" si="81"/>
        <v>0</v>
      </c>
      <c r="AP666" s="224" t="e">
        <f t="shared" si="86"/>
        <v>#REF!</v>
      </c>
      <c r="AQ666" s="224"/>
      <c r="AR666" s="224"/>
      <c r="AS666" s="224"/>
      <c r="AT666" s="224" t="str">
        <f>IFERROR(VLOOKUP($A666,'Constancias POA'!$A$2:$DH$9993,17,FALSE),"")</f>
        <v/>
      </c>
      <c r="AU666" s="224" t="str">
        <f t="shared" si="87"/>
        <v/>
      </c>
      <c r="AV666" s="224" t="str">
        <f>IFERROR(VLOOKUP($A666,CP!$A$1:$U$7992,18,FALSE),"")</f>
        <v/>
      </c>
      <c r="AW666" s="224" t="str">
        <f>IFERROR(VLOOKUP($A666,CP!$A$1:$U$7992,19,FALSE),"")</f>
        <v/>
      </c>
      <c r="AX666" s="224" t="str">
        <f>IFERROR(VLOOKUP($A666,CP!$A$1:$U$7992,20,FALSE),"")</f>
        <v/>
      </c>
      <c r="AY666" s="224" t="str">
        <f>IFERROR(VLOOKUP($A666,CP!$A$1:$U$1,21,FALSE),"")</f>
        <v/>
      </c>
      <c r="AZ666" s="224" t="str">
        <f>IFERROR(VLOOKUP(A666,Devengado!$A$1:AJ1,35,FALSE),"")</f>
        <v/>
      </c>
      <c r="BA666" s="224" t="str">
        <f t="shared" si="82"/>
        <v/>
      </c>
      <c r="BB666" s="224" t="str">
        <f>IFERROR(AZ666/#REF!,"")</f>
        <v/>
      </c>
      <c r="BC666" s="224" t="str">
        <f>IFERROR(VLOOKUP($A666,Devengado!$A$1:$AI$1,22,FALSE),"")</f>
        <v/>
      </c>
      <c r="BD666" s="224" t="str">
        <f>IFERROR(VLOOKUP($A666,Devengado!$A$1:$AI$1,23,FALSE),"")</f>
        <v/>
      </c>
      <c r="BE666" s="224" t="str">
        <f>IFERROR(VLOOKUP($A666,Devengado!$A$1:$AI$1,24,FALSE),"")</f>
        <v/>
      </c>
      <c r="BF666" s="224" t="str">
        <f>IFERROR(VLOOKUP($A666,Devengado!$A$1:$AI$1,25,FALSE),"")</f>
        <v/>
      </c>
      <c r="BG666" s="224" t="str">
        <f>IFERROR(VLOOKUP($A666,Devengado!$A$1:$AI$1,26,FALSE),"")</f>
        <v/>
      </c>
      <c r="BH666" s="224" t="str">
        <f>IFERROR(VLOOKUP($A666,Devengado!$A$1:$AI$1,27,FALSE),"")</f>
        <v/>
      </c>
      <c r="BI666" s="224" t="str">
        <f>IFERROR(VLOOKUP($A666,Devengado!$A$1:$AI$1,28,FALSE),"")</f>
        <v/>
      </c>
      <c r="BJ666" s="224" t="str">
        <f>IFERROR(VLOOKUP($A666,Devengado!$A$1:$AI$1,29,FALSE),"")</f>
        <v/>
      </c>
      <c r="BK666" s="224" t="str">
        <f>IFERROR(VLOOKUP($A666,Devengado!$A$1:$AI$1,30,FALSE),"")</f>
        <v/>
      </c>
      <c r="BL666" s="224" t="str">
        <f>IFERROR(VLOOKUP($A666,Devengado!$A$1:$AI$1,31,FALSE),"")</f>
        <v/>
      </c>
      <c r="BM666" s="224" t="str">
        <f>IFERROR(VLOOKUP($A666,Devengado!$A$1:$AI$1,32,FALSE),"")</f>
        <v/>
      </c>
      <c r="BN666" s="224" t="str">
        <f>IFERROR(VLOOKUP($A666,Devengado!$A$1:$AI$1,33,FALSE),"")</f>
        <v/>
      </c>
      <c r="BO666" s="224">
        <f t="shared" si="83"/>
        <v>0</v>
      </c>
      <c r="BP666" s="224" t="str">
        <f t="shared" si="84"/>
        <v/>
      </c>
      <c r="BQ666" s="207"/>
      <c r="BR666" s="207" t="str">
        <f t="shared" si="85"/>
        <v>53</v>
      </c>
    </row>
    <row r="667" spans="1:70" s="225" customFormat="1" ht="25.5" customHeight="1">
      <c r="A667" s="207">
        <v>663</v>
      </c>
      <c r="B667" s="112" t="s">
        <v>621</v>
      </c>
      <c r="C667" s="112" t="s">
        <v>77</v>
      </c>
      <c r="D667" s="112" t="s">
        <v>77</v>
      </c>
      <c r="E667" s="112" t="s">
        <v>76</v>
      </c>
      <c r="F667" s="112" t="s">
        <v>77</v>
      </c>
      <c r="G667" s="112" t="s">
        <v>77</v>
      </c>
      <c r="H667" s="112" t="s">
        <v>77</v>
      </c>
      <c r="I667" s="112" t="s">
        <v>77</v>
      </c>
      <c r="J667" s="112" t="s">
        <v>77</v>
      </c>
      <c r="K667" s="112" t="s">
        <v>77</v>
      </c>
      <c r="L667" s="112" t="s">
        <v>85</v>
      </c>
      <c r="M667" s="112" t="s">
        <v>656</v>
      </c>
      <c r="N667" s="114" t="s">
        <v>623</v>
      </c>
      <c r="O667" s="123">
        <v>80</v>
      </c>
      <c r="P667" s="114" t="s">
        <v>81</v>
      </c>
      <c r="Q667" s="114" t="s">
        <v>112</v>
      </c>
      <c r="R667" s="115" t="str">
        <f t="shared" si="80"/>
        <v>53</v>
      </c>
      <c r="S667" s="112">
        <v>530402</v>
      </c>
      <c r="T667" s="122" t="str">
        <f>VLOOKUP(S667,ITEM!$C$1:$D$156,2,FALSE)</f>
        <v>Edificios, Locales, Residencias y Cableado Estructurado (Instalación, Mantenimiento y Reparación)</v>
      </c>
      <c r="U667" s="112">
        <v>101</v>
      </c>
      <c r="V667" s="114" t="s">
        <v>82</v>
      </c>
      <c r="W667" s="114" t="s">
        <v>84</v>
      </c>
      <c r="X667" s="114" t="s">
        <v>84</v>
      </c>
      <c r="Y667" s="224" t="e">
        <f>'Matriz POA 2024-TRABAJO'!#REF!</f>
        <v>#REF!</v>
      </c>
      <c r="Z667" s="224" t="e">
        <f>'Matriz POA 2024-TRABAJO'!#REF!</f>
        <v>#REF!</v>
      </c>
      <c r="AA667" s="224" t="e">
        <f>'Matriz POA 2024-TRABAJO'!#REF!</f>
        <v>#REF!</v>
      </c>
      <c r="AB667" s="279">
        <v>0</v>
      </c>
      <c r="AC667" s="279">
        <v>0</v>
      </c>
      <c r="AD667" s="279">
        <v>0</v>
      </c>
      <c r="AE667" s="279">
        <v>5325.13</v>
      </c>
      <c r="AF667" s="279">
        <v>0</v>
      </c>
      <c r="AG667" s="279">
        <v>0</v>
      </c>
      <c r="AH667" s="279">
        <v>0</v>
      </c>
      <c r="AI667" s="279">
        <v>0</v>
      </c>
      <c r="AJ667" s="279">
        <v>0</v>
      </c>
      <c r="AK667" s="279">
        <v>0</v>
      </c>
      <c r="AL667" s="279">
        <v>0</v>
      </c>
      <c r="AM667" s="279">
        <v>0</v>
      </c>
      <c r="AN667" s="224" t="e">
        <f>SUM(#REF!)</f>
        <v>#REF!</v>
      </c>
      <c r="AO667" s="224">
        <f t="shared" si="81"/>
        <v>5325.13</v>
      </c>
      <c r="AP667" s="224" t="e">
        <f t="shared" si="86"/>
        <v>#REF!</v>
      </c>
      <c r="AQ667" s="224"/>
      <c r="AR667" s="224"/>
      <c r="AS667" s="224"/>
      <c r="AT667" s="224" t="str">
        <f>IFERROR(VLOOKUP($A667,'Constancias POA'!$A$2:$DH$9993,17,FALSE),"")</f>
        <v/>
      </c>
      <c r="AU667" s="224" t="str">
        <f t="shared" si="87"/>
        <v/>
      </c>
      <c r="AV667" s="224" t="str">
        <f>IFERROR(VLOOKUP($A667,CP!$A$1:$U$7992,18,FALSE),"")</f>
        <v/>
      </c>
      <c r="AW667" s="224" t="str">
        <f>IFERROR(VLOOKUP($A667,CP!$A$1:$U$7992,19,FALSE),"")</f>
        <v/>
      </c>
      <c r="AX667" s="224" t="str">
        <f>IFERROR(VLOOKUP($A667,CP!$A$1:$U$7992,20,FALSE),"")</f>
        <v/>
      </c>
      <c r="AY667" s="224" t="str">
        <f>IFERROR(VLOOKUP($A667,CP!$A$1:$U$1,21,FALSE),"")</f>
        <v/>
      </c>
      <c r="AZ667" s="224" t="str">
        <f>IFERROR(VLOOKUP(A667,Devengado!$A$1:AJ1,35,FALSE),"")</f>
        <v/>
      </c>
      <c r="BA667" s="224" t="str">
        <f t="shared" si="82"/>
        <v/>
      </c>
      <c r="BB667" s="224" t="str">
        <f>IFERROR(AZ667/#REF!,"")</f>
        <v/>
      </c>
      <c r="BC667" s="224" t="str">
        <f>IFERROR(VLOOKUP($A667,Devengado!$A$1:$AI$1,22,FALSE),"")</f>
        <v/>
      </c>
      <c r="BD667" s="224" t="str">
        <f>IFERROR(VLOOKUP($A667,Devengado!$A$1:$AI$1,23,FALSE),"")</f>
        <v/>
      </c>
      <c r="BE667" s="224" t="str">
        <f>IFERROR(VLOOKUP($A667,Devengado!$A$1:$AI$1,24,FALSE),"")</f>
        <v/>
      </c>
      <c r="BF667" s="224" t="str">
        <f>IFERROR(VLOOKUP($A667,Devengado!$A$1:$AI$1,25,FALSE),"")</f>
        <v/>
      </c>
      <c r="BG667" s="224" t="str">
        <f>IFERROR(VLOOKUP($A667,Devengado!$A$1:$AI$1,26,FALSE),"")</f>
        <v/>
      </c>
      <c r="BH667" s="224" t="str">
        <f>IFERROR(VLOOKUP($A667,Devengado!$A$1:$AI$1,27,FALSE),"")</f>
        <v/>
      </c>
      <c r="BI667" s="224" t="str">
        <f>IFERROR(VLOOKUP($A667,Devengado!$A$1:$AI$1,28,FALSE),"")</f>
        <v/>
      </c>
      <c r="BJ667" s="224" t="str">
        <f>IFERROR(VLOOKUP($A667,Devengado!$A$1:$AI$1,29,FALSE),"")</f>
        <v/>
      </c>
      <c r="BK667" s="224" t="str">
        <f>IFERROR(VLOOKUP($A667,Devengado!$A$1:$AI$1,30,FALSE),"")</f>
        <v/>
      </c>
      <c r="BL667" s="224" t="str">
        <f>IFERROR(VLOOKUP($A667,Devengado!$A$1:$AI$1,31,FALSE),"")</f>
        <v/>
      </c>
      <c r="BM667" s="224" t="str">
        <f>IFERROR(VLOOKUP($A667,Devengado!$A$1:$AI$1,32,FALSE),"")</f>
        <v/>
      </c>
      <c r="BN667" s="224" t="str">
        <f>IFERROR(VLOOKUP($A667,Devengado!$A$1:$AI$1,33,FALSE),"")</f>
        <v/>
      </c>
      <c r="BO667" s="224">
        <f t="shared" si="83"/>
        <v>0</v>
      </c>
      <c r="BP667" s="224" t="str">
        <f t="shared" si="84"/>
        <v/>
      </c>
      <c r="BQ667" s="207"/>
      <c r="BR667" s="207" t="str">
        <f t="shared" si="85"/>
        <v>53</v>
      </c>
    </row>
    <row r="668" spans="1:70" s="225" customFormat="1" ht="25.5" customHeight="1">
      <c r="A668" s="207">
        <v>664</v>
      </c>
      <c r="B668" s="112" t="s">
        <v>621</v>
      </c>
      <c r="C668" s="112" t="s">
        <v>77</v>
      </c>
      <c r="D668" s="112" t="s">
        <v>77</v>
      </c>
      <c r="E668" s="112" t="s">
        <v>76</v>
      </c>
      <c r="F668" s="112" t="s">
        <v>77</v>
      </c>
      <c r="G668" s="112" t="s">
        <v>77</v>
      </c>
      <c r="H668" s="112" t="s">
        <v>77</v>
      </c>
      <c r="I668" s="112" t="s">
        <v>77</v>
      </c>
      <c r="J668" s="112" t="s">
        <v>77</v>
      </c>
      <c r="K668" s="112" t="s">
        <v>77</v>
      </c>
      <c r="L668" s="112" t="s">
        <v>85</v>
      </c>
      <c r="M668" s="112" t="s">
        <v>657</v>
      </c>
      <c r="N668" s="114" t="s">
        <v>623</v>
      </c>
      <c r="O668" s="123">
        <v>80</v>
      </c>
      <c r="P668" s="114" t="s">
        <v>81</v>
      </c>
      <c r="Q668" s="114" t="s">
        <v>112</v>
      </c>
      <c r="R668" s="115" t="str">
        <f t="shared" si="80"/>
        <v>53</v>
      </c>
      <c r="S668" s="112">
        <v>530402</v>
      </c>
      <c r="T668" s="122" t="str">
        <f>VLOOKUP(S668,ITEM!$C$1:$D$156,2,FALSE)</f>
        <v>Edificios, Locales, Residencias y Cableado Estructurado (Instalación, Mantenimiento y Reparación)</v>
      </c>
      <c r="U668" s="112">
        <v>101</v>
      </c>
      <c r="V668" s="114" t="s">
        <v>82</v>
      </c>
      <c r="W668" s="114" t="s">
        <v>84</v>
      </c>
      <c r="X668" s="114" t="s">
        <v>84</v>
      </c>
      <c r="Y668" s="224" t="e">
        <f>'Matriz POA 2024-TRABAJO'!#REF!</f>
        <v>#REF!</v>
      </c>
      <c r="Z668" s="224" t="e">
        <f>'Matriz POA 2024-TRABAJO'!#REF!</f>
        <v>#REF!</v>
      </c>
      <c r="AA668" s="224" t="e">
        <f>'Matriz POA 2024-TRABAJO'!#REF!</f>
        <v>#REF!</v>
      </c>
      <c r="AB668" s="279">
        <v>0</v>
      </c>
      <c r="AC668" s="279">
        <v>0</v>
      </c>
      <c r="AD668" s="279">
        <v>0</v>
      </c>
      <c r="AE668" s="279">
        <v>2500</v>
      </c>
      <c r="AF668" s="279">
        <v>0</v>
      </c>
      <c r="AG668" s="279">
        <v>0</v>
      </c>
      <c r="AH668" s="279">
        <v>0</v>
      </c>
      <c r="AI668" s="279">
        <v>0</v>
      </c>
      <c r="AJ668" s="279">
        <v>0</v>
      </c>
      <c r="AK668" s="279">
        <v>0</v>
      </c>
      <c r="AL668" s="279">
        <v>0</v>
      </c>
      <c r="AM668" s="279">
        <v>0</v>
      </c>
      <c r="AN668" s="224" t="e">
        <f>SUM(#REF!)</f>
        <v>#REF!</v>
      </c>
      <c r="AO668" s="224">
        <f t="shared" si="81"/>
        <v>2500</v>
      </c>
      <c r="AP668" s="224" t="e">
        <f t="shared" si="86"/>
        <v>#REF!</v>
      </c>
      <c r="AQ668" s="224"/>
      <c r="AR668" s="224"/>
      <c r="AS668" s="224"/>
      <c r="AT668" s="224" t="str">
        <f>IFERROR(VLOOKUP($A668,'Constancias POA'!$A$2:$DH$9993,17,FALSE),"")</f>
        <v/>
      </c>
      <c r="AU668" s="224" t="str">
        <f t="shared" si="87"/>
        <v/>
      </c>
      <c r="AV668" s="224" t="str">
        <f>IFERROR(VLOOKUP($A668,CP!$A$1:$U$7992,18,FALSE),"")</f>
        <v/>
      </c>
      <c r="AW668" s="224" t="str">
        <f>IFERROR(VLOOKUP($A668,CP!$A$1:$U$7992,19,FALSE),"")</f>
        <v/>
      </c>
      <c r="AX668" s="224" t="str">
        <f>IFERROR(VLOOKUP($A668,CP!$A$1:$U$7992,20,FALSE),"")</f>
        <v/>
      </c>
      <c r="AY668" s="224" t="str">
        <f>IFERROR(VLOOKUP($A668,CP!$A$1:$U$1,21,FALSE),"")</f>
        <v/>
      </c>
      <c r="AZ668" s="224" t="str">
        <f>IFERROR(VLOOKUP(A668,Devengado!$A$1:AJ1,35,FALSE),"")</f>
        <v/>
      </c>
      <c r="BA668" s="224" t="str">
        <f t="shared" si="82"/>
        <v/>
      </c>
      <c r="BB668" s="224" t="str">
        <f>IFERROR(AZ668/#REF!,"")</f>
        <v/>
      </c>
      <c r="BC668" s="224" t="str">
        <f>IFERROR(VLOOKUP($A668,Devengado!$A$1:$AI$1,22,FALSE),"")</f>
        <v/>
      </c>
      <c r="BD668" s="224" t="str">
        <f>IFERROR(VLOOKUP($A668,Devengado!$A$1:$AI$1,23,FALSE),"")</f>
        <v/>
      </c>
      <c r="BE668" s="224" t="str">
        <f>IFERROR(VLOOKUP($A668,Devengado!$A$1:$AI$1,24,FALSE),"")</f>
        <v/>
      </c>
      <c r="BF668" s="224" t="str">
        <f>IFERROR(VLOOKUP($A668,Devengado!$A$1:$AI$1,25,FALSE),"")</f>
        <v/>
      </c>
      <c r="BG668" s="224" t="str">
        <f>IFERROR(VLOOKUP($A668,Devengado!$A$1:$AI$1,26,FALSE),"")</f>
        <v/>
      </c>
      <c r="BH668" s="224" t="str">
        <f>IFERROR(VLOOKUP($A668,Devengado!$A$1:$AI$1,27,FALSE),"")</f>
        <v/>
      </c>
      <c r="BI668" s="224" t="str">
        <f>IFERROR(VLOOKUP($A668,Devengado!$A$1:$AI$1,28,FALSE),"")</f>
        <v/>
      </c>
      <c r="BJ668" s="224" t="str">
        <f>IFERROR(VLOOKUP($A668,Devengado!$A$1:$AI$1,29,FALSE),"")</f>
        <v/>
      </c>
      <c r="BK668" s="224" t="str">
        <f>IFERROR(VLOOKUP($A668,Devengado!$A$1:$AI$1,30,FALSE),"")</f>
        <v/>
      </c>
      <c r="BL668" s="224" t="str">
        <f>IFERROR(VLOOKUP($A668,Devengado!$A$1:$AI$1,31,FALSE),"")</f>
        <v/>
      </c>
      <c r="BM668" s="224" t="str">
        <f>IFERROR(VLOOKUP($A668,Devengado!$A$1:$AI$1,32,FALSE),"")</f>
        <v/>
      </c>
      <c r="BN668" s="224" t="str">
        <f>IFERROR(VLOOKUP($A668,Devengado!$A$1:$AI$1,33,FALSE),"")</f>
        <v/>
      </c>
      <c r="BO668" s="224">
        <f t="shared" si="83"/>
        <v>0</v>
      </c>
      <c r="BP668" s="224" t="str">
        <f t="shared" si="84"/>
        <v/>
      </c>
      <c r="BQ668" s="207"/>
      <c r="BR668" s="207" t="str">
        <f t="shared" si="85"/>
        <v>53</v>
      </c>
    </row>
    <row r="669" spans="1:70" s="225" customFormat="1" ht="25.5" customHeight="1">
      <c r="A669" s="207">
        <v>665</v>
      </c>
      <c r="B669" s="112" t="s">
        <v>621</v>
      </c>
      <c r="C669" s="112" t="s">
        <v>77</v>
      </c>
      <c r="D669" s="112" t="s">
        <v>77</v>
      </c>
      <c r="E669" s="112" t="s">
        <v>76</v>
      </c>
      <c r="F669" s="112" t="s">
        <v>77</v>
      </c>
      <c r="G669" s="112" t="s">
        <v>77</v>
      </c>
      <c r="H669" s="112" t="s">
        <v>77</v>
      </c>
      <c r="I669" s="112" t="s">
        <v>77</v>
      </c>
      <c r="J669" s="112" t="s">
        <v>77</v>
      </c>
      <c r="K669" s="112" t="s">
        <v>77</v>
      </c>
      <c r="L669" s="112" t="s">
        <v>85</v>
      </c>
      <c r="M669" s="112" t="s">
        <v>658</v>
      </c>
      <c r="N669" s="114" t="s">
        <v>623</v>
      </c>
      <c r="O669" s="123">
        <v>80</v>
      </c>
      <c r="P669" s="114" t="s">
        <v>81</v>
      </c>
      <c r="Q669" s="114" t="s">
        <v>112</v>
      </c>
      <c r="R669" s="115" t="str">
        <f t="shared" si="80"/>
        <v>53</v>
      </c>
      <c r="S669" s="112">
        <v>530402</v>
      </c>
      <c r="T669" s="122" t="str">
        <f>VLOOKUP(S669,ITEM!$C$1:$D$156,2,FALSE)</f>
        <v>Edificios, Locales, Residencias y Cableado Estructurado (Instalación, Mantenimiento y Reparación)</v>
      </c>
      <c r="U669" s="112">
        <v>101</v>
      </c>
      <c r="V669" s="114" t="s">
        <v>82</v>
      </c>
      <c r="W669" s="114" t="s">
        <v>84</v>
      </c>
      <c r="X669" s="114" t="s">
        <v>84</v>
      </c>
      <c r="Y669" s="224" t="e">
        <f>'Matriz POA 2024-TRABAJO'!#REF!</f>
        <v>#REF!</v>
      </c>
      <c r="Z669" s="224" t="e">
        <f>'Matriz POA 2024-TRABAJO'!#REF!</f>
        <v>#REF!</v>
      </c>
      <c r="AA669" s="224" t="e">
        <f>'Matriz POA 2024-TRABAJO'!#REF!</f>
        <v>#REF!</v>
      </c>
      <c r="AB669" s="279">
        <v>0</v>
      </c>
      <c r="AC669" s="279">
        <v>0</v>
      </c>
      <c r="AD669" s="279">
        <v>0</v>
      </c>
      <c r="AE669" s="279">
        <v>3500</v>
      </c>
      <c r="AF669" s="279">
        <v>0</v>
      </c>
      <c r="AG669" s="279">
        <v>0</v>
      </c>
      <c r="AH669" s="279">
        <v>0</v>
      </c>
      <c r="AI669" s="279">
        <v>0</v>
      </c>
      <c r="AJ669" s="279">
        <v>0</v>
      </c>
      <c r="AK669" s="279">
        <v>0</v>
      </c>
      <c r="AL669" s="279">
        <v>0</v>
      </c>
      <c r="AM669" s="279">
        <v>0</v>
      </c>
      <c r="AN669" s="224" t="e">
        <f>SUM(#REF!)</f>
        <v>#REF!</v>
      </c>
      <c r="AO669" s="224">
        <f t="shared" si="81"/>
        <v>3500</v>
      </c>
      <c r="AP669" s="224" t="e">
        <f t="shared" si="86"/>
        <v>#REF!</v>
      </c>
      <c r="AQ669" s="224"/>
      <c r="AR669" s="224"/>
      <c r="AS669" s="224"/>
      <c r="AT669" s="224" t="str">
        <f>IFERROR(VLOOKUP($A669,'Constancias POA'!$A$2:$DH$9993,17,FALSE),"")</f>
        <v/>
      </c>
      <c r="AU669" s="224" t="str">
        <f t="shared" si="87"/>
        <v/>
      </c>
      <c r="AV669" s="224" t="str">
        <f>IFERROR(VLOOKUP($A669,CP!$A$1:$U$7992,18,FALSE),"")</f>
        <v/>
      </c>
      <c r="AW669" s="224" t="str">
        <f>IFERROR(VLOOKUP($A669,CP!$A$1:$U$7992,19,FALSE),"")</f>
        <v/>
      </c>
      <c r="AX669" s="224" t="str">
        <f>IFERROR(VLOOKUP($A669,CP!$A$1:$U$7992,20,FALSE),"")</f>
        <v/>
      </c>
      <c r="AY669" s="224" t="str">
        <f>IFERROR(VLOOKUP($A669,CP!$A$1:$U$1,21,FALSE),"")</f>
        <v/>
      </c>
      <c r="AZ669" s="224" t="str">
        <f>IFERROR(VLOOKUP(A669,Devengado!$A$1:AJ1,35,FALSE),"")</f>
        <v/>
      </c>
      <c r="BA669" s="224" t="str">
        <f t="shared" si="82"/>
        <v/>
      </c>
      <c r="BB669" s="224" t="str">
        <f>IFERROR(AZ669/#REF!,"")</f>
        <v/>
      </c>
      <c r="BC669" s="224" t="str">
        <f>IFERROR(VLOOKUP($A669,Devengado!$A$1:$AI$1,22,FALSE),"")</f>
        <v/>
      </c>
      <c r="BD669" s="224" t="str">
        <f>IFERROR(VLOOKUP($A669,Devengado!$A$1:$AI$1,23,FALSE),"")</f>
        <v/>
      </c>
      <c r="BE669" s="224" t="str">
        <f>IFERROR(VLOOKUP($A669,Devengado!$A$1:$AI$1,24,FALSE),"")</f>
        <v/>
      </c>
      <c r="BF669" s="224" t="str">
        <f>IFERROR(VLOOKUP($A669,Devengado!$A$1:$AI$1,25,FALSE),"")</f>
        <v/>
      </c>
      <c r="BG669" s="224" t="str">
        <f>IFERROR(VLOOKUP($A669,Devengado!$A$1:$AI$1,26,FALSE),"")</f>
        <v/>
      </c>
      <c r="BH669" s="224" t="str">
        <f>IFERROR(VLOOKUP($A669,Devengado!$A$1:$AI$1,27,FALSE),"")</f>
        <v/>
      </c>
      <c r="BI669" s="224" t="str">
        <f>IFERROR(VLOOKUP($A669,Devengado!$A$1:$AI$1,28,FALSE),"")</f>
        <v/>
      </c>
      <c r="BJ669" s="224" t="str">
        <f>IFERROR(VLOOKUP($A669,Devengado!$A$1:$AI$1,29,FALSE),"")</f>
        <v/>
      </c>
      <c r="BK669" s="224" t="str">
        <f>IFERROR(VLOOKUP($A669,Devengado!$A$1:$AI$1,30,FALSE),"")</f>
        <v/>
      </c>
      <c r="BL669" s="224" t="str">
        <f>IFERROR(VLOOKUP($A669,Devengado!$A$1:$AI$1,31,FALSE),"")</f>
        <v/>
      </c>
      <c r="BM669" s="224" t="str">
        <f>IFERROR(VLOOKUP($A669,Devengado!$A$1:$AI$1,32,FALSE),"")</f>
        <v/>
      </c>
      <c r="BN669" s="224" t="str">
        <f>IFERROR(VLOOKUP($A669,Devengado!$A$1:$AI$1,33,FALSE),"")</f>
        <v/>
      </c>
      <c r="BO669" s="224">
        <f t="shared" si="83"/>
        <v>0</v>
      </c>
      <c r="BP669" s="224" t="str">
        <f t="shared" si="84"/>
        <v/>
      </c>
      <c r="BQ669" s="207"/>
      <c r="BR669" s="207" t="str">
        <f t="shared" si="85"/>
        <v>53</v>
      </c>
    </row>
    <row r="670" spans="1:70" s="225" customFormat="1" ht="25.5" customHeight="1">
      <c r="A670" s="207">
        <v>666</v>
      </c>
      <c r="B670" s="112" t="s">
        <v>621</v>
      </c>
      <c r="C670" s="112" t="s">
        <v>77</v>
      </c>
      <c r="D670" s="112" t="s">
        <v>77</v>
      </c>
      <c r="E670" s="112" t="s">
        <v>76</v>
      </c>
      <c r="F670" s="112" t="s">
        <v>77</v>
      </c>
      <c r="G670" s="112" t="s">
        <v>77</v>
      </c>
      <c r="H670" s="112" t="s">
        <v>77</v>
      </c>
      <c r="I670" s="112" t="s">
        <v>77</v>
      </c>
      <c r="J670" s="112" t="s">
        <v>77</v>
      </c>
      <c r="K670" s="112" t="s">
        <v>77</v>
      </c>
      <c r="L670" s="112" t="s">
        <v>85</v>
      </c>
      <c r="M670" s="112" t="s">
        <v>659</v>
      </c>
      <c r="N670" s="114" t="s">
        <v>623</v>
      </c>
      <c r="O670" s="123">
        <v>80</v>
      </c>
      <c r="P670" s="114" t="s">
        <v>81</v>
      </c>
      <c r="Q670" s="114" t="s">
        <v>112</v>
      </c>
      <c r="R670" s="115" t="str">
        <f t="shared" si="80"/>
        <v>53</v>
      </c>
      <c r="S670" s="112">
        <v>530402</v>
      </c>
      <c r="T670" s="122" t="str">
        <f>VLOOKUP(S670,ITEM!$C$1:$D$156,2,FALSE)</f>
        <v>Edificios, Locales, Residencias y Cableado Estructurado (Instalación, Mantenimiento y Reparación)</v>
      </c>
      <c r="U670" s="112">
        <v>101</v>
      </c>
      <c r="V670" s="114" t="s">
        <v>82</v>
      </c>
      <c r="W670" s="114" t="s">
        <v>84</v>
      </c>
      <c r="X670" s="114" t="s">
        <v>84</v>
      </c>
      <c r="Y670" s="224" t="e">
        <f>'Matriz POA 2024-TRABAJO'!#REF!</f>
        <v>#REF!</v>
      </c>
      <c r="Z670" s="224" t="e">
        <f>'Matriz POA 2024-TRABAJO'!#REF!</f>
        <v>#REF!</v>
      </c>
      <c r="AA670" s="224" t="e">
        <f>'Matriz POA 2024-TRABAJO'!#REF!</f>
        <v>#REF!</v>
      </c>
      <c r="AB670" s="279">
        <v>0</v>
      </c>
      <c r="AC670" s="279">
        <v>0</v>
      </c>
      <c r="AD670" s="279">
        <v>0</v>
      </c>
      <c r="AE670" s="279">
        <v>0</v>
      </c>
      <c r="AF670" s="279">
        <v>0</v>
      </c>
      <c r="AG670" s="279">
        <v>500</v>
      </c>
      <c r="AH670" s="279">
        <v>0</v>
      </c>
      <c r="AI670" s="279">
        <v>0</v>
      </c>
      <c r="AJ670" s="279">
        <v>0</v>
      </c>
      <c r="AK670" s="279">
        <v>0</v>
      </c>
      <c r="AL670" s="279">
        <v>0</v>
      </c>
      <c r="AM670" s="279">
        <v>0</v>
      </c>
      <c r="AN670" s="224" t="e">
        <f>SUM(#REF!)</f>
        <v>#REF!</v>
      </c>
      <c r="AO670" s="224">
        <f t="shared" si="81"/>
        <v>500</v>
      </c>
      <c r="AP670" s="224" t="e">
        <f t="shared" si="86"/>
        <v>#REF!</v>
      </c>
      <c r="AQ670" s="224"/>
      <c r="AR670" s="224"/>
      <c r="AS670" s="224"/>
      <c r="AT670" s="224" t="str">
        <f>IFERROR(VLOOKUP($A670,'Constancias POA'!$A$2:$DH$9993,17,FALSE),"")</f>
        <v/>
      </c>
      <c r="AU670" s="224" t="str">
        <f t="shared" si="87"/>
        <v/>
      </c>
      <c r="AV670" s="224" t="str">
        <f>IFERROR(VLOOKUP($A670,CP!$A$1:$U$7992,18,FALSE),"")</f>
        <v/>
      </c>
      <c r="AW670" s="224" t="str">
        <f>IFERROR(VLOOKUP($A670,CP!$A$1:$U$7992,19,FALSE),"")</f>
        <v/>
      </c>
      <c r="AX670" s="224" t="str">
        <f>IFERROR(VLOOKUP($A670,CP!$A$1:$U$7992,20,FALSE),"")</f>
        <v/>
      </c>
      <c r="AY670" s="224" t="str">
        <f>IFERROR(VLOOKUP($A670,CP!$A$1:$U$1,21,FALSE),"")</f>
        <v/>
      </c>
      <c r="AZ670" s="224" t="str">
        <f>IFERROR(VLOOKUP(A670,Devengado!$A$1:AJ1,35,FALSE),"")</f>
        <v/>
      </c>
      <c r="BA670" s="224" t="str">
        <f t="shared" si="82"/>
        <v/>
      </c>
      <c r="BB670" s="224" t="str">
        <f>IFERROR(AZ670/#REF!,"")</f>
        <v/>
      </c>
      <c r="BC670" s="224" t="str">
        <f>IFERROR(VLOOKUP($A670,Devengado!$A$1:$AI$1,22,FALSE),"")</f>
        <v/>
      </c>
      <c r="BD670" s="224" t="str">
        <f>IFERROR(VLOOKUP($A670,Devengado!$A$1:$AI$1,23,FALSE),"")</f>
        <v/>
      </c>
      <c r="BE670" s="224" t="str">
        <f>IFERROR(VLOOKUP($A670,Devengado!$A$1:$AI$1,24,FALSE),"")</f>
        <v/>
      </c>
      <c r="BF670" s="224" t="str">
        <f>IFERROR(VLOOKUP($A670,Devengado!$A$1:$AI$1,25,FALSE),"")</f>
        <v/>
      </c>
      <c r="BG670" s="224" t="str">
        <f>IFERROR(VLOOKUP($A670,Devengado!$A$1:$AI$1,26,FALSE),"")</f>
        <v/>
      </c>
      <c r="BH670" s="224" t="str">
        <f>IFERROR(VLOOKUP($A670,Devengado!$A$1:$AI$1,27,FALSE),"")</f>
        <v/>
      </c>
      <c r="BI670" s="224" t="str">
        <f>IFERROR(VLOOKUP($A670,Devengado!$A$1:$AI$1,28,FALSE),"")</f>
        <v/>
      </c>
      <c r="BJ670" s="224" t="str">
        <f>IFERROR(VLOOKUP($A670,Devengado!$A$1:$AI$1,29,FALSE),"")</f>
        <v/>
      </c>
      <c r="BK670" s="224" t="str">
        <f>IFERROR(VLOOKUP($A670,Devengado!$A$1:$AI$1,30,FALSE),"")</f>
        <v/>
      </c>
      <c r="BL670" s="224" t="str">
        <f>IFERROR(VLOOKUP($A670,Devengado!$A$1:$AI$1,31,FALSE),"")</f>
        <v/>
      </c>
      <c r="BM670" s="224" t="str">
        <f>IFERROR(VLOOKUP($A670,Devengado!$A$1:$AI$1,32,FALSE),"")</f>
        <v/>
      </c>
      <c r="BN670" s="224" t="str">
        <f>IFERROR(VLOOKUP($A670,Devengado!$A$1:$AI$1,33,FALSE),"")</f>
        <v/>
      </c>
      <c r="BO670" s="224">
        <f t="shared" si="83"/>
        <v>0</v>
      </c>
      <c r="BP670" s="224" t="str">
        <f t="shared" si="84"/>
        <v/>
      </c>
      <c r="BQ670" s="207"/>
      <c r="BR670" s="207" t="str">
        <f t="shared" si="85"/>
        <v>53</v>
      </c>
    </row>
    <row r="671" spans="1:70" s="225" customFormat="1" ht="25.5" customHeight="1">
      <c r="A671" s="207">
        <v>667</v>
      </c>
      <c r="B671" s="112" t="s">
        <v>621</v>
      </c>
      <c r="C671" s="112" t="s">
        <v>77</v>
      </c>
      <c r="D671" s="112" t="s">
        <v>77</v>
      </c>
      <c r="E671" s="112" t="s">
        <v>76</v>
      </c>
      <c r="F671" s="112" t="s">
        <v>77</v>
      </c>
      <c r="G671" s="112" t="s">
        <v>77</v>
      </c>
      <c r="H671" s="112" t="s">
        <v>77</v>
      </c>
      <c r="I671" s="112" t="s">
        <v>77</v>
      </c>
      <c r="J671" s="112" t="s">
        <v>77</v>
      </c>
      <c r="K671" s="112" t="s">
        <v>77</v>
      </c>
      <c r="L671" s="112" t="s">
        <v>85</v>
      </c>
      <c r="M671" s="112" t="s">
        <v>660</v>
      </c>
      <c r="N671" s="114" t="s">
        <v>623</v>
      </c>
      <c r="O671" s="123">
        <v>80</v>
      </c>
      <c r="P671" s="114" t="s">
        <v>81</v>
      </c>
      <c r="Q671" s="114" t="s">
        <v>112</v>
      </c>
      <c r="R671" s="115" t="str">
        <f t="shared" si="80"/>
        <v>53</v>
      </c>
      <c r="S671" s="112">
        <v>530403</v>
      </c>
      <c r="T671" s="122" t="str">
        <f>VLOOKUP(S671,ITEM!$C$1:$D$156,2,FALSE)</f>
        <v>Mobiliarios  (Instalación, Mantenimiento y Reparación)</v>
      </c>
      <c r="U671" s="112">
        <v>101</v>
      </c>
      <c r="V671" s="114" t="s">
        <v>82</v>
      </c>
      <c r="W671" s="114" t="s">
        <v>84</v>
      </c>
      <c r="X671" s="114" t="s">
        <v>84</v>
      </c>
      <c r="Y671" s="224" t="e">
        <f>'Matriz POA 2024-TRABAJO'!#REF!</f>
        <v>#REF!</v>
      </c>
      <c r="Z671" s="224" t="e">
        <f>'Matriz POA 2024-TRABAJO'!#REF!</f>
        <v>#REF!</v>
      </c>
      <c r="AA671" s="224" t="e">
        <f>'Matriz POA 2024-TRABAJO'!#REF!</f>
        <v>#REF!</v>
      </c>
      <c r="AB671" s="279">
        <v>0</v>
      </c>
      <c r="AC671" s="279">
        <v>0</v>
      </c>
      <c r="AD671" s="279">
        <v>0</v>
      </c>
      <c r="AE671" s="279">
        <v>3000</v>
      </c>
      <c r="AF671" s="279">
        <v>5913.27</v>
      </c>
      <c r="AG671" s="279">
        <v>0</v>
      </c>
      <c r="AH671" s="279">
        <v>0</v>
      </c>
      <c r="AI671" s="279">
        <v>0</v>
      </c>
      <c r="AJ671" s="279">
        <v>0</v>
      </c>
      <c r="AK671" s="279">
        <v>0</v>
      </c>
      <c r="AL671" s="279">
        <v>0</v>
      </c>
      <c r="AM671" s="279">
        <v>0</v>
      </c>
      <c r="AN671" s="224" t="e">
        <f>SUM(#REF!)</f>
        <v>#REF!</v>
      </c>
      <c r="AO671" s="224">
        <f t="shared" si="81"/>
        <v>8913.27</v>
      </c>
      <c r="AP671" s="224" t="e">
        <f t="shared" si="86"/>
        <v>#REF!</v>
      </c>
      <c r="AQ671" s="224"/>
      <c r="AR671" s="224"/>
      <c r="AS671" s="224"/>
      <c r="AT671" s="224" t="str">
        <f>IFERROR(VLOOKUP($A671,'Constancias POA'!$A$2:$DH$9993,17,FALSE),"")</f>
        <v/>
      </c>
      <c r="AU671" s="224" t="str">
        <f t="shared" si="87"/>
        <v/>
      </c>
      <c r="AV671" s="224" t="str">
        <f>IFERROR(VLOOKUP($A671,CP!$A$1:$U$7992,18,FALSE),"")</f>
        <v/>
      </c>
      <c r="AW671" s="224" t="str">
        <f>IFERROR(VLOOKUP($A671,CP!$A$1:$U$7992,19,FALSE),"")</f>
        <v/>
      </c>
      <c r="AX671" s="224" t="str">
        <f>IFERROR(VLOOKUP($A671,CP!$A$1:$U$7992,20,FALSE),"")</f>
        <v/>
      </c>
      <c r="AY671" s="224" t="str">
        <f>IFERROR(VLOOKUP($A671,CP!$A$1:$U$1,21,FALSE),"")</f>
        <v/>
      </c>
      <c r="AZ671" s="224" t="str">
        <f>IFERROR(VLOOKUP(A671,Devengado!$A$1:AJ1,35,FALSE),"")</f>
        <v/>
      </c>
      <c r="BA671" s="224" t="str">
        <f t="shared" si="82"/>
        <v/>
      </c>
      <c r="BB671" s="224" t="str">
        <f>IFERROR(AZ671/#REF!,"")</f>
        <v/>
      </c>
      <c r="BC671" s="224" t="str">
        <f>IFERROR(VLOOKUP($A671,Devengado!$A$1:$AI$1,22,FALSE),"")</f>
        <v/>
      </c>
      <c r="BD671" s="224" t="str">
        <f>IFERROR(VLOOKUP($A671,Devengado!$A$1:$AI$1,23,FALSE),"")</f>
        <v/>
      </c>
      <c r="BE671" s="224" t="str">
        <f>IFERROR(VLOOKUP($A671,Devengado!$A$1:$AI$1,24,FALSE),"")</f>
        <v/>
      </c>
      <c r="BF671" s="224" t="str">
        <f>IFERROR(VLOOKUP($A671,Devengado!$A$1:$AI$1,25,FALSE),"")</f>
        <v/>
      </c>
      <c r="BG671" s="224" t="str">
        <f>IFERROR(VLOOKUP($A671,Devengado!$A$1:$AI$1,26,FALSE),"")</f>
        <v/>
      </c>
      <c r="BH671" s="224" t="str">
        <f>IFERROR(VLOOKUP($A671,Devengado!$A$1:$AI$1,27,FALSE),"")</f>
        <v/>
      </c>
      <c r="BI671" s="224" t="str">
        <f>IFERROR(VLOOKUP($A671,Devengado!$A$1:$AI$1,28,FALSE),"")</f>
        <v/>
      </c>
      <c r="BJ671" s="224" t="str">
        <f>IFERROR(VLOOKUP($A671,Devengado!$A$1:$AI$1,29,FALSE),"")</f>
        <v/>
      </c>
      <c r="BK671" s="224" t="str">
        <f>IFERROR(VLOOKUP($A671,Devengado!$A$1:$AI$1,30,FALSE),"")</f>
        <v/>
      </c>
      <c r="BL671" s="224" t="str">
        <f>IFERROR(VLOOKUP($A671,Devengado!$A$1:$AI$1,31,FALSE),"")</f>
        <v/>
      </c>
      <c r="BM671" s="224" t="str">
        <f>IFERROR(VLOOKUP($A671,Devengado!$A$1:$AI$1,32,FALSE),"")</f>
        <v/>
      </c>
      <c r="BN671" s="224" t="str">
        <f>IFERROR(VLOOKUP($A671,Devengado!$A$1:$AI$1,33,FALSE),"")</f>
        <v/>
      </c>
      <c r="BO671" s="224">
        <f t="shared" si="83"/>
        <v>0</v>
      </c>
      <c r="BP671" s="224" t="str">
        <f t="shared" si="84"/>
        <v/>
      </c>
      <c r="BQ671" s="207"/>
      <c r="BR671" s="207" t="str">
        <f t="shared" si="85"/>
        <v>53</v>
      </c>
    </row>
    <row r="672" spans="1:70" s="225" customFormat="1" ht="25.5" customHeight="1">
      <c r="A672" s="207">
        <v>668</v>
      </c>
      <c r="B672" s="112" t="s">
        <v>621</v>
      </c>
      <c r="C672" s="112" t="s">
        <v>77</v>
      </c>
      <c r="D672" s="112" t="s">
        <v>77</v>
      </c>
      <c r="E672" s="112" t="s">
        <v>76</v>
      </c>
      <c r="F672" s="112" t="s">
        <v>77</v>
      </c>
      <c r="G672" s="112" t="s">
        <v>77</v>
      </c>
      <c r="H672" s="112" t="s">
        <v>77</v>
      </c>
      <c r="I672" s="112" t="s">
        <v>77</v>
      </c>
      <c r="J672" s="112" t="s">
        <v>77</v>
      </c>
      <c r="K672" s="112" t="s">
        <v>77</v>
      </c>
      <c r="L672" s="112" t="s">
        <v>85</v>
      </c>
      <c r="M672" s="112" t="s">
        <v>661</v>
      </c>
      <c r="N672" s="114" t="s">
        <v>623</v>
      </c>
      <c r="O672" s="123">
        <v>80</v>
      </c>
      <c r="P672" s="114" t="s">
        <v>81</v>
      </c>
      <c r="Q672" s="114" t="s">
        <v>112</v>
      </c>
      <c r="R672" s="115" t="str">
        <f t="shared" si="80"/>
        <v>53</v>
      </c>
      <c r="S672" s="112">
        <v>530404</v>
      </c>
      <c r="T672" s="122" t="str">
        <f>VLOOKUP(S672,ITEM!$C$1:$D$156,2,FALSE)</f>
        <v>Maquinarias y Equipos (Instalación, Mantenimiento y Reparación)</v>
      </c>
      <c r="U672" s="112">
        <v>101</v>
      </c>
      <c r="V672" s="114" t="s">
        <v>82</v>
      </c>
      <c r="W672" s="114" t="s">
        <v>84</v>
      </c>
      <c r="X672" s="114" t="s">
        <v>84</v>
      </c>
      <c r="Y672" s="224" t="e">
        <f>'Matriz POA 2024-TRABAJO'!#REF!</f>
        <v>#REF!</v>
      </c>
      <c r="Z672" s="224" t="e">
        <f>'Matriz POA 2024-TRABAJO'!#REF!</f>
        <v>#REF!</v>
      </c>
      <c r="AA672" s="224" t="e">
        <f>'Matriz POA 2024-TRABAJO'!#REF!</f>
        <v>#REF!</v>
      </c>
      <c r="AB672" s="279">
        <v>0</v>
      </c>
      <c r="AC672" s="279">
        <v>0</v>
      </c>
      <c r="AD672" s="279">
        <v>0</v>
      </c>
      <c r="AE672" s="279">
        <v>2200</v>
      </c>
      <c r="AF672" s="279">
        <v>0</v>
      </c>
      <c r="AG672" s="279">
        <v>0</v>
      </c>
      <c r="AH672" s="279">
        <v>0</v>
      </c>
      <c r="AI672" s="279">
        <v>0</v>
      </c>
      <c r="AJ672" s="279">
        <v>0</v>
      </c>
      <c r="AK672" s="279">
        <v>0</v>
      </c>
      <c r="AL672" s="279">
        <v>1040</v>
      </c>
      <c r="AM672" s="279">
        <v>0</v>
      </c>
      <c r="AN672" s="224" t="e">
        <f>SUM(#REF!)</f>
        <v>#REF!</v>
      </c>
      <c r="AO672" s="224">
        <f t="shared" si="81"/>
        <v>3240</v>
      </c>
      <c r="AP672" s="224" t="e">
        <f t="shared" si="86"/>
        <v>#REF!</v>
      </c>
      <c r="AQ672" s="224"/>
      <c r="AR672" s="224"/>
      <c r="AS672" s="224"/>
      <c r="AT672" s="224" t="str">
        <f>IFERROR(VLOOKUP($A672,'Constancias POA'!$A$2:$DH$9993,17,FALSE),"")</f>
        <v/>
      </c>
      <c r="AU672" s="224" t="str">
        <f t="shared" si="87"/>
        <v/>
      </c>
      <c r="AV672" s="224" t="str">
        <f>IFERROR(VLOOKUP($A672,CP!$A$1:$U$7992,18,FALSE),"")</f>
        <v/>
      </c>
      <c r="AW672" s="224" t="str">
        <f>IFERROR(VLOOKUP($A672,CP!$A$1:$U$7992,19,FALSE),"")</f>
        <v/>
      </c>
      <c r="AX672" s="224" t="str">
        <f>IFERROR(VLOOKUP($A672,CP!$A$1:$U$7992,20,FALSE),"")</f>
        <v/>
      </c>
      <c r="AY672" s="224" t="str">
        <f>IFERROR(VLOOKUP($A672,CP!$A$1:$U$1,21,FALSE),"")</f>
        <v/>
      </c>
      <c r="AZ672" s="224" t="str">
        <f>IFERROR(VLOOKUP(A672,Devengado!$A$1:AJ1,35,FALSE),"")</f>
        <v/>
      </c>
      <c r="BA672" s="224" t="str">
        <f t="shared" si="82"/>
        <v/>
      </c>
      <c r="BB672" s="224" t="str">
        <f>IFERROR(AZ672/#REF!,"")</f>
        <v/>
      </c>
      <c r="BC672" s="224" t="str">
        <f>IFERROR(VLOOKUP($A672,Devengado!$A$1:$AI$1,22,FALSE),"")</f>
        <v/>
      </c>
      <c r="BD672" s="224" t="str">
        <f>IFERROR(VLOOKUP($A672,Devengado!$A$1:$AI$1,23,FALSE),"")</f>
        <v/>
      </c>
      <c r="BE672" s="224" t="str">
        <f>IFERROR(VLOOKUP($A672,Devengado!$A$1:$AI$1,24,FALSE),"")</f>
        <v/>
      </c>
      <c r="BF672" s="224" t="str">
        <f>IFERROR(VLOOKUP($A672,Devengado!$A$1:$AI$1,25,FALSE),"")</f>
        <v/>
      </c>
      <c r="BG672" s="224" t="str">
        <f>IFERROR(VLOOKUP($A672,Devengado!$A$1:$AI$1,26,FALSE),"")</f>
        <v/>
      </c>
      <c r="BH672" s="224" t="str">
        <f>IFERROR(VLOOKUP($A672,Devengado!$A$1:$AI$1,27,FALSE),"")</f>
        <v/>
      </c>
      <c r="BI672" s="224" t="str">
        <f>IFERROR(VLOOKUP($A672,Devengado!$A$1:$AI$1,28,FALSE),"")</f>
        <v/>
      </c>
      <c r="BJ672" s="224" t="str">
        <f>IFERROR(VLOOKUP($A672,Devengado!$A$1:$AI$1,29,FALSE),"")</f>
        <v/>
      </c>
      <c r="BK672" s="224" t="str">
        <f>IFERROR(VLOOKUP($A672,Devengado!$A$1:$AI$1,30,FALSE),"")</f>
        <v/>
      </c>
      <c r="BL672" s="224" t="str">
        <f>IFERROR(VLOOKUP($A672,Devengado!$A$1:$AI$1,31,FALSE),"")</f>
        <v/>
      </c>
      <c r="BM672" s="224" t="str">
        <f>IFERROR(VLOOKUP($A672,Devengado!$A$1:$AI$1,32,FALSE),"")</f>
        <v/>
      </c>
      <c r="BN672" s="224" t="str">
        <f>IFERROR(VLOOKUP($A672,Devengado!$A$1:$AI$1,33,FALSE),"")</f>
        <v/>
      </c>
      <c r="BO672" s="224">
        <f t="shared" si="83"/>
        <v>0</v>
      </c>
      <c r="BP672" s="224" t="str">
        <f t="shared" si="84"/>
        <v/>
      </c>
      <c r="BQ672" s="207"/>
      <c r="BR672" s="207" t="str">
        <f t="shared" si="85"/>
        <v>53</v>
      </c>
    </row>
    <row r="673" spans="1:70" s="225" customFormat="1" ht="25.5" customHeight="1">
      <c r="A673" s="207">
        <v>669</v>
      </c>
      <c r="B673" s="112" t="s">
        <v>621</v>
      </c>
      <c r="C673" s="112" t="s">
        <v>77</v>
      </c>
      <c r="D673" s="112" t="s">
        <v>77</v>
      </c>
      <c r="E673" s="112" t="s">
        <v>76</v>
      </c>
      <c r="F673" s="112" t="s">
        <v>77</v>
      </c>
      <c r="G673" s="112" t="s">
        <v>77</v>
      </c>
      <c r="H673" s="112" t="s">
        <v>77</v>
      </c>
      <c r="I673" s="112" t="s">
        <v>77</v>
      </c>
      <c r="J673" s="112" t="s">
        <v>77</v>
      </c>
      <c r="K673" s="112" t="s">
        <v>77</v>
      </c>
      <c r="L673" s="112" t="s">
        <v>85</v>
      </c>
      <c r="M673" s="112" t="s">
        <v>662</v>
      </c>
      <c r="N673" s="114" t="s">
        <v>623</v>
      </c>
      <c r="O673" s="123">
        <v>80</v>
      </c>
      <c r="P673" s="114" t="s">
        <v>81</v>
      </c>
      <c r="Q673" s="114" t="s">
        <v>112</v>
      </c>
      <c r="R673" s="115" t="str">
        <f t="shared" si="80"/>
        <v>53</v>
      </c>
      <c r="S673" s="112">
        <v>530404</v>
      </c>
      <c r="T673" s="122" t="str">
        <f>VLOOKUP(S673,ITEM!$C$1:$D$156,2,FALSE)</f>
        <v>Maquinarias y Equipos (Instalación, Mantenimiento y Reparación)</v>
      </c>
      <c r="U673" s="112">
        <v>101</v>
      </c>
      <c r="V673" s="114" t="s">
        <v>82</v>
      </c>
      <c r="W673" s="114" t="s">
        <v>84</v>
      </c>
      <c r="X673" s="114" t="s">
        <v>84</v>
      </c>
      <c r="Y673" s="224" t="e">
        <f>'Matriz POA 2024-TRABAJO'!#REF!</f>
        <v>#REF!</v>
      </c>
      <c r="Z673" s="224" t="e">
        <f>'Matriz POA 2024-TRABAJO'!#REF!</f>
        <v>#REF!</v>
      </c>
      <c r="AA673" s="224" t="e">
        <f>'Matriz POA 2024-TRABAJO'!#REF!</f>
        <v>#REF!</v>
      </c>
      <c r="AB673" s="279">
        <v>0</v>
      </c>
      <c r="AC673" s="279">
        <v>261.82</v>
      </c>
      <c r="AD673" s="279">
        <v>261.82</v>
      </c>
      <c r="AE673" s="279">
        <v>261.82</v>
      </c>
      <c r="AF673" s="279">
        <v>261.82</v>
      </c>
      <c r="AG673" s="279">
        <v>261.82</v>
      </c>
      <c r="AH673" s="279">
        <v>261.82</v>
      </c>
      <c r="AI673" s="279">
        <v>261.82</v>
      </c>
      <c r="AJ673" s="279">
        <v>261.82</v>
      </c>
      <c r="AK673" s="279">
        <v>261.82</v>
      </c>
      <c r="AL673" s="279">
        <v>261.82</v>
      </c>
      <c r="AM673" s="279">
        <v>261.8</v>
      </c>
      <c r="AN673" s="224" t="e">
        <f>SUM(#REF!)</f>
        <v>#REF!</v>
      </c>
      <c r="AO673" s="224">
        <f t="shared" si="81"/>
        <v>2880.0000000000005</v>
      </c>
      <c r="AP673" s="224" t="e">
        <f t="shared" si="86"/>
        <v>#REF!</v>
      </c>
      <c r="AQ673" s="224"/>
      <c r="AR673" s="224"/>
      <c r="AS673" s="224"/>
      <c r="AT673" s="224" t="str">
        <f>IFERROR(VLOOKUP($A673,'Constancias POA'!$A$2:$DH$9993,17,FALSE),"")</f>
        <v/>
      </c>
      <c r="AU673" s="224" t="str">
        <f t="shared" si="87"/>
        <v/>
      </c>
      <c r="AV673" s="224" t="str">
        <f>IFERROR(VLOOKUP($A673,CP!$A$1:$U$7992,18,FALSE),"")</f>
        <v/>
      </c>
      <c r="AW673" s="224" t="str">
        <f>IFERROR(VLOOKUP($A673,CP!$A$1:$U$7992,19,FALSE),"")</f>
        <v/>
      </c>
      <c r="AX673" s="224" t="str">
        <f>IFERROR(VLOOKUP($A673,CP!$A$1:$U$7992,20,FALSE),"")</f>
        <v/>
      </c>
      <c r="AY673" s="224" t="str">
        <f>IFERROR(VLOOKUP($A673,CP!$A$1:$U$1,21,FALSE),"")</f>
        <v/>
      </c>
      <c r="AZ673" s="224" t="str">
        <f>IFERROR(VLOOKUP(A673,Devengado!$A$1:AJ1,35,FALSE),"")</f>
        <v/>
      </c>
      <c r="BA673" s="224" t="str">
        <f t="shared" si="82"/>
        <v/>
      </c>
      <c r="BB673" s="224" t="str">
        <f>IFERROR(AZ673/#REF!,"")</f>
        <v/>
      </c>
      <c r="BC673" s="224" t="str">
        <f>IFERROR(VLOOKUP($A673,Devengado!$A$1:$AI$1,22,FALSE),"")</f>
        <v/>
      </c>
      <c r="BD673" s="224" t="str">
        <f>IFERROR(VLOOKUP($A673,Devengado!$A$1:$AI$1,23,FALSE),"")</f>
        <v/>
      </c>
      <c r="BE673" s="224" t="str">
        <f>IFERROR(VLOOKUP($A673,Devengado!$A$1:$AI$1,24,FALSE),"")</f>
        <v/>
      </c>
      <c r="BF673" s="224" t="str">
        <f>IFERROR(VLOOKUP($A673,Devengado!$A$1:$AI$1,25,FALSE),"")</f>
        <v/>
      </c>
      <c r="BG673" s="224" t="str">
        <f>IFERROR(VLOOKUP($A673,Devengado!$A$1:$AI$1,26,FALSE),"")</f>
        <v/>
      </c>
      <c r="BH673" s="224" t="str">
        <f>IFERROR(VLOOKUP($A673,Devengado!$A$1:$AI$1,27,FALSE),"")</f>
        <v/>
      </c>
      <c r="BI673" s="224" t="str">
        <f>IFERROR(VLOOKUP($A673,Devengado!$A$1:$AI$1,28,FALSE),"")</f>
        <v/>
      </c>
      <c r="BJ673" s="224" t="str">
        <f>IFERROR(VLOOKUP($A673,Devengado!$A$1:$AI$1,29,FALSE),"")</f>
        <v/>
      </c>
      <c r="BK673" s="224" t="str">
        <f>IFERROR(VLOOKUP($A673,Devengado!$A$1:$AI$1,30,FALSE),"")</f>
        <v/>
      </c>
      <c r="BL673" s="224" t="str">
        <f>IFERROR(VLOOKUP($A673,Devengado!$A$1:$AI$1,31,FALSE),"")</f>
        <v/>
      </c>
      <c r="BM673" s="224" t="str">
        <f>IFERROR(VLOOKUP($A673,Devengado!$A$1:$AI$1,32,FALSE),"")</f>
        <v/>
      </c>
      <c r="BN673" s="224" t="str">
        <f>IFERROR(VLOOKUP($A673,Devengado!$A$1:$AI$1,33,FALSE),"")</f>
        <v/>
      </c>
      <c r="BO673" s="224">
        <f t="shared" si="83"/>
        <v>0</v>
      </c>
      <c r="BP673" s="224" t="str">
        <f t="shared" si="84"/>
        <v/>
      </c>
      <c r="BQ673" s="207"/>
      <c r="BR673" s="207" t="str">
        <f t="shared" si="85"/>
        <v>53</v>
      </c>
    </row>
    <row r="674" spans="1:70" s="225" customFormat="1" ht="25.5" customHeight="1">
      <c r="A674" s="207">
        <v>670</v>
      </c>
      <c r="B674" s="112" t="s">
        <v>621</v>
      </c>
      <c r="C674" s="112" t="s">
        <v>77</v>
      </c>
      <c r="D674" s="112" t="s">
        <v>77</v>
      </c>
      <c r="E674" s="112" t="s">
        <v>76</v>
      </c>
      <c r="F674" s="112" t="s">
        <v>77</v>
      </c>
      <c r="G674" s="112" t="s">
        <v>77</v>
      </c>
      <c r="H674" s="112" t="s">
        <v>77</v>
      </c>
      <c r="I674" s="112" t="s">
        <v>77</v>
      </c>
      <c r="J674" s="112" t="s">
        <v>77</v>
      </c>
      <c r="K674" s="112" t="s">
        <v>77</v>
      </c>
      <c r="L674" s="112" t="s">
        <v>85</v>
      </c>
      <c r="M674" s="112" t="s">
        <v>663</v>
      </c>
      <c r="N674" s="114" t="s">
        <v>623</v>
      </c>
      <c r="O674" s="123">
        <v>80</v>
      </c>
      <c r="P674" s="114" t="s">
        <v>81</v>
      </c>
      <c r="Q674" s="114" t="s">
        <v>112</v>
      </c>
      <c r="R674" s="115" t="str">
        <f t="shared" si="80"/>
        <v>53</v>
      </c>
      <c r="S674" s="112">
        <v>530404</v>
      </c>
      <c r="T674" s="122" t="str">
        <f>VLOOKUP(S674,ITEM!$C$1:$D$156,2,FALSE)</f>
        <v>Maquinarias y Equipos (Instalación, Mantenimiento y Reparación)</v>
      </c>
      <c r="U674" s="112">
        <v>101</v>
      </c>
      <c r="V674" s="114" t="s">
        <v>82</v>
      </c>
      <c r="W674" s="114" t="s">
        <v>84</v>
      </c>
      <c r="X674" s="114" t="s">
        <v>84</v>
      </c>
      <c r="Y674" s="224" t="e">
        <f>'Matriz POA 2024-TRABAJO'!#REF!</f>
        <v>#REF!</v>
      </c>
      <c r="Z674" s="224" t="e">
        <f>'Matriz POA 2024-TRABAJO'!#REF!</f>
        <v>#REF!</v>
      </c>
      <c r="AA674" s="224" t="e">
        <f>'Matriz POA 2024-TRABAJO'!#REF!</f>
        <v>#REF!</v>
      </c>
      <c r="AB674" s="279">
        <v>0</v>
      </c>
      <c r="AC674" s="279">
        <v>0</v>
      </c>
      <c r="AD674" s="279">
        <v>0</v>
      </c>
      <c r="AE674" s="279">
        <v>0</v>
      </c>
      <c r="AF674" s="279">
        <v>0</v>
      </c>
      <c r="AG674" s="279">
        <v>1500</v>
      </c>
      <c r="AH674" s="279">
        <v>0</v>
      </c>
      <c r="AI674" s="279">
        <v>0</v>
      </c>
      <c r="AJ674" s="279">
        <v>0</v>
      </c>
      <c r="AK674" s="279">
        <v>0</v>
      </c>
      <c r="AL674" s="279">
        <v>0</v>
      </c>
      <c r="AM674" s="279">
        <v>0</v>
      </c>
      <c r="AN674" s="224" t="e">
        <f>SUM(#REF!)</f>
        <v>#REF!</v>
      </c>
      <c r="AO674" s="224">
        <f t="shared" si="81"/>
        <v>1500</v>
      </c>
      <c r="AP674" s="224" t="e">
        <f t="shared" si="86"/>
        <v>#REF!</v>
      </c>
      <c r="AQ674" s="224"/>
      <c r="AR674" s="224"/>
      <c r="AS674" s="224"/>
      <c r="AT674" s="224" t="str">
        <f>IFERROR(VLOOKUP($A674,'Constancias POA'!$A$2:$DH$9993,17,FALSE),"")</f>
        <v/>
      </c>
      <c r="AU674" s="224" t="str">
        <f t="shared" si="87"/>
        <v/>
      </c>
      <c r="AV674" s="224" t="str">
        <f>IFERROR(VLOOKUP($A674,CP!$A$1:$U$7992,18,FALSE),"")</f>
        <v/>
      </c>
      <c r="AW674" s="224" t="str">
        <f>IFERROR(VLOOKUP($A674,CP!$A$1:$U$7992,19,FALSE),"")</f>
        <v/>
      </c>
      <c r="AX674" s="224" t="str">
        <f>IFERROR(VLOOKUP($A674,CP!$A$1:$U$7992,20,FALSE),"")</f>
        <v/>
      </c>
      <c r="AY674" s="224" t="str">
        <f>IFERROR(VLOOKUP($A674,CP!$A$1:$U$1,21,FALSE),"")</f>
        <v/>
      </c>
      <c r="AZ674" s="224" t="str">
        <f>IFERROR(VLOOKUP(A674,Devengado!$A$1:AJ1,35,FALSE),"")</f>
        <v/>
      </c>
      <c r="BA674" s="224" t="str">
        <f t="shared" si="82"/>
        <v/>
      </c>
      <c r="BB674" s="224" t="str">
        <f>IFERROR(AZ674/#REF!,"")</f>
        <v/>
      </c>
      <c r="BC674" s="224" t="str">
        <f>IFERROR(VLOOKUP($A674,Devengado!$A$1:$AI$1,22,FALSE),"")</f>
        <v/>
      </c>
      <c r="BD674" s="224" t="str">
        <f>IFERROR(VLOOKUP($A674,Devengado!$A$1:$AI$1,23,FALSE),"")</f>
        <v/>
      </c>
      <c r="BE674" s="224" t="str">
        <f>IFERROR(VLOOKUP($A674,Devengado!$A$1:$AI$1,24,FALSE),"")</f>
        <v/>
      </c>
      <c r="BF674" s="224" t="str">
        <f>IFERROR(VLOOKUP($A674,Devengado!$A$1:$AI$1,25,FALSE),"")</f>
        <v/>
      </c>
      <c r="BG674" s="224" t="str">
        <f>IFERROR(VLOOKUP($A674,Devengado!$A$1:$AI$1,26,FALSE),"")</f>
        <v/>
      </c>
      <c r="BH674" s="224" t="str">
        <f>IFERROR(VLOOKUP($A674,Devengado!$A$1:$AI$1,27,FALSE),"")</f>
        <v/>
      </c>
      <c r="BI674" s="224" t="str">
        <f>IFERROR(VLOOKUP($A674,Devengado!$A$1:$AI$1,28,FALSE),"")</f>
        <v/>
      </c>
      <c r="BJ674" s="224" t="str">
        <f>IFERROR(VLOOKUP($A674,Devengado!$A$1:$AI$1,29,FALSE),"")</f>
        <v/>
      </c>
      <c r="BK674" s="224" t="str">
        <f>IFERROR(VLOOKUP($A674,Devengado!$A$1:$AI$1,30,FALSE),"")</f>
        <v/>
      </c>
      <c r="BL674" s="224" t="str">
        <f>IFERROR(VLOOKUP($A674,Devengado!$A$1:$AI$1,31,FALSE),"")</f>
        <v/>
      </c>
      <c r="BM674" s="224" t="str">
        <f>IFERROR(VLOOKUP($A674,Devengado!$A$1:$AI$1,32,FALSE),"")</f>
        <v/>
      </c>
      <c r="BN674" s="224" t="str">
        <f>IFERROR(VLOOKUP($A674,Devengado!$A$1:$AI$1,33,FALSE),"")</f>
        <v/>
      </c>
      <c r="BO674" s="224">
        <f t="shared" si="83"/>
        <v>0</v>
      </c>
      <c r="BP674" s="224" t="str">
        <f t="shared" si="84"/>
        <v/>
      </c>
      <c r="BQ674" s="207"/>
      <c r="BR674" s="207" t="str">
        <f t="shared" si="85"/>
        <v>53</v>
      </c>
    </row>
    <row r="675" spans="1:70" s="225" customFormat="1" ht="25.5" customHeight="1">
      <c r="A675" s="207">
        <v>671</v>
      </c>
      <c r="B675" s="112" t="s">
        <v>621</v>
      </c>
      <c r="C675" s="112" t="s">
        <v>77</v>
      </c>
      <c r="D675" s="112" t="s">
        <v>77</v>
      </c>
      <c r="E675" s="112" t="s">
        <v>76</v>
      </c>
      <c r="F675" s="112" t="s">
        <v>77</v>
      </c>
      <c r="G675" s="112" t="s">
        <v>77</v>
      </c>
      <c r="H675" s="112" t="s">
        <v>77</v>
      </c>
      <c r="I675" s="112" t="s">
        <v>77</v>
      </c>
      <c r="J675" s="112" t="s">
        <v>77</v>
      </c>
      <c r="K675" s="112" t="s">
        <v>77</v>
      </c>
      <c r="L675" s="112" t="s">
        <v>85</v>
      </c>
      <c r="M675" s="112" t="s">
        <v>664</v>
      </c>
      <c r="N675" s="114" t="s">
        <v>623</v>
      </c>
      <c r="O675" s="123">
        <v>80</v>
      </c>
      <c r="P675" s="114" t="s">
        <v>81</v>
      </c>
      <c r="Q675" s="114" t="s">
        <v>112</v>
      </c>
      <c r="R675" s="115" t="str">
        <f t="shared" si="80"/>
        <v>53</v>
      </c>
      <c r="S675" s="112">
        <v>530404</v>
      </c>
      <c r="T675" s="122" t="str">
        <f>VLOOKUP(S675,ITEM!$C$1:$D$156,2,FALSE)</f>
        <v>Maquinarias y Equipos (Instalación, Mantenimiento y Reparación)</v>
      </c>
      <c r="U675" s="112">
        <v>101</v>
      </c>
      <c r="V675" s="114" t="s">
        <v>82</v>
      </c>
      <c r="W675" s="114" t="s">
        <v>84</v>
      </c>
      <c r="X675" s="114" t="s">
        <v>84</v>
      </c>
      <c r="Y675" s="224" t="e">
        <f>'Matriz POA 2024-TRABAJO'!#REF!</f>
        <v>#REF!</v>
      </c>
      <c r="Z675" s="224" t="e">
        <f>'Matriz POA 2024-TRABAJO'!#REF!</f>
        <v>#REF!</v>
      </c>
      <c r="AA675" s="224" t="e">
        <f>'Matriz POA 2024-TRABAJO'!#REF!</f>
        <v>#REF!</v>
      </c>
      <c r="AB675" s="279">
        <v>0</v>
      </c>
      <c r="AC675" s="279">
        <v>0</v>
      </c>
      <c r="AD675" s="279">
        <v>100</v>
      </c>
      <c r="AE675" s="279">
        <v>100</v>
      </c>
      <c r="AF675" s="279">
        <v>100</v>
      </c>
      <c r="AG675" s="279">
        <v>100</v>
      </c>
      <c r="AH675" s="279">
        <v>100</v>
      </c>
      <c r="AI675" s="279">
        <v>100</v>
      </c>
      <c r="AJ675" s="279">
        <v>100</v>
      </c>
      <c r="AK675" s="279">
        <v>100</v>
      </c>
      <c r="AL675" s="279">
        <v>100</v>
      </c>
      <c r="AM675" s="279">
        <v>100</v>
      </c>
      <c r="AN675" s="224" t="e">
        <f>SUM(#REF!)</f>
        <v>#REF!</v>
      </c>
      <c r="AO675" s="224">
        <f t="shared" si="81"/>
        <v>1000</v>
      </c>
      <c r="AP675" s="224" t="e">
        <f t="shared" si="86"/>
        <v>#REF!</v>
      </c>
      <c r="AQ675" s="224"/>
      <c r="AR675" s="224"/>
      <c r="AS675" s="224"/>
      <c r="AT675" s="224" t="str">
        <f>IFERROR(VLOOKUP($A675,'Constancias POA'!$A$2:$DH$9993,17,FALSE),"")</f>
        <v/>
      </c>
      <c r="AU675" s="224" t="str">
        <f t="shared" si="87"/>
        <v/>
      </c>
      <c r="AV675" s="224" t="str">
        <f>IFERROR(VLOOKUP($A675,CP!$A$1:$U$7992,18,FALSE),"")</f>
        <v/>
      </c>
      <c r="AW675" s="224" t="str">
        <f>IFERROR(VLOOKUP($A675,CP!$A$1:$U$7992,19,FALSE),"")</f>
        <v/>
      </c>
      <c r="AX675" s="224" t="str">
        <f>IFERROR(VLOOKUP($A675,CP!$A$1:$U$7992,20,FALSE),"")</f>
        <v/>
      </c>
      <c r="AY675" s="224" t="str">
        <f>IFERROR(VLOOKUP($A675,CP!$A$1:$U$1,21,FALSE),"")</f>
        <v/>
      </c>
      <c r="AZ675" s="224" t="str">
        <f>IFERROR(VLOOKUP(A675,Devengado!$A$1:AJ1,35,FALSE),"")</f>
        <v/>
      </c>
      <c r="BA675" s="224" t="str">
        <f t="shared" si="82"/>
        <v/>
      </c>
      <c r="BB675" s="224" t="str">
        <f>IFERROR(AZ675/#REF!,"")</f>
        <v/>
      </c>
      <c r="BC675" s="224" t="str">
        <f>IFERROR(VLOOKUP($A675,Devengado!$A$1:$AI$1,22,FALSE),"")</f>
        <v/>
      </c>
      <c r="BD675" s="224" t="str">
        <f>IFERROR(VLOOKUP($A675,Devengado!$A$1:$AI$1,23,FALSE),"")</f>
        <v/>
      </c>
      <c r="BE675" s="224" t="str">
        <f>IFERROR(VLOOKUP($A675,Devengado!$A$1:$AI$1,24,FALSE),"")</f>
        <v/>
      </c>
      <c r="BF675" s="224" t="str">
        <f>IFERROR(VLOOKUP($A675,Devengado!$A$1:$AI$1,25,FALSE),"")</f>
        <v/>
      </c>
      <c r="BG675" s="224" t="str">
        <f>IFERROR(VLOOKUP($A675,Devengado!$A$1:$AI$1,26,FALSE),"")</f>
        <v/>
      </c>
      <c r="BH675" s="224" t="str">
        <f>IFERROR(VLOOKUP($A675,Devengado!$A$1:$AI$1,27,FALSE),"")</f>
        <v/>
      </c>
      <c r="BI675" s="224" t="str">
        <f>IFERROR(VLOOKUP($A675,Devengado!$A$1:$AI$1,28,FALSE),"")</f>
        <v/>
      </c>
      <c r="BJ675" s="224" t="str">
        <f>IFERROR(VLOOKUP($A675,Devengado!$A$1:$AI$1,29,FALSE),"")</f>
        <v/>
      </c>
      <c r="BK675" s="224" t="str">
        <f>IFERROR(VLOOKUP($A675,Devengado!$A$1:$AI$1,30,FALSE),"")</f>
        <v/>
      </c>
      <c r="BL675" s="224" t="str">
        <f>IFERROR(VLOOKUP($A675,Devengado!$A$1:$AI$1,31,FALSE),"")</f>
        <v/>
      </c>
      <c r="BM675" s="224" t="str">
        <f>IFERROR(VLOOKUP($A675,Devengado!$A$1:$AI$1,32,FALSE),"")</f>
        <v/>
      </c>
      <c r="BN675" s="224" t="str">
        <f>IFERROR(VLOOKUP($A675,Devengado!$A$1:$AI$1,33,FALSE),"")</f>
        <v/>
      </c>
      <c r="BO675" s="224">
        <f t="shared" si="83"/>
        <v>0</v>
      </c>
      <c r="BP675" s="224" t="str">
        <f t="shared" si="84"/>
        <v/>
      </c>
      <c r="BQ675" s="207"/>
      <c r="BR675" s="207" t="str">
        <f t="shared" si="85"/>
        <v>53</v>
      </c>
    </row>
    <row r="676" spans="1:70" s="225" customFormat="1" ht="25.5" customHeight="1">
      <c r="A676" s="207">
        <v>672</v>
      </c>
      <c r="B676" s="112" t="s">
        <v>621</v>
      </c>
      <c r="C676" s="112" t="s">
        <v>77</v>
      </c>
      <c r="D676" s="112" t="s">
        <v>77</v>
      </c>
      <c r="E676" s="112" t="s">
        <v>76</v>
      </c>
      <c r="F676" s="112" t="s">
        <v>77</v>
      </c>
      <c r="G676" s="112" t="s">
        <v>77</v>
      </c>
      <c r="H676" s="112" t="s">
        <v>77</v>
      </c>
      <c r="I676" s="112" t="s">
        <v>77</v>
      </c>
      <c r="J676" s="112" t="s">
        <v>77</v>
      </c>
      <c r="K676" s="112" t="s">
        <v>77</v>
      </c>
      <c r="L676" s="112" t="s">
        <v>85</v>
      </c>
      <c r="M676" s="112" t="s">
        <v>665</v>
      </c>
      <c r="N676" s="114" t="s">
        <v>623</v>
      </c>
      <c r="O676" s="123">
        <v>80</v>
      </c>
      <c r="P676" s="114" t="s">
        <v>81</v>
      </c>
      <c r="Q676" s="114" t="s">
        <v>112</v>
      </c>
      <c r="R676" s="115" t="str">
        <f t="shared" si="80"/>
        <v>53</v>
      </c>
      <c r="S676" s="112">
        <v>530404</v>
      </c>
      <c r="T676" s="122" t="str">
        <f>VLOOKUP(S676,ITEM!$C$1:$D$156,2,FALSE)</f>
        <v>Maquinarias y Equipos (Instalación, Mantenimiento y Reparación)</v>
      </c>
      <c r="U676" s="112">
        <v>101</v>
      </c>
      <c r="V676" s="114" t="s">
        <v>82</v>
      </c>
      <c r="W676" s="114" t="s">
        <v>84</v>
      </c>
      <c r="X676" s="114" t="s">
        <v>84</v>
      </c>
      <c r="Y676" s="224" t="e">
        <f>'Matriz POA 2024-TRABAJO'!#REF!</f>
        <v>#REF!</v>
      </c>
      <c r="Z676" s="224" t="e">
        <f>'Matriz POA 2024-TRABAJO'!#REF!</f>
        <v>#REF!</v>
      </c>
      <c r="AA676" s="224" t="e">
        <f>'Matriz POA 2024-TRABAJO'!#REF!</f>
        <v>#REF!</v>
      </c>
      <c r="AB676" s="279">
        <v>0</v>
      </c>
      <c r="AC676" s="279">
        <v>0</v>
      </c>
      <c r="AD676" s="279">
        <v>0</v>
      </c>
      <c r="AE676" s="279">
        <v>0</v>
      </c>
      <c r="AF676" s="279">
        <v>0</v>
      </c>
      <c r="AG676" s="279">
        <v>3800</v>
      </c>
      <c r="AH676" s="279">
        <v>0</v>
      </c>
      <c r="AI676" s="279">
        <v>0</v>
      </c>
      <c r="AJ676" s="279">
        <v>0</v>
      </c>
      <c r="AK676" s="279">
        <v>0</v>
      </c>
      <c r="AL676" s="279">
        <v>0</v>
      </c>
      <c r="AM676" s="279">
        <v>0</v>
      </c>
      <c r="AN676" s="224" t="e">
        <f>SUM(#REF!)</f>
        <v>#REF!</v>
      </c>
      <c r="AO676" s="224">
        <f t="shared" si="81"/>
        <v>3800</v>
      </c>
      <c r="AP676" s="224" t="e">
        <f t="shared" si="86"/>
        <v>#REF!</v>
      </c>
      <c r="AQ676" s="224"/>
      <c r="AR676" s="224"/>
      <c r="AS676" s="224"/>
      <c r="AT676" s="224" t="str">
        <f>IFERROR(VLOOKUP($A676,'Constancias POA'!$A$2:$DH$9993,17,FALSE),"")</f>
        <v/>
      </c>
      <c r="AU676" s="224" t="str">
        <f t="shared" si="87"/>
        <v/>
      </c>
      <c r="AV676" s="224" t="str">
        <f>IFERROR(VLOOKUP($A676,CP!$A$1:$U$7992,18,FALSE),"")</f>
        <v/>
      </c>
      <c r="AW676" s="224" t="str">
        <f>IFERROR(VLOOKUP($A676,CP!$A$1:$U$7992,19,FALSE),"")</f>
        <v/>
      </c>
      <c r="AX676" s="224" t="str">
        <f>IFERROR(VLOOKUP($A676,CP!$A$1:$U$7992,20,FALSE),"")</f>
        <v/>
      </c>
      <c r="AY676" s="224" t="str">
        <f>IFERROR(VLOOKUP($A676,CP!$A$1:$U$1,21,FALSE),"")</f>
        <v/>
      </c>
      <c r="AZ676" s="224" t="str">
        <f>IFERROR(VLOOKUP(A676,Devengado!$A$1:AJ1,35,FALSE),"")</f>
        <v/>
      </c>
      <c r="BA676" s="224" t="str">
        <f t="shared" si="82"/>
        <v/>
      </c>
      <c r="BB676" s="224" t="str">
        <f>IFERROR(AZ676/#REF!,"")</f>
        <v/>
      </c>
      <c r="BC676" s="224" t="str">
        <f>IFERROR(VLOOKUP($A676,Devengado!$A$1:$AI$1,22,FALSE),"")</f>
        <v/>
      </c>
      <c r="BD676" s="224" t="str">
        <f>IFERROR(VLOOKUP($A676,Devengado!$A$1:$AI$1,23,FALSE),"")</f>
        <v/>
      </c>
      <c r="BE676" s="224" t="str">
        <f>IFERROR(VLOOKUP($A676,Devengado!$A$1:$AI$1,24,FALSE),"")</f>
        <v/>
      </c>
      <c r="BF676" s="224" t="str">
        <f>IFERROR(VLOOKUP($A676,Devengado!$A$1:$AI$1,25,FALSE),"")</f>
        <v/>
      </c>
      <c r="BG676" s="224" t="str">
        <f>IFERROR(VLOOKUP($A676,Devengado!$A$1:$AI$1,26,FALSE),"")</f>
        <v/>
      </c>
      <c r="BH676" s="224" t="str">
        <f>IFERROR(VLOOKUP($A676,Devengado!$A$1:$AI$1,27,FALSE),"")</f>
        <v/>
      </c>
      <c r="BI676" s="224" t="str">
        <f>IFERROR(VLOOKUP($A676,Devengado!$A$1:$AI$1,28,FALSE),"")</f>
        <v/>
      </c>
      <c r="BJ676" s="224" t="str">
        <f>IFERROR(VLOOKUP($A676,Devengado!$A$1:$AI$1,29,FALSE),"")</f>
        <v/>
      </c>
      <c r="BK676" s="224" t="str">
        <f>IFERROR(VLOOKUP($A676,Devengado!$A$1:$AI$1,30,FALSE),"")</f>
        <v/>
      </c>
      <c r="BL676" s="224" t="str">
        <f>IFERROR(VLOOKUP($A676,Devengado!$A$1:$AI$1,31,FALSE),"")</f>
        <v/>
      </c>
      <c r="BM676" s="224" t="str">
        <f>IFERROR(VLOOKUP($A676,Devengado!$A$1:$AI$1,32,FALSE),"")</f>
        <v/>
      </c>
      <c r="BN676" s="224" t="str">
        <f>IFERROR(VLOOKUP($A676,Devengado!$A$1:$AI$1,33,FALSE),"")</f>
        <v/>
      </c>
      <c r="BO676" s="224">
        <f t="shared" si="83"/>
        <v>0</v>
      </c>
      <c r="BP676" s="224" t="str">
        <f t="shared" si="84"/>
        <v/>
      </c>
      <c r="BQ676" s="207"/>
      <c r="BR676" s="207" t="str">
        <f t="shared" si="85"/>
        <v>53</v>
      </c>
    </row>
    <row r="677" spans="1:70" s="225" customFormat="1" ht="25.5" customHeight="1">
      <c r="A677" s="207">
        <v>673</v>
      </c>
      <c r="B677" s="112" t="s">
        <v>621</v>
      </c>
      <c r="C677" s="112" t="s">
        <v>77</v>
      </c>
      <c r="D677" s="112" t="s">
        <v>77</v>
      </c>
      <c r="E677" s="112" t="s">
        <v>76</v>
      </c>
      <c r="F677" s="112" t="s">
        <v>77</v>
      </c>
      <c r="G677" s="112" t="s">
        <v>77</v>
      </c>
      <c r="H677" s="112" t="s">
        <v>77</v>
      </c>
      <c r="I677" s="112" t="s">
        <v>77</v>
      </c>
      <c r="J677" s="112" t="s">
        <v>77</v>
      </c>
      <c r="K677" s="112" t="s">
        <v>77</v>
      </c>
      <c r="L677" s="112" t="s">
        <v>85</v>
      </c>
      <c r="M677" s="112" t="s">
        <v>666</v>
      </c>
      <c r="N677" s="114" t="s">
        <v>623</v>
      </c>
      <c r="O677" s="123">
        <v>80</v>
      </c>
      <c r="P677" s="114" t="s">
        <v>81</v>
      </c>
      <c r="Q677" s="114" t="s">
        <v>112</v>
      </c>
      <c r="R677" s="115" t="str">
        <f t="shared" si="80"/>
        <v>53</v>
      </c>
      <c r="S677" s="112">
        <v>530404</v>
      </c>
      <c r="T677" s="122" t="str">
        <f>VLOOKUP(S677,ITEM!$C$1:$D$156,2,FALSE)</f>
        <v>Maquinarias y Equipos (Instalación, Mantenimiento y Reparación)</v>
      </c>
      <c r="U677" s="112">
        <v>101</v>
      </c>
      <c r="V677" s="114" t="s">
        <v>82</v>
      </c>
      <c r="W677" s="114" t="s">
        <v>84</v>
      </c>
      <c r="X677" s="114" t="s">
        <v>84</v>
      </c>
      <c r="Y677" s="224" t="e">
        <f>'Matriz POA 2024-TRABAJO'!#REF!</f>
        <v>#REF!</v>
      </c>
      <c r="Z677" s="224" t="e">
        <f>'Matriz POA 2024-TRABAJO'!#REF!</f>
        <v>#REF!</v>
      </c>
      <c r="AA677" s="224" t="e">
        <f>'Matriz POA 2024-TRABAJO'!#REF!</f>
        <v>#REF!</v>
      </c>
      <c r="AB677" s="279">
        <v>0</v>
      </c>
      <c r="AC677" s="279">
        <v>0</v>
      </c>
      <c r="AD677" s="279">
        <v>0</v>
      </c>
      <c r="AE677" s="279">
        <v>2141.7600000000002</v>
      </c>
      <c r="AF677" s="279">
        <v>0</v>
      </c>
      <c r="AG677" s="279">
        <v>0</v>
      </c>
      <c r="AH677" s="279">
        <v>0</v>
      </c>
      <c r="AI677" s="279">
        <v>0</v>
      </c>
      <c r="AJ677" s="279">
        <v>0</v>
      </c>
      <c r="AK677" s="279">
        <v>0</v>
      </c>
      <c r="AL677" s="279">
        <v>0</v>
      </c>
      <c r="AM677" s="279">
        <v>0</v>
      </c>
      <c r="AN677" s="224" t="e">
        <f>SUM(#REF!)</f>
        <v>#REF!</v>
      </c>
      <c r="AO677" s="224">
        <f t="shared" si="81"/>
        <v>2141.7600000000002</v>
      </c>
      <c r="AP677" s="224" t="e">
        <f t="shared" si="86"/>
        <v>#REF!</v>
      </c>
      <c r="AQ677" s="224"/>
      <c r="AR677" s="224"/>
      <c r="AS677" s="224"/>
      <c r="AT677" s="224" t="str">
        <f>IFERROR(VLOOKUP($A677,'Constancias POA'!$A$2:$DH$9993,17,FALSE),"")</f>
        <v/>
      </c>
      <c r="AU677" s="224" t="str">
        <f t="shared" si="87"/>
        <v/>
      </c>
      <c r="AV677" s="224" t="str">
        <f>IFERROR(VLOOKUP($A677,CP!$A$1:$U$7992,18,FALSE),"")</f>
        <v/>
      </c>
      <c r="AW677" s="224" t="str">
        <f>IFERROR(VLOOKUP($A677,CP!$A$1:$U$7992,19,FALSE),"")</f>
        <v/>
      </c>
      <c r="AX677" s="224" t="str">
        <f>IFERROR(VLOOKUP($A677,CP!$A$1:$U$7992,20,FALSE),"")</f>
        <v/>
      </c>
      <c r="AY677" s="224" t="str">
        <f>IFERROR(VLOOKUP($A677,CP!$A$1:$U$1,21,FALSE),"")</f>
        <v/>
      </c>
      <c r="AZ677" s="224" t="str">
        <f>IFERROR(VLOOKUP(A677,Devengado!$A$1:AJ1,35,FALSE),"")</f>
        <v/>
      </c>
      <c r="BA677" s="224" t="str">
        <f t="shared" si="82"/>
        <v/>
      </c>
      <c r="BB677" s="224" t="str">
        <f>IFERROR(AZ677/#REF!,"")</f>
        <v/>
      </c>
      <c r="BC677" s="224" t="str">
        <f>IFERROR(VLOOKUP($A677,Devengado!$A$1:$AI$1,22,FALSE),"")</f>
        <v/>
      </c>
      <c r="BD677" s="224" t="str">
        <f>IFERROR(VLOOKUP($A677,Devengado!$A$1:$AI$1,23,FALSE),"")</f>
        <v/>
      </c>
      <c r="BE677" s="224" t="str">
        <f>IFERROR(VLOOKUP($A677,Devengado!$A$1:$AI$1,24,FALSE),"")</f>
        <v/>
      </c>
      <c r="BF677" s="224" t="str">
        <f>IFERROR(VLOOKUP($A677,Devengado!$A$1:$AI$1,25,FALSE),"")</f>
        <v/>
      </c>
      <c r="BG677" s="224" t="str">
        <f>IFERROR(VLOOKUP($A677,Devengado!$A$1:$AI$1,26,FALSE),"")</f>
        <v/>
      </c>
      <c r="BH677" s="224" t="str">
        <f>IFERROR(VLOOKUP($A677,Devengado!$A$1:$AI$1,27,FALSE),"")</f>
        <v/>
      </c>
      <c r="BI677" s="224" t="str">
        <f>IFERROR(VLOOKUP($A677,Devengado!$A$1:$AI$1,28,FALSE),"")</f>
        <v/>
      </c>
      <c r="BJ677" s="224" t="str">
        <f>IFERROR(VLOOKUP($A677,Devengado!$A$1:$AI$1,29,FALSE),"")</f>
        <v/>
      </c>
      <c r="BK677" s="224" t="str">
        <f>IFERROR(VLOOKUP($A677,Devengado!$A$1:$AI$1,30,FALSE),"")</f>
        <v/>
      </c>
      <c r="BL677" s="224" t="str">
        <f>IFERROR(VLOOKUP($A677,Devengado!$A$1:$AI$1,31,FALSE),"")</f>
        <v/>
      </c>
      <c r="BM677" s="224" t="str">
        <f>IFERROR(VLOOKUP($A677,Devengado!$A$1:$AI$1,32,FALSE),"")</f>
        <v/>
      </c>
      <c r="BN677" s="224" t="str">
        <f>IFERROR(VLOOKUP($A677,Devengado!$A$1:$AI$1,33,FALSE),"")</f>
        <v/>
      </c>
      <c r="BO677" s="224">
        <f t="shared" si="83"/>
        <v>0</v>
      </c>
      <c r="BP677" s="224" t="str">
        <f t="shared" si="84"/>
        <v/>
      </c>
      <c r="BQ677" s="207"/>
      <c r="BR677" s="207" t="str">
        <f t="shared" si="85"/>
        <v>53</v>
      </c>
    </row>
    <row r="678" spans="1:70" s="225" customFormat="1" ht="25.5" customHeight="1">
      <c r="A678" s="207">
        <v>674</v>
      </c>
      <c r="B678" s="112" t="s">
        <v>621</v>
      </c>
      <c r="C678" s="112" t="s">
        <v>77</v>
      </c>
      <c r="D678" s="112" t="s">
        <v>77</v>
      </c>
      <c r="E678" s="112" t="s">
        <v>76</v>
      </c>
      <c r="F678" s="112" t="s">
        <v>77</v>
      </c>
      <c r="G678" s="112" t="s">
        <v>77</v>
      </c>
      <c r="H678" s="112" t="s">
        <v>77</v>
      </c>
      <c r="I678" s="112" t="s">
        <v>77</v>
      </c>
      <c r="J678" s="112" t="s">
        <v>77</v>
      </c>
      <c r="K678" s="112" t="s">
        <v>77</v>
      </c>
      <c r="L678" s="112" t="s">
        <v>85</v>
      </c>
      <c r="M678" s="112" t="s">
        <v>667</v>
      </c>
      <c r="N678" s="114" t="s">
        <v>623</v>
      </c>
      <c r="O678" s="123">
        <v>80</v>
      </c>
      <c r="P678" s="114" t="s">
        <v>81</v>
      </c>
      <c r="Q678" s="114" t="s">
        <v>112</v>
      </c>
      <c r="R678" s="115" t="str">
        <f t="shared" si="80"/>
        <v>53</v>
      </c>
      <c r="S678" s="112">
        <v>530404</v>
      </c>
      <c r="T678" s="122" t="str">
        <f>VLOOKUP(S678,ITEM!$C$1:$D$156,2,FALSE)</f>
        <v>Maquinarias y Equipos (Instalación, Mantenimiento y Reparación)</v>
      </c>
      <c r="U678" s="112">
        <v>101</v>
      </c>
      <c r="V678" s="114" t="s">
        <v>82</v>
      </c>
      <c r="W678" s="114" t="s">
        <v>84</v>
      </c>
      <c r="X678" s="114" t="s">
        <v>84</v>
      </c>
      <c r="Y678" s="224" t="e">
        <f>'Matriz POA 2024-TRABAJO'!#REF!</f>
        <v>#REF!</v>
      </c>
      <c r="Z678" s="224" t="e">
        <f>'Matriz POA 2024-TRABAJO'!#REF!</f>
        <v>#REF!</v>
      </c>
      <c r="AA678" s="224" t="e">
        <f>'Matriz POA 2024-TRABAJO'!#REF!</f>
        <v>#REF!</v>
      </c>
      <c r="AB678" s="279">
        <v>0</v>
      </c>
      <c r="AC678" s="279">
        <v>0</v>
      </c>
      <c r="AD678" s="279">
        <v>0</v>
      </c>
      <c r="AE678" s="279">
        <v>0</v>
      </c>
      <c r="AF678" s="279">
        <v>1400</v>
      </c>
      <c r="AG678" s="279">
        <v>0</v>
      </c>
      <c r="AH678" s="279">
        <v>0</v>
      </c>
      <c r="AI678" s="279">
        <v>0</v>
      </c>
      <c r="AJ678" s="279">
        <v>0</v>
      </c>
      <c r="AK678" s="279">
        <v>0</v>
      </c>
      <c r="AL678" s="279">
        <v>0</v>
      </c>
      <c r="AM678" s="279">
        <v>0</v>
      </c>
      <c r="AN678" s="224" t="e">
        <f>SUM(#REF!)</f>
        <v>#REF!</v>
      </c>
      <c r="AO678" s="224">
        <f t="shared" si="81"/>
        <v>1400</v>
      </c>
      <c r="AP678" s="224" t="e">
        <f t="shared" si="86"/>
        <v>#REF!</v>
      </c>
      <c r="AQ678" s="224"/>
      <c r="AR678" s="224"/>
      <c r="AS678" s="224"/>
      <c r="AT678" s="224" t="str">
        <f>IFERROR(VLOOKUP($A678,'Constancias POA'!$A$2:$DH$9993,17,FALSE),"")</f>
        <v/>
      </c>
      <c r="AU678" s="224" t="str">
        <f t="shared" si="87"/>
        <v/>
      </c>
      <c r="AV678" s="224" t="str">
        <f>IFERROR(VLOOKUP($A678,CP!$A$1:$U$7992,18,FALSE),"")</f>
        <v/>
      </c>
      <c r="AW678" s="224" t="str">
        <f>IFERROR(VLOOKUP($A678,CP!$A$1:$U$7992,19,FALSE),"")</f>
        <v/>
      </c>
      <c r="AX678" s="224" t="str">
        <f>IFERROR(VLOOKUP($A678,CP!$A$1:$U$7992,20,FALSE),"")</f>
        <v/>
      </c>
      <c r="AY678" s="224" t="str">
        <f>IFERROR(VLOOKUP($A678,CP!$A$1:$U$1,21,FALSE),"")</f>
        <v/>
      </c>
      <c r="AZ678" s="224" t="str">
        <f>IFERROR(VLOOKUP(A678,Devengado!$A$1:AJ1,35,FALSE),"")</f>
        <v/>
      </c>
      <c r="BA678" s="224" t="str">
        <f t="shared" si="82"/>
        <v/>
      </c>
      <c r="BB678" s="224" t="str">
        <f>IFERROR(AZ678/#REF!,"")</f>
        <v/>
      </c>
      <c r="BC678" s="224" t="str">
        <f>IFERROR(VLOOKUP($A678,Devengado!$A$1:$AI$1,22,FALSE),"")</f>
        <v/>
      </c>
      <c r="BD678" s="224" t="str">
        <f>IFERROR(VLOOKUP($A678,Devengado!$A$1:$AI$1,23,FALSE),"")</f>
        <v/>
      </c>
      <c r="BE678" s="224" t="str">
        <f>IFERROR(VLOOKUP($A678,Devengado!$A$1:$AI$1,24,FALSE),"")</f>
        <v/>
      </c>
      <c r="BF678" s="224" t="str">
        <f>IFERROR(VLOOKUP($A678,Devengado!$A$1:$AI$1,25,FALSE),"")</f>
        <v/>
      </c>
      <c r="BG678" s="224" t="str">
        <f>IFERROR(VLOOKUP($A678,Devengado!$A$1:$AI$1,26,FALSE),"")</f>
        <v/>
      </c>
      <c r="BH678" s="224" t="str">
        <f>IFERROR(VLOOKUP($A678,Devengado!$A$1:$AI$1,27,FALSE),"")</f>
        <v/>
      </c>
      <c r="BI678" s="224" t="str">
        <f>IFERROR(VLOOKUP($A678,Devengado!$A$1:$AI$1,28,FALSE),"")</f>
        <v/>
      </c>
      <c r="BJ678" s="224" t="str">
        <f>IFERROR(VLOOKUP($A678,Devengado!$A$1:$AI$1,29,FALSE),"")</f>
        <v/>
      </c>
      <c r="BK678" s="224" t="str">
        <f>IFERROR(VLOOKUP($A678,Devengado!$A$1:$AI$1,30,FALSE),"")</f>
        <v/>
      </c>
      <c r="BL678" s="224" t="str">
        <f>IFERROR(VLOOKUP($A678,Devengado!$A$1:$AI$1,31,FALSE),"")</f>
        <v/>
      </c>
      <c r="BM678" s="224" t="str">
        <f>IFERROR(VLOOKUP($A678,Devengado!$A$1:$AI$1,32,FALSE),"")</f>
        <v/>
      </c>
      <c r="BN678" s="224" t="str">
        <f>IFERROR(VLOOKUP($A678,Devengado!$A$1:$AI$1,33,FALSE),"")</f>
        <v/>
      </c>
      <c r="BO678" s="224">
        <f t="shared" si="83"/>
        <v>0</v>
      </c>
      <c r="BP678" s="224" t="str">
        <f t="shared" si="84"/>
        <v/>
      </c>
      <c r="BQ678" s="207"/>
      <c r="BR678" s="207" t="str">
        <f t="shared" si="85"/>
        <v>53</v>
      </c>
    </row>
    <row r="679" spans="1:70" s="225" customFormat="1" ht="25.5" customHeight="1">
      <c r="A679" s="207">
        <v>675</v>
      </c>
      <c r="B679" s="112" t="s">
        <v>621</v>
      </c>
      <c r="C679" s="112" t="s">
        <v>77</v>
      </c>
      <c r="D679" s="112" t="s">
        <v>77</v>
      </c>
      <c r="E679" s="112" t="s">
        <v>76</v>
      </c>
      <c r="F679" s="112" t="s">
        <v>77</v>
      </c>
      <c r="G679" s="112" t="s">
        <v>77</v>
      </c>
      <c r="H679" s="112" t="s">
        <v>77</v>
      </c>
      <c r="I679" s="112" t="s">
        <v>77</v>
      </c>
      <c r="J679" s="112" t="s">
        <v>77</v>
      </c>
      <c r="K679" s="112" t="s">
        <v>77</v>
      </c>
      <c r="L679" s="112" t="s">
        <v>85</v>
      </c>
      <c r="M679" s="112" t="s">
        <v>668</v>
      </c>
      <c r="N679" s="114" t="s">
        <v>623</v>
      </c>
      <c r="O679" s="123">
        <v>80</v>
      </c>
      <c r="P679" s="114" t="s">
        <v>81</v>
      </c>
      <c r="Q679" s="114" t="s">
        <v>112</v>
      </c>
      <c r="R679" s="115" t="str">
        <f t="shared" si="80"/>
        <v>53</v>
      </c>
      <c r="S679" s="112">
        <v>530405</v>
      </c>
      <c r="T679" s="122" t="str">
        <f>VLOOKUP(S679,ITEM!$C$1:$D$156,2,FALSE)</f>
        <v>Vehículos (Servicio para Mantenimiento y Reparación)</v>
      </c>
      <c r="U679" s="112">
        <v>101</v>
      </c>
      <c r="V679" s="114" t="s">
        <v>82</v>
      </c>
      <c r="W679" s="114" t="s">
        <v>84</v>
      </c>
      <c r="X679" s="114" t="s">
        <v>84</v>
      </c>
      <c r="Y679" s="224" t="e">
        <f>'Matriz POA 2024-TRABAJO'!#REF!</f>
        <v>#REF!</v>
      </c>
      <c r="Z679" s="224" t="e">
        <f>'Matriz POA 2024-TRABAJO'!#REF!</f>
        <v>#REF!</v>
      </c>
      <c r="AA679" s="224" t="e">
        <f>'Matriz POA 2024-TRABAJO'!#REF!</f>
        <v>#REF!</v>
      </c>
      <c r="AB679" s="279">
        <v>0</v>
      </c>
      <c r="AC679" s="279">
        <v>0</v>
      </c>
      <c r="AD679" s="279">
        <v>0</v>
      </c>
      <c r="AE679" s="279">
        <v>0</v>
      </c>
      <c r="AF679" s="279">
        <v>0</v>
      </c>
      <c r="AG679" s="279">
        <v>3760</v>
      </c>
      <c r="AH679" s="279">
        <v>0</v>
      </c>
      <c r="AI679" s="279">
        <v>0</v>
      </c>
      <c r="AJ679" s="279">
        <v>0</v>
      </c>
      <c r="AK679" s="279">
        <v>0</v>
      </c>
      <c r="AL679" s="279">
        <v>0</v>
      </c>
      <c r="AM679" s="279">
        <v>0</v>
      </c>
      <c r="AN679" s="224" t="e">
        <f>SUM(#REF!)</f>
        <v>#REF!</v>
      </c>
      <c r="AO679" s="224">
        <f t="shared" si="81"/>
        <v>3760</v>
      </c>
      <c r="AP679" s="224" t="e">
        <f t="shared" si="86"/>
        <v>#REF!</v>
      </c>
      <c r="AQ679" s="224"/>
      <c r="AR679" s="224"/>
      <c r="AS679" s="224"/>
      <c r="AT679" s="224" t="str">
        <f>IFERROR(VLOOKUP($A679,'Constancias POA'!$A$2:$DH$9993,17,FALSE),"")</f>
        <v/>
      </c>
      <c r="AU679" s="224" t="str">
        <f t="shared" si="87"/>
        <v/>
      </c>
      <c r="AV679" s="224" t="str">
        <f>IFERROR(VLOOKUP($A679,CP!$A$1:$U$7992,18,FALSE),"")</f>
        <v/>
      </c>
      <c r="AW679" s="224" t="str">
        <f>IFERROR(VLOOKUP($A679,CP!$A$1:$U$7992,19,FALSE),"")</f>
        <v/>
      </c>
      <c r="AX679" s="224" t="str">
        <f>IFERROR(VLOOKUP($A679,CP!$A$1:$U$7992,20,FALSE),"")</f>
        <v/>
      </c>
      <c r="AY679" s="224" t="str">
        <f>IFERROR(VLOOKUP($A679,CP!$A$1:$U$1,21,FALSE),"")</f>
        <v/>
      </c>
      <c r="AZ679" s="224" t="str">
        <f>IFERROR(VLOOKUP(A679,Devengado!$A$1:AJ1,35,FALSE),"")</f>
        <v/>
      </c>
      <c r="BA679" s="224" t="str">
        <f t="shared" si="82"/>
        <v/>
      </c>
      <c r="BB679" s="224" t="str">
        <f>IFERROR(AZ679/#REF!,"")</f>
        <v/>
      </c>
      <c r="BC679" s="224" t="str">
        <f>IFERROR(VLOOKUP($A679,Devengado!$A$1:$AI$1,22,FALSE),"")</f>
        <v/>
      </c>
      <c r="BD679" s="224" t="str">
        <f>IFERROR(VLOOKUP($A679,Devengado!$A$1:$AI$1,23,FALSE),"")</f>
        <v/>
      </c>
      <c r="BE679" s="224" t="str">
        <f>IFERROR(VLOOKUP($A679,Devengado!$A$1:$AI$1,24,FALSE),"")</f>
        <v/>
      </c>
      <c r="BF679" s="224" t="str">
        <f>IFERROR(VLOOKUP($A679,Devengado!$A$1:$AI$1,25,FALSE),"")</f>
        <v/>
      </c>
      <c r="BG679" s="224" t="str">
        <f>IFERROR(VLOOKUP($A679,Devengado!$A$1:$AI$1,26,FALSE),"")</f>
        <v/>
      </c>
      <c r="BH679" s="224" t="str">
        <f>IFERROR(VLOOKUP($A679,Devengado!$A$1:$AI$1,27,FALSE),"")</f>
        <v/>
      </c>
      <c r="BI679" s="224" t="str">
        <f>IFERROR(VLOOKUP($A679,Devengado!$A$1:$AI$1,28,FALSE),"")</f>
        <v/>
      </c>
      <c r="BJ679" s="224" t="str">
        <f>IFERROR(VLOOKUP($A679,Devengado!$A$1:$AI$1,29,FALSE),"")</f>
        <v/>
      </c>
      <c r="BK679" s="224" t="str">
        <f>IFERROR(VLOOKUP($A679,Devengado!$A$1:$AI$1,30,FALSE),"")</f>
        <v/>
      </c>
      <c r="BL679" s="224" t="str">
        <f>IFERROR(VLOOKUP($A679,Devengado!$A$1:$AI$1,31,FALSE),"")</f>
        <v/>
      </c>
      <c r="BM679" s="224" t="str">
        <f>IFERROR(VLOOKUP($A679,Devengado!$A$1:$AI$1,32,FALSE),"")</f>
        <v/>
      </c>
      <c r="BN679" s="224" t="str">
        <f>IFERROR(VLOOKUP($A679,Devengado!$A$1:$AI$1,33,FALSE),"")</f>
        <v/>
      </c>
      <c r="BO679" s="224">
        <f t="shared" si="83"/>
        <v>0</v>
      </c>
      <c r="BP679" s="224" t="str">
        <f t="shared" si="84"/>
        <v/>
      </c>
      <c r="BQ679" s="207"/>
      <c r="BR679" s="207" t="str">
        <f t="shared" si="85"/>
        <v>53</v>
      </c>
    </row>
    <row r="680" spans="1:70" s="225" customFormat="1" ht="25.5" customHeight="1">
      <c r="A680" s="207">
        <v>676</v>
      </c>
      <c r="B680" s="112" t="s">
        <v>621</v>
      </c>
      <c r="C680" s="112" t="s">
        <v>77</v>
      </c>
      <c r="D680" s="112" t="s">
        <v>77</v>
      </c>
      <c r="E680" s="112" t="s">
        <v>76</v>
      </c>
      <c r="F680" s="112" t="s">
        <v>77</v>
      </c>
      <c r="G680" s="112" t="s">
        <v>77</v>
      </c>
      <c r="H680" s="112" t="s">
        <v>77</v>
      </c>
      <c r="I680" s="112" t="s">
        <v>77</v>
      </c>
      <c r="J680" s="112" t="s">
        <v>77</v>
      </c>
      <c r="K680" s="112" t="s">
        <v>77</v>
      </c>
      <c r="L680" s="112" t="s">
        <v>85</v>
      </c>
      <c r="M680" s="112" t="s">
        <v>669</v>
      </c>
      <c r="N680" s="114" t="s">
        <v>623</v>
      </c>
      <c r="O680" s="123">
        <v>80</v>
      </c>
      <c r="P680" s="114" t="s">
        <v>81</v>
      </c>
      <c r="Q680" s="114" t="s">
        <v>112</v>
      </c>
      <c r="R680" s="115" t="str">
        <f t="shared" si="80"/>
        <v>53</v>
      </c>
      <c r="S680" s="112">
        <v>530425</v>
      </c>
      <c r="T680" s="122" t="str">
        <f>VLOOKUP(S680,ITEM!$C$1:$D$156,2,FALSE)</f>
        <v>Instalación, Readecuación, Montaje de Exposiciones, Mantenimiento y Reparación de Espacios y Bienes Culturales</v>
      </c>
      <c r="U680" s="112">
        <v>101</v>
      </c>
      <c r="V680" s="114" t="s">
        <v>82</v>
      </c>
      <c r="W680" s="114" t="s">
        <v>84</v>
      </c>
      <c r="X680" s="114" t="s">
        <v>84</v>
      </c>
      <c r="Y680" s="224" t="e">
        <f>'Matriz POA 2024-TRABAJO'!#REF!</f>
        <v>#REF!</v>
      </c>
      <c r="Z680" s="224" t="e">
        <f>'Matriz POA 2024-TRABAJO'!#REF!</f>
        <v>#REF!</v>
      </c>
      <c r="AA680" s="224" t="e">
        <f>'Matriz POA 2024-TRABAJO'!#REF!</f>
        <v>#REF!</v>
      </c>
      <c r="AB680" s="279">
        <v>0</v>
      </c>
      <c r="AC680" s="279">
        <v>0</v>
      </c>
      <c r="AD680" s="279">
        <v>0</v>
      </c>
      <c r="AE680" s="279">
        <v>5000</v>
      </c>
      <c r="AF680" s="279">
        <v>0</v>
      </c>
      <c r="AG680" s="279">
        <v>0</v>
      </c>
      <c r="AH680" s="279">
        <v>0</v>
      </c>
      <c r="AI680" s="279">
        <v>0</v>
      </c>
      <c r="AJ680" s="279">
        <v>0</v>
      </c>
      <c r="AK680" s="279">
        <v>0</v>
      </c>
      <c r="AL680" s="279">
        <v>0</v>
      </c>
      <c r="AM680" s="279">
        <v>0</v>
      </c>
      <c r="AN680" s="224" t="e">
        <f>SUM(#REF!)</f>
        <v>#REF!</v>
      </c>
      <c r="AO680" s="224">
        <f t="shared" si="81"/>
        <v>5000</v>
      </c>
      <c r="AP680" s="224" t="e">
        <f t="shared" si="86"/>
        <v>#REF!</v>
      </c>
      <c r="AQ680" s="224"/>
      <c r="AR680" s="224"/>
      <c r="AS680" s="224"/>
      <c r="AT680" s="224" t="str">
        <f>IFERROR(VLOOKUP($A680,'Constancias POA'!$A$2:$DH$9993,17,FALSE),"")</f>
        <v/>
      </c>
      <c r="AU680" s="224" t="str">
        <f t="shared" si="87"/>
        <v/>
      </c>
      <c r="AV680" s="224" t="str">
        <f>IFERROR(VLOOKUP($A680,CP!$A$1:$U$7992,18,FALSE),"")</f>
        <v/>
      </c>
      <c r="AW680" s="224" t="str">
        <f>IFERROR(VLOOKUP($A680,CP!$A$1:$U$7992,19,FALSE),"")</f>
        <v/>
      </c>
      <c r="AX680" s="224" t="str">
        <f>IFERROR(VLOOKUP($A680,CP!$A$1:$U$7992,20,FALSE),"")</f>
        <v/>
      </c>
      <c r="AY680" s="224" t="str">
        <f>IFERROR(VLOOKUP($A680,CP!$A$1:$U$1,21,FALSE),"")</f>
        <v/>
      </c>
      <c r="AZ680" s="224" t="str">
        <f>IFERROR(VLOOKUP(A680,Devengado!$A$1:AJ1,35,FALSE),"")</f>
        <v/>
      </c>
      <c r="BA680" s="224" t="str">
        <f t="shared" si="82"/>
        <v/>
      </c>
      <c r="BB680" s="224" t="str">
        <f>IFERROR(AZ680/#REF!,"")</f>
        <v/>
      </c>
      <c r="BC680" s="224" t="str">
        <f>IFERROR(VLOOKUP($A680,Devengado!$A$1:$AI$1,22,FALSE),"")</f>
        <v/>
      </c>
      <c r="BD680" s="224" t="str">
        <f>IFERROR(VLOOKUP($A680,Devengado!$A$1:$AI$1,23,FALSE),"")</f>
        <v/>
      </c>
      <c r="BE680" s="224" t="str">
        <f>IFERROR(VLOOKUP($A680,Devengado!$A$1:$AI$1,24,FALSE),"")</f>
        <v/>
      </c>
      <c r="BF680" s="224" t="str">
        <f>IFERROR(VLOOKUP($A680,Devengado!$A$1:$AI$1,25,FALSE),"")</f>
        <v/>
      </c>
      <c r="BG680" s="224" t="str">
        <f>IFERROR(VLOOKUP($A680,Devengado!$A$1:$AI$1,26,FALSE),"")</f>
        <v/>
      </c>
      <c r="BH680" s="224" t="str">
        <f>IFERROR(VLOOKUP($A680,Devengado!$A$1:$AI$1,27,FALSE),"")</f>
        <v/>
      </c>
      <c r="BI680" s="224" t="str">
        <f>IFERROR(VLOOKUP($A680,Devengado!$A$1:$AI$1,28,FALSE),"")</f>
        <v/>
      </c>
      <c r="BJ680" s="224" t="str">
        <f>IFERROR(VLOOKUP($A680,Devengado!$A$1:$AI$1,29,FALSE),"")</f>
        <v/>
      </c>
      <c r="BK680" s="224" t="str">
        <f>IFERROR(VLOOKUP($A680,Devengado!$A$1:$AI$1,30,FALSE),"")</f>
        <v/>
      </c>
      <c r="BL680" s="224" t="str">
        <f>IFERROR(VLOOKUP($A680,Devengado!$A$1:$AI$1,31,FALSE),"")</f>
        <v/>
      </c>
      <c r="BM680" s="224" t="str">
        <f>IFERROR(VLOOKUP($A680,Devengado!$A$1:$AI$1,32,FALSE),"")</f>
        <v/>
      </c>
      <c r="BN680" s="224" t="str">
        <f>IFERROR(VLOOKUP($A680,Devengado!$A$1:$AI$1,33,FALSE),"")</f>
        <v/>
      </c>
      <c r="BO680" s="224">
        <f t="shared" si="83"/>
        <v>0</v>
      </c>
      <c r="BP680" s="224" t="str">
        <f t="shared" si="84"/>
        <v/>
      </c>
      <c r="BQ680" s="207"/>
      <c r="BR680" s="207" t="str">
        <f t="shared" si="85"/>
        <v>53</v>
      </c>
    </row>
    <row r="681" spans="1:70" s="225" customFormat="1" ht="25.5" customHeight="1">
      <c r="A681" s="207">
        <v>677</v>
      </c>
      <c r="B681" s="112" t="s">
        <v>621</v>
      </c>
      <c r="C681" s="112" t="s">
        <v>77</v>
      </c>
      <c r="D681" s="112" t="s">
        <v>77</v>
      </c>
      <c r="E681" s="112" t="s">
        <v>76</v>
      </c>
      <c r="F681" s="112" t="s">
        <v>77</v>
      </c>
      <c r="G681" s="112" t="s">
        <v>77</v>
      </c>
      <c r="H681" s="112" t="s">
        <v>77</v>
      </c>
      <c r="I681" s="112" t="s">
        <v>77</v>
      </c>
      <c r="J681" s="112" t="s">
        <v>77</v>
      </c>
      <c r="K681" s="112" t="s">
        <v>77</v>
      </c>
      <c r="L681" s="112" t="s">
        <v>85</v>
      </c>
      <c r="M681" s="112" t="s">
        <v>670</v>
      </c>
      <c r="N681" s="114" t="s">
        <v>623</v>
      </c>
      <c r="O681" s="123">
        <v>80</v>
      </c>
      <c r="P681" s="114" t="s">
        <v>81</v>
      </c>
      <c r="Q681" s="114" t="s">
        <v>112</v>
      </c>
      <c r="R681" s="115" t="str">
        <f t="shared" si="80"/>
        <v>53</v>
      </c>
      <c r="S681" s="112">
        <v>530425</v>
      </c>
      <c r="T681" s="122" t="str">
        <f>VLOOKUP(S681,ITEM!$C$1:$D$156,2,FALSE)</f>
        <v>Instalación, Readecuación, Montaje de Exposiciones, Mantenimiento y Reparación de Espacios y Bienes Culturales</v>
      </c>
      <c r="U681" s="112">
        <v>101</v>
      </c>
      <c r="V681" s="114" t="s">
        <v>82</v>
      </c>
      <c r="W681" s="114" t="s">
        <v>84</v>
      </c>
      <c r="X681" s="114" t="s">
        <v>84</v>
      </c>
      <c r="Y681" s="224" t="e">
        <f>'Matriz POA 2024-TRABAJO'!#REF!</f>
        <v>#REF!</v>
      </c>
      <c r="Z681" s="224" t="e">
        <f>'Matriz POA 2024-TRABAJO'!#REF!</f>
        <v>#REF!</v>
      </c>
      <c r="AA681" s="224" t="e">
        <f>'Matriz POA 2024-TRABAJO'!#REF!</f>
        <v>#REF!</v>
      </c>
      <c r="AB681" s="279">
        <v>0</v>
      </c>
      <c r="AC681" s="279">
        <v>0</v>
      </c>
      <c r="AD681" s="279">
        <v>0</v>
      </c>
      <c r="AE681" s="279">
        <v>0</v>
      </c>
      <c r="AF681" s="279">
        <v>0</v>
      </c>
      <c r="AG681" s="279">
        <v>0</v>
      </c>
      <c r="AH681" s="279">
        <v>0</v>
      </c>
      <c r="AI681" s="279">
        <v>0</v>
      </c>
      <c r="AJ681" s="279">
        <v>0</v>
      </c>
      <c r="AK681" s="279">
        <v>0</v>
      </c>
      <c r="AL681" s="279">
        <v>0</v>
      </c>
      <c r="AM681" s="279">
        <v>0</v>
      </c>
      <c r="AN681" s="224" t="e">
        <f>SUM(#REF!)</f>
        <v>#REF!</v>
      </c>
      <c r="AO681" s="224">
        <f t="shared" si="81"/>
        <v>0</v>
      </c>
      <c r="AP681" s="224" t="e">
        <f t="shared" si="86"/>
        <v>#REF!</v>
      </c>
      <c r="AQ681" s="224"/>
      <c r="AR681" s="224"/>
      <c r="AS681" s="224"/>
      <c r="AT681" s="224" t="str">
        <f>IFERROR(VLOOKUP($A681,'Constancias POA'!$A$2:$DH$9993,17,FALSE),"")</f>
        <v/>
      </c>
      <c r="AU681" s="224" t="str">
        <f t="shared" si="87"/>
        <v/>
      </c>
      <c r="AV681" s="224" t="str">
        <f>IFERROR(VLOOKUP($A681,CP!$A$1:$U$7992,18,FALSE),"")</f>
        <v/>
      </c>
      <c r="AW681" s="224" t="str">
        <f>IFERROR(VLOOKUP($A681,CP!$A$1:$U$7992,19,FALSE),"")</f>
        <v/>
      </c>
      <c r="AX681" s="224" t="str">
        <f>IFERROR(VLOOKUP($A681,CP!$A$1:$U$7992,20,FALSE),"")</f>
        <v/>
      </c>
      <c r="AY681" s="224" t="str">
        <f>IFERROR(VLOOKUP($A681,CP!$A$1:$U$1,21,FALSE),"")</f>
        <v/>
      </c>
      <c r="AZ681" s="224" t="str">
        <f>IFERROR(VLOOKUP(A681,Devengado!$A$1:AJ1,35,FALSE),"")</f>
        <v/>
      </c>
      <c r="BA681" s="224" t="str">
        <f t="shared" si="82"/>
        <v/>
      </c>
      <c r="BB681" s="224" t="str">
        <f>IFERROR(AZ681/#REF!,"")</f>
        <v/>
      </c>
      <c r="BC681" s="224" t="str">
        <f>IFERROR(VLOOKUP($A681,Devengado!$A$1:$AI$1,22,FALSE),"")</f>
        <v/>
      </c>
      <c r="BD681" s="224" t="str">
        <f>IFERROR(VLOOKUP($A681,Devengado!$A$1:$AI$1,23,FALSE),"")</f>
        <v/>
      </c>
      <c r="BE681" s="224" t="str">
        <f>IFERROR(VLOOKUP($A681,Devengado!$A$1:$AI$1,24,FALSE),"")</f>
        <v/>
      </c>
      <c r="BF681" s="224" t="str">
        <f>IFERROR(VLOOKUP($A681,Devengado!$A$1:$AI$1,25,FALSE),"")</f>
        <v/>
      </c>
      <c r="BG681" s="224" t="str">
        <f>IFERROR(VLOOKUP($A681,Devengado!$A$1:$AI$1,26,FALSE),"")</f>
        <v/>
      </c>
      <c r="BH681" s="224" t="str">
        <f>IFERROR(VLOOKUP($A681,Devengado!$A$1:$AI$1,27,FALSE),"")</f>
        <v/>
      </c>
      <c r="BI681" s="224" t="str">
        <f>IFERROR(VLOOKUP($A681,Devengado!$A$1:$AI$1,28,FALSE),"")</f>
        <v/>
      </c>
      <c r="BJ681" s="224" t="str">
        <f>IFERROR(VLOOKUP($A681,Devengado!$A$1:$AI$1,29,FALSE),"")</f>
        <v/>
      </c>
      <c r="BK681" s="224" t="str">
        <f>IFERROR(VLOOKUP($A681,Devengado!$A$1:$AI$1,30,FALSE),"")</f>
        <v/>
      </c>
      <c r="BL681" s="224" t="str">
        <f>IFERROR(VLOOKUP($A681,Devengado!$A$1:$AI$1,31,FALSE),"")</f>
        <v/>
      </c>
      <c r="BM681" s="224" t="str">
        <f>IFERROR(VLOOKUP($A681,Devengado!$A$1:$AI$1,32,FALSE),"")</f>
        <v/>
      </c>
      <c r="BN681" s="224" t="str">
        <f>IFERROR(VLOOKUP($A681,Devengado!$A$1:$AI$1,33,FALSE),"")</f>
        <v/>
      </c>
      <c r="BO681" s="224">
        <f t="shared" si="83"/>
        <v>0</v>
      </c>
      <c r="BP681" s="224" t="str">
        <f t="shared" si="84"/>
        <v/>
      </c>
      <c r="BQ681" s="207"/>
      <c r="BR681" s="207" t="str">
        <f t="shared" si="85"/>
        <v>53</v>
      </c>
    </row>
    <row r="682" spans="1:70" s="225" customFormat="1" ht="25.5" customHeight="1">
      <c r="A682" s="207">
        <v>678</v>
      </c>
      <c r="B682" s="112" t="s">
        <v>621</v>
      </c>
      <c r="C682" s="112" t="s">
        <v>77</v>
      </c>
      <c r="D682" s="112" t="s">
        <v>77</v>
      </c>
      <c r="E682" s="112" t="s">
        <v>76</v>
      </c>
      <c r="F682" s="112" t="s">
        <v>77</v>
      </c>
      <c r="G682" s="112" t="s">
        <v>77</v>
      </c>
      <c r="H682" s="112" t="s">
        <v>77</v>
      </c>
      <c r="I682" s="112" t="s">
        <v>77</v>
      </c>
      <c r="J682" s="112" t="s">
        <v>77</v>
      </c>
      <c r="K682" s="112" t="s">
        <v>77</v>
      </c>
      <c r="L682" s="112" t="s">
        <v>85</v>
      </c>
      <c r="M682" s="112" t="s">
        <v>671</v>
      </c>
      <c r="N682" s="114" t="s">
        <v>623</v>
      </c>
      <c r="O682" s="123">
        <v>80</v>
      </c>
      <c r="P682" s="114" t="s">
        <v>81</v>
      </c>
      <c r="Q682" s="114" t="s">
        <v>112</v>
      </c>
      <c r="R682" s="115" t="str">
        <f t="shared" si="80"/>
        <v>53</v>
      </c>
      <c r="S682" s="112">
        <v>530425</v>
      </c>
      <c r="T682" s="122" t="str">
        <f>VLOOKUP(S682,ITEM!$C$1:$D$156,2,FALSE)</f>
        <v>Instalación, Readecuación, Montaje de Exposiciones, Mantenimiento y Reparación de Espacios y Bienes Culturales</v>
      </c>
      <c r="U682" s="112">
        <v>101</v>
      </c>
      <c r="V682" s="114" t="s">
        <v>82</v>
      </c>
      <c r="W682" s="114" t="s">
        <v>84</v>
      </c>
      <c r="X682" s="114" t="s">
        <v>84</v>
      </c>
      <c r="Y682" s="224" t="e">
        <f>'Matriz POA 2024-TRABAJO'!#REF!</f>
        <v>#REF!</v>
      </c>
      <c r="Z682" s="224" t="e">
        <f>'Matriz POA 2024-TRABAJO'!#REF!</f>
        <v>#REF!</v>
      </c>
      <c r="AA682" s="224" t="e">
        <f>'Matriz POA 2024-TRABAJO'!#REF!</f>
        <v>#REF!</v>
      </c>
      <c r="AB682" s="279">
        <v>0</v>
      </c>
      <c r="AC682" s="279">
        <v>0</v>
      </c>
      <c r="AD682" s="279">
        <v>0</v>
      </c>
      <c r="AE682" s="279">
        <v>0</v>
      </c>
      <c r="AF682" s="279">
        <v>0</v>
      </c>
      <c r="AG682" s="279">
        <v>0</v>
      </c>
      <c r="AH682" s="279">
        <v>0</v>
      </c>
      <c r="AI682" s="279">
        <v>0</v>
      </c>
      <c r="AJ682" s="279">
        <v>0</v>
      </c>
      <c r="AK682" s="279">
        <v>0</v>
      </c>
      <c r="AL682" s="279">
        <v>0</v>
      </c>
      <c r="AM682" s="279">
        <v>0</v>
      </c>
      <c r="AN682" s="224" t="e">
        <f>SUM(#REF!)</f>
        <v>#REF!</v>
      </c>
      <c r="AO682" s="224">
        <f t="shared" si="81"/>
        <v>0</v>
      </c>
      <c r="AP682" s="224" t="e">
        <f t="shared" si="86"/>
        <v>#REF!</v>
      </c>
      <c r="AQ682" s="224"/>
      <c r="AR682" s="224"/>
      <c r="AS682" s="224"/>
      <c r="AT682" s="224" t="str">
        <f>IFERROR(VLOOKUP($A682,'Constancias POA'!$A$2:$DH$9993,17,FALSE),"")</f>
        <v/>
      </c>
      <c r="AU682" s="224" t="str">
        <f t="shared" si="87"/>
        <v/>
      </c>
      <c r="AV682" s="224" t="str">
        <f>IFERROR(VLOOKUP($A682,CP!$A$1:$U$7992,18,FALSE),"")</f>
        <v/>
      </c>
      <c r="AW682" s="224" t="str">
        <f>IFERROR(VLOOKUP($A682,CP!$A$1:$U$7992,19,FALSE),"")</f>
        <v/>
      </c>
      <c r="AX682" s="224" t="str">
        <f>IFERROR(VLOOKUP($A682,CP!$A$1:$U$7992,20,FALSE),"")</f>
        <v/>
      </c>
      <c r="AY682" s="224" t="str">
        <f>IFERROR(VLOOKUP($A682,CP!$A$1:$U$1,21,FALSE),"")</f>
        <v/>
      </c>
      <c r="AZ682" s="224" t="str">
        <f>IFERROR(VLOOKUP(A682,Devengado!$A$1:AJ1,35,FALSE),"")</f>
        <v/>
      </c>
      <c r="BA682" s="224" t="str">
        <f t="shared" si="82"/>
        <v/>
      </c>
      <c r="BB682" s="224" t="str">
        <f>IFERROR(AZ682/#REF!,"")</f>
        <v/>
      </c>
      <c r="BC682" s="224" t="str">
        <f>IFERROR(VLOOKUP($A682,Devengado!$A$1:$AI$1,22,FALSE),"")</f>
        <v/>
      </c>
      <c r="BD682" s="224" t="str">
        <f>IFERROR(VLOOKUP($A682,Devengado!$A$1:$AI$1,23,FALSE),"")</f>
        <v/>
      </c>
      <c r="BE682" s="224" t="str">
        <f>IFERROR(VLOOKUP($A682,Devengado!$A$1:$AI$1,24,FALSE),"")</f>
        <v/>
      </c>
      <c r="BF682" s="224" t="str">
        <f>IFERROR(VLOOKUP($A682,Devengado!$A$1:$AI$1,25,FALSE),"")</f>
        <v/>
      </c>
      <c r="BG682" s="224" t="str">
        <f>IFERROR(VLOOKUP($A682,Devengado!$A$1:$AI$1,26,FALSE),"")</f>
        <v/>
      </c>
      <c r="BH682" s="224" t="str">
        <f>IFERROR(VLOOKUP($A682,Devengado!$A$1:$AI$1,27,FALSE),"")</f>
        <v/>
      </c>
      <c r="BI682" s="224" t="str">
        <f>IFERROR(VLOOKUP($A682,Devengado!$A$1:$AI$1,28,FALSE),"")</f>
        <v/>
      </c>
      <c r="BJ682" s="224" t="str">
        <f>IFERROR(VLOOKUP($A682,Devengado!$A$1:$AI$1,29,FALSE),"")</f>
        <v/>
      </c>
      <c r="BK682" s="224" t="str">
        <f>IFERROR(VLOOKUP($A682,Devengado!$A$1:$AI$1,30,FALSE),"")</f>
        <v/>
      </c>
      <c r="BL682" s="224" t="str">
        <f>IFERROR(VLOOKUP($A682,Devengado!$A$1:$AI$1,31,FALSE),"")</f>
        <v/>
      </c>
      <c r="BM682" s="224" t="str">
        <f>IFERROR(VLOOKUP($A682,Devengado!$A$1:$AI$1,32,FALSE),"")</f>
        <v/>
      </c>
      <c r="BN682" s="224" t="str">
        <f>IFERROR(VLOOKUP($A682,Devengado!$A$1:$AI$1,33,FALSE),"")</f>
        <v/>
      </c>
      <c r="BO682" s="224">
        <f t="shared" si="83"/>
        <v>0</v>
      </c>
      <c r="BP682" s="224" t="str">
        <f t="shared" si="84"/>
        <v/>
      </c>
      <c r="BQ682" s="207"/>
      <c r="BR682" s="207" t="str">
        <f t="shared" si="85"/>
        <v>53</v>
      </c>
    </row>
    <row r="683" spans="1:70" s="225" customFormat="1" ht="25.5" customHeight="1">
      <c r="A683" s="207">
        <v>679</v>
      </c>
      <c r="B683" s="112" t="s">
        <v>621</v>
      </c>
      <c r="C683" s="112" t="s">
        <v>77</v>
      </c>
      <c r="D683" s="112" t="s">
        <v>77</v>
      </c>
      <c r="E683" s="112" t="s">
        <v>76</v>
      </c>
      <c r="F683" s="112" t="s">
        <v>77</v>
      </c>
      <c r="G683" s="112" t="s">
        <v>77</v>
      </c>
      <c r="H683" s="112" t="s">
        <v>77</v>
      </c>
      <c r="I683" s="112" t="s">
        <v>77</v>
      </c>
      <c r="J683" s="112" t="s">
        <v>77</v>
      </c>
      <c r="K683" s="112" t="s">
        <v>77</v>
      </c>
      <c r="L683" s="112" t="s">
        <v>85</v>
      </c>
      <c r="M683" s="112" t="s">
        <v>672</v>
      </c>
      <c r="N683" s="114" t="s">
        <v>623</v>
      </c>
      <c r="O683" s="123">
        <v>80</v>
      </c>
      <c r="P683" s="114" t="s">
        <v>81</v>
      </c>
      <c r="Q683" s="114" t="s">
        <v>112</v>
      </c>
      <c r="R683" s="115" t="str">
        <f t="shared" si="80"/>
        <v>53</v>
      </c>
      <c r="S683" s="112">
        <v>530703</v>
      </c>
      <c r="T683" s="122" t="e">
        <f>VLOOKUP(S683,ITEM!$C$1:$D$156,2,FALSE)</f>
        <v>#N/A</v>
      </c>
      <c r="U683" s="112">
        <v>101</v>
      </c>
      <c r="V683" s="114" t="s">
        <v>82</v>
      </c>
      <c r="W683" s="114" t="s">
        <v>84</v>
      </c>
      <c r="X683" s="114" t="s">
        <v>84</v>
      </c>
      <c r="Y683" s="224" t="e">
        <f>'Matriz POA 2024-TRABAJO'!#REF!</f>
        <v>#REF!</v>
      </c>
      <c r="Z683" s="224" t="e">
        <f>'Matriz POA 2024-TRABAJO'!#REF!</f>
        <v>#REF!</v>
      </c>
      <c r="AA683" s="224" t="e">
        <f>'Matriz POA 2024-TRABAJO'!#REF!</f>
        <v>#REF!</v>
      </c>
      <c r="AB683" s="279">
        <v>0</v>
      </c>
      <c r="AC683" s="279">
        <v>318.18</v>
      </c>
      <c r="AD683" s="279">
        <v>318.18</v>
      </c>
      <c r="AE683" s="279">
        <v>318.18</v>
      </c>
      <c r="AF683" s="279">
        <v>318.18</v>
      </c>
      <c r="AG683" s="279">
        <v>318.18</v>
      </c>
      <c r="AH683" s="279">
        <v>318.18</v>
      </c>
      <c r="AI683" s="279">
        <v>318.18</v>
      </c>
      <c r="AJ683" s="279">
        <v>318.18</v>
      </c>
      <c r="AK683" s="279">
        <v>318.18</v>
      </c>
      <c r="AL683" s="279">
        <v>318.18</v>
      </c>
      <c r="AM683" s="279">
        <v>318.2</v>
      </c>
      <c r="AN683" s="224" t="e">
        <f>SUM(#REF!)</f>
        <v>#REF!</v>
      </c>
      <c r="AO683" s="224">
        <f t="shared" si="81"/>
        <v>3499.9999999999995</v>
      </c>
      <c r="AP683" s="224" t="e">
        <f t="shared" si="86"/>
        <v>#REF!</v>
      </c>
      <c r="AQ683" s="224"/>
      <c r="AR683" s="224"/>
      <c r="AS683" s="224"/>
      <c r="AT683" s="224" t="str">
        <f>IFERROR(VLOOKUP($A683,'Constancias POA'!$A$2:$DH$9993,17,FALSE),"")</f>
        <v/>
      </c>
      <c r="AU683" s="224" t="str">
        <f t="shared" si="87"/>
        <v/>
      </c>
      <c r="AV683" s="224" t="str">
        <f>IFERROR(VLOOKUP($A683,CP!$A$1:$U$7992,18,FALSE),"")</f>
        <v/>
      </c>
      <c r="AW683" s="224" t="str">
        <f>IFERROR(VLOOKUP($A683,CP!$A$1:$U$7992,19,FALSE),"")</f>
        <v/>
      </c>
      <c r="AX683" s="224" t="str">
        <f>IFERROR(VLOOKUP($A683,CP!$A$1:$U$7992,20,FALSE),"")</f>
        <v/>
      </c>
      <c r="AY683" s="224" t="str">
        <f>IFERROR(VLOOKUP($A683,CP!$A$1:$U$1,21,FALSE),"")</f>
        <v/>
      </c>
      <c r="AZ683" s="224" t="str">
        <f>IFERROR(VLOOKUP(A683,Devengado!$A$1:AJ1,35,FALSE),"")</f>
        <v/>
      </c>
      <c r="BA683" s="224" t="str">
        <f t="shared" si="82"/>
        <v/>
      </c>
      <c r="BB683" s="224" t="str">
        <f>IFERROR(AZ683/#REF!,"")</f>
        <v/>
      </c>
      <c r="BC683" s="224" t="str">
        <f>IFERROR(VLOOKUP($A683,Devengado!$A$1:$AI$1,22,FALSE),"")</f>
        <v/>
      </c>
      <c r="BD683" s="224" t="str">
        <f>IFERROR(VLOOKUP($A683,Devengado!$A$1:$AI$1,23,FALSE),"")</f>
        <v/>
      </c>
      <c r="BE683" s="224" t="str">
        <f>IFERROR(VLOOKUP($A683,Devengado!$A$1:$AI$1,24,FALSE),"")</f>
        <v/>
      </c>
      <c r="BF683" s="224" t="str">
        <f>IFERROR(VLOOKUP($A683,Devengado!$A$1:$AI$1,25,FALSE),"")</f>
        <v/>
      </c>
      <c r="BG683" s="224" t="str">
        <f>IFERROR(VLOOKUP($A683,Devengado!$A$1:$AI$1,26,FALSE),"")</f>
        <v/>
      </c>
      <c r="BH683" s="224" t="str">
        <f>IFERROR(VLOOKUP($A683,Devengado!$A$1:$AI$1,27,FALSE),"")</f>
        <v/>
      </c>
      <c r="BI683" s="224" t="str">
        <f>IFERROR(VLOOKUP($A683,Devengado!$A$1:$AI$1,28,FALSE),"")</f>
        <v/>
      </c>
      <c r="BJ683" s="224" t="str">
        <f>IFERROR(VLOOKUP($A683,Devengado!$A$1:$AI$1,29,FALSE),"")</f>
        <v/>
      </c>
      <c r="BK683" s="224" t="str">
        <f>IFERROR(VLOOKUP($A683,Devengado!$A$1:$AI$1,30,FALSE),"")</f>
        <v/>
      </c>
      <c r="BL683" s="224" t="str">
        <f>IFERROR(VLOOKUP($A683,Devengado!$A$1:$AI$1,31,FALSE),"")</f>
        <v/>
      </c>
      <c r="BM683" s="224" t="str">
        <f>IFERROR(VLOOKUP($A683,Devengado!$A$1:$AI$1,32,FALSE),"")</f>
        <v/>
      </c>
      <c r="BN683" s="224" t="str">
        <f>IFERROR(VLOOKUP($A683,Devengado!$A$1:$AI$1,33,FALSE),"")</f>
        <v/>
      </c>
      <c r="BO683" s="224">
        <f t="shared" si="83"/>
        <v>0</v>
      </c>
      <c r="BP683" s="224" t="str">
        <f t="shared" si="84"/>
        <v/>
      </c>
      <c r="BQ683" s="207"/>
      <c r="BR683" s="207" t="str">
        <f t="shared" si="85"/>
        <v>53</v>
      </c>
    </row>
    <row r="684" spans="1:70" s="225" customFormat="1" ht="25.5" customHeight="1">
      <c r="A684" s="207">
        <v>680</v>
      </c>
      <c r="B684" s="112" t="s">
        <v>621</v>
      </c>
      <c r="C684" s="112" t="s">
        <v>77</v>
      </c>
      <c r="D684" s="112" t="s">
        <v>77</v>
      </c>
      <c r="E684" s="112" t="s">
        <v>76</v>
      </c>
      <c r="F684" s="112" t="s">
        <v>77</v>
      </c>
      <c r="G684" s="112" t="s">
        <v>77</v>
      </c>
      <c r="H684" s="112" t="s">
        <v>77</v>
      </c>
      <c r="I684" s="112" t="s">
        <v>77</v>
      </c>
      <c r="J684" s="112" t="s">
        <v>77</v>
      </c>
      <c r="K684" s="112" t="s">
        <v>77</v>
      </c>
      <c r="L684" s="112" t="s">
        <v>85</v>
      </c>
      <c r="M684" s="112" t="s">
        <v>673</v>
      </c>
      <c r="N684" s="114" t="s">
        <v>623</v>
      </c>
      <c r="O684" s="123">
        <v>80</v>
      </c>
      <c r="P684" s="114" t="s">
        <v>81</v>
      </c>
      <c r="Q684" s="114" t="s">
        <v>112</v>
      </c>
      <c r="R684" s="115" t="str">
        <f t="shared" si="80"/>
        <v>53</v>
      </c>
      <c r="S684" s="112">
        <v>530704</v>
      </c>
      <c r="T684" s="122" t="e">
        <f>VLOOKUP(S684,ITEM!$C$1:$D$156,2,FALSE)</f>
        <v>#N/A</v>
      </c>
      <c r="U684" s="112">
        <v>101</v>
      </c>
      <c r="V684" s="114" t="s">
        <v>82</v>
      </c>
      <c r="W684" s="114" t="s">
        <v>84</v>
      </c>
      <c r="X684" s="114" t="s">
        <v>84</v>
      </c>
      <c r="Y684" s="224" t="e">
        <f>'Matriz POA 2024-TRABAJO'!#REF!</f>
        <v>#REF!</v>
      </c>
      <c r="Z684" s="224" t="e">
        <f>'Matriz POA 2024-TRABAJO'!#REF!</f>
        <v>#REF!</v>
      </c>
      <c r="AA684" s="224" t="e">
        <f>'Matriz POA 2024-TRABAJO'!#REF!</f>
        <v>#REF!</v>
      </c>
      <c r="AB684" s="279">
        <v>0</v>
      </c>
      <c r="AC684" s="279">
        <v>0</v>
      </c>
      <c r="AD684" s="279">
        <v>0</v>
      </c>
      <c r="AE684" s="279">
        <v>0</v>
      </c>
      <c r="AF684" s="279">
        <v>0</v>
      </c>
      <c r="AG684" s="279">
        <v>0</v>
      </c>
      <c r="AH684" s="279">
        <v>0</v>
      </c>
      <c r="AI684" s="279">
        <v>0</v>
      </c>
      <c r="AJ684" s="279">
        <v>0</v>
      </c>
      <c r="AK684" s="279">
        <v>0</v>
      </c>
      <c r="AL684" s="279">
        <v>0</v>
      </c>
      <c r="AM684" s="279">
        <v>0</v>
      </c>
      <c r="AN684" s="224" t="e">
        <f>SUM(#REF!)</f>
        <v>#REF!</v>
      </c>
      <c r="AO684" s="224">
        <f t="shared" si="81"/>
        <v>0</v>
      </c>
      <c r="AP684" s="224" t="e">
        <f t="shared" si="86"/>
        <v>#REF!</v>
      </c>
      <c r="AQ684" s="224"/>
      <c r="AR684" s="224"/>
      <c r="AS684" s="224"/>
      <c r="AT684" s="224" t="str">
        <f>IFERROR(VLOOKUP($A684,'Constancias POA'!$A$2:$DH$9993,17,FALSE),"")</f>
        <v/>
      </c>
      <c r="AU684" s="224" t="str">
        <f t="shared" si="87"/>
        <v/>
      </c>
      <c r="AV684" s="224" t="str">
        <f>IFERROR(VLOOKUP($A684,CP!$A$1:$U$7992,18,FALSE),"")</f>
        <v/>
      </c>
      <c r="AW684" s="224" t="str">
        <f>IFERROR(VLOOKUP($A684,CP!$A$1:$U$7992,19,FALSE),"")</f>
        <v/>
      </c>
      <c r="AX684" s="224" t="str">
        <f>IFERROR(VLOOKUP($A684,CP!$A$1:$U$7992,20,FALSE),"")</f>
        <v/>
      </c>
      <c r="AY684" s="224" t="str">
        <f>IFERROR(VLOOKUP($A684,CP!$A$1:$U$1,21,FALSE),"")</f>
        <v/>
      </c>
      <c r="AZ684" s="224" t="str">
        <f>IFERROR(VLOOKUP(A684,Devengado!$A$1:AJ1,35,FALSE),"")</f>
        <v/>
      </c>
      <c r="BA684" s="224" t="str">
        <f t="shared" si="82"/>
        <v/>
      </c>
      <c r="BB684" s="224" t="str">
        <f>IFERROR(AZ684/#REF!,"")</f>
        <v/>
      </c>
      <c r="BC684" s="224" t="str">
        <f>IFERROR(VLOOKUP($A684,Devengado!$A$1:$AI$1,22,FALSE),"")</f>
        <v/>
      </c>
      <c r="BD684" s="224" t="str">
        <f>IFERROR(VLOOKUP($A684,Devengado!$A$1:$AI$1,23,FALSE),"")</f>
        <v/>
      </c>
      <c r="BE684" s="224" t="str">
        <f>IFERROR(VLOOKUP($A684,Devengado!$A$1:$AI$1,24,FALSE),"")</f>
        <v/>
      </c>
      <c r="BF684" s="224" t="str">
        <f>IFERROR(VLOOKUP($A684,Devengado!$A$1:$AI$1,25,FALSE),"")</f>
        <v/>
      </c>
      <c r="BG684" s="224" t="str">
        <f>IFERROR(VLOOKUP($A684,Devengado!$A$1:$AI$1,26,FALSE),"")</f>
        <v/>
      </c>
      <c r="BH684" s="224" t="str">
        <f>IFERROR(VLOOKUP($A684,Devengado!$A$1:$AI$1,27,FALSE),"")</f>
        <v/>
      </c>
      <c r="BI684" s="224" t="str">
        <f>IFERROR(VLOOKUP($A684,Devengado!$A$1:$AI$1,28,FALSE),"")</f>
        <v/>
      </c>
      <c r="BJ684" s="224" t="str">
        <f>IFERROR(VLOOKUP($A684,Devengado!$A$1:$AI$1,29,FALSE),"")</f>
        <v/>
      </c>
      <c r="BK684" s="224" t="str">
        <f>IFERROR(VLOOKUP($A684,Devengado!$A$1:$AI$1,30,FALSE),"")</f>
        <v/>
      </c>
      <c r="BL684" s="224" t="str">
        <f>IFERROR(VLOOKUP($A684,Devengado!$A$1:$AI$1,31,FALSE),"")</f>
        <v/>
      </c>
      <c r="BM684" s="224" t="str">
        <f>IFERROR(VLOOKUP($A684,Devengado!$A$1:$AI$1,32,FALSE),"")</f>
        <v/>
      </c>
      <c r="BN684" s="224" t="str">
        <f>IFERROR(VLOOKUP($A684,Devengado!$A$1:$AI$1,33,FALSE),"")</f>
        <v/>
      </c>
      <c r="BO684" s="224">
        <f t="shared" si="83"/>
        <v>0</v>
      </c>
      <c r="BP684" s="224" t="str">
        <f t="shared" si="84"/>
        <v/>
      </c>
      <c r="BQ684" s="207"/>
      <c r="BR684" s="207" t="str">
        <f t="shared" si="85"/>
        <v>53</v>
      </c>
    </row>
    <row r="685" spans="1:70" s="225" customFormat="1" ht="25.5" customHeight="1">
      <c r="A685" s="207">
        <v>681</v>
      </c>
      <c r="B685" s="112" t="s">
        <v>621</v>
      </c>
      <c r="C685" s="112" t="s">
        <v>77</v>
      </c>
      <c r="D685" s="112" t="s">
        <v>77</v>
      </c>
      <c r="E685" s="112" t="s">
        <v>76</v>
      </c>
      <c r="F685" s="112" t="s">
        <v>77</v>
      </c>
      <c r="G685" s="112" t="s">
        <v>77</v>
      </c>
      <c r="H685" s="112" t="s">
        <v>77</v>
      </c>
      <c r="I685" s="112" t="s">
        <v>77</v>
      </c>
      <c r="J685" s="112" t="s">
        <v>77</v>
      </c>
      <c r="K685" s="112" t="s">
        <v>77</v>
      </c>
      <c r="L685" s="112" t="s">
        <v>85</v>
      </c>
      <c r="M685" s="114" t="s">
        <v>674</v>
      </c>
      <c r="N685" s="114" t="s">
        <v>623</v>
      </c>
      <c r="O685" s="123">
        <v>80</v>
      </c>
      <c r="P685" s="114" t="s">
        <v>81</v>
      </c>
      <c r="Q685" s="114" t="s">
        <v>112</v>
      </c>
      <c r="R685" s="115" t="str">
        <f t="shared" si="80"/>
        <v>53</v>
      </c>
      <c r="S685" s="112">
        <v>530802</v>
      </c>
      <c r="T685" s="122" t="e">
        <f>VLOOKUP(S685,ITEM!$C$1:$D$156,2,FALSE)</f>
        <v>#N/A</v>
      </c>
      <c r="U685" s="112">
        <v>101</v>
      </c>
      <c r="V685" s="114" t="s">
        <v>82</v>
      </c>
      <c r="W685" s="114" t="s">
        <v>84</v>
      </c>
      <c r="X685" s="114" t="s">
        <v>84</v>
      </c>
      <c r="Y685" s="224" t="e">
        <f>'Matriz POA 2024-TRABAJO'!#REF!</f>
        <v>#REF!</v>
      </c>
      <c r="Z685" s="224" t="e">
        <f>'Matriz POA 2024-TRABAJO'!#REF!</f>
        <v>#REF!</v>
      </c>
      <c r="AA685" s="224" t="e">
        <f>'Matriz POA 2024-TRABAJO'!#REF!</f>
        <v>#REF!</v>
      </c>
      <c r="AB685" s="279">
        <v>0</v>
      </c>
      <c r="AC685" s="279">
        <v>0</v>
      </c>
      <c r="AD685" s="279">
        <v>0</v>
      </c>
      <c r="AE685" s="279">
        <v>0</v>
      </c>
      <c r="AF685" s="279">
        <v>0</v>
      </c>
      <c r="AG685" s="279">
        <v>0</v>
      </c>
      <c r="AH685" s="279">
        <v>0</v>
      </c>
      <c r="AI685" s="279">
        <v>0</v>
      </c>
      <c r="AJ685" s="279">
        <v>0</v>
      </c>
      <c r="AK685" s="279">
        <v>0</v>
      </c>
      <c r="AL685" s="279">
        <v>0</v>
      </c>
      <c r="AM685" s="279">
        <v>0</v>
      </c>
      <c r="AN685" s="224" t="e">
        <f>SUM(#REF!)</f>
        <v>#REF!</v>
      </c>
      <c r="AO685" s="224">
        <f t="shared" si="81"/>
        <v>0</v>
      </c>
      <c r="AP685" s="224" t="e">
        <f t="shared" si="86"/>
        <v>#REF!</v>
      </c>
      <c r="AQ685" s="224"/>
      <c r="AR685" s="224"/>
      <c r="AS685" s="224"/>
      <c r="AT685" s="224" t="str">
        <f>IFERROR(VLOOKUP($A685,'Constancias POA'!$A$2:$DH$9993,17,FALSE),"")</f>
        <v/>
      </c>
      <c r="AU685" s="224" t="str">
        <f t="shared" si="87"/>
        <v/>
      </c>
      <c r="AV685" s="224" t="str">
        <f>IFERROR(VLOOKUP($A685,CP!$A$1:$U$7992,18,FALSE),"")</f>
        <v/>
      </c>
      <c r="AW685" s="224" t="str">
        <f>IFERROR(VLOOKUP($A685,CP!$A$1:$U$7992,19,FALSE),"")</f>
        <v/>
      </c>
      <c r="AX685" s="224" t="str">
        <f>IFERROR(VLOOKUP($A685,CP!$A$1:$U$7992,20,FALSE),"")</f>
        <v/>
      </c>
      <c r="AY685" s="224" t="str">
        <f>IFERROR(VLOOKUP($A685,CP!$A$1:$U$1,21,FALSE),"")</f>
        <v/>
      </c>
      <c r="AZ685" s="224" t="str">
        <f>IFERROR(VLOOKUP(A685,Devengado!$A$1:AJ1,35,FALSE),"")</f>
        <v/>
      </c>
      <c r="BA685" s="224" t="str">
        <f t="shared" si="82"/>
        <v/>
      </c>
      <c r="BB685" s="224" t="str">
        <f>IFERROR(AZ685/#REF!,"")</f>
        <v/>
      </c>
      <c r="BC685" s="224" t="str">
        <f>IFERROR(VLOOKUP($A685,Devengado!$A$1:$AI$1,22,FALSE),"")</f>
        <v/>
      </c>
      <c r="BD685" s="224" t="str">
        <f>IFERROR(VLOOKUP($A685,Devengado!$A$1:$AI$1,23,FALSE),"")</f>
        <v/>
      </c>
      <c r="BE685" s="224" t="str">
        <f>IFERROR(VLOOKUP($A685,Devengado!$A$1:$AI$1,24,FALSE),"")</f>
        <v/>
      </c>
      <c r="BF685" s="224" t="str">
        <f>IFERROR(VLOOKUP($A685,Devengado!$A$1:$AI$1,25,FALSE),"")</f>
        <v/>
      </c>
      <c r="BG685" s="224" t="str">
        <f>IFERROR(VLOOKUP($A685,Devengado!$A$1:$AI$1,26,FALSE),"")</f>
        <v/>
      </c>
      <c r="BH685" s="224" t="str">
        <f>IFERROR(VLOOKUP($A685,Devengado!$A$1:$AI$1,27,FALSE),"")</f>
        <v/>
      </c>
      <c r="BI685" s="224" t="str">
        <f>IFERROR(VLOOKUP($A685,Devengado!$A$1:$AI$1,28,FALSE),"")</f>
        <v/>
      </c>
      <c r="BJ685" s="224" t="str">
        <f>IFERROR(VLOOKUP($A685,Devengado!$A$1:$AI$1,29,FALSE),"")</f>
        <v/>
      </c>
      <c r="BK685" s="224" t="str">
        <f>IFERROR(VLOOKUP($A685,Devengado!$A$1:$AI$1,30,FALSE),"")</f>
        <v/>
      </c>
      <c r="BL685" s="224" t="str">
        <f>IFERROR(VLOOKUP($A685,Devengado!$A$1:$AI$1,31,FALSE),"")</f>
        <v/>
      </c>
      <c r="BM685" s="224" t="str">
        <f>IFERROR(VLOOKUP($A685,Devengado!$A$1:$AI$1,32,FALSE),"")</f>
        <v/>
      </c>
      <c r="BN685" s="224" t="str">
        <f>IFERROR(VLOOKUP($A685,Devengado!$A$1:$AI$1,33,FALSE),"")</f>
        <v/>
      </c>
      <c r="BO685" s="224">
        <f t="shared" si="83"/>
        <v>0</v>
      </c>
      <c r="BP685" s="224" t="str">
        <f t="shared" si="84"/>
        <v/>
      </c>
      <c r="BQ685" s="207"/>
      <c r="BR685" s="207" t="str">
        <f t="shared" si="85"/>
        <v>53</v>
      </c>
    </row>
    <row r="686" spans="1:70" s="225" customFormat="1" ht="25.5" customHeight="1">
      <c r="A686" s="207">
        <v>682</v>
      </c>
      <c r="B686" s="112" t="s">
        <v>621</v>
      </c>
      <c r="C686" s="112" t="s">
        <v>77</v>
      </c>
      <c r="D686" s="112" t="s">
        <v>77</v>
      </c>
      <c r="E686" s="112" t="s">
        <v>76</v>
      </c>
      <c r="F686" s="112" t="s">
        <v>77</v>
      </c>
      <c r="G686" s="112" t="s">
        <v>77</v>
      </c>
      <c r="H686" s="112" t="s">
        <v>77</v>
      </c>
      <c r="I686" s="112" t="s">
        <v>77</v>
      </c>
      <c r="J686" s="112" t="s">
        <v>77</v>
      </c>
      <c r="K686" s="112" t="s">
        <v>77</v>
      </c>
      <c r="L686" s="112" t="s">
        <v>85</v>
      </c>
      <c r="M686" s="112" t="s">
        <v>675</v>
      </c>
      <c r="N686" s="114" t="s">
        <v>623</v>
      </c>
      <c r="O686" s="123">
        <v>80</v>
      </c>
      <c r="P686" s="114" t="s">
        <v>81</v>
      </c>
      <c r="Q686" s="114" t="s">
        <v>112</v>
      </c>
      <c r="R686" s="115" t="str">
        <f t="shared" si="80"/>
        <v>53</v>
      </c>
      <c r="S686" s="112">
        <v>530804</v>
      </c>
      <c r="T686" s="122" t="e">
        <f>VLOOKUP(S686,ITEM!$C$1:$D$156,2,FALSE)</f>
        <v>#N/A</v>
      </c>
      <c r="U686" s="112">
        <v>101</v>
      </c>
      <c r="V686" s="114" t="s">
        <v>82</v>
      </c>
      <c r="W686" s="114" t="s">
        <v>84</v>
      </c>
      <c r="X686" s="114" t="s">
        <v>84</v>
      </c>
      <c r="Y686" s="224" t="e">
        <f>'Matriz POA 2024-TRABAJO'!#REF!</f>
        <v>#REF!</v>
      </c>
      <c r="Z686" s="224" t="e">
        <f>'Matriz POA 2024-TRABAJO'!#REF!</f>
        <v>#REF!</v>
      </c>
      <c r="AA686" s="224" t="e">
        <f>'Matriz POA 2024-TRABAJO'!#REF!</f>
        <v>#REF!</v>
      </c>
      <c r="AB686" s="279">
        <v>0</v>
      </c>
      <c r="AC686" s="279">
        <v>0</v>
      </c>
      <c r="AD686" s="279">
        <v>0</v>
      </c>
      <c r="AE686" s="279">
        <v>0</v>
      </c>
      <c r="AF686" s="279">
        <v>0</v>
      </c>
      <c r="AG686" s="279">
        <v>1000</v>
      </c>
      <c r="AH686" s="279">
        <v>0</v>
      </c>
      <c r="AI686" s="279">
        <v>0</v>
      </c>
      <c r="AJ686" s="279">
        <v>0</v>
      </c>
      <c r="AK686" s="279">
        <v>0</v>
      </c>
      <c r="AL686" s="279">
        <v>0</v>
      </c>
      <c r="AM686" s="279">
        <v>0</v>
      </c>
      <c r="AN686" s="224" t="e">
        <f>SUM(#REF!)</f>
        <v>#REF!</v>
      </c>
      <c r="AO686" s="224">
        <f t="shared" si="81"/>
        <v>1000</v>
      </c>
      <c r="AP686" s="224" t="e">
        <f t="shared" si="86"/>
        <v>#REF!</v>
      </c>
      <c r="AQ686" s="224"/>
      <c r="AR686" s="224"/>
      <c r="AS686" s="224"/>
      <c r="AT686" s="224" t="str">
        <f>IFERROR(VLOOKUP($A686,'Constancias POA'!$A$2:$DH$9993,17,FALSE),"")</f>
        <v/>
      </c>
      <c r="AU686" s="224" t="str">
        <f t="shared" si="87"/>
        <v/>
      </c>
      <c r="AV686" s="224" t="str">
        <f>IFERROR(VLOOKUP($A686,CP!$A$1:$U$7992,18,FALSE),"")</f>
        <v/>
      </c>
      <c r="AW686" s="224" t="str">
        <f>IFERROR(VLOOKUP($A686,CP!$A$1:$U$7992,19,FALSE),"")</f>
        <v/>
      </c>
      <c r="AX686" s="224" t="str">
        <f>IFERROR(VLOOKUP($A686,CP!$A$1:$U$7992,20,FALSE),"")</f>
        <v/>
      </c>
      <c r="AY686" s="224" t="str">
        <f>IFERROR(VLOOKUP($A686,CP!$A$1:$U$1,21,FALSE),"")</f>
        <v/>
      </c>
      <c r="AZ686" s="224" t="str">
        <f>IFERROR(VLOOKUP(A686,Devengado!$A$1:AJ1,35,FALSE),"")</f>
        <v/>
      </c>
      <c r="BA686" s="224" t="str">
        <f t="shared" si="82"/>
        <v/>
      </c>
      <c r="BB686" s="224" t="str">
        <f>IFERROR(AZ686/#REF!,"")</f>
        <v/>
      </c>
      <c r="BC686" s="224" t="str">
        <f>IFERROR(VLOOKUP($A686,Devengado!$A$1:$AI$1,22,FALSE),"")</f>
        <v/>
      </c>
      <c r="BD686" s="224" t="str">
        <f>IFERROR(VLOOKUP($A686,Devengado!$A$1:$AI$1,23,FALSE),"")</f>
        <v/>
      </c>
      <c r="BE686" s="224" t="str">
        <f>IFERROR(VLOOKUP($A686,Devengado!$A$1:$AI$1,24,FALSE),"")</f>
        <v/>
      </c>
      <c r="BF686" s="224" t="str">
        <f>IFERROR(VLOOKUP($A686,Devengado!$A$1:$AI$1,25,FALSE),"")</f>
        <v/>
      </c>
      <c r="BG686" s="224" t="str">
        <f>IFERROR(VLOOKUP($A686,Devengado!$A$1:$AI$1,26,FALSE),"")</f>
        <v/>
      </c>
      <c r="BH686" s="224" t="str">
        <f>IFERROR(VLOOKUP($A686,Devengado!$A$1:$AI$1,27,FALSE),"")</f>
        <v/>
      </c>
      <c r="BI686" s="224" t="str">
        <f>IFERROR(VLOOKUP($A686,Devengado!$A$1:$AI$1,28,FALSE),"")</f>
        <v/>
      </c>
      <c r="BJ686" s="224" t="str">
        <f>IFERROR(VLOOKUP($A686,Devengado!$A$1:$AI$1,29,FALSE),"")</f>
        <v/>
      </c>
      <c r="BK686" s="224" t="str">
        <f>IFERROR(VLOOKUP($A686,Devengado!$A$1:$AI$1,30,FALSE),"")</f>
        <v/>
      </c>
      <c r="BL686" s="224" t="str">
        <f>IFERROR(VLOOKUP($A686,Devengado!$A$1:$AI$1,31,FALSE),"")</f>
        <v/>
      </c>
      <c r="BM686" s="224" t="str">
        <f>IFERROR(VLOOKUP($A686,Devengado!$A$1:$AI$1,32,FALSE),"")</f>
        <v/>
      </c>
      <c r="BN686" s="224" t="str">
        <f>IFERROR(VLOOKUP($A686,Devengado!$A$1:$AI$1,33,FALSE),"")</f>
        <v/>
      </c>
      <c r="BO686" s="224">
        <f t="shared" si="83"/>
        <v>0</v>
      </c>
      <c r="BP686" s="224" t="str">
        <f t="shared" si="84"/>
        <v/>
      </c>
      <c r="BQ686" s="207"/>
      <c r="BR686" s="207" t="str">
        <f t="shared" si="85"/>
        <v>53</v>
      </c>
    </row>
    <row r="687" spans="1:70" s="225" customFormat="1" ht="25.5" customHeight="1">
      <c r="A687" s="207">
        <v>683</v>
      </c>
      <c r="B687" s="112" t="s">
        <v>621</v>
      </c>
      <c r="C687" s="112" t="s">
        <v>77</v>
      </c>
      <c r="D687" s="112" t="s">
        <v>77</v>
      </c>
      <c r="E687" s="112" t="s">
        <v>76</v>
      </c>
      <c r="F687" s="112" t="s">
        <v>77</v>
      </c>
      <c r="G687" s="112" t="s">
        <v>77</v>
      </c>
      <c r="H687" s="112" t="s">
        <v>77</v>
      </c>
      <c r="I687" s="112" t="s">
        <v>77</v>
      </c>
      <c r="J687" s="112" t="s">
        <v>77</v>
      </c>
      <c r="K687" s="112" t="s">
        <v>77</v>
      </c>
      <c r="L687" s="112" t="s">
        <v>85</v>
      </c>
      <c r="M687" s="112" t="s">
        <v>676</v>
      </c>
      <c r="N687" s="114" t="s">
        <v>623</v>
      </c>
      <c r="O687" s="123">
        <v>80</v>
      </c>
      <c r="P687" s="114" t="s">
        <v>81</v>
      </c>
      <c r="Q687" s="114" t="s">
        <v>112</v>
      </c>
      <c r="R687" s="115" t="str">
        <f t="shared" si="80"/>
        <v>53</v>
      </c>
      <c r="S687" s="112">
        <v>530805</v>
      </c>
      <c r="T687" s="122" t="e">
        <f>VLOOKUP(S687,ITEM!$C$1:$D$156,2,FALSE)</f>
        <v>#N/A</v>
      </c>
      <c r="U687" s="112">
        <v>101</v>
      </c>
      <c r="V687" s="114" t="s">
        <v>82</v>
      </c>
      <c r="W687" s="114" t="s">
        <v>84</v>
      </c>
      <c r="X687" s="114" t="s">
        <v>84</v>
      </c>
      <c r="Y687" s="224" t="e">
        <f>'Matriz POA 2024-TRABAJO'!#REF!</f>
        <v>#REF!</v>
      </c>
      <c r="Z687" s="224" t="e">
        <f>'Matriz POA 2024-TRABAJO'!#REF!</f>
        <v>#REF!</v>
      </c>
      <c r="AA687" s="224" t="e">
        <f>'Matriz POA 2024-TRABAJO'!#REF!</f>
        <v>#REF!</v>
      </c>
      <c r="AB687" s="279">
        <v>0</v>
      </c>
      <c r="AC687" s="279">
        <v>0</v>
      </c>
      <c r="AD687" s="279">
        <v>0</v>
      </c>
      <c r="AE687" s="279">
        <v>0</v>
      </c>
      <c r="AF687" s="279">
        <v>0</v>
      </c>
      <c r="AG687" s="279">
        <v>500</v>
      </c>
      <c r="AH687" s="279">
        <v>0</v>
      </c>
      <c r="AI687" s="279">
        <v>0</v>
      </c>
      <c r="AJ687" s="279">
        <v>0</v>
      </c>
      <c r="AK687" s="279">
        <v>0</v>
      </c>
      <c r="AL687" s="279">
        <v>0</v>
      </c>
      <c r="AM687" s="279">
        <v>0</v>
      </c>
      <c r="AN687" s="224" t="e">
        <f>SUM(#REF!)</f>
        <v>#REF!</v>
      </c>
      <c r="AO687" s="224">
        <f t="shared" si="81"/>
        <v>500</v>
      </c>
      <c r="AP687" s="224" t="e">
        <f t="shared" si="86"/>
        <v>#REF!</v>
      </c>
      <c r="AQ687" s="224"/>
      <c r="AR687" s="224"/>
      <c r="AS687" s="224"/>
      <c r="AT687" s="224" t="str">
        <f>IFERROR(VLOOKUP($A687,'Constancias POA'!$A$2:$DH$9993,17,FALSE),"")</f>
        <v/>
      </c>
      <c r="AU687" s="224" t="str">
        <f t="shared" si="87"/>
        <v/>
      </c>
      <c r="AV687" s="224" t="str">
        <f>IFERROR(VLOOKUP($A687,CP!$A$1:$U$7992,18,FALSE),"")</f>
        <v/>
      </c>
      <c r="AW687" s="224" t="str">
        <f>IFERROR(VLOOKUP($A687,CP!$A$1:$U$7992,19,FALSE),"")</f>
        <v/>
      </c>
      <c r="AX687" s="224" t="str">
        <f>IFERROR(VLOOKUP($A687,CP!$A$1:$U$7992,20,FALSE),"")</f>
        <v/>
      </c>
      <c r="AY687" s="224" t="str">
        <f>IFERROR(VLOOKUP($A687,CP!$A$1:$U$1,21,FALSE),"")</f>
        <v/>
      </c>
      <c r="AZ687" s="224" t="str">
        <f>IFERROR(VLOOKUP(A687,Devengado!$A$1:AJ1,35,FALSE),"")</f>
        <v/>
      </c>
      <c r="BA687" s="224" t="str">
        <f t="shared" si="82"/>
        <v/>
      </c>
      <c r="BB687" s="224" t="str">
        <f>IFERROR(AZ687/#REF!,"")</f>
        <v/>
      </c>
      <c r="BC687" s="224" t="str">
        <f>IFERROR(VLOOKUP($A687,Devengado!$A$1:$AI$1,22,FALSE),"")</f>
        <v/>
      </c>
      <c r="BD687" s="224" t="str">
        <f>IFERROR(VLOOKUP($A687,Devengado!$A$1:$AI$1,23,FALSE),"")</f>
        <v/>
      </c>
      <c r="BE687" s="224" t="str">
        <f>IFERROR(VLOOKUP($A687,Devengado!$A$1:$AI$1,24,FALSE),"")</f>
        <v/>
      </c>
      <c r="BF687" s="224" t="str">
        <f>IFERROR(VLOOKUP($A687,Devengado!$A$1:$AI$1,25,FALSE),"")</f>
        <v/>
      </c>
      <c r="BG687" s="224" t="str">
        <f>IFERROR(VLOOKUP($A687,Devengado!$A$1:$AI$1,26,FALSE),"")</f>
        <v/>
      </c>
      <c r="BH687" s="224" t="str">
        <f>IFERROR(VLOOKUP($A687,Devengado!$A$1:$AI$1,27,FALSE),"")</f>
        <v/>
      </c>
      <c r="BI687" s="224" t="str">
        <f>IFERROR(VLOOKUP($A687,Devengado!$A$1:$AI$1,28,FALSE),"")</f>
        <v/>
      </c>
      <c r="BJ687" s="224" t="str">
        <f>IFERROR(VLOOKUP($A687,Devengado!$A$1:$AI$1,29,FALSE),"")</f>
        <v/>
      </c>
      <c r="BK687" s="224" t="str">
        <f>IFERROR(VLOOKUP($A687,Devengado!$A$1:$AI$1,30,FALSE),"")</f>
        <v/>
      </c>
      <c r="BL687" s="224" t="str">
        <f>IFERROR(VLOOKUP($A687,Devengado!$A$1:$AI$1,31,FALSE),"")</f>
        <v/>
      </c>
      <c r="BM687" s="224" t="str">
        <f>IFERROR(VLOOKUP($A687,Devengado!$A$1:$AI$1,32,FALSE),"")</f>
        <v/>
      </c>
      <c r="BN687" s="224" t="str">
        <f>IFERROR(VLOOKUP($A687,Devengado!$A$1:$AI$1,33,FALSE),"")</f>
        <v/>
      </c>
      <c r="BO687" s="224">
        <f t="shared" si="83"/>
        <v>0</v>
      </c>
      <c r="BP687" s="224" t="str">
        <f t="shared" si="84"/>
        <v/>
      </c>
      <c r="BQ687" s="207"/>
      <c r="BR687" s="207" t="str">
        <f t="shared" si="85"/>
        <v>53</v>
      </c>
    </row>
    <row r="688" spans="1:70" s="225" customFormat="1" ht="25.5" customHeight="1">
      <c r="A688" s="207">
        <v>684</v>
      </c>
      <c r="B688" s="112" t="s">
        <v>621</v>
      </c>
      <c r="C688" s="112" t="s">
        <v>77</v>
      </c>
      <c r="D688" s="112" t="s">
        <v>77</v>
      </c>
      <c r="E688" s="112" t="s">
        <v>76</v>
      </c>
      <c r="F688" s="112" t="s">
        <v>77</v>
      </c>
      <c r="G688" s="112" t="s">
        <v>77</v>
      </c>
      <c r="H688" s="112" t="s">
        <v>77</v>
      </c>
      <c r="I688" s="112" t="s">
        <v>77</v>
      </c>
      <c r="J688" s="112" t="s">
        <v>77</v>
      </c>
      <c r="K688" s="112" t="s">
        <v>77</v>
      </c>
      <c r="L688" s="112" t="s">
        <v>85</v>
      </c>
      <c r="M688" s="112" t="s">
        <v>677</v>
      </c>
      <c r="N688" s="114" t="s">
        <v>623</v>
      </c>
      <c r="O688" s="123">
        <v>80</v>
      </c>
      <c r="P688" s="114" t="s">
        <v>81</v>
      </c>
      <c r="Q688" s="114" t="s">
        <v>112</v>
      </c>
      <c r="R688" s="115" t="str">
        <f t="shared" si="80"/>
        <v>53</v>
      </c>
      <c r="S688" s="112">
        <v>530811</v>
      </c>
      <c r="T688" s="122" t="e">
        <f>VLOOKUP(S688,ITEM!$C$1:$D$156,2,FALSE)</f>
        <v>#N/A</v>
      </c>
      <c r="U688" s="112">
        <v>101</v>
      </c>
      <c r="V688" s="114" t="s">
        <v>82</v>
      </c>
      <c r="W688" s="114" t="s">
        <v>84</v>
      </c>
      <c r="X688" s="114" t="s">
        <v>84</v>
      </c>
      <c r="Y688" s="224" t="e">
        <f>'Matriz POA 2024-TRABAJO'!#REF!</f>
        <v>#REF!</v>
      </c>
      <c r="Z688" s="224" t="e">
        <f>'Matriz POA 2024-TRABAJO'!#REF!</f>
        <v>#REF!</v>
      </c>
      <c r="AA688" s="224" t="e">
        <f>'Matriz POA 2024-TRABAJO'!#REF!</f>
        <v>#REF!</v>
      </c>
      <c r="AB688" s="279">
        <v>0</v>
      </c>
      <c r="AC688" s="279">
        <v>0</v>
      </c>
      <c r="AD688" s="279">
        <v>0</v>
      </c>
      <c r="AE688" s="279">
        <v>1840</v>
      </c>
      <c r="AF688" s="279">
        <v>0</v>
      </c>
      <c r="AG688" s="279">
        <v>0</v>
      </c>
      <c r="AH688" s="279">
        <v>0</v>
      </c>
      <c r="AI688" s="279">
        <v>0</v>
      </c>
      <c r="AJ688" s="279">
        <v>0</v>
      </c>
      <c r="AK688" s="279">
        <v>0</v>
      </c>
      <c r="AL688" s="279">
        <v>0</v>
      </c>
      <c r="AM688" s="279">
        <v>0</v>
      </c>
      <c r="AN688" s="224" t="e">
        <f>SUM(#REF!)</f>
        <v>#REF!</v>
      </c>
      <c r="AO688" s="224">
        <f t="shared" si="81"/>
        <v>1840</v>
      </c>
      <c r="AP688" s="224" t="e">
        <f t="shared" si="86"/>
        <v>#REF!</v>
      </c>
      <c r="AQ688" s="224"/>
      <c r="AR688" s="224"/>
      <c r="AS688" s="224"/>
      <c r="AT688" s="224" t="str">
        <f>IFERROR(VLOOKUP($A688,'Constancias POA'!$A$2:$DH$9993,17,FALSE),"")</f>
        <v/>
      </c>
      <c r="AU688" s="224" t="str">
        <f t="shared" si="87"/>
        <v/>
      </c>
      <c r="AV688" s="224" t="str">
        <f>IFERROR(VLOOKUP($A688,CP!$A$1:$U$7992,18,FALSE),"")</f>
        <v/>
      </c>
      <c r="AW688" s="224" t="str">
        <f>IFERROR(VLOOKUP($A688,CP!$A$1:$U$7992,19,FALSE),"")</f>
        <v/>
      </c>
      <c r="AX688" s="224" t="str">
        <f>IFERROR(VLOOKUP($A688,CP!$A$1:$U$7992,20,FALSE),"")</f>
        <v/>
      </c>
      <c r="AY688" s="224" t="str">
        <f>IFERROR(VLOOKUP($A688,CP!$A$1:$U$1,21,FALSE),"")</f>
        <v/>
      </c>
      <c r="AZ688" s="224" t="str">
        <f>IFERROR(VLOOKUP(A688,Devengado!$A$1:AJ1,35,FALSE),"")</f>
        <v/>
      </c>
      <c r="BA688" s="224" t="str">
        <f t="shared" si="82"/>
        <v/>
      </c>
      <c r="BB688" s="224" t="str">
        <f>IFERROR(AZ688/#REF!,"")</f>
        <v/>
      </c>
      <c r="BC688" s="224" t="str">
        <f>IFERROR(VLOOKUP($A688,Devengado!$A$1:$AI$1,22,FALSE),"")</f>
        <v/>
      </c>
      <c r="BD688" s="224" t="str">
        <f>IFERROR(VLOOKUP($A688,Devengado!$A$1:$AI$1,23,FALSE),"")</f>
        <v/>
      </c>
      <c r="BE688" s="224" t="str">
        <f>IFERROR(VLOOKUP($A688,Devengado!$A$1:$AI$1,24,FALSE),"")</f>
        <v/>
      </c>
      <c r="BF688" s="224" t="str">
        <f>IFERROR(VLOOKUP($A688,Devengado!$A$1:$AI$1,25,FALSE),"")</f>
        <v/>
      </c>
      <c r="BG688" s="224" t="str">
        <f>IFERROR(VLOOKUP($A688,Devengado!$A$1:$AI$1,26,FALSE),"")</f>
        <v/>
      </c>
      <c r="BH688" s="224" t="str">
        <f>IFERROR(VLOOKUP($A688,Devengado!$A$1:$AI$1,27,FALSE),"")</f>
        <v/>
      </c>
      <c r="BI688" s="224" t="str">
        <f>IFERROR(VLOOKUP($A688,Devengado!$A$1:$AI$1,28,FALSE),"")</f>
        <v/>
      </c>
      <c r="BJ688" s="224" t="str">
        <f>IFERROR(VLOOKUP($A688,Devengado!$A$1:$AI$1,29,FALSE),"")</f>
        <v/>
      </c>
      <c r="BK688" s="224" t="str">
        <f>IFERROR(VLOOKUP($A688,Devengado!$A$1:$AI$1,30,FALSE),"")</f>
        <v/>
      </c>
      <c r="BL688" s="224" t="str">
        <f>IFERROR(VLOOKUP($A688,Devengado!$A$1:$AI$1,31,FALSE),"")</f>
        <v/>
      </c>
      <c r="BM688" s="224" t="str">
        <f>IFERROR(VLOOKUP($A688,Devengado!$A$1:$AI$1,32,FALSE),"")</f>
        <v/>
      </c>
      <c r="BN688" s="224" t="str">
        <f>IFERROR(VLOOKUP($A688,Devengado!$A$1:$AI$1,33,FALSE),"")</f>
        <v/>
      </c>
      <c r="BO688" s="224">
        <f t="shared" si="83"/>
        <v>0</v>
      </c>
      <c r="BP688" s="224" t="str">
        <f t="shared" si="84"/>
        <v/>
      </c>
      <c r="BQ688" s="207"/>
      <c r="BR688" s="207" t="str">
        <f t="shared" si="85"/>
        <v>53</v>
      </c>
    </row>
    <row r="689" spans="1:70" s="225" customFormat="1" ht="25.5" customHeight="1">
      <c r="A689" s="207">
        <v>685</v>
      </c>
      <c r="B689" s="112" t="s">
        <v>621</v>
      </c>
      <c r="C689" s="112" t="s">
        <v>77</v>
      </c>
      <c r="D689" s="112" t="s">
        <v>77</v>
      </c>
      <c r="E689" s="112" t="s">
        <v>76</v>
      </c>
      <c r="F689" s="112" t="s">
        <v>77</v>
      </c>
      <c r="G689" s="112" t="s">
        <v>77</v>
      </c>
      <c r="H689" s="112" t="s">
        <v>77</v>
      </c>
      <c r="I689" s="112" t="s">
        <v>77</v>
      </c>
      <c r="J689" s="112" t="s">
        <v>77</v>
      </c>
      <c r="K689" s="112" t="s">
        <v>77</v>
      </c>
      <c r="L689" s="112" t="s">
        <v>85</v>
      </c>
      <c r="M689" s="112" t="s">
        <v>678</v>
      </c>
      <c r="N689" s="114" t="s">
        <v>623</v>
      </c>
      <c r="O689" s="123">
        <v>80</v>
      </c>
      <c r="P689" s="114" t="s">
        <v>81</v>
      </c>
      <c r="Q689" s="114" t="s">
        <v>112</v>
      </c>
      <c r="R689" s="115" t="str">
        <f t="shared" si="80"/>
        <v>53</v>
      </c>
      <c r="S689" s="112">
        <v>530811</v>
      </c>
      <c r="T689" s="122" t="e">
        <f>VLOOKUP(S689,ITEM!$C$1:$D$156,2,FALSE)</f>
        <v>#N/A</v>
      </c>
      <c r="U689" s="112">
        <v>101</v>
      </c>
      <c r="V689" s="114" t="s">
        <v>82</v>
      </c>
      <c r="W689" s="114" t="s">
        <v>84</v>
      </c>
      <c r="X689" s="114" t="s">
        <v>84</v>
      </c>
      <c r="Y689" s="224" t="e">
        <f>'Matriz POA 2024-TRABAJO'!#REF!</f>
        <v>#REF!</v>
      </c>
      <c r="Z689" s="224" t="e">
        <f>'Matriz POA 2024-TRABAJO'!#REF!</f>
        <v>#REF!</v>
      </c>
      <c r="AA689" s="224" t="e">
        <f>'Matriz POA 2024-TRABAJO'!#REF!</f>
        <v>#REF!</v>
      </c>
      <c r="AB689" s="279">
        <v>0</v>
      </c>
      <c r="AC689" s="279">
        <v>0</v>
      </c>
      <c r="AD689" s="279">
        <v>0</v>
      </c>
      <c r="AE689" s="279">
        <v>0</v>
      </c>
      <c r="AF689" s="279">
        <v>0</v>
      </c>
      <c r="AG689" s="279">
        <v>0</v>
      </c>
      <c r="AH689" s="279">
        <v>0</v>
      </c>
      <c r="AI689" s="279">
        <v>0</v>
      </c>
      <c r="AJ689" s="279">
        <v>0</v>
      </c>
      <c r="AK689" s="279">
        <v>0</v>
      </c>
      <c r="AL689" s="279">
        <v>0</v>
      </c>
      <c r="AM689" s="279">
        <v>0</v>
      </c>
      <c r="AN689" s="224" t="e">
        <f>SUM(#REF!)</f>
        <v>#REF!</v>
      </c>
      <c r="AO689" s="224">
        <f t="shared" si="81"/>
        <v>0</v>
      </c>
      <c r="AP689" s="224" t="e">
        <f t="shared" si="86"/>
        <v>#REF!</v>
      </c>
      <c r="AQ689" s="224"/>
      <c r="AR689" s="224"/>
      <c r="AS689" s="224"/>
      <c r="AT689" s="224" t="str">
        <f>IFERROR(VLOOKUP($A689,'Constancias POA'!$A$2:$DH$9993,17,FALSE),"")</f>
        <v/>
      </c>
      <c r="AU689" s="224" t="str">
        <f t="shared" si="87"/>
        <v/>
      </c>
      <c r="AV689" s="224" t="str">
        <f>IFERROR(VLOOKUP($A689,CP!$A$1:$U$7992,18,FALSE),"")</f>
        <v/>
      </c>
      <c r="AW689" s="224" t="str">
        <f>IFERROR(VLOOKUP($A689,CP!$A$1:$U$7992,19,FALSE),"")</f>
        <v/>
      </c>
      <c r="AX689" s="224" t="str">
        <f>IFERROR(VLOOKUP($A689,CP!$A$1:$U$7992,20,FALSE),"")</f>
        <v/>
      </c>
      <c r="AY689" s="224" t="str">
        <f>IFERROR(VLOOKUP($A689,CP!$A$1:$U$1,21,FALSE),"")</f>
        <v/>
      </c>
      <c r="AZ689" s="224" t="str">
        <f>IFERROR(VLOOKUP(A689,Devengado!$A$1:AJ1,35,FALSE),"")</f>
        <v/>
      </c>
      <c r="BA689" s="224" t="str">
        <f t="shared" si="82"/>
        <v/>
      </c>
      <c r="BB689" s="224" t="str">
        <f>IFERROR(AZ689/#REF!,"")</f>
        <v/>
      </c>
      <c r="BC689" s="224" t="str">
        <f>IFERROR(VLOOKUP($A689,Devengado!$A$1:$AI$1,22,FALSE),"")</f>
        <v/>
      </c>
      <c r="BD689" s="224" t="str">
        <f>IFERROR(VLOOKUP($A689,Devengado!$A$1:$AI$1,23,FALSE),"")</f>
        <v/>
      </c>
      <c r="BE689" s="224" t="str">
        <f>IFERROR(VLOOKUP($A689,Devengado!$A$1:$AI$1,24,FALSE),"")</f>
        <v/>
      </c>
      <c r="BF689" s="224" t="str">
        <f>IFERROR(VLOOKUP($A689,Devengado!$A$1:$AI$1,25,FALSE),"")</f>
        <v/>
      </c>
      <c r="BG689" s="224" t="str">
        <f>IFERROR(VLOOKUP($A689,Devengado!$A$1:$AI$1,26,FALSE),"")</f>
        <v/>
      </c>
      <c r="BH689" s="224" t="str">
        <f>IFERROR(VLOOKUP($A689,Devengado!$A$1:$AI$1,27,FALSE),"")</f>
        <v/>
      </c>
      <c r="BI689" s="224" t="str">
        <f>IFERROR(VLOOKUP($A689,Devengado!$A$1:$AI$1,28,FALSE),"")</f>
        <v/>
      </c>
      <c r="BJ689" s="224" t="str">
        <f>IFERROR(VLOOKUP($A689,Devengado!$A$1:$AI$1,29,FALSE),"")</f>
        <v/>
      </c>
      <c r="BK689" s="224" t="str">
        <f>IFERROR(VLOOKUP($A689,Devengado!$A$1:$AI$1,30,FALSE),"")</f>
        <v/>
      </c>
      <c r="BL689" s="224" t="str">
        <f>IFERROR(VLOOKUP($A689,Devengado!$A$1:$AI$1,31,FALSE),"")</f>
        <v/>
      </c>
      <c r="BM689" s="224" t="str">
        <f>IFERROR(VLOOKUP($A689,Devengado!$A$1:$AI$1,32,FALSE),"")</f>
        <v/>
      </c>
      <c r="BN689" s="224" t="str">
        <f>IFERROR(VLOOKUP($A689,Devengado!$A$1:$AI$1,33,FALSE),"")</f>
        <v/>
      </c>
      <c r="BO689" s="224">
        <f t="shared" si="83"/>
        <v>0</v>
      </c>
      <c r="BP689" s="224" t="str">
        <f t="shared" si="84"/>
        <v/>
      </c>
      <c r="BQ689" s="207"/>
      <c r="BR689" s="207" t="str">
        <f t="shared" si="85"/>
        <v>53</v>
      </c>
    </row>
    <row r="690" spans="1:70" s="225" customFormat="1" ht="25.5" customHeight="1">
      <c r="A690" s="207">
        <v>686</v>
      </c>
      <c r="B690" s="112" t="s">
        <v>621</v>
      </c>
      <c r="C690" s="112" t="s">
        <v>77</v>
      </c>
      <c r="D690" s="112" t="s">
        <v>77</v>
      </c>
      <c r="E690" s="112" t="s">
        <v>76</v>
      </c>
      <c r="F690" s="112" t="s">
        <v>77</v>
      </c>
      <c r="G690" s="112" t="s">
        <v>77</v>
      </c>
      <c r="H690" s="112" t="s">
        <v>77</v>
      </c>
      <c r="I690" s="112" t="s">
        <v>77</v>
      </c>
      <c r="J690" s="112" t="s">
        <v>77</v>
      </c>
      <c r="K690" s="112" t="s">
        <v>77</v>
      </c>
      <c r="L690" s="112" t="s">
        <v>85</v>
      </c>
      <c r="M690" s="112" t="s">
        <v>679</v>
      </c>
      <c r="N690" s="114" t="s">
        <v>623</v>
      </c>
      <c r="O690" s="123">
        <v>80</v>
      </c>
      <c r="P690" s="114" t="s">
        <v>81</v>
      </c>
      <c r="Q690" s="114" t="s">
        <v>112</v>
      </c>
      <c r="R690" s="115" t="str">
        <f t="shared" si="80"/>
        <v>53</v>
      </c>
      <c r="S690" s="112">
        <v>530804</v>
      </c>
      <c r="T690" s="122" t="e">
        <f>VLOOKUP(S690,ITEM!$C$1:$D$156,2,FALSE)</f>
        <v>#N/A</v>
      </c>
      <c r="U690" s="112">
        <v>101</v>
      </c>
      <c r="V690" s="114" t="s">
        <v>82</v>
      </c>
      <c r="W690" s="114" t="s">
        <v>84</v>
      </c>
      <c r="X690" s="114" t="s">
        <v>84</v>
      </c>
      <c r="Y690" s="224" t="e">
        <f>'Matriz POA 2024-TRABAJO'!#REF!</f>
        <v>#REF!</v>
      </c>
      <c r="Z690" s="224" t="e">
        <f>'Matriz POA 2024-TRABAJO'!#REF!</f>
        <v>#REF!</v>
      </c>
      <c r="AA690" s="224" t="e">
        <f>'Matriz POA 2024-TRABAJO'!#REF!</f>
        <v>#REF!</v>
      </c>
      <c r="AB690" s="279">
        <v>0</v>
      </c>
      <c r="AC690" s="279">
        <v>0</v>
      </c>
      <c r="AD690" s="279">
        <v>0</v>
      </c>
      <c r="AE690" s="279">
        <v>1500</v>
      </c>
      <c r="AF690" s="279">
        <v>0</v>
      </c>
      <c r="AG690" s="279">
        <v>0</v>
      </c>
      <c r="AH690" s="279">
        <v>0</v>
      </c>
      <c r="AI690" s="279">
        <v>0</v>
      </c>
      <c r="AJ690" s="279">
        <v>0</v>
      </c>
      <c r="AK690" s="279">
        <v>0</v>
      </c>
      <c r="AL690" s="279">
        <v>0</v>
      </c>
      <c r="AM690" s="279">
        <v>0</v>
      </c>
      <c r="AN690" s="224" t="e">
        <f>SUM(#REF!)</f>
        <v>#REF!</v>
      </c>
      <c r="AO690" s="224">
        <f t="shared" si="81"/>
        <v>1500</v>
      </c>
      <c r="AP690" s="224" t="e">
        <f t="shared" si="86"/>
        <v>#REF!</v>
      </c>
      <c r="AQ690" s="224"/>
      <c r="AR690" s="224"/>
      <c r="AS690" s="224"/>
      <c r="AT690" s="224" t="str">
        <f>IFERROR(VLOOKUP($A690,'Constancias POA'!$A$2:$DH$9993,17,FALSE),"")</f>
        <v/>
      </c>
      <c r="AU690" s="224" t="str">
        <f t="shared" si="87"/>
        <v/>
      </c>
      <c r="AV690" s="224" t="str">
        <f>IFERROR(VLOOKUP($A690,CP!$A$1:$U$7992,18,FALSE),"")</f>
        <v/>
      </c>
      <c r="AW690" s="224" t="str">
        <f>IFERROR(VLOOKUP($A690,CP!$A$1:$U$7992,19,FALSE),"")</f>
        <v/>
      </c>
      <c r="AX690" s="224" t="str">
        <f>IFERROR(VLOOKUP($A690,CP!$A$1:$U$7992,20,FALSE),"")</f>
        <v/>
      </c>
      <c r="AY690" s="224" t="str">
        <f>IFERROR(VLOOKUP($A690,CP!$A$1:$U$1,21,FALSE),"")</f>
        <v/>
      </c>
      <c r="AZ690" s="224" t="str">
        <f>IFERROR(VLOOKUP(A690,Devengado!$A$1:AJ1,35,FALSE),"")</f>
        <v/>
      </c>
      <c r="BA690" s="224" t="str">
        <f t="shared" si="82"/>
        <v/>
      </c>
      <c r="BB690" s="224" t="str">
        <f>IFERROR(AZ690/#REF!,"")</f>
        <v/>
      </c>
      <c r="BC690" s="224" t="str">
        <f>IFERROR(VLOOKUP($A690,Devengado!$A$1:$AI$1,22,FALSE),"")</f>
        <v/>
      </c>
      <c r="BD690" s="224" t="str">
        <f>IFERROR(VLOOKUP($A690,Devengado!$A$1:$AI$1,23,FALSE),"")</f>
        <v/>
      </c>
      <c r="BE690" s="224" t="str">
        <f>IFERROR(VLOOKUP($A690,Devengado!$A$1:$AI$1,24,FALSE),"")</f>
        <v/>
      </c>
      <c r="BF690" s="224" t="str">
        <f>IFERROR(VLOOKUP($A690,Devengado!$A$1:$AI$1,25,FALSE),"")</f>
        <v/>
      </c>
      <c r="BG690" s="224" t="str">
        <f>IFERROR(VLOOKUP($A690,Devengado!$A$1:$AI$1,26,FALSE),"")</f>
        <v/>
      </c>
      <c r="BH690" s="224" t="str">
        <f>IFERROR(VLOOKUP($A690,Devengado!$A$1:$AI$1,27,FALSE),"")</f>
        <v/>
      </c>
      <c r="BI690" s="224" t="str">
        <f>IFERROR(VLOOKUP($A690,Devengado!$A$1:$AI$1,28,FALSE),"")</f>
        <v/>
      </c>
      <c r="BJ690" s="224" t="str">
        <f>IFERROR(VLOOKUP($A690,Devengado!$A$1:$AI$1,29,FALSE),"")</f>
        <v/>
      </c>
      <c r="BK690" s="224" t="str">
        <f>IFERROR(VLOOKUP($A690,Devengado!$A$1:$AI$1,30,FALSE),"")</f>
        <v/>
      </c>
      <c r="BL690" s="224" t="str">
        <f>IFERROR(VLOOKUP($A690,Devengado!$A$1:$AI$1,31,FALSE),"")</f>
        <v/>
      </c>
      <c r="BM690" s="224" t="str">
        <f>IFERROR(VLOOKUP($A690,Devengado!$A$1:$AI$1,32,FALSE),"")</f>
        <v/>
      </c>
      <c r="BN690" s="224" t="str">
        <f>IFERROR(VLOOKUP($A690,Devengado!$A$1:$AI$1,33,FALSE),"")</f>
        <v/>
      </c>
      <c r="BO690" s="224">
        <f t="shared" si="83"/>
        <v>0</v>
      </c>
      <c r="BP690" s="224" t="str">
        <f t="shared" si="84"/>
        <v/>
      </c>
      <c r="BQ690" s="207"/>
      <c r="BR690" s="207" t="str">
        <f t="shared" si="85"/>
        <v>53</v>
      </c>
    </row>
    <row r="691" spans="1:70" s="225" customFormat="1" ht="25.5" customHeight="1">
      <c r="A691" s="207">
        <v>687</v>
      </c>
      <c r="B691" s="112" t="s">
        <v>621</v>
      </c>
      <c r="C691" s="112" t="s">
        <v>77</v>
      </c>
      <c r="D691" s="112" t="s">
        <v>77</v>
      </c>
      <c r="E691" s="112" t="s">
        <v>76</v>
      </c>
      <c r="F691" s="112" t="s">
        <v>77</v>
      </c>
      <c r="G691" s="112" t="s">
        <v>77</v>
      </c>
      <c r="H691" s="112" t="s">
        <v>77</v>
      </c>
      <c r="I691" s="112" t="s">
        <v>77</v>
      </c>
      <c r="J691" s="112" t="s">
        <v>77</v>
      </c>
      <c r="K691" s="112" t="s">
        <v>77</v>
      </c>
      <c r="L691" s="112" t="s">
        <v>85</v>
      </c>
      <c r="M691" s="112" t="s">
        <v>680</v>
      </c>
      <c r="N691" s="114" t="s">
        <v>623</v>
      </c>
      <c r="O691" s="123">
        <v>80</v>
      </c>
      <c r="P691" s="114" t="s">
        <v>81</v>
      </c>
      <c r="Q691" s="114" t="s">
        <v>112</v>
      </c>
      <c r="R691" s="115" t="str">
        <f t="shared" si="80"/>
        <v>53</v>
      </c>
      <c r="S691" s="112">
        <v>530813</v>
      </c>
      <c r="T691" s="122" t="e">
        <f>VLOOKUP(S691,ITEM!$C$1:$D$156,2,FALSE)</f>
        <v>#N/A</v>
      </c>
      <c r="U691" s="112">
        <v>101</v>
      </c>
      <c r="V691" s="114" t="s">
        <v>82</v>
      </c>
      <c r="W691" s="114" t="s">
        <v>84</v>
      </c>
      <c r="X691" s="114" t="s">
        <v>84</v>
      </c>
      <c r="Y691" s="224" t="e">
        <f>'Matriz POA 2024-TRABAJO'!#REF!</f>
        <v>#REF!</v>
      </c>
      <c r="Z691" s="224" t="e">
        <f>'Matriz POA 2024-TRABAJO'!#REF!</f>
        <v>#REF!</v>
      </c>
      <c r="AA691" s="224" t="e">
        <f>'Matriz POA 2024-TRABAJO'!#REF!</f>
        <v>#REF!</v>
      </c>
      <c r="AB691" s="279">
        <v>0</v>
      </c>
      <c r="AC691" s="279">
        <v>0</v>
      </c>
      <c r="AD691" s="279">
        <v>0</v>
      </c>
      <c r="AE691" s="279">
        <v>291.81</v>
      </c>
      <c r="AF691" s="279">
        <v>0</v>
      </c>
      <c r="AG691" s="279">
        <v>0</v>
      </c>
      <c r="AH691" s="279">
        <v>0</v>
      </c>
      <c r="AI691" s="279">
        <v>0</v>
      </c>
      <c r="AJ691" s="279">
        <v>0</v>
      </c>
      <c r="AK691" s="279">
        <v>0</v>
      </c>
      <c r="AL691" s="279">
        <v>0</v>
      </c>
      <c r="AM691" s="279">
        <v>0</v>
      </c>
      <c r="AN691" s="224" t="e">
        <f>SUM(#REF!)</f>
        <v>#REF!</v>
      </c>
      <c r="AO691" s="224">
        <f t="shared" si="81"/>
        <v>291.81</v>
      </c>
      <c r="AP691" s="224" t="e">
        <f t="shared" si="86"/>
        <v>#REF!</v>
      </c>
      <c r="AQ691" s="224"/>
      <c r="AR691" s="224"/>
      <c r="AS691" s="224"/>
      <c r="AT691" s="224" t="str">
        <f>IFERROR(VLOOKUP($A691,'Constancias POA'!$A$2:$DH$9993,17,FALSE),"")</f>
        <v/>
      </c>
      <c r="AU691" s="224" t="str">
        <f t="shared" si="87"/>
        <v/>
      </c>
      <c r="AV691" s="224" t="str">
        <f>IFERROR(VLOOKUP($A691,CP!$A$1:$U$7992,18,FALSE),"")</f>
        <v/>
      </c>
      <c r="AW691" s="224" t="str">
        <f>IFERROR(VLOOKUP($A691,CP!$A$1:$U$7992,19,FALSE),"")</f>
        <v/>
      </c>
      <c r="AX691" s="224" t="str">
        <f>IFERROR(VLOOKUP($A691,CP!$A$1:$U$7992,20,FALSE),"")</f>
        <v/>
      </c>
      <c r="AY691" s="224" t="str">
        <f>IFERROR(VLOOKUP($A691,CP!$A$1:$U$1,21,FALSE),"")</f>
        <v/>
      </c>
      <c r="AZ691" s="224" t="str">
        <f>IFERROR(VLOOKUP(A691,Devengado!$A$1:AJ1,35,FALSE),"")</f>
        <v/>
      </c>
      <c r="BA691" s="224" t="str">
        <f t="shared" si="82"/>
        <v/>
      </c>
      <c r="BB691" s="224" t="str">
        <f>IFERROR(AZ691/#REF!,"")</f>
        <v/>
      </c>
      <c r="BC691" s="224" t="str">
        <f>IFERROR(VLOOKUP($A691,Devengado!$A$1:$AI$1,22,FALSE),"")</f>
        <v/>
      </c>
      <c r="BD691" s="224" t="str">
        <f>IFERROR(VLOOKUP($A691,Devengado!$A$1:$AI$1,23,FALSE),"")</f>
        <v/>
      </c>
      <c r="BE691" s="224" t="str">
        <f>IFERROR(VLOOKUP($A691,Devengado!$A$1:$AI$1,24,FALSE),"")</f>
        <v/>
      </c>
      <c r="BF691" s="224" t="str">
        <f>IFERROR(VLOOKUP($A691,Devengado!$A$1:$AI$1,25,FALSE),"")</f>
        <v/>
      </c>
      <c r="BG691" s="224" t="str">
        <f>IFERROR(VLOOKUP($A691,Devengado!$A$1:$AI$1,26,FALSE),"")</f>
        <v/>
      </c>
      <c r="BH691" s="224" t="str">
        <f>IFERROR(VLOOKUP($A691,Devengado!$A$1:$AI$1,27,FALSE),"")</f>
        <v/>
      </c>
      <c r="BI691" s="224" t="str">
        <f>IFERROR(VLOOKUP($A691,Devengado!$A$1:$AI$1,28,FALSE),"")</f>
        <v/>
      </c>
      <c r="BJ691" s="224" t="str">
        <f>IFERROR(VLOOKUP($A691,Devengado!$A$1:$AI$1,29,FALSE),"")</f>
        <v/>
      </c>
      <c r="BK691" s="224" t="str">
        <f>IFERROR(VLOOKUP($A691,Devengado!$A$1:$AI$1,30,FALSE),"")</f>
        <v/>
      </c>
      <c r="BL691" s="224" t="str">
        <f>IFERROR(VLOOKUP($A691,Devengado!$A$1:$AI$1,31,FALSE),"")</f>
        <v/>
      </c>
      <c r="BM691" s="224" t="str">
        <f>IFERROR(VLOOKUP($A691,Devengado!$A$1:$AI$1,32,FALSE),"")</f>
        <v/>
      </c>
      <c r="BN691" s="224" t="str">
        <f>IFERROR(VLOOKUP($A691,Devengado!$A$1:$AI$1,33,FALSE),"")</f>
        <v/>
      </c>
      <c r="BO691" s="224">
        <f t="shared" si="83"/>
        <v>0</v>
      </c>
      <c r="BP691" s="224" t="str">
        <f t="shared" si="84"/>
        <v/>
      </c>
      <c r="BQ691" s="207"/>
      <c r="BR691" s="207" t="str">
        <f t="shared" si="85"/>
        <v>53</v>
      </c>
    </row>
    <row r="692" spans="1:70" s="225" customFormat="1" ht="25.5" customHeight="1">
      <c r="A692" s="207">
        <v>688</v>
      </c>
      <c r="B692" s="112" t="s">
        <v>621</v>
      </c>
      <c r="C692" s="112" t="s">
        <v>77</v>
      </c>
      <c r="D692" s="112" t="s">
        <v>77</v>
      </c>
      <c r="E692" s="112" t="s">
        <v>76</v>
      </c>
      <c r="F692" s="112" t="s">
        <v>77</v>
      </c>
      <c r="G692" s="112" t="s">
        <v>77</v>
      </c>
      <c r="H692" s="112" t="s">
        <v>77</v>
      </c>
      <c r="I692" s="112" t="s">
        <v>77</v>
      </c>
      <c r="J692" s="112" t="s">
        <v>77</v>
      </c>
      <c r="K692" s="112" t="s">
        <v>77</v>
      </c>
      <c r="L692" s="112" t="s">
        <v>85</v>
      </c>
      <c r="M692" s="112" t="s">
        <v>681</v>
      </c>
      <c r="N692" s="114" t="s">
        <v>623</v>
      </c>
      <c r="O692" s="123">
        <v>80</v>
      </c>
      <c r="P692" s="114" t="s">
        <v>81</v>
      </c>
      <c r="Q692" s="114" t="s">
        <v>112</v>
      </c>
      <c r="R692" s="115" t="str">
        <f t="shared" si="80"/>
        <v>53</v>
      </c>
      <c r="S692" s="112">
        <v>530823</v>
      </c>
      <c r="T692" s="122" t="e">
        <f>VLOOKUP(S692,ITEM!$C$1:$D$156,2,FALSE)</f>
        <v>#N/A</v>
      </c>
      <c r="U692" s="112">
        <v>101</v>
      </c>
      <c r="V692" s="114" t="s">
        <v>82</v>
      </c>
      <c r="W692" s="114" t="s">
        <v>84</v>
      </c>
      <c r="X692" s="114" t="s">
        <v>84</v>
      </c>
      <c r="Y692" s="224" t="e">
        <f>'Matriz POA 2024-TRABAJO'!#REF!</f>
        <v>#REF!</v>
      </c>
      <c r="Z692" s="224" t="e">
        <f>'Matriz POA 2024-TRABAJO'!#REF!</f>
        <v>#REF!</v>
      </c>
      <c r="AA692" s="224" t="e">
        <f>'Matriz POA 2024-TRABAJO'!#REF!</f>
        <v>#REF!</v>
      </c>
      <c r="AB692" s="279">
        <v>0</v>
      </c>
      <c r="AC692" s="279">
        <v>545.45000000000005</v>
      </c>
      <c r="AD692" s="279">
        <v>545.45000000000005</v>
      </c>
      <c r="AE692" s="279">
        <v>545.45000000000005</v>
      </c>
      <c r="AF692" s="279">
        <v>545.45000000000005</v>
      </c>
      <c r="AG692" s="279">
        <v>545.45000000000005</v>
      </c>
      <c r="AH692" s="279">
        <v>545.45000000000005</v>
      </c>
      <c r="AI692" s="279">
        <v>545.45000000000005</v>
      </c>
      <c r="AJ692" s="279">
        <v>545.45000000000005</v>
      </c>
      <c r="AK692" s="279">
        <v>545.45000000000005</v>
      </c>
      <c r="AL692" s="279">
        <v>545.45000000000005</v>
      </c>
      <c r="AM692" s="279">
        <v>545.5</v>
      </c>
      <c r="AN692" s="224" t="e">
        <f>SUM(#REF!)</f>
        <v>#REF!</v>
      </c>
      <c r="AO692" s="224">
        <f t="shared" si="81"/>
        <v>5999.9999999999991</v>
      </c>
      <c r="AP692" s="224" t="e">
        <f t="shared" si="86"/>
        <v>#REF!</v>
      </c>
      <c r="AQ692" s="224"/>
      <c r="AR692" s="224"/>
      <c r="AS692" s="224"/>
      <c r="AT692" s="224" t="str">
        <f>IFERROR(VLOOKUP($A692,'Constancias POA'!$A$2:$DH$9993,17,FALSE),"")</f>
        <v/>
      </c>
      <c r="AU692" s="224" t="str">
        <f t="shared" si="87"/>
        <v/>
      </c>
      <c r="AV692" s="224" t="str">
        <f>IFERROR(VLOOKUP($A692,CP!$A$1:$U$7992,18,FALSE),"")</f>
        <v/>
      </c>
      <c r="AW692" s="224" t="str">
        <f>IFERROR(VLOOKUP($A692,CP!$A$1:$U$7992,19,FALSE),"")</f>
        <v/>
      </c>
      <c r="AX692" s="224" t="str">
        <f>IFERROR(VLOOKUP($A692,CP!$A$1:$U$7992,20,FALSE),"")</f>
        <v/>
      </c>
      <c r="AY692" s="224" t="str">
        <f>IFERROR(VLOOKUP($A692,CP!$A$1:$U$1,21,FALSE),"")</f>
        <v/>
      </c>
      <c r="AZ692" s="224" t="str">
        <f>IFERROR(VLOOKUP(A692,Devengado!$A$1:AJ1,35,FALSE),"")</f>
        <v/>
      </c>
      <c r="BA692" s="224" t="str">
        <f t="shared" si="82"/>
        <v/>
      </c>
      <c r="BB692" s="224" t="str">
        <f>IFERROR(AZ692/#REF!,"")</f>
        <v/>
      </c>
      <c r="BC692" s="224" t="str">
        <f>IFERROR(VLOOKUP($A692,Devengado!$A$1:$AI$1,22,FALSE),"")</f>
        <v/>
      </c>
      <c r="BD692" s="224" t="str">
        <f>IFERROR(VLOOKUP($A692,Devengado!$A$1:$AI$1,23,FALSE),"")</f>
        <v/>
      </c>
      <c r="BE692" s="224" t="str">
        <f>IFERROR(VLOOKUP($A692,Devengado!$A$1:$AI$1,24,FALSE),"")</f>
        <v/>
      </c>
      <c r="BF692" s="224" t="str">
        <f>IFERROR(VLOOKUP($A692,Devengado!$A$1:$AI$1,25,FALSE),"")</f>
        <v/>
      </c>
      <c r="BG692" s="224" t="str">
        <f>IFERROR(VLOOKUP($A692,Devengado!$A$1:$AI$1,26,FALSE),"")</f>
        <v/>
      </c>
      <c r="BH692" s="224" t="str">
        <f>IFERROR(VLOOKUP($A692,Devengado!$A$1:$AI$1,27,FALSE),"")</f>
        <v/>
      </c>
      <c r="BI692" s="224" t="str">
        <f>IFERROR(VLOOKUP($A692,Devengado!$A$1:$AI$1,28,FALSE),"")</f>
        <v/>
      </c>
      <c r="BJ692" s="224" t="str">
        <f>IFERROR(VLOOKUP($A692,Devengado!$A$1:$AI$1,29,FALSE),"")</f>
        <v/>
      </c>
      <c r="BK692" s="224" t="str">
        <f>IFERROR(VLOOKUP($A692,Devengado!$A$1:$AI$1,30,FALSE),"")</f>
        <v/>
      </c>
      <c r="BL692" s="224" t="str">
        <f>IFERROR(VLOOKUP($A692,Devengado!$A$1:$AI$1,31,FALSE),"")</f>
        <v/>
      </c>
      <c r="BM692" s="224" t="str">
        <f>IFERROR(VLOOKUP($A692,Devengado!$A$1:$AI$1,32,FALSE),"")</f>
        <v/>
      </c>
      <c r="BN692" s="224" t="str">
        <f>IFERROR(VLOOKUP($A692,Devengado!$A$1:$AI$1,33,FALSE),"")</f>
        <v/>
      </c>
      <c r="BO692" s="224">
        <f t="shared" si="83"/>
        <v>0</v>
      </c>
      <c r="BP692" s="224" t="str">
        <f t="shared" si="84"/>
        <v/>
      </c>
      <c r="BQ692" s="207"/>
      <c r="BR692" s="207" t="str">
        <f t="shared" si="85"/>
        <v>53</v>
      </c>
    </row>
    <row r="693" spans="1:70" s="225" customFormat="1" ht="25.5" customHeight="1">
      <c r="A693" s="207">
        <v>689</v>
      </c>
      <c r="B693" s="112" t="s">
        <v>621</v>
      </c>
      <c r="C693" s="112" t="s">
        <v>77</v>
      </c>
      <c r="D693" s="112" t="s">
        <v>77</v>
      </c>
      <c r="E693" s="112" t="s">
        <v>76</v>
      </c>
      <c r="F693" s="112" t="s">
        <v>77</v>
      </c>
      <c r="G693" s="112" t="s">
        <v>77</v>
      </c>
      <c r="H693" s="112" t="s">
        <v>77</v>
      </c>
      <c r="I693" s="112" t="s">
        <v>77</v>
      </c>
      <c r="J693" s="112" t="s">
        <v>77</v>
      </c>
      <c r="K693" s="112" t="s">
        <v>77</v>
      </c>
      <c r="L693" s="112" t="s">
        <v>85</v>
      </c>
      <c r="M693" s="112" t="s">
        <v>682</v>
      </c>
      <c r="N693" s="114" t="s">
        <v>623</v>
      </c>
      <c r="O693" s="123">
        <v>80</v>
      </c>
      <c r="P693" s="114" t="s">
        <v>81</v>
      </c>
      <c r="Q693" s="114" t="s">
        <v>112</v>
      </c>
      <c r="R693" s="115" t="str">
        <f t="shared" si="80"/>
        <v>53</v>
      </c>
      <c r="S693" s="112">
        <v>530819</v>
      </c>
      <c r="T693" s="122" t="e">
        <f>VLOOKUP(S693,ITEM!$C$1:$D$156,2,FALSE)</f>
        <v>#N/A</v>
      </c>
      <c r="U693" s="112">
        <v>101</v>
      </c>
      <c r="V693" s="114" t="s">
        <v>82</v>
      </c>
      <c r="W693" s="114" t="s">
        <v>84</v>
      </c>
      <c r="X693" s="114" t="s">
        <v>84</v>
      </c>
      <c r="Y693" s="224" t="e">
        <f>'Matriz POA 2024-TRABAJO'!#REF!</f>
        <v>#REF!</v>
      </c>
      <c r="Z693" s="224" t="e">
        <f>'Matriz POA 2024-TRABAJO'!#REF!</f>
        <v>#REF!</v>
      </c>
      <c r="AA693" s="224" t="e">
        <f>'Matriz POA 2024-TRABAJO'!#REF!</f>
        <v>#REF!</v>
      </c>
      <c r="AB693" s="279">
        <v>0</v>
      </c>
      <c r="AC693" s="279">
        <v>0</v>
      </c>
      <c r="AD693" s="279">
        <v>500</v>
      </c>
      <c r="AE693" s="279">
        <v>0</v>
      </c>
      <c r="AF693" s="279">
        <v>0</v>
      </c>
      <c r="AG693" s="279">
        <v>0</v>
      </c>
      <c r="AH693" s="279">
        <v>0</v>
      </c>
      <c r="AI693" s="279">
        <v>0</v>
      </c>
      <c r="AJ693" s="279">
        <v>0</v>
      </c>
      <c r="AK693" s="279">
        <v>0</v>
      </c>
      <c r="AL693" s="279">
        <v>0</v>
      </c>
      <c r="AM693" s="279">
        <v>0</v>
      </c>
      <c r="AN693" s="224" t="e">
        <f>SUM(#REF!)</f>
        <v>#REF!</v>
      </c>
      <c r="AO693" s="224">
        <f t="shared" si="81"/>
        <v>500</v>
      </c>
      <c r="AP693" s="224" t="e">
        <f t="shared" si="86"/>
        <v>#REF!</v>
      </c>
      <c r="AQ693" s="224"/>
      <c r="AR693" s="224"/>
      <c r="AS693" s="224"/>
      <c r="AT693" s="224" t="str">
        <f>IFERROR(VLOOKUP($A693,'Constancias POA'!$A$2:$DH$9993,17,FALSE),"")</f>
        <v/>
      </c>
      <c r="AU693" s="224" t="str">
        <f t="shared" si="87"/>
        <v/>
      </c>
      <c r="AV693" s="224" t="str">
        <f>IFERROR(VLOOKUP($A693,CP!$A$1:$U$7992,18,FALSE),"")</f>
        <v/>
      </c>
      <c r="AW693" s="224" t="str">
        <f>IFERROR(VLOOKUP($A693,CP!$A$1:$U$7992,19,FALSE),"")</f>
        <v/>
      </c>
      <c r="AX693" s="224" t="str">
        <f>IFERROR(VLOOKUP($A693,CP!$A$1:$U$7992,20,FALSE),"")</f>
        <v/>
      </c>
      <c r="AY693" s="224" t="str">
        <f>IFERROR(VLOOKUP($A693,CP!$A$1:$U$1,21,FALSE),"")</f>
        <v/>
      </c>
      <c r="AZ693" s="224" t="str">
        <f>IFERROR(VLOOKUP(A693,Devengado!$A$1:AJ1,35,FALSE),"")</f>
        <v/>
      </c>
      <c r="BA693" s="224" t="str">
        <f t="shared" si="82"/>
        <v/>
      </c>
      <c r="BB693" s="224" t="str">
        <f>IFERROR(AZ693/#REF!,"")</f>
        <v/>
      </c>
      <c r="BC693" s="224" t="str">
        <f>IFERROR(VLOOKUP($A693,Devengado!$A$1:$AI$1,22,FALSE),"")</f>
        <v/>
      </c>
      <c r="BD693" s="224" t="str">
        <f>IFERROR(VLOOKUP($A693,Devengado!$A$1:$AI$1,23,FALSE),"")</f>
        <v/>
      </c>
      <c r="BE693" s="224" t="str">
        <f>IFERROR(VLOOKUP($A693,Devengado!$A$1:$AI$1,24,FALSE),"")</f>
        <v/>
      </c>
      <c r="BF693" s="224" t="str">
        <f>IFERROR(VLOOKUP($A693,Devengado!$A$1:$AI$1,25,FALSE),"")</f>
        <v/>
      </c>
      <c r="BG693" s="224" t="str">
        <f>IFERROR(VLOOKUP($A693,Devengado!$A$1:$AI$1,26,FALSE),"")</f>
        <v/>
      </c>
      <c r="BH693" s="224" t="str">
        <f>IFERROR(VLOOKUP($A693,Devengado!$A$1:$AI$1,27,FALSE),"")</f>
        <v/>
      </c>
      <c r="BI693" s="224" t="str">
        <f>IFERROR(VLOOKUP($A693,Devengado!$A$1:$AI$1,28,FALSE),"")</f>
        <v/>
      </c>
      <c r="BJ693" s="224" t="str">
        <f>IFERROR(VLOOKUP($A693,Devengado!$A$1:$AI$1,29,FALSE),"")</f>
        <v/>
      </c>
      <c r="BK693" s="224" t="str">
        <f>IFERROR(VLOOKUP($A693,Devengado!$A$1:$AI$1,30,FALSE),"")</f>
        <v/>
      </c>
      <c r="BL693" s="224" t="str">
        <f>IFERROR(VLOOKUP($A693,Devengado!$A$1:$AI$1,31,FALSE),"")</f>
        <v/>
      </c>
      <c r="BM693" s="224" t="str">
        <f>IFERROR(VLOOKUP($A693,Devengado!$A$1:$AI$1,32,FALSE),"")</f>
        <v/>
      </c>
      <c r="BN693" s="224" t="str">
        <f>IFERROR(VLOOKUP($A693,Devengado!$A$1:$AI$1,33,FALSE),"")</f>
        <v/>
      </c>
      <c r="BO693" s="224">
        <f t="shared" si="83"/>
        <v>0</v>
      </c>
      <c r="BP693" s="224" t="str">
        <f t="shared" si="84"/>
        <v/>
      </c>
      <c r="BQ693" s="207"/>
      <c r="BR693" s="207" t="str">
        <f t="shared" si="85"/>
        <v>53</v>
      </c>
    </row>
    <row r="694" spans="1:70" s="225" customFormat="1" ht="25.5" customHeight="1">
      <c r="A694" s="207">
        <v>690</v>
      </c>
      <c r="B694" s="112" t="s">
        <v>621</v>
      </c>
      <c r="C694" s="112" t="s">
        <v>77</v>
      </c>
      <c r="D694" s="112" t="s">
        <v>77</v>
      </c>
      <c r="E694" s="112" t="s">
        <v>76</v>
      </c>
      <c r="F694" s="112" t="s">
        <v>77</v>
      </c>
      <c r="G694" s="112" t="s">
        <v>77</v>
      </c>
      <c r="H694" s="112" t="s">
        <v>77</v>
      </c>
      <c r="I694" s="112" t="s">
        <v>77</v>
      </c>
      <c r="J694" s="112" t="s">
        <v>77</v>
      </c>
      <c r="K694" s="112" t="s">
        <v>77</v>
      </c>
      <c r="L694" s="112" t="s">
        <v>85</v>
      </c>
      <c r="M694" s="112" t="s">
        <v>680</v>
      </c>
      <c r="N694" s="114" t="s">
        <v>623</v>
      </c>
      <c r="O694" s="123">
        <v>80</v>
      </c>
      <c r="P694" s="114" t="s">
        <v>81</v>
      </c>
      <c r="Q694" s="114" t="s">
        <v>112</v>
      </c>
      <c r="R694" s="115" t="str">
        <f t="shared" si="80"/>
        <v>53</v>
      </c>
      <c r="S694" s="112">
        <v>531406</v>
      </c>
      <c r="T694" s="122" t="e">
        <f>VLOOKUP(S694,ITEM!$C$1:$D$156,2,FALSE)</f>
        <v>#N/A</v>
      </c>
      <c r="U694" s="112">
        <v>101</v>
      </c>
      <c r="V694" s="114" t="s">
        <v>82</v>
      </c>
      <c r="W694" s="114" t="s">
        <v>84</v>
      </c>
      <c r="X694" s="114" t="s">
        <v>84</v>
      </c>
      <c r="Y694" s="224" t="e">
        <f>'Matriz POA 2024-TRABAJO'!#REF!</f>
        <v>#REF!</v>
      </c>
      <c r="Z694" s="224" t="e">
        <f>'Matriz POA 2024-TRABAJO'!#REF!</f>
        <v>#REF!</v>
      </c>
      <c r="AA694" s="224" t="e">
        <f>'Matriz POA 2024-TRABAJO'!#REF!</f>
        <v>#REF!</v>
      </c>
      <c r="AB694" s="279">
        <v>0</v>
      </c>
      <c r="AC694" s="279">
        <v>0</v>
      </c>
      <c r="AD694" s="279">
        <v>0</v>
      </c>
      <c r="AE694" s="279">
        <v>500</v>
      </c>
      <c r="AF694" s="279">
        <v>0</v>
      </c>
      <c r="AG694" s="279">
        <v>0</v>
      </c>
      <c r="AH694" s="279">
        <v>0</v>
      </c>
      <c r="AI694" s="279">
        <v>0</v>
      </c>
      <c r="AJ694" s="279">
        <v>0</v>
      </c>
      <c r="AK694" s="279">
        <v>0</v>
      </c>
      <c r="AL694" s="279">
        <v>0</v>
      </c>
      <c r="AM694" s="279">
        <v>0</v>
      </c>
      <c r="AN694" s="224" t="e">
        <f>SUM(#REF!)</f>
        <v>#REF!</v>
      </c>
      <c r="AO694" s="224">
        <f t="shared" si="81"/>
        <v>500</v>
      </c>
      <c r="AP694" s="224" t="e">
        <f t="shared" si="86"/>
        <v>#REF!</v>
      </c>
      <c r="AQ694" s="224"/>
      <c r="AR694" s="224"/>
      <c r="AS694" s="224"/>
      <c r="AT694" s="224" t="str">
        <f>IFERROR(VLOOKUP($A694,'Constancias POA'!$A$2:$DH$9993,17,FALSE),"")</f>
        <v/>
      </c>
      <c r="AU694" s="224" t="str">
        <f t="shared" si="87"/>
        <v/>
      </c>
      <c r="AV694" s="224" t="str">
        <f>IFERROR(VLOOKUP($A694,CP!$A$1:$U$7992,18,FALSE),"")</f>
        <v/>
      </c>
      <c r="AW694" s="224" t="str">
        <f>IFERROR(VLOOKUP($A694,CP!$A$1:$U$7992,19,FALSE),"")</f>
        <v/>
      </c>
      <c r="AX694" s="224" t="str">
        <f>IFERROR(VLOOKUP($A694,CP!$A$1:$U$7992,20,FALSE),"")</f>
        <v/>
      </c>
      <c r="AY694" s="224" t="str">
        <f>IFERROR(VLOOKUP($A694,CP!$A$1:$U$1,21,FALSE),"")</f>
        <v/>
      </c>
      <c r="AZ694" s="224" t="str">
        <f>IFERROR(VLOOKUP(A694,Devengado!$A$1:AJ1,35,FALSE),"")</f>
        <v/>
      </c>
      <c r="BA694" s="224" t="str">
        <f t="shared" si="82"/>
        <v/>
      </c>
      <c r="BB694" s="224" t="str">
        <f>IFERROR(AZ694/#REF!,"")</f>
        <v/>
      </c>
      <c r="BC694" s="224" t="str">
        <f>IFERROR(VLOOKUP($A694,Devengado!$A$1:$AI$1,22,FALSE),"")</f>
        <v/>
      </c>
      <c r="BD694" s="224" t="str">
        <f>IFERROR(VLOOKUP($A694,Devengado!$A$1:$AI$1,23,FALSE),"")</f>
        <v/>
      </c>
      <c r="BE694" s="224" t="str">
        <f>IFERROR(VLOOKUP($A694,Devengado!$A$1:$AI$1,24,FALSE),"")</f>
        <v/>
      </c>
      <c r="BF694" s="224" t="str">
        <f>IFERROR(VLOOKUP($A694,Devengado!$A$1:$AI$1,25,FALSE),"")</f>
        <v/>
      </c>
      <c r="BG694" s="224" t="str">
        <f>IFERROR(VLOOKUP($A694,Devengado!$A$1:$AI$1,26,FALSE),"")</f>
        <v/>
      </c>
      <c r="BH694" s="224" t="str">
        <f>IFERROR(VLOOKUP($A694,Devengado!$A$1:$AI$1,27,FALSE),"")</f>
        <v/>
      </c>
      <c r="BI694" s="224" t="str">
        <f>IFERROR(VLOOKUP($A694,Devengado!$A$1:$AI$1,28,FALSE),"")</f>
        <v/>
      </c>
      <c r="BJ694" s="224" t="str">
        <f>IFERROR(VLOOKUP($A694,Devengado!$A$1:$AI$1,29,FALSE),"")</f>
        <v/>
      </c>
      <c r="BK694" s="224" t="str">
        <f>IFERROR(VLOOKUP($A694,Devengado!$A$1:$AI$1,30,FALSE),"")</f>
        <v/>
      </c>
      <c r="BL694" s="224" t="str">
        <f>IFERROR(VLOOKUP($A694,Devengado!$A$1:$AI$1,31,FALSE),"")</f>
        <v/>
      </c>
      <c r="BM694" s="224" t="str">
        <f>IFERROR(VLOOKUP($A694,Devengado!$A$1:$AI$1,32,FALSE),"")</f>
        <v/>
      </c>
      <c r="BN694" s="224" t="str">
        <f>IFERROR(VLOOKUP($A694,Devengado!$A$1:$AI$1,33,FALSE),"")</f>
        <v/>
      </c>
      <c r="BO694" s="224">
        <f t="shared" si="83"/>
        <v>0</v>
      </c>
      <c r="BP694" s="224" t="str">
        <f t="shared" si="84"/>
        <v/>
      </c>
      <c r="BQ694" s="207"/>
      <c r="BR694" s="207" t="str">
        <f t="shared" si="85"/>
        <v>53</v>
      </c>
    </row>
    <row r="695" spans="1:70" s="225" customFormat="1" ht="25.5" customHeight="1">
      <c r="A695" s="207">
        <v>691</v>
      </c>
      <c r="B695" s="112" t="s">
        <v>621</v>
      </c>
      <c r="C695" s="112" t="s">
        <v>77</v>
      </c>
      <c r="D695" s="112" t="s">
        <v>77</v>
      </c>
      <c r="E695" s="112" t="s">
        <v>76</v>
      </c>
      <c r="F695" s="112" t="s">
        <v>77</v>
      </c>
      <c r="G695" s="112" t="s">
        <v>77</v>
      </c>
      <c r="H695" s="112" t="s">
        <v>77</v>
      </c>
      <c r="I695" s="112" t="s">
        <v>77</v>
      </c>
      <c r="J695" s="112" t="s">
        <v>77</v>
      </c>
      <c r="K695" s="112" t="s">
        <v>77</v>
      </c>
      <c r="L695" s="112" t="s">
        <v>85</v>
      </c>
      <c r="M695" s="112" t="s">
        <v>683</v>
      </c>
      <c r="N695" s="114" t="s">
        <v>623</v>
      </c>
      <c r="O695" s="123">
        <v>80</v>
      </c>
      <c r="P695" s="114" t="s">
        <v>81</v>
      </c>
      <c r="Q695" s="114" t="s">
        <v>112</v>
      </c>
      <c r="R695" s="115" t="str">
        <f t="shared" si="80"/>
        <v>57</v>
      </c>
      <c r="S695" s="112">
        <v>570102</v>
      </c>
      <c r="T695" s="122" t="e">
        <f>VLOOKUP(S695,ITEM!$C$1:$D$156,2,FALSE)</f>
        <v>#N/A</v>
      </c>
      <c r="U695" s="112">
        <v>101</v>
      </c>
      <c r="V695" s="114" t="s">
        <v>82</v>
      </c>
      <c r="W695" s="114" t="s">
        <v>84</v>
      </c>
      <c r="X695" s="114" t="s">
        <v>84</v>
      </c>
      <c r="Y695" s="224" t="e">
        <f>'Matriz POA 2024-TRABAJO'!#REF!</f>
        <v>#REF!</v>
      </c>
      <c r="Z695" s="224" t="e">
        <f>'Matriz POA 2024-TRABAJO'!#REF!</f>
        <v>#REF!</v>
      </c>
      <c r="AA695" s="224" t="e">
        <f>'Matriz POA 2024-TRABAJO'!#REF!</f>
        <v>#REF!</v>
      </c>
      <c r="AB695" s="279">
        <v>0</v>
      </c>
      <c r="AC695" s="279">
        <v>199.34</v>
      </c>
      <c r="AD695" s="279">
        <v>0</v>
      </c>
      <c r="AE695" s="279">
        <v>0</v>
      </c>
      <c r="AF695" s="279">
        <v>0</v>
      </c>
      <c r="AG695" s="279">
        <v>0</v>
      </c>
      <c r="AH695" s="279">
        <v>0</v>
      </c>
      <c r="AI695" s="279">
        <v>0</v>
      </c>
      <c r="AJ695" s="279">
        <v>0</v>
      </c>
      <c r="AK695" s="279">
        <v>0</v>
      </c>
      <c r="AL695" s="279">
        <v>0</v>
      </c>
      <c r="AM695" s="279">
        <v>0</v>
      </c>
      <c r="AN695" s="224" t="e">
        <f>SUM(#REF!)</f>
        <v>#REF!</v>
      </c>
      <c r="AO695" s="224">
        <f t="shared" si="81"/>
        <v>199.34</v>
      </c>
      <c r="AP695" s="224" t="e">
        <f t="shared" si="86"/>
        <v>#REF!</v>
      </c>
      <c r="AQ695" s="224"/>
      <c r="AR695" s="224"/>
      <c r="AS695" s="224"/>
      <c r="AT695" s="224" t="str">
        <f>IFERROR(VLOOKUP($A695,'Constancias POA'!$A$2:$DH$9993,17,FALSE),"")</f>
        <v/>
      </c>
      <c r="AU695" s="224" t="str">
        <f t="shared" si="87"/>
        <v/>
      </c>
      <c r="AV695" s="224" t="str">
        <f>IFERROR(VLOOKUP($A695,CP!$A$1:$U$7992,18,FALSE),"")</f>
        <v/>
      </c>
      <c r="AW695" s="224" t="str">
        <f>IFERROR(VLOOKUP($A695,CP!$A$1:$U$7992,19,FALSE),"")</f>
        <v/>
      </c>
      <c r="AX695" s="224" t="str">
        <f>IFERROR(VLOOKUP($A695,CP!$A$1:$U$7992,20,FALSE),"")</f>
        <v/>
      </c>
      <c r="AY695" s="224" t="str">
        <f>IFERROR(VLOOKUP($A695,CP!$A$1:$U$1,21,FALSE),"")</f>
        <v/>
      </c>
      <c r="AZ695" s="224" t="str">
        <f>IFERROR(VLOOKUP(A695,Devengado!$A$1:AJ1,35,FALSE),"")</f>
        <v/>
      </c>
      <c r="BA695" s="224" t="str">
        <f t="shared" si="82"/>
        <v/>
      </c>
      <c r="BB695" s="224" t="str">
        <f>IFERROR(AZ695/#REF!,"")</f>
        <v/>
      </c>
      <c r="BC695" s="224" t="str">
        <f>IFERROR(VLOOKUP($A695,Devengado!$A$1:$AI$1,22,FALSE),"")</f>
        <v/>
      </c>
      <c r="BD695" s="224" t="str">
        <f>IFERROR(VLOOKUP($A695,Devengado!$A$1:$AI$1,23,FALSE),"")</f>
        <v/>
      </c>
      <c r="BE695" s="224" t="str">
        <f>IFERROR(VLOOKUP($A695,Devengado!$A$1:$AI$1,24,FALSE),"")</f>
        <v/>
      </c>
      <c r="BF695" s="224" t="str">
        <f>IFERROR(VLOOKUP($A695,Devengado!$A$1:$AI$1,25,FALSE),"")</f>
        <v/>
      </c>
      <c r="BG695" s="224" t="str">
        <f>IFERROR(VLOOKUP($A695,Devengado!$A$1:$AI$1,26,FALSE),"")</f>
        <v/>
      </c>
      <c r="BH695" s="224" t="str">
        <f>IFERROR(VLOOKUP($A695,Devengado!$A$1:$AI$1,27,FALSE),"")</f>
        <v/>
      </c>
      <c r="BI695" s="224" t="str">
        <f>IFERROR(VLOOKUP($A695,Devengado!$A$1:$AI$1,28,FALSE),"")</f>
        <v/>
      </c>
      <c r="BJ695" s="224" t="str">
        <f>IFERROR(VLOOKUP($A695,Devengado!$A$1:$AI$1,29,FALSE),"")</f>
        <v/>
      </c>
      <c r="BK695" s="224" t="str">
        <f>IFERROR(VLOOKUP($A695,Devengado!$A$1:$AI$1,30,FALSE),"")</f>
        <v/>
      </c>
      <c r="BL695" s="224" t="str">
        <f>IFERROR(VLOOKUP($A695,Devengado!$A$1:$AI$1,31,FALSE),"")</f>
        <v/>
      </c>
      <c r="BM695" s="224" t="str">
        <f>IFERROR(VLOOKUP($A695,Devengado!$A$1:$AI$1,32,FALSE),"")</f>
        <v/>
      </c>
      <c r="BN695" s="224" t="str">
        <f>IFERROR(VLOOKUP($A695,Devengado!$A$1:$AI$1,33,FALSE),"")</f>
        <v/>
      </c>
      <c r="BO695" s="224">
        <f t="shared" si="83"/>
        <v>0</v>
      </c>
      <c r="BP695" s="224" t="str">
        <f t="shared" si="84"/>
        <v/>
      </c>
      <c r="BQ695" s="207"/>
      <c r="BR695" s="207" t="str">
        <f t="shared" si="85"/>
        <v>57</v>
      </c>
    </row>
    <row r="696" spans="1:70" s="225" customFormat="1" ht="25.5" customHeight="1">
      <c r="A696" s="207">
        <v>692</v>
      </c>
      <c r="B696" s="112" t="s">
        <v>621</v>
      </c>
      <c r="C696" s="112" t="s">
        <v>77</v>
      </c>
      <c r="D696" s="112" t="s">
        <v>77</v>
      </c>
      <c r="E696" s="112" t="s">
        <v>76</v>
      </c>
      <c r="F696" s="112" t="s">
        <v>77</v>
      </c>
      <c r="G696" s="112" t="s">
        <v>77</v>
      </c>
      <c r="H696" s="112" t="s">
        <v>77</v>
      </c>
      <c r="I696" s="112" t="s">
        <v>77</v>
      </c>
      <c r="J696" s="112" t="s">
        <v>77</v>
      </c>
      <c r="K696" s="112" t="s">
        <v>77</v>
      </c>
      <c r="L696" s="112" t="s">
        <v>85</v>
      </c>
      <c r="M696" s="112" t="s">
        <v>684</v>
      </c>
      <c r="N696" s="114" t="s">
        <v>623</v>
      </c>
      <c r="O696" s="123">
        <v>80</v>
      </c>
      <c r="P696" s="114" t="s">
        <v>81</v>
      </c>
      <c r="Q696" s="114" t="s">
        <v>112</v>
      </c>
      <c r="R696" s="115" t="str">
        <f t="shared" si="80"/>
        <v>57</v>
      </c>
      <c r="S696" s="112">
        <v>570102</v>
      </c>
      <c r="T696" s="122" t="e">
        <f>VLOOKUP(S696,ITEM!$C$1:$D$156,2,FALSE)</f>
        <v>#N/A</v>
      </c>
      <c r="U696" s="112">
        <v>101</v>
      </c>
      <c r="V696" s="114" t="s">
        <v>82</v>
      </c>
      <c r="W696" s="114" t="s">
        <v>84</v>
      </c>
      <c r="X696" s="114" t="s">
        <v>84</v>
      </c>
      <c r="Y696" s="224" t="e">
        <f>'Matriz POA 2024-TRABAJO'!#REF!</f>
        <v>#REF!</v>
      </c>
      <c r="Z696" s="224" t="e">
        <f>'Matriz POA 2024-TRABAJO'!#REF!</f>
        <v>#REF!</v>
      </c>
      <c r="AA696" s="224" t="e">
        <f>'Matriz POA 2024-TRABAJO'!#REF!</f>
        <v>#REF!</v>
      </c>
      <c r="AB696" s="279">
        <v>220</v>
      </c>
      <c r="AC696" s="279">
        <v>220</v>
      </c>
      <c r="AD696" s="279">
        <v>220</v>
      </c>
      <c r="AE696" s="279">
        <v>220</v>
      </c>
      <c r="AF696" s="279">
        <v>220</v>
      </c>
      <c r="AG696" s="279">
        <v>220</v>
      </c>
      <c r="AH696" s="279">
        <v>220</v>
      </c>
      <c r="AI696" s="279">
        <v>220</v>
      </c>
      <c r="AJ696" s="279">
        <v>220</v>
      </c>
      <c r="AK696" s="279">
        <v>220</v>
      </c>
      <c r="AL696" s="279">
        <v>220</v>
      </c>
      <c r="AM696" s="279">
        <v>220</v>
      </c>
      <c r="AN696" s="224" t="e">
        <f>SUM(#REF!)</f>
        <v>#REF!</v>
      </c>
      <c r="AO696" s="224">
        <f t="shared" si="81"/>
        <v>2640</v>
      </c>
      <c r="AP696" s="224" t="e">
        <f t="shared" si="86"/>
        <v>#REF!</v>
      </c>
      <c r="AQ696" s="224"/>
      <c r="AR696" s="224"/>
      <c r="AS696" s="224"/>
      <c r="AT696" s="224" t="str">
        <f>IFERROR(VLOOKUP($A696,'Constancias POA'!$A$2:$DH$9993,17,FALSE),"")</f>
        <v/>
      </c>
      <c r="AU696" s="224" t="str">
        <f t="shared" si="87"/>
        <v/>
      </c>
      <c r="AV696" s="224" t="str">
        <f>IFERROR(VLOOKUP($A696,CP!$A$1:$U$7992,18,FALSE),"")</f>
        <v/>
      </c>
      <c r="AW696" s="224" t="str">
        <f>IFERROR(VLOOKUP($A696,CP!$A$1:$U$7992,19,FALSE),"")</f>
        <v/>
      </c>
      <c r="AX696" s="224" t="str">
        <f>IFERROR(VLOOKUP($A696,CP!$A$1:$U$7992,20,FALSE),"")</f>
        <v/>
      </c>
      <c r="AY696" s="224" t="str">
        <f>IFERROR(VLOOKUP($A696,CP!$A$1:$U$1,21,FALSE),"")</f>
        <v/>
      </c>
      <c r="AZ696" s="224" t="str">
        <f>IFERROR(VLOOKUP(A696,Devengado!$A$1:AJ1,35,FALSE),"")</f>
        <v/>
      </c>
      <c r="BA696" s="224" t="str">
        <f t="shared" si="82"/>
        <v/>
      </c>
      <c r="BB696" s="224" t="str">
        <f>IFERROR(AZ696/#REF!,"")</f>
        <v/>
      </c>
      <c r="BC696" s="224" t="str">
        <f>IFERROR(VLOOKUP($A696,Devengado!$A$1:$AI$1,22,FALSE),"")</f>
        <v/>
      </c>
      <c r="BD696" s="224" t="str">
        <f>IFERROR(VLOOKUP($A696,Devengado!$A$1:$AI$1,23,FALSE),"")</f>
        <v/>
      </c>
      <c r="BE696" s="224" t="str">
        <f>IFERROR(VLOOKUP($A696,Devengado!$A$1:$AI$1,24,FALSE),"")</f>
        <v/>
      </c>
      <c r="BF696" s="224" t="str">
        <f>IFERROR(VLOOKUP($A696,Devengado!$A$1:$AI$1,25,FALSE),"")</f>
        <v/>
      </c>
      <c r="BG696" s="224" t="str">
        <f>IFERROR(VLOOKUP($A696,Devengado!$A$1:$AI$1,26,FALSE),"")</f>
        <v/>
      </c>
      <c r="BH696" s="224" t="str">
        <f>IFERROR(VLOOKUP($A696,Devengado!$A$1:$AI$1,27,FALSE),"")</f>
        <v/>
      </c>
      <c r="BI696" s="224" t="str">
        <f>IFERROR(VLOOKUP($A696,Devengado!$A$1:$AI$1,28,FALSE),"")</f>
        <v/>
      </c>
      <c r="BJ696" s="224" t="str">
        <f>IFERROR(VLOOKUP($A696,Devengado!$A$1:$AI$1,29,FALSE),"")</f>
        <v/>
      </c>
      <c r="BK696" s="224" t="str">
        <f>IFERROR(VLOOKUP($A696,Devengado!$A$1:$AI$1,30,FALSE),"")</f>
        <v/>
      </c>
      <c r="BL696" s="224" t="str">
        <f>IFERROR(VLOOKUP($A696,Devengado!$A$1:$AI$1,31,FALSE),"")</f>
        <v/>
      </c>
      <c r="BM696" s="224" t="str">
        <f>IFERROR(VLOOKUP($A696,Devengado!$A$1:$AI$1,32,FALSE),"")</f>
        <v/>
      </c>
      <c r="BN696" s="224" t="str">
        <f>IFERROR(VLOOKUP($A696,Devengado!$A$1:$AI$1,33,FALSE),"")</f>
        <v/>
      </c>
      <c r="BO696" s="224">
        <f t="shared" si="83"/>
        <v>0</v>
      </c>
      <c r="BP696" s="224" t="str">
        <f t="shared" si="84"/>
        <v/>
      </c>
      <c r="BQ696" s="207"/>
      <c r="BR696" s="207" t="str">
        <f t="shared" si="85"/>
        <v>57</v>
      </c>
    </row>
    <row r="697" spans="1:70" s="225" customFormat="1" ht="25.5" customHeight="1">
      <c r="A697" s="207">
        <v>693</v>
      </c>
      <c r="B697" s="112" t="s">
        <v>621</v>
      </c>
      <c r="C697" s="112" t="s">
        <v>77</v>
      </c>
      <c r="D697" s="112" t="s">
        <v>77</v>
      </c>
      <c r="E697" s="112" t="s">
        <v>76</v>
      </c>
      <c r="F697" s="112" t="s">
        <v>77</v>
      </c>
      <c r="G697" s="112" t="s">
        <v>77</v>
      </c>
      <c r="H697" s="112" t="s">
        <v>77</v>
      </c>
      <c r="I697" s="112" t="s">
        <v>77</v>
      </c>
      <c r="J697" s="112" t="s">
        <v>77</v>
      </c>
      <c r="K697" s="112" t="s">
        <v>77</v>
      </c>
      <c r="L697" s="112" t="s">
        <v>85</v>
      </c>
      <c r="M697" s="112" t="s">
        <v>685</v>
      </c>
      <c r="N697" s="114" t="s">
        <v>623</v>
      </c>
      <c r="O697" s="123">
        <v>80</v>
      </c>
      <c r="P697" s="114" t="s">
        <v>81</v>
      </c>
      <c r="Q697" s="114" t="s">
        <v>112</v>
      </c>
      <c r="R697" s="115" t="str">
        <f t="shared" si="80"/>
        <v>57</v>
      </c>
      <c r="S697" s="112">
        <v>570102</v>
      </c>
      <c r="T697" s="122" t="e">
        <f>VLOOKUP(S697,ITEM!$C$1:$D$156,2,FALSE)</f>
        <v>#N/A</v>
      </c>
      <c r="U697" s="112">
        <v>101</v>
      </c>
      <c r="V697" s="114" t="s">
        <v>82</v>
      </c>
      <c r="W697" s="114" t="s">
        <v>84</v>
      </c>
      <c r="X697" s="114" t="s">
        <v>84</v>
      </c>
      <c r="Y697" s="224" t="e">
        <f>'Matriz POA 2024-TRABAJO'!#REF!</f>
        <v>#REF!</v>
      </c>
      <c r="Z697" s="224" t="e">
        <f>'Matriz POA 2024-TRABAJO'!#REF!</f>
        <v>#REF!</v>
      </c>
      <c r="AA697" s="224" t="e">
        <f>'Matriz POA 2024-TRABAJO'!#REF!</f>
        <v>#REF!</v>
      </c>
      <c r="AB697" s="279">
        <v>0</v>
      </c>
      <c r="AC697" s="279">
        <v>0</v>
      </c>
      <c r="AD697" s="279">
        <v>2000</v>
      </c>
      <c r="AE697" s="279">
        <v>0</v>
      </c>
      <c r="AF697" s="279">
        <v>0</v>
      </c>
      <c r="AG697" s="279">
        <v>0</v>
      </c>
      <c r="AH697" s="279">
        <v>0</v>
      </c>
      <c r="AI697" s="279">
        <v>0</v>
      </c>
      <c r="AJ697" s="279">
        <v>0</v>
      </c>
      <c r="AK697" s="279">
        <v>0</v>
      </c>
      <c r="AL697" s="279">
        <v>0</v>
      </c>
      <c r="AM697" s="279">
        <v>0</v>
      </c>
      <c r="AN697" s="224" t="e">
        <f>SUM(#REF!)</f>
        <v>#REF!</v>
      </c>
      <c r="AO697" s="224">
        <f t="shared" si="81"/>
        <v>2000</v>
      </c>
      <c r="AP697" s="224" t="e">
        <f t="shared" si="86"/>
        <v>#REF!</v>
      </c>
      <c r="AQ697" s="224"/>
      <c r="AR697" s="224"/>
      <c r="AS697" s="224"/>
      <c r="AT697" s="224" t="str">
        <f>IFERROR(VLOOKUP($A697,'Constancias POA'!$A$2:$DH$9993,17,FALSE),"")</f>
        <v/>
      </c>
      <c r="AU697" s="224" t="str">
        <f t="shared" si="87"/>
        <v/>
      </c>
      <c r="AV697" s="224" t="str">
        <f>IFERROR(VLOOKUP($A697,CP!$A$1:$U$7992,18,FALSE),"")</f>
        <v/>
      </c>
      <c r="AW697" s="224" t="str">
        <f>IFERROR(VLOOKUP($A697,CP!$A$1:$U$7992,19,FALSE),"")</f>
        <v/>
      </c>
      <c r="AX697" s="224" t="str">
        <f>IFERROR(VLOOKUP($A697,CP!$A$1:$U$7992,20,FALSE),"")</f>
        <v/>
      </c>
      <c r="AY697" s="224" t="str">
        <f>IFERROR(VLOOKUP($A697,CP!$A$1:$U$1,21,FALSE),"")</f>
        <v/>
      </c>
      <c r="AZ697" s="224" t="str">
        <f>IFERROR(VLOOKUP(A697,Devengado!$A$1:AJ1,35,FALSE),"")</f>
        <v/>
      </c>
      <c r="BA697" s="224" t="str">
        <f t="shared" si="82"/>
        <v/>
      </c>
      <c r="BB697" s="224" t="str">
        <f>IFERROR(AZ697/#REF!,"")</f>
        <v/>
      </c>
      <c r="BC697" s="224" t="str">
        <f>IFERROR(VLOOKUP($A697,Devengado!$A$1:$AI$1,22,FALSE),"")</f>
        <v/>
      </c>
      <c r="BD697" s="224" t="str">
        <f>IFERROR(VLOOKUP($A697,Devengado!$A$1:$AI$1,23,FALSE),"")</f>
        <v/>
      </c>
      <c r="BE697" s="224" t="str">
        <f>IFERROR(VLOOKUP($A697,Devengado!$A$1:$AI$1,24,FALSE),"")</f>
        <v/>
      </c>
      <c r="BF697" s="224" t="str">
        <f>IFERROR(VLOOKUP($A697,Devengado!$A$1:$AI$1,25,FALSE),"")</f>
        <v/>
      </c>
      <c r="BG697" s="224" t="str">
        <f>IFERROR(VLOOKUP($A697,Devengado!$A$1:$AI$1,26,FALSE),"")</f>
        <v/>
      </c>
      <c r="BH697" s="224" t="str">
        <f>IFERROR(VLOOKUP($A697,Devengado!$A$1:$AI$1,27,FALSE),"")</f>
        <v/>
      </c>
      <c r="BI697" s="224" t="str">
        <f>IFERROR(VLOOKUP($A697,Devengado!$A$1:$AI$1,28,FALSE),"")</f>
        <v/>
      </c>
      <c r="BJ697" s="224" t="str">
        <f>IFERROR(VLOOKUP($A697,Devengado!$A$1:$AI$1,29,FALSE),"")</f>
        <v/>
      </c>
      <c r="BK697" s="224" t="str">
        <f>IFERROR(VLOOKUP($A697,Devengado!$A$1:$AI$1,30,FALSE),"")</f>
        <v/>
      </c>
      <c r="BL697" s="224" t="str">
        <f>IFERROR(VLOOKUP($A697,Devengado!$A$1:$AI$1,31,FALSE),"")</f>
        <v/>
      </c>
      <c r="BM697" s="224" t="str">
        <f>IFERROR(VLOOKUP($A697,Devengado!$A$1:$AI$1,32,FALSE),"")</f>
        <v/>
      </c>
      <c r="BN697" s="224" t="str">
        <f>IFERROR(VLOOKUP($A697,Devengado!$A$1:$AI$1,33,FALSE),"")</f>
        <v/>
      </c>
      <c r="BO697" s="224">
        <f t="shared" si="83"/>
        <v>0</v>
      </c>
      <c r="BP697" s="224" t="str">
        <f t="shared" si="84"/>
        <v/>
      </c>
      <c r="BQ697" s="207"/>
      <c r="BR697" s="207" t="str">
        <f t="shared" si="85"/>
        <v>57</v>
      </c>
    </row>
    <row r="698" spans="1:70" s="225" customFormat="1" ht="25.5" customHeight="1">
      <c r="A698" s="207">
        <v>694</v>
      </c>
      <c r="B698" s="112" t="s">
        <v>621</v>
      </c>
      <c r="C698" s="112" t="s">
        <v>77</v>
      </c>
      <c r="D698" s="112" t="s">
        <v>77</v>
      </c>
      <c r="E698" s="112" t="s">
        <v>76</v>
      </c>
      <c r="F698" s="112" t="s">
        <v>77</v>
      </c>
      <c r="G698" s="112" t="s">
        <v>77</v>
      </c>
      <c r="H698" s="112" t="s">
        <v>77</v>
      </c>
      <c r="I698" s="112" t="s">
        <v>77</v>
      </c>
      <c r="J698" s="112" t="s">
        <v>77</v>
      </c>
      <c r="K698" s="112" t="s">
        <v>77</v>
      </c>
      <c r="L698" s="112" t="s">
        <v>85</v>
      </c>
      <c r="M698" s="112" t="s">
        <v>686</v>
      </c>
      <c r="N698" s="114" t="s">
        <v>623</v>
      </c>
      <c r="O698" s="123">
        <v>80</v>
      </c>
      <c r="P698" s="114" t="s">
        <v>81</v>
      </c>
      <c r="Q698" s="114" t="s">
        <v>112</v>
      </c>
      <c r="R698" s="115" t="str">
        <f t="shared" si="80"/>
        <v>57</v>
      </c>
      <c r="S698" s="112">
        <v>570102</v>
      </c>
      <c r="T698" s="122" t="e">
        <f>VLOOKUP(S698,ITEM!$C$1:$D$156,2,FALSE)</f>
        <v>#N/A</v>
      </c>
      <c r="U698" s="112">
        <v>101</v>
      </c>
      <c r="V698" s="114" t="s">
        <v>82</v>
      </c>
      <c r="W698" s="114" t="s">
        <v>84</v>
      </c>
      <c r="X698" s="114" t="s">
        <v>84</v>
      </c>
      <c r="Y698" s="224" t="e">
        <f>'Matriz POA 2024-TRABAJO'!#REF!</f>
        <v>#REF!</v>
      </c>
      <c r="Z698" s="224" t="e">
        <f>'Matriz POA 2024-TRABAJO'!#REF!</f>
        <v>#REF!</v>
      </c>
      <c r="AA698" s="224" t="e">
        <f>'Matriz POA 2024-TRABAJO'!#REF!</f>
        <v>#REF!</v>
      </c>
      <c r="AB698" s="279">
        <v>0</v>
      </c>
      <c r="AC698" s="279">
        <v>300</v>
      </c>
      <c r="AD698" s="279">
        <v>0</v>
      </c>
      <c r="AE698" s="279">
        <v>0</v>
      </c>
      <c r="AF698" s="279">
        <v>0</v>
      </c>
      <c r="AG698" s="279">
        <v>0</v>
      </c>
      <c r="AH698" s="279">
        <v>0</v>
      </c>
      <c r="AI698" s="279">
        <v>0</v>
      </c>
      <c r="AJ698" s="279">
        <v>0</v>
      </c>
      <c r="AK698" s="279">
        <v>0</v>
      </c>
      <c r="AL698" s="279">
        <v>0</v>
      </c>
      <c r="AM698" s="279">
        <v>0</v>
      </c>
      <c r="AN698" s="224" t="e">
        <f>SUM(#REF!)</f>
        <v>#REF!</v>
      </c>
      <c r="AO698" s="224">
        <f t="shared" si="81"/>
        <v>300</v>
      </c>
      <c r="AP698" s="224" t="e">
        <f t="shared" si="86"/>
        <v>#REF!</v>
      </c>
      <c r="AQ698" s="224"/>
      <c r="AR698" s="224"/>
      <c r="AS698" s="224"/>
      <c r="AT698" s="224" t="str">
        <f>IFERROR(VLOOKUP($A698,'Constancias POA'!$A$2:$DH$9993,17,FALSE),"")</f>
        <v/>
      </c>
      <c r="AU698" s="224" t="str">
        <f t="shared" si="87"/>
        <v/>
      </c>
      <c r="AV698" s="224" t="str">
        <f>IFERROR(VLOOKUP($A698,CP!$A$1:$U$7992,18,FALSE),"")</f>
        <v/>
      </c>
      <c r="AW698" s="224" t="str">
        <f>IFERROR(VLOOKUP($A698,CP!$A$1:$U$7992,19,FALSE),"")</f>
        <v/>
      </c>
      <c r="AX698" s="224" t="str">
        <f>IFERROR(VLOOKUP($A698,CP!$A$1:$U$7992,20,FALSE),"")</f>
        <v/>
      </c>
      <c r="AY698" s="224" t="str">
        <f>IFERROR(VLOOKUP($A698,CP!$A$1:$U$1,21,FALSE),"")</f>
        <v/>
      </c>
      <c r="AZ698" s="224" t="str">
        <f>IFERROR(VLOOKUP(A698,Devengado!$A$1:AJ1,35,FALSE),"")</f>
        <v/>
      </c>
      <c r="BA698" s="224" t="str">
        <f t="shared" si="82"/>
        <v/>
      </c>
      <c r="BB698" s="224" t="str">
        <f>IFERROR(AZ698/#REF!,"")</f>
        <v/>
      </c>
      <c r="BC698" s="224" t="str">
        <f>IFERROR(VLOOKUP($A698,Devengado!$A$1:$AI$1,22,FALSE),"")</f>
        <v/>
      </c>
      <c r="BD698" s="224" t="str">
        <f>IFERROR(VLOOKUP($A698,Devengado!$A$1:$AI$1,23,FALSE),"")</f>
        <v/>
      </c>
      <c r="BE698" s="224" t="str">
        <f>IFERROR(VLOOKUP($A698,Devengado!$A$1:$AI$1,24,FALSE),"")</f>
        <v/>
      </c>
      <c r="BF698" s="224" t="str">
        <f>IFERROR(VLOOKUP($A698,Devengado!$A$1:$AI$1,25,FALSE),"")</f>
        <v/>
      </c>
      <c r="BG698" s="224" t="str">
        <f>IFERROR(VLOOKUP($A698,Devengado!$A$1:$AI$1,26,FALSE),"")</f>
        <v/>
      </c>
      <c r="BH698" s="224" t="str">
        <f>IFERROR(VLOOKUP($A698,Devengado!$A$1:$AI$1,27,FALSE),"")</f>
        <v/>
      </c>
      <c r="BI698" s="224" t="str">
        <f>IFERROR(VLOOKUP($A698,Devengado!$A$1:$AI$1,28,FALSE),"")</f>
        <v/>
      </c>
      <c r="BJ698" s="224" t="str">
        <f>IFERROR(VLOOKUP($A698,Devengado!$A$1:$AI$1,29,FALSE),"")</f>
        <v/>
      </c>
      <c r="BK698" s="224" t="str">
        <f>IFERROR(VLOOKUP($A698,Devengado!$A$1:$AI$1,30,FALSE),"")</f>
        <v/>
      </c>
      <c r="BL698" s="224" t="str">
        <f>IFERROR(VLOOKUP($A698,Devengado!$A$1:$AI$1,31,FALSE),"")</f>
        <v/>
      </c>
      <c r="BM698" s="224" t="str">
        <f>IFERROR(VLOOKUP($A698,Devengado!$A$1:$AI$1,32,FALSE),"")</f>
        <v/>
      </c>
      <c r="BN698" s="224" t="str">
        <f>IFERROR(VLOOKUP($A698,Devengado!$A$1:$AI$1,33,FALSE),"")</f>
        <v/>
      </c>
      <c r="BO698" s="224">
        <f t="shared" si="83"/>
        <v>0</v>
      </c>
      <c r="BP698" s="224" t="str">
        <f t="shared" si="84"/>
        <v/>
      </c>
      <c r="BQ698" s="207"/>
      <c r="BR698" s="207" t="str">
        <f t="shared" si="85"/>
        <v>57</v>
      </c>
    </row>
    <row r="699" spans="1:70" s="225" customFormat="1" ht="25.5" customHeight="1">
      <c r="A699" s="207">
        <v>695</v>
      </c>
      <c r="B699" s="112" t="s">
        <v>621</v>
      </c>
      <c r="C699" s="112" t="s">
        <v>77</v>
      </c>
      <c r="D699" s="112" t="s">
        <v>77</v>
      </c>
      <c r="E699" s="112" t="s">
        <v>76</v>
      </c>
      <c r="F699" s="112" t="s">
        <v>77</v>
      </c>
      <c r="G699" s="112" t="s">
        <v>77</v>
      </c>
      <c r="H699" s="112" t="s">
        <v>77</v>
      </c>
      <c r="I699" s="112" t="s">
        <v>77</v>
      </c>
      <c r="J699" s="112" t="s">
        <v>77</v>
      </c>
      <c r="K699" s="112" t="s">
        <v>77</v>
      </c>
      <c r="L699" s="112" t="s">
        <v>85</v>
      </c>
      <c r="M699" s="112" t="s">
        <v>687</v>
      </c>
      <c r="N699" s="114" t="s">
        <v>623</v>
      </c>
      <c r="O699" s="123">
        <v>80</v>
      </c>
      <c r="P699" s="114" t="s">
        <v>81</v>
      </c>
      <c r="Q699" s="114" t="s">
        <v>112</v>
      </c>
      <c r="R699" s="115" t="str">
        <f t="shared" si="80"/>
        <v>57</v>
      </c>
      <c r="S699" s="112">
        <v>570102</v>
      </c>
      <c r="T699" s="122" t="e">
        <f>VLOOKUP(S699,ITEM!$C$1:$D$156,2,FALSE)</f>
        <v>#N/A</v>
      </c>
      <c r="U699" s="112">
        <v>101</v>
      </c>
      <c r="V699" s="114" t="s">
        <v>82</v>
      </c>
      <c r="W699" s="114" t="s">
        <v>84</v>
      </c>
      <c r="X699" s="114" t="s">
        <v>84</v>
      </c>
      <c r="Y699" s="224" t="e">
        <f>'Matriz POA 2024-TRABAJO'!#REF!</f>
        <v>#REF!</v>
      </c>
      <c r="Z699" s="224" t="e">
        <f>'Matriz POA 2024-TRABAJO'!#REF!</f>
        <v>#REF!</v>
      </c>
      <c r="AA699" s="224" t="e">
        <f>'Matriz POA 2024-TRABAJO'!#REF!</f>
        <v>#REF!</v>
      </c>
      <c r="AB699" s="279">
        <v>0</v>
      </c>
      <c r="AC699" s="279">
        <v>150</v>
      </c>
      <c r="AD699" s="279">
        <v>0</v>
      </c>
      <c r="AE699" s="279">
        <v>0</v>
      </c>
      <c r="AF699" s="279">
        <v>0</v>
      </c>
      <c r="AG699" s="279">
        <v>0</v>
      </c>
      <c r="AH699" s="279">
        <v>0</v>
      </c>
      <c r="AI699" s="279">
        <v>0</v>
      </c>
      <c r="AJ699" s="279">
        <v>0</v>
      </c>
      <c r="AK699" s="279">
        <v>0</v>
      </c>
      <c r="AL699" s="279">
        <v>0</v>
      </c>
      <c r="AM699" s="279">
        <v>0</v>
      </c>
      <c r="AN699" s="224" t="e">
        <f>SUM(#REF!)</f>
        <v>#REF!</v>
      </c>
      <c r="AO699" s="224">
        <f t="shared" si="81"/>
        <v>150</v>
      </c>
      <c r="AP699" s="224" t="e">
        <f t="shared" si="86"/>
        <v>#REF!</v>
      </c>
      <c r="AQ699" s="224"/>
      <c r="AR699" s="224"/>
      <c r="AS699" s="224"/>
      <c r="AT699" s="224" t="str">
        <f>IFERROR(VLOOKUP($A699,'Constancias POA'!$A$2:$DH$9993,17,FALSE),"")</f>
        <v/>
      </c>
      <c r="AU699" s="224" t="str">
        <f t="shared" si="87"/>
        <v/>
      </c>
      <c r="AV699" s="224" t="str">
        <f>IFERROR(VLOOKUP($A699,CP!$A$1:$U$7992,18,FALSE),"")</f>
        <v/>
      </c>
      <c r="AW699" s="224" t="str">
        <f>IFERROR(VLOOKUP($A699,CP!$A$1:$U$7992,19,FALSE),"")</f>
        <v/>
      </c>
      <c r="AX699" s="224" t="str">
        <f>IFERROR(VLOOKUP($A699,CP!$A$1:$U$7992,20,FALSE),"")</f>
        <v/>
      </c>
      <c r="AY699" s="224" t="str">
        <f>IFERROR(VLOOKUP($A699,CP!$A$1:$U$1,21,FALSE),"")</f>
        <v/>
      </c>
      <c r="AZ699" s="224" t="str">
        <f>IFERROR(VLOOKUP(A699,Devengado!$A$1:AJ1,35,FALSE),"")</f>
        <v/>
      </c>
      <c r="BA699" s="224" t="str">
        <f t="shared" si="82"/>
        <v/>
      </c>
      <c r="BB699" s="224" t="str">
        <f>IFERROR(AZ699/#REF!,"")</f>
        <v/>
      </c>
      <c r="BC699" s="224" t="str">
        <f>IFERROR(VLOOKUP($A699,Devengado!$A$1:$AI$1,22,FALSE),"")</f>
        <v/>
      </c>
      <c r="BD699" s="224" t="str">
        <f>IFERROR(VLOOKUP($A699,Devengado!$A$1:$AI$1,23,FALSE),"")</f>
        <v/>
      </c>
      <c r="BE699" s="224" t="str">
        <f>IFERROR(VLOOKUP($A699,Devengado!$A$1:$AI$1,24,FALSE),"")</f>
        <v/>
      </c>
      <c r="BF699" s="224" t="str">
        <f>IFERROR(VLOOKUP($A699,Devengado!$A$1:$AI$1,25,FALSE),"")</f>
        <v/>
      </c>
      <c r="BG699" s="224" t="str">
        <f>IFERROR(VLOOKUP($A699,Devengado!$A$1:$AI$1,26,FALSE),"")</f>
        <v/>
      </c>
      <c r="BH699" s="224" t="str">
        <f>IFERROR(VLOOKUP($A699,Devengado!$A$1:$AI$1,27,FALSE),"")</f>
        <v/>
      </c>
      <c r="BI699" s="224" t="str">
        <f>IFERROR(VLOOKUP($A699,Devengado!$A$1:$AI$1,28,FALSE),"")</f>
        <v/>
      </c>
      <c r="BJ699" s="224" t="str">
        <f>IFERROR(VLOOKUP($A699,Devengado!$A$1:$AI$1,29,FALSE),"")</f>
        <v/>
      </c>
      <c r="BK699" s="224" t="str">
        <f>IFERROR(VLOOKUP($A699,Devengado!$A$1:$AI$1,30,FALSE),"")</f>
        <v/>
      </c>
      <c r="BL699" s="224" t="str">
        <f>IFERROR(VLOOKUP($A699,Devengado!$A$1:$AI$1,31,FALSE),"")</f>
        <v/>
      </c>
      <c r="BM699" s="224" t="str">
        <f>IFERROR(VLOOKUP($A699,Devengado!$A$1:$AI$1,32,FALSE),"")</f>
        <v/>
      </c>
      <c r="BN699" s="224" t="str">
        <f>IFERROR(VLOOKUP($A699,Devengado!$A$1:$AI$1,33,FALSE),"")</f>
        <v/>
      </c>
      <c r="BO699" s="224">
        <f t="shared" si="83"/>
        <v>0</v>
      </c>
      <c r="BP699" s="224" t="str">
        <f t="shared" si="84"/>
        <v/>
      </c>
      <c r="BQ699" s="207"/>
      <c r="BR699" s="207" t="str">
        <f t="shared" si="85"/>
        <v>57</v>
      </c>
    </row>
    <row r="700" spans="1:70" s="225" customFormat="1" ht="25.5" customHeight="1">
      <c r="A700" s="207">
        <v>696</v>
      </c>
      <c r="B700" s="112" t="s">
        <v>621</v>
      </c>
      <c r="C700" s="112" t="s">
        <v>77</v>
      </c>
      <c r="D700" s="112" t="s">
        <v>77</v>
      </c>
      <c r="E700" s="112" t="s">
        <v>76</v>
      </c>
      <c r="F700" s="112" t="s">
        <v>77</v>
      </c>
      <c r="G700" s="112" t="s">
        <v>77</v>
      </c>
      <c r="H700" s="112" t="s">
        <v>77</v>
      </c>
      <c r="I700" s="112" t="s">
        <v>77</v>
      </c>
      <c r="J700" s="112" t="s">
        <v>77</v>
      </c>
      <c r="K700" s="112" t="s">
        <v>77</v>
      </c>
      <c r="L700" s="112" t="s">
        <v>85</v>
      </c>
      <c r="M700" s="112" t="s">
        <v>688</v>
      </c>
      <c r="N700" s="114" t="s">
        <v>623</v>
      </c>
      <c r="O700" s="123">
        <v>80</v>
      </c>
      <c r="P700" s="114" t="s">
        <v>81</v>
      </c>
      <c r="Q700" s="114" t="s">
        <v>112</v>
      </c>
      <c r="R700" s="115" t="str">
        <f t="shared" si="80"/>
        <v>57</v>
      </c>
      <c r="S700" s="112">
        <v>570102</v>
      </c>
      <c r="T700" s="122" t="e">
        <f>VLOOKUP(S700,ITEM!$C$1:$D$156,2,FALSE)</f>
        <v>#N/A</v>
      </c>
      <c r="U700" s="112">
        <v>101</v>
      </c>
      <c r="V700" s="114" t="s">
        <v>82</v>
      </c>
      <c r="W700" s="114" t="s">
        <v>84</v>
      </c>
      <c r="X700" s="114" t="s">
        <v>84</v>
      </c>
      <c r="Y700" s="224" t="e">
        <f>'Matriz POA 2024-TRABAJO'!#REF!</f>
        <v>#REF!</v>
      </c>
      <c r="Z700" s="224" t="e">
        <f>'Matriz POA 2024-TRABAJO'!#REF!</f>
        <v>#REF!</v>
      </c>
      <c r="AA700" s="224" t="e">
        <f>'Matriz POA 2024-TRABAJO'!#REF!</f>
        <v>#REF!</v>
      </c>
      <c r="AB700" s="279">
        <v>0</v>
      </c>
      <c r="AC700" s="279">
        <v>100</v>
      </c>
      <c r="AD700" s="279">
        <v>0</v>
      </c>
      <c r="AE700" s="279">
        <v>0</v>
      </c>
      <c r="AF700" s="279">
        <v>0</v>
      </c>
      <c r="AG700" s="279">
        <v>0</v>
      </c>
      <c r="AH700" s="279">
        <v>0</v>
      </c>
      <c r="AI700" s="279">
        <v>0</v>
      </c>
      <c r="AJ700" s="279">
        <v>0</v>
      </c>
      <c r="AK700" s="279">
        <v>0</v>
      </c>
      <c r="AL700" s="279">
        <v>0</v>
      </c>
      <c r="AM700" s="279">
        <v>0</v>
      </c>
      <c r="AN700" s="224" t="e">
        <f>SUM(#REF!)</f>
        <v>#REF!</v>
      </c>
      <c r="AO700" s="224">
        <f t="shared" si="81"/>
        <v>100</v>
      </c>
      <c r="AP700" s="224" t="e">
        <f t="shared" si="86"/>
        <v>#REF!</v>
      </c>
      <c r="AQ700" s="224"/>
      <c r="AR700" s="224"/>
      <c r="AS700" s="224"/>
      <c r="AT700" s="224" t="str">
        <f>IFERROR(VLOOKUP($A700,'Constancias POA'!$A$2:$DH$9993,17,FALSE),"")</f>
        <v/>
      </c>
      <c r="AU700" s="224" t="str">
        <f t="shared" si="87"/>
        <v/>
      </c>
      <c r="AV700" s="224" t="str">
        <f>IFERROR(VLOOKUP($A700,CP!$A$1:$U$7992,18,FALSE),"")</f>
        <v/>
      </c>
      <c r="AW700" s="224" t="str">
        <f>IFERROR(VLOOKUP($A700,CP!$A$1:$U$7992,19,FALSE),"")</f>
        <v/>
      </c>
      <c r="AX700" s="224" t="str">
        <f>IFERROR(VLOOKUP($A700,CP!$A$1:$U$7992,20,FALSE),"")</f>
        <v/>
      </c>
      <c r="AY700" s="224" t="str">
        <f>IFERROR(VLOOKUP($A700,CP!$A$1:$U$1,21,FALSE),"")</f>
        <v/>
      </c>
      <c r="AZ700" s="224" t="str">
        <f>IFERROR(VLOOKUP(A700,Devengado!$A$1:AJ1,35,FALSE),"")</f>
        <v/>
      </c>
      <c r="BA700" s="224" t="str">
        <f t="shared" si="82"/>
        <v/>
      </c>
      <c r="BB700" s="224" t="str">
        <f>IFERROR(AZ700/#REF!,"")</f>
        <v/>
      </c>
      <c r="BC700" s="224" t="str">
        <f>IFERROR(VLOOKUP($A700,Devengado!$A$1:$AI$1,22,FALSE),"")</f>
        <v/>
      </c>
      <c r="BD700" s="224" t="str">
        <f>IFERROR(VLOOKUP($A700,Devengado!$A$1:$AI$1,23,FALSE),"")</f>
        <v/>
      </c>
      <c r="BE700" s="224" t="str">
        <f>IFERROR(VLOOKUP($A700,Devengado!$A$1:$AI$1,24,FALSE),"")</f>
        <v/>
      </c>
      <c r="BF700" s="224" t="str">
        <f>IFERROR(VLOOKUP($A700,Devengado!$A$1:$AI$1,25,FALSE),"")</f>
        <v/>
      </c>
      <c r="BG700" s="224" t="str">
        <f>IFERROR(VLOOKUP($A700,Devengado!$A$1:$AI$1,26,FALSE),"")</f>
        <v/>
      </c>
      <c r="BH700" s="224" t="str">
        <f>IFERROR(VLOOKUP($A700,Devengado!$A$1:$AI$1,27,FALSE),"")</f>
        <v/>
      </c>
      <c r="BI700" s="224" t="str">
        <f>IFERROR(VLOOKUP($A700,Devengado!$A$1:$AI$1,28,FALSE),"")</f>
        <v/>
      </c>
      <c r="BJ700" s="224" t="str">
        <f>IFERROR(VLOOKUP($A700,Devengado!$A$1:$AI$1,29,FALSE),"")</f>
        <v/>
      </c>
      <c r="BK700" s="224" t="str">
        <f>IFERROR(VLOOKUP($A700,Devengado!$A$1:$AI$1,30,FALSE),"")</f>
        <v/>
      </c>
      <c r="BL700" s="224" t="str">
        <f>IFERROR(VLOOKUP($A700,Devengado!$A$1:$AI$1,31,FALSE),"")</f>
        <v/>
      </c>
      <c r="BM700" s="224" t="str">
        <f>IFERROR(VLOOKUP($A700,Devengado!$A$1:$AI$1,32,FALSE),"")</f>
        <v/>
      </c>
      <c r="BN700" s="224" t="str">
        <f>IFERROR(VLOOKUP($A700,Devengado!$A$1:$AI$1,33,FALSE),"")</f>
        <v/>
      </c>
      <c r="BO700" s="224">
        <f t="shared" si="83"/>
        <v>0</v>
      </c>
      <c r="BP700" s="224" t="str">
        <f t="shared" si="84"/>
        <v/>
      </c>
      <c r="BQ700" s="207"/>
      <c r="BR700" s="207" t="str">
        <f t="shared" si="85"/>
        <v>57</v>
      </c>
    </row>
    <row r="701" spans="1:70" s="225" customFormat="1" ht="25.5" customHeight="1">
      <c r="A701" s="207">
        <v>697</v>
      </c>
      <c r="B701" s="112" t="s">
        <v>621</v>
      </c>
      <c r="C701" s="112" t="s">
        <v>77</v>
      </c>
      <c r="D701" s="112" t="s">
        <v>77</v>
      </c>
      <c r="E701" s="112" t="s">
        <v>76</v>
      </c>
      <c r="F701" s="112" t="s">
        <v>77</v>
      </c>
      <c r="G701" s="112" t="s">
        <v>77</v>
      </c>
      <c r="H701" s="112" t="s">
        <v>77</v>
      </c>
      <c r="I701" s="112" t="s">
        <v>77</v>
      </c>
      <c r="J701" s="112" t="s">
        <v>77</v>
      </c>
      <c r="K701" s="112" t="s">
        <v>77</v>
      </c>
      <c r="L701" s="112" t="s">
        <v>85</v>
      </c>
      <c r="M701" s="112" t="s">
        <v>689</v>
      </c>
      <c r="N701" s="114" t="s">
        <v>623</v>
      </c>
      <c r="O701" s="123">
        <v>80</v>
      </c>
      <c r="P701" s="114" t="s">
        <v>81</v>
      </c>
      <c r="Q701" s="114" t="s">
        <v>112</v>
      </c>
      <c r="R701" s="115" t="str">
        <f t="shared" si="80"/>
        <v>57</v>
      </c>
      <c r="S701" s="112">
        <v>570104</v>
      </c>
      <c r="T701" s="122" t="e">
        <f>VLOOKUP(S701,ITEM!$C$1:$D$156,2,FALSE)</f>
        <v>#N/A</v>
      </c>
      <c r="U701" s="112">
        <v>101</v>
      </c>
      <c r="V701" s="114" t="s">
        <v>82</v>
      </c>
      <c r="W701" s="114" t="s">
        <v>84</v>
      </c>
      <c r="X701" s="114" t="s">
        <v>84</v>
      </c>
      <c r="Y701" s="224" t="e">
        <f>'Matriz POA 2024-TRABAJO'!#REF!</f>
        <v>#REF!</v>
      </c>
      <c r="Z701" s="224" t="e">
        <f>'Matriz POA 2024-TRABAJO'!#REF!</f>
        <v>#REF!</v>
      </c>
      <c r="AA701" s="224" t="e">
        <f>'Matriz POA 2024-TRABAJO'!#REF!</f>
        <v>#REF!</v>
      </c>
      <c r="AB701" s="279">
        <v>0</v>
      </c>
      <c r="AC701" s="279">
        <v>2500</v>
      </c>
      <c r="AD701" s="279">
        <v>0</v>
      </c>
      <c r="AE701" s="279">
        <v>0</v>
      </c>
      <c r="AF701" s="279">
        <v>0</v>
      </c>
      <c r="AG701" s="279">
        <v>0</v>
      </c>
      <c r="AH701" s="279">
        <v>0</v>
      </c>
      <c r="AI701" s="279">
        <v>0</v>
      </c>
      <c r="AJ701" s="279">
        <v>0</v>
      </c>
      <c r="AK701" s="279">
        <v>0</v>
      </c>
      <c r="AL701" s="279">
        <v>0</v>
      </c>
      <c r="AM701" s="279">
        <v>0</v>
      </c>
      <c r="AN701" s="224" t="e">
        <f>SUM(#REF!)</f>
        <v>#REF!</v>
      </c>
      <c r="AO701" s="224">
        <f t="shared" si="81"/>
        <v>2500</v>
      </c>
      <c r="AP701" s="224" t="e">
        <f t="shared" si="86"/>
        <v>#REF!</v>
      </c>
      <c r="AQ701" s="224"/>
      <c r="AR701" s="224"/>
      <c r="AS701" s="224"/>
      <c r="AT701" s="224" t="str">
        <f>IFERROR(VLOOKUP($A701,'Constancias POA'!$A$2:$DH$9993,17,FALSE),"")</f>
        <v/>
      </c>
      <c r="AU701" s="224" t="str">
        <f t="shared" si="87"/>
        <v/>
      </c>
      <c r="AV701" s="224" t="str">
        <f>IFERROR(VLOOKUP($A701,CP!$A$1:$U$7992,18,FALSE),"")</f>
        <v/>
      </c>
      <c r="AW701" s="224" t="str">
        <f>IFERROR(VLOOKUP($A701,CP!$A$1:$U$7992,19,FALSE),"")</f>
        <v/>
      </c>
      <c r="AX701" s="224" t="str">
        <f>IFERROR(VLOOKUP($A701,CP!$A$1:$U$7992,20,FALSE),"")</f>
        <v/>
      </c>
      <c r="AY701" s="224" t="str">
        <f>IFERROR(VLOOKUP($A701,CP!$A$1:$U$1,21,FALSE),"")</f>
        <v/>
      </c>
      <c r="AZ701" s="224" t="str">
        <f>IFERROR(VLOOKUP(A701,Devengado!$A$1:AJ1,35,FALSE),"")</f>
        <v/>
      </c>
      <c r="BA701" s="224" t="str">
        <f t="shared" si="82"/>
        <v/>
      </c>
      <c r="BB701" s="224" t="str">
        <f>IFERROR(AZ701/#REF!,"")</f>
        <v/>
      </c>
      <c r="BC701" s="224" t="str">
        <f>IFERROR(VLOOKUP($A701,Devengado!$A$1:$AI$1,22,FALSE),"")</f>
        <v/>
      </c>
      <c r="BD701" s="224" t="str">
        <f>IFERROR(VLOOKUP($A701,Devengado!$A$1:$AI$1,23,FALSE),"")</f>
        <v/>
      </c>
      <c r="BE701" s="224" t="str">
        <f>IFERROR(VLOOKUP($A701,Devengado!$A$1:$AI$1,24,FALSE),"")</f>
        <v/>
      </c>
      <c r="BF701" s="224" t="str">
        <f>IFERROR(VLOOKUP($A701,Devengado!$A$1:$AI$1,25,FALSE),"")</f>
        <v/>
      </c>
      <c r="BG701" s="224" t="str">
        <f>IFERROR(VLOOKUP($A701,Devengado!$A$1:$AI$1,26,FALSE),"")</f>
        <v/>
      </c>
      <c r="BH701" s="224" t="str">
        <f>IFERROR(VLOOKUP($A701,Devengado!$A$1:$AI$1,27,FALSE),"")</f>
        <v/>
      </c>
      <c r="BI701" s="224" t="str">
        <f>IFERROR(VLOOKUP($A701,Devengado!$A$1:$AI$1,28,FALSE),"")</f>
        <v/>
      </c>
      <c r="BJ701" s="224" t="str">
        <f>IFERROR(VLOOKUP($A701,Devengado!$A$1:$AI$1,29,FALSE),"")</f>
        <v/>
      </c>
      <c r="BK701" s="224" t="str">
        <f>IFERROR(VLOOKUP($A701,Devengado!$A$1:$AI$1,30,FALSE),"")</f>
        <v/>
      </c>
      <c r="BL701" s="224" t="str">
        <f>IFERROR(VLOOKUP($A701,Devengado!$A$1:$AI$1,31,FALSE),"")</f>
        <v/>
      </c>
      <c r="BM701" s="224" t="str">
        <f>IFERROR(VLOOKUP($A701,Devengado!$A$1:$AI$1,32,FALSE),"")</f>
        <v/>
      </c>
      <c r="BN701" s="224" t="str">
        <f>IFERROR(VLOOKUP($A701,Devengado!$A$1:$AI$1,33,FALSE),"")</f>
        <v/>
      </c>
      <c r="BO701" s="224">
        <f t="shared" si="83"/>
        <v>0</v>
      </c>
      <c r="BP701" s="224" t="str">
        <f t="shared" si="84"/>
        <v/>
      </c>
      <c r="BQ701" s="207"/>
      <c r="BR701" s="207" t="str">
        <f t="shared" si="85"/>
        <v>57</v>
      </c>
    </row>
    <row r="702" spans="1:70" s="225" customFormat="1" ht="25.5" customHeight="1">
      <c r="A702" s="207">
        <v>698</v>
      </c>
      <c r="B702" s="112" t="s">
        <v>621</v>
      </c>
      <c r="C702" s="112" t="s">
        <v>77</v>
      </c>
      <c r="D702" s="112" t="s">
        <v>77</v>
      </c>
      <c r="E702" s="112" t="s">
        <v>76</v>
      </c>
      <c r="F702" s="112" t="s">
        <v>77</v>
      </c>
      <c r="G702" s="112" t="s">
        <v>77</v>
      </c>
      <c r="H702" s="112" t="s">
        <v>77</v>
      </c>
      <c r="I702" s="112" t="s">
        <v>77</v>
      </c>
      <c r="J702" s="112" t="s">
        <v>77</v>
      </c>
      <c r="K702" s="112" t="s">
        <v>77</v>
      </c>
      <c r="L702" s="112" t="s">
        <v>85</v>
      </c>
      <c r="M702" s="112" t="s">
        <v>690</v>
      </c>
      <c r="N702" s="114" t="s">
        <v>623</v>
      </c>
      <c r="O702" s="123">
        <v>80</v>
      </c>
      <c r="P702" s="114" t="s">
        <v>81</v>
      </c>
      <c r="Q702" s="114" t="s">
        <v>112</v>
      </c>
      <c r="R702" s="115" t="str">
        <f t="shared" si="80"/>
        <v>99</v>
      </c>
      <c r="S702" s="112">
        <v>990101</v>
      </c>
      <c r="T702" s="122" t="e">
        <f>VLOOKUP(S702,ITEM!$C$1:$D$156,2,FALSE)</f>
        <v>#N/A</v>
      </c>
      <c r="U702" s="112">
        <v>101</v>
      </c>
      <c r="V702" s="114" t="s">
        <v>82</v>
      </c>
      <c r="W702" s="114" t="s">
        <v>84</v>
      </c>
      <c r="X702" s="114" t="s">
        <v>84</v>
      </c>
      <c r="Y702" s="224" t="e">
        <f>'Matriz POA 2024-TRABAJO'!#REF!</f>
        <v>#REF!</v>
      </c>
      <c r="Z702" s="224" t="e">
        <f>'Matriz POA 2024-TRABAJO'!#REF!</f>
        <v>#REF!</v>
      </c>
      <c r="AA702" s="224" t="e">
        <f>'Matriz POA 2024-TRABAJO'!#REF!</f>
        <v>#REF!</v>
      </c>
      <c r="AB702" s="279">
        <v>0</v>
      </c>
      <c r="AC702" s="279">
        <v>0</v>
      </c>
      <c r="AD702" s="279">
        <v>0</v>
      </c>
      <c r="AE702" s="279">
        <v>0</v>
      </c>
      <c r="AF702" s="279">
        <v>0</v>
      </c>
      <c r="AG702" s="279">
        <v>0</v>
      </c>
      <c r="AH702" s="279">
        <v>0</v>
      </c>
      <c r="AI702" s="279">
        <v>0</v>
      </c>
      <c r="AJ702" s="279">
        <v>0</v>
      </c>
      <c r="AK702" s="279">
        <v>0</v>
      </c>
      <c r="AL702" s="279">
        <v>0</v>
      </c>
      <c r="AM702" s="279">
        <v>0</v>
      </c>
      <c r="AN702" s="224" t="e">
        <f>SUM(#REF!)</f>
        <v>#REF!</v>
      </c>
      <c r="AO702" s="224">
        <f t="shared" si="81"/>
        <v>0</v>
      </c>
      <c r="AP702" s="224" t="e">
        <f t="shared" si="86"/>
        <v>#REF!</v>
      </c>
      <c r="AQ702" s="224"/>
      <c r="AR702" s="224"/>
      <c r="AS702" s="224"/>
      <c r="AT702" s="224" t="str">
        <f>IFERROR(VLOOKUP($A702,'Constancias POA'!$A$2:$DH$9993,17,FALSE),"")</f>
        <v/>
      </c>
      <c r="AU702" s="224" t="str">
        <f t="shared" si="87"/>
        <v/>
      </c>
      <c r="AV702" s="224" t="str">
        <f>IFERROR(VLOOKUP($A702,CP!$A$1:$U$7992,18,FALSE),"")</f>
        <v/>
      </c>
      <c r="AW702" s="224" t="str">
        <f>IFERROR(VLOOKUP($A702,CP!$A$1:$U$7992,19,FALSE),"")</f>
        <v/>
      </c>
      <c r="AX702" s="224" t="str">
        <f>IFERROR(VLOOKUP($A702,CP!$A$1:$U$7992,20,FALSE),"")</f>
        <v/>
      </c>
      <c r="AY702" s="224" t="str">
        <f>IFERROR(VLOOKUP($A702,CP!$A$1:$U$1,21,FALSE),"")</f>
        <v/>
      </c>
      <c r="AZ702" s="224" t="str">
        <f>IFERROR(VLOOKUP(A702,Devengado!$A$1:AJ1,35,FALSE),"")</f>
        <v/>
      </c>
      <c r="BA702" s="224" t="str">
        <f t="shared" si="82"/>
        <v/>
      </c>
      <c r="BB702" s="224" t="str">
        <f>IFERROR(AZ702/#REF!,"")</f>
        <v/>
      </c>
      <c r="BC702" s="224" t="str">
        <f>IFERROR(VLOOKUP($A702,Devengado!$A$1:$AI$1,22,FALSE),"")</f>
        <v/>
      </c>
      <c r="BD702" s="224" t="str">
        <f>IFERROR(VLOOKUP($A702,Devengado!$A$1:$AI$1,23,FALSE),"")</f>
        <v/>
      </c>
      <c r="BE702" s="224" t="str">
        <f>IFERROR(VLOOKUP($A702,Devengado!$A$1:$AI$1,24,FALSE),"")</f>
        <v/>
      </c>
      <c r="BF702" s="224" t="str">
        <f>IFERROR(VLOOKUP($A702,Devengado!$A$1:$AI$1,25,FALSE),"")</f>
        <v/>
      </c>
      <c r="BG702" s="224" t="str">
        <f>IFERROR(VLOOKUP($A702,Devengado!$A$1:$AI$1,26,FALSE),"")</f>
        <v/>
      </c>
      <c r="BH702" s="224" t="str">
        <f>IFERROR(VLOOKUP($A702,Devengado!$A$1:$AI$1,27,FALSE),"")</f>
        <v/>
      </c>
      <c r="BI702" s="224" t="str">
        <f>IFERROR(VLOOKUP($A702,Devengado!$A$1:$AI$1,28,FALSE),"")</f>
        <v/>
      </c>
      <c r="BJ702" s="224" t="str">
        <f>IFERROR(VLOOKUP($A702,Devengado!$A$1:$AI$1,29,FALSE),"")</f>
        <v/>
      </c>
      <c r="BK702" s="224" t="str">
        <f>IFERROR(VLOOKUP($A702,Devengado!$A$1:$AI$1,30,FALSE),"")</f>
        <v/>
      </c>
      <c r="BL702" s="224" t="str">
        <f>IFERROR(VLOOKUP($A702,Devengado!$A$1:$AI$1,31,FALSE),"")</f>
        <v/>
      </c>
      <c r="BM702" s="224" t="str">
        <f>IFERROR(VLOOKUP($A702,Devengado!$A$1:$AI$1,32,FALSE),"")</f>
        <v/>
      </c>
      <c r="BN702" s="224" t="str">
        <f>IFERROR(VLOOKUP($A702,Devengado!$A$1:$AI$1,33,FALSE),"")</f>
        <v/>
      </c>
      <c r="BO702" s="224">
        <f t="shared" si="83"/>
        <v>0</v>
      </c>
      <c r="BP702" s="224" t="str">
        <f t="shared" si="84"/>
        <v/>
      </c>
      <c r="BQ702" s="207"/>
      <c r="BR702" s="207" t="str">
        <f t="shared" si="85"/>
        <v>99</v>
      </c>
    </row>
    <row r="703" spans="1:70" s="225" customFormat="1" ht="25.5" customHeight="1">
      <c r="A703" s="207">
        <v>699</v>
      </c>
      <c r="B703" s="112" t="s">
        <v>621</v>
      </c>
      <c r="C703" s="112" t="s">
        <v>77</v>
      </c>
      <c r="D703" s="112" t="s">
        <v>77</v>
      </c>
      <c r="E703" s="112" t="s">
        <v>76</v>
      </c>
      <c r="F703" s="112" t="s">
        <v>77</v>
      </c>
      <c r="G703" s="112" t="s">
        <v>77</v>
      </c>
      <c r="H703" s="112" t="s">
        <v>77</v>
      </c>
      <c r="I703" s="112" t="s">
        <v>77</v>
      </c>
      <c r="J703" s="112" t="s">
        <v>77</v>
      </c>
      <c r="K703" s="112" t="s">
        <v>77</v>
      </c>
      <c r="L703" s="112" t="s">
        <v>85</v>
      </c>
      <c r="M703" s="112" t="s">
        <v>691</v>
      </c>
      <c r="N703" s="114" t="s">
        <v>623</v>
      </c>
      <c r="O703" s="123">
        <v>80</v>
      </c>
      <c r="P703" s="114" t="s">
        <v>81</v>
      </c>
      <c r="Q703" s="114" t="s">
        <v>112</v>
      </c>
      <c r="R703" s="115" t="str">
        <f t="shared" si="80"/>
        <v>53</v>
      </c>
      <c r="S703" s="112">
        <v>530402</v>
      </c>
      <c r="T703" s="122" t="str">
        <f>VLOOKUP(S703,ITEM!$C$1:$D$156,2,FALSE)</f>
        <v>Edificios, Locales, Residencias y Cableado Estructurado (Instalación, Mantenimiento y Reparación)</v>
      </c>
      <c r="U703" s="112">
        <v>101</v>
      </c>
      <c r="V703" s="114" t="s">
        <v>82</v>
      </c>
      <c r="W703" s="114" t="s">
        <v>84</v>
      </c>
      <c r="X703" s="114" t="s">
        <v>84</v>
      </c>
      <c r="Y703" s="224" t="e">
        <f>'Matriz POA 2024-TRABAJO'!#REF!</f>
        <v>#REF!</v>
      </c>
      <c r="Z703" s="224" t="e">
        <f>'Matriz POA 2024-TRABAJO'!#REF!</f>
        <v>#REF!</v>
      </c>
      <c r="AA703" s="224" t="e">
        <f>'Matriz POA 2024-TRABAJO'!#REF!</f>
        <v>#REF!</v>
      </c>
      <c r="AB703" s="279">
        <v>0</v>
      </c>
      <c r="AC703" s="279">
        <v>0</v>
      </c>
      <c r="AD703" s="279">
        <v>0</v>
      </c>
      <c r="AE703" s="279">
        <v>0</v>
      </c>
      <c r="AF703" s="279">
        <v>0</v>
      </c>
      <c r="AG703" s="279">
        <v>0</v>
      </c>
      <c r="AH703" s="279">
        <v>0</v>
      </c>
      <c r="AI703" s="279">
        <v>0</v>
      </c>
      <c r="AJ703" s="279">
        <v>0</v>
      </c>
      <c r="AK703" s="279">
        <v>0</v>
      </c>
      <c r="AL703" s="279">
        <v>0</v>
      </c>
      <c r="AM703" s="279">
        <v>0</v>
      </c>
      <c r="AN703" s="224" t="e">
        <f>SUM(#REF!)</f>
        <v>#REF!</v>
      </c>
      <c r="AO703" s="224">
        <f t="shared" si="81"/>
        <v>0</v>
      </c>
      <c r="AP703" s="224" t="e">
        <f t="shared" si="86"/>
        <v>#REF!</v>
      </c>
      <c r="AQ703" s="224"/>
      <c r="AR703" s="224"/>
      <c r="AS703" s="224"/>
      <c r="AT703" s="224" t="str">
        <f>IFERROR(VLOOKUP($A703,'Constancias POA'!$A$2:$DH$9993,17,FALSE),"")</f>
        <v/>
      </c>
      <c r="AU703" s="224" t="str">
        <f t="shared" si="87"/>
        <v/>
      </c>
      <c r="AV703" s="224" t="str">
        <f>IFERROR(VLOOKUP($A703,CP!$A$1:$U$7992,18,FALSE),"")</f>
        <v/>
      </c>
      <c r="AW703" s="224" t="str">
        <f>IFERROR(VLOOKUP($A703,CP!$A$1:$U$7992,19,FALSE),"")</f>
        <v/>
      </c>
      <c r="AX703" s="224" t="str">
        <f>IFERROR(VLOOKUP($A703,CP!$A$1:$U$7992,20,FALSE),"")</f>
        <v/>
      </c>
      <c r="AY703" s="224" t="str">
        <f>IFERROR(VLOOKUP($A703,CP!$A$1:$U$1,21,FALSE),"")</f>
        <v/>
      </c>
      <c r="AZ703" s="224" t="str">
        <f>IFERROR(VLOOKUP(A703,Devengado!$A$1:AJ1,35,FALSE),"")</f>
        <v/>
      </c>
      <c r="BA703" s="224" t="str">
        <f t="shared" si="82"/>
        <v/>
      </c>
      <c r="BB703" s="224" t="str">
        <f>IFERROR(AZ703/#REF!,"")</f>
        <v/>
      </c>
      <c r="BC703" s="224" t="str">
        <f>IFERROR(VLOOKUP($A703,Devengado!$A$1:$AI$1,22,FALSE),"")</f>
        <v/>
      </c>
      <c r="BD703" s="224" t="str">
        <f>IFERROR(VLOOKUP($A703,Devengado!$A$1:$AI$1,23,FALSE),"")</f>
        <v/>
      </c>
      <c r="BE703" s="224" t="str">
        <f>IFERROR(VLOOKUP($A703,Devengado!$A$1:$AI$1,24,FALSE),"")</f>
        <v/>
      </c>
      <c r="BF703" s="224" t="str">
        <f>IFERROR(VLOOKUP($A703,Devengado!$A$1:$AI$1,25,FALSE),"")</f>
        <v/>
      </c>
      <c r="BG703" s="224" t="str">
        <f>IFERROR(VLOOKUP($A703,Devengado!$A$1:$AI$1,26,FALSE),"")</f>
        <v/>
      </c>
      <c r="BH703" s="224" t="str">
        <f>IFERROR(VLOOKUP($A703,Devengado!$A$1:$AI$1,27,FALSE),"")</f>
        <v/>
      </c>
      <c r="BI703" s="224" t="str">
        <f>IFERROR(VLOOKUP($A703,Devengado!$A$1:$AI$1,28,FALSE),"")</f>
        <v/>
      </c>
      <c r="BJ703" s="224" t="str">
        <f>IFERROR(VLOOKUP($A703,Devengado!$A$1:$AI$1,29,FALSE),"")</f>
        <v/>
      </c>
      <c r="BK703" s="224" t="str">
        <f>IFERROR(VLOOKUP($A703,Devengado!$A$1:$AI$1,30,FALSE),"")</f>
        <v/>
      </c>
      <c r="BL703" s="224" t="str">
        <f>IFERROR(VLOOKUP($A703,Devengado!$A$1:$AI$1,31,FALSE),"")</f>
        <v/>
      </c>
      <c r="BM703" s="224" t="str">
        <f>IFERROR(VLOOKUP($A703,Devengado!$A$1:$AI$1,32,FALSE),"")</f>
        <v/>
      </c>
      <c r="BN703" s="224" t="str">
        <f>IFERROR(VLOOKUP($A703,Devengado!$A$1:$AI$1,33,FALSE),"")</f>
        <v/>
      </c>
      <c r="BO703" s="224">
        <f t="shared" si="83"/>
        <v>0</v>
      </c>
      <c r="BP703" s="224" t="str">
        <f t="shared" si="84"/>
        <v/>
      </c>
      <c r="BQ703" s="207"/>
      <c r="BR703" s="207" t="str">
        <f t="shared" si="85"/>
        <v>53</v>
      </c>
    </row>
    <row r="704" spans="1:70" s="225" customFormat="1" ht="25.5" customHeight="1">
      <c r="A704" s="207">
        <v>700</v>
      </c>
      <c r="B704" s="112" t="s">
        <v>621</v>
      </c>
      <c r="C704" s="112" t="s">
        <v>77</v>
      </c>
      <c r="D704" s="112" t="s">
        <v>77</v>
      </c>
      <c r="E704" s="112" t="s">
        <v>76</v>
      </c>
      <c r="F704" s="112" t="s">
        <v>77</v>
      </c>
      <c r="G704" s="112" t="s">
        <v>77</v>
      </c>
      <c r="H704" s="112" t="s">
        <v>77</v>
      </c>
      <c r="I704" s="112" t="s">
        <v>77</v>
      </c>
      <c r="J704" s="112" t="s">
        <v>77</v>
      </c>
      <c r="K704" s="112" t="s">
        <v>77</v>
      </c>
      <c r="L704" s="112" t="s">
        <v>85</v>
      </c>
      <c r="M704" s="112" t="s">
        <v>692</v>
      </c>
      <c r="N704" s="114" t="s">
        <v>623</v>
      </c>
      <c r="O704" s="123">
        <v>80</v>
      </c>
      <c r="P704" s="114" t="s">
        <v>81</v>
      </c>
      <c r="Q704" s="114" t="s">
        <v>112</v>
      </c>
      <c r="R704" s="115" t="str">
        <f t="shared" si="80"/>
        <v>53</v>
      </c>
      <c r="S704" s="112">
        <v>530402</v>
      </c>
      <c r="T704" s="122" t="str">
        <f>VLOOKUP(S704,ITEM!$C$1:$D$156,2,FALSE)</f>
        <v>Edificios, Locales, Residencias y Cableado Estructurado (Instalación, Mantenimiento y Reparación)</v>
      </c>
      <c r="U704" s="112">
        <v>101</v>
      </c>
      <c r="V704" s="114" t="s">
        <v>82</v>
      </c>
      <c r="W704" s="114" t="s">
        <v>84</v>
      </c>
      <c r="X704" s="114" t="s">
        <v>84</v>
      </c>
      <c r="Y704" s="224" t="e">
        <f>'Matriz POA 2024-TRABAJO'!#REF!</f>
        <v>#REF!</v>
      </c>
      <c r="Z704" s="224" t="e">
        <f>'Matriz POA 2024-TRABAJO'!#REF!</f>
        <v>#REF!</v>
      </c>
      <c r="AA704" s="224" t="e">
        <f>'Matriz POA 2024-TRABAJO'!#REF!</f>
        <v>#REF!</v>
      </c>
      <c r="AB704" s="279">
        <v>0</v>
      </c>
      <c r="AC704" s="279">
        <v>0</v>
      </c>
      <c r="AD704" s="279">
        <v>0</v>
      </c>
      <c r="AE704" s="279">
        <v>0</v>
      </c>
      <c r="AF704" s="279">
        <v>0</v>
      </c>
      <c r="AG704" s="279">
        <v>0</v>
      </c>
      <c r="AH704" s="279">
        <v>0</v>
      </c>
      <c r="AI704" s="279">
        <v>0</v>
      </c>
      <c r="AJ704" s="279">
        <v>0</v>
      </c>
      <c r="AK704" s="279">
        <v>0</v>
      </c>
      <c r="AL704" s="279">
        <v>0</v>
      </c>
      <c r="AM704" s="279">
        <v>0</v>
      </c>
      <c r="AN704" s="224" t="e">
        <f>SUM(#REF!)</f>
        <v>#REF!</v>
      </c>
      <c r="AO704" s="224">
        <f t="shared" si="81"/>
        <v>0</v>
      </c>
      <c r="AP704" s="224" t="e">
        <f t="shared" si="86"/>
        <v>#REF!</v>
      </c>
      <c r="AQ704" s="224"/>
      <c r="AR704" s="224"/>
      <c r="AS704" s="224"/>
      <c r="AT704" s="224" t="str">
        <f>IFERROR(VLOOKUP($A704,'Constancias POA'!$A$2:$DH$9993,17,FALSE),"")</f>
        <v/>
      </c>
      <c r="AU704" s="224" t="str">
        <f t="shared" si="87"/>
        <v/>
      </c>
      <c r="AV704" s="224" t="str">
        <f>IFERROR(VLOOKUP($A704,CP!$A$1:$U$7992,18,FALSE),"")</f>
        <v/>
      </c>
      <c r="AW704" s="224" t="str">
        <f>IFERROR(VLOOKUP($A704,CP!$A$1:$U$7992,19,FALSE),"")</f>
        <v/>
      </c>
      <c r="AX704" s="224" t="str">
        <f>IFERROR(VLOOKUP($A704,CP!$A$1:$U$7992,20,FALSE),"")</f>
        <v/>
      </c>
      <c r="AY704" s="224" t="str">
        <f>IFERROR(VLOOKUP($A704,CP!$A$1:$U$1,21,FALSE),"")</f>
        <v/>
      </c>
      <c r="AZ704" s="224" t="str">
        <f>IFERROR(VLOOKUP(A704,Devengado!$A$1:AJ1,35,FALSE),"")</f>
        <v/>
      </c>
      <c r="BA704" s="224" t="str">
        <f t="shared" si="82"/>
        <v/>
      </c>
      <c r="BB704" s="224" t="str">
        <f>IFERROR(AZ704/#REF!,"")</f>
        <v/>
      </c>
      <c r="BC704" s="224" t="str">
        <f>IFERROR(VLOOKUP($A704,Devengado!$A$1:$AI$1,22,FALSE),"")</f>
        <v/>
      </c>
      <c r="BD704" s="224" t="str">
        <f>IFERROR(VLOOKUP($A704,Devengado!$A$1:$AI$1,23,FALSE),"")</f>
        <v/>
      </c>
      <c r="BE704" s="224" t="str">
        <f>IFERROR(VLOOKUP($A704,Devengado!$A$1:$AI$1,24,FALSE),"")</f>
        <v/>
      </c>
      <c r="BF704" s="224" t="str">
        <f>IFERROR(VLOOKUP($A704,Devengado!$A$1:$AI$1,25,FALSE),"")</f>
        <v/>
      </c>
      <c r="BG704" s="224" t="str">
        <f>IFERROR(VLOOKUP($A704,Devengado!$A$1:$AI$1,26,FALSE),"")</f>
        <v/>
      </c>
      <c r="BH704" s="224" t="str">
        <f>IFERROR(VLOOKUP($A704,Devengado!$A$1:$AI$1,27,FALSE),"")</f>
        <v/>
      </c>
      <c r="BI704" s="224" t="str">
        <f>IFERROR(VLOOKUP($A704,Devengado!$A$1:$AI$1,28,FALSE),"")</f>
        <v/>
      </c>
      <c r="BJ704" s="224" t="str">
        <f>IFERROR(VLOOKUP($A704,Devengado!$A$1:$AI$1,29,FALSE),"")</f>
        <v/>
      </c>
      <c r="BK704" s="224" t="str">
        <f>IFERROR(VLOOKUP($A704,Devengado!$A$1:$AI$1,30,FALSE),"")</f>
        <v/>
      </c>
      <c r="BL704" s="224" t="str">
        <f>IFERROR(VLOOKUP($A704,Devengado!$A$1:$AI$1,31,FALSE),"")</f>
        <v/>
      </c>
      <c r="BM704" s="224" t="str">
        <f>IFERROR(VLOOKUP($A704,Devengado!$A$1:$AI$1,32,FALSE),"")</f>
        <v/>
      </c>
      <c r="BN704" s="224" t="str">
        <f>IFERROR(VLOOKUP($A704,Devengado!$A$1:$AI$1,33,FALSE),"")</f>
        <v/>
      </c>
      <c r="BO704" s="224">
        <f t="shared" si="83"/>
        <v>0</v>
      </c>
      <c r="BP704" s="224" t="str">
        <f t="shared" si="84"/>
        <v/>
      </c>
      <c r="BQ704" s="207"/>
      <c r="BR704" s="207" t="str">
        <f t="shared" si="85"/>
        <v>53</v>
      </c>
    </row>
    <row r="705" spans="1:70" s="225" customFormat="1" ht="25.5" customHeight="1">
      <c r="A705" s="207">
        <v>701</v>
      </c>
      <c r="B705" s="112" t="s">
        <v>621</v>
      </c>
      <c r="C705" s="112" t="s">
        <v>77</v>
      </c>
      <c r="D705" s="112" t="s">
        <v>77</v>
      </c>
      <c r="E705" s="112" t="s">
        <v>76</v>
      </c>
      <c r="F705" s="112" t="s">
        <v>77</v>
      </c>
      <c r="G705" s="112" t="s">
        <v>77</v>
      </c>
      <c r="H705" s="112" t="s">
        <v>77</v>
      </c>
      <c r="I705" s="112" t="s">
        <v>77</v>
      </c>
      <c r="J705" s="112" t="s">
        <v>77</v>
      </c>
      <c r="K705" s="112" t="s">
        <v>77</v>
      </c>
      <c r="L705" s="112" t="s">
        <v>85</v>
      </c>
      <c r="M705" s="112" t="s">
        <v>693</v>
      </c>
      <c r="N705" s="114" t="s">
        <v>623</v>
      </c>
      <c r="O705" s="123">
        <v>80</v>
      </c>
      <c r="P705" s="114" t="s">
        <v>81</v>
      </c>
      <c r="Q705" s="114" t="s">
        <v>112</v>
      </c>
      <c r="R705" s="115" t="str">
        <f t="shared" si="80"/>
        <v>53</v>
      </c>
      <c r="S705" s="134">
        <v>530609</v>
      </c>
      <c r="T705" s="122" t="e">
        <f>VLOOKUP(S705,ITEM!$C$1:$D$156,2,FALSE)</f>
        <v>#N/A</v>
      </c>
      <c r="U705" s="112">
        <v>101</v>
      </c>
      <c r="V705" s="114" t="s">
        <v>82</v>
      </c>
      <c r="W705" s="114" t="s">
        <v>84</v>
      </c>
      <c r="X705" s="114" t="s">
        <v>84</v>
      </c>
      <c r="Y705" s="224" t="e">
        <f>'Matriz POA 2024-TRABAJO'!#REF!</f>
        <v>#REF!</v>
      </c>
      <c r="Z705" s="224" t="e">
        <f>'Matriz POA 2024-TRABAJO'!#REF!</f>
        <v>#REF!</v>
      </c>
      <c r="AA705" s="224" t="e">
        <f>'Matriz POA 2024-TRABAJO'!#REF!</f>
        <v>#REF!</v>
      </c>
      <c r="AB705" s="279">
        <v>0</v>
      </c>
      <c r="AC705" s="279">
        <v>0</v>
      </c>
      <c r="AD705" s="279">
        <v>0</v>
      </c>
      <c r="AE705" s="279">
        <v>0</v>
      </c>
      <c r="AF705" s="279">
        <v>0</v>
      </c>
      <c r="AG705" s="279">
        <v>0</v>
      </c>
      <c r="AH705" s="279">
        <v>0</v>
      </c>
      <c r="AI705" s="279">
        <v>0</v>
      </c>
      <c r="AJ705" s="279">
        <v>0</v>
      </c>
      <c r="AK705" s="279">
        <v>0</v>
      </c>
      <c r="AL705" s="279">
        <v>0</v>
      </c>
      <c r="AM705" s="279">
        <v>0</v>
      </c>
      <c r="AN705" s="224" t="e">
        <f>SUM(#REF!)</f>
        <v>#REF!</v>
      </c>
      <c r="AO705" s="224">
        <f t="shared" si="81"/>
        <v>0</v>
      </c>
      <c r="AP705" s="224" t="e">
        <f t="shared" si="86"/>
        <v>#REF!</v>
      </c>
      <c r="AQ705" s="224"/>
      <c r="AR705" s="224"/>
      <c r="AS705" s="224"/>
      <c r="AT705" s="224" t="str">
        <f>IFERROR(VLOOKUP($A705,'Constancias POA'!$A$2:$DH$9993,17,FALSE),"")</f>
        <v/>
      </c>
      <c r="AU705" s="224" t="str">
        <f t="shared" si="87"/>
        <v/>
      </c>
      <c r="AV705" s="224" t="str">
        <f>IFERROR(VLOOKUP($A705,CP!$A$1:$U$7992,18,FALSE),"")</f>
        <v/>
      </c>
      <c r="AW705" s="224" t="str">
        <f>IFERROR(VLOOKUP($A705,CP!$A$1:$U$7992,19,FALSE),"")</f>
        <v/>
      </c>
      <c r="AX705" s="224" t="str">
        <f>IFERROR(VLOOKUP($A705,CP!$A$1:$U$7992,20,FALSE),"")</f>
        <v/>
      </c>
      <c r="AY705" s="224" t="str">
        <f>IFERROR(VLOOKUP($A705,CP!$A$1:$U$1,21,FALSE),"")</f>
        <v/>
      </c>
      <c r="AZ705" s="224" t="str">
        <f>IFERROR(VLOOKUP(A705,Devengado!$A$1:AJ1,35,FALSE),"")</f>
        <v/>
      </c>
      <c r="BA705" s="224" t="str">
        <f t="shared" si="82"/>
        <v/>
      </c>
      <c r="BB705" s="224" t="str">
        <f>IFERROR(AZ705/#REF!,"")</f>
        <v/>
      </c>
      <c r="BC705" s="224" t="str">
        <f>IFERROR(VLOOKUP($A705,Devengado!$A$1:$AI$1,22,FALSE),"")</f>
        <v/>
      </c>
      <c r="BD705" s="224" t="str">
        <f>IFERROR(VLOOKUP($A705,Devengado!$A$1:$AI$1,23,FALSE),"")</f>
        <v/>
      </c>
      <c r="BE705" s="224" t="str">
        <f>IFERROR(VLOOKUP($A705,Devengado!$A$1:$AI$1,24,FALSE),"")</f>
        <v/>
      </c>
      <c r="BF705" s="224" t="str">
        <f>IFERROR(VLOOKUP($A705,Devengado!$A$1:$AI$1,25,FALSE),"")</f>
        <v/>
      </c>
      <c r="BG705" s="224" t="str">
        <f>IFERROR(VLOOKUP($A705,Devengado!$A$1:$AI$1,26,FALSE),"")</f>
        <v/>
      </c>
      <c r="BH705" s="224" t="str">
        <f>IFERROR(VLOOKUP($A705,Devengado!$A$1:$AI$1,27,FALSE),"")</f>
        <v/>
      </c>
      <c r="BI705" s="224" t="str">
        <f>IFERROR(VLOOKUP($A705,Devengado!$A$1:$AI$1,28,FALSE),"")</f>
        <v/>
      </c>
      <c r="BJ705" s="224" t="str">
        <f>IFERROR(VLOOKUP($A705,Devengado!$A$1:$AI$1,29,FALSE),"")</f>
        <v/>
      </c>
      <c r="BK705" s="224" t="str">
        <f>IFERROR(VLOOKUP($A705,Devengado!$A$1:$AI$1,30,FALSE),"")</f>
        <v/>
      </c>
      <c r="BL705" s="224" t="str">
        <f>IFERROR(VLOOKUP($A705,Devengado!$A$1:$AI$1,31,FALSE),"")</f>
        <v/>
      </c>
      <c r="BM705" s="224" t="str">
        <f>IFERROR(VLOOKUP($A705,Devengado!$A$1:$AI$1,32,FALSE),"")</f>
        <v/>
      </c>
      <c r="BN705" s="224" t="str">
        <f>IFERROR(VLOOKUP($A705,Devengado!$A$1:$AI$1,33,FALSE),"")</f>
        <v/>
      </c>
      <c r="BO705" s="224">
        <f t="shared" si="83"/>
        <v>0</v>
      </c>
      <c r="BP705" s="224" t="str">
        <f t="shared" si="84"/>
        <v/>
      </c>
      <c r="BQ705" s="207"/>
      <c r="BR705" s="207" t="str">
        <f t="shared" si="85"/>
        <v>53</v>
      </c>
    </row>
    <row r="706" spans="1:70" s="225" customFormat="1" ht="25.5" customHeight="1">
      <c r="A706" s="207">
        <v>702</v>
      </c>
      <c r="B706" s="112" t="s">
        <v>621</v>
      </c>
      <c r="C706" s="112" t="s">
        <v>77</v>
      </c>
      <c r="D706" s="112" t="s">
        <v>77</v>
      </c>
      <c r="E706" s="112" t="s">
        <v>76</v>
      </c>
      <c r="F706" s="112" t="s">
        <v>77</v>
      </c>
      <c r="G706" s="112" t="s">
        <v>77</v>
      </c>
      <c r="H706" s="112" t="s">
        <v>77</v>
      </c>
      <c r="I706" s="112" t="s">
        <v>77</v>
      </c>
      <c r="J706" s="112" t="s">
        <v>77</v>
      </c>
      <c r="K706" s="112" t="s">
        <v>77</v>
      </c>
      <c r="L706" s="112" t="s">
        <v>85</v>
      </c>
      <c r="M706" s="112" t="s">
        <v>694</v>
      </c>
      <c r="N706" s="114" t="s">
        <v>623</v>
      </c>
      <c r="O706" s="123">
        <v>80</v>
      </c>
      <c r="P706" s="114" t="s">
        <v>81</v>
      </c>
      <c r="Q706" s="114" t="s">
        <v>112</v>
      </c>
      <c r="R706" s="115" t="str">
        <f t="shared" si="80"/>
        <v>53</v>
      </c>
      <c r="S706" s="112">
        <v>530425</v>
      </c>
      <c r="T706" s="122" t="str">
        <f>VLOOKUP(S706,ITEM!$C$1:$D$156,2,FALSE)</f>
        <v>Instalación, Readecuación, Montaje de Exposiciones, Mantenimiento y Reparación de Espacios y Bienes Culturales</v>
      </c>
      <c r="U706" s="112">
        <v>101</v>
      </c>
      <c r="V706" s="114" t="s">
        <v>82</v>
      </c>
      <c r="W706" s="114" t="s">
        <v>84</v>
      </c>
      <c r="X706" s="114" t="s">
        <v>84</v>
      </c>
      <c r="Y706" s="224" t="e">
        <f>'Matriz POA 2024-TRABAJO'!#REF!</f>
        <v>#REF!</v>
      </c>
      <c r="Z706" s="224" t="e">
        <f>'Matriz POA 2024-TRABAJO'!#REF!</f>
        <v>#REF!</v>
      </c>
      <c r="AA706" s="224" t="e">
        <f>'Matriz POA 2024-TRABAJO'!#REF!</f>
        <v>#REF!</v>
      </c>
      <c r="AB706" s="279">
        <v>0</v>
      </c>
      <c r="AC706" s="279">
        <v>0</v>
      </c>
      <c r="AD706" s="279">
        <v>0</v>
      </c>
      <c r="AE706" s="279">
        <v>0</v>
      </c>
      <c r="AF706" s="279">
        <v>0</v>
      </c>
      <c r="AG706" s="279">
        <v>0</v>
      </c>
      <c r="AH706" s="279">
        <v>0</v>
      </c>
      <c r="AI706" s="279">
        <v>0</v>
      </c>
      <c r="AJ706" s="279">
        <v>0</v>
      </c>
      <c r="AK706" s="279">
        <v>0</v>
      </c>
      <c r="AL706" s="279">
        <v>0</v>
      </c>
      <c r="AM706" s="279">
        <v>0</v>
      </c>
      <c r="AN706" s="224" t="e">
        <f>SUM(#REF!)</f>
        <v>#REF!</v>
      </c>
      <c r="AO706" s="224">
        <f t="shared" si="81"/>
        <v>0</v>
      </c>
      <c r="AP706" s="224" t="e">
        <f t="shared" si="86"/>
        <v>#REF!</v>
      </c>
      <c r="AQ706" s="224"/>
      <c r="AR706" s="224"/>
      <c r="AS706" s="224"/>
      <c r="AT706" s="224" t="str">
        <f>IFERROR(VLOOKUP($A706,'Constancias POA'!$A$2:$DH$9993,17,FALSE),"")</f>
        <v/>
      </c>
      <c r="AU706" s="224" t="str">
        <f t="shared" si="87"/>
        <v/>
      </c>
      <c r="AV706" s="224" t="str">
        <f>IFERROR(VLOOKUP($A706,CP!$A$1:$U$7992,18,FALSE),"")</f>
        <v/>
      </c>
      <c r="AW706" s="224" t="str">
        <f>IFERROR(VLOOKUP($A706,CP!$A$1:$U$7992,19,FALSE),"")</f>
        <v/>
      </c>
      <c r="AX706" s="224" t="str">
        <f>IFERROR(VLOOKUP($A706,CP!$A$1:$U$7992,20,FALSE),"")</f>
        <v/>
      </c>
      <c r="AY706" s="224" t="str">
        <f>IFERROR(VLOOKUP($A706,CP!$A$1:$U$1,21,FALSE),"")</f>
        <v/>
      </c>
      <c r="AZ706" s="224" t="str">
        <f>IFERROR(VLOOKUP(A706,Devengado!$A$1:AJ1,35,FALSE),"")</f>
        <v/>
      </c>
      <c r="BA706" s="224" t="str">
        <f t="shared" si="82"/>
        <v/>
      </c>
      <c r="BB706" s="224" t="str">
        <f>IFERROR(AZ706/#REF!,"")</f>
        <v/>
      </c>
      <c r="BC706" s="224" t="str">
        <f>IFERROR(VLOOKUP($A706,Devengado!$A$1:$AI$1,22,FALSE),"")</f>
        <v/>
      </c>
      <c r="BD706" s="224" t="str">
        <f>IFERROR(VLOOKUP($A706,Devengado!$A$1:$AI$1,23,FALSE),"")</f>
        <v/>
      </c>
      <c r="BE706" s="224" t="str">
        <f>IFERROR(VLOOKUP($A706,Devengado!$A$1:$AI$1,24,FALSE),"")</f>
        <v/>
      </c>
      <c r="BF706" s="224" t="str">
        <f>IFERROR(VLOOKUP($A706,Devengado!$A$1:$AI$1,25,FALSE),"")</f>
        <v/>
      </c>
      <c r="BG706" s="224" t="str">
        <f>IFERROR(VLOOKUP($A706,Devengado!$A$1:$AI$1,26,FALSE),"")</f>
        <v/>
      </c>
      <c r="BH706" s="224" t="str">
        <f>IFERROR(VLOOKUP($A706,Devengado!$A$1:$AI$1,27,FALSE),"")</f>
        <v/>
      </c>
      <c r="BI706" s="224" t="str">
        <f>IFERROR(VLOOKUP($A706,Devengado!$A$1:$AI$1,28,FALSE),"")</f>
        <v/>
      </c>
      <c r="BJ706" s="224" t="str">
        <f>IFERROR(VLOOKUP($A706,Devengado!$A$1:$AI$1,29,FALSE),"")</f>
        <v/>
      </c>
      <c r="BK706" s="224" t="str">
        <f>IFERROR(VLOOKUP($A706,Devengado!$A$1:$AI$1,30,FALSE),"")</f>
        <v/>
      </c>
      <c r="BL706" s="224" t="str">
        <f>IFERROR(VLOOKUP($A706,Devengado!$A$1:$AI$1,31,FALSE),"")</f>
        <v/>
      </c>
      <c r="BM706" s="224" t="str">
        <f>IFERROR(VLOOKUP($A706,Devengado!$A$1:$AI$1,32,FALSE),"")</f>
        <v/>
      </c>
      <c r="BN706" s="224" t="str">
        <f>IFERROR(VLOOKUP($A706,Devengado!$A$1:$AI$1,33,FALSE),"")</f>
        <v/>
      </c>
      <c r="BO706" s="224">
        <f t="shared" si="83"/>
        <v>0</v>
      </c>
      <c r="BP706" s="224" t="str">
        <f t="shared" si="84"/>
        <v/>
      </c>
      <c r="BQ706" s="207"/>
      <c r="BR706" s="207" t="str">
        <f t="shared" si="85"/>
        <v>53</v>
      </c>
    </row>
    <row r="707" spans="1:70" s="225" customFormat="1" ht="25.5" customHeight="1">
      <c r="A707" s="207">
        <v>703</v>
      </c>
      <c r="B707" s="112" t="s">
        <v>621</v>
      </c>
      <c r="C707" s="112" t="s">
        <v>77</v>
      </c>
      <c r="D707" s="112" t="s">
        <v>77</v>
      </c>
      <c r="E707" s="112" t="s">
        <v>76</v>
      </c>
      <c r="F707" s="112" t="s">
        <v>77</v>
      </c>
      <c r="G707" s="112" t="s">
        <v>77</v>
      </c>
      <c r="H707" s="112" t="s">
        <v>77</v>
      </c>
      <c r="I707" s="112" t="s">
        <v>77</v>
      </c>
      <c r="J707" s="112" t="s">
        <v>77</v>
      </c>
      <c r="K707" s="112" t="s">
        <v>77</v>
      </c>
      <c r="L707" s="112" t="s">
        <v>85</v>
      </c>
      <c r="M707" s="112" t="s">
        <v>695</v>
      </c>
      <c r="N707" s="114" t="s">
        <v>623</v>
      </c>
      <c r="O707" s="123">
        <v>80</v>
      </c>
      <c r="P707" s="114" t="s">
        <v>81</v>
      </c>
      <c r="Q707" s="114" t="s">
        <v>112</v>
      </c>
      <c r="R707" s="115" t="str">
        <f t="shared" si="80"/>
        <v>53</v>
      </c>
      <c r="S707" s="112">
        <v>530402</v>
      </c>
      <c r="T707" s="122" t="str">
        <f>VLOOKUP(S707,ITEM!$C$1:$D$156,2,FALSE)</f>
        <v>Edificios, Locales, Residencias y Cableado Estructurado (Instalación, Mantenimiento y Reparación)</v>
      </c>
      <c r="U707" s="112">
        <v>101</v>
      </c>
      <c r="V707" s="114" t="s">
        <v>82</v>
      </c>
      <c r="W707" s="114" t="s">
        <v>84</v>
      </c>
      <c r="X707" s="114" t="s">
        <v>84</v>
      </c>
      <c r="Y707" s="224" t="e">
        <f>'Matriz POA 2024-TRABAJO'!#REF!</f>
        <v>#REF!</v>
      </c>
      <c r="Z707" s="224" t="e">
        <f>'Matriz POA 2024-TRABAJO'!#REF!</f>
        <v>#REF!</v>
      </c>
      <c r="AA707" s="224" t="e">
        <f>'Matriz POA 2024-TRABAJO'!#REF!</f>
        <v>#REF!</v>
      </c>
      <c r="AB707" s="279">
        <v>0</v>
      </c>
      <c r="AC707" s="279">
        <v>0</v>
      </c>
      <c r="AD707" s="279">
        <v>0</v>
      </c>
      <c r="AE707" s="279">
        <v>0</v>
      </c>
      <c r="AF707" s="279">
        <v>0</v>
      </c>
      <c r="AG707" s="279">
        <v>0</v>
      </c>
      <c r="AH707" s="279">
        <v>0</v>
      </c>
      <c r="AI707" s="279">
        <v>0</v>
      </c>
      <c r="AJ707" s="279">
        <v>0</v>
      </c>
      <c r="AK707" s="279">
        <v>0</v>
      </c>
      <c r="AL707" s="279">
        <v>0</v>
      </c>
      <c r="AM707" s="279">
        <v>0</v>
      </c>
      <c r="AN707" s="224" t="e">
        <f>SUM(#REF!)</f>
        <v>#REF!</v>
      </c>
      <c r="AO707" s="224">
        <f t="shared" si="81"/>
        <v>0</v>
      </c>
      <c r="AP707" s="224" t="e">
        <f t="shared" si="86"/>
        <v>#REF!</v>
      </c>
      <c r="AQ707" s="224"/>
      <c r="AR707" s="224"/>
      <c r="AS707" s="224"/>
      <c r="AT707" s="224" t="str">
        <f>IFERROR(VLOOKUP($A707,'Constancias POA'!$A$2:$DH$9993,17,FALSE),"")</f>
        <v/>
      </c>
      <c r="AU707" s="224" t="str">
        <f t="shared" si="87"/>
        <v/>
      </c>
      <c r="AV707" s="224" t="str">
        <f>IFERROR(VLOOKUP($A707,CP!$A$1:$U$7992,18,FALSE),"")</f>
        <v/>
      </c>
      <c r="AW707" s="224" t="str">
        <f>IFERROR(VLOOKUP($A707,CP!$A$1:$U$7992,19,FALSE),"")</f>
        <v/>
      </c>
      <c r="AX707" s="224" t="str">
        <f>IFERROR(VLOOKUP($A707,CP!$A$1:$U$7992,20,FALSE),"")</f>
        <v/>
      </c>
      <c r="AY707" s="224" t="str">
        <f>IFERROR(VLOOKUP($A707,CP!$A$1:$U$1,21,FALSE),"")</f>
        <v/>
      </c>
      <c r="AZ707" s="224" t="str">
        <f>IFERROR(VLOOKUP(A707,Devengado!$A$1:AJ1,35,FALSE),"")</f>
        <v/>
      </c>
      <c r="BA707" s="224" t="str">
        <f t="shared" si="82"/>
        <v/>
      </c>
      <c r="BB707" s="224" t="str">
        <f>IFERROR(AZ707/#REF!,"")</f>
        <v/>
      </c>
      <c r="BC707" s="224" t="str">
        <f>IFERROR(VLOOKUP($A707,Devengado!$A$1:$AI$1,22,FALSE),"")</f>
        <v/>
      </c>
      <c r="BD707" s="224" t="str">
        <f>IFERROR(VLOOKUP($A707,Devengado!$A$1:$AI$1,23,FALSE),"")</f>
        <v/>
      </c>
      <c r="BE707" s="224" t="str">
        <f>IFERROR(VLOOKUP($A707,Devengado!$A$1:$AI$1,24,FALSE),"")</f>
        <v/>
      </c>
      <c r="BF707" s="224" t="str">
        <f>IFERROR(VLOOKUP($A707,Devengado!$A$1:$AI$1,25,FALSE),"")</f>
        <v/>
      </c>
      <c r="BG707" s="224" t="str">
        <f>IFERROR(VLOOKUP($A707,Devengado!$A$1:$AI$1,26,FALSE),"")</f>
        <v/>
      </c>
      <c r="BH707" s="224" t="str">
        <f>IFERROR(VLOOKUP($A707,Devengado!$A$1:$AI$1,27,FALSE),"")</f>
        <v/>
      </c>
      <c r="BI707" s="224" t="str">
        <f>IFERROR(VLOOKUP($A707,Devengado!$A$1:$AI$1,28,FALSE),"")</f>
        <v/>
      </c>
      <c r="BJ707" s="224" t="str">
        <f>IFERROR(VLOOKUP($A707,Devengado!$A$1:$AI$1,29,FALSE),"")</f>
        <v/>
      </c>
      <c r="BK707" s="224" t="str">
        <f>IFERROR(VLOOKUP($A707,Devengado!$A$1:$AI$1,30,FALSE),"")</f>
        <v/>
      </c>
      <c r="BL707" s="224" t="str">
        <f>IFERROR(VLOOKUP($A707,Devengado!$A$1:$AI$1,31,FALSE),"")</f>
        <v/>
      </c>
      <c r="BM707" s="224" t="str">
        <f>IFERROR(VLOOKUP($A707,Devengado!$A$1:$AI$1,32,FALSE),"")</f>
        <v/>
      </c>
      <c r="BN707" s="224" t="str">
        <f>IFERROR(VLOOKUP($A707,Devengado!$A$1:$AI$1,33,FALSE),"")</f>
        <v/>
      </c>
      <c r="BO707" s="224">
        <f t="shared" si="83"/>
        <v>0</v>
      </c>
      <c r="BP707" s="224" t="str">
        <f t="shared" si="84"/>
        <v/>
      </c>
      <c r="BQ707" s="207"/>
      <c r="BR707" s="207" t="str">
        <f t="shared" si="85"/>
        <v>53</v>
      </c>
    </row>
    <row r="708" spans="1:70" s="225" customFormat="1" ht="25.5" customHeight="1">
      <c r="A708" s="207">
        <v>704</v>
      </c>
      <c r="B708" s="112" t="s">
        <v>621</v>
      </c>
      <c r="C708" s="112" t="s">
        <v>77</v>
      </c>
      <c r="D708" s="112" t="s">
        <v>77</v>
      </c>
      <c r="E708" s="112" t="s">
        <v>76</v>
      </c>
      <c r="F708" s="112" t="s">
        <v>77</v>
      </c>
      <c r="G708" s="112" t="s">
        <v>77</v>
      </c>
      <c r="H708" s="112" t="s">
        <v>77</v>
      </c>
      <c r="I708" s="112" t="s">
        <v>77</v>
      </c>
      <c r="J708" s="112" t="s">
        <v>77</v>
      </c>
      <c r="K708" s="112" t="s">
        <v>77</v>
      </c>
      <c r="L708" s="112" t="s">
        <v>85</v>
      </c>
      <c r="M708" s="112" t="s">
        <v>696</v>
      </c>
      <c r="N708" s="114" t="s">
        <v>623</v>
      </c>
      <c r="O708" s="123">
        <v>80</v>
      </c>
      <c r="P708" s="114" t="s">
        <v>81</v>
      </c>
      <c r="Q708" s="114" t="s">
        <v>112</v>
      </c>
      <c r="R708" s="115" t="str">
        <f t="shared" si="80"/>
        <v>53</v>
      </c>
      <c r="S708" s="112">
        <v>530402</v>
      </c>
      <c r="T708" s="122" t="str">
        <f>VLOOKUP(S708,ITEM!$C$1:$D$156,2,FALSE)</f>
        <v>Edificios, Locales, Residencias y Cableado Estructurado (Instalación, Mantenimiento y Reparación)</v>
      </c>
      <c r="U708" s="112">
        <v>101</v>
      </c>
      <c r="V708" s="114" t="s">
        <v>82</v>
      </c>
      <c r="W708" s="114" t="s">
        <v>84</v>
      </c>
      <c r="X708" s="114" t="s">
        <v>84</v>
      </c>
      <c r="Y708" s="224" t="e">
        <f>'Matriz POA 2024-TRABAJO'!#REF!</f>
        <v>#REF!</v>
      </c>
      <c r="Z708" s="224" t="e">
        <f>'Matriz POA 2024-TRABAJO'!#REF!</f>
        <v>#REF!</v>
      </c>
      <c r="AA708" s="224" t="e">
        <f>'Matriz POA 2024-TRABAJO'!#REF!</f>
        <v>#REF!</v>
      </c>
      <c r="AB708" s="279">
        <v>0</v>
      </c>
      <c r="AC708" s="279">
        <v>0</v>
      </c>
      <c r="AD708" s="279">
        <v>0</v>
      </c>
      <c r="AE708" s="279">
        <v>0</v>
      </c>
      <c r="AF708" s="279">
        <v>0</v>
      </c>
      <c r="AG708" s="279">
        <v>0</v>
      </c>
      <c r="AH708" s="279">
        <v>0</v>
      </c>
      <c r="AI708" s="279">
        <v>0</v>
      </c>
      <c r="AJ708" s="279">
        <v>0</v>
      </c>
      <c r="AK708" s="279">
        <v>0</v>
      </c>
      <c r="AL708" s="279">
        <v>0</v>
      </c>
      <c r="AM708" s="279">
        <v>0</v>
      </c>
      <c r="AN708" s="224" t="e">
        <f>SUM(#REF!)</f>
        <v>#REF!</v>
      </c>
      <c r="AO708" s="224">
        <f t="shared" si="81"/>
        <v>0</v>
      </c>
      <c r="AP708" s="224" t="e">
        <f t="shared" si="86"/>
        <v>#REF!</v>
      </c>
      <c r="AQ708" s="224"/>
      <c r="AR708" s="224"/>
      <c r="AS708" s="224"/>
      <c r="AT708" s="224" t="str">
        <f>IFERROR(VLOOKUP($A708,'Constancias POA'!$A$2:$DH$9993,17,FALSE),"")</f>
        <v/>
      </c>
      <c r="AU708" s="224" t="str">
        <f t="shared" si="87"/>
        <v/>
      </c>
      <c r="AV708" s="224" t="str">
        <f>IFERROR(VLOOKUP($A708,CP!$A$1:$U$7992,18,FALSE),"")</f>
        <v/>
      </c>
      <c r="AW708" s="224" t="str">
        <f>IFERROR(VLOOKUP($A708,CP!$A$1:$U$7992,19,FALSE),"")</f>
        <v/>
      </c>
      <c r="AX708" s="224" t="str">
        <f>IFERROR(VLOOKUP($A708,CP!$A$1:$U$7992,20,FALSE),"")</f>
        <v/>
      </c>
      <c r="AY708" s="224" t="str">
        <f>IFERROR(VLOOKUP($A708,CP!$A$1:$U$1,21,FALSE),"")</f>
        <v/>
      </c>
      <c r="AZ708" s="224" t="str">
        <f>IFERROR(VLOOKUP(A708,Devengado!$A$1:AJ1,35,FALSE),"")</f>
        <v/>
      </c>
      <c r="BA708" s="224" t="str">
        <f t="shared" si="82"/>
        <v/>
      </c>
      <c r="BB708" s="224" t="str">
        <f>IFERROR(AZ708/#REF!,"")</f>
        <v/>
      </c>
      <c r="BC708" s="224" t="str">
        <f>IFERROR(VLOOKUP($A708,Devengado!$A$1:$AI$1,22,FALSE),"")</f>
        <v/>
      </c>
      <c r="BD708" s="224" t="str">
        <f>IFERROR(VLOOKUP($A708,Devengado!$A$1:$AI$1,23,FALSE),"")</f>
        <v/>
      </c>
      <c r="BE708" s="224" t="str">
        <f>IFERROR(VLOOKUP($A708,Devengado!$A$1:$AI$1,24,FALSE),"")</f>
        <v/>
      </c>
      <c r="BF708" s="224" t="str">
        <f>IFERROR(VLOOKUP($A708,Devengado!$A$1:$AI$1,25,FALSE),"")</f>
        <v/>
      </c>
      <c r="BG708" s="224" t="str">
        <f>IFERROR(VLOOKUP($A708,Devengado!$A$1:$AI$1,26,FALSE),"")</f>
        <v/>
      </c>
      <c r="BH708" s="224" t="str">
        <f>IFERROR(VLOOKUP($A708,Devengado!$A$1:$AI$1,27,FALSE),"")</f>
        <v/>
      </c>
      <c r="BI708" s="224" t="str">
        <f>IFERROR(VLOOKUP($A708,Devengado!$A$1:$AI$1,28,FALSE),"")</f>
        <v/>
      </c>
      <c r="BJ708" s="224" t="str">
        <f>IFERROR(VLOOKUP($A708,Devengado!$A$1:$AI$1,29,FALSE),"")</f>
        <v/>
      </c>
      <c r="BK708" s="224" t="str">
        <f>IFERROR(VLOOKUP($A708,Devengado!$A$1:$AI$1,30,FALSE),"")</f>
        <v/>
      </c>
      <c r="BL708" s="224" t="str">
        <f>IFERROR(VLOOKUP($A708,Devengado!$A$1:$AI$1,31,FALSE),"")</f>
        <v/>
      </c>
      <c r="BM708" s="224" t="str">
        <f>IFERROR(VLOOKUP($A708,Devengado!$A$1:$AI$1,32,FALSE),"")</f>
        <v/>
      </c>
      <c r="BN708" s="224" t="str">
        <f>IFERROR(VLOOKUP($A708,Devengado!$A$1:$AI$1,33,FALSE),"")</f>
        <v/>
      </c>
      <c r="BO708" s="224">
        <f t="shared" si="83"/>
        <v>0</v>
      </c>
      <c r="BP708" s="224" t="str">
        <f t="shared" si="84"/>
        <v/>
      </c>
      <c r="BQ708" s="207"/>
      <c r="BR708" s="207" t="str">
        <f t="shared" si="85"/>
        <v>53</v>
      </c>
    </row>
    <row r="709" spans="1:70" s="225" customFormat="1" ht="25.5" customHeight="1">
      <c r="A709" s="207">
        <v>705</v>
      </c>
      <c r="B709" s="112" t="s">
        <v>621</v>
      </c>
      <c r="C709" s="112" t="s">
        <v>77</v>
      </c>
      <c r="D709" s="112" t="s">
        <v>77</v>
      </c>
      <c r="E709" s="112" t="s">
        <v>76</v>
      </c>
      <c r="F709" s="112" t="s">
        <v>77</v>
      </c>
      <c r="G709" s="112" t="s">
        <v>77</v>
      </c>
      <c r="H709" s="112" t="s">
        <v>77</v>
      </c>
      <c r="I709" s="112" t="s">
        <v>77</v>
      </c>
      <c r="J709" s="112" t="s">
        <v>77</v>
      </c>
      <c r="K709" s="112" t="s">
        <v>77</v>
      </c>
      <c r="L709" s="112" t="s">
        <v>85</v>
      </c>
      <c r="M709" s="112" t="s">
        <v>697</v>
      </c>
      <c r="N709" s="114" t="s">
        <v>623</v>
      </c>
      <c r="O709" s="123">
        <v>80</v>
      </c>
      <c r="P709" s="114" t="s">
        <v>81</v>
      </c>
      <c r="Q709" s="114" t="s">
        <v>112</v>
      </c>
      <c r="R709" s="115" t="str">
        <f t="shared" ref="R709:R772" si="88">LEFT(S709,2)</f>
        <v>53</v>
      </c>
      <c r="S709" s="112">
        <v>530425</v>
      </c>
      <c r="T709" s="122" t="str">
        <f>VLOOKUP(S709,ITEM!$C$1:$D$156,2,FALSE)</f>
        <v>Instalación, Readecuación, Montaje de Exposiciones, Mantenimiento y Reparación de Espacios y Bienes Culturales</v>
      </c>
      <c r="U709" s="112">
        <v>101</v>
      </c>
      <c r="V709" s="114" t="s">
        <v>82</v>
      </c>
      <c r="W709" s="114" t="s">
        <v>84</v>
      </c>
      <c r="X709" s="114" t="s">
        <v>84</v>
      </c>
      <c r="Y709" s="224" t="e">
        <f>'Matriz POA 2024-TRABAJO'!#REF!</f>
        <v>#REF!</v>
      </c>
      <c r="Z709" s="224" t="e">
        <f>'Matriz POA 2024-TRABAJO'!#REF!</f>
        <v>#REF!</v>
      </c>
      <c r="AA709" s="224" t="e">
        <f>'Matriz POA 2024-TRABAJO'!#REF!</f>
        <v>#REF!</v>
      </c>
      <c r="AB709" s="279">
        <v>0</v>
      </c>
      <c r="AC709" s="279">
        <v>0</v>
      </c>
      <c r="AD709" s="279">
        <v>0</v>
      </c>
      <c r="AE709" s="279">
        <v>0</v>
      </c>
      <c r="AF709" s="279">
        <v>0</v>
      </c>
      <c r="AG709" s="279">
        <v>0</v>
      </c>
      <c r="AH709" s="279">
        <v>0</v>
      </c>
      <c r="AI709" s="279">
        <v>0</v>
      </c>
      <c r="AJ709" s="279">
        <v>0</v>
      </c>
      <c r="AK709" s="279">
        <v>0</v>
      </c>
      <c r="AL709" s="279">
        <v>0</v>
      </c>
      <c r="AM709" s="279">
        <v>0</v>
      </c>
      <c r="AN709" s="224" t="e">
        <f>SUM(#REF!)</f>
        <v>#REF!</v>
      </c>
      <c r="AO709" s="224">
        <f t="shared" ref="AO709:AO772" si="89">SUM(AB709:AM709)</f>
        <v>0</v>
      </c>
      <c r="AP709" s="224" t="e">
        <f t="shared" si="86"/>
        <v>#REF!</v>
      </c>
      <c r="AQ709" s="224"/>
      <c r="AR709" s="224"/>
      <c r="AS709" s="224"/>
      <c r="AT709" s="224" t="str">
        <f>IFERROR(VLOOKUP($A709,'Constancias POA'!$A$2:$DH$9993,17,FALSE),"")</f>
        <v/>
      </c>
      <c r="AU709" s="224" t="str">
        <f t="shared" si="87"/>
        <v/>
      </c>
      <c r="AV709" s="224" t="str">
        <f>IFERROR(VLOOKUP($A709,CP!$A$1:$U$7992,18,FALSE),"")</f>
        <v/>
      </c>
      <c r="AW709" s="224" t="str">
        <f>IFERROR(VLOOKUP($A709,CP!$A$1:$U$7992,19,FALSE),"")</f>
        <v/>
      </c>
      <c r="AX709" s="224" t="str">
        <f>IFERROR(VLOOKUP($A709,CP!$A$1:$U$7992,20,FALSE),"")</f>
        <v/>
      </c>
      <c r="AY709" s="224" t="str">
        <f>IFERROR(VLOOKUP($A709,CP!$A$1:$U$1,21,FALSE),"")</f>
        <v/>
      </c>
      <c r="AZ709" s="224" t="str">
        <f>IFERROR(VLOOKUP(A709,Devengado!$A$1:AJ1,35,FALSE),"")</f>
        <v/>
      </c>
      <c r="BA709" s="224" t="str">
        <f t="shared" ref="BA709:BA772" si="90">IFERROR((AA709-AZ709),"")</f>
        <v/>
      </c>
      <c r="BB709" s="224" t="str">
        <f>IFERROR(AZ709/#REF!,"")</f>
        <v/>
      </c>
      <c r="BC709" s="224" t="str">
        <f>IFERROR(VLOOKUP($A709,Devengado!$A$1:$AI$1,22,FALSE),"")</f>
        <v/>
      </c>
      <c r="BD709" s="224" t="str">
        <f>IFERROR(VLOOKUP($A709,Devengado!$A$1:$AI$1,23,FALSE),"")</f>
        <v/>
      </c>
      <c r="BE709" s="224" t="str">
        <f>IFERROR(VLOOKUP($A709,Devengado!$A$1:$AI$1,24,FALSE),"")</f>
        <v/>
      </c>
      <c r="BF709" s="224" t="str">
        <f>IFERROR(VLOOKUP($A709,Devengado!$A$1:$AI$1,25,FALSE),"")</f>
        <v/>
      </c>
      <c r="BG709" s="224" t="str">
        <f>IFERROR(VLOOKUP($A709,Devengado!$A$1:$AI$1,26,FALSE),"")</f>
        <v/>
      </c>
      <c r="BH709" s="224" t="str">
        <f>IFERROR(VLOOKUP($A709,Devengado!$A$1:$AI$1,27,FALSE),"")</f>
        <v/>
      </c>
      <c r="BI709" s="224" t="str">
        <f>IFERROR(VLOOKUP($A709,Devengado!$A$1:$AI$1,28,FALSE),"")</f>
        <v/>
      </c>
      <c r="BJ709" s="224" t="str">
        <f>IFERROR(VLOOKUP($A709,Devengado!$A$1:$AI$1,29,FALSE),"")</f>
        <v/>
      </c>
      <c r="BK709" s="224" t="str">
        <f>IFERROR(VLOOKUP($A709,Devengado!$A$1:$AI$1,30,FALSE),"")</f>
        <v/>
      </c>
      <c r="BL709" s="224" t="str">
        <f>IFERROR(VLOOKUP($A709,Devengado!$A$1:$AI$1,31,FALSE),"")</f>
        <v/>
      </c>
      <c r="BM709" s="224" t="str">
        <f>IFERROR(VLOOKUP($A709,Devengado!$A$1:$AI$1,32,FALSE),"")</f>
        <v/>
      </c>
      <c r="BN709" s="224" t="str">
        <f>IFERROR(VLOOKUP($A709,Devengado!$A$1:$AI$1,33,FALSE),"")</f>
        <v/>
      </c>
      <c r="BO709" s="224">
        <f t="shared" ref="BO709:BO772" si="91">SUM(BC709:BN709)</f>
        <v>0</v>
      </c>
      <c r="BP709" s="224" t="str">
        <f t="shared" ref="BP709:BP772" si="92">IFERROR(((AB709+AC709)-AZ709),"")</f>
        <v/>
      </c>
      <c r="BQ709" s="207"/>
      <c r="BR709" s="207" t="str">
        <f t="shared" ref="BR709:BR772" si="93">LEFT(R709,4)</f>
        <v>53</v>
      </c>
    </row>
    <row r="710" spans="1:70" s="225" customFormat="1" ht="25.5" customHeight="1">
      <c r="A710" s="207">
        <v>706</v>
      </c>
      <c r="B710" s="112" t="s">
        <v>621</v>
      </c>
      <c r="C710" s="112" t="s">
        <v>77</v>
      </c>
      <c r="D710" s="112" t="s">
        <v>77</v>
      </c>
      <c r="E710" s="112" t="s">
        <v>76</v>
      </c>
      <c r="F710" s="112" t="s">
        <v>77</v>
      </c>
      <c r="G710" s="112" t="s">
        <v>77</v>
      </c>
      <c r="H710" s="112" t="s">
        <v>77</v>
      </c>
      <c r="I710" s="112" t="s">
        <v>77</v>
      </c>
      <c r="J710" s="112" t="s">
        <v>77</v>
      </c>
      <c r="K710" s="112" t="s">
        <v>77</v>
      </c>
      <c r="L710" s="112" t="s">
        <v>85</v>
      </c>
      <c r="M710" s="112" t="s">
        <v>698</v>
      </c>
      <c r="N710" s="114" t="s">
        <v>623</v>
      </c>
      <c r="O710" s="123">
        <v>80</v>
      </c>
      <c r="P710" s="114" t="s">
        <v>81</v>
      </c>
      <c r="Q710" s="114" t="s">
        <v>112</v>
      </c>
      <c r="R710" s="115" t="str">
        <f t="shared" si="88"/>
        <v>53</v>
      </c>
      <c r="S710" s="112">
        <v>530402</v>
      </c>
      <c r="T710" s="122" t="str">
        <f>VLOOKUP(S710,ITEM!$C$1:$D$156,2,FALSE)</f>
        <v>Edificios, Locales, Residencias y Cableado Estructurado (Instalación, Mantenimiento y Reparación)</v>
      </c>
      <c r="U710" s="112">
        <v>101</v>
      </c>
      <c r="V710" s="114" t="s">
        <v>82</v>
      </c>
      <c r="W710" s="114" t="s">
        <v>84</v>
      </c>
      <c r="X710" s="114" t="s">
        <v>84</v>
      </c>
      <c r="Y710" s="224" t="e">
        <f>'Matriz POA 2024-TRABAJO'!#REF!</f>
        <v>#REF!</v>
      </c>
      <c r="Z710" s="224" t="e">
        <f>'Matriz POA 2024-TRABAJO'!#REF!</f>
        <v>#REF!</v>
      </c>
      <c r="AA710" s="224" t="e">
        <f>'Matriz POA 2024-TRABAJO'!#REF!</f>
        <v>#REF!</v>
      </c>
      <c r="AB710" s="279">
        <v>0</v>
      </c>
      <c r="AC710" s="279">
        <v>0</v>
      </c>
      <c r="AD710" s="279">
        <v>0</v>
      </c>
      <c r="AE710" s="279">
        <v>0</v>
      </c>
      <c r="AF710" s="279">
        <v>0</v>
      </c>
      <c r="AG710" s="279">
        <v>0</v>
      </c>
      <c r="AH710" s="279">
        <v>0</v>
      </c>
      <c r="AI710" s="279">
        <v>0</v>
      </c>
      <c r="AJ710" s="279">
        <v>0</v>
      </c>
      <c r="AK710" s="279">
        <v>0</v>
      </c>
      <c r="AL710" s="279">
        <v>0</v>
      </c>
      <c r="AM710" s="279">
        <v>0</v>
      </c>
      <c r="AN710" s="224" t="e">
        <f>SUM(#REF!)</f>
        <v>#REF!</v>
      </c>
      <c r="AO710" s="224">
        <f t="shared" si="89"/>
        <v>0</v>
      </c>
      <c r="AP710" s="224" t="e">
        <f t="shared" ref="AP710:AP773" si="94">+AO710-AA710</f>
        <v>#REF!</v>
      </c>
      <c r="AQ710" s="224"/>
      <c r="AR710" s="224"/>
      <c r="AS710" s="224"/>
      <c r="AT710" s="224" t="str">
        <f>IFERROR(VLOOKUP($A710,'Constancias POA'!$A$2:$DH$9993,17,FALSE),"")</f>
        <v/>
      </c>
      <c r="AU710" s="224" t="str">
        <f t="shared" si="87"/>
        <v/>
      </c>
      <c r="AV710" s="224" t="str">
        <f>IFERROR(VLOOKUP($A710,CP!$A$1:$U$7992,18,FALSE),"")</f>
        <v/>
      </c>
      <c r="AW710" s="224" t="str">
        <f>IFERROR(VLOOKUP($A710,CP!$A$1:$U$7992,19,FALSE),"")</f>
        <v/>
      </c>
      <c r="AX710" s="224" t="str">
        <f>IFERROR(VLOOKUP($A710,CP!$A$1:$U$7992,20,FALSE),"")</f>
        <v/>
      </c>
      <c r="AY710" s="224" t="str">
        <f>IFERROR(VLOOKUP($A710,CP!$A$1:$U$1,21,FALSE),"")</f>
        <v/>
      </c>
      <c r="AZ710" s="224" t="str">
        <f>IFERROR(VLOOKUP(A710,Devengado!$A$1:AJ1,35,FALSE),"")</f>
        <v/>
      </c>
      <c r="BA710" s="224" t="str">
        <f t="shared" si="90"/>
        <v/>
      </c>
      <c r="BB710" s="224" t="str">
        <f>IFERROR(AZ710/#REF!,"")</f>
        <v/>
      </c>
      <c r="BC710" s="224" t="str">
        <f>IFERROR(VLOOKUP($A710,Devengado!$A$1:$AI$1,22,FALSE),"")</f>
        <v/>
      </c>
      <c r="BD710" s="224" t="str">
        <f>IFERROR(VLOOKUP($A710,Devengado!$A$1:$AI$1,23,FALSE),"")</f>
        <v/>
      </c>
      <c r="BE710" s="224" t="str">
        <f>IFERROR(VLOOKUP($A710,Devengado!$A$1:$AI$1,24,FALSE),"")</f>
        <v/>
      </c>
      <c r="BF710" s="224" t="str">
        <f>IFERROR(VLOOKUP($A710,Devengado!$A$1:$AI$1,25,FALSE),"")</f>
        <v/>
      </c>
      <c r="BG710" s="224" t="str">
        <f>IFERROR(VLOOKUP($A710,Devengado!$A$1:$AI$1,26,FALSE),"")</f>
        <v/>
      </c>
      <c r="BH710" s="224" t="str">
        <f>IFERROR(VLOOKUP($A710,Devengado!$A$1:$AI$1,27,FALSE),"")</f>
        <v/>
      </c>
      <c r="BI710" s="224" t="str">
        <f>IFERROR(VLOOKUP($A710,Devengado!$A$1:$AI$1,28,FALSE),"")</f>
        <v/>
      </c>
      <c r="BJ710" s="224" t="str">
        <f>IFERROR(VLOOKUP($A710,Devengado!$A$1:$AI$1,29,FALSE),"")</f>
        <v/>
      </c>
      <c r="BK710" s="224" t="str">
        <f>IFERROR(VLOOKUP($A710,Devengado!$A$1:$AI$1,30,FALSE),"")</f>
        <v/>
      </c>
      <c r="BL710" s="224" t="str">
        <f>IFERROR(VLOOKUP($A710,Devengado!$A$1:$AI$1,31,FALSE),"")</f>
        <v/>
      </c>
      <c r="BM710" s="224" t="str">
        <f>IFERROR(VLOOKUP($A710,Devengado!$A$1:$AI$1,32,FALSE),"")</f>
        <v/>
      </c>
      <c r="BN710" s="224" t="str">
        <f>IFERROR(VLOOKUP($A710,Devengado!$A$1:$AI$1,33,FALSE),"")</f>
        <v/>
      </c>
      <c r="BO710" s="224">
        <f t="shared" si="91"/>
        <v>0</v>
      </c>
      <c r="BP710" s="224" t="str">
        <f t="shared" si="92"/>
        <v/>
      </c>
      <c r="BQ710" s="207"/>
      <c r="BR710" s="207" t="str">
        <f t="shared" si="93"/>
        <v>53</v>
      </c>
    </row>
    <row r="711" spans="1:70" s="225" customFormat="1" ht="25.5" customHeight="1">
      <c r="A711" s="207">
        <v>707</v>
      </c>
      <c r="B711" s="112" t="s">
        <v>621</v>
      </c>
      <c r="C711" s="112" t="s">
        <v>77</v>
      </c>
      <c r="D711" s="112" t="s">
        <v>77</v>
      </c>
      <c r="E711" s="112" t="s">
        <v>76</v>
      </c>
      <c r="F711" s="112" t="s">
        <v>77</v>
      </c>
      <c r="G711" s="112" t="s">
        <v>77</v>
      </c>
      <c r="H711" s="112" t="s">
        <v>77</v>
      </c>
      <c r="I711" s="112" t="s">
        <v>77</v>
      </c>
      <c r="J711" s="112" t="s">
        <v>77</v>
      </c>
      <c r="K711" s="112" t="s">
        <v>77</v>
      </c>
      <c r="L711" s="112" t="s">
        <v>85</v>
      </c>
      <c r="M711" s="112" t="s">
        <v>699</v>
      </c>
      <c r="N711" s="114" t="s">
        <v>623</v>
      </c>
      <c r="O711" s="123">
        <v>80</v>
      </c>
      <c r="P711" s="114" t="s">
        <v>81</v>
      </c>
      <c r="Q711" s="114" t="s">
        <v>112</v>
      </c>
      <c r="R711" s="115" t="str">
        <f t="shared" si="88"/>
        <v>53</v>
      </c>
      <c r="S711" s="112">
        <v>530402</v>
      </c>
      <c r="T711" s="122" t="str">
        <f>VLOOKUP(S711,ITEM!$C$1:$D$156,2,FALSE)</f>
        <v>Edificios, Locales, Residencias y Cableado Estructurado (Instalación, Mantenimiento y Reparación)</v>
      </c>
      <c r="U711" s="112">
        <v>101</v>
      </c>
      <c r="V711" s="114" t="s">
        <v>82</v>
      </c>
      <c r="W711" s="114" t="s">
        <v>84</v>
      </c>
      <c r="X711" s="114" t="s">
        <v>84</v>
      </c>
      <c r="Y711" s="224" t="e">
        <f>'Matriz POA 2024-TRABAJO'!#REF!</f>
        <v>#REF!</v>
      </c>
      <c r="Z711" s="224" t="e">
        <f>'Matriz POA 2024-TRABAJO'!#REF!</f>
        <v>#REF!</v>
      </c>
      <c r="AA711" s="224" t="e">
        <f>'Matriz POA 2024-TRABAJO'!#REF!</f>
        <v>#REF!</v>
      </c>
      <c r="AB711" s="279">
        <v>0</v>
      </c>
      <c r="AC711" s="279">
        <v>0</v>
      </c>
      <c r="AD711" s="279">
        <v>0</v>
      </c>
      <c r="AE711" s="279">
        <v>0</v>
      </c>
      <c r="AF711" s="279">
        <v>0</v>
      </c>
      <c r="AG711" s="279">
        <v>0</v>
      </c>
      <c r="AH711" s="279">
        <v>0</v>
      </c>
      <c r="AI711" s="279">
        <v>0</v>
      </c>
      <c r="AJ711" s="279">
        <v>0</v>
      </c>
      <c r="AK711" s="279">
        <v>0</v>
      </c>
      <c r="AL711" s="279">
        <v>0</v>
      </c>
      <c r="AM711" s="279">
        <v>0</v>
      </c>
      <c r="AN711" s="224" t="e">
        <f>SUM(#REF!)</f>
        <v>#REF!</v>
      </c>
      <c r="AO711" s="224">
        <f t="shared" si="89"/>
        <v>0</v>
      </c>
      <c r="AP711" s="224" t="e">
        <f t="shared" si="94"/>
        <v>#REF!</v>
      </c>
      <c r="AQ711" s="224"/>
      <c r="AR711" s="224"/>
      <c r="AS711" s="224"/>
      <c r="AT711" s="224" t="str">
        <f>IFERROR(VLOOKUP($A711,'Constancias POA'!$A$2:$DH$9993,17,FALSE),"")</f>
        <v/>
      </c>
      <c r="AU711" s="224" t="str">
        <f t="shared" ref="AU711:AU774" si="95">IFERROR(AA711-AT711,"")</f>
        <v/>
      </c>
      <c r="AV711" s="224" t="str">
        <f>IFERROR(VLOOKUP($A711,CP!$A$1:$U$7992,18,FALSE),"")</f>
        <v/>
      </c>
      <c r="AW711" s="224" t="str">
        <f>IFERROR(VLOOKUP($A711,CP!$A$1:$U$7992,19,FALSE),"")</f>
        <v/>
      </c>
      <c r="AX711" s="224" t="str">
        <f>IFERROR(VLOOKUP($A711,CP!$A$1:$U$7992,20,FALSE),"")</f>
        <v/>
      </c>
      <c r="AY711" s="224" t="str">
        <f>IFERROR(VLOOKUP($A711,CP!$A$1:$U$1,21,FALSE),"")</f>
        <v/>
      </c>
      <c r="AZ711" s="224" t="str">
        <f>IFERROR(VLOOKUP(A711,Devengado!$A$1:AJ1,35,FALSE),"")</f>
        <v/>
      </c>
      <c r="BA711" s="224" t="str">
        <f t="shared" si="90"/>
        <v/>
      </c>
      <c r="BB711" s="224" t="str">
        <f>IFERROR(AZ711/#REF!,"")</f>
        <v/>
      </c>
      <c r="BC711" s="224" t="str">
        <f>IFERROR(VLOOKUP($A711,Devengado!$A$1:$AI$1,22,FALSE),"")</f>
        <v/>
      </c>
      <c r="BD711" s="224" t="str">
        <f>IFERROR(VLOOKUP($A711,Devengado!$A$1:$AI$1,23,FALSE),"")</f>
        <v/>
      </c>
      <c r="BE711" s="224" t="str">
        <f>IFERROR(VLOOKUP($A711,Devengado!$A$1:$AI$1,24,FALSE),"")</f>
        <v/>
      </c>
      <c r="BF711" s="224" t="str">
        <f>IFERROR(VLOOKUP($A711,Devengado!$A$1:$AI$1,25,FALSE),"")</f>
        <v/>
      </c>
      <c r="BG711" s="224" t="str">
        <f>IFERROR(VLOOKUP($A711,Devengado!$A$1:$AI$1,26,FALSE),"")</f>
        <v/>
      </c>
      <c r="BH711" s="224" t="str">
        <f>IFERROR(VLOOKUP($A711,Devengado!$A$1:$AI$1,27,FALSE),"")</f>
        <v/>
      </c>
      <c r="BI711" s="224" t="str">
        <f>IFERROR(VLOOKUP($A711,Devengado!$A$1:$AI$1,28,FALSE),"")</f>
        <v/>
      </c>
      <c r="BJ711" s="224" t="str">
        <f>IFERROR(VLOOKUP($A711,Devengado!$A$1:$AI$1,29,FALSE),"")</f>
        <v/>
      </c>
      <c r="BK711" s="224" t="str">
        <f>IFERROR(VLOOKUP($A711,Devengado!$A$1:$AI$1,30,FALSE),"")</f>
        <v/>
      </c>
      <c r="BL711" s="224" t="str">
        <f>IFERROR(VLOOKUP($A711,Devengado!$A$1:$AI$1,31,FALSE),"")</f>
        <v/>
      </c>
      <c r="BM711" s="224" t="str">
        <f>IFERROR(VLOOKUP($A711,Devengado!$A$1:$AI$1,32,FALSE),"")</f>
        <v/>
      </c>
      <c r="BN711" s="224" t="str">
        <f>IFERROR(VLOOKUP($A711,Devengado!$A$1:$AI$1,33,FALSE),"")</f>
        <v/>
      </c>
      <c r="BO711" s="224">
        <f t="shared" si="91"/>
        <v>0</v>
      </c>
      <c r="BP711" s="224" t="str">
        <f t="shared" si="92"/>
        <v/>
      </c>
      <c r="BQ711" s="207"/>
      <c r="BR711" s="207" t="str">
        <f t="shared" si="93"/>
        <v>53</v>
      </c>
    </row>
    <row r="712" spans="1:70" s="225" customFormat="1" ht="25.5" customHeight="1">
      <c r="A712" s="207">
        <v>708</v>
      </c>
      <c r="B712" s="112" t="s">
        <v>621</v>
      </c>
      <c r="C712" s="112" t="s">
        <v>77</v>
      </c>
      <c r="D712" s="112" t="s">
        <v>77</v>
      </c>
      <c r="E712" s="112" t="s">
        <v>76</v>
      </c>
      <c r="F712" s="112" t="s">
        <v>77</v>
      </c>
      <c r="G712" s="112" t="s">
        <v>77</v>
      </c>
      <c r="H712" s="112" t="s">
        <v>77</v>
      </c>
      <c r="I712" s="112" t="s">
        <v>77</v>
      </c>
      <c r="J712" s="112" t="s">
        <v>77</v>
      </c>
      <c r="K712" s="112" t="s">
        <v>77</v>
      </c>
      <c r="L712" s="112" t="s">
        <v>85</v>
      </c>
      <c r="M712" s="112" t="s">
        <v>700</v>
      </c>
      <c r="N712" s="114" t="s">
        <v>623</v>
      </c>
      <c r="O712" s="123">
        <v>80</v>
      </c>
      <c r="P712" s="114" t="s">
        <v>81</v>
      </c>
      <c r="Q712" s="114" t="s">
        <v>112</v>
      </c>
      <c r="R712" s="115" t="str">
        <f t="shared" si="88"/>
        <v>53</v>
      </c>
      <c r="S712" s="112">
        <v>530703</v>
      </c>
      <c r="T712" s="122" t="e">
        <f>VLOOKUP(S712,ITEM!$C$1:$D$156,2,FALSE)</f>
        <v>#N/A</v>
      </c>
      <c r="U712" s="112">
        <v>101</v>
      </c>
      <c r="V712" s="114" t="s">
        <v>82</v>
      </c>
      <c r="W712" s="114" t="s">
        <v>84</v>
      </c>
      <c r="X712" s="114" t="s">
        <v>84</v>
      </c>
      <c r="Y712" s="224" t="e">
        <f>'Matriz POA 2024-TRABAJO'!#REF!</f>
        <v>#REF!</v>
      </c>
      <c r="Z712" s="224" t="e">
        <f>'Matriz POA 2024-TRABAJO'!#REF!</f>
        <v>#REF!</v>
      </c>
      <c r="AA712" s="224" t="e">
        <f>'Matriz POA 2024-TRABAJO'!#REF!</f>
        <v>#REF!</v>
      </c>
      <c r="AB712" s="279">
        <v>0</v>
      </c>
      <c r="AC712" s="279">
        <v>0</v>
      </c>
      <c r="AD712" s="279">
        <v>0</v>
      </c>
      <c r="AE712" s="279">
        <v>0</v>
      </c>
      <c r="AF712" s="279">
        <v>0</v>
      </c>
      <c r="AG712" s="279">
        <v>0</v>
      </c>
      <c r="AH712" s="279">
        <v>0</v>
      </c>
      <c r="AI712" s="279">
        <v>0</v>
      </c>
      <c r="AJ712" s="279">
        <v>0</v>
      </c>
      <c r="AK712" s="279">
        <v>0</v>
      </c>
      <c r="AL712" s="279">
        <v>0</v>
      </c>
      <c r="AM712" s="279">
        <v>0</v>
      </c>
      <c r="AN712" s="224" t="e">
        <f>SUM(#REF!)</f>
        <v>#REF!</v>
      </c>
      <c r="AO712" s="224">
        <f t="shared" si="89"/>
        <v>0</v>
      </c>
      <c r="AP712" s="224" t="e">
        <f t="shared" si="94"/>
        <v>#REF!</v>
      </c>
      <c r="AQ712" s="224"/>
      <c r="AR712" s="224"/>
      <c r="AS712" s="224"/>
      <c r="AT712" s="224" t="str">
        <f>IFERROR(VLOOKUP($A712,'Constancias POA'!$A$2:$DH$9993,17,FALSE),"")</f>
        <v/>
      </c>
      <c r="AU712" s="224" t="str">
        <f t="shared" si="95"/>
        <v/>
      </c>
      <c r="AV712" s="224" t="str">
        <f>IFERROR(VLOOKUP($A712,CP!$A$1:$U$7992,18,FALSE),"")</f>
        <v/>
      </c>
      <c r="AW712" s="224" t="str">
        <f>IFERROR(VLOOKUP($A712,CP!$A$1:$U$7992,19,FALSE),"")</f>
        <v/>
      </c>
      <c r="AX712" s="224" t="str">
        <f>IFERROR(VLOOKUP($A712,CP!$A$1:$U$7992,20,FALSE),"")</f>
        <v/>
      </c>
      <c r="AY712" s="224" t="str">
        <f>IFERROR(VLOOKUP($A712,CP!$A$1:$U$1,21,FALSE),"")</f>
        <v/>
      </c>
      <c r="AZ712" s="224" t="str">
        <f>IFERROR(VLOOKUP(A712,Devengado!$A$1:AJ1,35,FALSE),"")</f>
        <v/>
      </c>
      <c r="BA712" s="224" t="str">
        <f t="shared" si="90"/>
        <v/>
      </c>
      <c r="BB712" s="224" t="str">
        <f>IFERROR(AZ712/#REF!,"")</f>
        <v/>
      </c>
      <c r="BC712" s="224" t="str">
        <f>IFERROR(VLOOKUP($A712,Devengado!$A$1:$AI$1,22,FALSE),"")</f>
        <v/>
      </c>
      <c r="BD712" s="224" t="str">
        <f>IFERROR(VLOOKUP($A712,Devengado!$A$1:$AI$1,23,FALSE),"")</f>
        <v/>
      </c>
      <c r="BE712" s="224" t="str">
        <f>IFERROR(VLOOKUP($A712,Devengado!$A$1:$AI$1,24,FALSE),"")</f>
        <v/>
      </c>
      <c r="BF712" s="224" t="str">
        <f>IFERROR(VLOOKUP($A712,Devengado!$A$1:$AI$1,25,FALSE),"")</f>
        <v/>
      </c>
      <c r="BG712" s="224" t="str">
        <f>IFERROR(VLOOKUP($A712,Devengado!$A$1:$AI$1,26,FALSE),"")</f>
        <v/>
      </c>
      <c r="BH712" s="224" t="str">
        <f>IFERROR(VLOOKUP($A712,Devengado!$A$1:$AI$1,27,FALSE),"")</f>
        <v/>
      </c>
      <c r="BI712" s="224" t="str">
        <f>IFERROR(VLOOKUP($A712,Devengado!$A$1:$AI$1,28,FALSE),"")</f>
        <v/>
      </c>
      <c r="BJ712" s="224" t="str">
        <f>IFERROR(VLOOKUP($A712,Devengado!$A$1:$AI$1,29,FALSE),"")</f>
        <v/>
      </c>
      <c r="BK712" s="224" t="str">
        <f>IFERROR(VLOOKUP($A712,Devengado!$A$1:$AI$1,30,FALSE),"")</f>
        <v/>
      </c>
      <c r="BL712" s="224" t="str">
        <f>IFERROR(VLOOKUP($A712,Devengado!$A$1:$AI$1,31,FALSE),"")</f>
        <v/>
      </c>
      <c r="BM712" s="224" t="str">
        <f>IFERROR(VLOOKUP($A712,Devengado!$A$1:$AI$1,32,FALSE),"")</f>
        <v/>
      </c>
      <c r="BN712" s="224" t="str">
        <f>IFERROR(VLOOKUP($A712,Devengado!$A$1:$AI$1,33,FALSE),"")</f>
        <v/>
      </c>
      <c r="BO712" s="224">
        <f t="shared" si="91"/>
        <v>0</v>
      </c>
      <c r="BP712" s="224" t="str">
        <f t="shared" si="92"/>
        <v/>
      </c>
      <c r="BQ712" s="207"/>
      <c r="BR712" s="207" t="str">
        <f t="shared" si="93"/>
        <v>53</v>
      </c>
    </row>
    <row r="713" spans="1:70" s="225" customFormat="1" ht="25.5" customHeight="1">
      <c r="A713" s="207">
        <v>709</v>
      </c>
      <c r="B713" s="112" t="s">
        <v>621</v>
      </c>
      <c r="C713" s="112" t="s">
        <v>77</v>
      </c>
      <c r="D713" s="112" t="s">
        <v>77</v>
      </c>
      <c r="E713" s="112" t="s">
        <v>76</v>
      </c>
      <c r="F713" s="112" t="s">
        <v>77</v>
      </c>
      <c r="G713" s="112" t="s">
        <v>77</v>
      </c>
      <c r="H713" s="112" t="s">
        <v>77</v>
      </c>
      <c r="I713" s="112" t="s">
        <v>77</v>
      </c>
      <c r="J713" s="112" t="s">
        <v>77</v>
      </c>
      <c r="K713" s="112" t="s">
        <v>77</v>
      </c>
      <c r="L713" s="112" t="s">
        <v>85</v>
      </c>
      <c r="M713" s="112" t="s">
        <v>701</v>
      </c>
      <c r="N713" s="114" t="s">
        <v>623</v>
      </c>
      <c r="O713" s="123">
        <v>80</v>
      </c>
      <c r="P713" s="114" t="s">
        <v>81</v>
      </c>
      <c r="Q713" s="114" t="s">
        <v>112</v>
      </c>
      <c r="R713" s="115" t="str">
        <f t="shared" si="88"/>
        <v>53</v>
      </c>
      <c r="S713" s="134">
        <v>530609</v>
      </c>
      <c r="T713" s="122" t="e">
        <f>VLOOKUP(S713,ITEM!$C$1:$D$156,2,FALSE)</f>
        <v>#N/A</v>
      </c>
      <c r="U713" s="112">
        <v>101</v>
      </c>
      <c r="V713" s="114" t="s">
        <v>82</v>
      </c>
      <c r="W713" s="114" t="s">
        <v>84</v>
      </c>
      <c r="X713" s="114" t="s">
        <v>84</v>
      </c>
      <c r="Y713" s="224" t="e">
        <f>'Matriz POA 2024-TRABAJO'!#REF!</f>
        <v>#REF!</v>
      </c>
      <c r="Z713" s="224" t="e">
        <f>'Matriz POA 2024-TRABAJO'!#REF!</f>
        <v>#REF!</v>
      </c>
      <c r="AA713" s="224" t="e">
        <f>'Matriz POA 2024-TRABAJO'!#REF!</f>
        <v>#REF!</v>
      </c>
      <c r="AB713" s="279">
        <v>0</v>
      </c>
      <c r="AC713" s="279">
        <v>0</v>
      </c>
      <c r="AD713" s="279">
        <v>0</v>
      </c>
      <c r="AE713" s="279">
        <v>0</v>
      </c>
      <c r="AF713" s="279">
        <v>0</v>
      </c>
      <c r="AG713" s="279">
        <v>0</v>
      </c>
      <c r="AH713" s="279">
        <v>0</v>
      </c>
      <c r="AI713" s="279">
        <v>0</v>
      </c>
      <c r="AJ713" s="279">
        <v>0</v>
      </c>
      <c r="AK713" s="279">
        <v>0</v>
      </c>
      <c r="AL713" s="279">
        <v>0</v>
      </c>
      <c r="AM713" s="279">
        <v>0</v>
      </c>
      <c r="AN713" s="224" t="e">
        <f>SUM(#REF!)</f>
        <v>#REF!</v>
      </c>
      <c r="AO713" s="224">
        <f t="shared" si="89"/>
        <v>0</v>
      </c>
      <c r="AP713" s="224" t="e">
        <f t="shared" si="94"/>
        <v>#REF!</v>
      </c>
      <c r="AQ713" s="224"/>
      <c r="AR713" s="224"/>
      <c r="AS713" s="224"/>
      <c r="AT713" s="224" t="str">
        <f>IFERROR(VLOOKUP($A713,'Constancias POA'!$A$2:$DH$9993,17,FALSE),"")</f>
        <v/>
      </c>
      <c r="AU713" s="224" t="str">
        <f t="shared" si="95"/>
        <v/>
      </c>
      <c r="AV713" s="224" t="str">
        <f>IFERROR(VLOOKUP($A713,CP!$A$1:$U$7992,18,FALSE),"")</f>
        <v/>
      </c>
      <c r="AW713" s="224" t="str">
        <f>IFERROR(VLOOKUP($A713,CP!$A$1:$U$7992,19,FALSE),"")</f>
        <v/>
      </c>
      <c r="AX713" s="224" t="str">
        <f>IFERROR(VLOOKUP($A713,CP!$A$1:$U$7992,20,FALSE),"")</f>
        <v/>
      </c>
      <c r="AY713" s="224" t="str">
        <f>IFERROR(VLOOKUP($A713,CP!$A$1:$U$1,21,FALSE),"")</f>
        <v/>
      </c>
      <c r="AZ713" s="224" t="str">
        <f>IFERROR(VLOOKUP(A713,Devengado!$A$1:AJ1,35,FALSE),"")</f>
        <v/>
      </c>
      <c r="BA713" s="224" t="str">
        <f t="shared" si="90"/>
        <v/>
      </c>
      <c r="BB713" s="224" t="str">
        <f>IFERROR(AZ713/#REF!,"")</f>
        <v/>
      </c>
      <c r="BC713" s="224" t="str">
        <f>IFERROR(VLOOKUP($A713,Devengado!$A$1:$AI$1,22,FALSE),"")</f>
        <v/>
      </c>
      <c r="BD713" s="224" t="str">
        <f>IFERROR(VLOOKUP($A713,Devengado!$A$1:$AI$1,23,FALSE),"")</f>
        <v/>
      </c>
      <c r="BE713" s="224" t="str">
        <f>IFERROR(VLOOKUP($A713,Devengado!$A$1:$AI$1,24,FALSE),"")</f>
        <v/>
      </c>
      <c r="BF713" s="224" t="str">
        <f>IFERROR(VLOOKUP($A713,Devengado!$A$1:$AI$1,25,FALSE),"")</f>
        <v/>
      </c>
      <c r="BG713" s="224" t="str">
        <f>IFERROR(VLOOKUP($A713,Devengado!$A$1:$AI$1,26,FALSE),"")</f>
        <v/>
      </c>
      <c r="BH713" s="224" t="str">
        <f>IFERROR(VLOOKUP($A713,Devengado!$A$1:$AI$1,27,FALSE),"")</f>
        <v/>
      </c>
      <c r="BI713" s="224" t="str">
        <f>IFERROR(VLOOKUP($A713,Devengado!$A$1:$AI$1,28,FALSE),"")</f>
        <v/>
      </c>
      <c r="BJ713" s="224" t="str">
        <f>IFERROR(VLOOKUP($A713,Devengado!$A$1:$AI$1,29,FALSE),"")</f>
        <v/>
      </c>
      <c r="BK713" s="224" t="str">
        <f>IFERROR(VLOOKUP($A713,Devengado!$A$1:$AI$1,30,FALSE),"")</f>
        <v/>
      </c>
      <c r="BL713" s="224" t="str">
        <f>IFERROR(VLOOKUP($A713,Devengado!$A$1:$AI$1,31,FALSE),"")</f>
        <v/>
      </c>
      <c r="BM713" s="224" t="str">
        <f>IFERROR(VLOOKUP($A713,Devengado!$A$1:$AI$1,32,FALSE),"")</f>
        <v/>
      </c>
      <c r="BN713" s="224" t="str">
        <f>IFERROR(VLOOKUP($A713,Devengado!$A$1:$AI$1,33,FALSE),"")</f>
        <v/>
      </c>
      <c r="BO713" s="224">
        <f t="shared" si="91"/>
        <v>0</v>
      </c>
      <c r="BP713" s="224" t="str">
        <f t="shared" si="92"/>
        <v/>
      </c>
      <c r="BQ713" s="207"/>
      <c r="BR713" s="207" t="str">
        <f t="shared" si="93"/>
        <v>53</v>
      </c>
    </row>
    <row r="714" spans="1:70" s="225" customFormat="1" ht="25.5" customHeight="1">
      <c r="A714" s="207">
        <v>710</v>
      </c>
      <c r="B714" s="112" t="s">
        <v>621</v>
      </c>
      <c r="C714" s="112" t="s">
        <v>77</v>
      </c>
      <c r="D714" s="112" t="s">
        <v>77</v>
      </c>
      <c r="E714" s="112" t="s">
        <v>76</v>
      </c>
      <c r="F714" s="112" t="s">
        <v>77</v>
      </c>
      <c r="G714" s="112" t="s">
        <v>77</v>
      </c>
      <c r="H714" s="112" t="s">
        <v>77</v>
      </c>
      <c r="I714" s="112" t="s">
        <v>77</v>
      </c>
      <c r="J714" s="112" t="s">
        <v>77</v>
      </c>
      <c r="K714" s="112" t="s">
        <v>77</v>
      </c>
      <c r="L714" s="112" t="s">
        <v>85</v>
      </c>
      <c r="M714" s="112" t="s">
        <v>702</v>
      </c>
      <c r="N714" s="114" t="s">
        <v>623</v>
      </c>
      <c r="O714" s="123">
        <v>80</v>
      </c>
      <c r="P714" s="114" t="s">
        <v>81</v>
      </c>
      <c r="Q714" s="114" t="s">
        <v>112</v>
      </c>
      <c r="R714" s="115" t="str">
        <f t="shared" si="88"/>
        <v>53</v>
      </c>
      <c r="S714" s="112">
        <v>530209</v>
      </c>
      <c r="T714" s="122" t="str">
        <f>VLOOKUP(S714,ITEM!$C$1:$D$156,2,FALSE)</f>
        <v>Servicios de Aseo, Lavado de Vestimenta de Trabajo, Fumigación, Desinfección,  Limpieza de Instalaciones, manejo
de desechos contaminados, recuperación y clasificación de materiales reciclables.</v>
      </c>
      <c r="U714" s="112">
        <v>101</v>
      </c>
      <c r="V714" s="114" t="s">
        <v>82</v>
      </c>
      <c r="W714" s="114" t="s">
        <v>84</v>
      </c>
      <c r="X714" s="114" t="s">
        <v>84</v>
      </c>
      <c r="Y714" s="224" t="e">
        <f>'Matriz POA 2024-TRABAJO'!#REF!</f>
        <v>#REF!</v>
      </c>
      <c r="Z714" s="224" t="e">
        <f>'Matriz POA 2024-TRABAJO'!#REF!</f>
        <v>#REF!</v>
      </c>
      <c r="AA714" s="224" t="e">
        <f>'Matriz POA 2024-TRABAJO'!#REF!</f>
        <v>#REF!</v>
      </c>
      <c r="AB714" s="279">
        <v>0</v>
      </c>
      <c r="AC714" s="279">
        <v>0</v>
      </c>
      <c r="AD714" s="279">
        <v>0</v>
      </c>
      <c r="AE714" s="279">
        <v>0</v>
      </c>
      <c r="AF714" s="279">
        <v>0</v>
      </c>
      <c r="AG714" s="279">
        <v>0</v>
      </c>
      <c r="AH714" s="279">
        <v>0</v>
      </c>
      <c r="AI714" s="279">
        <v>0</v>
      </c>
      <c r="AJ714" s="279">
        <v>0</v>
      </c>
      <c r="AK714" s="279">
        <v>0</v>
      </c>
      <c r="AL714" s="279">
        <v>0</v>
      </c>
      <c r="AM714" s="279">
        <v>0</v>
      </c>
      <c r="AN714" s="224" t="e">
        <f>SUM(#REF!)</f>
        <v>#REF!</v>
      </c>
      <c r="AO714" s="224">
        <f t="shared" si="89"/>
        <v>0</v>
      </c>
      <c r="AP714" s="224" t="e">
        <f t="shared" si="94"/>
        <v>#REF!</v>
      </c>
      <c r="AQ714" s="224"/>
      <c r="AR714" s="224"/>
      <c r="AS714" s="224"/>
      <c r="AT714" s="224" t="str">
        <f>IFERROR(VLOOKUP($A714,'Constancias POA'!$A$2:$DH$9993,17,FALSE),"")</f>
        <v/>
      </c>
      <c r="AU714" s="224" t="str">
        <f t="shared" si="95"/>
        <v/>
      </c>
      <c r="AV714" s="224" t="str">
        <f>IFERROR(VLOOKUP($A714,CP!$A$1:$U$7992,18,FALSE),"")</f>
        <v/>
      </c>
      <c r="AW714" s="224" t="str">
        <f>IFERROR(VLOOKUP($A714,CP!$A$1:$U$7992,19,FALSE),"")</f>
        <v/>
      </c>
      <c r="AX714" s="224" t="str">
        <f>IFERROR(VLOOKUP($A714,CP!$A$1:$U$7992,20,FALSE),"")</f>
        <v/>
      </c>
      <c r="AY714" s="224" t="str">
        <f>IFERROR(VLOOKUP($A714,CP!$A$1:$U$1,21,FALSE),"")</f>
        <v/>
      </c>
      <c r="AZ714" s="224" t="str">
        <f>IFERROR(VLOOKUP(A714,Devengado!$A$1:AJ1,35,FALSE),"")</f>
        <v/>
      </c>
      <c r="BA714" s="224" t="str">
        <f t="shared" si="90"/>
        <v/>
      </c>
      <c r="BB714" s="224" t="str">
        <f>IFERROR(AZ714/#REF!,"")</f>
        <v/>
      </c>
      <c r="BC714" s="224" t="str">
        <f>IFERROR(VLOOKUP($A714,Devengado!$A$1:$AI$1,22,FALSE),"")</f>
        <v/>
      </c>
      <c r="BD714" s="224" t="str">
        <f>IFERROR(VLOOKUP($A714,Devengado!$A$1:$AI$1,23,FALSE),"")</f>
        <v/>
      </c>
      <c r="BE714" s="224" t="str">
        <f>IFERROR(VLOOKUP($A714,Devengado!$A$1:$AI$1,24,FALSE),"")</f>
        <v/>
      </c>
      <c r="BF714" s="224" t="str">
        <f>IFERROR(VLOOKUP($A714,Devengado!$A$1:$AI$1,25,FALSE),"")</f>
        <v/>
      </c>
      <c r="BG714" s="224" t="str">
        <f>IFERROR(VLOOKUP($A714,Devengado!$A$1:$AI$1,26,FALSE),"")</f>
        <v/>
      </c>
      <c r="BH714" s="224" t="str">
        <f>IFERROR(VLOOKUP($A714,Devengado!$A$1:$AI$1,27,FALSE),"")</f>
        <v/>
      </c>
      <c r="BI714" s="224" t="str">
        <f>IFERROR(VLOOKUP($A714,Devengado!$A$1:$AI$1,28,FALSE),"")</f>
        <v/>
      </c>
      <c r="BJ714" s="224" t="str">
        <f>IFERROR(VLOOKUP($A714,Devengado!$A$1:$AI$1,29,FALSE),"")</f>
        <v/>
      </c>
      <c r="BK714" s="224" t="str">
        <f>IFERROR(VLOOKUP($A714,Devengado!$A$1:$AI$1,30,FALSE),"")</f>
        <v/>
      </c>
      <c r="BL714" s="224" t="str">
        <f>IFERROR(VLOOKUP($A714,Devengado!$A$1:$AI$1,31,FALSE),"")</f>
        <v/>
      </c>
      <c r="BM714" s="224" t="str">
        <f>IFERROR(VLOOKUP($A714,Devengado!$A$1:$AI$1,32,FALSE),"")</f>
        <v/>
      </c>
      <c r="BN714" s="224" t="str">
        <f>IFERROR(VLOOKUP($A714,Devengado!$A$1:$AI$1,33,FALSE),"")</f>
        <v/>
      </c>
      <c r="BO714" s="224">
        <f t="shared" si="91"/>
        <v>0</v>
      </c>
      <c r="BP714" s="224" t="str">
        <f t="shared" si="92"/>
        <v/>
      </c>
      <c r="BQ714" s="207"/>
      <c r="BR714" s="207" t="str">
        <f t="shared" si="93"/>
        <v>53</v>
      </c>
    </row>
    <row r="715" spans="1:70" s="225" customFormat="1" ht="25.5" customHeight="1">
      <c r="A715" s="207">
        <v>711</v>
      </c>
      <c r="B715" s="112" t="s">
        <v>621</v>
      </c>
      <c r="C715" s="112" t="s">
        <v>77</v>
      </c>
      <c r="D715" s="112" t="s">
        <v>77</v>
      </c>
      <c r="E715" s="112" t="s">
        <v>76</v>
      </c>
      <c r="F715" s="112" t="s">
        <v>77</v>
      </c>
      <c r="G715" s="112" t="s">
        <v>77</v>
      </c>
      <c r="H715" s="112" t="s">
        <v>77</v>
      </c>
      <c r="I715" s="112" t="s">
        <v>77</v>
      </c>
      <c r="J715" s="112" t="s">
        <v>77</v>
      </c>
      <c r="K715" s="112" t="s">
        <v>77</v>
      </c>
      <c r="L715" s="112" t="s">
        <v>85</v>
      </c>
      <c r="M715" s="112" t="s">
        <v>703</v>
      </c>
      <c r="N715" s="114" t="s">
        <v>623</v>
      </c>
      <c r="O715" s="123">
        <v>80</v>
      </c>
      <c r="P715" s="114" t="s">
        <v>81</v>
      </c>
      <c r="Q715" s="114" t="s">
        <v>112</v>
      </c>
      <c r="R715" s="115" t="str">
        <f t="shared" si="88"/>
        <v>84</v>
      </c>
      <c r="S715" s="112">
        <v>840107</v>
      </c>
      <c r="T715" s="122" t="e">
        <f>VLOOKUP(S715,ITEM!$C$1:$D$156,2,FALSE)</f>
        <v>#N/A</v>
      </c>
      <c r="U715" s="112">
        <v>101</v>
      </c>
      <c r="V715" s="114" t="s">
        <v>82</v>
      </c>
      <c r="W715" s="114" t="s">
        <v>84</v>
      </c>
      <c r="X715" s="114" t="s">
        <v>84</v>
      </c>
      <c r="Y715" s="224" t="e">
        <f>'Matriz POA 2024-TRABAJO'!#REF!</f>
        <v>#REF!</v>
      </c>
      <c r="Z715" s="224" t="e">
        <f>'Matriz POA 2024-TRABAJO'!#REF!</f>
        <v>#REF!</v>
      </c>
      <c r="AA715" s="224" t="e">
        <f>'Matriz POA 2024-TRABAJO'!#REF!</f>
        <v>#REF!</v>
      </c>
      <c r="AB715" s="279">
        <v>0</v>
      </c>
      <c r="AC715" s="279">
        <v>0</v>
      </c>
      <c r="AD715" s="279">
        <v>0</v>
      </c>
      <c r="AE715" s="279">
        <v>0</v>
      </c>
      <c r="AF715" s="279">
        <v>0</v>
      </c>
      <c r="AG715" s="279">
        <v>0</v>
      </c>
      <c r="AH715" s="279">
        <v>0</v>
      </c>
      <c r="AI715" s="279">
        <v>0</v>
      </c>
      <c r="AJ715" s="279">
        <v>0</v>
      </c>
      <c r="AK715" s="279">
        <v>0</v>
      </c>
      <c r="AL715" s="279">
        <v>0</v>
      </c>
      <c r="AM715" s="279">
        <v>0</v>
      </c>
      <c r="AN715" s="224" t="e">
        <f>SUM(#REF!)</f>
        <v>#REF!</v>
      </c>
      <c r="AO715" s="224">
        <f t="shared" si="89"/>
        <v>0</v>
      </c>
      <c r="AP715" s="224" t="e">
        <f t="shared" si="94"/>
        <v>#REF!</v>
      </c>
      <c r="AQ715" s="224"/>
      <c r="AR715" s="224"/>
      <c r="AS715" s="224"/>
      <c r="AT715" s="224" t="str">
        <f>IFERROR(VLOOKUP($A715,'Constancias POA'!$A$2:$DH$9993,17,FALSE),"")</f>
        <v/>
      </c>
      <c r="AU715" s="224" t="str">
        <f t="shared" si="95"/>
        <v/>
      </c>
      <c r="AV715" s="224" t="str">
        <f>IFERROR(VLOOKUP($A715,CP!$A$1:$U$7992,18,FALSE),"")</f>
        <v/>
      </c>
      <c r="AW715" s="224" t="str">
        <f>IFERROR(VLOOKUP($A715,CP!$A$1:$U$7992,19,FALSE),"")</f>
        <v/>
      </c>
      <c r="AX715" s="224" t="str">
        <f>IFERROR(VLOOKUP($A715,CP!$A$1:$U$7992,20,FALSE),"")</f>
        <v/>
      </c>
      <c r="AY715" s="224" t="str">
        <f>IFERROR(VLOOKUP($A715,CP!$A$1:$U$1,21,FALSE),"")</f>
        <v/>
      </c>
      <c r="AZ715" s="224" t="str">
        <f>IFERROR(VLOOKUP(A715,Devengado!$A$1:AJ1,35,FALSE),"")</f>
        <v/>
      </c>
      <c r="BA715" s="224" t="str">
        <f t="shared" si="90"/>
        <v/>
      </c>
      <c r="BB715" s="224" t="str">
        <f>IFERROR(AZ715/#REF!,"")</f>
        <v/>
      </c>
      <c r="BC715" s="224" t="str">
        <f>IFERROR(VLOOKUP($A715,Devengado!$A$1:$AI$1,22,FALSE),"")</f>
        <v/>
      </c>
      <c r="BD715" s="224" t="str">
        <f>IFERROR(VLOOKUP($A715,Devengado!$A$1:$AI$1,23,FALSE),"")</f>
        <v/>
      </c>
      <c r="BE715" s="224" t="str">
        <f>IFERROR(VLOOKUP($A715,Devengado!$A$1:$AI$1,24,FALSE),"")</f>
        <v/>
      </c>
      <c r="BF715" s="224" t="str">
        <f>IFERROR(VLOOKUP($A715,Devengado!$A$1:$AI$1,25,FALSE),"")</f>
        <v/>
      </c>
      <c r="BG715" s="224" t="str">
        <f>IFERROR(VLOOKUP($A715,Devengado!$A$1:$AI$1,26,FALSE),"")</f>
        <v/>
      </c>
      <c r="BH715" s="224" t="str">
        <f>IFERROR(VLOOKUP($A715,Devengado!$A$1:$AI$1,27,FALSE),"")</f>
        <v/>
      </c>
      <c r="BI715" s="224" t="str">
        <f>IFERROR(VLOOKUP($A715,Devengado!$A$1:$AI$1,28,FALSE),"")</f>
        <v/>
      </c>
      <c r="BJ715" s="224" t="str">
        <f>IFERROR(VLOOKUP($A715,Devengado!$A$1:$AI$1,29,FALSE),"")</f>
        <v/>
      </c>
      <c r="BK715" s="224" t="str">
        <f>IFERROR(VLOOKUP($A715,Devengado!$A$1:$AI$1,30,FALSE),"")</f>
        <v/>
      </c>
      <c r="BL715" s="224" t="str">
        <f>IFERROR(VLOOKUP($A715,Devengado!$A$1:$AI$1,31,FALSE),"")</f>
        <v/>
      </c>
      <c r="BM715" s="224" t="str">
        <f>IFERROR(VLOOKUP($A715,Devengado!$A$1:$AI$1,32,FALSE),"")</f>
        <v/>
      </c>
      <c r="BN715" s="224" t="str">
        <f>IFERROR(VLOOKUP($A715,Devengado!$A$1:$AI$1,33,FALSE),"")</f>
        <v/>
      </c>
      <c r="BO715" s="224">
        <f t="shared" si="91"/>
        <v>0</v>
      </c>
      <c r="BP715" s="224" t="str">
        <f t="shared" si="92"/>
        <v/>
      </c>
      <c r="BQ715" s="207"/>
      <c r="BR715" s="207" t="str">
        <f t="shared" si="93"/>
        <v>84</v>
      </c>
    </row>
    <row r="716" spans="1:70" s="225" customFormat="1" ht="25.5" customHeight="1">
      <c r="A716" s="207">
        <v>712</v>
      </c>
      <c r="B716" s="112" t="s">
        <v>621</v>
      </c>
      <c r="C716" s="112" t="s">
        <v>77</v>
      </c>
      <c r="D716" s="112" t="s">
        <v>77</v>
      </c>
      <c r="E716" s="112" t="s">
        <v>76</v>
      </c>
      <c r="F716" s="112" t="s">
        <v>77</v>
      </c>
      <c r="G716" s="112" t="s">
        <v>77</v>
      </c>
      <c r="H716" s="112" t="s">
        <v>77</v>
      </c>
      <c r="I716" s="112" t="s">
        <v>77</v>
      </c>
      <c r="J716" s="112" t="s">
        <v>77</v>
      </c>
      <c r="K716" s="112" t="s">
        <v>77</v>
      </c>
      <c r="L716" s="112" t="s">
        <v>85</v>
      </c>
      <c r="M716" s="112" t="s">
        <v>704</v>
      </c>
      <c r="N716" s="114" t="s">
        <v>623</v>
      </c>
      <c r="O716" s="123">
        <v>80</v>
      </c>
      <c r="P716" s="114" t="s">
        <v>81</v>
      </c>
      <c r="Q716" s="114" t="s">
        <v>112</v>
      </c>
      <c r="R716" s="115" t="str">
        <f t="shared" si="88"/>
        <v>84</v>
      </c>
      <c r="S716" s="112">
        <v>840104</v>
      </c>
      <c r="T716" s="122" t="e">
        <f>VLOOKUP(S716,ITEM!$C$1:$D$156,2,FALSE)</f>
        <v>#N/A</v>
      </c>
      <c r="U716" s="112">
        <v>101</v>
      </c>
      <c r="V716" s="114" t="s">
        <v>82</v>
      </c>
      <c r="W716" s="114" t="s">
        <v>84</v>
      </c>
      <c r="X716" s="114" t="s">
        <v>84</v>
      </c>
      <c r="Y716" s="224" t="e">
        <f>'Matriz POA 2024-TRABAJO'!#REF!</f>
        <v>#REF!</v>
      </c>
      <c r="Z716" s="224" t="e">
        <f>'Matriz POA 2024-TRABAJO'!#REF!</f>
        <v>#REF!</v>
      </c>
      <c r="AA716" s="224" t="e">
        <f>'Matriz POA 2024-TRABAJO'!#REF!</f>
        <v>#REF!</v>
      </c>
      <c r="AB716" s="279">
        <v>0</v>
      </c>
      <c r="AC716" s="279">
        <v>0</v>
      </c>
      <c r="AD716" s="279">
        <v>0</v>
      </c>
      <c r="AE716" s="279">
        <v>0</v>
      </c>
      <c r="AF716" s="279">
        <v>0</v>
      </c>
      <c r="AG716" s="279">
        <v>0</v>
      </c>
      <c r="AH716" s="279">
        <v>0</v>
      </c>
      <c r="AI716" s="279">
        <v>0</v>
      </c>
      <c r="AJ716" s="279">
        <v>0</v>
      </c>
      <c r="AK716" s="279">
        <v>0</v>
      </c>
      <c r="AL716" s="279">
        <v>0</v>
      </c>
      <c r="AM716" s="279">
        <v>0</v>
      </c>
      <c r="AN716" s="224" t="e">
        <f>SUM(#REF!)</f>
        <v>#REF!</v>
      </c>
      <c r="AO716" s="224">
        <f t="shared" si="89"/>
        <v>0</v>
      </c>
      <c r="AP716" s="224" t="e">
        <f t="shared" si="94"/>
        <v>#REF!</v>
      </c>
      <c r="AQ716" s="224"/>
      <c r="AR716" s="224"/>
      <c r="AS716" s="224"/>
      <c r="AT716" s="224" t="str">
        <f>IFERROR(VLOOKUP($A716,'Constancias POA'!$A$2:$DH$9993,17,FALSE),"")</f>
        <v/>
      </c>
      <c r="AU716" s="224" t="str">
        <f t="shared" si="95"/>
        <v/>
      </c>
      <c r="AV716" s="224" t="str">
        <f>IFERROR(VLOOKUP($A716,CP!$A$1:$U$7992,18,FALSE),"")</f>
        <v/>
      </c>
      <c r="AW716" s="224" t="str">
        <f>IFERROR(VLOOKUP($A716,CP!$A$1:$U$7992,19,FALSE),"")</f>
        <v/>
      </c>
      <c r="AX716" s="224" t="str">
        <f>IFERROR(VLOOKUP($A716,CP!$A$1:$U$7992,20,FALSE),"")</f>
        <v/>
      </c>
      <c r="AY716" s="224" t="str">
        <f>IFERROR(VLOOKUP($A716,CP!$A$1:$U$1,21,FALSE),"")</f>
        <v/>
      </c>
      <c r="AZ716" s="224" t="str">
        <f>IFERROR(VLOOKUP(A716,Devengado!$A$1:AJ1,35,FALSE),"")</f>
        <v/>
      </c>
      <c r="BA716" s="224" t="str">
        <f t="shared" si="90"/>
        <v/>
      </c>
      <c r="BB716" s="224" t="str">
        <f>IFERROR(AZ716/#REF!,"")</f>
        <v/>
      </c>
      <c r="BC716" s="224" t="str">
        <f>IFERROR(VLOOKUP($A716,Devengado!$A$1:$AI$1,22,FALSE),"")</f>
        <v/>
      </c>
      <c r="BD716" s="224" t="str">
        <f>IFERROR(VLOOKUP($A716,Devengado!$A$1:$AI$1,23,FALSE),"")</f>
        <v/>
      </c>
      <c r="BE716" s="224" t="str">
        <f>IFERROR(VLOOKUP($A716,Devengado!$A$1:$AI$1,24,FALSE),"")</f>
        <v/>
      </c>
      <c r="BF716" s="224" t="str">
        <f>IFERROR(VLOOKUP($A716,Devengado!$A$1:$AI$1,25,FALSE),"")</f>
        <v/>
      </c>
      <c r="BG716" s="224" t="str">
        <f>IFERROR(VLOOKUP($A716,Devengado!$A$1:$AI$1,26,FALSE),"")</f>
        <v/>
      </c>
      <c r="BH716" s="224" t="str">
        <f>IFERROR(VLOOKUP($A716,Devengado!$A$1:$AI$1,27,FALSE),"")</f>
        <v/>
      </c>
      <c r="BI716" s="224" t="str">
        <f>IFERROR(VLOOKUP($A716,Devengado!$A$1:$AI$1,28,FALSE),"")</f>
        <v/>
      </c>
      <c r="BJ716" s="224" t="str">
        <f>IFERROR(VLOOKUP($A716,Devengado!$A$1:$AI$1,29,FALSE),"")</f>
        <v/>
      </c>
      <c r="BK716" s="224" t="str">
        <f>IFERROR(VLOOKUP($A716,Devengado!$A$1:$AI$1,30,FALSE),"")</f>
        <v/>
      </c>
      <c r="BL716" s="224" t="str">
        <f>IFERROR(VLOOKUP($A716,Devengado!$A$1:$AI$1,31,FALSE),"")</f>
        <v/>
      </c>
      <c r="BM716" s="224" t="str">
        <f>IFERROR(VLOOKUP($A716,Devengado!$A$1:$AI$1,32,FALSE),"")</f>
        <v/>
      </c>
      <c r="BN716" s="224" t="str">
        <f>IFERROR(VLOOKUP($A716,Devengado!$A$1:$AI$1,33,FALSE),"")</f>
        <v/>
      </c>
      <c r="BO716" s="224">
        <f t="shared" si="91"/>
        <v>0</v>
      </c>
      <c r="BP716" s="224" t="str">
        <f t="shared" si="92"/>
        <v/>
      </c>
      <c r="BQ716" s="207"/>
      <c r="BR716" s="207" t="str">
        <f t="shared" si="93"/>
        <v>84</v>
      </c>
    </row>
    <row r="717" spans="1:70" s="225" customFormat="1" ht="25.5" customHeight="1">
      <c r="A717" s="207">
        <v>713</v>
      </c>
      <c r="B717" s="112" t="s">
        <v>621</v>
      </c>
      <c r="C717" s="112" t="s">
        <v>77</v>
      </c>
      <c r="D717" s="112" t="s">
        <v>77</v>
      </c>
      <c r="E717" s="112" t="s">
        <v>76</v>
      </c>
      <c r="F717" s="112" t="s">
        <v>77</v>
      </c>
      <c r="G717" s="112" t="s">
        <v>77</v>
      </c>
      <c r="H717" s="112" t="s">
        <v>77</v>
      </c>
      <c r="I717" s="112" t="s">
        <v>77</v>
      </c>
      <c r="J717" s="112" t="s">
        <v>77</v>
      </c>
      <c r="K717" s="112" t="s">
        <v>77</v>
      </c>
      <c r="L717" s="112" t="s">
        <v>85</v>
      </c>
      <c r="M717" s="112" t="s">
        <v>705</v>
      </c>
      <c r="N717" s="114" t="s">
        <v>623</v>
      </c>
      <c r="O717" s="123">
        <v>80</v>
      </c>
      <c r="P717" s="114" t="s">
        <v>81</v>
      </c>
      <c r="Q717" s="114" t="s">
        <v>112</v>
      </c>
      <c r="R717" s="115" t="str">
        <f t="shared" si="88"/>
        <v>53</v>
      </c>
      <c r="S717" s="112">
        <v>530230</v>
      </c>
      <c r="T717" s="122" t="str">
        <f>VLOOKUP(S717,ITEM!$C$1:$D$156,2,FALSE)</f>
        <v>Digitalización de Información y Datos Públicos</v>
      </c>
      <c r="U717" s="112">
        <v>101</v>
      </c>
      <c r="V717" s="114" t="s">
        <v>82</v>
      </c>
      <c r="W717" s="114" t="s">
        <v>84</v>
      </c>
      <c r="X717" s="114" t="s">
        <v>84</v>
      </c>
      <c r="Y717" s="224" t="e">
        <f>'Matriz POA 2024-TRABAJO'!#REF!</f>
        <v>#REF!</v>
      </c>
      <c r="Z717" s="224" t="e">
        <f>'Matriz POA 2024-TRABAJO'!#REF!</f>
        <v>#REF!</v>
      </c>
      <c r="AA717" s="224" t="e">
        <f>'Matriz POA 2024-TRABAJO'!#REF!</f>
        <v>#REF!</v>
      </c>
      <c r="AB717" s="279">
        <v>0</v>
      </c>
      <c r="AC717" s="279">
        <v>0</v>
      </c>
      <c r="AD717" s="279">
        <v>0</v>
      </c>
      <c r="AE717" s="279">
        <v>0</v>
      </c>
      <c r="AF717" s="279">
        <v>0</v>
      </c>
      <c r="AG717" s="279">
        <v>0</v>
      </c>
      <c r="AH717" s="279">
        <v>0</v>
      </c>
      <c r="AI717" s="279">
        <v>0</v>
      </c>
      <c r="AJ717" s="279">
        <v>0</v>
      </c>
      <c r="AK717" s="279">
        <v>0</v>
      </c>
      <c r="AL717" s="279">
        <v>0</v>
      </c>
      <c r="AM717" s="279">
        <v>0</v>
      </c>
      <c r="AN717" s="224" t="e">
        <f>SUM(#REF!)</f>
        <v>#REF!</v>
      </c>
      <c r="AO717" s="224">
        <f t="shared" si="89"/>
        <v>0</v>
      </c>
      <c r="AP717" s="224" t="e">
        <f t="shared" si="94"/>
        <v>#REF!</v>
      </c>
      <c r="AQ717" s="224"/>
      <c r="AR717" s="224"/>
      <c r="AS717" s="224"/>
      <c r="AT717" s="224" t="str">
        <f>IFERROR(VLOOKUP($A717,'Constancias POA'!$A$2:$DH$9993,17,FALSE),"")</f>
        <v/>
      </c>
      <c r="AU717" s="224" t="str">
        <f t="shared" si="95"/>
        <v/>
      </c>
      <c r="AV717" s="224" t="str">
        <f>IFERROR(VLOOKUP($A717,CP!$A$1:$U$7992,18,FALSE),"")</f>
        <v/>
      </c>
      <c r="AW717" s="224" t="str">
        <f>IFERROR(VLOOKUP($A717,CP!$A$1:$U$7992,19,FALSE),"")</f>
        <v/>
      </c>
      <c r="AX717" s="224" t="str">
        <f>IFERROR(VLOOKUP($A717,CP!$A$1:$U$7992,20,FALSE),"")</f>
        <v/>
      </c>
      <c r="AY717" s="224" t="str">
        <f>IFERROR(VLOOKUP($A717,CP!$A$1:$U$1,21,FALSE),"")</f>
        <v/>
      </c>
      <c r="AZ717" s="224" t="str">
        <f>IFERROR(VLOOKUP(A717,Devengado!$A$1:AJ1,35,FALSE),"")</f>
        <v/>
      </c>
      <c r="BA717" s="224" t="str">
        <f t="shared" si="90"/>
        <v/>
      </c>
      <c r="BB717" s="224" t="str">
        <f>IFERROR(AZ717/#REF!,"")</f>
        <v/>
      </c>
      <c r="BC717" s="224" t="str">
        <f>IFERROR(VLOOKUP($A717,Devengado!$A$1:$AI$1,22,FALSE),"")</f>
        <v/>
      </c>
      <c r="BD717" s="224" t="str">
        <f>IFERROR(VLOOKUP($A717,Devengado!$A$1:$AI$1,23,FALSE),"")</f>
        <v/>
      </c>
      <c r="BE717" s="224" t="str">
        <f>IFERROR(VLOOKUP($A717,Devengado!$A$1:$AI$1,24,FALSE),"")</f>
        <v/>
      </c>
      <c r="BF717" s="224" t="str">
        <f>IFERROR(VLOOKUP($A717,Devengado!$A$1:$AI$1,25,FALSE),"")</f>
        <v/>
      </c>
      <c r="BG717" s="224" t="str">
        <f>IFERROR(VLOOKUP($A717,Devengado!$A$1:$AI$1,26,FALSE),"")</f>
        <v/>
      </c>
      <c r="BH717" s="224" t="str">
        <f>IFERROR(VLOOKUP($A717,Devengado!$A$1:$AI$1,27,FALSE),"")</f>
        <v/>
      </c>
      <c r="BI717" s="224" t="str">
        <f>IFERROR(VLOOKUP($A717,Devengado!$A$1:$AI$1,28,FALSE),"")</f>
        <v/>
      </c>
      <c r="BJ717" s="224" t="str">
        <f>IFERROR(VLOOKUP($A717,Devengado!$A$1:$AI$1,29,FALSE),"")</f>
        <v/>
      </c>
      <c r="BK717" s="224" t="str">
        <f>IFERROR(VLOOKUP($A717,Devengado!$A$1:$AI$1,30,FALSE),"")</f>
        <v/>
      </c>
      <c r="BL717" s="224" t="str">
        <f>IFERROR(VLOOKUP($A717,Devengado!$A$1:$AI$1,31,FALSE),"")</f>
        <v/>
      </c>
      <c r="BM717" s="224" t="str">
        <f>IFERROR(VLOOKUP($A717,Devengado!$A$1:$AI$1,32,FALSE),"")</f>
        <v/>
      </c>
      <c r="BN717" s="224" t="str">
        <f>IFERROR(VLOOKUP($A717,Devengado!$A$1:$AI$1,33,FALSE),"")</f>
        <v/>
      </c>
      <c r="BO717" s="224">
        <f t="shared" si="91"/>
        <v>0</v>
      </c>
      <c r="BP717" s="224" t="str">
        <f t="shared" si="92"/>
        <v/>
      </c>
      <c r="BQ717" s="207"/>
      <c r="BR717" s="207" t="str">
        <f t="shared" si="93"/>
        <v>53</v>
      </c>
    </row>
    <row r="718" spans="1:70" s="225" customFormat="1" ht="25.5" customHeight="1">
      <c r="A718" s="207">
        <v>714</v>
      </c>
      <c r="B718" s="112" t="s">
        <v>621</v>
      </c>
      <c r="C718" s="112" t="s">
        <v>77</v>
      </c>
      <c r="D718" s="112" t="s">
        <v>77</v>
      </c>
      <c r="E718" s="112" t="s">
        <v>76</v>
      </c>
      <c r="F718" s="112" t="s">
        <v>77</v>
      </c>
      <c r="G718" s="112" t="s">
        <v>77</v>
      </c>
      <c r="H718" s="112" t="s">
        <v>77</v>
      </c>
      <c r="I718" s="112" t="s">
        <v>77</v>
      </c>
      <c r="J718" s="112" t="s">
        <v>77</v>
      </c>
      <c r="K718" s="112" t="s">
        <v>77</v>
      </c>
      <c r="L718" s="112" t="s">
        <v>85</v>
      </c>
      <c r="M718" s="112" t="s">
        <v>706</v>
      </c>
      <c r="N718" s="114" t="s">
        <v>623</v>
      </c>
      <c r="O718" s="123">
        <v>80</v>
      </c>
      <c r="P718" s="114" t="s">
        <v>81</v>
      </c>
      <c r="Q718" s="114" t="s">
        <v>112</v>
      </c>
      <c r="R718" s="115" t="str">
        <f t="shared" si="88"/>
        <v>53</v>
      </c>
      <c r="S718" s="112">
        <v>530205</v>
      </c>
      <c r="T718" s="122" t="str">
        <f>VLOOKUP(S718,ITEM!$C$1:$D$156,2,FALSE)</f>
        <v>Espectáculos Culturales y Sociales</v>
      </c>
      <c r="U718" s="112">
        <v>101</v>
      </c>
      <c r="V718" s="114" t="s">
        <v>82</v>
      </c>
      <c r="W718" s="114" t="s">
        <v>84</v>
      </c>
      <c r="X718" s="114" t="s">
        <v>84</v>
      </c>
      <c r="Y718" s="296" t="e">
        <f>'Matriz POA 2024-TRABAJO'!#REF!</f>
        <v>#REF!</v>
      </c>
      <c r="Z718" s="296" t="e">
        <f>'Matriz POA 2024-TRABAJO'!#REF!</f>
        <v>#REF!</v>
      </c>
      <c r="AA718" s="296" t="e">
        <f>'Matriz POA 2024-TRABAJO'!#REF!</f>
        <v>#REF!</v>
      </c>
      <c r="AB718" s="279">
        <v>0</v>
      </c>
      <c r="AC718" s="279">
        <v>0</v>
      </c>
      <c r="AD718" s="279">
        <v>0</v>
      </c>
      <c r="AE718" s="279">
        <v>0</v>
      </c>
      <c r="AF718" s="279">
        <v>0</v>
      </c>
      <c r="AG718" s="279">
        <v>0</v>
      </c>
      <c r="AH718" s="279">
        <v>0</v>
      </c>
      <c r="AI718" s="279">
        <v>0</v>
      </c>
      <c r="AJ718" s="279">
        <v>0</v>
      </c>
      <c r="AK718" s="279">
        <v>0</v>
      </c>
      <c r="AL718" s="279">
        <v>0</v>
      </c>
      <c r="AM718" s="279">
        <v>0</v>
      </c>
      <c r="AN718" s="296" t="e">
        <f>SUM(#REF!)</f>
        <v>#REF!</v>
      </c>
      <c r="AO718" s="224">
        <f t="shared" si="89"/>
        <v>0</v>
      </c>
      <c r="AP718" s="224" t="e">
        <f t="shared" si="94"/>
        <v>#REF!</v>
      </c>
      <c r="AQ718" s="296"/>
      <c r="AR718" s="296"/>
      <c r="AS718" s="296"/>
      <c r="AT718" s="224" t="str">
        <f>IFERROR(VLOOKUP($A718,'Constancias POA'!$A$2:$DH$9993,17,FALSE),"")</f>
        <v/>
      </c>
      <c r="AU718" s="296" t="str">
        <f t="shared" si="95"/>
        <v/>
      </c>
      <c r="AV718" s="224" t="str">
        <f>IFERROR(VLOOKUP($A718,CP!$A$1:$U$7992,18,FALSE),"")</f>
        <v/>
      </c>
      <c r="AW718" s="224" t="str">
        <f>IFERROR(VLOOKUP($A718,CP!$A$1:$U$7992,19,FALSE),"")</f>
        <v/>
      </c>
      <c r="AX718" s="224" t="str">
        <f>IFERROR(VLOOKUP($A718,CP!$A$1:$U$7992,20,FALSE),"")</f>
        <v/>
      </c>
      <c r="AY718" s="296" t="str">
        <f>IFERROR(VLOOKUP($A718,CP!$A$1:$U$1,21,FALSE),"")</f>
        <v/>
      </c>
      <c r="AZ718" s="224" t="str">
        <f>IFERROR(VLOOKUP(A718,Devengado!$A$1:AJ1,35,FALSE),"")</f>
        <v/>
      </c>
      <c r="BA718" s="224" t="str">
        <f t="shared" si="90"/>
        <v/>
      </c>
      <c r="BB718" s="224" t="str">
        <f>IFERROR(AZ718/#REF!,"")</f>
        <v/>
      </c>
      <c r="BC718" s="224" t="str">
        <f>IFERROR(VLOOKUP($A718,Devengado!$A$1:$AI$1,22,FALSE),"")</f>
        <v/>
      </c>
      <c r="BD718" s="224" t="str">
        <f>IFERROR(VLOOKUP($A718,Devengado!$A$1:$AI$1,23,FALSE),"")</f>
        <v/>
      </c>
      <c r="BE718" s="224" t="str">
        <f>IFERROR(VLOOKUP($A718,Devengado!$A$1:$AI$1,24,FALSE),"")</f>
        <v/>
      </c>
      <c r="BF718" s="224" t="str">
        <f>IFERROR(VLOOKUP($A718,Devengado!$A$1:$AI$1,25,FALSE),"")</f>
        <v/>
      </c>
      <c r="BG718" s="224" t="str">
        <f>IFERROR(VLOOKUP($A718,Devengado!$A$1:$AI$1,26,FALSE),"")</f>
        <v/>
      </c>
      <c r="BH718" s="224" t="str">
        <f>IFERROR(VLOOKUP($A718,Devengado!$A$1:$AI$1,27,FALSE),"")</f>
        <v/>
      </c>
      <c r="BI718" s="224" t="str">
        <f>IFERROR(VLOOKUP($A718,Devengado!$A$1:$AI$1,28,FALSE),"")</f>
        <v/>
      </c>
      <c r="BJ718" s="224" t="str">
        <f>IFERROR(VLOOKUP($A718,Devengado!$A$1:$AI$1,29,FALSE),"")</f>
        <v/>
      </c>
      <c r="BK718" s="224" t="str">
        <f>IFERROR(VLOOKUP($A718,Devengado!$A$1:$AI$1,30,FALSE),"")</f>
        <v/>
      </c>
      <c r="BL718" s="224" t="str">
        <f>IFERROR(VLOOKUP($A718,Devengado!$A$1:$AI$1,31,FALSE),"")</f>
        <v/>
      </c>
      <c r="BM718" s="224" t="str">
        <f>IFERROR(VLOOKUP($A718,Devengado!$A$1:$AI$1,32,FALSE),"")</f>
        <v/>
      </c>
      <c r="BN718" s="224" t="str">
        <f>IFERROR(VLOOKUP($A718,Devengado!$A$1:$AI$1,33,FALSE),"")</f>
        <v/>
      </c>
      <c r="BO718" s="224">
        <f t="shared" si="91"/>
        <v>0</v>
      </c>
      <c r="BP718" s="224" t="str">
        <f t="shared" si="92"/>
        <v/>
      </c>
      <c r="BQ718" s="296"/>
      <c r="BR718" s="297" t="str">
        <f t="shared" si="93"/>
        <v>53</v>
      </c>
    </row>
    <row r="719" spans="1:70" s="225" customFormat="1" ht="25.5" customHeight="1">
      <c r="A719" s="207">
        <v>715</v>
      </c>
      <c r="B719" s="207" t="s">
        <v>348</v>
      </c>
      <c r="C719" s="207" t="s">
        <v>77</v>
      </c>
      <c r="D719" s="207" t="s">
        <v>77</v>
      </c>
      <c r="E719" s="207" t="s">
        <v>76</v>
      </c>
      <c r="F719" s="207" t="s">
        <v>77</v>
      </c>
      <c r="G719" s="207" t="s">
        <v>77</v>
      </c>
      <c r="H719" s="207" t="s">
        <v>77</v>
      </c>
      <c r="I719" s="207" t="s">
        <v>77</v>
      </c>
      <c r="J719" s="207" t="s">
        <v>77</v>
      </c>
      <c r="K719" s="207" t="s">
        <v>77</v>
      </c>
      <c r="L719" s="207" t="s">
        <v>85</v>
      </c>
      <c r="M719" s="207" t="s">
        <v>707</v>
      </c>
      <c r="N719" s="208" t="s">
        <v>350</v>
      </c>
      <c r="O719" s="208" t="s">
        <v>111</v>
      </c>
      <c r="P719" s="208" t="s">
        <v>81</v>
      </c>
      <c r="Q719" s="208" t="s">
        <v>112</v>
      </c>
      <c r="R719" s="115" t="str">
        <f t="shared" si="88"/>
        <v>51</v>
      </c>
      <c r="S719" s="268">
        <v>510513</v>
      </c>
      <c r="T719" s="122" t="str">
        <f>VLOOKUP(S719,ITEM!$C$1:$D$156,2,FALSE)</f>
        <v>Encargos</v>
      </c>
      <c r="U719" s="207">
        <v>1700</v>
      </c>
      <c r="V719" s="207" t="s">
        <v>82</v>
      </c>
      <c r="W719" s="207" t="s">
        <v>84</v>
      </c>
      <c r="X719" s="207" t="s">
        <v>84</v>
      </c>
      <c r="Y719" s="298" t="e">
        <f>'Matriz POA 2024-TRABAJO'!#REF!</f>
        <v>#REF!</v>
      </c>
      <c r="Z719" s="298" t="e">
        <f>'Matriz POA 2024-TRABAJO'!#REF!</f>
        <v>#REF!</v>
      </c>
      <c r="AA719" s="298" t="e">
        <f>'Matriz POA 2024-TRABAJO'!#REF!</f>
        <v>#REF!</v>
      </c>
      <c r="AB719" s="279">
        <v>2892.93</v>
      </c>
      <c r="AC719" s="279">
        <v>0</v>
      </c>
      <c r="AD719" s="279">
        <v>0</v>
      </c>
      <c r="AE719" s="279">
        <v>0</v>
      </c>
      <c r="AF719" s="279">
        <v>0</v>
      </c>
      <c r="AG719" s="279">
        <v>0</v>
      </c>
      <c r="AH719" s="279">
        <v>0</v>
      </c>
      <c r="AI719" s="279">
        <v>0</v>
      </c>
      <c r="AJ719" s="279">
        <v>0</v>
      </c>
      <c r="AK719" s="279">
        <v>0</v>
      </c>
      <c r="AL719" s="279">
        <v>0</v>
      </c>
      <c r="AM719" s="279">
        <v>0</v>
      </c>
      <c r="AN719" s="207" t="e">
        <f>SUM(#REF!)</f>
        <v>#REF!</v>
      </c>
      <c r="AO719" s="224">
        <f t="shared" si="89"/>
        <v>2892.93</v>
      </c>
      <c r="AP719" s="224" t="e">
        <f t="shared" si="94"/>
        <v>#REF!</v>
      </c>
      <c r="AQ719" s="207"/>
      <c r="AR719" s="207"/>
      <c r="AS719" s="207"/>
      <c r="AT719" s="224" t="str">
        <f>IFERROR(VLOOKUP($A719,'Constancias POA'!$A$2:$DH$9993,17,FALSE),"")</f>
        <v/>
      </c>
      <c r="AU719" s="207" t="str">
        <f t="shared" si="95"/>
        <v/>
      </c>
      <c r="AV719" s="224" t="str">
        <f>IFERROR(VLOOKUP($A719,CP!$A$1:$U$7992,18,FALSE),"")</f>
        <v/>
      </c>
      <c r="AW719" s="224" t="str">
        <f>IFERROR(VLOOKUP($A719,CP!$A$1:$U$7992,19,FALSE),"")</f>
        <v/>
      </c>
      <c r="AX719" s="224" t="str">
        <f>IFERROR(VLOOKUP($A719,CP!$A$1:$U$7992,20,FALSE),"")</f>
        <v/>
      </c>
      <c r="AY719" s="207" t="str">
        <f>IFERROR(VLOOKUP($A719,CP!$A$1:$U$1,21,FALSE),"")</f>
        <v/>
      </c>
      <c r="AZ719" s="224" t="str">
        <f>IFERROR(VLOOKUP(A719,Devengado!$A$1:AJ1,35,FALSE),"")</f>
        <v/>
      </c>
      <c r="BA719" s="224" t="str">
        <f t="shared" si="90"/>
        <v/>
      </c>
      <c r="BB719" s="224" t="str">
        <f>IFERROR(AZ719/#REF!,"")</f>
        <v/>
      </c>
      <c r="BC719" s="224" t="str">
        <f>IFERROR(VLOOKUP($A719,Devengado!$A$1:$AI$1,22,FALSE),"")</f>
        <v/>
      </c>
      <c r="BD719" s="224" t="str">
        <f>IFERROR(VLOOKUP($A719,Devengado!$A$1:$AI$1,23,FALSE),"")</f>
        <v/>
      </c>
      <c r="BE719" s="224" t="str">
        <f>IFERROR(VLOOKUP($A719,Devengado!$A$1:$AI$1,24,FALSE),"")</f>
        <v/>
      </c>
      <c r="BF719" s="224" t="str">
        <f>IFERROR(VLOOKUP($A719,Devengado!$A$1:$AI$1,25,FALSE),"")</f>
        <v/>
      </c>
      <c r="BG719" s="224" t="str">
        <f>IFERROR(VLOOKUP($A719,Devengado!$A$1:$AI$1,26,FALSE),"")</f>
        <v/>
      </c>
      <c r="BH719" s="224" t="str">
        <f>IFERROR(VLOOKUP($A719,Devengado!$A$1:$AI$1,27,FALSE),"")</f>
        <v/>
      </c>
      <c r="BI719" s="224" t="str">
        <f>IFERROR(VLOOKUP($A719,Devengado!$A$1:$AI$1,28,FALSE),"")</f>
        <v/>
      </c>
      <c r="BJ719" s="224" t="str">
        <f>IFERROR(VLOOKUP($A719,Devengado!$A$1:$AI$1,29,FALSE),"")</f>
        <v/>
      </c>
      <c r="BK719" s="224" t="str">
        <f>IFERROR(VLOOKUP($A719,Devengado!$A$1:$AI$1,30,FALSE),"")</f>
        <v/>
      </c>
      <c r="BL719" s="224" t="str">
        <f>IFERROR(VLOOKUP($A719,Devengado!$A$1:$AI$1,31,FALSE),"")</f>
        <v/>
      </c>
      <c r="BM719" s="224" t="str">
        <f>IFERROR(VLOOKUP($A719,Devengado!$A$1:$AI$1,32,FALSE),"")</f>
        <v/>
      </c>
      <c r="BN719" s="224" t="str">
        <f>IFERROR(VLOOKUP($A719,Devengado!$A$1:$AI$1,33,FALSE),"")</f>
        <v/>
      </c>
      <c r="BO719" s="224">
        <f t="shared" si="91"/>
        <v>0</v>
      </c>
      <c r="BP719" s="224" t="str">
        <f t="shared" si="92"/>
        <v/>
      </c>
      <c r="BQ719" s="207"/>
      <c r="BR719" s="207" t="str">
        <f t="shared" si="93"/>
        <v>51</v>
      </c>
    </row>
    <row r="720" spans="1:70" s="225" customFormat="1" ht="25.5" customHeight="1">
      <c r="A720" s="207">
        <v>716</v>
      </c>
      <c r="B720" s="119" t="s">
        <v>73</v>
      </c>
      <c r="C720" s="119" t="s">
        <v>77</v>
      </c>
      <c r="D720" s="112" t="s">
        <v>176</v>
      </c>
      <c r="E720" s="112" t="s">
        <v>569</v>
      </c>
      <c r="F720" s="132" t="s">
        <v>576</v>
      </c>
      <c r="G720" s="112" t="s">
        <v>577</v>
      </c>
      <c r="H720" s="112" t="s">
        <v>578</v>
      </c>
      <c r="I720" s="112" t="s">
        <v>585</v>
      </c>
      <c r="J720" s="112" t="s">
        <v>596</v>
      </c>
      <c r="K720" s="207"/>
      <c r="L720" s="112" t="s">
        <v>85</v>
      </c>
      <c r="M720" s="207" t="s">
        <v>589</v>
      </c>
      <c r="N720" s="208">
        <v>9999</v>
      </c>
      <c r="O720" s="208" t="s">
        <v>132</v>
      </c>
      <c r="P720" s="208" t="s">
        <v>582</v>
      </c>
      <c r="Q720" s="208" t="s">
        <v>82</v>
      </c>
      <c r="R720" s="115" t="str">
        <f t="shared" si="88"/>
        <v>71</v>
      </c>
      <c r="S720" s="268">
        <v>710510</v>
      </c>
      <c r="T720" s="122" t="e">
        <f>VLOOKUP(S720,ITEM!$C$1:$D$156,2,FALSE)</f>
        <v>#N/A</v>
      </c>
      <c r="U720" s="207" t="s">
        <v>190</v>
      </c>
      <c r="V720" s="207" t="s">
        <v>575</v>
      </c>
      <c r="W720" s="207" t="s">
        <v>610</v>
      </c>
      <c r="X720" s="207" t="s">
        <v>610</v>
      </c>
      <c r="Y720" s="298" t="e">
        <f>'Matriz POA 2024-TRABAJO'!#REF!</f>
        <v>#REF!</v>
      </c>
      <c r="Z720" s="298" t="e">
        <f>'Matriz POA 2024-TRABAJO'!#REF!</f>
        <v>#REF!</v>
      </c>
      <c r="AA720" s="298" t="e">
        <f>'Matriz POA 2024-TRABAJO'!#REF!</f>
        <v>#REF!</v>
      </c>
      <c r="AB720" s="207">
        <v>2888</v>
      </c>
      <c r="AC720" s="207">
        <v>2888</v>
      </c>
      <c r="AD720" s="207">
        <v>2888</v>
      </c>
      <c r="AE720" s="207">
        <v>2888</v>
      </c>
      <c r="AF720" s="207">
        <v>2888</v>
      </c>
      <c r="AG720" s="207">
        <v>2888</v>
      </c>
      <c r="AH720" s="207">
        <v>2888</v>
      </c>
      <c r="AI720" s="207">
        <v>2888</v>
      </c>
      <c r="AJ720" s="207">
        <v>2888</v>
      </c>
      <c r="AK720" s="207">
        <v>2888</v>
      </c>
      <c r="AL720" s="207">
        <v>2888</v>
      </c>
      <c r="AM720" s="207">
        <v>274.83</v>
      </c>
      <c r="AN720" s="207"/>
      <c r="AO720" s="224">
        <f t="shared" si="89"/>
        <v>32042.83</v>
      </c>
      <c r="AP720" s="224" t="e">
        <f t="shared" si="94"/>
        <v>#REF!</v>
      </c>
      <c r="AQ720" s="207"/>
      <c r="AR720" s="207"/>
      <c r="AS720" s="207"/>
      <c r="AT720" s="224" t="str">
        <f>IFERROR(VLOOKUP($A720,'Constancias POA'!$A$2:$DH$9993,17,FALSE),"")</f>
        <v/>
      </c>
      <c r="AU720" s="207" t="str">
        <f t="shared" si="95"/>
        <v/>
      </c>
      <c r="AV720" s="224" t="str">
        <f>IFERROR(VLOOKUP($A720,CP!$A$1:$U$7992,18,FALSE),"")</f>
        <v/>
      </c>
      <c r="AW720" s="224" t="str">
        <f>IFERROR(VLOOKUP($A720,CP!$A$1:$U$7992,19,FALSE),"")</f>
        <v/>
      </c>
      <c r="AX720" s="224" t="str">
        <f>IFERROR(VLOOKUP($A720,CP!$A$1:$U$7992,20,FALSE),"")</f>
        <v/>
      </c>
      <c r="AY720" s="207" t="str">
        <f>IFERROR(VLOOKUP($A720,CP!$A$1:$U$1,21,FALSE),"")</f>
        <v/>
      </c>
      <c r="AZ720" s="224" t="str">
        <f>IFERROR(VLOOKUP(A720,Devengado!$A$1:AJ1,35,FALSE),"")</f>
        <v/>
      </c>
      <c r="BA720" s="224" t="str">
        <f t="shared" si="90"/>
        <v/>
      </c>
      <c r="BB720" s="224" t="str">
        <f>IFERROR(AZ720/#REF!,"")</f>
        <v/>
      </c>
      <c r="BC720" s="224" t="str">
        <f>IFERROR(VLOOKUP($A720,Devengado!$A$1:$AI$1,22,FALSE),"")</f>
        <v/>
      </c>
      <c r="BD720" s="224" t="str">
        <f>IFERROR(VLOOKUP($A720,Devengado!$A$1:$AI$1,23,FALSE),"")</f>
        <v/>
      </c>
      <c r="BE720" s="224" t="str">
        <f>IFERROR(VLOOKUP($A720,Devengado!$A$1:$AI$1,24,FALSE),"")</f>
        <v/>
      </c>
      <c r="BF720" s="224" t="str">
        <f>IFERROR(VLOOKUP($A720,Devengado!$A$1:$AI$1,25,FALSE),"")</f>
        <v/>
      </c>
      <c r="BG720" s="224" t="str">
        <f>IFERROR(VLOOKUP($A720,Devengado!$A$1:$AI$1,26,FALSE),"")</f>
        <v/>
      </c>
      <c r="BH720" s="224" t="str">
        <f>IFERROR(VLOOKUP($A720,Devengado!$A$1:$AI$1,27,FALSE),"")</f>
        <v/>
      </c>
      <c r="BI720" s="224" t="str">
        <f>IFERROR(VLOOKUP($A720,Devengado!$A$1:$AI$1,28,FALSE),"")</f>
        <v/>
      </c>
      <c r="BJ720" s="224" t="str">
        <f>IFERROR(VLOOKUP($A720,Devengado!$A$1:$AI$1,29,FALSE),"")</f>
        <v/>
      </c>
      <c r="BK720" s="224" t="str">
        <f>IFERROR(VLOOKUP($A720,Devengado!$A$1:$AI$1,30,FALSE),"")</f>
        <v/>
      </c>
      <c r="BL720" s="224" t="str">
        <f>IFERROR(VLOOKUP($A720,Devengado!$A$1:$AI$1,31,FALSE),"")</f>
        <v/>
      </c>
      <c r="BM720" s="224" t="str">
        <f>IFERROR(VLOOKUP($A720,Devengado!$A$1:$AI$1,32,FALSE),"")</f>
        <v/>
      </c>
      <c r="BN720" s="224" t="str">
        <f>IFERROR(VLOOKUP($A720,Devengado!$A$1:$AI$1,33,FALSE),"")</f>
        <v/>
      </c>
      <c r="BO720" s="224">
        <f t="shared" si="91"/>
        <v>0</v>
      </c>
      <c r="BP720" s="224" t="str">
        <f t="shared" si="92"/>
        <v/>
      </c>
      <c r="BQ720" s="207"/>
      <c r="BR720" s="207" t="str">
        <f t="shared" si="93"/>
        <v>71</v>
      </c>
    </row>
    <row r="721" spans="1:70" s="225" customFormat="1" ht="25.5" customHeight="1">
      <c r="A721" s="207">
        <v>717</v>
      </c>
      <c r="B721" s="119" t="s">
        <v>73</v>
      </c>
      <c r="C721" s="119" t="s">
        <v>77</v>
      </c>
      <c r="D721" s="112" t="s">
        <v>176</v>
      </c>
      <c r="E721" s="112" t="s">
        <v>569</v>
      </c>
      <c r="F721" s="132" t="s">
        <v>576</v>
      </c>
      <c r="G721" s="112" t="s">
        <v>577</v>
      </c>
      <c r="H721" s="112" t="s">
        <v>578</v>
      </c>
      <c r="I721" s="112" t="s">
        <v>585</v>
      </c>
      <c r="J721" s="112" t="s">
        <v>596</v>
      </c>
      <c r="K721" s="207"/>
      <c r="L721" s="112" t="s">
        <v>85</v>
      </c>
      <c r="M721" s="207" t="s">
        <v>589</v>
      </c>
      <c r="N721" s="208">
        <v>9999</v>
      </c>
      <c r="O721" s="208" t="s">
        <v>132</v>
      </c>
      <c r="P721" s="208" t="s">
        <v>582</v>
      </c>
      <c r="Q721" s="208" t="s">
        <v>82</v>
      </c>
      <c r="R721" s="115" t="str">
        <f t="shared" si="88"/>
        <v>71</v>
      </c>
      <c r="S721" s="268">
        <v>710203</v>
      </c>
      <c r="T721" s="122" t="e">
        <f>VLOOKUP(S721,ITEM!$C$1:$D$156,2,FALSE)</f>
        <v>#N/A</v>
      </c>
      <c r="U721" s="207" t="s">
        <v>190</v>
      </c>
      <c r="V721" s="207" t="s">
        <v>575</v>
      </c>
      <c r="W721" s="207" t="s">
        <v>610</v>
      </c>
      <c r="X721" s="207" t="s">
        <v>610</v>
      </c>
      <c r="Y721" s="298" t="e">
        <f>'Matriz POA 2024-TRABAJO'!#REF!</f>
        <v>#REF!</v>
      </c>
      <c r="Z721" s="298" t="e">
        <f>'Matriz POA 2024-TRABAJO'!#REF!</f>
        <v>#REF!</v>
      </c>
      <c r="AA721" s="298" t="e">
        <f>'Matriz POA 2024-TRABAJO'!#REF!</f>
        <v>#REF!</v>
      </c>
      <c r="AB721" s="207"/>
      <c r="AC721" s="207"/>
      <c r="AD721" s="207"/>
      <c r="AE721" s="207"/>
      <c r="AF721" s="207"/>
      <c r="AG721" s="207"/>
      <c r="AH721" s="207"/>
      <c r="AI721" s="207"/>
      <c r="AJ721" s="207"/>
      <c r="AK721" s="207"/>
      <c r="AL721" s="207"/>
      <c r="AM721" s="207">
        <v>2888</v>
      </c>
      <c r="AN721" s="207"/>
      <c r="AO721" s="224">
        <f t="shared" si="89"/>
        <v>2888</v>
      </c>
      <c r="AP721" s="224" t="e">
        <f t="shared" si="94"/>
        <v>#REF!</v>
      </c>
      <c r="AQ721" s="207"/>
      <c r="AR721" s="207"/>
      <c r="AS721" s="207"/>
      <c r="AT721" s="224" t="str">
        <f>IFERROR(VLOOKUP($A721,'Constancias POA'!$A$2:$DH$9993,17,FALSE),"")</f>
        <v/>
      </c>
      <c r="AU721" s="207" t="str">
        <f t="shared" si="95"/>
        <v/>
      </c>
      <c r="AV721" s="224" t="str">
        <f>IFERROR(VLOOKUP($A721,CP!$A$1:$U$7992,18,FALSE),"")</f>
        <v/>
      </c>
      <c r="AW721" s="224" t="str">
        <f>IFERROR(VLOOKUP($A721,CP!$A$1:$U$7992,19,FALSE),"")</f>
        <v/>
      </c>
      <c r="AX721" s="224" t="str">
        <f>IFERROR(VLOOKUP($A721,CP!$A$1:$U$7992,20,FALSE),"")</f>
        <v/>
      </c>
      <c r="AY721" s="207" t="str">
        <f>IFERROR(VLOOKUP($A721,CP!$A$1:$U$1,21,FALSE),"")</f>
        <v/>
      </c>
      <c r="AZ721" s="224" t="str">
        <f>IFERROR(VLOOKUP(A721,Devengado!$A$1:AJ1,35,FALSE),"")</f>
        <v/>
      </c>
      <c r="BA721" s="224" t="str">
        <f t="shared" si="90"/>
        <v/>
      </c>
      <c r="BB721" s="224" t="str">
        <f>IFERROR(AZ721/#REF!,"")</f>
        <v/>
      </c>
      <c r="BC721" s="224" t="str">
        <f>IFERROR(VLOOKUP($A721,Devengado!$A$1:$AI$1,22,FALSE),"")</f>
        <v/>
      </c>
      <c r="BD721" s="224" t="str">
        <f>IFERROR(VLOOKUP($A721,Devengado!$A$1:$AI$1,23,FALSE),"")</f>
        <v/>
      </c>
      <c r="BE721" s="224" t="str">
        <f>IFERROR(VLOOKUP($A721,Devengado!$A$1:$AI$1,24,FALSE),"")</f>
        <v/>
      </c>
      <c r="BF721" s="224" t="str">
        <f>IFERROR(VLOOKUP($A721,Devengado!$A$1:$AI$1,25,FALSE),"")</f>
        <v/>
      </c>
      <c r="BG721" s="224" t="str">
        <f>IFERROR(VLOOKUP($A721,Devengado!$A$1:$AI$1,26,FALSE),"")</f>
        <v/>
      </c>
      <c r="BH721" s="224" t="str">
        <f>IFERROR(VLOOKUP($A721,Devengado!$A$1:$AI$1,27,FALSE),"")</f>
        <v/>
      </c>
      <c r="BI721" s="224" t="str">
        <f>IFERROR(VLOOKUP($A721,Devengado!$A$1:$AI$1,28,FALSE),"")</f>
        <v/>
      </c>
      <c r="BJ721" s="224" t="str">
        <f>IFERROR(VLOOKUP($A721,Devengado!$A$1:$AI$1,29,FALSE),"")</f>
        <v/>
      </c>
      <c r="BK721" s="224" t="str">
        <f>IFERROR(VLOOKUP($A721,Devengado!$A$1:$AI$1,30,FALSE),"")</f>
        <v/>
      </c>
      <c r="BL721" s="224" t="str">
        <f>IFERROR(VLOOKUP($A721,Devengado!$A$1:$AI$1,31,FALSE),"")</f>
        <v/>
      </c>
      <c r="BM721" s="224" t="str">
        <f>IFERROR(VLOOKUP($A721,Devengado!$A$1:$AI$1,32,FALSE),"")</f>
        <v/>
      </c>
      <c r="BN721" s="224" t="str">
        <f>IFERROR(VLOOKUP($A721,Devengado!$A$1:$AI$1,33,FALSE),"")</f>
        <v/>
      </c>
      <c r="BO721" s="224">
        <f t="shared" si="91"/>
        <v>0</v>
      </c>
      <c r="BP721" s="224" t="str">
        <f t="shared" si="92"/>
        <v/>
      </c>
      <c r="BQ721" s="207"/>
      <c r="BR721" s="207" t="str">
        <f t="shared" si="93"/>
        <v>71</v>
      </c>
    </row>
    <row r="722" spans="1:70" s="225" customFormat="1" ht="25.5" customHeight="1">
      <c r="A722" s="207">
        <v>718</v>
      </c>
      <c r="B722" s="119" t="s">
        <v>73</v>
      </c>
      <c r="C722" s="119" t="s">
        <v>77</v>
      </c>
      <c r="D722" s="112" t="s">
        <v>176</v>
      </c>
      <c r="E722" s="112" t="s">
        <v>569</v>
      </c>
      <c r="F722" s="132" t="s">
        <v>576</v>
      </c>
      <c r="G722" s="112" t="s">
        <v>577</v>
      </c>
      <c r="H722" s="112" t="s">
        <v>578</v>
      </c>
      <c r="I722" s="112" t="s">
        <v>585</v>
      </c>
      <c r="J722" s="112" t="s">
        <v>596</v>
      </c>
      <c r="K722" s="207"/>
      <c r="L722" s="112" t="s">
        <v>85</v>
      </c>
      <c r="M722" s="207" t="s">
        <v>589</v>
      </c>
      <c r="N722" s="208">
        <v>9999</v>
      </c>
      <c r="O722" s="208" t="s">
        <v>132</v>
      </c>
      <c r="P722" s="208" t="s">
        <v>582</v>
      </c>
      <c r="Q722" s="208" t="s">
        <v>82</v>
      </c>
      <c r="R722" s="115" t="str">
        <f t="shared" si="88"/>
        <v>71</v>
      </c>
      <c r="S722" s="268">
        <v>710204</v>
      </c>
      <c r="T722" s="122" t="e">
        <f>VLOOKUP(S722,ITEM!$C$1:$D$156,2,FALSE)</f>
        <v>#N/A</v>
      </c>
      <c r="U722" s="207" t="s">
        <v>190</v>
      </c>
      <c r="V722" s="207" t="s">
        <v>575</v>
      </c>
      <c r="W722" s="207" t="s">
        <v>610</v>
      </c>
      <c r="X722" s="207" t="s">
        <v>610</v>
      </c>
      <c r="Y722" s="298" t="e">
        <f>'Matriz POA 2024-TRABAJO'!#REF!</f>
        <v>#REF!</v>
      </c>
      <c r="Z722" s="298" t="e">
        <f>'Matriz POA 2024-TRABAJO'!#REF!</f>
        <v>#REF!</v>
      </c>
      <c r="AA722" s="298" t="e">
        <f>'Matriz POA 2024-TRABAJO'!#REF!</f>
        <v>#REF!</v>
      </c>
      <c r="AB722" s="207"/>
      <c r="AC722" s="207"/>
      <c r="AD722" s="207"/>
      <c r="AE722" s="207"/>
      <c r="AF722" s="207"/>
      <c r="AG722" s="207"/>
      <c r="AH722" s="207"/>
      <c r="AI722" s="207">
        <v>920</v>
      </c>
      <c r="AJ722" s="207"/>
      <c r="AK722" s="207"/>
      <c r="AL722" s="207"/>
      <c r="AM722" s="207"/>
      <c r="AN722" s="207"/>
      <c r="AO722" s="224">
        <f t="shared" si="89"/>
        <v>920</v>
      </c>
      <c r="AP722" s="224" t="e">
        <f t="shared" si="94"/>
        <v>#REF!</v>
      </c>
      <c r="AQ722" s="207"/>
      <c r="AR722" s="207"/>
      <c r="AS722" s="207"/>
      <c r="AT722" s="224" t="str">
        <f>IFERROR(VLOOKUP($A722,'Constancias POA'!$A$2:$DH$9993,17,FALSE),"")</f>
        <v/>
      </c>
      <c r="AU722" s="207" t="str">
        <f t="shared" si="95"/>
        <v/>
      </c>
      <c r="AV722" s="224" t="str">
        <f>IFERROR(VLOOKUP($A722,CP!$A$1:$U$7992,18,FALSE),"")</f>
        <v/>
      </c>
      <c r="AW722" s="224" t="str">
        <f>IFERROR(VLOOKUP($A722,CP!$A$1:$U$7992,19,FALSE),"")</f>
        <v/>
      </c>
      <c r="AX722" s="224" t="str">
        <f>IFERROR(VLOOKUP($A722,CP!$A$1:$U$7992,20,FALSE),"")</f>
        <v/>
      </c>
      <c r="AY722" s="207" t="str">
        <f>IFERROR(VLOOKUP($A722,CP!$A$1:$U$1,21,FALSE),"")</f>
        <v/>
      </c>
      <c r="AZ722" s="224" t="str">
        <f>IFERROR(VLOOKUP(A722,Devengado!$A$1:AJ1,35,FALSE),"")</f>
        <v/>
      </c>
      <c r="BA722" s="224" t="str">
        <f t="shared" si="90"/>
        <v/>
      </c>
      <c r="BB722" s="224" t="str">
        <f>IFERROR(AZ722/#REF!,"")</f>
        <v/>
      </c>
      <c r="BC722" s="224" t="str">
        <f>IFERROR(VLOOKUP($A722,Devengado!$A$1:$AI$1,22,FALSE),"")</f>
        <v/>
      </c>
      <c r="BD722" s="224" t="str">
        <f>IFERROR(VLOOKUP($A722,Devengado!$A$1:$AI$1,23,FALSE),"")</f>
        <v/>
      </c>
      <c r="BE722" s="224" t="str">
        <f>IFERROR(VLOOKUP($A722,Devengado!$A$1:$AI$1,24,FALSE),"")</f>
        <v/>
      </c>
      <c r="BF722" s="224" t="str">
        <f>IFERROR(VLOOKUP($A722,Devengado!$A$1:$AI$1,25,FALSE),"")</f>
        <v/>
      </c>
      <c r="BG722" s="224" t="str">
        <f>IFERROR(VLOOKUP($A722,Devengado!$A$1:$AI$1,26,FALSE),"")</f>
        <v/>
      </c>
      <c r="BH722" s="224" t="str">
        <f>IFERROR(VLOOKUP($A722,Devengado!$A$1:$AI$1,27,FALSE),"")</f>
        <v/>
      </c>
      <c r="BI722" s="224" t="str">
        <f>IFERROR(VLOOKUP($A722,Devengado!$A$1:$AI$1,28,FALSE),"")</f>
        <v/>
      </c>
      <c r="BJ722" s="224" t="str">
        <f>IFERROR(VLOOKUP($A722,Devengado!$A$1:$AI$1,29,FALSE),"")</f>
        <v/>
      </c>
      <c r="BK722" s="224" t="str">
        <f>IFERROR(VLOOKUP($A722,Devengado!$A$1:$AI$1,30,FALSE),"")</f>
        <v/>
      </c>
      <c r="BL722" s="224" t="str">
        <f>IFERROR(VLOOKUP($A722,Devengado!$A$1:$AI$1,31,FALSE),"")</f>
        <v/>
      </c>
      <c r="BM722" s="224" t="str">
        <f>IFERROR(VLOOKUP($A722,Devengado!$A$1:$AI$1,32,FALSE),"")</f>
        <v/>
      </c>
      <c r="BN722" s="224" t="str">
        <f>IFERROR(VLOOKUP($A722,Devengado!$A$1:$AI$1,33,FALSE),"")</f>
        <v/>
      </c>
      <c r="BO722" s="224">
        <f t="shared" si="91"/>
        <v>0</v>
      </c>
      <c r="BP722" s="224" t="str">
        <f t="shared" si="92"/>
        <v/>
      </c>
      <c r="BQ722" s="207"/>
      <c r="BR722" s="207" t="str">
        <f t="shared" si="93"/>
        <v>71</v>
      </c>
    </row>
    <row r="723" spans="1:70" s="225" customFormat="1" ht="25.5" customHeight="1">
      <c r="A723" s="207">
        <v>719</v>
      </c>
      <c r="B723" s="119" t="s">
        <v>73</v>
      </c>
      <c r="C723" s="119" t="s">
        <v>77</v>
      </c>
      <c r="D723" s="112" t="s">
        <v>176</v>
      </c>
      <c r="E723" s="112" t="s">
        <v>569</v>
      </c>
      <c r="F723" s="132" t="s">
        <v>576</v>
      </c>
      <c r="G723" s="112" t="s">
        <v>577</v>
      </c>
      <c r="H723" s="112" t="s">
        <v>578</v>
      </c>
      <c r="I723" s="112" t="s">
        <v>585</v>
      </c>
      <c r="J723" s="112" t="s">
        <v>596</v>
      </c>
      <c r="K723" s="207"/>
      <c r="L723" s="112" t="s">
        <v>85</v>
      </c>
      <c r="M723" s="207" t="s">
        <v>589</v>
      </c>
      <c r="N723" s="208">
        <v>9999</v>
      </c>
      <c r="O723" s="208" t="s">
        <v>132</v>
      </c>
      <c r="P723" s="208" t="s">
        <v>582</v>
      </c>
      <c r="Q723" s="208" t="s">
        <v>82</v>
      </c>
      <c r="R723" s="115" t="str">
        <f t="shared" si="88"/>
        <v>71</v>
      </c>
      <c r="S723" s="268">
        <v>710601</v>
      </c>
      <c r="T723" s="122" t="e">
        <f>VLOOKUP(S723,ITEM!$C$1:$D$156,2,FALSE)</f>
        <v>#N/A</v>
      </c>
      <c r="U723" s="207" t="s">
        <v>190</v>
      </c>
      <c r="V723" s="207" t="s">
        <v>575</v>
      </c>
      <c r="W723" s="207" t="s">
        <v>610</v>
      </c>
      <c r="X723" s="207" t="s">
        <v>610</v>
      </c>
      <c r="Y723" s="298" t="e">
        <f>'Matriz POA 2024-TRABAJO'!#REF!</f>
        <v>#REF!</v>
      </c>
      <c r="Z723" s="298" t="e">
        <f>'Matriz POA 2024-TRABAJO'!#REF!</f>
        <v>#REF!</v>
      </c>
      <c r="AA723" s="298" t="e">
        <f>'Matriz POA 2024-TRABAJO'!#REF!</f>
        <v>#REF!</v>
      </c>
      <c r="AB723" s="207">
        <v>278.69</v>
      </c>
      <c r="AC723" s="207">
        <v>278.69</v>
      </c>
      <c r="AD723" s="207">
        <v>278.69</v>
      </c>
      <c r="AE723" s="207">
        <v>278.69</v>
      </c>
      <c r="AF723" s="207">
        <v>278.69</v>
      </c>
      <c r="AG723" s="207">
        <v>278.69</v>
      </c>
      <c r="AH723" s="207">
        <v>278.69</v>
      </c>
      <c r="AI723" s="207">
        <v>278.69</v>
      </c>
      <c r="AJ723" s="207">
        <v>278.69</v>
      </c>
      <c r="AK723" s="207">
        <v>278.69</v>
      </c>
      <c r="AL723" s="207">
        <v>278.69</v>
      </c>
      <c r="AM723" s="207"/>
      <c r="AN723" s="207"/>
      <c r="AO723" s="224">
        <f t="shared" si="89"/>
        <v>3065.59</v>
      </c>
      <c r="AP723" s="224" t="e">
        <f t="shared" si="94"/>
        <v>#REF!</v>
      </c>
      <c r="AQ723" s="207"/>
      <c r="AR723" s="207"/>
      <c r="AS723" s="207"/>
      <c r="AT723" s="224" t="str">
        <f>IFERROR(VLOOKUP($A723,'Constancias POA'!$A$2:$DH$9993,17,FALSE),"")</f>
        <v/>
      </c>
      <c r="AU723" s="207" t="str">
        <f t="shared" si="95"/>
        <v/>
      </c>
      <c r="AV723" s="224" t="str">
        <f>IFERROR(VLOOKUP($A723,CP!$A$1:$U$7992,18,FALSE),"")</f>
        <v/>
      </c>
      <c r="AW723" s="224" t="str">
        <f>IFERROR(VLOOKUP($A723,CP!$A$1:$U$7992,19,FALSE),"")</f>
        <v/>
      </c>
      <c r="AX723" s="224" t="str">
        <f>IFERROR(VLOOKUP($A723,CP!$A$1:$U$7992,20,FALSE),"")</f>
        <v/>
      </c>
      <c r="AY723" s="207" t="str">
        <f>IFERROR(VLOOKUP($A723,CP!$A$1:$U$1,21,FALSE),"")</f>
        <v/>
      </c>
      <c r="AZ723" s="224" t="str">
        <f>IFERROR(VLOOKUP(A723,Devengado!$A$1:AJ1,35,FALSE),"")</f>
        <v/>
      </c>
      <c r="BA723" s="224" t="str">
        <f t="shared" si="90"/>
        <v/>
      </c>
      <c r="BB723" s="224" t="str">
        <f>IFERROR(AZ723/#REF!,"")</f>
        <v/>
      </c>
      <c r="BC723" s="224" t="str">
        <f>IFERROR(VLOOKUP($A723,Devengado!$A$1:$AI$1,22,FALSE),"")</f>
        <v/>
      </c>
      <c r="BD723" s="224" t="str">
        <f>IFERROR(VLOOKUP($A723,Devengado!$A$1:$AI$1,23,FALSE),"")</f>
        <v/>
      </c>
      <c r="BE723" s="224" t="str">
        <f>IFERROR(VLOOKUP($A723,Devengado!$A$1:$AI$1,24,FALSE),"")</f>
        <v/>
      </c>
      <c r="BF723" s="224" t="str">
        <f>IFERROR(VLOOKUP($A723,Devengado!$A$1:$AI$1,25,FALSE),"")</f>
        <v/>
      </c>
      <c r="BG723" s="224" t="str">
        <f>IFERROR(VLOOKUP($A723,Devengado!$A$1:$AI$1,26,FALSE),"")</f>
        <v/>
      </c>
      <c r="BH723" s="224" t="str">
        <f>IFERROR(VLOOKUP($A723,Devengado!$A$1:$AI$1,27,FALSE),"")</f>
        <v/>
      </c>
      <c r="BI723" s="224" t="str">
        <f>IFERROR(VLOOKUP($A723,Devengado!$A$1:$AI$1,28,FALSE),"")</f>
        <v/>
      </c>
      <c r="BJ723" s="224" t="str">
        <f>IFERROR(VLOOKUP($A723,Devengado!$A$1:$AI$1,29,FALSE),"")</f>
        <v/>
      </c>
      <c r="BK723" s="224" t="str">
        <f>IFERROR(VLOOKUP($A723,Devengado!$A$1:$AI$1,30,FALSE),"")</f>
        <v/>
      </c>
      <c r="BL723" s="224" t="str">
        <f>IFERROR(VLOOKUP($A723,Devengado!$A$1:$AI$1,31,FALSE),"")</f>
        <v/>
      </c>
      <c r="BM723" s="224" t="str">
        <f>IFERROR(VLOOKUP($A723,Devengado!$A$1:$AI$1,32,FALSE),"")</f>
        <v/>
      </c>
      <c r="BN723" s="224" t="str">
        <f>IFERROR(VLOOKUP($A723,Devengado!$A$1:$AI$1,33,FALSE),"")</f>
        <v/>
      </c>
      <c r="BO723" s="224">
        <f t="shared" si="91"/>
        <v>0</v>
      </c>
      <c r="BP723" s="224" t="str">
        <f t="shared" si="92"/>
        <v/>
      </c>
      <c r="BQ723" s="207"/>
      <c r="BR723" s="207" t="str">
        <f t="shared" si="93"/>
        <v>71</v>
      </c>
    </row>
    <row r="724" spans="1:70" s="225" customFormat="1" ht="25.5" customHeight="1">
      <c r="A724" s="207">
        <v>720</v>
      </c>
      <c r="B724" s="119" t="s">
        <v>73</v>
      </c>
      <c r="C724" s="119" t="s">
        <v>77</v>
      </c>
      <c r="D724" s="112" t="s">
        <v>176</v>
      </c>
      <c r="E724" s="112" t="s">
        <v>569</v>
      </c>
      <c r="F724" s="132" t="s">
        <v>576</v>
      </c>
      <c r="G724" s="112" t="s">
        <v>577</v>
      </c>
      <c r="H724" s="112" t="s">
        <v>578</v>
      </c>
      <c r="I724" s="112" t="s">
        <v>585</v>
      </c>
      <c r="J724" s="112" t="s">
        <v>596</v>
      </c>
      <c r="K724" s="207"/>
      <c r="L724" s="112" t="s">
        <v>85</v>
      </c>
      <c r="M724" s="207" t="s">
        <v>589</v>
      </c>
      <c r="N724" s="208">
        <v>9999</v>
      </c>
      <c r="O724" s="208" t="s">
        <v>132</v>
      </c>
      <c r="P724" s="208" t="s">
        <v>582</v>
      </c>
      <c r="Q724" s="208" t="s">
        <v>82</v>
      </c>
      <c r="R724" s="115" t="str">
        <f t="shared" si="88"/>
        <v>71</v>
      </c>
      <c r="S724" s="268">
        <v>710602</v>
      </c>
      <c r="T724" s="122" t="e">
        <f>VLOOKUP(S724,ITEM!$C$1:$D$156,2,FALSE)</f>
        <v>#N/A</v>
      </c>
      <c r="U724" s="207" t="s">
        <v>190</v>
      </c>
      <c r="V724" s="207" t="s">
        <v>575</v>
      </c>
      <c r="W724" s="207" t="s">
        <v>610</v>
      </c>
      <c r="X724" s="207" t="s">
        <v>610</v>
      </c>
      <c r="Y724" s="298" t="e">
        <f>'Matriz POA 2024-TRABAJO'!#REF!</f>
        <v>#REF!</v>
      </c>
      <c r="Z724" s="298" t="e">
        <f>'Matriz POA 2024-TRABAJO'!#REF!</f>
        <v>#REF!</v>
      </c>
      <c r="AA724" s="298" t="e">
        <f>'Matriz POA 2024-TRABAJO'!#REF!</f>
        <v>#REF!</v>
      </c>
      <c r="AB724" s="207">
        <v>240.57</v>
      </c>
      <c r="AC724" s="207">
        <v>240.57</v>
      </c>
      <c r="AD724" s="207">
        <v>240.57</v>
      </c>
      <c r="AE724" s="207">
        <v>240.57</v>
      </c>
      <c r="AF724" s="207">
        <v>240.57</v>
      </c>
      <c r="AG724" s="207">
        <v>240.57</v>
      </c>
      <c r="AH724" s="207">
        <v>240.57</v>
      </c>
      <c r="AI724" s="207">
        <v>240.57</v>
      </c>
      <c r="AJ724" s="207">
        <v>240.57</v>
      </c>
      <c r="AK724" s="207">
        <v>240.57</v>
      </c>
      <c r="AL724" s="207">
        <v>240.57</v>
      </c>
      <c r="AM724" s="207"/>
      <c r="AN724" s="207"/>
      <c r="AO724" s="224">
        <f t="shared" si="89"/>
        <v>2646.27</v>
      </c>
      <c r="AP724" s="224" t="e">
        <f t="shared" si="94"/>
        <v>#REF!</v>
      </c>
      <c r="AQ724" s="207"/>
      <c r="AR724" s="207"/>
      <c r="AS724" s="207"/>
      <c r="AT724" s="224" t="str">
        <f>IFERROR(VLOOKUP($A724,'Constancias POA'!$A$2:$DH$9993,17,FALSE),"")</f>
        <v/>
      </c>
      <c r="AU724" s="207" t="str">
        <f t="shared" si="95"/>
        <v/>
      </c>
      <c r="AV724" s="224" t="str">
        <f>IFERROR(VLOOKUP($A724,CP!$A$1:$U$7992,18,FALSE),"")</f>
        <v/>
      </c>
      <c r="AW724" s="224" t="str">
        <f>IFERROR(VLOOKUP($A724,CP!$A$1:$U$7992,19,FALSE),"")</f>
        <v/>
      </c>
      <c r="AX724" s="224" t="str">
        <f>IFERROR(VLOOKUP($A724,CP!$A$1:$U$7992,20,FALSE),"")</f>
        <v/>
      </c>
      <c r="AY724" s="207" t="str">
        <f>IFERROR(VLOOKUP($A724,CP!$A$1:$U$1,21,FALSE),"")</f>
        <v/>
      </c>
      <c r="AZ724" s="224" t="str">
        <f>IFERROR(VLOOKUP(A724,Devengado!$A$1:AJ1,35,FALSE),"")</f>
        <v/>
      </c>
      <c r="BA724" s="224" t="str">
        <f t="shared" si="90"/>
        <v/>
      </c>
      <c r="BB724" s="224" t="str">
        <f>IFERROR(AZ724/#REF!,"")</f>
        <v/>
      </c>
      <c r="BC724" s="224" t="str">
        <f>IFERROR(VLOOKUP($A724,Devengado!$A$1:$AI$1,22,FALSE),"")</f>
        <v/>
      </c>
      <c r="BD724" s="224" t="str">
        <f>IFERROR(VLOOKUP($A724,Devengado!$A$1:$AI$1,23,FALSE),"")</f>
        <v/>
      </c>
      <c r="BE724" s="224" t="str">
        <f>IFERROR(VLOOKUP($A724,Devengado!$A$1:$AI$1,24,FALSE),"")</f>
        <v/>
      </c>
      <c r="BF724" s="224" t="str">
        <f>IFERROR(VLOOKUP($A724,Devengado!$A$1:$AI$1,25,FALSE),"")</f>
        <v/>
      </c>
      <c r="BG724" s="224" t="str">
        <f>IFERROR(VLOOKUP($A724,Devengado!$A$1:$AI$1,26,FALSE),"")</f>
        <v/>
      </c>
      <c r="BH724" s="224" t="str">
        <f>IFERROR(VLOOKUP($A724,Devengado!$A$1:$AI$1,27,FALSE),"")</f>
        <v/>
      </c>
      <c r="BI724" s="224" t="str">
        <f>IFERROR(VLOOKUP($A724,Devengado!$A$1:$AI$1,28,FALSE),"")</f>
        <v/>
      </c>
      <c r="BJ724" s="224" t="str">
        <f>IFERROR(VLOOKUP($A724,Devengado!$A$1:$AI$1,29,FALSE),"")</f>
        <v/>
      </c>
      <c r="BK724" s="224" t="str">
        <f>IFERROR(VLOOKUP($A724,Devengado!$A$1:$AI$1,30,FALSE),"")</f>
        <v/>
      </c>
      <c r="BL724" s="224" t="str">
        <f>IFERROR(VLOOKUP($A724,Devengado!$A$1:$AI$1,31,FALSE),"")</f>
        <v/>
      </c>
      <c r="BM724" s="224" t="str">
        <f>IFERROR(VLOOKUP($A724,Devengado!$A$1:$AI$1,32,FALSE),"")</f>
        <v/>
      </c>
      <c r="BN724" s="224" t="str">
        <f>IFERROR(VLOOKUP($A724,Devengado!$A$1:$AI$1,33,FALSE),"")</f>
        <v/>
      </c>
      <c r="BO724" s="224">
        <f t="shared" si="91"/>
        <v>0</v>
      </c>
      <c r="BP724" s="224" t="str">
        <f t="shared" si="92"/>
        <v/>
      </c>
      <c r="BQ724" s="207"/>
      <c r="BR724" s="207" t="str">
        <f t="shared" si="93"/>
        <v>71</v>
      </c>
    </row>
    <row r="725" spans="1:70" s="225" customFormat="1" ht="25.5" customHeight="1">
      <c r="A725" s="207">
        <v>721</v>
      </c>
      <c r="B725" s="119" t="s">
        <v>73</v>
      </c>
      <c r="C725" s="119" t="s">
        <v>77</v>
      </c>
      <c r="D725" s="112" t="s">
        <v>176</v>
      </c>
      <c r="E725" s="112" t="s">
        <v>569</v>
      </c>
      <c r="F725" s="132" t="s">
        <v>576</v>
      </c>
      <c r="G725" s="112" t="s">
        <v>577</v>
      </c>
      <c r="H725" s="112" t="s">
        <v>578</v>
      </c>
      <c r="I725" s="112" t="s">
        <v>595</v>
      </c>
      <c r="J725" s="112" t="s">
        <v>596</v>
      </c>
      <c r="K725" s="207"/>
      <c r="L725" s="112" t="s">
        <v>85</v>
      </c>
      <c r="M725" s="207" t="s">
        <v>597</v>
      </c>
      <c r="N725" s="208">
        <v>9999</v>
      </c>
      <c r="O725" s="208" t="s">
        <v>132</v>
      </c>
      <c r="P725" s="208" t="s">
        <v>582</v>
      </c>
      <c r="Q725" s="208" t="s">
        <v>82</v>
      </c>
      <c r="R725" s="115" t="str">
        <f t="shared" si="88"/>
        <v>71</v>
      </c>
      <c r="S725" s="268">
        <v>710510</v>
      </c>
      <c r="T725" s="122" t="e">
        <f>VLOOKUP(S725,ITEM!$C$1:$D$156,2,FALSE)</f>
        <v>#N/A</v>
      </c>
      <c r="U725" s="207" t="s">
        <v>190</v>
      </c>
      <c r="V725" s="207" t="s">
        <v>575</v>
      </c>
      <c r="W725" s="207" t="s">
        <v>610</v>
      </c>
      <c r="X725" s="207" t="s">
        <v>610</v>
      </c>
      <c r="Y725" s="298" t="e">
        <f>'Matriz POA 2024-TRABAJO'!#REF!</f>
        <v>#REF!</v>
      </c>
      <c r="Z725" s="298" t="e">
        <f>'Matriz POA 2024-TRABAJO'!#REF!</f>
        <v>#REF!</v>
      </c>
      <c r="AA725" s="298" t="e">
        <f>'Matriz POA 2024-TRABAJO'!#REF!</f>
        <v>#REF!</v>
      </c>
      <c r="AB725" s="207">
        <v>1676</v>
      </c>
      <c r="AC725" s="207">
        <v>1676</v>
      </c>
      <c r="AD725" s="207">
        <v>1676</v>
      </c>
      <c r="AE725" s="207">
        <v>1676</v>
      </c>
      <c r="AF725" s="207">
        <v>1676</v>
      </c>
      <c r="AG725" s="207">
        <v>1676</v>
      </c>
      <c r="AH725" s="207">
        <v>1676</v>
      </c>
      <c r="AI725" s="207">
        <v>1676</v>
      </c>
      <c r="AJ725" s="207">
        <v>1676</v>
      </c>
      <c r="AK725" s="207">
        <v>1676</v>
      </c>
      <c r="AL725" s="207">
        <v>1676</v>
      </c>
      <c r="AM725" s="207"/>
      <c r="AN725" s="207"/>
      <c r="AO725" s="224">
        <f t="shared" si="89"/>
        <v>18436</v>
      </c>
      <c r="AP725" s="224" t="e">
        <f t="shared" si="94"/>
        <v>#REF!</v>
      </c>
      <c r="AQ725" s="207"/>
      <c r="AR725" s="207"/>
      <c r="AS725" s="207"/>
      <c r="AT725" s="224" t="str">
        <f>IFERROR(VLOOKUP($A725,'Constancias POA'!$A$2:$DH$9993,17,FALSE),"")</f>
        <v/>
      </c>
      <c r="AU725" s="207" t="str">
        <f t="shared" si="95"/>
        <v/>
      </c>
      <c r="AV725" s="224" t="str">
        <f>IFERROR(VLOOKUP($A725,CP!$A$1:$U$7992,18,FALSE),"")</f>
        <v/>
      </c>
      <c r="AW725" s="224" t="str">
        <f>IFERROR(VLOOKUP($A725,CP!$A$1:$U$7992,19,FALSE),"")</f>
        <v/>
      </c>
      <c r="AX725" s="224" t="str">
        <f>IFERROR(VLOOKUP($A725,CP!$A$1:$U$7992,20,FALSE),"")</f>
        <v/>
      </c>
      <c r="AY725" s="207" t="str">
        <f>IFERROR(VLOOKUP($A725,CP!$A$1:$U$1,21,FALSE),"")</f>
        <v/>
      </c>
      <c r="AZ725" s="224" t="str">
        <f>IFERROR(VLOOKUP(A725,Devengado!$A$1:AJ1,35,FALSE),"")</f>
        <v/>
      </c>
      <c r="BA725" s="224" t="str">
        <f t="shared" si="90"/>
        <v/>
      </c>
      <c r="BB725" s="224" t="str">
        <f>IFERROR(AZ725/#REF!,"")</f>
        <v/>
      </c>
      <c r="BC725" s="224" t="str">
        <f>IFERROR(VLOOKUP($A725,Devengado!$A$1:$AI$1,22,FALSE),"")</f>
        <v/>
      </c>
      <c r="BD725" s="224" t="str">
        <f>IFERROR(VLOOKUP($A725,Devengado!$A$1:$AI$1,23,FALSE),"")</f>
        <v/>
      </c>
      <c r="BE725" s="224" t="str">
        <f>IFERROR(VLOOKUP($A725,Devengado!$A$1:$AI$1,24,FALSE),"")</f>
        <v/>
      </c>
      <c r="BF725" s="224" t="str">
        <f>IFERROR(VLOOKUP($A725,Devengado!$A$1:$AI$1,25,FALSE),"")</f>
        <v/>
      </c>
      <c r="BG725" s="224" t="str">
        <f>IFERROR(VLOOKUP($A725,Devengado!$A$1:$AI$1,26,FALSE),"")</f>
        <v/>
      </c>
      <c r="BH725" s="224" t="str">
        <f>IFERROR(VLOOKUP($A725,Devengado!$A$1:$AI$1,27,FALSE),"")</f>
        <v/>
      </c>
      <c r="BI725" s="224" t="str">
        <f>IFERROR(VLOOKUP($A725,Devengado!$A$1:$AI$1,28,FALSE),"")</f>
        <v/>
      </c>
      <c r="BJ725" s="224" t="str">
        <f>IFERROR(VLOOKUP($A725,Devengado!$A$1:$AI$1,29,FALSE),"")</f>
        <v/>
      </c>
      <c r="BK725" s="224" t="str">
        <f>IFERROR(VLOOKUP($A725,Devengado!$A$1:$AI$1,30,FALSE),"")</f>
        <v/>
      </c>
      <c r="BL725" s="224" t="str">
        <f>IFERROR(VLOOKUP($A725,Devengado!$A$1:$AI$1,31,FALSE),"")</f>
        <v/>
      </c>
      <c r="BM725" s="224" t="str">
        <f>IFERROR(VLOOKUP($A725,Devengado!$A$1:$AI$1,32,FALSE),"")</f>
        <v/>
      </c>
      <c r="BN725" s="224" t="str">
        <f>IFERROR(VLOOKUP($A725,Devengado!$A$1:$AI$1,33,FALSE),"")</f>
        <v/>
      </c>
      <c r="BO725" s="224">
        <f t="shared" si="91"/>
        <v>0</v>
      </c>
      <c r="BP725" s="224" t="str">
        <f t="shared" si="92"/>
        <v/>
      </c>
      <c r="BQ725" s="207"/>
      <c r="BR725" s="207" t="str">
        <f t="shared" si="93"/>
        <v>71</v>
      </c>
    </row>
    <row r="726" spans="1:70" s="225" customFormat="1" ht="25.5" customHeight="1">
      <c r="A726" s="207">
        <v>722</v>
      </c>
      <c r="B726" s="119" t="s">
        <v>73</v>
      </c>
      <c r="C726" s="119" t="s">
        <v>77</v>
      </c>
      <c r="D726" s="112" t="s">
        <v>176</v>
      </c>
      <c r="E726" s="112" t="s">
        <v>569</v>
      </c>
      <c r="F726" s="132" t="s">
        <v>576</v>
      </c>
      <c r="G726" s="112" t="s">
        <v>577</v>
      </c>
      <c r="H726" s="112" t="s">
        <v>578</v>
      </c>
      <c r="I726" s="112" t="s">
        <v>595</v>
      </c>
      <c r="J726" s="112" t="s">
        <v>596</v>
      </c>
      <c r="K726" s="207"/>
      <c r="L726" s="112" t="s">
        <v>85</v>
      </c>
      <c r="M726" s="207" t="s">
        <v>597</v>
      </c>
      <c r="N726" s="208">
        <v>9999</v>
      </c>
      <c r="O726" s="208" t="s">
        <v>132</v>
      </c>
      <c r="P726" s="208" t="s">
        <v>582</v>
      </c>
      <c r="Q726" s="208" t="s">
        <v>82</v>
      </c>
      <c r="R726" s="115" t="str">
        <f t="shared" si="88"/>
        <v>71</v>
      </c>
      <c r="S726" s="268">
        <v>710203</v>
      </c>
      <c r="T726" s="122" t="e">
        <f>VLOOKUP(S726,ITEM!$C$1:$D$156,2,FALSE)</f>
        <v>#N/A</v>
      </c>
      <c r="U726" s="207" t="s">
        <v>190</v>
      </c>
      <c r="V726" s="207" t="s">
        <v>575</v>
      </c>
      <c r="W726" s="207" t="s">
        <v>610</v>
      </c>
      <c r="X726" s="207" t="s">
        <v>610</v>
      </c>
      <c r="Y726" s="298" t="e">
        <f>'Matriz POA 2024-TRABAJO'!#REF!</f>
        <v>#REF!</v>
      </c>
      <c r="Z726" s="298" t="e">
        <f>'Matriz POA 2024-TRABAJO'!#REF!</f>
        <v>#REF!</v>
      </c>
      <c r="AA726" s="298" t="e">
        <f>'Matriz POA 2024-TRABAJO'!#REF!</f>
        <v>#REF!</v>
      </c>
      <c r="AB726" s="207">
        <v>139.66999999999999</v>
      </c>
      <c r="AC726" s="207">
        <v>139.66999999999999</v>
      </c>
      <c r="AD726" s="207">
        <v>139.66999999999999</v>
      </c>
      <c r="AE726" s="207">
        <v>139.66999999999999</v>
      </c>
      <c r="AF726" s="207">
        <v>139.66999999999999</v>
      </c>
      <c r="AG726" s="207">
        <v>139.66999999999999</v>
      </c>
      <c r="AH726" s="207">
        <v>139.66999999999999</v>
      </c>
      <c r="AI726" s="207">
        <v>139.66999999999999</v>
      </c>
      <c r="AJ726" s="207">
        <v>139.66999999999999</v>
      </c>
      <c r="AK726" s="207">
        <v>139.66999999999999</v>
      </c>
      <c r="AL726" s="207">
        <v>139.66999999999999</v>
      </c>
      <c r="AM726" s="207">
        <v>139.66999999999999</v>
      </c>
      <c r="AN726" s="207"/>
      <c r="AO726" s="224">
        <f t="shared" si="89"/>
        <v>1676.0400000000002</v>
      </c>
      <c r="AP726" s="224" t="e">
        <f t="shared" si="94"/>
        <v>#REF!</v>
      </c>
      <c r="AQ726" s="207"/>
      <c r="AR726" s="207"/>
      <c r="AS726" s="207"/>
      <c r="AT726" s="224" t="str">
        <f>IFERROR(VLOOKUP($A726,'Constancias POA'!$A$2:$DH$9993,17,FALSE),"")</f>
        <v/>
      </c>
      <c r="AU726" s="207" t="str">
        <f t="shared" si="95"/>
        <v/>
      </c>
      <c r="AV726" s="224" t="str">
        <f>IFERROR(VLOOKUP($A726,CP!$A$1:$U$7992,18,FALSE),"")</f>
        <v/>
      </c>
      <c r="AW726" s="224" t="str">
        <f>IFERROR(VLOOKUP($A726,CP!$A$1:$U$7992,19,FALSE),"")</f>
        <v/>
      </c>
      <c r="AX726" s="224" t="str">
        <f>IFERROR(VLOOKUP($A726,CP!$A$1:$U$7992,20,FALSE),"")</f>
        <v/>
      </c>
      <c r="AY726" s="207" t="str">
        <f>IFERROR(VLOOKUP($A726,CP!$A$1:$U$1,21,FALSE),"")</f>
        <v/>
      </c>
      <c r="AZ726" s="224" t="str">
        <f>IFERROR(VLOOKUP(A726,Devengado!$A$1:AJ1,35,FALSE),"")</f>
        <v/>
      </c>
      <c r="BA726" s="224" t="str">
        <f t="shared" si="90"/>
        <v/>
      </c>
      <c r="BB726" s="224" t="str">
        <f>IFERROR(AZ726/#REF!,"")</f>
        <v/>
      </c>
      <c r="BC726" s="224" t="str">
        <f>IFERROR(VLOOKUP($A726,Devengado!$A$1:$AI$1,22,FALSE),"")</f>
        <v/>
      </c>
      <c r="BD726" s="224" t="str">
        <f>IFERROR(VLOOKUP($A726,Devengado!$A$1:$AI$1,23,FALSE),"")</f>
        <v/>
      </c>
      <c r="BE726" s="224" t="str">
        <f>IFERROR(VLOOKUP($A726,Devengado!$A$1:$AI$1,24,FALSE),"")</f>
        <v/>
      </c>
      <c r="BF726" s="224" t="str">
        <f>IFERROR(VLOOKUP($A726,Devengado!$A$1:$AI$1,25,FALSE),"")</f>
        <v/>
      </c>
      <c r="BG726" s="224" t="str">
        <f>IFERROR(VLOOKUP($A726,Devengado!$A$1:$AI$1,26,FALSE),"")</f>
        <v/>
      </c>
      <c r="BH726" s="224" t="str">
        <f>IFERROR(VLOOKUP($A726,Devengado!$A$1:$AI$1,27,FALSE),"")</f>
        <v/>
      </c>
      <c r="BI726" s="224" t="str">
        <f>IFERROR(VLOOKUP($A726,Devengado!$A$1:$AI$1,28,FALSE),"")</f>
        <v/>
      </c>
      <c r="BJ726" s="224" t="str">
        <f>IFERROR(VLOOKUP($A726,Devengado!$A$1:$AI$1,29,FALSE),"")</f>
        <v/>
      </c>
      <c r="BK726" s="224" t="str">
        <f>IFERROR(VLOOKUP($A726,Devengado!$A$1:$AI$1,30,FALSE),"")</f>
        <v/>
      </c>
      <c r="BL726" s="224" t="str">
        <f>IFERROR(VLOOKUP($A726,Devengado!$A$1:$AI$1,31,FALSE),"")</f>
        <v/>
      </c>
      <c r="BM726" s="224" t="str">
        <f>IFERROR(VLOOKUP($A726,Devengado!$A$1:$AI$1,32,FALSE),"")</f>
        <v/>
      </c>
      <c r="BN726" s="224" t="str">
        <f>IFERROR(VLOOKUP($A726,Devengado!$A$1:$AI$1,33,FALSE),"")</f>
        <v/>
      </c>
      <c r="BO726" s="224">
        <f t="shared" si="91"/>
        <v>0</v>
      </c>
      <c r="BP726" s="224" t="str">
        <f t="shared" si="92"/>
        <v/>
      </c>
      <c r="BQ726" s="207"/>
      <c r="BR726" s="207" t="str">
        <f t="shared" si="93"/>
        <v>71</v>
      </c>
    </row>
    <row r="727" spans="1:70" s="225" customFormat="1" ht="25.5" customHeight="1">
      <c r="A727" s="207">
        <v>723</v>
      </c>
      <c r="B727" s="119" t="s">
        <v>73</v>
      </c>
      <c r="C727" s="119" t="s">
        <v>77</v>
      </c>
      <c r="D727" s="112" t="s">
        <v>176</v>
      </c>
      <c r="E727" s="112" t="s">
        <v>569</v>
      </c>
      <c r="F727" s="132" t="s">
        <v>576</v>
      </c>
      <c r="G727" s="112" t="s">
        <v>577</v>
      </c>
      <c r="H727" s="112" t="s">
        <v>578</v>
      </c>
      <c r="I727" s="112" t="s">
        <v>595</v>
      </c>
      <c r="J727" s="112" t="s">
        <v>596</v>
      </c>
      <c r="K727" s="207"/>
      <c r="L727" s="112" t="s">
        <v>85</v>
      </c>
      <c r="M727" s="207" t="s">
        <v>597</v>
      </c>
      <c r="N727" s="208">
        <v>9999</v>
      </c>
      <c r="O727" s="208" t="s">
        <v>132</v>
      </c>
      <c r="P727" s="208" t="s">
        <v>582</v>
      </c>
      <c r="Q727" s="208" t="s">
        <v>82</v>
      </c>
      <c r="R727" s="115" t="str">
        <f t="shared" si="88"/>
        <v>71</v>
      </c>
      <c r="S727" s="268">
        <v>710204</v>
      </c>
      <c r="T727" s="122" t="e">
        <f>VLOOKUP(S727,ITEM!$C$1:$D$156,2,FALSE)</f>
        <v>#N/A</v>
      </c>
      <c r="U727" s="207" t="s">
        <v>190</v>
      </c>
      <c r="V727" s="207" t="s">
        <v>575</v>
      </c>
      <c r="W727" s="207" t="s">
        <v>610</v>
      </c>
      <c r="X727" s="207" t="s">
        <v>610</v>
      </c>
      <c r="Y727" s="298" t="e">
        <f>'Matriz POA 2024-TRABAJO'!#REF!</f>
        <v>#REF!</v>
      </c>
      <c r="Z727" s="298" t="e">
        <f>'Matriz POA 2024-TRABAJO'!#REF!</f>
        <v>#REF!</v>
      </c>
      <c r="AA727" s="298" t="e">
        <f>'Matriz POA 2024-TRABAJO'!#REF!</f>
        <v>#REF!</v>
      </c>
      <c r="AB727" s="207">
        <v>38.33</v>
      </c>
      <c r="AC727" s="207">
        <v>38.33</v>
      </c>
      <c r="AD727" s="207">
        <v>38.33</v>
      </c>
      <c r="AE727" s="207">
        <v>38.33</v>
      </c>
      <c r="AF727" s="207">
        <v>38.33</v>
      </c>
      <c r="AG727" s="207">
        <v>38.33</v>
      </c>
      <c r="AH727" s="207">
        <v>38.33</v>
      </c>
      <c r="AI727" s="207">
        <v>38.33</v>
      </c>
      <c r="AJ727" s="207">
        <v>38.340000000000003</v>
      </c>
      <c r="AK727" s="207">
        <v>38.340000000000003</v>
      </c>
      <c r="AL727" s="207">
        <v>38.340000000000003</v>
      </c>
      <c r="AM727" s="207">
        <v>38.340000000000003</v>
      </c>
      <c r="AN727" s="207"/>
      <c r="AO727" s="224">
        <f t="shared" si="89"/>
        <v>460</v>
      </c>
      <c r="AP727" s="224" t="e">
        <f t="shared" si="94"/>
        <v>#REF!</v>
      </c>
      <c r="AQ727" s="207"/>
      <c r="AR727" s="207"/>
      <c r="AS727" s="207"/>
      <c r="AT727" s="224" t="str">
        <f>IFERROR(VLOOKUP($A727,'Constancias POA'!$A$2:$DH$9993,17,FALSE),"")</f>
        <v/>
      </c>
      <c r="AU727" s="207" t="str">
        <f t="shared" si="95"/>
        <v/>
      </c>
      <c r="AV727" s="224" t="str">
        <f>IFERROR(VLOOKUP($A727,CP!$A$1:$U$7992,18,FALSE),"")</f>
        <v/>
      </c>
      <c r="AW727" s="224" t="str">
        <f>IFERROR(VLOOKUP($A727,CP!$A$1:$U$7992,19,FALSE),"")</f>
        <v/>
      </c>
      <c r="AX727" s="224" t="str">
        <f>IFERROR(VLOOKUP($A727,CP!$A$1:$U$7992,20,FALSE),"")</f>
        <v/>
      </c>
      <c r="AY727" s="207" t="str">
        <f>IFERROR(VLOOKUP($A727,CP!$A$1:$U$1,21,FALSE),"")</f>
        <v/>
      </c>
      <c r="AZ727" s="224" t="str">
        <f>IFERROR(VLOOKUP(A727,Devengado!$A$1:AJ1,35,FALSE),"")</f>
        <v/>
      </c>
      <c r="BA727" s="224" t="str">
        <f t="shared" si="90"/>
        <v/>
      </c>
      <c r="BB727" s="224" t="str">
        <f>IFERROR(AZ727/#REF!,"")</f>
        <v/>
      </c>
      <c r="BC727" s="224" t="str">
        <f>IFERROR(VLOOKUP($A727,Devengado!$A$1:$AI$1,22,FALSE),"")</f>
        <v/>
      </c>
      <c r="BD727" s="224" t="str">
        <f>IFERROR(VLOOKUP($A727,Devengado!$A$1:$AI$1,23,FALSE),"")</f>
        <v/>
      </c>
      <c r="BE727" s="224" t="str">
        <f>IFERROR(VLOOKUP($A727,Devengado!$A$1:$AI$1,24,FALSE),"")</f>
        <v/>
      </c>
      <c r="BF727" s="224" t="str">
        <f>IFERROR(VLOOKUP($A727,Devengado!$A$1:$AI$1,25,FALSE),"")</f>
        <v/>
      </c>
      <c r="BG727" s="224" t="str">
        <f>IFERROR(VLOOKUP($A727,Devengado!$A$1:$AI$1,26,FALSE),"")</f>
        <v/>
      </c>
      <c r="BH727" s="224" t="str">
        <f>IFERROR(VLOOKUP($A727,Devengado!$A$1:$AI$1,27,FALSE),"")</f>
        <v/>
      </c>
      <c r="BI727" s="224" t="str">
        <f>IFERROR(VLOOKUP($A727,Devengado!$A$1:$AI$1,28,FALSE),"")</f>
        <v/>
      </c>
      <c r="BJ727" s="224" t="str">
        <f>IFERROR(VLOOKUP($A727,Devengado!$A$1:$AI$1,29,FALSE),"")</f>
        <v/>
      </c>
      <c r="BK727" s="224" t="str">
        <f>IFERROR(VLOOKUP($A727,Devengado!$A$1:$AI$1,30,FALSE),"")</f>
        <v/>
      </c>
      <c r="BL727" s="224" t="str">
        <f>IFERROR(VLOOKUP($A727,Devengado!$A$1:$AI$1,31,FALSE),"")</f>
        <v/>
      </c>
      <c r="BM727" s="224" t="str">
        <f>IFERROR(VLOOKUP($A727,Devengado!$A$1:$AI$1,32,FALSE),"")</f>
        <v/>
      </c>
      <c r="BN727" s="224" t="str">
        <f>IFERROR(VLOOKUP($A727,Devengado!$A$1:$AI$1,33,FALSE),"")</f>
        <v/>
      </c>
      <c r="BO727" s="224">
        <f t="shared" si="91"/>
        <v>0</v>
      </c>
      <c r="BP727" s="224" t="str">
        <f t="shared" si="92"/>
        <v/>
      </c>
      <c r="BQ727" s="207"/>
      <c r="BR727" s="207" t="str">
        <f t="shared" si="93"/>
        <v>71</v>
      </c>
    </row>
    <row r="728" spans="1:70" s="225" customFormat="1" ht="25.5" customHeight="1">
      <c r="A728" s="207">
        <v>724</v>
      </c>
      <c r="B728" s="119" t="s">
        <v>73</v>
      </c>
      <c r="C728" s="119" t="s">
        <v>77</v>
      </c>
      <c r="D728" s="112" t="s">
        <v>176</v>
      </c>
      <c r="E728" s="112" t="s">
        <v>569</v>
      </c>
      <c r="F728" s="132" t="s">
        <v>576</v>
      </c>
      <c r="G728" s="112" t="s">
        <v>577</v>
      </c>
      <c r="H728" s="112" t="s">
        <v>578</v>
      </c>
      <c r="I728" s="112" t="s">
        <v>595</v>
      </c>
      <c r="J728" s="112" t="s">
        <v>596</v>
      </c>
      <c r="K728" s="207"/>
      <c r="L728" s="112" t="s">
        <v>85</v>
      </c>
      <c r="M728" s="207" t="s">
        <v>597</v>
      </c>
      <c r="N728" s="208">
        <v>9999</v>
      </c>
      <c r="O728" s="208" t="s">
        <v>132</v>
      </c>
      <c r="P728" s="208" t="s">
        <v>582</v>
      </c>
      <c r="Q728" s="208" t="s">
        <v>82</v>
      </c>
      <c r="R728" s="115" t="str">
        <f t="shared" si="88"/>
        <v>71</v>
      </c>
      <c r="S728" s="268">
        <v>710601</v>
      </c>
      <c r="T728" s="122" t="e">
        <f>VLOOKUP(S728,ITEM!$C$1:$D$156,2,FALSE)</f>
        <v>#N/A</v>
      </c>
      <c r="U728" s="207" t="s">
        <v>190</v>
      </c>
      <c r="V728" s="207" t="s">
        <v>575</v>
      </c>
      <c r="W728" s="207" t="s">
        <v>610</v>
      </c>
      <c r="X728" s="207" t="s">
        <v>610</v>
      </c>
      <c r="Y728" s="298" t="e">
        <f>'Matriz POA 2024-TRABAJO'!#REF!</f>
        <v>#REF!</v>
      </c>
      <c r="Z728" s="298" t="e">
        <f>'Matriz POA 2024-TRABAJO'!#REF!</f>
        <v>#REF!</v>
      </c>
      <c r="AA728" s="298" t="e">
        <f>'Matriz POA 2024-TRABAJO'!#REF!</f>
        <v>#REF!</v>
      </c>
      <c r="AB728" s="207">
        <v>161.72999999999999</v>
      </c>
      <c r="AC728" s="207">
        <v>161.72999999999999</v>
      </c>
      <c r="AD728" s="207">
        <v>161.72999999999999</v>
      </c>
      <c r="AE728" s="207">
        <v>161.72999999999999</v>
      </c>
      <c r="AF728" s="207">
        <v>161.72999999999999</v>
      </c>
      <c r="AG728" s="207">
        <v>161.72999999999999</v>
      </c>
      <c r="AH728" s="207">
        <v>161.72999999999999</v>
      </c>
      <c r="AI728" s="207">
        <v>161.72999999999999</v>
      </c>
      <c r="AJ728" s="207">
        <v>161.72999999999999</v>
      </c>
      <c r="AK728" s="207">
        <v>161.72999999999999</v>
      </c>
      <c r="AL728" s="207">
        <v>161.72999999999999</v>
      </c>
      <c r="AM728" s="207"/>
      <c r="AN728" s="207"/>
      <c r="AO728" s="224">
        <f t="shared" si="89"/>
        <v>1779.03</v>
      </c>
      <c r="AP728" s="224" t="e">
        <f t="shared" si="94"/>
        <v>#REF!</v>
      </c>
      <c r="AQ728" s="207"/>
      <c r="AR728" s="207"/>
      <c r="AS728" s="207"/>
      <c r="AT728" s="224" t="str">
        <f>IFERROR(VLOOKUP($A728,'Constancias POA'!$A$2:$DH$9993,17,FALSE),"")</f>
        <v/>
      </c>
      <c r="AU728" s="207" t="str">
        <f t="shared" si="95"/>
        <v/>
      </c>
      <c r="AV728" s="224" t="str">
        <f>IFERROR(VLOOKUP($A728,CP!$A$1:$U$7992,18,FALSE),"")</f>
        <v/>
      </c>
      <c r="AW728" s="224" t="str">
        <f>IFERROR(VLOOKUP($A728,CP!$A$1:$U$7992,19,FALSE),"")</f>
        <v/>
      </c>
      <c r="AX728" s="224" t="str">
        <f>IFERROR(VLOOKUP($A728,CP!$A$1:$U$7992,20,FALSE),"")</f>
        <v/>
      </c>
      <c r="AY728" s="207" t="str">
        <f>IFERROR(VLOOKUP($A728,CP!$A$1:$U$1,21,FALSE),"")</f>
        <v/>
      </c>
      <c r="AZ728" s="224" t="str">
        <f>IFERROR(VLOOKUP(A728,Devengado!$A$1:AJ1,35,FALSE),"")</f>
        <v/>
      </c>
      <c r="BA728" s="224" t="str">
        <f t="shared" si="90"/>
        <v/>
      </c>
      <c r="BB728" s="224" t="str">
        <f>IFERROR(AZ728/#REF!,"")</f>
        <v/>
      </c>
      <c r="BC728" s="224" t="str">
        <f>IFERROR(VLOOKUP($A728,Devengado!$A$1:$AI$1,22,FALSE),"")</f>
        <v/>
      </c>
      <c r="BD728" s="224" t="str">
        <f>IFERROR(VLOOKUP($A728,Devengado!$A$1:$AI$1,23,FALSE),"")</f>
        <v/>
      </c>
      <c r="BE728" s="224" t="str">
        <f>IFERROR(VLOOKUP($A728,Devengado!$A$1:$AI$1,24,FALSE),"")</f>
        <v/>
      </c>
      <c r="BF728" s="224" t="str">
        <f>IFERROR(VLOOKUP($A728,Devengado!$A$1:$AI$1,25,FALSE),"")</f>
        <v/>
      </c>
      <c r="BG728" s="224" t="str">
        <f>IFERROR(VLOOKUP($A728,Devengado!$A$1:$AI$1,26,FALSE),"")</f>
        <v/>
      </c>
      <c r="BH728" s="224" t="str">
        <f>IFERROR(VLOOKUP($A728,Devengado!$A$1:$AI$1,27,FALSE),"")</f>
        <v/>
      </c>
      <c r="BI728" s="224" t="str">
        <f>IFERROR(VLOOKUP($A728,Devengado!$A$1:$AI$1,28,FALSE),"")</f>
        <v/>
      </c>
      <c r="BJ728" s="224" t="str">
        <f>IFERROR(VLOOKUP($A728,Devengado!$A$1:$AI$1,29,FALSE),"")</f>
        <v/>
      </c>
      <c r="BK728" s="224" t="str">
        <f>IFERROR(VLOOKUP($A728,Devengado!$A$1:$AI$1,30,FALSE),"")</f>
        <v/>
      </c>
      <c r="BL728" s="224" t="str">
        <f>IFERROR(VLOOKUP($A728,Devengado!$A$1:$AI$1,31,FALSE),"")</f>
        <v/>
      </c>
      <c r="BM728" s="224" t="str">
        <f>IFERROR(VLOOKUP($A728,Devengado!$A$1:$AI$1,32,FALSE),"")</f>
        <v/>
      </c>
      <c r="BN728" s="224" t="str">
        <f>IFERROR(VLOOKUP($A728,Devengado!$A$1:$AI$1,33,FALSE),"")</f>
        <v/>
      </c>
      <c r="BO728" s="224">
        <f t="shared" si="91"/>
        <v>0</v>
      </c>
      <c r="BP728" s="224" t="str">
        <f t="shared" si="92"/>
        <v/>
      </c>
      <c r="BQ728" s="207"/>
      <c r="BR728" s="207" t="str">
        <f t="shared" si="93"/>
        <v>71</v>
      </c>
    </row>
    <row r="729" spans="1:70" s="225" customFormat="1" ht="25.5" customHeight="1">
      <c r="A729" s="207">
        <v>725</v>
      </c>
      <c r="B729" s="119" t="s">
        <v>73</v>
      </c>
      <c r="C729" s="119" t="s">
        <v>77</v>
      </c>
      <c r="D729" s="112" t="s">
        <v>176</v>
      </c>
      <c r="E729" s="112" t="s">
        <v>569</v>
      </c>
      <c r="F729" s="132" t="s">
        <v>576</v>
      </c>
      <c r="G729" s="112" t="s">
        <v>577</v>
      </c>
      <c r="H729" s="112" t="s">
        <v>578</v>
      </c>
      <c r="I729" s="112" t="s">
        <v>595</v>
      </c>
      <c r="J729" s="112" t="s">
        <v>596</v>
      </c>
      <c r="K729" s="207"/>
      <c r="L729" s="112" t="s">
        <v>85</v>
      </c>
      <c r="M729" s="207" t="s">
        <v>597</v>
      </c>
      <c r="N729" s="208">
        <v>9999</v>
      </c>
      <c r="O729" s="208" t="s">
        <v>132</v>
      </c>
      <c r="P729" s="208" t="s">
        <v>582</v>
      </c>
      <c r="Q729" s="208" t="s">
        <v>82</v>
      </c>
      <c r="R729" s="115" t="str">
        <f t="shared" si="88"/>
        <v>71</v>
      </c>
      <c r="S729" s="268">
        <v>710602</v>
      </c>
      <c r="T729" s="122" t="e">
        <f>VLOOKUP(S729,ITEM!$C$1:$D$156,2,FALSE)</f>
        <v>#N/A</v>
      </c>
      <c r="U729" s="207" t="s">
        <v>190</v>
      </c>
      <c r="V729" s="207" t="s">
        <v>575</v>
      </c>
      <c r="W729" s="207" t="s">
        <v>610</v>
      </c>
      <c r="X729" s="207" t="s">
        <v>610</v>
      </c>
      <c r="Y729" s="298" t="e">
        <f>'Matriz POA 2024-TRABAJO'!#REF!</f>
        <v>#REF!</v>
      </c>
      <c r="Z729" s="298" t="e">
        <f>'Matriz POA 2024-TRABAJO'!#REF!</f>
        <v>#REF!</v>
      </c>
      <c r="AA729" s="298" t="e">
        <f>'Matriz POA 2024-TRABAJO'!#REF!</f>
        <v>#REF!</v>
      </c>
      <c r="AB729" s="207">
        <v>139.61000000000001</v>
      </c>
      <c r="AC729" s="207">
        <v>139.61000000000001</v>
      </c>
      <c r="AD729" s="207">
        <v>139.61000000000001</v>
      </c>
      <c r="AE729" s="207">
        <v>139.61000000000001</v>
      </c>
      <c r="AF729" s="207">
        <v>139.61000000000001</v>
      </c>
      <c r="AG729" s="207">
        <v>139.61000000000001</v>
      </c>
      <c r="AH729" s="207">
        <v>139.61000000000001</v>
      </c>
      <c r="AI729" s="207">
        <v>139.61000000000001</v>
      </c>
      <c r="AJ729" s="207">
        <v>139.61000000000001</v>
      </c>
      <c r="AK729" s="207">
        <v>139.61000000000001</v>
      </c>
      <c r="AL729" s="207">
        <v>139.61000000000001</v>
      </c>
      <c r="AM729" s="207"/>
      <c r="AN729" s="207"/>
      <c r="AO729" s="224">
        <f t="shared" si="89"/>
        <v>1535.7100000000005</v>
      </c>
      <c r="AP729" s="224" t="e">
        <f t="shared" si="94"/>
        <v>#REF!</v>
      </c>
      <c r="AQ729" s="207"/>
      <c r="AR729" s="207"/>
      <c r="AS729" s="207"/>
      <c r="AT729" s="224" t="str">
        <f>IFERROR(VLOOKUP($A729,'Constancias POA'!$A$2:$DH$9993,17,FALSE),"")</f>
        <v/>
      </c>
      <c r="AU729" s="207" t="str">
        <f t="shared" si="95"/>
        <v/>
      </c>
      <c r="AV729" s="224" t="str">
        <f>IFERROR(VLOOKUP($A729,CP!$A$1:$U$7992,18,FALSE),"")</f>
        <v/>
      </c>
      <c r="AW729" s="224" t="str">
        <f>IFERROR(VLOOKUP($A729,CP!$A$1:$U$7992,19,FALSE),"")</f>
        <v/>
      </c>
      <c r="AX729" s="224" t="str">
        <f>IFERROR(VLOOKUP($A729,CP!$A$1:$U$7992,20,FALSE),"")</f>
        <v/>
      </c>
      <c r="AY729" s="207" t="str">
        <f>IFERROR(VLOOKUP($A729,CP!$A$1:$U$1,21,FALSE),"")</f>
        <v/>
      </c>
      <c r="AZ729" s="224" t="str">
        <f>IFERROR(VLOOKUP(A729,Devengado!$A$1:AJ1,35,FALSE),"")</f>
        <v/>
      </c>
      <c r="BA729" s="224" t="str">
        <f t="shared" si="90"/>
        <v/>
      </c>
      <c r="BB729" s="224" t="str">
        <f>IFERROR(AZ729/#REF!,"")</f>
        <v/>
      </c>
      <c r="BC729" s="224" t="str">
        <f>IFERROR(VLOOKUP($A729,Devengado!$A$1:$AI$1,22,FALSE),"")</f>
        <v/>
      </c>
      <c r="BD729" s="224" t="str">
        <f>IFERROR(VLOOKUP($A729,Devengado!$A$1:$AI$1,23,FALSE),"")</f>
        <v/>
      </c>
      <c r="BE729" s="224" t="str">
        <f>IFERROR(VLOOKUP($A729,Devengado!$A$1:$AI$1,24,FALSE),"")</f>
        <v/>
      </c>
      <c r="BF729" s="224" t="str">
        <f>IFERROR(VLOOKUP($A729,Devengado!$A$1:$AI$1,25,FALSE),"")</f>
        <v/>
      </c>
      <c r="BG729" s="224" t="str">
        <f>IFERROR(VLOOKUP($A729,Devengado!$A$1:$AI$1,26,FALSE),"")</f>
        <v/>
      </c>
      <c r="BH729" s="224" t="str">
        <f>IFERROR(VLOOKUP($A729,Devengado!$A$1:$AI$1,27,FALSE),"")</f>
        <v/>
      </c>
      <c r="BI729" s="224" t="str">
        <f>IFERROR(VLOOKUP($A729,Devengado!$A$1:$AI$1,28,FALSE),"")</f>
        <v/>
      </c>
      <c r="BJ729" s="224" t="str">
        <f>IFERROR(VLOOKUP($A729,Devengado!$A$1:$AI$1,29,FALSE),"")</f>
        <v/>
      </c>
      <c r="BK729" s="224" t="str">
        <f>IFERROR(VLOOKUP($A729,Devengado!$A$1:$AI$1,30,FALSE),"")</f>
        <v/>
      </c>
      <c r="BL729" s="224" t="str">
        <f>IFERROR(VLOOKUP($A729,Devengado!$A$1:$AI$1,31,FALSE),"")</f>
        <v/>
      </c>
      <c r="BM729" s="224" t="str">
        <f>IFERROR(VLOOKUP($A729,Devengado!$A$1:$AI$1,32,FALSE),"")</f>
        <v/>
      </c>
      <c r="BN729" s="224" t="str">
        <f>IFERROR(VLOOKUP($A729,Devengado!$A$1:$AI$1,33,FALSE),"")</f>
        <v/>
      </c>
      <c r="BO729" s="224">
        <f t="shared" si="91"/>
        <v>0</v>
      </c>
      <c r="BP729" s="224" t="str">
        <f t="shared" si="92"/>
        <v/>
      </c>
      <c r="BQ729" s="207"/>
      <c r="BR729" s="207" t="str">
        <f t="shared" si="93"/>
        <v>71</v>
      </c>
    </row>
    <row r="730" spans="1:70" s="225" customFormat="1" ht="25.5" customHeight="1">
      <c r="A730" s="207">
        <v>726</v>
      </c>
      <c r="B730" s="112" t="s">
        <v>73</v>
      </c>
      <c r="C730" s="112" t="s">
        <v>129</v>
      </c>
      <c r="D730" s="125" t="s">
        <v>142</v>
      </c>
      <c r="E730" s="125" t="s">
        <v>569</v>
      </c>
      <c r="F730" s="128" t="s">
        <v>570</v>
      </c>
      <c r="G730" s="112" t="s">
        <v>571</v>
      </c>
      <c r="H730" s="112" t="s">
        <v>572</v>
      </c>
      <c r="I730" s="112" t="s">
        <v>605</v>
      </c>
      <c r="J730" s="112" t="s">
        <v>606</v>
      </c>
      <c r="K730" s="112"/>
      <c r="L730" s="112" t="s">
        <v>603</v>
      </c>
      <c r="M730" s="112" t="s">
        <v>189</v>
      </c>
      <c r="N730" s="127">
        <v>9999</v>
      </c>
      <c r="O730" s="127" t="s">
        <v>132</v>
      </c>
      <c r="P730" s="127" t="s">
        <v>574</v>
      </c>
      <c r="Q730" s="127" t="s">
        <v>112</v>
      </c>
      <c r="R730" s="115" t="str">
        <f t="shared" si="88"/>
        <v>71</v>
      </c>
      <c r="S730" s="268">
        <v>710510</v>
      </c>
      <c r="T730" s="122" t="e">
        <f>VLOOKUP(S730,ITEM!$C$1:$D$156,2,FALSE)</f>
        <v>#N/A</v>
      </c>
      <c r="U730" s="112">
        <v>1700</v>
      </c>
      <c r="V730" s="114" t="s">
        <v>575</v>
      </c>
      <c r="W730" s="299" t="s">
        <v>610</v>
      </c>
      <c r="X730" s="299" t="s">
        <v>610</v>
      </c>
      <c r="Y730" s="298" t="e">
        <f>'Matriz POA 2024-TRABAJO'!#REF!</f>
        <v>#REF!</v>
      </c>
      <c r="Z730" s="298" t="e">
        <f>'Matriz POA 2024-TRABAJO'!#REF!</f>
        <v>#REF!</v>
      </c>
      <c r="AA730" s="298" t="e">
        <f>'Matriz POA 2024-TRABAJO'!#REF!</f>
        <v>#REF!</v>
      </c>
      <c r="AB730" s="207">
        <v>18818</v>
      </c>
      <c r="AC730" s="207">
        <v>36894</v>
      </c>
      <c r="AD730" s="207">
        <v>36894</v>
      </c>
      <c r="AE730" s="207">
        <v>36894</v>
      </c>
      <c r="AF730" s="207">
        <v>36894</v>
      </c>
      <c r="AG730" s="207">
        <v>36894</v>
      </c>
      <c r="AH730" s="207">
        <v>36894</v>
      </c>
      <c r="AI730" s="207">
        <v>36894</v>
      </c>
      <c r="AJ730" s="207">
        <v>3248</v>
      </c>
      <c r="AK730" s="207"/>
      <c r="AL730" s="207"/>
      <c r="AM730" s="207"/>
      <c r="AN730" s="207"/>
      <c r="AO730" s="224">
        <f t="shared" si="89"/>
        <v>280324</v>
      </c>
      <c r="AP730" s="224" t="e">
        <f t="shared" si="94"/>
        <v>#REF!</v>
      </c>
      <c r="AQ730" s="207"/>
      <c r="AR730" s="207"/>
      <c r="AS730" s="207"/>
      <c r="AT730" s="224" t="str">
        <f>IFERROR(VLOOKUP($A730,'Constancias POA'!$A$2:$DH$9993,17,FALSE),"")</f>
        <v/>
      </c>
      <c r="AU730" s="207" t="str">
        <f t="shared" si="95"/>
        <v/>
      </c>
      <c r="AV730" s="224" t="str">
        <f>IFERROR(VLOOKUP($A730,CP!$A$1:$U$7992,18,FALSE),"")</f>
        <v/>
      </c>
      <c r="AW730" s="224" t="str">
        <f>IFERROR(VLOOKUP($A730,CP!$A$1:$U$7992,19,FALSE),"")</f>
        <v/>
      </c>
      <c r="AX730" s="224" t="str">
        <f>IFERROR(VLOOKUP($A730,CP!$A$1:$U$7992,20,FALSE),"")</f>
        <v/>
      </c>
      <c r="AY730" s="207" t="str">
        <f>IFERROR(VLOOKUP($A730,CP!$A$1:$U$1,21,FALSE),"")</f>
        <v/>
      </c>
      <c r="AZ730" s="224" t="str">
        <f>IFERROR(VLOOKUP(A730,Devengado!$A$1:AJ1,35,FALSE),"")</f>
        <v/>
      </c>
      <c r="BA730" s="224" t="str">
        <f t="shared" si="90"/>
        <v/>
      </c>
      <c r="BB730" s="224" t="str">
        <f>IFERROR(AZ730/#REF!,"")</f>
        <v/>
      </c>
      <c r="BC730" s="224" t="str">
        <f>IFERROR(VLOOKUP($A730,Devengado!$A$1:$AI$1,22,FALSE),"")</f>
        <v/>
      </c>
      <c r="BD730" s="224" t="str">
        <f>IFERROR(VLOOKUP($A730,Devengado!$A$1:$AI$1,23,FALSE),"")</f>
        <v/>
      </c>
      <c r="BE730" s="224" t="str">
        <f>IFERROR(VLOOKUP($A730,Devengado!$A$1:$AI$1,24,FALSE),"")</f>
        <v/>
      </c>
      <c r="BF730" s="224" t="str">
        <f>IFERROR(VLOOKUP($A730,Devengado!$A$1:$AI$1,25,FALSE),"")</f>
        <v/>
      </c>
      <c r="BG730" s="224" t="str">
        <f>IFERROR(VLOOKUP($A730,Devengado!$A$1:$AI$1,26,FALSE),"")</f>
        <v/>
      </c>
      <c r="BH730" s="224" t="str">
        <f>IFERROR(VLOOKUP($A730,Devengado!$A$1:$AI$1,27,FALSE),"")</f>
        <v/>
      </c>
      <c r="BI730" s="224" t="str">
        <f>IFERROR(VLOOKUP($A730,Devengado!$A$1:$AI$1,28,FALSE),"")</f>
        <v/>
      </c>
      <c r="BJ730" s="224" t="str">
        <f>IFERROR(VLOOKUP($A730,Devengado!$A$1:$AI$1,29,FALSE),"")</f>
        <v/>
      </c>
      <c r="BK730" s="224" t="str">
        <f>IFERROR(VLOOKUP($A730,Devengado!$A$1:$AI$1,30,FALSE),"")</f>
        <v/>
      </c>
      <c r="BL730" s="224" t="str">
        <f>IFERROR(VLOOKUP($A730,Devengado!$A$1:$AI$1,31,FALSE),"")</f>
        <v/>
      </c>
      <c r="BM730" s="224" t="str">
        <f>IFERROR(VLOOKUP($A730,Devengado!$A$1:$AI$1,32,FALSE),"")</f>
        <v/>
      </c>
      <c r="BN730" s="224" t="str">
        <f>IFERROR(VLOOKUP($A730,Devengado!$A$1:$AI$1,33,FALSE),"")</f>
        <v/>
      </c>
      <c r="BO730" s="224">
        <f t="shared" si="91"/>
        <v>0</v>
      </c>
      <c r="BP730" s="224" t="str">
        <f t="shared" si="92"/>
        <v/>
      </c>
      <c r="BQ730" s="207"/>
      <c r="BR730" s="207" t="str">
        <f t="shared" si="93"/>
        <v>71</v>
      </c>
    </row>
    <row r="731" spans="1:70" s="225" customFormat="1" ht="25.5" customHeight="1">
      <c r="A731" s="207">
        <v>727</v>
      </c>
      <c r="B731" s="112" t="s">
        <v>73</v>
      </c>
      <c r="C731" s="112" t="s">
        <v>129</v>
      </c>
      <c r="D731" s="125" t="s">
        <v>142</v>
      </c>
      <c r="E731" s="125" t="s">
        <v>569</v>
      </c>
      <c r="F731" s="128" t="s">
        <v>570</v>
      </c>
      <c r="G731" s="112" t="s">
        <v>571</v>
      </c>
      <c r="H731" s="112" t="s">
        <v>572</v>
      </c>
      <c r="I731" s="112" t="s">
        <v>605</v>
      </c>
      <c r="J731" s="112" t="s">
        <v>606</v>
      </c>
      <c r="K731" s="112"/>
      <c r="L731" s="112" t="s">
        <v>603</v>
      </c>
      <c r="M731" s="112" t="s">
        <v>189</v>
      </c>
      <c r="N731" s="127">
        <v>9999</v>
      </c>
      <c r="O731" s="127" t="s">
        <v>132</v>
      </c>
      <c r="P731" s="127" t="s">
        <v>574</v>
      </c>
      <c r="Q731" s="127" t="s">
        <v>112</v>
      </c>
      <c r="R731" s="115" t="str">
        <f t="shared" si="88"/>
        <v>71</v>
      </c>
      <c r="S731" s="268">
        <v>710601</v>
      </c>
      <c r="T731" s="122" t="e">
        <f>VLOOKUP(S731,ITEM!$C$1:$D$156,2,FALSE)</f>
        <v>#N/A</v>
      </c>
      <c r="U731" s="112">
        <v>1700</v>
      </c>
      <c r="V731" s="114" t="s">
        <v>575</v>
      </c>
      <c r="W731" s="299" t="s">
        <v>610</v>
      </c>
      <c r="X731" s="299" t="s">
        <v>610</v>
      </c>
      <c r="Y731" s="298" t="e">
        <f>'Matriz POA 2024-TRABAJO'!#REF!</f>
        <v>#REF!</v>
      </c>
      <c r="Z731" s="298" t="e">
        <f>'Matriz POA 2024-TRABAJO'!#REF!</f>
        <v>#REF!</v>
      </c>
      <c r="AA731" s="298" t="e">
        <f>'Matriz POA 2024-TRABAJO'!#REF!</f>
        <v>#REF!</v>
      </c>
      <c r="AB731" s="207">
        <v>1815.92</v>
      </c>
      <c r="AC731" s="207">
        <v>3560.28</v>
      </c>
      <c r="AD731" s="207">
        <v>3560.28</v>
      </c>
      <c r="AE731" s="207">
        <v>3560.28</v>
      </c>
      <c r="AF731" s="207">
        <v>3560.28</v>
      </c>
      <c r="AG731" s="207">
        <v>3560.28</v>
      </c>
      <c r="AH731" s="207">
        <v>3560.28</v>
      </c>
      <c r="AI731" s="207">
        <v>3873.6699999999983</v>
      </c>
      <c r="AJ731" s="207"/>
      <c r="AK731" s="207"/>
      <c r="AL731" s="207"/>
      <c r="AM731" s="207"/>
      <c r="AN731" s="207"/>
      <c r="AO731" s="224">
        <f t="shared" si="89"/>
        <v>27051.27</v>
      </c>
      <c r="AP731" s="224" t="e">
        <f t="shared" si="94"/>
        <v>#REF!</v>
      </c>
      <c r="AQ731" s="207"/>
      <c r="AR731" s="207"/>
      <c r="AS731" s="207"/>
      <c r="AT731" s="224" t="str">
        <f>IFERROR(VLOOKUP($A731,'Constancias POA'!$A$2:$DH$9993,17,FALSE),"")</f>
        <v/>
      </c>
      <c r="AU731" s="207" t="str">
        <f t="shared" si="95"/>
        <v/>
      </c>
      <c r="AV731" s="224" t="str">
        <f>IFERROR(VLOOKUP($A731,CP!$A$1:$U$7992,18,FALSE),"")</f>
        <v/>
      </c>
      <c r="AW731" s="224" t="str">
        <f>IFERROR(VLOOKUP($A731,CP!$A$1:$U$7992,19,FALSE),"")</f>
        <v/>
      </c>
      <c r="AX731" s="224" t="str">
        <f>IFERROR(VLOOKUP($A731,CP!$A$1:$U$7992,20,FALSE),"")</f>
        <v/>
      </c>
      <c r="AY731" s="207" t="str">
        <f>IFERROR(VLOOKUP($A731,CP!$A$1:$U$1,21,FALSE),"")</f>
        <v/>
      </c>
      <c r="AZ731" s="224" t="str">
        <f>IFERROR(VLOOKUP(A731,Devengado!$A$1:AJ1,35,FALSE),"")</f>
        <v/>
      </c>
      <c r="BA731" s="224" t="str">
        <f t="shared" si="90"/>
        <v/>
      </c>
      <c r="BB731" s="224" t="str">
        <f>IFERROR(AZ731/#REF!,"")</f>
        <v/>
      </c>
      <c r="BC731" s="224" t="str">
        <f>IFERROR(VLOOKUP($A731,Devengado!$A$1:$AI$1,22,FALSE),"")</f>
        <v/>
      </c>
      <c r="BD731" s="224" t="str">
        <f>IFERROR(VLOOKUP($A731,Devengado!$A$1:$AI$1,23,FALSE),"")</f>
        <v/>
      </c>
      <c r="BE731" s="224" t="str">
        <f>IFERROR(VLOOKUP($A731,Devengado!$A$1:$AI$1,24,FALSE),"")</f>
        <v/>
      </c>
      <c r="BF731" s="224" t="str">
        <f>IFERROR(VLOOKUP($A731,Devengado!$A$1:$AI$1,25,FALSE),"")</f>
        <v/>
      </c>
      <c r="BG731" s="224" t="str">
        <f>IFERROR(VLOOKUP($A731,Devengado!$A$1:$AI$1,26,FALSE),"")</f>
        <v/>
      </c>
      <c r="BH731" s="224" t="str">
        <f>IFERROR(VLOOKUP($A731,Devengado!$A$1:$AI$1,27,FALSE),"")</f>
        <v/>
      </c>
      <c r="BI731" s="224" t="str">
        <f>IFERROR(VLOOKUP($A731,Devengado!$A$1:$AI$1,28,FALSE),"")</f>
        <v/>
      </c>
      <c r="BJ731" s="224" t="str">
        <f>IFERROR(VLOOKUP($A731,Devengado!$A$1:$AI$1,29,FALSE),"")</f>
        <v/>
      </c>
      <c r="BK731" s="224" t="str">
        <f>IFERROR(VLOOKUP($A731,Devengado!$A$1:$AI$1,30,FALSE),"")</f>
        <v/>
      </c>
      <c r="BL731" s="224" t="str">
        <f>IFERROR(VLOOKUP($A731,Devengado!$A$1:$AI$1,31,FALSE),"")</f>
        <v/>
      </c>
      <c r="BM731" s="224" t="str">
        <f>IFERROR(VLOOKUP($A731,Devengado!$A$1:$AI$1,32,FALSE),"")</f>
        <v/>
      </c>
      <c r="BN731" s="224" t="str">
        <f>IFERROR(VLOOKUP($A731,Devengado!$A$1:$AI$1,33,FALSE),"")</f>
        <v/>
      </c>
      <c r="BO731" s="224">
        <f t="shared" si="91"/>
        <v>0</v>
      </c>
      <c r="BP731" s="224" t="str">
        <f t="shared" si="92"/>
        <v/>
      </c>
      <c r="BQ731" s="207"/>
      <c r="BR731" s="207" t="str">
        <f t="shared" si="93"/>
        <v>71</v>
      </c>
    </row>
    <row r="732" spans="1:70" s="225" customFormat="1" ht="25.5" customHeight="1">
      <c r="A732" s="207">
        <v>728</v>
      </c>
      <c r="B732" s="112" t="s">
        <v>73</v>
      </c>
      <c r="C732" s="112" t="s">
        <v>129</v>
      </c>
      <c r="D732" s="125" t="s">
        <v>142</v>
      </c>
      <c r="E732" s="125" t="s">
        <v>569</v>
      </c>
      <c r="F732" s="128" t="s">
        <v>570</v>
      </c>
      <c r="G732" s="112" t="s">
        <v>571</v>
      </c>
      <c r="H732" s="112" t="s">
        <v>572</v>
      </c>
      <c r="I732" s="112" t="s">
        <v>605</v>
      </c>
      <c r="J732" s="112" t="s">
        <v>606</v>
      </c>
      <c r="K732" s="112"/>
      <c r="L732" s="112" t="s">
        <v>603</v>
      </c>
      <c r="M732" s="112" t="s">
        <v>189</v>
      </c>
      <c r="N732" s="127">
        <v>9999</v>
      </c>
      <c r="O732" s="127" t="s">
        <v>132</v>
      </c>
      <c r="P732" s="127" t="s">
        <v>574</v>
      </c>
      <c r="Q732" s="127" t="s">
        <v>112</v>
      </c>
      <c r="R732" s="115" t="str">
        <f t="shared" si="88"/>
        <v>71</v>
      </c>
      <c r="S732" s="268">
        <v>710203</v>
      </c>
      <c r="T732" s="122" t="e">
        <f>VLOOKUP(S732,ITEM!$C$1:$D$156,2,FALSE)</f>
        <v>#N/A</v>
      </c>
      <c r="U732" s="112">
        <v>1700</v>
      </c>
      <c r="V732" s="114" t="s">
        <v>575</v>
      </c>
      <c r="W732" s="299" t="s">
        <v>610</v>
      </c>
      <c r="X732" s="299" t="s">
        <v>610</v>
      </c>
      <c r="Y732" s="298" t="e">
        <f>'Matriz POA 2024-TRABAJO'!#REF!</f>
        <v>#REF!</v>
      </c>
      <c r="Z732" s="298" t="e">
        <f>'Matriz POA 2024-TRABAJO'!#REF!</f>
        <v>#REF!</v>
      </c>
      <c r="AA732" s="298" t="e">
        <f>'Matriz POA 2024-TRABAJO'!#REF!</f>
        <v>#REF!</v>
      </c>
      <c r="AB732" s="207">
        <v>1568.1666666666667</v>
      </c>
      <c r="AC732" s="207">
        <v>3074.4916666666663</v>
      </c>
      <c r="AD732" s="207">
        <v>3074.4916666666663</v>
      </c>
      <c r="AE732" s="207">
        <v>3074.4916666666663</v>
      </c>
      <c r="AF732" s="207">
        <v>3074.4916666666663</v>
      </c>
      <c r="AG732" s="207">
        <v>3074.4916666666663</v>
      </c>
      <c r="AH732" s="207">
        <v>3074.4916666666663</v>
      </c>
      <c r="AI732" s="207">
        <v>3345.2133333333368</v>
      </c>
      <c r="AJ732" s="207"/>
      <c r="AK732" s="207"/>
      <c r="AL732" s="207"/>
      <c r="AM732" s="207"/>
      <c r="AN732" s="207"/>
      <c r="AO732" s="224">
        <f t="shared" si="89"/>
        <v>23360.33</v>
      </c>
      <c r="AP732" s="224" t="e">
        <f t="shared" si="94"/>
        <v>#REF!</v>
      </c>
      <c r="AQ732" s="207"/>
      <c r="AR732" s="207"/>
      <c r="AS732" s="207"/>
      <c r="AT732" s="224" t="str">
        <f>IFERROR(VLOOKUP($A732,'Constancias POA'!$A$2:$DH$9993,17,FALSE),"")</f>
        <v/>
      </c>
      <c r="AU732" s="207" t="str">
        <f t="shared" si="95"/>
        <v/>
      </c>
      <c r="AV732" s="224" t="str">
        <f>IFERROR(VLOOKUP($A732,CP!$A$1:$U$7992,18,FALSE),"")</f>
        <v/>
      </c>
      <c r="AW732" s="224" t="str">
        <f>IFERROR(VLOOKUP($A732,CP!$A$1:$U$7992,19,FALSE),"")</f>
        <v/>
      </c>
      <c r="AX732" s="224" t="str">
        <f>IFERROR(VLOOKUP($A732,CP!$A$1:$U$7992,20,FALSE),"")</f>
        <v/>
      </c>
      <c r="AY732" s="207" t="str">
        <f>IFERROR(VLOOKUP($A732,CP!$A$1:$U$1,21,FALSE),"")</f>
        <v/>
      </c>
      <c r="AZ732" s="224" t="str">
        <f>IFERROR(VLOOKUP(A732,Devengado!$A$1:AJ1,35,FALSE),"")</f>
        <v/>
      </c>
      <c r="BA732" s="224" t="str">
        <f t="shared" si="90"/>
        <v/>
      </c>
      <c r="BB732" s="224" t="str">
        <f>IFERROR(AZ732/#REF!,"")</f>
        <v/>
      </c>
      <c r="BC732" s="224" t="str">
        <f>IFERROR(VLOOKUP($A732,Devengado!$A$1:$AI$1,22,FALSE),"")</f>
        <v/>
      </c>
      <c r="BD732" s="224" t="str">
        <f>IFERROR(VLOOKUP($A732,Devengado!$A$1:$AI$1,23,FALSE),"")</f>
        <v/>
      </c>
      <c r="BE732" s="224" t="str">
        <f>IFERROR(VLOOKUP($A732,Devengado!$A$1:$AI$1,24,FALSE),"")</f>
        <v/>
      </c>
      <c r="BF732" s="224" t="str">
        <f>IFERROR(VLOOKUP($A732,Devengado!$A$1:$AI$1,25,FALSE),"")</f>
        <v/>
      </c>
      <c r="BG732" s="224" t="str">
        <f>IFERROR(VLOOKUP($A732,Devengado!$A$1:$AI$1,26,FALSE),"")</f>
        <v/>
      </c>
      <c r="BH732" s="224" t="str">
        <f>IFERROR(VLOOKUP($A732,Devengado!$A$1:$AI$1,27,FALSE),"")</f>
        <v/>
      </c>
      <c r="BI732" s="224" t="str">
        <f>IFERROR(VLOOKUP($A732,Devengado!$A$1:$AI$1,28,FALSE),"")</f>
        <v/>
      </c>
      <c r="BJ732" s="224" t="str">
        <f>IFERROR(VLOOKUP($A732,Devengado!$A$1:$AI$1,29,FALSE),"")</f>
        <v/>
      </c>
      <c r="BK732" s="224" t="str">
        <f>IFERROR(VLOOKUP($A732,Devengado!$A$1:$AI$1,30,FALSE),"")</f>
        <v/>
      </c>
      <c r="BL732" s="224" t="str">
        <f>IFERROR(VLOOKUP($A732,Devengado!$A$1:$AI$1,31,FALSE),"")</f>
        <v/>
      </c>
      <c r="BM732" s="224" t="str">
        <f>IFERROR(VLOOKUP($A732,Devengado!$A$1:$AI$1,32,FALSE),"")</f>
        <v/>
      </c>
      <c r="BN732" s="224" t="str">
        <f>IFERROR(VLOOKUP($A732,Devengado!$A$1:$AI$1,33,FALSE),"")</f>
        <v/>
      </c>
      <c r="BO732" s="224">
        <f t="shared" si="91"/>
        <v>0</v>
      </c>
      <c r="BP732" s="224" t="str">
        <f t="shared" si="92"/>
        <v/>
      </c>
      <c r="BQ732" s="207"/>
      <c r="BR732" s="207" t="str">
        <f t="shared" si="93"/>
        <v>71</v>
      </c>
    </row>
    <row r="733" spans="1:70" s="225" customFormat="1" ht="25.5" customHeight="1">
      <c r="A733" s="207">
        <v>729</v>
      </c>
      <c r="B733" s="112" t="s">
        <v>73</v>
      </c>
      <c r="C733" s="112" t="s">
        <v>129</v>
      </c>
      <c r="D733" s="125" t="s">
        <v>142</v>
      </c>
      <c r="E733" s="125" t="s">
        <v>569</v>
      </c>
      <c r="F733" s="128" t="s">
        <v>570</v>
      </c>
      <c r="G733" s="112" t="s">
        <v>571</v>
      </c>
      <c r="H733" s="112" t="s">
        <v>572</v>
      </c>
      <c r="I733" s="112" t="s">
        <v>605</v>
      </c>
      <c r="J733" s="112" t="s">
        <v>606</v>
      </c>
      <c r="K733" s="112"/>
      <c r="L733" s="112" t="s">
        <v>603</v>
      </c>
      <c r="M733" s="112" t="s">
        <v>189</v>
      </c>
      <c r="N733" s="127">
        <v>9999</v>
      </c>
      <c r="O733" s="127" t="s">
        <v>132</v>
      </c>
      <c r="P733" s="127" t="s">
        <v>574</v>
      </c>
      <c r="Q733" s="127" t="s">
        <v>112</v>
      </c>
      <c r="R733" s="115" t="str">
        <f t="shared" si="88"/>
        <v>71</v>
      </c>
      <c r="S733" s="268">
        <v>710204</v>
      </c>
      <c r="T733" s="122" t="e">
        <f>VLOOKUP(S733,ITEM!$C$1:$D$156,2,FALSE)</f>
        <v>#N/A</v>
      </c>
      <c r="U733" s="112">
        <v>1700</v>
      </c>
      <c r="V733" s="114" t="s">
        <v>575</v>
      </c>
      <c r="W733" s="299" t="s">
        <v>610</v>
      </c>
      <c r="X733" s="299" t="s">
        <v>610</v>
      </c>
      <c r="Y733" s="298" t="e">
        <f>'Matriz POA 2024-TRABAJO'!#REF!</f>
        <v>#REF!</v>
      </c>
      <c r="Z733" s="298" t="e">
        <f>'Matriz POA 2024-TRABAJO'!#REF!</f>
        <v>#REF!</v>
      </c>
      <c r="AA733" s="298" t="e">
        <f>'Matriz POA 2024-TRABAJO'!#REF!</f>
        <v>#REF!</v>
      </c>
      <c r="AB733" s="207">
        <v>498.33</v>
      </c>
      <c r="AC733" s="207">
        <v>996.69</v>
      </c>
      <c r="AD733" s="207">
        <v>996.69</v>
      </c>
      <c r="AE733" s="207">
        <v>996.68</v>
      </c>
      <c r="AF733" s="207">
        <v>996.69</v>
      </c>
      <c r="AG733" s="207">
        <v>996.69</v>
      </c>
      <c r="AH733" s="207">
        <v>996.69</v>
      </c>
      <c r="AI733" s="207">
        <v>996.54</v>
      </c>
      <c r="AJ733" s="207"/>
      <c r="AK733" s="207"/>
      <c r="AL733" s="207"/>
      <c r="AM733" s="207"/>
      <c r="AN733" s="207"/>
      <c r="AO733" s="224">
        <f t="shared" si="89"/>
        <v>7475.0000000000009</v>
      </c>
      <c r="AP733" s="224" t="e">
        <f t="shared" si="94"/>
        <v>#REF!</v>
      </c>
      <c r="AQ733" s="207"/>
      <c r="AR733" s="207"/>
      <c r="AS733" s="207"/>
      <c r="AT733" s="224" t="str">
        <f>IFERROR(VLOOKUP($A733,'Constancias POA'!$A$2:$DH$9993,17,FALSE),"")</f>
        <v/>
      </c>
      <c r="AU733" s="207" t="str">
        <f t="shared" si="95"/>
        <v/>
      </c>
      <c r="AV733" s="224" t="str">
        <f>IFERROR(VLOOKUP($A733,CP!$A$1:$U$7992,18,FALSE),"")</f>
        <v/>
      </c>
      <c r="AW733" s="224" t="str">
        <f>IFERROR(VLOOKUP($A733,CP!$A$1:$U$7992,19,FALSE),"")</f>
        <v/>
      </c>
      <c r="AX733" s="224" t="str">
        <f>IFERROR(VLOOKUP($A733,CP!$A$1:$U$7992,20,FALSE),"")</f>
        <v/>
      </c>
      <c r="AY733" s="207" t="str">
        <f>IFERROR(VLOOKUP($A733,CP!$A$1:$U$1,21,FALSE),"")</f>
        <v/>
      </c>
      <c r="AZ733" s="224" t="str">
        <f>IFERROR(VLOOKUP(A733,Devengado!$A$1:AJ1,35,FALSE),"")</f>
        <v/>
      </c>
      <c r="BA733" s="224" t="str">
        <f t="shared" si="90"/>
        <v/>
      </c>
      <c r="BB733" s="224" t="str">
        <f>IFERROR(AZ733/#REF!,"")</f>
        <v/>
      </c>
      <c r="BC733" s="224" t="str">
        <f>IFERROR(VLOOKUP($A733,Devengado!$A$1:$AI$1,22,FALSE),"")</f>
        <v/>
      </c>
      <c r="BD733" s="224" t="str">
        <f>IFERROR(VLOOKUP($A733,Devengado!$A$1:$AI$1,23,FALSE),"")</f>
        <v/>
      </c>
      <c r="BE733" s="224" t="str">
        <f>IFERROR(VLOOKUP($A733,Devengado!$A$1:$AI$1,24,FALSE),"")</f>
        <v/>
      </c>
      <c r="BF733" s="224" t="str">
        <f>IFERROR(VLOOKUP($A733,Devengado!$A$1:$AI$1,25,FALSE),"")</f>
        <v/>
      </c>
      <c r="BG733" s="224" t="str">
        <f>IFERROR(VLOOKUP($A733,Devengado!$A$1:$AI$1,26,FALSE),"")</f>
        <v/>
      </c>
      <c r="BH733" s="224" t="str">
        <f>IFERROR(VLOOKUP($A733,Devengado!$A$1:$AI$1,27,FALSE),"")</f>
        <v/>
      </c>
      <c r="BI733" s="224" t="str">
        <f>IFERROR(VLOOKUP($A733,Devengado!$A$1:$AI$1,28,FALSE),"")</f>
        <v/>
      </c>
      <c r="BJ733" s="224" t="str">
        <f>IFERROR(VLOOKUP($A733,Devengado!$A$1:$AI$1,29,FALSE),"")</f>
        <v/>
      </c>
      <c r="BK733" s="224" t="str">
        <f>IFERROR(VLOOKUP($A733,Devengado!$A$1:$AI$1,30,FALSE),"")</f>
        <v/>
      </c>
      <c r="BL733" s="224" t="str">
        <f>IFERROR(VLOOKUP($A733,Devengado!$A$1:$AI$1,31,FALSE),"")</f>
        <v/>
      </c>
      <c r="BM733" s="224" t="str">
        <f>IFERROR(VLOOKUP($A733,Devengado!$A$1:$AI$1,32,FALSE),"")</f>
        <v/>
      </c>
      <c r="BN733" s="224" t="str">
        <f>IFERROR(VLOOKUP($A733,Devengado!$A$1:$AI$1,33,FALSE),"")</f>
        <v/>
      </c>
      <c r="BO733" s="224">
        <f t="shared" si="91"/>
        <v>0</v>
      </c>
      <c r="BP733" s="224" t="str">
        <f t="shared" si="92"/>
        <v/>
      </c>
      <c r="BQ733" s="207"/>
      <c r="BR733" s="207" t="str">
        <f t="shared" si="93"/>
        <v>71</v>
      </c>
    </row>
    <row r="734" spans="1:70" s="225" customFormat="1" ht="25.5" customHeight="1">
      <c r="A734" s="207">
        <v>730</v>
      </c>
      <c r="B734" s="112" t="s">
        <v>73</v>
      </c>
      <c r="C734" s="112" t="s">
        <v>129</v>
      </c>
      <c r="D734" s="125" t="s">
        <v>142</v>
      </c>
      <c r="E734" s="125" t="s">
        <v>569</v>
      </c>
      <c r="F734" s="128" t="s">
        <v>570</v>
      </c>
      <c r="G734" s="112" t="s">
        <v>571</v>
      </c>
      <c r="H734" s="112" t="s">
        <v>572</v>
      </c>
      <c r="I734" s="112" t="s">
        <v>605</v>
      </c>
      <c r="J734" s="112" t="s">
        <v>606</v>
      </c>
      <c r="K734" s="112"/>
      <c r="L734" s="112" t="s">
        <v>603</v>
      </c>
      <c r="M734" s="112" t="s">
        <v>189</v>
      </c>
      <c r="N734" s="127">
        <v>9999</v>
      </c>
      <c r="O734" s="127" t="s">
        <v>132</v>
      </c>
      <c r="P734" s="127" t="s">
        <v>574</v>
      </c>
      <c r="Q734" s="127" t="s">
        <v>112</v>
      </c>
      <c r="R734" s="115" t="str">
        <f t="shared" si="88"/>
        <v>71</v>
      </c>
      <c r="S734" s="268">
        <v>710602</v>
      </c>
      <c r="T734" s="122" t="e">
        <f>VLOOKUP(S734,ITEM!$C$1:$D$156,2,FALSE)</f>
        <v>#N/A</v>
      </c>
      <c r="U734" s="112">
        <v>1700</v>
      </c>
      <c r="V734" s="114" t="s">
        <v>575</v>
      </c>
      <c r="W734" s="299" t="s">
        <v>610</v>
      </c>
      <c r="X734" s="299" t="s">
        <v>610</v>
      </c>
      <c r="Y734" s="298" t="e">
        <f>'Matriz POA 2024-TRABAJO'!#REF!</f>
        <v>#REF!</v>
      </c>
      <c r="Z734" s="298" t="e">
        <f>'Matriz POA 2024-TRABAJO'!#REF!</f>
        <v>#REF!</v>
      </c>
      <c r="AA734" s="298" t="e">
        <f>'Matriz POA 2024-TRABAJO'!#REF!</f>
        <v>#REF!</v>
      </c>
      <c r="AB734" s="207">
        <v>1567.5393999999997</v>
      </c>
      <c r="AC734" s="207">
        <v>3073.2701999999995</v>
      </c>
      <c r="AD734" s="207">
        <v>3073.2701999999995</v>
      </c>
      <c r="AE734" s="207">
        <v>3073.2701999999995</v>
      </c>
      <c r="AF734" s="207">
        <v>3073.2701999999995</v>
      </c>
      <c r="AG734" s="207">
        <v>3073.2701999999995</v>
      </c>
      <c r="AH734" s="207">
        <v>3073.2701999999995</v>
      </c>
      <c r="AI734" s="207">
        <v>1773.9294000000045</v>
      </c>
      <c r="AJ734" s="207"/>
      <c r="AK734" s="207"/>
      <c r="AL734" s="207"/>
      <c r="AM734" s="207"/>
      <c r="AN734" s="207"/>
      <c r="AO734" s="224">
        <f t="shared" si="89"/>
        <v>21781.09</v>
      </c>
      <c r="AP734" s="224" t="e">
        <f t="shared" si="94"/>
        <v>#REF!</v>
      </c>
      <c r="AQ734" s="207"/>
      <c r="AR734" s="207"/>
      <c r="AS734" s="207"/>
      <c r="AT734" s="224" t="str">
        <f>IFERROR(VLOOKUP($A734,'Constancias POA'!$A$2:$DH$9993,17,FALSE),"")</f>
        <v/>
      </c>
      <c r="AU734" s="207" t="str">
        <f t="shared" si="95"/>
        <v/>
      </c>
      <c r="AV734" s="224" t="str">
        <f>IFERROR(VLOOKUP($A734,CP!$A$1:$U$7992,18,FALSE),"")</f>
        <v/>
      </c>
      <c r="AW734" s="224" t="str">
        <f>IFERROR(VLOOKUP($A734,CP!$A$1:$U$7992,19,FALSE),"")</f>
        <v/>
      </c>
      <c r="AX734" s="224" t="str">
        <f>IFERROR(VLOOKUP($A734,CP!$A$1:$U$7992,20,FALSE),"")</f>
        <v/>
      </c>
      <c r="AY734" s="207" t="str">
        <f>IFERROR(VLOOKUP($A734,CP!$A$1:$U$1,21,FALSE),"")</f>
        <v/>
      </c>
      <c r="AZ734" s="224" t="str">
        <f>IFERROR(VLOOKUP(A734,Devengado!$A$1:AJ1,35,FALSE),"")</f>
        <v/>
      </c>
      <c r="BA734" s="224" t="str">
        <f t="shared" si="90"/>
        <v/>
      </c>
      <c r="BB734" s="224" t="str">
        <f>IFERROR(AZ734/#REF!,"")</f>
        <v/>
      </c>
      <c r="BC734" s="224" t="str">
        <f>IFERROR(VLOOKUP($A734,Devengado!$A$1:$AI$1,22,FALSE),"")</f>
        <v/>
      </c>
      <c r="BD734" s="224" t="str">
        <f>IFERROR(VLOOKUP($A734,Devengado!$A$1:$AI$1,23,FALSE),"")</f>
        <v/>
      </c>
      <c r="BE734" s="224" t="str">
        <f>IFERROR(VLOOKUP($A734,Devengado!$A$1:$AI$1,24,FALSE),"")</f>
        <v/>
      </c>
      <c r="BF734" s="224" t="str">
        <f>IFERROR(VLOOKUP($A734,Devengado!$A$1:$AI$1,25,FALSE),"")</f>
        <v/>
      </c>
      <c r="BG734" s="224" t="str">
        <f>IFERROR(VLOOKUP($A734,Devengado!$A$1:$AI$1,26,FALSE),"")</f>
        <v/>
      </c>
      <c r="BH734" s="224" t="str">
        <f>IFERROR(VLOOKUP($A734,Devengado!$A$1:$AI$1,27,FALSE),"")</f>
        <v/>
      </c>
      <c r="BI734" s="224" t="str">
        <f>IFERROR(VLOOKUP($A734,Devengado!$A$1:$AI$1,28,FALSE),"")</f>
        <v/>
      </c>
      <c r="BJ734" s="224" t="str">
        <f>IFERROR(VLOOKUP($A734,Devengado!$A$1:$AI$1,29,FALSE),"")</f>
        <v/>
      </c>
      <c r="BK734" s="224" t="str">
        <f>IFERROR(VLOOKUP($A734,Devengado!$A$1:$AI$1,30,FALSE),"")</f>
        <v/>
      </c>
      <c r="BL734" s="224" t="str">
        <f>IFERROR(VLOOKUP($A734,Devengado!$A$1:$AI$1,31,FALSE),"")</f>
        <v/>
      </c>
      <c r="BM734" s="224" t="str">
        <f>IFERROR(VLOOKUP($A734,Devengado!$A$1:$AI$1,32,FALSE),"")</f>
        <v/>
      </c>
      <c r="BN734" s="224" t="str">
        <f>IFERROR(VLOOKUP($A734,Devengado!$A$1:$AI$1,33,FALSE),"")</f>
        <v/>
      </c>
      <c r="BO734" s="224">
        <f t="shared" si="91"/>
        <v>0</v>
      </c>
      <c r="BP734" s="224" t="str">
        <f t="shared" si="92"/>
        <v/>
      </c>
      <c r="BQ734" s="207"/>
      <c r="BR734" s="207" t="str">
        <f t="shared" si="93"/>
        <v>71</v>
      </c>
    </row>
    <row r="735" spans="1:70" s="225" customFormat="1" ht="25.5" customHeight="1">
      <c r="A735" s="207">
        <v>731</v>
      </c>
      <c r="B735" s="112" t="s">
        <v>429</v>
      </c>
      <c r="C735" s="112" t="s">
        <v>77</v>
      </c>
      <c r="D735" s="112" t="s">
        <v>77</v>
      </c>
      <c r="E735" s="112" t="s">
        <v>76</v>
      </c>
      <c r="F735" s="112" t="s">
        <v>77</v>
      </c>
      <c r="G735" s="112" t="s">
        <v>77</v>
      </c>
      <c r="H735" s="112" t="s">
        <v>77</v>
      </c>
      <c r="I735" s="112" t="s">
        <v>77</v>
      </c>
      <c r="J735" s="112" t="s">
        <v>77</v>
      </c>
      <c r="K735" s="112" t="s">
        <v>77</v>
      </c>
      <c r="L735" s="112" t="s">
        <v>85</v>
      </c>
      <c r="M735" s="207" t="s">
        <v>252</v>
      </c>
      <c r="N735" s="114" t="s">
        <v>430</v>
      </c>
      <c r="O735" s="114" t="s">
        <v>111</v>
      </c>
      <c r="P735" s="114" t="s">
        <v>81</v>
      </c>
      <c r="Q735" s="114" t="s">
        <v>112</v>
      </c>
      <c r="R735" s="115" t="str">
        <f t="shared" si="88"/>
        <v>51</v>
      </c>
      <c r="S735" s="269">
        <v>510512</v>
      </c>
      <c r="T735" s="122" t="str">
        <f>VLOOKUP(S735,ITEM!$C$1:$D$156,2,FALSE)</f>
        <v>Subrogación</v>
      </c>
      <c r="U735" s="112">
        <v>1300</v>
      </c>
      <c r="V735" s="114" t="s">
        <v>82</v>
      </c>
      <c r="W735" s="114" t="s">
        <v>84</v>
      </c>
      <c r="X735" s="114" t="s">
        <v>84</v>
      </c>
      <c r="Y735" s="298">
        <f>'Matriz POA 2024-TRABAJO'!AS90</f>
        <v>5200</v>
      </c>
      <c r="Z735" s="298">
        <f>'Matriz POA 2024-TRABAJO'!AT90</f>
        <v>0</v>
      </c>
      <c r="AA735" s="298">
        <f>'Matriz POA 2024-TRABAJO'!AU90</f>
        <v>5200</v>
      </c>
      <c r="AB735" s="207"/>
      <c r="AC735" s="207"/>
      <c r="AD735" s="207"/>
      <c r="AE735" s="207"/>
      <c r="AF735" s="207"/>
      <c r="AG735" s="207"/>
      <c r="AH735" s="207"/>
      <c r="AI735" s="207"/>
      <c r="AJ735" s="207"/>
      <c r="AK735" s="207"/>
      <c r="AL735" s="207"/>
      <c r="AM735" s="207"/>
      <c r="AN735" s="207"/>
      <c r="AO735" s="224">
        <f t="shared" si="89"/>
        <v>0</v>
      </c>
      <c r="AP735" s="224">
        <f t="shared" si="94"/>
        <v>-5200</v>
      </c>
      <c r="AQ735" s="207"/>
      <c r="AR735" s="207"/>
      <c r="AS735" s="207"/>
      <c r="AT735" s="224" t="str">
        <f>IFERROR(VLOOKUP($A735,'Constancias POA'!$A$2:$DH$9993,17,FALSE),"")</f>
        <v/>
      </c>
      <c r="AU735" s="207" t="str">
        <f t="shared" si="95"/>
        <v/>
      </c>
      <c r="AV735" s="224">
        <f>IFERROR(VLOOKUP($A735,CP!$A$1:$U$7992,18,FALSE),"")</f>
        <v>0</v>
      </c>
      <c r="AW735" s="224">
        <f>IFERROR(VLOOKUP($A735,CP!$A$1:$U$7992,19,FALSE),"")</f>
        <v>3357.21</v>
      </c>
      <c r="AX735" s="224">
        <f>IFERROR(VLOOKUP($A735,CP!$A$1:$U$7992,20,FALSE),"")</f>
        <v>0</v>
      </c>
      <c r="AY735" s="207" t="str">
        <f>IFERROR(VLOOKUP($A735,CP!$A$1:$U$1,21,FALSE),"")</f>
        <v/>
      </c>
      <c r="AZ735" s="224" t="str">
        <f>IFERROR(VLOOKUP(A735,Devengado!$A$1:AJ1,35,FALSE),"")</f>
        <v/>
      </c>
      <c r="BA735" s="224" t="str">
        <f t="shared" si="90"/>
        <v/>
      </c>
      <c r="BB735" s="224" t="str">
        <f>IFERROR(AZ735/#REF!,"")</f>
        <v/>
      </c>
      <c r="BC735" s="224" t="str">
        <f>IFERROR(VLOOKUP($A735,Devengado!$A$1:$AI$1,22,FALSE),"")</f>
        <v/>
      </c>
      <c r="BD735" s="224" t="str">
        <f>IFERROR(VLOOKUP($A735,Devengado!$A$1:$AI$1,23,FALSE),"")</f>
        <v/>
      </c>
      <c r="BE735" s="224" t="str">
        <f>IFERROR(VLOOKUP($A735,Devengado!$A$1:$AI$1,24,FALSE),"")</f>
        <v/>
      </c>
      <c r="BF735" s="224" t="str">
        <f>IFERROR(VLOOKUP($A735,Devengado!$A$1:$AI$1,25,FALSE),"")</f>
        <v/>
      </c>
      <c r="BG735" s="224" t="str">
        <f>IFERROR(VLOOKUP($A735,Devengado!$A$1:$AI$1,26,FALSE),"")</f>
        <v/>
      </c>
      <c r="BH735" s="224" t="str">
        <f>IFERROR(VLOOKUP($A735,Devengado!$A$1:$AI$1,27,FALSE),"")</f>
        <v/>
      </c>
      <c r="BI735" s="224" t="str">
        <f>IFERROR(VLOOKUP($A735,Devengado!$A$1:$AI$1,28,FALSE),"")</f>
        <v/>
      </c>
      <c r="BJ735" s="224" t="str">
        <f>IFERROR(VLOOKUP($A735,Devengado!$A$1:$AI$1,29,FALSE),"")</f>
        <v/>
      </c>
      <c r="BK735" s="224" t="str">
        <f>IFERROR(VLOOKUP($A735,Devengado!$A$1:$AI$1,30,FALSE),"")</f>
        <v/>
      </c>
      <c r="BL735" s="224" t="str">
        <f>IFERROR(VLOOKUP($A735,Devengado!$A$1:$AI$1,31,FALSE),"")</f>
        <v/>
      </c>
      <c r="BM735" s="224" t="str">
        <f>IFERROR(VLOOKUP($A735,Devengado!$A$1:$AI$1,32,FALSE),"")</f>
        <v/>
      </c>
      <c r="BN735" s="224" t="str">
        <f>IFERROR(VLOOKUP($A735,Devengado!$A$1:$AI$1,33,FALSE),"")</f>
        <v/>
      </c>
      <c r="BO735" s="224">
        <f t="shared" si="91"/>
        <v>0</v>
      </c>
      <c r="BP735" s="224" t="str">
        <f t="shared" si="92"/>
        <v/>
      </c>
      <c r="BQ735" s="207"/>
      <c r="BR735" s="207" t="str">
        <f t="shared" si="93"/>
        <v>51</v>
      </c>
    </row>
    <row r="736" spans="1:70" s="225" customFormat="1" ht="25.5" customHeight="1">
      <c r="A736" s="207">
        <v>732</v>
      </c>
      <c r="B736" s="207" t="s">
        <v>429</v>
      </c>
      <c r="C736" s="207" t="s">
        <v>77</v>
      </c>
      <c r="D736" s="207" t="s">
        <v>77</v>
      </c>
      <c r="E736" s="207" t="s">
        <v>76</v>
      </c>
      <c r="F736" s="207" t="s">
        <v>77</v>
      </c>
      <c r="G736" s="207" t="s">
        <v>77</v>
      </c>
      <c r="H736" s="207" t="s">
        <v>77</v>
      </c>
      <c r="I736" s="207" t="s">
        <v>77</v>
      </c>
      <c r="J736" s="207" t="s">
        <v>77</v>
      </c>
      <c r="K736" s="207" t="s">
        <v>77</v>
      </c>
      <c r="L736" s="207" t="s">
        <v>87</v>
      </c>
      <c r="M736" s="207" t="s">
        <v>708</v>
      </c>
      <c r="N736" s="114" t="s">
        <v>430</v>
      </c>
      <c r="O736" s="114" t="s">
        <v>111</v>
      </c>
      <c r="P736" s="114" t="s">
        <v>81</v>
      </c>
      <c r="Q736" s="114" t="s">
        <v>112</v>
      </c>
      <c r="R736" s="115" t="str">
        <f t="shared" si="88"/>
        <v>53</v>
      </c>
      <c r="S736" s="269">
        <v>530105</v>
      </c>
      <c r="T736" s="207" t="str">
        <f>VLOOKUP(S736,ITEM!$C$1:$D$156,2,FALSE)</f>
        <v>Telecomunicaciones</v>
      </c>
      <c r="U736" s="221">
        <v>1309</v>
      </c>
      <c r="V736" s="207" t="s">
        <v>82</v>
      </c>
      <c r="W736" s="207" t="s">
        <v>84</v>
      </c>
      <c r="X736" s="207" t="s">
        <v>84</v>
      </c>
      <c r="Y736" s="298">
        <f>'Matriz POA 2024-TRABAJO'!AS91</f>
        <v>1194.77</v>
      </c>
      <c r="Z736" s="298">
        <f>'Matriz POA 2024-TRABAJO'!AT91</f>
        <v>0</v>
      </c>
      <c r="AA736" s="298">
        <f>'Matriz POA 2024-TRABAJO'!AU91</f>
        <v>1194.77</v>
      </c>
      <c r="AB736" s="207"/>
      <c r="AC736" s="207">
        <v>1600</v>
      </c>
      <c r="AD736" s="207"/>
      <c r="AE736" s="207"/>
      <c r="AF736" s="207"/>
      <c r="AG736" s="207"/>
      <c r="AH736" s="207"/>
      <c r="AI736" s="207"/>
      <c r="AJ736" s="207"/>
      <c r="AK736" s="207"/>
      <c r="AL736" s="207"/>
      <c r="AM736" s="207"/>
      <c r="AN736" s="207"/>
      <c r="AO736" s="224">
        <f t="shared" si="89"/>
        <v>1600</v>
      </c>
      <c r="AP736" s="224">
        <f t="shared" si="94"/>
        <v>405.23</v>
      </c>
      <c r="AQ736" s="207"/>
      <c r="AR736" s="207"/>
      <c r="AS736" s="207"/>
      <c r="AT736" s="224">
        <f>IFERROR(VLOOKUP($A736,'Constancias POA'!$A$2:$DH$9993,17,FALSE),"")</f>
        <v>1194.77</v>
      </c>
      <c r="AU736" s="207">
        <f t="shared" si="95"/>
        <v>0</v>
      </c>
      <c r="AV736" s="224">
        <f>IFERROR(VLOOKUP($A736,CP!$A$1:$U$7992,18,FALSE),"")</f>
        <v>0</v>
      </c>
      <c r="AW736" s="224">
        <f>IFERROR(VLOOKUP($A736,CP!$A$1:$U$7992,19,FALSE),"")</f>
        <v>1194.77</v>
      </c>
      <c r="AX736" s="224">
        <f>IFERROR(VLOOKUP($A736,CP!$A$1:$U$7992,20,FALSE),"")</f>
        <v>0</v>
      </c>
      <c r="AY736" s="207" t="str">
        <f>IFERROR(VLOOKUP($A736,CP!$A$1:$U$1,21,FALSE),"")</f>
        <v/>
      </c>
      <c r="AZ736" s="224" t="str">
        <f>IFERROR(VLOOKUP(A736,Devengado!$A$1:AJ1,35,FALSE),"")</f>
        <v/>
      </c>
      <c r="BA736" s="224" t="str">
        <f t="shared" si="90"/>
        <v/>
      </c>
      <c r="BB736" s="224" t="str">
        <f>IFERROR(AZ736/#REF!,"")</f>
        <v/>
      </c>
      <c r="BC736" s="224" t="str">
        <f>IFERROR(VLOOKUP($A736,Devengado!$A$1:$AI$1,22,FALSE),"")</f>
        <v/>
      </c>
      <c r="BD736" s="224" t="str">
        <f>IFERROR(VLOOKUP($A736,Devengado!$A$1:$AI$1,23,FALSE),"")</f>
        <v/>
      </c>
      <c r="BE736" s="224" t="str">
        <f>IFERROR(VLOOKUP($A736,Devengado!$A$1:$AI$1,24,FALSE),"")</f>
        <v/>
      </c>
      <c r="BF736" s="224" t="str">
        <f>IFERROR(VLOOKUP($A736,Devengado!$A$1:$AI$1,25,FALSE),"")</f>
        <v/>
      </c>
      <c r="BG736" s="224" t="str">
        <f>IFERROR(VLOOKUP($A736,Devengado!$A$1:$AI$1,26,FALSE),"")</f>
        <v/>
      </c>
      <c r="BH736" s="224" t="str">
        <f>IFERROR(VLOOKUP($A736,Devengado!$A$1:$AI$1,27,FALSE),"")</f>
        <v/>
      </c>
      <c r="BI736" s="224" t="str">
        <f>IFERROR(VLOOKUP($A736,Devengado!$A$1:$AI$1,28,FALSE),"")</f>
        <v/>
      </c>
      <c r="BJ736" s="224" t="str">
        <f>IFERROR(VLOOKUP($A736,Devengado!$A$1:$AI$1,29,FALSE),"")</f>
        <v/>
      </c>
      <c r="BK736" s="224" t="str">
        <f>IFERROR(VLOOKUP($A736,Devengado!$A$1:$AI$1,30,FALSE),"")</f>
        <v/>
      </c>
      <c r="BL736" s="224" t="str">
        <f>IFERROR(VLOOKUP($A736,Devengado!$A$1:$AI$1,31,FALSE),"")</f>
        <v/>
      </c>
      <c r="BM736" s="224" t="str">
        <f>IFERROR(VLOOKUP($A736,Devengado!$A$1:$AI$1,32,FALSE),"")</f>
        <v/>
      </c>
      <c r="BN736" s="224" t="str">
        <f>IFERROR(VLOOKUP($A736,Devengado!$A$1:$AI$1,33,FALSE),"")</f>
        <v/>
      </c>
      <c r="BO736" s="224">
        <f t="shared" si="91"/>
        <v>0</v>
      </c>
      <c r="BP736" s="224" t="str">
        <f t="shared" si="92"/>
        <v/>
      </c>
      <c r="BQ736" s="207"/>
      <c r="BR736" s="207" t="str">
        <f t="shared" si="93"/>
        <v>53</v>
      </c>
    </row>
    <row r="737" spans="1:70" s="225" customFormat="1" ht="25.5" customHeight="1">
      <c r="A737" s="207">
        <v>733</v>
      </c>
      <c r="B737" s="207" t="s">
        <v>429</v>
      </c>
      <c r="C737" s="207" t="s">
        <v>77</v>
      </c>
      <c r="D737" s="207" t="s">
        <v>77</v>
      </c>
      <c r="E737" s="207" t="s">
        <v>76</v>
      </c>
      <c r="F737" s="207" t="s">
        <v>77</v>
      </c>
      <c r="G737" s="207" t="s">
        <v>77</v>
      </c>
      <c r="H737" s="207" t="s">
        <v>77</v>
      </c>
      <c r="I737" s="207" t="s">
        <v>77</v>
      </c>
      <c r="J737" s="207" t="s">
        <v>77</v>
      </c>
      <c r="K737" s="207" t="s">
        <v>77</v>
      </c>
      <c r="L737" s="207" t="s">
        <v>85</v>
      </c>
      <c r="M737" s="207" t="s">
        <v>709</v>
      </c>
      <c r="N737" s="114" t="s">
        <v>430</v>
      </c>
      <c r="O737" s="114" t="s">
        <v>111</v>
      </c>
      <c r="P737" s="114" t="s">
        <v>81</v>
      </c>
      <c r="Q737" s="114" t="s">
        <v>112</v>
      </c>
      <c r="R737" s="115" t="str">
        <f t="shared" si="88"/>
        <v>53</v>
      </c>
      <c r="S737" s="269">
        <v>530104</v>
      </c>
      <c r="T737" s="207" t="str">
        <f>VLOOKUP(S737,ITEM!$C$1:$D$156,2,FALSE)</f>
        <v>Energía Eléctrica</v>
      </c>
      <c r="U737" s="221">
        <v>1308</v>
      </c>
      <c r="V737" s="207" t="s">
        <v>82</v>
      </c>
      <c r="W737" s="207" t="s">
        <v>84</v>
      </c>
      <c r="X737" s="207" t="s">
        <v>84</v>
      </c>
      <c r="Y737" s="298">
        <f>'Matriz POA 2024-TRABAJO'!AS92</f>
        <v>14999.67</v>
      </c>
      <c r="Z737" s="298">
        <f>'Matriz POA 2024-TRABAJO'!AT92</f>
        <v>0</v>
      </c>
      <c r="AA737" s="298">
        <f>'Matriz POA 2024-TRABAJO'!AU92</f>
        <v>14999.67</v>
      </c>
      <c r="AB737" s="207"/>
      <c r="AC737" s="207">
        <v>1090.9000000000001</v>
      </c>
      <c r="AD737" s="207">
        <v>1340.91</v>
      </c>
      <c r="AE737" s="207">
        <v>1340.91</v>
      </c>
      <c r="AF737" s="207">
        <v>1340.91</v>
      </c>
      <c r="AG737" s="207">
        <v>1340.91</v>
      </c>
      <c r="AH737" s="207">
        <v>1340.91</v>
      </c>
      <c r="AI737" s="207">
        <v>1340.91</v>
      </c>
      <c r="AJ737" s="207">
        <v>1340.91</v>
      </c>
      <c r="AK737" s="207">
        <v>1340.91</v>
      </c>
      <c r="AL737" s="207">
        <v>1340.91</v>
      </c>
      <c r="AM737" s="207">
        <v>1340.91</v>
      </c>
      <c r="AN737" s="207"/>
      <c r="AO737" s="224">
        <f t="shared" si="89"/>
        <v>14500</v>
      </c>
      <c r="AP737" s="224">
        <f t="shared" si="94"/>
        <v>-499.67000000000007</v>
      </c>
      <c r="AQ737" s="207"/>
      <c r="AR737" s="207"/>
      <c r="AS737" s="207"/>
      <c r="AT737" s="224">
        <f>IFERROR(VLOOKUP($A737,'Constancias POA'!$A$2:$DH$9993,17,FALSE),"")</f>
        <v>14999.67</v>
      </c>
      <c r="AU737" s="207">
        <f t="shared" si="95"/>
        <v>0</v>
      </c>
      <c r="AV737" s="224">
        <f>IFERROR(VLOOKUP($A737,CP!$A$1:$U$7992,18,FALSE),"")</f>
        <v>8938.76</v>
      </c>
      <c r="AW737" s="224">
        <f>IFERROR(VLOOKUP($A737,CP!$A$1:$U$7992,19,FALSE),"")</f>
        <v>14500</v>
      </c>
      <c r="AX737" s="224">
        <f>IFERROR(VLOOKUP($A737,CP!$A$1:$U$7992,20,FALSE),"")</f>
        <v>499.67</v>
      </c>
      <c r="AY737" s="207" t="str">
        <f>IFERROR(VLOOKUP($A737,CP!$A$1:$U$1,21,FALSE),"")</f>
        <v/>
      </c>
      <c r="AZ737" s="224" t="str">
        <f>IFERROR(VLOOKUP(A737,Devengado!$A$1:AJ1,35,FALSE),"")</f>
        <v/>
      </c>
      <c r="BA737" s="224" t="str">
        <f t="shared" si="90"/>
        <v/>
      </c>
      <c r="BB737" s="224" t="str">
        <f>IFERROR(AZ737/#REF!,"")</f>
        <v/>
      </c>
      <c r="BC737" s="224" t="str">
        <f>IFERROR(VLOOKUP($A737,Devengado!$A$1:$AI$1,22,FALSE),"")</f>
        <v/>
      </c>
      <c r="BD737" s="224" t="str">
        <f>IFERROR(VLOOKUP($A737,Devengado!$A$1:$AI$1,23,FALSE),"")</f>
        <v/>
      </c>
      <c r="BE737" s="224" t="str">
        <f>IFERROR(VLOOKUP($A737,Devengado!$A$1:$AI$1,24,FALSE),"")</f>
        <v/>
      </c>
      <c r="BF737" s="224" t="str">
        <f>IFERROR(VLOOKUP($A737,Devengado!$A$1:$AI$1,25,FALSE),"")</f>
        <v/>
      </c>
      <c r="BG737" s="224" t="str">
        <f>IFERROR(VLOOKUP($A737,Devengado!$A$1:$AI$1,26,FALSE),"")</f>
        <v/>
      </c>
      <c r="BH737" s="224" t="str">
        <f>IFERROR(VLOOKUP($A737,Devengado!$A$1:$AI$1,27,FALSE),"")</f>
        <v/>
      </c>
      <c r="BI737" s="224" t="str">
        <f>IFERROR(VLOOKUP($A737,Devengado!$A$1:$AI$1,28,FALSE),"")</f>
        <v/>
      </c>
      <c r="BJ737" s="224" t="str">
        <f>IFERROR(VLOOKUP($A737,Devengado!$A$1:$AI$1,29,FALSE),"")</f>
        <v/>
      </c>
      <c r="BK737" s="224" t="str">
        <f>IFERROR(VLOOKUP($A737,Devengado!$A$1:$AI$1,30,FALSE),"")</f>
        <v/>
      </c>
      <c r="BL737" s="224" t="str">
        <f>IFERROR(VLOOKUP($A737,Devengado!$A$1:$AI$1,31,FALSE),"")</f>
        <v/>
      </c>
      <c r="BM737" s="224" t="str">
        <f>IFERROR(VLOOKUP($A737,Devengado!$A$1:$AI$1,32,FALSE),"")</f>
        <v/>
      </c>
      <c r="BN737" s="224" t="str">
        <f>IFERROR(VLOOKUP($A737,Devengado!$A$1:$AI$1,33,FALSE),"")</f>
        <v/>
      </c>
      <c r="BO737" s="224">
        <f t="shared" si="91"/>
        <v>0</v>
      </c>
      <c r="BP737" s="224" t="str">
        <f t="shared" si="92"/>
        <v/>
      </c>
      <c r="BQ737" s="207"/>
      <c r="BR737" s="207" t="str">
        <f t="shared" si="93"/>
        <v>53</v>
      </c>
    </row>
    <row r="738" spans="1:70" s="225" customFormat="1" ht="25.5" customHeight="1">
      <c r="A738" s="207">
        <v>734</v>
      </c>
      <c r="B738" s="207" t="s">
        <v>429</v>
      </c>
      <c r="C738" s="207" t="s">
        <v>77</v>
      </c>
      <c r="D738" s="207" t="s">
        <v>77</v>
      </c>
      <c r="E738" s="207" t="s">
        <v>76</v>
      </c>
      <c r="F738" s="207" t="s">
        <v>77</v>
      </c>
      <c r="G738" s="207" t="s">
        <v>77</v>
      </c>
      <c r="H738" s="207" t="s">
        <v>77</v>
      </c>
      <c r="I738" s="207" t="s">
        <v>77</v>
      </c>
      <c r="J738" s="207" t="s">
        <v>77</v>
      </c>
      <c r="K738" s="207" t="s">
        <v>77</v>
      </c>
      <c r="L738" s="207" t="s">
        <v>85</v>
      </c>
      <c r="M738" s="207" t="s">
        <v>710</v>
      </c>
      <c r="N738" s="114" t="s">
        <v>430</v>
      </c>
      <c r="O738" s="114" t="s">
        <v>111</v>
      </c>
      <c r="P738" s="114" t="s">
        <v>81</v>
      </c>
      <c r="Q738" s="114" t="s">
        <v>112</v>
      </c>
      <c r="R738" s="115" t="str">
        <f t="shared" si="88"/>
        <v>53</v>
      </c>
      <c r="S738" s="269">
        <v>530255</v>
      </c>
      <c r="T738" s="207" t="str">
        <f>VLOOKUP(S738,ITEM!$C$1:$D$156,2,FALSE)</f>
        <v>Combustibles</v>
      </c>
      <c r="U738" s="221">
        <v>1309</v>
      </c>
      <c r="V738" s="207" t="s">
        <v>82</v>
      </c>
      <c r="W738" s="207" t="s">
        <v>84</v>
      </c>
      <c r="X738" s="207" t="s">
        <v>84</v>
      </c>
      <c r="Y738" s="298">
        <f>'Matriz POA 2024-TRABAJO'!AS93</f>
        <v>6659.36</v>
      </c>
      <c r="Z738" s="298">
        <f>'Matriz POA 2024-TRABAJO'!AT93</f>
        <v>0</v>
      </c>
      <c r="AA738" s="298">
        <f>'Matriz POA 2024-TRABAJO'!AU93</f>
        <v>6659.36</v>
      </c>
      <c r="AB738" s="207"/>
      <c r="AC738" s="207">
        <v>605.39</v>
      </c>
      <c r="AD738" s="207">
        <v>605.39</v>
      </c>
      <c r="AE738" s="207">
        <v>605.39</v>
      </c>
      <c r="AF738" s="207">
        <v>605.39</v>
      </c>
      <c r="AG738" s="207">
        <v>605.39</v>
      </c>
      <c r="AH738" s="207">
        <v>605.39</v>
      </c>
      <c r="AI738" s="207">
        <v>605.39</v>
      </c>
      <c r="AJ738" s="207">
        <v>605.39</v>
      </c>
      <c r="AK738" s="207">
        <v>605.39</v>
      </c>
      <c r="AL738" s="207">
        <v>605.39</v>
      </c>
      <c r="AM738" s="207">
        <v>605.46</v>
      </c>
      <c r="AN738" s="207"/>
      <c r="AO738" s="224">
        <f t="shared" si="89"/>
        <v>6659.3600000000006</v>
      </c>
      <c r="AP738" s="224">
        <f t="shared" si="94"/>
        <v>0</v>
      </c>
      <c r="AQ738" s="207"/>
      <c r="AR738" s="207"/>
      <c r="AS738" s="207"/>
      <c r="AT738" s="224">
        <f>IFERROR(VLOOKUP($A738,'Constancias POA'!$A$2:$DH$9993,17,FALSE),"")</f>
        <v>6659.36</v>
      </c>
      <c r="AU738" s="207">
        <f t="shared" si="95"/>
        <v>0</v>
      </c>
      <c r="AV738" s="224">
        <f>IFERROR(VLOOKUP($A738,CP!$A$1:$U$7992,18,FALSE),"")</f>
        <v>6659.36</v>
      </c>
      <c r="AW738" s="224">
        <f>IFERROR(VLOOKUP($A738,CP!$A$1:$U$7992,19,FALSE),"")</f>
        <v>6659.36</v>
      </c>
      <c r="AX738" s="224">
        <f>IFERROR(VLOOKUP($A738,CP!$A$1:$U$7992,20,FALSE),"")</f>
        <v>0</v>
      </c>
      <c r="AY738" s="207" t="str">
        <f>IFERROR(VLOOKUP($A738,CP!$A$1:$U$1,21,FALSE),"")</f>
        <v/>
      </c>
      <c r="AZ738" s="224" t="str">
        <f>IFERROR(VLOOKUP(A738,Devengado!$A$1:AJ1,35,FALSE),"")</f>
        <v/>
      </c>
      <c r="BA738" s="224" t="str">
        <f t="shared" si="90"/>
        <v/>
      </c>
      <c r="BB738" s="224" t="str">
        <f>IFERROR(AZ738/#REF!,"")</f>
        <v/>
      </c>
      <c r="BC738" s="224" t="str">
        <f>IFERROR(VLOOKUP($A738,Devengado!$A$1:$AI$1,22,FALSE),"")</f>
        <v/>
      </c>
      <c r="BD738" s="224" t="str">
        <f>IFERROR(VLOOKUP($A738,Devengado!$A$1:$AI$1,23,FALSE),"")</f>
        <v/>
      </c>
      <c r="BE738" s="224" t="str">
        <f>IFERROR(VLOOKUP($A738,Devengado!$A$1:$AI$1,24,FALSE),"")</f>
        <v/>
      </c>
      <c r="BF738" s="224" t="str">
        <f>IFERROR(VLOOKUP($A738,Devengado!$A$1:$AI$1,25,FALSE),"")</f>
        <v/>
      </c>
      <c r="BG738" s="224" t="str">
        <f>IFERROR(VLOOKUP($A738,Devengado!$A$1:$AI$1,26,FALSE),"")</f>
        <v/>
      </c>
      <c r="BH738" s="224" t="str">
        <f>IFERROR(VLOOKUP($A738,Devengado!$A$1:$AI$1,27,FALSE),"")</f>
        <v/>
      </c>
      <c r="BI738" s="224" t="str">
        <f>IFERROR(VLOOKUP($A738,Devengado!$A$1:$AI$1,28,FALSE),"")</f>
        <v/>
      </c>
      <c r="BJ738" s="224" t="str">
        <f>IFERROR(VLOOKUP($A738,Devengado!$A$1:$AI$1,29,FALSE),"")</f>
        <v/>
      </c>
      <c r="BK738" s="224" t="str">
        <f>IFERROR(VLOOKUP($A738,Devengado!$A$1:$AI$1,30,FALSE),"")</f>
        <v/>
      </c>
      <c r="BL738" s="224" t="str">
        <f>IFERROR(VLOOKUP($A738,Devengado!$A$1:$AI$1,31,FALSE),"")</f>
        <v/>
      </c>
      <c r="BM738" s="224" t="str">
        <f>IFERROR(VLOOKUP($A738,Devengado!$A$1:$AI$1,32,FALSE),"")</f>
        <v/>
      </c>
      <c r="BN738" s="224" t="str">
        <f>IFERROR(VLOOKUP($A738,Devengado!$A$1:$AI$1,33,FALSE),"")</f>
        <v/>
      </c>
      <c r="BO738" s="224">
        <f t="shared" si="91"/>
        <v>0</v>
      </c>
      <c r="BP738" s="224" t="str">
        <f t="shared" si="92"/>
        <v/>
      </c>
      <c r="BQ738" s="207"/>
      <c r="BR738" s="207" t="str">
        <f t="shared" si="93"/>
        <v>53</v>
      </c>
    </row>
    <row r="739" spans="1:70" s="225" customFormat="1" ht="25.5" customHeight="1">
      <c r="A739" s="207">
        <v>735</v>
      </c>
      <c r="B739" s="207" t="s">
        <v>429</v>
      </c>
      <c r="C739" s="207" t="s">
        <v>77</v>
      </c>
      <c r="D739" s="207" t="s">
        <v>77</v>
      </c>
      <c r="E739" s="207" t="s">
        <v>76</v>
      </c>
      <c r="F739" s="207" t="s">
        <v>77</v>
      </c>
      <c r="G739" s="207" t="s">
        <v>77</v>
      </c>
      <c r="H739" s="207" t="s">
        <v>77</v>
      </c>
      <c r="I739" s="207" t="s">
        <v>77</v>
      </c>
      <c r="J739" s="207" t="s">
        <v>77</v>
      </c>
      <c r="K739" s="207" t="s">
        <v>77</v>
      </c>
      <c r="L739" s="207" t="s">
        <v>85</v>
      </c>
      <c r="M739" s="207" t="s">
        <v>391</v>
      </c>
      <c r="N739" s="114" t="s">
        <v>430</v>
      </c>
      <c r="O739" s="114" t="s">
        <v>111</v>
      </c>
      <c r="P739" s="114" t="s">
        <v>81</v>
      </c>
      <c r="Q739" s="114" t="s">
        <v>112</v>
      </c>
      <c r="R739" s="115" t="str">
        <f t="shared" si="88"/>
        <v>99</v>
      </c>
      <c r="S739" s="269">
        <v>990101</v>
      </c>
      <c r="T739" s="207" t="e">
        <f>VLOOKUP(S739,ITEM!$C$1:$D$156,2,FALSE)</f>
        <v>#N/A</v>
      </c>
      <c r="U739" s="221">
        <v>1300</v>
      </c>
      <c r="V739" s="207" t="s">
        <v>82</v>
      </c>
      <c r="W739" s="207" t="s">
        <v>84</v>
      </c>
      <c r="X739" s="207" t="s">
        <v>84</v>
      </c>
      <c r="Y739" s="298">
        <f>'Matriz POA 2024-TRABAJO'!AS94</f>
        <v>0</v>
      </c>
      <c r="Z739" s="298">
        <f>'Matriz POA 2024-TRABAJO'!AT94</f>
        <v>0</v>
      </c>
      <c r="AA739" s="298">
        <f>'Matriz POA 2024-TRABAJO'!AU94</f>
        <v>0</v>
      </c>
      <c r="AB739" s="207"/>
      <c r="AC739" s="207"/>
      <c r="AD739" s="207"/>
      <c r="AE739" s="207"/>
      <c r="AF739" s="207"/>
      <c r="AG739" s="207"/>
      <c r="AH739" s="207"/>
      <c r="AI739" s="207"/>
      <c r="AJ739" s="207"/>
      <c r="AK739" s="207"/>
      <c r="AL739" s="207"/>
      <c r="AM739" s="207"/>
      <c r="AN739" s="207"/>
      <c r="AO739" s="224">
        <f t="shared" si="89"/>
        <v>0</v>
      </c>
      <c r="AP739" s="224">
        <f t="shared" si="94"/>
        <v>0</v>
      </c>
      <c r="AQ739" s="207"/>
      <c r="AR739" s="207"/>
      <c r="AS739" s="207"/>
      <c r="AT739" s="224" t="str">
        <f>IFERROR(VLOOKUP($A739,'Constancias POA'!$A$2:$DH$9993,17,FALSE),"")</f>
        <v/>
      </c>
      <c r="AU739" s="207" t="str">
        <f t="shared" si="95"/>
        <v/>
      </c>
      <c r="AV739" s="224" t="str">
        <f>IFERROR(VLOOKUP($A739,CP!$A$1:$U$7992,18,FALSE),"")</f>
        <v/>
      </c>
      <c r="AW739" s="224" t="str">
        <f>IFERROR(VLOOKUP($A739,CP!$A$1:$U$7992,19,FALSE),"")</f>
        <v/>
      </c>
      <c r="AX739" s="224" t="str">
        <f>IFERROR(VLOOKUP($A739,CP!$A$1:$U$7992,20,FALSE),"")</f>
        <v/>
      </c>
      <c r="AY739" s="207" t="str">
        <f>IFERROR(VLOOKUP($A739,CP!$A$1:$U$1,21,FALSE),"")</f>
        <v/>
      </c>
      <c r="AZ739" s="224" t="str">
        <f>IFERROR(VLOOKUP(A739,Devengado!$A$1:AJ1,35,FALSE),"")</f>
        <v/>
      </c>
      <c r="BA739" s="224" t="str">
        <f t="shared" si="90"/>
        <v/>
      </c>
      <c r="BB739" s="224" t="str">
        <f>IFERROR(AZ739/#REF!,"")</f>
        <v/>
      </c>
      <c r="BC739" s="224" t="str">
        <f>IFERROR(VLOOKUP($A739,Devengado!$A$1:$AI$1,22,FALSE),"")</f>
        <v/>
      </c>
      <c r="BD739" s="224" t="str">
        <f>IFERROR(VLOOKUP($A739,Devengado!$A$1:$AI$1,23,FALSE),"")</f>
        <v/>
      </c>
      <c r="BE739" s="224" t="str">
        <f>IFERROR(VLOOKUP($A739,Devengado!$A$1:$AI$1,24,FALSE),"")</f>
        <v/>
      </c>
      <c r="BF739" s="224" t="str">
        <f>IFERROR(VLOOKUP($A739,Devengado!$A$1:$AI$1,25,FALSE),"")</f>
        <v/>
      </c>
      <c r="BG739" s="224" t="str">
        <f>IFERROR(VLOOKUP($A739,Devengado!$A$1:$AI$1,26,FALSE),"")</f>
        <v/>
      </c>
      <c r="BH739" s="224" t="str">
        <f>IFERROR(VLOOKUP($A739,Devengado!$A$1:$AI$1,27,FALSE),"")</f>
        <v/>
      </c>
      <c r="BI739" s="224" t="str">
        <f>IFERROR(VLOOKUP($A739,Devengado!$A$1:$AI$1,28,FALSE),"")</f>
        <v/>
      </c>
      <c r="BJ739" s="224" t="str">
        <f>IFERROR(VLOOKUP($A739,Devengado!$A$1:$AI$1,29,FALSE),"")</f>
        <v/>
      </c>
      <c r="BK739" s="224" t="str">
        <f>IFERROR(VLOOKUP($A739,Devengado!$A$1:$AI$1,30,FALSE),"")</f>
        <v/>
      </c>
      <c r="BL739" s="224" t="str">
        <f>IFERROR(VLOOKUP($A739,Devengado!$A$1:$AI$1,31,FALSE),"")</f>
        <v/>
      </c>
      <c r="BM739" s="224" t="str">
        <f>IFERROR(VLOOKUP($A739,Devengado!$A$1:$AI$1,32,FALSE),"")</f>
        <v/>
      </c>
      <c r="BN739" s="224" t="str">
        <f>IFERROR(VLOOKUP($A739,Devengado!$A$1:$AI$1,33,FALSE),"")</f>
        <v/>
      </c>
      <c r="BO739" s="224">
        <f t="shared" si="91"/>
        <v>0</v>
      </c>
      <c r="BP739" s="224" t="str">
        <f t="shared" si="92"/>
        <v/>
      </c>
      <c r="BQ739" s="207"/>
      <c r="BR739" s="207" t="str">
        <f t="shared" si="93"/>
        <v>99</v>
      </c>
    </row>
    <row r="740" spans="1:70" s="225" customFormat="1" ht="25.5" customHeight="1">
      <c r="A740" s="207">
        <v>736</v>
      </c>
      <c r="B740" s="112" t="s">
        <v>287</v>
      </c>
      <c r="C740" s="112" t="s">
        <v>77</v>
      </c>
      <c r="D740" s="112" t="s">
        <v>77</v>
      </c>
      <c r="E740" s="112" t="s">
        <v>76</v>
      </c>
      <c r="F740" s="112" t="s">
        <v>77</v>
      </c>
      <c r="G740" s="112" t="s">
        <v>77</v>
      </c>
      <c r="H740" s="112" t="s">
        <v>77</v>
      </c>
      <c r="I740" s="112" t="s">
        <v>77</v>
      </c>
      <c r="J740" s="112" t="s">
        <v>77</v>
      </c>
      <c r="K740" s="112" t="s">
        <v>77</v>
      </c>
      <c r="L740" s="112" t="s">
        <v>85</v>
      </c>
      <c r="M740" s="207" t="s">
        <v>711</v>
      </c>
      <c r="N740" s="114" t="s">
        <v>289</v>
      </c>
      <c r="O740" s="123">
        <v>80</v>
      </c>
      <c r="P740" s="114" t="s">
        <v>81</v>
      </c>
      <c r="Q740" s="114" t="s">
        <v>112</v>
      </c>
      <c r="R740" s="115" t="str">
        <f t="shared" si="88"/>
        <v>53</v>
      </c>
      <c r="S740" s="300">
        <v>530606</v>
      </c>
      <c r="T740" s="207" t="str">
        <f>VLOOKUP(S740,ITEM!$C$1:$D$156,2,FALSE)</f>
        <v>Honorarios por Contratos Civiles de Servicios</v>
      </c>
      <c r="U740" s="301">
        <v>901</v>
      </c>
      <c r="V740" s="114" t="s">
        <v>82</v>
      </c>
      <c r="W740" s="114" t="s">
        <v>84</v>
      </c>
      <c r="X740" s="114" t="s">
        <v>84</v>
      </c>
      <c r="Y740" s="298" t="e">
        <f>'Matriz POA 2024-TRABAJO'!#REF!</f>
        <v>#REF!</v>
      </c>
      <c r="Z740" s="298" t="e">
        <f>'Matriz POA 2024-TRABAJO'!#REF!</f>
        <v>#REF!</v>
      </c>
      <c r="AA740" s="298" t="e">
        <f>'Matriz POA 2024-TRABAJO'!#REF!</f>
        <v>#REF!</v>
      </c>
      <c r="AB740" s="207">
        <v>0</v>
      </c>
      <c r="AC740" s="207">
        <v>1086</v>
      </c>
      <c r="AD740" s="207">
        <v>1086</v>
      </c>
      <c r="AE740" s="207">
        <v>1086</v>
      </c>
      <c r="AF740" s="207">
        <v>1086</v>
      </c>
      <c r="AG740" s="207">
        <v>1412</v>
      </c>
      <c r="AH740" s="207">
        <v>1412</v>
      </c>
      <c r="AI740" s="207">
        <v>1412</v>
      </c>
      <c r="AJ740" s="207">
        <v>1412</v>
      </c>
      <c r="AK740" s="207">
        <v>1412</v>
      </c>
      <c r="AL740" s="207">
        <v>1412</v>
      </c>
      <c r="AM740" s="207">
        <v>1412</v>
      </c>
      <c r="AN740" s="207"/>
      <c r="AO740" s="224">
        <f t="shared" si="89"/>
        <v>14228</v>
      </c>
      <c r="AP740" s="224" t="e">
        <f t="shared" si="94"/>
        <v>#REF!</v>
      </c>
      <c r="AQ740" s="207"/>
      <c r="AR740" s="207"/>
      <c r="AS740" s="207"/>
      <c r="AT740" s="224" t="str">
        <f>IFERROR(VLOOKUP($A740,'Constancias POA'!$A$2:$DH$9993,17,FALSE),"")</f>
        <v/>
      </c>
      <c r="AU740" s="207" t="str">
        <f t="shared" si="95"/>
        <v/>
      </c>
      <c r="AV740" s="224" t="str">
        <f>IFERROR(VLOOKUP($A740,CP!$A$1:$U$7992,18,FALSE),"")</f>
        <v/>
      </c>
      <c r="AW740" s="224" t="str">
        <f>IFERROR(VLOOKUP($A740,CP!$A$1:$U$7992,19,FALSE),"")</f>
        <v/>
      </c>
      <c r="AX740" s="224" t="str">
        <f>IFERROR(VLOOKUP($A740,CP!$A$1:$U$7992,20,FALSE),"")</f>
        <v/>
      </c>
      <c r="AY740" s="207" t="str">
        <f>IFERROR(VLOOKUP($A740,CP!$A$1:$U$1,21,FALSE),"")</f>
        <v/>
      </c>
      <c r="AZ740" s="224" t="str">
        <f>IFERROR(VLOOKUP(A740,Devengado!$A$1:AJ1,35,FALSE),"")</f>
        <v/>
      </c>
      <c r="BA740" s="224" t="str">
        <f t="shared" si="90"/>
        <v/>
      </c>
      <c r="BB740" s="224" t="str">
        <f>IFERROR(AZ740/#REF!,"")</f>
        <v/>
      </c>
      <c r="BC740" s="224" t="str">
        <f>IFERROR(VLOOKUP($A740,Devengado!$A$1:$AI$1,22,FALSE),"")</f>
        <v/>
      </c>
      <c r="BD740" s="224" t="str">
        <f>IFERROR(VLOOKUP($A740,Devengado!$A$1:$AI$1,23,FALSE),"")</f>
        <v/>
      </c>
      <c r="BE740" s="224" t="str">
        <f>IFERROR(VLOOKUP($A740,Devengado!$A$1:$AI$1,24,FALSE),"")</f>
        <v/>
      </c>
      <c r="BF740" s="224" t="str">
        <f>IFERROR(VLOOKUP($A740,Devengado!$A$1:$AI$1,25,FALSE),"")</f>
        <v/>
      </c>
      <c r="BG740" s="224" t="str">
        <f>IFERROR(VLOOKUP($A740,Devengado!$A$1:$AI$1,26,FALSE),"")</f>
        <v/>
      </c>
      <c r="BH740" s="224" t="str">
        <f>IFERROR(VLOOKUP($A740,Devengado!$A$1:$AI$1,27,FALSE),"")</f>
        <v/>
      </c>
      <c r="BI740" s="224" t="str">
        <f>IFERROR(VLOOKUP($A740,Devengado!$A$1:$AI$1,28,FALSE),"")</f>
        <v/>
      </c>
      <c r="BJ740" s="224" t="str">
        <f>IFERROR(VLOOKUP($A740,Devengado!$A$1:$AI$1,29,FALSE),"")</f>
        <v/>
      </c>
      <c r="BK740" s="224" t="str">
        <f>IFERROR(VLOOKUP($A740,Devengado!$A$1:$AI$1,30,FALSE),"")</f>
        <v/>
      </c>
      <c r="BL740" s="224" t="str">
        <f>IFERROR(VLOOKUP($A740,Devengado!$A$1:$AI$1,31,FALSE),"")</f>
        <v/>
      </c>
      <c r="BM740" s="224" t="str">
        <f>IFERROR(VLOOKUP($A740,Devengado!$A$1:$AI$1,32,FALSE),"")</f>
        <v/>
      </c>
      <c r="BN740" s="224" t="str">
        <f>IFERROR(VLOOKUP($A740,Devengado!$A$1:$AI$1,33,FALSE),"")</f>
        <v/>
      </c>
      <c r="BO740" s="224">
        <f t="shared" si="91"/>
        <v>0</v>
      </c>
      <c r="BP740" s="224" t="str">
        <f t="shared" si="92"/>
        <v/>
      </c>
      <c r="BQ740" s="207"/>
      <c r="BR740" s="207" t="str">
        <f t="shared" si="93"/>
        <v>53</v>
      </c>
    </row>
    <row r="741" spans="1:70" s="225" customFormat="1" ht="25.5" customHeight="1">
      <c r="A741" s="207">
        <v>737</v>
      </c>
      <c r="B741" s="112" t="s">
        <v>287</v>
      </c>
      <c r="C741" s="112" t="s">
        <v>77</v>
      </c>
      <c r="D741" s="112" t="s">
        <v>77</v>
      </c>
      <c r="E741" s="112" t="s">
        <v>76</v>
      </c>
      <c r="F741" s="112" t="s">
        <v>77</v>
      </c>
      <c r="G741" s="112" t="s">
        <v>77</v>
      </c>
      <c r="H741" s="112" t="s">
        <v>77</v>
      </c>
      <c r="I741" s="112" t="s">
        <v>77</v>
      </c>
      <c r="J741" s="112" t="s">
        <v>77</v>
      </c>
      <c r="K741" s="112" t="s">
        <v>77</v>
      </c>
      <c r="L741" s="112" t="s">
        <v>85</v>
      </c>
      <c r="M741" s="207" t="s">
        <v>712</v>
      </c>
      <c r="N741" s="114" t="s">
        <v>289</v>
      </c>
      <c r="O741" s="123">
        <v>80</v>
      </c>
      <c r="P741" s="114" t="s">
        <v>81</v>
      </c>
      <c r="Q741" s="114" t="s">
        <v>112</v>
      </c>
      <c r="R741" s="115" t="str">
        <f t="shared" si="88"/>
        <v>53</v>
      </c>
      <c r="S741" s="300">
        <v>530606</v>
      </c>
      <c r="T741" s="207" t="str">
        <f>VLOOKUP(S741,ITEM!$C$1:$D$156,2,FALSE)</f>
        <v>Honorarios por Contratos Civiles de Servicios</v>
      </c>
      <c r="U741" s="301">
        <v>901</v>
      </c>
      <c r="V741" s="114" t="s">
        <v>82</v>
      </c>
      <c r="W741" s="114" t="s">
        <v>84</v>
      </c>
      <c r="X741" s="114" t="s">
        <v>84</v>
      </c>
      <c r="Y741" s="298" t="e">
        <f>'Matriz POA 2024-TRABAJO'!#REF!</f>
        <v>#REF!</v>
      </c>
      <c r="Z741" s="298" t="e">
        <f>'Matriz POA 2024-TRABAJO'!#REF!</f>
        <v>#REF!</v>
      </c>
      <c r="AA741" s="298" t="e">
        <f>'Matriz POA 2024-TRABAJO'!#REF!</f>
        <v>#REF!</v>
      </c>
      <c r="AB741" s="207">
        <v>0</v>
      </c>
      <c r="AC741" s="207">
        <v>1086</v>
      </c>
      <c r="AD741" s="207">
        <v>1086</v>
      </c>
      <c r="AE741" s="207">
        <v>1086</v>
      </c>
      <c r="AF741" s="207">
        <v>1086</v>
      </c>
      <c r="AG741" s="207">
        <v>1412</v>
      </c>
      <c r="AH741" s="207">
        <v>1412</v>
      </c>
      <c r="AI741" s="207">
        <v>1412</v>
      </c>
      <c r="AJ741" s="207">
        <v>1412</v>
      </c>
      <c r="AK741" s="207">
        <v>1412</v>
      </c>
      <c r="AL741" s="207">
        <v>1412</v>
      </c>
      <c r="AM741" s="207">
        <v>1412</v>
      </c>
      <c r="AN741" s="207"/>
      <c r="AO741" s="224">
        <f t="shared" si="89"/>
        <v>14228</v>
      </c>
      <c r="AP741" s="224" t="e">
        <f t="shared" si="94"/>
        <v>#REF!</v>
      </c>
      <c r="AQ741" s="207"/>
      <c r="AR741" s="207"/>
      <c r="AS741" s="207"/>
      <c r="AT741" s="224" t="str">
        <f>IFERROR(VLOOKUP($A741,'Constancias POA'!$A$2:$DH$9993,17,FALSE),"")</f>
        <v/>
      </c>
      <c r="AU741" s="207" t="str">
        <f t="shared" si="95"/>
        <v/>
      </c>
      <c r="AV741" s="224" t="str">
        <f>IFERROR(VLOOKUP($A741,CP!$A$1:$U$7992,18,FALSE),"")</f>
        <v/>
      </c>
      <c r="AW741" s="224" t="str">
        <f>IFERROR(VLOOKUP($A741,CP!$A$1:$U$7992,19,FALSE),"")</f>
        <v/>
      </c>
      <c r="AX741" s="224" t="str">
        <f>IFERROR(VLOOKUP($A741,CP!$A$1:$U$7992,20,FALSE),"")</f>
        <v/>
      </c>
      <c r="AY741" s="207" t="str">
        <f>IFERROR(VLOOKUP($A741,CP!$A$1:$U$1,21,FALSE),"")</f>
        <v/>
      </c>
      <c r="AZ741" s="224" t="str">
        <f>IFERROR(VLOOKUP(A741,Devengado!$A$1:AJ1,35,FALSE),"")</f>
        <v/>
      </c>
      <c r="BA741" s="224" t="str">
        <f t="shared" si="90"/>
        <v/>
      </c>
      <c r="BB741" s="224" t="str">
        <f>IFERROR(AZ741/#REF!,"")</f>
        <v/>
      </c>
      <c r="BC741" s="224" t="str">
        <f>IFERROR(VLOOKUP($A741,Devengado!$A$1:$AI$1,22,FALSE),"")</f>
        <v/>
      </c>
      <c r="BD741" s="224" t="str">
        <f>IFERROR(VLOOKUP($A741,Devengado!$A$1:$AI$1,23,FALSE),"")</f>
        <v/>
      </c>
      <c r="BE741" s="224" t="str">
        <f>IFERROR(VLOOKUP($A741,Devengado!$A$1:$AI$1,24,FALSE),"")</f>
        <v/>
      </c>
      <c r="BF741" s="224" t="str">
        <f>IFERROR(VLOOKUP($A741,Devengado!$A$1:$AI$1,25,FALSE),"")</f>
        <v/>
      </c>
      <c r="BG741" s="224" t="str">
        <f>IFERROR(VLOOKUP($A741,Devengado!$A$1:$AI$1,26,FALSE),"")</f>
        <v/>
      </c>
      <c r="BH741" s="224" t="str">
        <f>IFERROR(VLOOKUP($A741,Devengado!$A$1:$AI$1,27,FALSE),"")</f>
        <v/>
      </c>
      <c r="BI741" s="224" t="str">
        <f>IFERROR(VLOOKUP($A741,Devengado!$A$1:$AI$1,28,FALSE),"")</f>
        <v/>
      </c>
      <c r="BJ741" s="224" t="str">
        <f>IFERROR(VLOOKUP($A741,Devengado!$A$1:$AI$1,29,FALSE),"")</f>
        <v/>
      </c>
      <c r="BK741" s="224" t="str">
        <f>IFERROR(VLOOKUP($A741,Devengado!$A$1:$AI$1,30,FALSE),"")</f>
        <v/>
      </c>
      <c r="BL741" s="224" t="str">
        <f>IFERROR(VLOOKUP($A741,Devengado!$A$1:$AI$1,31,FALSE),"")</f>
        <v/>
      </c>
      <c r="BM741" s="224" t="str">
        <f>IFERROR(VLOOKUP($A741,Devengado!$A$1:$AI$1,32,FALSE),"")</f>
        <v/>
      </c>
      <c r="BN741" s="224" t="str">
        <f>IFERROR(VLOOKUP($A741,Devengado!$A$1:$AI$1,33,FALSE),"")</f>
        <v/>
      </c>
      <c r="BO741" s="224">
        <f t="shared" si="91"/>
        <v>0</v>
      </c>
      <c r="BP741" s="224" t="str">
        <f t="shared" si="92"/>
        <v/>
      </c>
      <c r="BQ741" s="207"/>
      <c r="BR741" s="207" t="str">
        <f t="shared" si="93"/>
        <v>53</v>
      </c>
    </row>
    <row r="742" spans="1:70" s="225" customFormat="1" ht="25.5" customHeight="1">
      <c r="A742" s="207">
        <v>738</v>
      </c>
      <c r="B742" s="112" t="s">
        <v>73</v>
      </c>
      <c r="C742" s="112" t="s">
        <v>187</v>
      </c>
      <c r="D742" s="125" t="s">
        <v>515</v>
      </c>
      <c r="E742" s="125" t="s">
        <v>76</v>
      </c>
      <c r="F742" s="112" t="s">
        <v>77</v>
      </c>
      <c r="G742" s="112" t="s">
        <v>77</v>
      </c>
      <c r="H742" s="112" t="s">
        <v>77</v>
      </c>
      <c r="I742" s="112" t="s">
        <v>77</v>
      </c>
      <c r="J742" s="112" t="s">
        <v>77</v>
      </c>
      <c r="K742" s="112" t="s">
        <v>77</v>
      </c>
      <c r="L742" s="112" t="s">
        <v>85</v>
      </c>
      <c r="M742" s="207" t="s">
        <v>713</v>
      </c>
      <c r="N742" s="126">
        <v>9999</v>
      </c>
      <c r="O742" s="127" t="s">
        <v>80</v>
      </c>
      <c r="P742" s="127" t="s">
        <v>81</v>
      </c>
      <c r="Q742" s="127" t="s">
        <v>82</v>
      </c>
      <c r="R742" s="115" t="str">
        <f t="shared" si="88"/>
        <v>53</v>
      </c>
      <c r="S742" s="269">
        <v>530209</v>
      </c>
      <c r="T742" s="207" t="str">
        <f>VLOOKUP(S742,ITEM!$C$1:$D$156,2,FALSE)</f>
        <v>Servicios de Aseo, Lavado de Vestimenta de Trabajo, Fumigación, Desinfección,  Limpieza de Instalaciones, manejo
de desechos contaminados, recuperación y clasificación de materiales reciclables.</v>
      </c>
      <c r="U742" s="112">
        <v>1701</v>
      </c>
      <c r="V742" s="114" t="s">
        <v>82</v>
      </c>
      <c r="W742" s="114" t="s">
        <v>84</v>
      </c>
      <c r="X742" s="114" t="s">
        <v>84</v>
      </c>
      <c r="Y742" s="298" t="e">
        <f>'Matriz POA 2024-TRABAJO'!#REF!</f>
        <v>#REF!</v>
      </c>
      <c r="Z742" s="298" t="e">
        <f>'Matriz POA 2024-TRABAJO'!#REF!</f>
        <v>#REF!</v>
      </c>
      <c r="AA742" s="298" t="e">
        <f>'Matriz POA 2024-TRABAJO'!#REF!</f>
        <v>#REF!</v>
      </c>
      <c r="AB742" s="207"/>
      <c r="AC742" s="207">
        <v>40803.56</v>
      </c>
      <c r="AD742" s="207">
        <v>40803.56</v>
      </c>
      <c r="AE742" s="207">
        <v>40803.56</v>
      </c>
      <c r="AF742" s="207">
        <v>40803.56</v>
      </c>
      <c r="AG742" s="207">
        <v>40803.56</v>
      </c>
      <c r="AH742" s="207">
        <v>40803.56</v>
      </c>
      <c r="AI742" s="207">
        <v>0</v>
      </c>
      <c r="AJ742" s="207">
        <v>0</v>
      </c>
      <c r="AK742" s="207"/>
      <c r="AL742" s="207"/>
      <c r="AM742" s="207"/>
      <c r="AN742" s="207"/>
      <c r="AO742" s="224">
        <f t="shared" si="89"/>
        <v>244821.36</v>
      </c>
      <c r="AP742" s="224" t="e">
        <f t="shared" si="94"/>
        <v>#REF!</v>
      </c>
      <c r="AQ742" s="207"/>
      <c r="AR742" s="207"/>
      <c r="AS742" s="207"/>
      <c r="AT742" s="224" t="str">
        <f>IFERROR(VLOOKUP($A742,'Constancias POA'!$A$2:$DH$9993,17,FALSE),"")</f>
        <v/>
      </c>
      <c r="AU742" s="207" t="str">
        <f t="shared" si="95"/>
        <v/>
      </c>
      <c r="AV742" s="224" t="str">
        <f>IFERROR(VLOOKUP($A742,CP!$A$1:$U$7992,18,FALSE),"")</f>
        <v/>
      </c>
      <c r="AW742" s="224" t="str">
        <f>IFERROR(VLOOKUP($A742,CP!$A$1:$U$7992,19,FALSE),"")</f>
        <v/>
      </c>
      <c r="AX742" s="224" t="str">
        <f>IFERROR(VLOOKUP($A742,CP!$A$1:$U$7992,20,FALSE),"")</f>
        <v/>
      </c>
      <c r="AY742" s="207" t="str">
        <f>IFERROR(VLOOKUP($A742,CP!$A$1:$U$1,21,FALSE),"")</f>
        <v/>
      </c>
      <c r="AZ742" s="224" t="str">
        <f>IFERROR(VLOOKUP(A742,Devengado!$A$1:AJ1,35,FALSE),"")</f>
        <v/>
      </c>
      <c r="BA742" s="224" t="str">
        <f t="shared" si="90"/>
        <v/>
      </c>
      <c r="BB742" s="224" t="str">
        <f>IFERROR(AZ742/#REF!,"")</f>
        <v/>
      </c>
      <c r="BC742" s="224" t="str">
        <f>IFERROR(VLOOKUP($A742,Devengado!$A$1:$AI$1,22,FALSE),"")</f>
        <v/>
      </c>
      <c r="BD742" s="224" t="str">
        <f>IFERROR(VLOOKUP($A742,Devengado!$A$1:$AI$1,23,FALSE),"")</f>
        <v/>
      </c>
      <c r="BE742" s="224" t="str">
        <f>IFERROR(VLOOKUP($A742,Devengado!$A$1:$AI$1,24,FALSE),"")</f>
        <v/>
      </c>
      <c r="BF742" s="224" t="str">
        <f>IFERROR(VLOOKUP($A742,Devengado!$A$1:$AI$1,25,FALSE),"")</f>
        <v/>
      </c>
      <c r="BG742" s="224" t="str">
        <f>IFERROR(VLOOKUP($A742,Devengado!$A$1:$AI$1,26,FALSE),"")</f>
        <v/>
      </c>
      <c r="BH742" s="224" t="str">
        <f>IFERROR(VLOOKUP($A742,Devengado!$A$1:$AI$1,27,FALSE),"")</f>
        <v/>
      </c>
      <c r="BI742" s="224" t="str">
        <f>IFERROR(VLOOKUP($A742,Devengado!$A$1:$AI$1,28,FALSE),"")</f>
        <v/>
      </c>
      <c r="BJ742" s="224" t="str">
        <f>IFERROR(VLOOKUP($A742,Devengado!$A$1:$AI$1,29,FALSE),"")</f>
        <v/>
      </c>
      <c r="BK742" s="224" t="str">
        <f>IFERROR(VLOOKUP($A742,Devengado!$A$1:$AI$1,30,FALSE),"")</f>
        <v/>
      </c>
      <c r="BL742" s="224" t="str">
        <f>IFERROR(VLOOKUP($A742,Devengado!$A$1:$AI$1,31,FALSE),"")</f>
        <v/>
      </c>
      <c r="BM742" s="224" t="str">
        <f>IFERROR(VLOOKUP($A742,Devengado!$A$1:$AI$1,32,FALSE),"")</f>
        <v/>
      </c>
      <c r="BN742" s="224" t="str">
        <f>IFERROR(VLOOKUP($A742,Devengado!$A$1:$AI$1,33,FALSE),"")</f>
        <v/>
      </c>
      <c r="BO742" s="224">
        <f t="shared" si="91"/>
        <v>0</v>
      </c>
      <c r="BP742" s="224" t="str">
        <f t="shared" si="92"/>
        <v/>
      </c>
      <c r="BQ742" s="207"/>
      <c r="BR742" s="207" t="str">
        <f t="shared" si="93"/>
        <v>53</v>
      </c>
    </row>
    <row r="743" spans="1:70" s="225" customFormat="1" ht="25.5" customHeight="1">
      <c r="A743" s="207">
        <v>739</v>
      </c>
      <c r="B743" s="112" t="s">
        <v>73</v>
      </c>
      <c r="C743" s="112" t="s">
        <v>187</v>
      </c>
      <c r="D743" s="125" t="s">
        <v>515</v>
      </c>
      <c r="E743" s="125" t="s">
        <v>76</v>
      </c>
      <c r="F743" s="112" t="s">
        <v>77</v>
      </c>
      <c r="G743" s="112" t="s">
        <v>77</v>
      </c>
      <c r="H743" s="112" t="s">
        <v>77</v>
      </c>
      <c r="I743" s="112" t="s">
        <v>77</v>
      </c>
      <c r="J743" s="112" t="s">
        <v>77</v>
      </c>
      <c r="K743" s="112" t="s">
        <v>77</v>
      </c>
      <c r="L743" s="112" t="s">
        <v>85</v>
      </c>
      <c r="M743" s="207" t="s">
        <v>714</v>
      </c>
      <c r="N743" s="126">
        <v>9999</v>
      </c>
      <c r="O743" s="127" t="s">
        <v>80</v>
      </c>
      <c r="P743" s="127" t="s">
        <v>81</v>
      </c>
      <c r="Q743" s="127" t="s">
        <v>82</v>
      </c>
      <c r="R743" s="115" t="str">
        <f t="shared" si="88"/>
        <v>53</v>
      </c>
      <c r="S743" s="269">
        <v>530307</v>
      </c>
      <c r="T743" s="207" t="str">
        <f>VLOOKUP(S743,ITEM!$C$1:$D$156,2,FALSE)</f>
        <v>Atención a Delegados Extranjeros y Nacionales, Deportistas, Entrenadores y Cuerpo Técnico que Representen al País</v>
      </c>
      <c r="U743" s="112">
        <v>1701</v>
      </c>
      <c r="V743" s="114" t="s">
        <v>82</v>
      </c>
      <c r="W743" s="114" t="s">
        <v>84</v>
      </c>
      <c r="X743" s="114" t="s">
        <v>84</v>
      </c>
      <c r="Y743" s="298" t="e">
        <f>'Matriz POA 2024-TRABAJO'!#REF!</f>
        <v>#REF!</v>
      </c>
      <c r="Z743" s="298" t="e">
        <f>'Matriz POA 2024-TRABAJO'!#REF!</f>
        <v>#REF!</v>
      </c>
      <c r="AA743" s="298" t="e">
        <f>'Matriz POA 2024-TRABAJO'!#REF!</f>
        <v>#REF!</v>
      </c>
      <c r="AB743" s="207"/>
      <c r="AC743" s="207">
        <v>100</v>
      </c>
      <c r="AD743" s="207">
        <v>100</v>
      </c>
      <c r="AE743" s="207"/>
      <c r="AF743" s="207">
        <v>100</v>
      </c>
      <c r="AG743" s="207"/>
      <c r="AH743" s="207">
        <v>100</v>
      </c>
      <c r="AI743" s="207"/>
      <c r="AJ743" s="207">
        <v>100</v>
      </c>
      <c r="AK743" s="207"/>
      <c r="AL743" s="207">
        <v>100</v>
      </c>
      <c r="AM743" s="207"/>
      <c r="AN743" s="207"/>
      <c r="AO743" s="224">
        <f t="shared" si="89"/>
        <v>600</v>
      </c>
      <c r="AP743" s="224" t="e">
        <f t="shared" si="94"/>
        <v>#REF!</v>
      </c>
      <c r="AQ743" s="207"/>
      <c r="AR743" s="207"/>
      <c r="AS743" s="207"/>
      <c r="AT743" s="224" t="str">
        <f>IFERROR(VLOOKUP($A743,'Constancias POA'!$A$2:$DH$9993,17,FALSE),"")</f>
        <v/>
      </c>
      <c r="AU743" s="207" t="str">
        <f t="shared" si="95"/>
        <v/>
      </c>
      <c r="AV743" s="224" t="str">
        <f>IFERROR(VLOOKUP($A743,CP!$A$1:$U$7992,18,FALSE),"")</f>
        <v/>
      </c>
      <c r="AW743" s="224" t="str">
        <f>IFERROR(VLOOKUP($A743,CP!$A$1:$U$7992,19,FALSE),"")</f>
        <v/>
      </c>
      <c r="AX743" s="224" t="str">
        <f>IFERROR(VLOOKUP($A743,CP!$A$1:$U$7992,20,FALSE),"")</f>
        <v/>
      </c>
      <c r="AY743" s="207" t="str">
        <f>IFERROR(VLOOKUP($A743,CP!$A$1:$U$1,21,FALSE),"")</f>
        <v/>
      </c>
      <c r="AZ743" s="224" t="str">
        <f>IFERROR(VLOOKUP(A743,Devengado!$A$1:AJ1,35,FALSE),"")</f>
        <v/>
      </c>
      <c r="BA743" s="224" t="str">
        <f t="shared" si="90"/>
        <v/>
      </c>
      <c r="BB743" s="224" t="str">
        <f>IFERROR(AZ743/#REF!,"")</f>
        <v/>
      </c>
      <c r="BC743" s="224" t="str">
        <f>IFERROR(VLOOKUP($A743,Devengado!$A$1:$AI$1,22,FALSE),"")</f>
        <v/>
      </c>
      <c r="BD743" s="224" t="str">
        <f>IFERROR(VLOOKUP($A743,Devengado!$A$1:$AI$1,23,FALSE),"")</f>
        <v/>
      </c>
      <c r="BE743" s="224" t="str">
        <f>IFERROR(VLOOKUP($A743,Devengado!$A$1:$AI$1,24,FALSE),"")</f>
        <v/>
      </c>
      <c r="BF743" s="224" t="str">
        <f>IFERROR(VLOOKUP($A743,Devengado!$A$1:$AI$1,25,FALSE),"")</f>
        <v/>
      </c>
      <c r="BG743" s="224" t="str">
        <f>IFERROR(VLOOKUP($A743,Devengado!$A$1:$AI$1,26,FALSE),"")</f>
        <v/>
      </c>
      <c r="BH743" s="224" t="str">
        <f>IFERROR(VLOOKUP($A743,Devengado!$A$1:$AI$1,27,FALSE),"")</f>
        <v/>
      </c>
      <c r="BI743" s="224" t="str">
        <f>IFERROR(VLOOKUP($A743,Devengado!$A$1:$AI$1,28,FALSE),"")</f>
        <v/>
      </c>
      <c r="BJ743" s="224" t="str">
        <f>IFERROR(VLOOKUP($A743,Devengado!$A$1:$AI$1,29,FALSE),"")</f>
        <v/>
      </c>
      <c r="BK743" s="224" t="str">
        <f>IFERROR(VLOOKUP($A743,Devengado!$A$1:$AI$1,30,FALSE),"")</f>
        <v/>
      </c>
      <c r="BL743" s="224" t="str">
        <f>IFERROR(VLOOKUP($A743,Devengado!$A$1:$AI$1,31,FALSE),"")</f>
        <v/>
      </c>
      <c r="BM743" s="224" t="str">
        <f>IFERROR(VLOOKUP($A743,Devengado!$A$1:$AI$1,32,FALSE),"")</f>
        <v/>
      </c>
      <c r="BN743" s="224" t="str">
        <f>IFERROR(VLOOKUP($A743,Devengado!$A$1:$AI$1,33,FALSE),"")</f>
        <v/>
      </c>
      <c r="BO743" s="224">
        <f t="shared" si="91"/>
        <v>0</v>
      </c>
      <c r="BP743" s="224" t="str">
        <f t="shared" si="92"/>
        <v/>
      </c>
      <c r="BQ743" s="207"/>
      <c r="BR743" s="207" t="str">
        <f t="shared" si="93"/>
        <v>53</v>
      </c>
    </row>
    <row r="744" spans="1:70" s="225" customFormat="1" ht="25.5" customHeight="1">
      <c r="A744" s="207">
        <v>740</v>
      </c>
      <c r="B744" s="112" t="s">
        <v>73</v>
      </c>
      <c r="C744" s="112" t="s">
        <v>187</v>
      </c>
      <c r="D744" s="125" t="s">
        <v>515</v>
      </c>
      <c r="E744" s="125" t="s">
        <v>76</v>
      </c>
      <c r="F744" s="112" t="s">
        <v>77</v>
      </c>
      <c r="G744" s="112" t="s">
        <v>77</v>
      </c>
      <c r="H744" s="112" t="s">
        <v>77</v>
      </c>
      <c r="I744" s="112" t="s">
        <v>77</v>
      </c>
      <c r="J744" s="112" t="s">
        <v>77</v>
      </c>
      <c r="K744" s="112" t="s">
        <v>77</v>
      </c>
      <c r="L744" s="112" t="s">
        <v>85</v>
      </c>
      <c r="M744" s="207" t="s">
        <v>715</v>
      </c>
      <c r="N744" s="126">
        <v>9999</v>
      </c>
      <c r="O744" s="127" t="s">
        <v>80</v>
      </c>
      <c r="P744" s="127" t="s">
        <v>81</v>
      </c>
      <c r="Q744" s="127" t="s">
        <v>82</v>
      </c>
      <c r="R744" s="115" t="str">
        <f t="shared" si="88"/>
        <v>53</v>
      </c>
      <c r="S744" s="269">
        <v>530307</v>
      </c>
      <c r="T744" s="207" t="str">
        <f>VLOOKUP(S744,ITEM!$C$1:$D$156,2,FALSE)</f>
        <v>Atención a Delegados Extranjeros y Nacionales, Deportistas, Entrenadores y Cuerpo Técnico que Representen al País</v>
      </c>
      <c r="U744" s="112">
        <v>1701</v>
      </c>
      <c r="V744" s="114" t="s">
        <v>82</v>
      </c>
      <c r="W744" s="114" t="s">
        <v>84</v>
      </c>
      <c r="X744" s="114" t="s">
        <v>84</v>
      </c>
      <c r="Y744" s="298" t="e">
        <f>'Matriz POA 2024-TRABAJO'!#REF!</f>
        <v>#REF!</v>
      </c>
      <c r="Z744" s="298" t="e">
        <f>'Matriz POA 2024-TRABAJO'!#REF!</f>
        <v>#REF!</v>
      </c>
      <c r="AA744" s="298" t="e">
        <f>'Matriz POA 2024-TRABAJO'!#REF!</f>
        <v>#REF!</v>
      </c>
      <c r="AB744" s="207"/>
      <c r="AC744" s="207">
        <v>100</v>
      </c>
      <c r="AD744" s="207"/>
      <c r="AE744" s="207"/>
      <c r="AF744" s="207">
        <v>100</v>
      </c>
      <c r="AG744" s="207"/>
      <c r="AH744" s="207">
        <v>100</v>
      </c>
      <c r="AI744" s="207"/>
      <c r="AJ744" s="207">
        <v>100</v>
      </c>
      <c r="AK744" s="207"/>
      <c r="AL744" s="207">
        <v>100</v>
      </c>
      <c r="AM744" s="207"/>
      <c r="AN744" s="207"/>
      <c r="AO744" s="224">
        <f t="shared" si="89"/>
        <v>500</v>
      </c>
      <c r="AP744" s="224" t="e">
        <f t="shared" si="94"/>
        <v>#REF!</v>
      </c>
      <c r="AQ744" s="207"/>
      <c r="AR744" s="207"/>
      <c r="AS744" s="207"/>
      <c r="AT744" s="224" t="str">
        <f>IFERROR(VLOOKUP($A744,'Constancias POA'!$A$2:$DH$9993,17,FALSE),"")</f>
        <v/>
      </c>
      <c r="AU744" s="207" t="str">
        <f t="shared" si="95"/>
        <v/>
      </c>
      <c r="AV744" s="224" t="str">
        <f>IFERROR(VLOOKUP($A744,CP!$A$1:$U$7992,18,FALSE),"")</f>
        <v/>
      </c>
      <c r="AW744" s="224" t="str">
        <f>IFERROR(VLOOKUP($A744,CP!$A$1:$U$7992,19,FALSE),"")</f>
        <v/>
      </c>
      <c r="AX744" s="224" t="str">
        <f>IFERROR(VLOOKUP($A744,CP!$A$1:$U$7992,20,FALSE),"")</f>
        <v/>
      </c>
      <c r="AY744" s="207" t="str">
        <f>IFERROR(VLOOKUP($A744,CP!$A$1:$U$1,21,FALSE),"")</f>
        <v/>
      </c>
      <c r="AZ744" s="224" t="str">
        <f>IFERROR(VLOOKUP(A744,Devengado!$A$1:AJ1,35,FALSE),"")</f>
        <v/>
      </c>
      <c r="BA744" s="224" t="str">
        <f t="shared" si="90"/>
        <v/>
      </c>
      <c r="BB744" s="224" t="str">
        <f>IFERROR(AZ744/#REF!,"")</f>
        <v/>
      </c>
      <c r="BC744" s="224" t="str">
        <f>IFERROR(VLOOKUP($A744,Devengado!$A$1:$AI$1,22,FALSE),"")</f>
        <v/>
      </c>
      <c r="BD744" s="224" t="str">
        <f>IFERROR(VLOOKUP($A744,Devengado!$A$1:$AI$1,23,FALSE),"")</f>
        <v/>
      </c>
      <c r="BE744" s="224" t="str">
        <f>IFERROR(VLOOKUP($A744,Devengado!$A$1:$AI$1,24,FALSE),"")</f>
        <v/>
      </c>
      <c r="BF744" s="224" t="str">
        <f>IFERROR(VLOOKUP($A744,Devengado!$A$1:$AI$1,25,FALSE),"")</f>
        <v/>
      </c>
      <c r="BG744" s="224" t="str">
        <f>IFERROR(VLOOKUP($A744,Devengado!$A$1:$AI$1,26,FALSE),"")</f>
        <v/>
      </c>
      <c r="BH744" s="224" t="str">
        <f>IFERROR(VLOOKUP($A744,Devengado!$A$1:$AI$1,27,FALSE),"")</f>
        <v/>
      </c>
      <c r="BI744" s="224" t="str">
        <f>IFERROR(VLOOKUP($A744,Devengado!$A$1:$AI$1,28,FALSE),"")</f>
        <v/>
      </c>
      <c r="BJ744" s="224" t="str">
        <f>IFERROR(VLOOKUP($A744,Devengado!$A$1:$AI$1,29,FALSE),"")</f>
        <v/>
      </c>
      <c r="BK744" s="224" t="str">
        <f>IFERROR(VLOOKUP($A744,Devengado!$A$1:$AI$1,30,FALSE),"")</f>
        <v/>
      </c>
      <c r="BL744" s="224" t="str">
        <f>IFERROR(VLOOKUP($A744,Devengado!$A$1:$AI$1,31,FALSE),"")</f>
        <v/>
      </c>
      <c r="BM744" s="224" t="str">
        <f>IFERROR(VLOOKUP($A744,Devengado!$A$1:$AI$1,32,FALSE),"")</f>
        <v/>
      </c>
      <c r="BN744" s="224" t="str">
        <f>IFERROR(VLOOKUP($A744,Devengado!$A$1:$AI$1,33,FALSE),"")</f>
        <v/>
      </c>
      <c r="BO744" s="224">
        <f t="shared" si="91"/>
        <v>0</v>
      </c>
      <c r="BP744" s="224" t="str">
        <f t="shared" si="92"/>
        <v/>
      </c>
      <c r="BQ744" s="207"/>
      <c r="BR744" s="207" t="str">
        <f t="shared" si="93"/>
        <v>53</v>
      </c>
    </row>
    <row r="745" spans="1:70" s="225" customFormat="1" ht="15.75" customHeight="1">
      <c r="A745" s="207">
        <v>741</v>
      </c>
      <c r="B745" s="207" t="s">
        <v>429</v>
      </c>
      <c r="C745" s="207" t="s">
        <v>77</v>
      </c>
      <c r="D745" s="207" t="s">
        <v>77</v>
      </c>
      <c r="E745" s="207" t="s">
        <v>76</v>
      </c>
      <c r="F745" s="207" t="s">
        <v>77</v>
      </c>
      <c r="G745" s="207" t="s">
        <v>77</v>
      </c>
      <c r="H745" s="207" t="s">
        <v>77</v>
      </c>
      <c r="I745" s="207" t="s">
        <v>77</v>
      </c>
      <c r="J745" s="207" t="s">
        <v>77</v>
      </c>
      <c r="K745" s="207" t="s">
        <v>77</v>
      </c>
      <c r="L745" s="207" t="s">
        <v>85</v>
      </c>
      <c r="M745" s="207" t="s">
        <v>391</v>
      </c>
      <c r="N745" s="208" t="s">
        <v>430</v>
      </c>
      <c r="O745" s="208" t="s">
        <v>111</v>
      </c>
      <c r="P745" s="208" t="s">
        <v>81</v>
      </c>
      <c r="Q745" s="208" t="s">
        <v>112</v>
      </c>
      <c r="R745" s="115" t="str">
        <f t="shared" si="88"/>
        <v>99</v>
      </c>
      <c r="S745" s="269">
        <v>990101</v>
      </c>
      <c r="T745" s="207" t="e">
        <f>VLOOKUP(S745,ITEM!$C$1:$D$156,2,FALSE)</f>
        <v>#N/A</v>
      </c>
      <c r="U745" s="207">
        <v>1309</v>
      </c>
      <c r="V745" s="207" t="s">
        <v>82</v>
      </c>
      <c r="W745" s="207" t="s">
        <v>84</v>
      </c>
      <c r="X745" s="207" t="s">
        <v>84</v>
      </c>
      <c r="Y745" s="298">
        <f>'Matriz POA 2024-TRABAJO'!AS95</f>
        <v>5560.46</v>
      </c>
      <c r="Z745" s="298">
        <f>'Matriz POA 2024-TRABAJO'!AT95</f>
        <v>0</v>
      </c>
      <c r="AA745" s="298">
        <f>'Matriz POA 2024-TRABAJO'!AU95</f>
        <v>5560.46</v>
      </c>
      <c r="AB745" s="294">
        <v>463.14</v>
      </c>
      <c r="AC745" s="294">
        <v>463.14</v>
      </c>
      <c r="AD745" s="294">
        <v>463.14</v>
      </c>
      <c r="AE745" s="294">
        <v>463.14</v>
      </c>
      <c r="AF745" s="294">
        <v>463.14</v>
      </c>
      <c r="AG745" s="294">
        <v>463.14</v>
      </c>
      <c r="AH745" s="294">
        <v>463.14</v>
      </c>
      <c r="AI745" s="294">
        <v>463.14</v>
      </c>
      <c r="AJ745" s="294">
        <v>463.14</v>
      </c>
      <c r="AK745" s="294">
        <v>463.14</v>
      </c>
      <c r="AL745" s="294">
        <v>463.14</v>
      </c>
      <c r="AM745" s="294">
        <v>464.02</v>
      </c>
      <c r="AN745" s="207"/>
      <c r="AO745" s="224">
        <f t="shared" si="89"/>
        <v>5558.5599999999995</v>
      </c>
      <c r="AP745" s="224">
        <f>+AO745-AA745</f>
        <v>-1.9000000000005457</v>
      </c>
      <c r="AQ745" s="207"/>
      <c r="AR745" s="207"/>
      <c r="AS745" s="207"/>
      <c r="AT745" s="224">
        <f>IFERROR(VLOOKUP($A745,'Constancias POA'!$A$2:$DH$9993,17,FALSE),"")</f>
        <v>5560.46</v>
      </c>
      <c r="AU745" s="207">
        <f t="shared" si="95"/>
        <v>0</v>
      </c>
      <c r="AV745" s="224">
        <f>IFERROR(VLOOKUP($A745,CP!$A$1:$U$7992,18,FALSE),"")</f>
        <v>0</v>
      </c>
      <c r="AW745" s="224">
        <f>IFERROR(VLOOKUP($A745,CP!$A$1:$U$7992,19,FALSE),"")</f>
        <v>5560.46</v>
      </c>
      <c r="AX745" s="224">
        <f>IFERROR(VLOOKUP($A745,CP!$A$1:$U$7992,20,FALSE),"")</f>
        <v>0</v>
      </c>
      <c r="AY745" s="207" t="str">
        <f>IFERROR(VLOOKUP($A745,CP!$A$1:$U$1,21,FALSE),"")</f>
        <v/>
      </c>
      <c r="AZ745" s="224" t="str">
        <f>IFERROR(VLOOKUP(A745,Devengado!$A$1:AJ1,35,FALSE),"")</f>
        <v/>
      </c>
      <c r="BA745" s="224" t="str">
        <f t="shared" si="90"/>
        <v/>
      </c>
      <c r="BB745" s="224" t="str">
        <f>IFERROR(AZ745/#REF!,"")</f>
        <v/>
      </c>
      <c r="BC745" s="224" t="str">
        <f>IFERROR(VLOOKUP($A745,Devengado!$A$1:$AI$1,22,FALSE),"")</f>
        <v/>
      </c>
      <c r="BD745" s="224" t="str">
        <f>IFERROR(VLOOKUP($A745,Devengado!$A$1:$AI$1,23,FALSE),"")</f>
        <v/>
      </c>
      <c r="BE745" s="224" t="str">
        <f>IFERROR(VLOOKUP($A745,Devengado!$A$1:$AI$1,24,FALSE),"")</f>
        <v/>
      </c>
      <c r="BF745" s="224" t="str">
        <f>IFERROR(VLOOKUP($A745,Devengado!$A$1:$AI$1,25,FALSE),"")</f>
        <v/>
      </c>
      <c r="BG745" s="224" t="str">
        <f>IFERROR(VLOOKUP($A745,Devengado!$A$1:$AI$1,26,FALSE),"")</f>
        <v/>
      </c>
      <c r="BH745" s="224" t="str">
        <f>IFERROR(VLOOKUP($A745,Devengado!$A$1:$AI$1,27,FALSE),"")</f>
        <v/>
      </c>
      <c r="BI745" s="224" t="str">
        <f>IFERROR(VLOOKUP($A745,Devengado!$A$1:$AI$1,28,FALSE),"")</f>
        <v/>
      </c>
      <c r="BJ745" s="224" t="str">
        <f>IFERROR(VLOOKUP($A745,Devengado!$A$1:$AI$1,29,FALSE),"")</f>
        <v/>
      </c>
      <c r="BK745" s="224" t="str">
        <f>IFERROR(VLOOKUP($A745,Devengado!$A$1:$AI$1,30,FALSE),"")</f>
        <v/>
      </c>
      <c r="BL745" s="224" t="str">
        <f>IFERROR(VLOOKUP($A745,Devengado!$A$1:$AI$1,31,FALSE),"")</f>
        <v/>
      </c>
      <c r="BM745" s="224" t="str">
        <f>IFERROR(VLOOKUP($A745,Devengado!$A$1:$AI$1,32,FALSE),"")</f>
        <v/>
      </c>
      <c r="BN745" s="224" t="str">
        <f>IFERROR(VLOOKUP($A745,Devengado!$A$1:$AI$1,33,FALSE),"")</f>
        <v/>
      </c>
      <c r="BO745" s="224">
        <f t="shared" si="91"/>
        <v>0</v>
      </c>
      <c r="BP745" s="224" t="str">
        <f t="shared" si="92"/>
        <v/>
      </c>
      <c r="BQ745" s="207"/>
      <c r="BR745" s="207" t="str">
        <f t="shared" si="93"/>
        <v>99</v>
      </c>
    </row>
    <row r="746" spans="1:70" s="225" customFormat="1" ht="25.5" customHeight="1">
      <c r="A746" s="207">
        <v>742</v>
      </c>
      <c r="B746" s="112" t="s">
        <v>287</v>
      </c>
      <c r="C746" s="112" t="s">
        <v>77</v>
      </c>
      <c r="D746" s="112" t="s">
        <v>77</v>
      </c>
      <c r="E746" s="112" t="s">
        <v>76</v>
      </c>
      <c r="F746" s="112" t="s">
        <v>77</v>
      </c>
      <c r="G746" s="112" t="s">
        <v>77</v>
      </c>
      <c r="H746" s="112" t="s">
        <v>77</v>
      </c>
      <c r="I746" s="112" t="s">
        <v>77</v>
      </c>
      <c r="J746" s="112" t="s">
        <v>77</v>
      </c>
      <c r="K746" s="112" t="s">
        <v>77</v>
      </c>
      <c r="L746" s="112" t="s">
        <v>85</v>
      </c>
      <c r="M746" s="207" t="s">
        <v>716</v>
      </c>
      <c r="N746" s="114" t="s">
        <v>289</v>
      </c>
      <c r="O746" s="123">
        <v>80</v>
      </c>
      <c r="P746" s="114" t="s">
        <v>81</v>
      </c>
      <c r="Q746" s="114" t="s">
        <v>112</v>
      </c>
      <c r="R746" s="115" t="str">
        <f t="shared" si="88"/>
        <v>53</v>
      </c>
      <c r="S746" s="269">
        <v>530205</v>
      </c>
      <c r="T746" s="207" t="str">
        <f>VLOOKUP(S746,ITEM!$C$1:$D$156,2,FALSE)</f>
        <v>Espectáculos Culturales y Sociales</v>
      </c>
      <c r="U746" s="207">
        <v>901</v>
      </c>
      <c r="V746" s="207" t="s">
        <v>82</v>
      </c>
      <c r="W746" s="207" t="s">
        <v>84</v>
      </c>
      <c r="X746" s="207" t="s">
        <v>84</v>
      </c>
      <c r="Y746" s="298" t="e">
        <f>'Matriz POA 2024-TRABAJO'!#REF!</f>
        <v>#REF!</v>
      </c>
      <c r="Z746" s="298" t="e">
        <f>'Matriz POA 2024-TRABAJO'!#REF!</f>
        <v>#REF!</v>
      </c>
      <c r="AA746" s="298" t="e">
        <f>'Matriz POA 2024-TRABAJO'!#REF!</f>
        <v>#REF!</v>
      </c>
      <c r="AB746" s="207">
        <v>0</v>
      </c>
      <c r="AC746" s="207">
        <v>6018.68</v>
      </c>
      <c r="AD746" s="207">
        <v>6018.68</v>
      </c>
      <c r="AE746" s="207">
        <v>6018.68</v>
      </c>
      <c r="AF746" s="207">
        <v>6018.68</v>
      </c>
      <c r="AG746" s="207">
        <v>6018.68</v>
      </c>
      <c r="AH746" s="207">
        <v>6018.68</v>
      </c>
      <c r="AI746" s="207">
        <v>6018.68</v>
      </c>
      <c r="AJ746" s="207">
        <v>6018.68</v>
      </c>
      <c r="AK746" s="207">
        <v>6018.69</v>
      </c>
      <c r="AL746" s="207">
        <v>6018.69</v>
      </c>
      <c r="AM746" s="207">
        <v>6018.69</v>
      </c>
      <c r="AN746" s="207"/>
      <c r="AO746" s="224">
        <f t="shared" si="89"/>
        <v>66205.510000000009</v>
      </c>
      <c r="AP746" s="224" t="e">
        <f t="shared" si="94"/>
        <v>#REF!</v>
      </c>
      <c r="AQ746" s="207"/>
      <c r="AR746" s="207"/>
      <c r="AS746" s="207"/>
      <c r="AT746" s="224" t="str">
        <f>IFERROR(VLOOKUP($A746,'Constancias POA'!$A$2:$DH$9993,17,FALSE),"")</f>
        <v/>
      </c>
      <c r="AU746" s="207" t="str">
        <f t="shared" si="95"/>
        <v/>
      </c>
      <c r="AV746" s="224" t="str">
        <f>IFERROR(VLOOKUP($A746,CP!$A$1:$U$7992,18,FALSE),"")</f>
        <v/>
      </c>
      <c r="AW746" s="224" t="str">
        <f>IFERROR(VLOOKUP($A746,CP!$A$1:$U$7992,19,FALSE),"")</f>
        <v/>
      </c>
      <c r="AX746" s="224" t="str">
        <f>IFERROR(VLOOKUP($A746,CP!$A$1:$U$7992,20,FALSE),"")</f>
        <v/>
      </c>
      <c r="AY746" s="207" t="str">
        <f>IFERROR(VLOOKUP($A746,CP!$A$1:$U$1,21,FALSE),"")</f>
        <v/>
      </c>
      <c r="AZ746" s="224" t="str">
        <f>IFERROR(VLOOKUP(A746,Devengado!$A$1:AJ1,35,FALSE),"")</f>
        <v/>
      </c>
      <c r="BA746" s="224" t="str">
        <f t="shared" si="90"/>
        <v/>
      </c>
      <c r="BB746" s="224" t="str">
        <f>IFERROR(AZ746/#REF!,"")</f>
        <v/>
      </c>
      <c r="BC746" s="224" t="str">
        <f>IFERROR(VLOOKUP($A746,Devengado!$A$1:$AI$1,22,FALSE),"")</f>
        <v/>
      </c>
      <c r="BD746" s="224" t="str">
        <f>IFERROR(VLOOKUP($A746,Devengado!$A$1:$AI$1,23,FALSE),"")</f>
        <v/>
      </c>
      <c r="BE746" s="224" t="str">
        <f>IFERROR(VLOOKUP($A746,Devengado!$A$1:$AI$1,24,FALSE),"")</f>
        <v/>
      </c>
      <c r="BF746" s="224" t="str">
        <f>IFERROR(VLOOKUP($A746,Devengado!$A$1:$AI$1,25,FALSE),"")</f>
        <v/>
      </c>
      <c r="BG746" s="224" t="str">
        <f>IFERROR(VLOOKUP($A746,Devengado!$A$1:$AI$1,26,FALSE),"")</f>
        <v/>
      </c>
      <c r="BH746" s="224" t="str">
        <f>IFERROR(VLOOKUP($A746,Devengado!$A$1:$AI$1,27,FALSE),"")</f>
        <v/>
      </c>
      <c r="BI746" s="224" t="str">
        <f>IFERROR(VLOOKUP($A746,Devengado!$A$1:$AI$1,28,FALSE),"")</f>
        <v/>
      </c>
      <c r="BJ746" s="224" t="str">
        <f>IFERROR(VLOOKUP($A746,Devengado!$A$1:$AI$1,29,FALSE),"")</f>
        <v/>
      </c>
      <c r="BK746" s="224" t="str">
        <f>IFERROR(VLOOKUP($A746,Devengado!$A$1:$AI$1,30,FALSE),"")</f>
        <v/>
      </c>
      <c r="BL746" s="224" t="str">
        <f>IFERROR(VLOOKUP($A746,Devengado!$A$1:$AI$1,31,FALSE),"")</f>
        <v/>
      </c>
      <c r="BM746" s="224" t="str">
        <f>IFERROR(VLOOKUP($A746,Devengado!$A$1:$AI$1,32,FALSE),"")</f>
        <v/>
      </c>
      <c r="BN746" s="224" t="str">
        <f>IFERROR(VLOOKUP($A746,Devengado!$A$1:$AI$1,33,FALSE),"")</f>
        <v/>
      </c>
      <c r="BO746" s="224">
        <f t="shared" si="91"/>
        <v>0</v>
      </c>
      <c r="BP746" s="224" t="str">
        <f t="shared" si="92"/>
        <v/>
      </c>
      <c r="BQ746" s="207"/>
      <c r="BR746" s="207" t="str">
        <f t="shared" si="93"/>
        <v>53</v>
      </c>
    </row>
    <row r="747" spans="1:70" s="225" customFormat="1" ht="25.5" customHeight="1">
      <c r="A747" s="207">
        <v>743</v>
      </c>
      <c r="B747" s="112" t="s">
        <v>287</v>
      </c>
      <c r="C747" s="112" t="s">
        <v>77</v>
      </c>
      <c r="D747" s="112" t="s">
        <v>77</v>
      </c>
      <c r="E747" s="112" t="s">
        <v>76</v>
      </c>
      <c r="F747" s="112" t="s">
        <v>77</v>
      </c>
      <c r="G747" s="112" t="s">
        <v>77</v>
      </c>
      <c r="H747" s="112" t="s">
        <v>77</v>
      </c>
      <c r="I747" s="112" t="s">
        <v>77</v>
      </c>
      <c r="J747" s="112" t="s">
        <v>77</v>
      </c>
      <c r="K747" s="112" t="s">
        <v>77</v>
      </c>
      <c r="L747" s="112" t="s">
        <v>85</v>
      </c>
      <c r="M747" s="207" t="s">
        <v>717</v>
      </c>
      <c r="N747" s="114" t="s">
        <v>289</v>
      </c>
      <c r="O747" s="123">
        <v>80</v>
      </c>
      <c r="P747" s="114" t="s">
        <v>81</v>
      </c>
      <c r="Q747" s="114" t="s">
        <v>112</v>
      </c>
      <c r="R747" s="115" t="str">
        <f t="shared" si="88"/>
        <v>53</v>
      </c>
      <c r="S747" s="269">
        <v>530606</v>
      </c>
      <c r="T747" s="207" t="str">
        <f>VLOOKUP(S747,ITEM!$C$1:$D$156,2,FALSE)</f>
        <v>Honorarios por Contratos Civiles de Servicios</v>
      </c>
      <c r="U747" s="207">
        <v>901</v>
      </c>
      <c r="V747" s="207" t="s">
        <v>82</v>
      </c>
      <c r="W747" s="207" t="s">
        <v>84</v>
      </c>
      <c r="X747" s="207" t="s">
        <v>84</v>
      </c>
      <c r="Y747" s="298" t="e">
        <f>'Matriz POA 2024-TRABAJO'!#REF!</f>
        <v>#REF!</v>
      </c>
      <c r="Z747" s="298" t="e">
        <f>'Matriz POA 2024-TRABAJO'!#REF!</f>
        <v>#REF!</v>
      </c>
      <c r="AA747" s="298" t="e">
        <f>'Matriz POA 2024-TRABAJO'!#REF!</f>
        <v>#REF!</v>
      </c>
      <c r="AB747" s="207">
        <v>0</v>
      </c>
      <c r="AC747" s="207">
        <v>1212</v>
      </c>
      <c r="AD747" s="207">
        <v>1212</v>
      </c>
      <c r="AE747" s="207">
        <v>1212</v>
      </c>
      <c r="AF747" s="207">
        <v>1212</v>
      </c>
      <c r="AG747" s="207">
        <v>1212</v>
      </c>
      <c r="AH747" s="207">
        <v>1212</v>
      </c>
      <c r="AI747" s="207">
        <v>1212</v>
      </c>
      <c r="AJ747" s="207">
        <v>1212</v>
      </c>
      <c r="AK747" s="207">
        <v>1212</v>
      </c>
      <c r="AL747" s="207">
        <v>1212</v>
      </c>
      <c r="AM747" s="207"/>
      <c r="AN747" s="207"/>
      <c r="AO747" s="224">
        <f t="shared" si="89"/>
        <v>12120</v>
      </c>
      <c r="AP747" s="224" t="e">
        <f t="shared" si="94"/>
        <v>#REF!</v>
      </c>
      <c r="AQ747" s="207"/>
      <c r="AR747" s="207"/>
      <c r="AS747" s="207"/>
      <c r="AT747" s="224" t="str">
        <f>IFERROR(VLOOKUP($A747,'Constancias POA'!$A$2:$DH$9993,17,FALSE),"")</f>
        <v/>
      </c>
      <c r="AU747" s="207" t="str">
        <f t="shared" si="95"/>
        <v/>
      </c>
      <c r="AV747" s="224" t="str">
        <f>IFERROR(VLOOKUP($A747,CP!$A$1:$U$7992,18,FALSE),"")</f>
        <v/>
      </c>
      <c r="AW747" s="224" t="str">
        <f>IFERROR(VLOOKUP($A747,CP!$A$1:$U$7992,19,FALSE),"")</f>
        <v/>
      </c>
      <c r="AX747" s="224" t="str">
        <f>IFERROR(VLOOKUP($A747,CP!$A$1:$U$7992,20,FALSE),"")</f>
        <v/>
      </c>
      <c r="AY747" s="207" t="str">
        <f>IFERROR(VLOOKUP($A747,CP!$A$1:$U$1,21,FALSE),"")</f>
        <v/>
      </c>
      <c r="AZ747" s="224" t="str">
        <f>IFERROR(VLOOKUP(A747,Devengado!$A$1:AJ1,35,FALSE),"")</f>
        <v/>
      </c>
      <c r="BA747" s="224" t="str">
        <f t="shared" si="90"/>
        <v/>
      </c>
      <c r="BB747" s="224" t="str">
        <f>IFERROR(AZ747/#REF!,"")</f>
        <v/>
      </c>
      <c r="BC747" s="224" t="str">
        <f>IFERROR(VLOOKUP($A747,Devengado!$A$1:$AI$1,22,FALSE),"")</f>
        <v/>
      </c>
      <c r="BD747" s="224" t="str">
        <f>IFERROR(VLOOKUP($A747,Devengado!$A$1:$AI$1,23,FALSE),"")</f>
        <v/>
      </c>
      <c r="BE747" s="224" t="str">
        <f>IFERROR(VLOOKUP($A747,Devengado!$A$1:$AI$1,24,FALSE),"")</f>
        <v/>
      </c>
      <c r="BF747" s="224" t="str">
        <f>IFERROR(VLOOKUP($A747,Devengado!$A$1:$AI$1,25,FALSE),"")</f>
        <v/>
      </c>
      <c r="BG747" s="224" t="str">
        <f>IFERROR(VLOOKUP($A747,Devengado!$A$1:$AI$1,26,FALSE),"")</f>
        <v/>
      </c>
      <c r="BH747" s="224" t="str">
        <f>IFERROR(VLOOKUP($A747,Devengado!$A$1:$AI$1,27,FALSE),"")</f>
        <v/>
      </c>
      <c r="BI747" s="224" t="str">
        <f>IFERROR(VLOOKUP($A747,Devengado!$A$1:$AI$1,28,FALSE),"")</f>
        <v/>
      </c>
      <c r="BJ747" s="224" t="str">
        <f>IFERROR(VLOOKUP($A747,Devengado!$A$1:$AI$1,29,FALSE),"")</f>
        <v/>
      </c>
      <c r="BK747" s="224" t="str">
        <f>IFERROR(VLOOKUP($A747,Devengado!$A$1:$AI$1,30,FALSE),"")</f>
        <v/>
      </c>
      <c r="BL747" s="224" t="str">
        <f>IFERROR(VLOOKUP($A747,Devengado!$A$1:$AI$1,31,FALSE),"")</f>
        <v/>
      </c>
      <c r="BM747" s="224" t="str">
        <f>IFERROR(VLOOKUP($A747,Devengado!$A$1:$AI$1,32,FALSE),"")</f>
        <v/>
      </c>
      <c r="BN747" s="224" t="str">
        <f>IFERROR(VLOOKUP($A747,Devengado!$A$1:$AI$1,33,FALSE),"")</f>
        <v/>
      </c>
      <c r="BO747" s="224">
        <f t="shared" si="91"/>
        <v>0</v>
      </c>
      <c r="BP747" s="224" t="str">
        <f t="shared" si="92"/>
        <v/>
      </c>
      <c r="BQ747" s="207"/>
      <c r="BR747" s="207" t="str">
        <f t="shared" si="93"/>
        <v>53</v>
      </c>
    </row>
    <row r="748" spans="1:70" s="225" customFormat="1" ht="25.5" customHeight="1">
      <c r="A748" s="207">
        <v>744</v>
      </c>
      <c r="B748" s="112" t="s">
        <v>287</v>
      </c>
      <c r="C748" s="112" t="s">
        <v>77</v>
      </c>
      <c r="D748" s="112" t="s">
        <v>77</v>
      </c>
      <c r="E748" s="112" t="s">
        <v>76</v>
      </c>
      <c r="F748" s="112" t="s">
        <v>77</v>
      </c>
      <c r="G748" s="112" t="s">
        <v>77</v>
      </c>
      <c r="H748" s="112" t="s">
        <v>77</v>
      </c>
      <c r="I748" s="112" t="s">
        <v>77</v>
      </c>
      <c r="J748" s="112" t="s">
        <v>77</v>
      </c>
      <c r="K748" s="112" t="s">
        <v>77</v>
      </c>
      <c r="L748" s="112" t="s">
        <v>85</v>
      </c>
      <c r="M748" s="207" t="s">
        <v>718</v>
      </c>
      <c r="N748" s="114" t="s">
        <v>289</v>
      </c>
      <c r="O748" s="123">
        <v>80</v>
      </c>
      <c r="P748" s="114" t="s">
        <v>81</v>
      </c>
      <c r="Q748" s="114" t="s">
        <v>112</v>
      </c>
      <c r="R748" s="115" t="str">
        <f t="shared" si="88"/>
        <v>53</v>
      </c>
      <c r="S748" s="269">
        <v>530606</v>
      </c>
      <c r="T748" s="207" t="str">
        <f>VLOOKUP(S748,ITEM!$C$1:$D$156,2,FALSE)</f>
        <v>Honorarios por Contratos Civiles de Servicios</v>
      </c>
      <c r="U748" s="207">
        <v>901</v>
      </c>
      <c r="V748" s="207" t="s">
        <v>82</v>
      </c>
      <c r="W748" s="207" t="s">
        <v>84</v>
      </c>
      <c r="X748" s="207" t="s">
        <v>84</v>
      </c>
      <c r="Y748" s="298" t="e">
        <f>'Matriz POA 2024-TRABAJO'!#REF!</f>
        <v>#REF!</v>
      </c>
      <c r="Z748" s="298" t="e">
        <f>'Matriz POA 2024-TRABAJO'!#REF!</f>
        <v>#REF!</v>
      </c>
      <c r="AA748" s="298" t="e">
        <f>'Matriz POA 2024-TRABAJO'!#REF!</f>
        <v>#REF!</v>
      </c>
      <c r="AB748" s="207">
        <v>0</v>
      </c>
      <c r="AC748" s="207">
        <v>1086</v>
      </c>
      <c r="AD748" s="207">
        <v>1086</v>
      </c>
      <c r="AE748" s="207">
        <v>1086</v>
      </c>
      <c r="AF748" s="207">
        <v>1086</v>
      </c>
      <c r="AG748" s="207">
        <v>1086</v>
      </c>
      <c r="AH748" s="207">
        <v>1086</v>
      </c>
      <c r="AI748" s="207">
        <v>1086</v>
      </c>
      <c r="AJ748" s="207">
        <v>1086</v>
      </c>
      <c r="AK748" s="207">
        <v>1086</v>
      </c>
      <c r="AL748" s="207">
        <v>1086</v>
      </c>
      <c r="AM748" s="207"/>
      <c r="AN748" s="207"/>
      <c r="AO748" s="224">
        <f t="shared" si="89"/>
        <v>10860</v>
      </c>
      <c r="AP748" s="224" t="e">
        <f t="shared" si="94"/>
        <v>#REF!</v>
      </c>
      <c r="AQ748" s="207"/>
      <c r="AR748" s="207"/>
      <c r="AS748" s="207"/>
      <c r="AT748" s="224" t="str">
        <f>IFERROR(VLOOKUP($A748,'Constancias POA'!$A$2:$DH$9993,17,FALSE),"")</f>
        <v/>
      </c>
      <c r="AU748" s="207" t="str">
        <f t="shared" si="95"/>
        <v/>
      </c>
      <c r="AV748" s="224" t="str">
        <f>IFERROR(VLOOKUP($A748,CP!$A$1:$U$7992,18,FALSE),"")</f>
        <v/>
      </c>
      <c r="AW748" s="224" t="str">
        <f>IFERROR(VLOOKUP($A748,CP!$A$1:$U$7992,19,FALSE),"")</f>
        <v/>
      </c>
      <c r="AX748" s="224" t="str">
        <f>IFERROR(VLOOKUP($A748,CP!$A$1:$U$7992,20,FALSE),"")</f>
        <v/>
      </c>
      <c r="AY748" s="207" t="str">
        <f>IFERROR(VLOOKUP($A748,CP!$A$1:$U$1,21,FALSE),"")</f>
        <v/>
      </c>
      <c r="AZ748" s="224" t="str">
        <f>IFERROR(VLOOKUP(A748,Devengado!$A$1:AJ1,35,FALSE),"")</f>
        <v/>
      </c>
      <c r="BA748" s="224" t="str">
        <f t="shared" si="90"/>
        <v/>
      </c>
      <c r="BB748" s="224" t="str">
        <f>IFERROR(AZ748/#REF!,"")</f>
        <v/>
      </c>
      <c r="BC748" s="224" t="str">
        <f>IFERROR(VLOOKUP($A748,Devengado!$A$1:$AI$1,22,FALSE),"")</f>
        <v/>
      </c>
      <c r="BD748" s="224" t="str">
        <f>IFERROR(VLOOKUP($A748,Devengado!$A$1:$AI$1,23,FALSE),"")</f>
        <v/>
      </c>
      <c r="BE748" s="224" t="str">
        <f>IFERROR(VLOOKUP($A748,Devengado!$A$1:$AI$1,24,FALSE),"")</f>
        <v/>
      </c>
      <c r="BF748" s="224" t="str">
        <f>IFERROR(VLOOKUP($A748,Devengado!$A$1:$AI$1,25,FALSE),"")</f>
        <v/>
      </c>
      <c r="BG748" s="224" t="str">
        <f>IFERROR(VLOOKUP($A748,Devengado!$A$1:$AI$1,26,FALSE),"")</f>
        <v/>
      </c>
      <c r="BH748" s="224" t="str">
        <f>IFERROR(VLOOKUP($A748,Devengado!$A$1:$AI$1,27,FALSE),"")</f>
        <v/>
      </c>
      <c r="BI748" s="224" t="str">
        <f>IFERROR(VLOOKUP($A748,Devengado!$A$1:$AI$1,28,FALSE),"")</f>
        <v/>
      </c>
      <c r="BJ748" s="224" t="str">
        <f>IFERROR(VLOOKUP($A748,Devengado!$A$1:$AI$1,29,FALSE),"")</f>
        <v/>
      </c>
      <c r="BK748" s="224" t="str">
        <f>IFERROR(VLOOKUP($A748,Devengado!$A$1:$AI$1,30,FALSE),"")</f>
        <v/>
      </c>
      <c r="BL748" s="224" t="str">
        <f>IFERROR(VLOOKUP($A748,Devengado!$A$1:$AI$1,31,FALSE),"")</f>
        <v/>
      </c>
      <c r="BM748" s="224" t="str">
        <f>IFERROR(VLOOKUP($A748,Devengado!$A$1:$AI$1,32,FALSE),"")</f>
        <v/>
      </c>
      <c r="BN748" s="224" t="str">
        <f>IFERROR(VLOOKUP($A748,Devengado!$A$1:$AI$1,33,FALSE),"")</f>
        <v/>
      </c>
      <c r="BO748" s="224">
        <f t="shared" si="91"/>
        <v>0</v>
      </c>
      <c r="BP748" s="224" t="str">
        <f t="shared" si="92"/>
        <v/>
      </c>
      <c r="BQ748" s="207"/>
      <c r="BR748" s="207" t="str">
        <f t="shared" si="93"/>
        <v>53</v>
      </c>
    </row>
    <row r="749" spans="1:70" s="225" customFormat="1" ht="25.5" customHeight="1">
      <c r="A749" s="207">
        <v>745</v>
      </c>
      <c r="B749" s="112" t="s">
        <v>287</v>
      </c>
      <c r="C749" s="112" t="s">
        <v>77</v>
      </c>
      <c r="D749" s="112" t="s">
        <v>77</v>
      </c>
      <c r="E749" s="112" t="s">
        <v>76</v>
      </c>
      <c r="F749" s="112" t="s">
        <v>77</v>
      </c>
      <c r="G749" s="112" t="s">
        <v>77</v>
      </c>
      <c r="H749" s="112" t="s">
        <v>77</v>
      </c>
      <c r="I749" s="112" t="s">
        <v>77</v>
      </c>
      <c r="J749" s="112" t="s">
        <v>77</v>
      </c>
      <c r="K749" s="112" t="s">
        <v>77</v>
      </c>
      <c r="L749" s="112" t="s">
        <v>85</v>
      </c>
      <c r="M749" s="207" t="s">
        <v>719</v>
      </c>
      <c r="N749" s="114" t="s">
        <v>289</v>
      </c>
      <c r="O749" s="123">
        <v>80</v>
      </c>
      <c r="P749" s="114" t="s">
        <v>81</v>
      </c>
      <c r="Q749" s="114" t="s">
        <v>112</v>
      </c>
      <c r="R749" s="115" t="str">
        <f t="shared" si="88"/>
        <v>53</v>
      </c>
      <c r="S749" s="269">
        <v>530606</v>
      </c>
      <c r="T749" s="207" t="str">
        <f>VLOOKUP(S749,ITEM!$C$1:$D$156,2,FALSE)</f>
        <v>Honorarios por Contratos Civiles de Servicios</v>
      </c>
      <c r="U749" s="207">
        <v>901</v>
      </c>
      <c r="V749" s="207" t="s">
        <v>82</v>
      </c>
      <c r="W749" s="207" t="s">
        <v>84</v>
      </c>
      <c r="X749" s="207" t="s">
        <v>84</v>
      </c>
      <c r="Y749" s="298" t="e">
        <f>'Matriz POA 2024-TRABAJO'!#REF!</f>
        <v>#REF!</v>
      </c>
      <c r="Z749" s="298" t="e">
        <f>'Matriz POA 2024-TRABAJO'!#REF!</f>
        <v>#REF!</v>
      </c>
      <c r="AA749" s="298" t="e">
        <f>'Matriz POA 2024-TRABAJO'!#REF!</f>
        <v>#REF!</v>
      </c>
      <c r="AB749" s="207">
        <v>0</v>
      </c>
      <c r="AC749" s="207">
        <v>585</v>
      </c>
      <c r="AD749" s="207">
        <v>585</v>
      </c>
      <c r="AE749" s="207">
        <v>585</v>
      </c>
      <c r="AF749" s="207">
        <v>585</v>
      </c>
      <c r="AG749" s="207">
        <v>585</v>
      </c>
      <c r="AH749" s="207">
        <v>585</v>
      </c>
      <c r="AI749" s="207">
        <v>585</v>
      </c>
      <c r="AJ749" s="207">
        <v>585</v>
      </c>
      <c r="AK749" s="207">
        <v>585</v>
      </c>
      <c r="AL749" s="207">
        <v>585</v>
      </c>
      <c r="AM749" s="207"/>
      <c r="AN749" s="207"/>
      <c r="AO749" s="224">
        <f t="shared" si="89"/>
        <v>5850</v>
      </c>
      <c r="AP749" s="224" t="e">
        <f t="shared" si="94"/>
        <v>#REF!</v>
      </c>
      <c r="AQ749" s="207"/>
      <c r="AR749" s="207"/>
      <c r="AS749" s="207"/>
      <c r="AT749" s="224" t="str">
        <f>IFERROR(VLOOKUP($A749,'Constancias POA'!$A$2:$DH$9993,17,FALSE),"")</f>
        <v/>
      </c>
      <c r="AU749" s="207" t="str">
        <f t="shared" si="95"/>
        <v/>
      </c>
      <c r="AV749" s="224" t="str">
        <f>IFERROR(VLOOKUP($A749,CP!$A$1:$U$7992,18,FALSE),"")</f>
        <v/>
      </c>
      <c r="AW749" s="224" t="str">
        <f>IFERROR(VLOOKUP($A749,CP!$A$1:$U$7992,19,FALSE),"")</f>
        <v/>
      </c>
      <c r="AX749" s="224" t="str">
        <f>IFERROR(VLOOKUP($A749,CP!$A$1:$U$7992,20,FALSE),"")</f>
        <v/>
      </c>
      <c r="AY749" s="207" t="str">
        <f>IFERROR(VLOOKUP($A749,CP!$A$1:$U$1,21,FALSE),"")</f>
        <v/>
      </c>
      <c r="AZ749" s="224" t="str">
        <f>IFERROR(VLOOKUP(A749,Devengado!$A$1:AJ1,35,FALSE),"")</f>
        <v/>
      </c>
      <c r="BA749" s="224" t="str">
        <f t="shared" si="90"/>
        <v/>
      </c>
      <c r="BB749" s="224" t="str">
        <f>IFERROR(AZ749/#REF!,"")</f>
        <v/>
      </c>
      <c r="BC749" s="224" t="str">
        <f>IFERROR(VLOOKUP($A749,Devengado!$A$1:$AI$1,22,FALSE),"")</f>
        <v/>
      </c>
      <c r="BD749" s="224" t="str">
        <f>IFERROR(VLOOKUP($A749,Devengado!$A$1:$AI$1,23,FALSE),"")</f>
        <v/>
      </c>
      <c r="BE749" s="224" t="str">
        <f>IFERROR(VLOOKUP($A749,Devengado!$A$1:$AI$1,24,FALSE),"")</f>
        <v/>
      </c>
      <c r="BF749" s="224" t="str">
        <f>IFERROR(VLOOKUP($A749,Devengado!$A$1:$AI$1,25,FALSE),"")</f>
        <v/>
      </c>
      <c r="BG749" s="224" t="str">
        <f>IFERROR(VLOOKUP($A749,Devengado!$A$1:$AI$1,26,FALSE),"")</f>
        <v/>
      </c>
      <c r="BH749" s="224" t="str">
        <f>IFERROR(VLOOKUP($A749,Devengado!$A$1:$AI$1,27,FALSE),"")</f>
        <v/>
      </c>
      <c r="BI749" s="224" t="str">
        <f>IFERROR(VLOOKUP($A749,Devengado!$A$1:$AI$1,28,FALSE),"")</f>
        <v/>
      </c>
      <c r="BJ749" s="224" t="str">
        <f>IFERROR(VLOOKUP($A749,Devengado!$A$1:$AI$1,29,FALSE),"")</f>
        <v/>
      </c>
      <c r="BK749" s="224" t="str">
        <f>IFERROR(VLOOKUP($A749,Devengado!$A$1:$AI$1,30,FALSE),"")</f>
        <v/>
      </c>
      <c r="BL749" s="224" t="str">
        <f>IFERROR(VLOOKUP($A749,Devengado!$A$1:$AI$1,31,FALSE),"")</f>
        <v/>
      </c>
      <c r="BM749" s="224" t="str">
        <f>IFERROR(VLOOKUP($A749,Devengado!$A$1:$AI$1,32,FALSE),"")</f>
        <v/>
      </c>
      <c r="BN749" s="224" t="str">
        <f>IFERROR(VLOOKUP($A749,Devengado!$A$1:$AI$1,33,FALSE),"")</f>
        <v/>
      </c>
      <c r="BO749" s="224">
        <f t="shared" si="91"/>
        <v>0</v>
      </c>
      <c r="BP749" s="224" t="str">
        <f t="shared" si="92"/>
        <v/>
      </c>
      <c r="BQ749" s="207"/>
      <c r="BR749" s="207" t="str">
        <f t="shared" si="93"/>
        <v>53</v>
      </c>
    </row>
    <row r="750" spans="1:70" s="225" customFormat="1" ht="25.5" customHeight="1">
      <c r="A750" s="207">
        <v>746</v>
      </c>
      <c r="B750" s="112" t="s">
        <v>348</v>
      </c>
      <c r="C750" s="112" t="s">
        <v>77</v>
      </c>
      <c r="D750" s="112" t="s">
        <v>77</v>
      </c>
      <c r="E750" s="112" t="s">
        <v>76</v>
      </c>
      <c r="F750" s="112" t="s">
        <v>77</v>
      </c>
      <c r="G750" s="112" t="s">
        <v>77</v>
      </c>
      <c r="H750" s="112" t="s">
        <v>77</v>
      </c>
      <c r="I750" s="112" t="s">
        <v>77</v>
      </c>
      <c r="J750" s="112" t="s">
        <v>77</v>
      </c>
      <c r="K750" s="112" t="s">
        <v>77</v>
      </c>
      <c r="L750" s="112" t="s">
        <v>87</v>
      </c>
      <c r="M750" s="207" t="s">
        <v>720</v>
      </c>
      <c r="N750" s="118" t="s">
        <v>350</v>
      </c>
      <c r="O750" s="118" t="s">
        <v>111</v>
      </c>
      <c r="P750" s="118" t="s">
        <v>81</v>
      </c>
      <c r="Q750" s="118" t="s">
        <v>112</v>
      </c>
      <c r="R750" s="115" t="str">
        <f t="shared" si="88"/>
        <v>53</v>
      </c>
      <c r="S750" s="269">
        <v>530101</v>
      </c>
      <c r="T750" s="207" t="str">
        <f>VLOOKUP(S750,ITEM!$C$1:$D$156,2,FALSE)</f>
        <v>Agua Potable</v>
      </c>
      <c r="U750" s="207">
        <v>1701</v>
      </c>
      <c r="V750" s="114" t="s">
        <v>82</v>
      </c>
      <c r="W750" s="114" t="s">
        <v>84</v>
      </c>
      <c r="X750" s="114" t="s">
        <v>84</v>
      </c>
      <c r="Y750" s="298" t="e">
        <f>'Matriz POA 2024-TRABAJO'!#REF!</f>
        <v>#REF!</v>
      </c>
      <c r="Z750" s="298" t="e">
        <f>'Matriz POA 2024-TRABAJO'!#REF!</f>
        <v>#REF!</v>
      </c>
      <c r="AA750" s="298" t="e">
        <f>'Matriz POA 2024-TRABAJO'!#REF!</f>
        <v>#REF!</v>
      </c>
      <c r="AB750" s="207">
        <v>2.19</v>
      </c>
      <c r="AC750" s="207">
        <v>0</v>
      </c>
      <c r="AD750" s="207">
        <v>0</v>
      </c>
      <c r="AE750" s="207">
        <v>0</v>
      </c>
      <c r="AF750" s="207">
        <v>0</v>
      </c>
      <c r="AG750" s="207">
        <v>0</v>
      </c>
      <c r="AH750" s="207">
        <v>0</v>
      </c>
      <c r="AI750" s="207">
        <v>0</v>
      </c>
      <c r="AJ750" s="207">
        <v>0</v>
      </c>
      <c r="AK750" s="207">
        <v>0</v>
      </c>
      <c r="AL750" s="207">
        <v>0</v>
      </c>
      <c r="AM750" s="207">
        <v>0</v>
      </c>
      <c r="AN750" s="207"/>
      <c r="AO750" s="224">
        <f t="shared" si="89"/>
        <v>2.19</v>
      </c>
      <c r="AP750" s="224" t="e">
        <f t="shared" si="94"/>
        <v>#REF!</v>
      </c>
      <c r="AQ750" s="207"/>
      <c r="AR750" s="207"/>
      <c r="AS750" s="207"/>
      <c r="AT750" s="224" t="str">
        <f>IFERROR(VLOOKUP($A750,'Constancias POA'!$A$2:$DH$9993,17,FALSE),"")</f>
        <v/>
      </c>
      <c r="AU750" s="207" t="str">
        <f t="shared" si="95"/>
        <v/>
      </c>
      <c r="AV750" s="224" t="str">
        <f>IFERROR(VLOOKUP($A750,CP!$A$1:$U$7992,18,FALSE),"")</f>
        <v/>
      </c>
      <c r="AW750" s="224" t="str">
        <f>IFERROR(VLOOKUP($A750,CP!$A$1:$U$7992,19,FALSE),"")</f>
        <v/>
      </c>
      <c r="AX750" s="224" t="str">
        <f>IFERROR(VLOOKUP($A750,CP!$A$1:$U$7992,20,FALSE),"")</f>
        <v/>
      </c>
      <c r="AY750" s="207" t="str">
        <f>IFERROR(VLOOKUP($A750,CP!$A$1:$U$1,21,FALSE),"")</f>
        <v/>
      </c>
      <c r="AZ750" s="224" t="str">
        <f>IFERROR(VLOOKUP(A750,Devengado!$A$1:AJ1,35,FALSE),"")</f>
        <v/>
      </c>
      <c r="BA750" s="224" t="str">
        <f t="shared" si="90"/>
        <v/>
      </c>
      <c r="BB750" s="224" t="str">
        <f>IFERROR(AZ750/#REF!,"")</f>
        <v/>
      </c>
      <c r="BC750" s="224" t="str">
        <f>IFERROR(VLOOKUP($A750,Devengado!$A$1:$AI$1,22,FALSE),"")</f>
        <v/>
      </c>
      <c r="BD750" s="224" t="str">
        <f>IFERROR(VLOOKUP($A750,Devengado!$A$1:$AI$1,23,FALSE),"")</f>
        <v/>
      </c>
      <c r="BE750" s="224" t="str">
        <f>IFERROR(VLOOKUP($A750,Devengado!$A$1:$AI$1,24,FALSE),"")</f>
        <v/>
      </c>
      <c r="BF750" s="224" t="str">
        <f>IFERROR(VLOOKUP($A750,Devengado!$A$1:$AI$1,25,FALSE),"")</f>
        <v/>
      </c>
      <c r="BG750" s="224" t="str">
        <f>IFERROR(VLOOKUP($A750,Devengado!$A$1:$AI$1,26,FALSE),"")</f>
        <v/>
      </c>
      <c r="BH750" s="224" t="str">
        <f>IFERROR(VLOOKUP($A750,Devengado!$A$1:$AI$1,27,FALSE),"")</f>
        <v/>
      </c>
      <c r="BI750" s="224" t="str">
        <f>IFERROR(VLOOKUP($A750,Devengado!$A$1:$AI$1,28,FALSE),"")</f>
        <v/>
      </c>
      <c r="BJ750" s="224" t="str">
        <f>IFERROR(VLOOKUP($A750,Devengado!$A$1:$AI$1,29,FALSE),"")</f>
        <v/>
      </c>
      <c r="BK750" s="224" t="str">
        <f>IFERROR(VLOOKUP($A750,Devengado!$A$1:$AI$1,30,FALSE),"")</f>
        <v/>
      </c>
      <c r="BL750" s="224" t="str">
        <f>IFERROR(VLOOKUP($A750,Devengado!$A$1:$AI$1,31,FALSE),"")</f>
        <v/>
      </c>
      <c r="BM750" s="224" t="str">
        <f>IFERROR(VLOOKUP($A750,Devengado!$A$1:$AI$1,32,FALSE),"")</f>
        <v/>
      </c>
      <c r="BN750" s="224" t="str">
        <f>IFERROR(VLOOKUP($A750,Devengado!$A$1:$AI$1,33,FALSE),"")</f>
        <v/>
      </c>
      <c r="BO750" s="224">
        <f t="shared" si="91"/>
        <v>0</v>
      </c>
      <c r="BP750" s="224" t="str">
        <f t="shared" si="92"/>
        <v/>
      </c>
      <c r="BQ750" s="207"/>
      <c r="BR750" s="207" t="str">
        <f t="shared" si="93"/>
        <v>53</v>
      </c>
    </row>
    <row r="751" spans="1:70" s="225" customFormat="1" ht="25.5" customHeight="1">
      <c r="A751" s="207">
        <v>747</v>
      </c>
      <c r="B751" s="112" t="s">
        <v>348</v>
      </c>
      <c r="C751" s="112" t="s">
        <v>77</v>
      </c>
      <c r="D751" s="112" t="s">
        <v>77</v>
      </c>
      <c r="E751" s="112" t="s">
        <v>76</v>
      </c>
      <c r="F751" s="112" t="s">
        <v>77</v>
      </c>
      <c r="G751" s="112" t="s">
        <v>77</v>
      </c>
      <c r="H751" s="112" t="s">
        <v>77</v>
      </c>
      <c r="I751" s="112" t="s">
        <v>77</v>
      </c>
      <c r="J751" s="112" t="s">
        <v>77</v>
      </c>
      <c r="K751" s="112" t="s">
        <v>77</v>
      </c>
      <c r="L751" s="112" t="s">
        <v>87</v>
      </c>
      <c r="M751" s="207" t="s">
        <v>721</v>
      </c>
      <c r="N751" s="118" t="s">
        <v>350</v>
      </c>
      <c r="O751" s="118" t="s">
        <v>111</v>
      </c>
      <c r="P751" s="118" t="s">
        <v>81</v>
      </c>
      <c r="Q751" s="118" t="s">
        <v>112</v>
      </c>
      <c r="R751" s="115" t="str">
        <f t="shared" si="88"/>
        <v>53</v>
      </c>
      <c r="S751" s="269">
        <v>530101</v>
      </c>
      <c r="T751" s="207" t="str">
        <f>VLOOKUP(S751,ITEM!$C$1:$D$156,2,FALSE)</f>
        <v>Agua Potable</v>
      </c>
      <c r="U751" s="207">
        <v>1701</v>
      </c>
      <c r="V751" s="114" t="s">
        <v>82</v>
      </c>
      <c r="W751" s="114" t="s">
        <v>84</v>
      </c>
      <c r="X751" s="114" t="s">
        <v>84</v>
      </c>
      <c r="Y751" s="298" t="e">
        <f>'Matriz POA 2024-TRABAJO'!#REF!</f>
        <v>#REF!</v>
      </c>
      <c r="Z751" s="298" t="e">
        <f>'Matriz POA 2024-TRABAJO'!#REF!</f>
        <v>#REF!</v>
      </c>
      <c r="AA751" s="298" t="e">
        <f>'Matriz POA 2024-TRABAJO'!#REF!</f>
        <v>#REF!</v>
      </c>
      <c r="AB751" s="207">
        <v>18.100000000000001</v>
      </c>
      <c r="AC751" s="207">
        <v>0</v>
      </c>
      <c r="AD751" s="207">
        <v>0</v>
      </c>
      <c r="AE751" s="207">
        <v>0</v>
      </c>
      <c r="AF751" s="207">
        <v>0</v>
      </c>
      <c r="AG751" s="207">
        <v>0</v>
      </c>
      <c r="AH751" s="207">
        <v>0</v>
      </c>
      <c r="AI751" s="207">
        <v>0</v>
      </c>
      <c r="AJ751" s="207">
        <v>0</v>
      </c>
      <c r="AK751" s="207">
        <v>0</v>
      </c>
      <c r="AL751" s="207">
        <v>0</v>
      </c>
      <c r="AM751" s="207">
        <v>0</v>
      </c>
      <c r="AN751" s="207"/>
      <c r="AO751" s="224">
        <f t="shared" si="89"/>
        <v>18.100000000000001</v>
      </c>
      <c r="AP751" s="224" t="e">
        <f t="shared" si="94"/>
        <v>#REF!</v>
      </c>
      <c r="AQ751" s="207"/>
      <c r="AR751" s="207"/>
      <c r="AS751" s="207"/>
      <c r="AT751" s="224" t="str">
        <f>IFERROR(VLOOKUP($A751,'Constancias POA'!$A$2:$DH$9993,17,FALSE),"")</f>
        <v/>
      </c>
      <c r="AU751" s="207" t="str">
        <f t="shared" si="95"/>
        <v/>
      </c>
      <c r="AV751" s="224" t="str">
        <f>IFERROR(VLOOKUP($A751,CP!$A$1:$U$7992,18,FALSE),"")</f>
        <v/>
      </c>
      <c r="AW751" s="224" t="str">
        <f>IFERROR(VLOOKUP($A751,CP!$A$1:$U$7992,19,FALSE),"")</f>
        <v/>
      </c>
      <c r="AX751" s="224" t="str">
        <f>IFERROR(VLOOKUP($A751,CP!$A$1:$U$7992,20,FALSE),"")</f>
        <v/>
      </c>
      <c r="AY751" s="207" t="str">
        <f>IFERROR(VLOOKUP($A751,CP!$A$1:$U$1,21,FALSE),"")</f>
        <v/>
      </c>
      <c r="AZ751" s="224" t="str">
        <f>IFERROR(VLOOKUP(A751,Devengado!$A$1:AJ1,35,FALSE),"")</f>
        <v/>
      </c>
      <c r="BA751" s="224" t="str">
        <f t="shared" si="90"/>
        <v/>
      </c>
      <c r="BB751" s="224" t="str">
        <f>IFERROR(AZ751/#REF!,"")</f>
        <v/>
      </c>
      <c r="BC751" s="224" t="str">
        <f>IFERROR(VLOOKUP($A751,Devengado!$A$1:$AI$1,22,FALSE),"")</f>
        <v/>
      </c>
      <c r="BD751" s="224" t="str">
        <f>IFERROR(VLOOKUP($A751,Devengado!$A$1:$AI$1,23,FALSE),"")</f>
        <v/>
      </c>
      <c r="BE751" s="224" t="str">
        <f>IFERROR(VLOOKUP($A751,Devengado!$A$1:$AI$1,24,FALSE),"")</f>
        <v/>
      </c>
      <c r="BF751" s="224" t="str">
        <f>IFERROR(VLOOKUP($A751,Devengado!$A$1:$AI$1,25,FALSE),"")</f>
        <v/>
      </c>
      <c r="BG751" s="224" t="str">
        <f>IFERROR(VLOOKUP($A751,Devengado!$A$1:$AI$1,26,FALSE),"")</f>
        <v/>
      </c>
      <c r="BH751" s="224" t="str">
        <f>IFERROR(VLOOKUP($A751,Devengado!$A$1:$AI$1,27,FALSE),"")</f>
        <v/>
      </c>
      <c r="BI751" s="224" t="str">
        <f>IFERROR(VLOOKUP($A751,Devengado!$A$1:$AI$1,28,FALSE),"")</f>
        <v/>
      </c>
      <c r="BJ751" s="224" t="str">
        <f>IFERROR(VLOOKUP($A751,Devengado!$A$1:$AI$1,29,FALSE),"")</f>
        <v/>
      </c>
      <c r="BK751" s="224" t="str">
        <f>IFERROR(VLOOKUP($A751,Devengado!$A$1:$AI$1,30,FALSE),"")</f>
        <v/>
      </c>
      <c r="BL751" s="224" t="str">
        <f>IFERROR(VLOOKUP($A751,Devengado!$A$1:$AI$1,31,FALSE),"")</f>
        <v/>
      </c>
      <c r="BM751" s="224" t="str">
        <f>IFERROR(VLOOKUP($A751,Devengado!$A$1:$AI$1,32,FALSE),"")</f>
        <v/>
      </c>
      <c r="BN751" s="224" t="str">
        <f>IFERROR(VLOOKUP($A751,Devengado!$A$1:$AI$1,33,FALSE),"")</f>
        <v/>
      </c>
      <c r="BO751" s="224">
        <f t="shared" si="91"/>
        <v>0</v>
      </c>
      <c r="BP751" s="224" t="str">
        <f t="shared" si="92"/>
        <v/>
      </c>
      <c r="BQ751" s="207"/>
      <c r="BR751" s="207" t="str">
        <f t="shared" si="93"/>
        <v>53</v>
      </c>
    </row>
    <row r="752" spans="1:70" s="225" customFormat="1" ht="25.5" customHeight="1">
      <c r="A752" s="207">
        <v>748</v>
      </c>
      <c r="B752" s="112" t="s">
        <v>348</v>
      </c>
      <c r="C752" s="112" t="s">
        <v>77</v>
      </c>
      <c r="D752" s="112" t="s">
        <v>77</v>
      </c>
      <c r="E752" s="112" t="s">
        <v>76</v>
      </c>
      <c r="F752" s="112" t="s">
        <v>77</v>
      </c>
      <c r="G752" s="112" t="s">
        <v>77</v>
      </c>
      <c r="H752" s="112" t="s">
        <v>77</v>
      </c>
      <c r="I752" s="112" t="s">
        <v>77</v>
      </c>
      <c r="J752" s="112" t="s">
        <v>77</v>
      </c>
      <c r="K752" s="112" t="s">
        <v>77</v>
      </c>
      <c r="L752" s="112" t="s">
        <v>87</v>
      </c>
      <c r="M752" s="207" t="s">
        <v>722</v>
      </c>
      <c r="N752" s="118" t="s">
        <v>350</v>
      </c>
      <c r="O752" s="118" t="s">
        <v>111</v>
      </c>
      <c r="P752" s="118" t="s">
        <v>81</v>
      </c>
      <c r="Q752" s="118" t="s">
        <v>112</v>
      </c>
      <c r="R752" s="115" t="str">
        <f t="shared" si="88"/>
        <v>53</v>
      </c>
      <c r="S752" s="269">
        <v>530101</v>
      </c>
      <c r="T752" s="207" t="str">
        <f>VLOOKUP(S752,ITEM!$C$1:$D$156,2,FALSE)</f>
        <v>Agua Potable</v>
      </c>
      <c r="U752" s="207">
        <v>1701</v>
      </c>
      <c r="V752" s="114" t="s">
        <v>82</v>
      </c>
      <c r="W752" s="114" t="s">
        <v>84</v>
      </c>
      <c r="X752" s="114" t="s">
        <v>84</v>
      </c>
      <c r="Y752" s="298" t="e">
        <f>'Matriz POA 2024-TRABAJO'!#REF!</f>
        <v>#REF!</v>
      </c>
      <c r="Z752" s="298" t="e">
        <f>'Matriz POA 2024-TRABAJO'!#REF!</f>
        <v>#REF!</v>
      </c>
      <c r="AA752" s="298" t="e">
        <f>'Matriz POA 2024-TRABAJO'!#REF!</f>
        <v>#REF!</v>
      </c>
      <c r="AB752" s="207">
        <v>21.06</v>
      </c>
      <c r="AC752" s="207">
        <v>0</v>
      </c>
      <c r="AD752" s="207">
        <v>0</v>
      </c>
      <c r="AE752" s="207">
        <v>0</v>
      </c>
      <c r="AF752" s="207">
        <v>0</v>
      </c>
      <c r="AG752" s="207">
        <v>0</v>
      </c>
      <c r="AH752" s="207">
        <v>0</v>
      </c>
      <c r="AI752" s="207">
        <v>0</v>
      </c>
      <c r="AJ752" s="207">
        <v>0</v>
      </c>
      <c r="AK752" s="207">
        <v>0</v>
      </c>
      <c r="AL752" s="207">
        <v>0</v>
      </c>
      <c r="AM752" s="207">
        <v>0</v>
      </c>
      <c r="AN752" s="207"/>
      <c r="AO752" s="224">
        <f t="shared" si="89"/>
        <v>21.06</v>
      </c>
      <c r="AP752" s="224" t="e">
        <f t="shared" si="94"/>
        <v>#REF!</v>
      </c>
      <c r="AQ752" s="207"/>
      <c r="AR752" s="207"/>
      <c r="AS752" s="207"/>
      <c r="AT752" s="224" t="str">
        <f>IFERROR(VLOOKUP($A752,'Constancias POA'!$A$2:$DH$9993,17,FALSE),"")</f>
        <v/>
      </c>
      <c r="AU752" s="207" t="str">
        <f t="shared" si="95"/>
        <v/>
      </c>
      <c r="AV752" s="224" t="str">
        <f>IFERROR(VLOOKUP($A752,CP!$A$1:$U$7992,18,FALSE),"")</f>
        <v/>
      </c>
      <c r="AW752" s="224" t="str">
        <f>IFERROR(VLOOKUP($A752,CP!$A$1:$U$7992,19,FALSE),"")</f>
        <v/>
      </c>
      <c r="AX752" s="224" t="str">
        <f>IFERROR(VLOOKUP($A752,CP!$A$1:$U$7992,20,FALSE),"")</f>
        <v/>
      </c>
      <c r="AY752" s="207" t="str">
        <f>IFERROR(VLOOKUP($A752,CP!$A$1:$U$1,21,FALSE),"")</f>
        <v/>
      </c>
      <c r="AZ752" s="224" t="str">
        <f>IFERROR(VLOOKUP(A752,Devengado!$A$1:AJ1,35,FALSE),"")</f>
        <v/>
      </c>
      <c r="BA752" s="224" t="str">
        <f t="shared" si="90"/>
        <v/>
      </c>
      <c r="BB752" s="224" t="str">
        <f>IFERROR(AZ752/#REF!,"")</f>
        <v/>
      </c>
      <c r="BC752" s="224" t="str">
        <f>IFERROR(VLOOKUP($A752,Devengado!$A$1:$AI$1,22,FALSE),"")</f>
        <v/>
      </c>
      <c r="BD752" s="224" t="str">
        <f>IFERROR(VLOOKUP($A752,Devengado!$A$1:$AI$1,23,FALSE),"")</f>
        <v/>
      </c>
      <c r="BE752" s="224" t="str">
        <f>IFERROR(VLOOKUP($A752,Devengado!$A$1:$AI$1,24,FALSE),"")</f>
        <v/>
      </c>
      <c r="BF752" s="224" t="str">
        <f>IFERROR(VLOOKUP($A752,Devengado!$A$1:$AI$1,25,FALSE),"")</f>
        <v/>
      </c>
      <c r="BG752" s="224" t="str">
        <f>IFERROR(VLOOKUP($A752,Devengado!$A$1:$AI$1,26,FALSE),"")</f>
        <v/>
      </c>
      <c r="BH752" s="224" t="str">
        <f>IFERROR(VLOOKUP($A752,Devengado!$A$1:$AI$1,27,FALSE),"")</f>
        <v/>
      </c>
      <c r="BI752" s="224" t="str">
        <f>IFERROR(VLOOKUP($A752,Devengado!$A$1:$AI$1,28,FALSE),"")</f>
        <v/>
      </c>
      <c r="BJ752" s="224" t="str">
        <f>IFERROR(VLOOKUP($A752,Devengado!$A$1:$AI$1,29,FALSE),"")</f>
        <v/>
      </c>
      <c r="BK752" s="224" t="str">
        <f>IFERROR(VLOOKUP($A752,Devengado!$A$1:$AI$1,30,FALSE),"")</f>
        <v/>
      </c>
      <c r="BL752" s="224" t="str">
        <f>IFERROR(VLOOKUP($A752,Devengado!$A$1:$AI$1,31,FALSE),"")</f>
        <v/>
      </c>
      <c r="BM752" s="224" t="str">
        <f>IFERROR(VLOOKUP($A752,Devengado!$A$1:$AI$1,32,FALSE),"")</f>
        <v/>
      </c>
      <c r="BN752" s="224" t="str">
        <f>IFERROR(VLOOKUP($A752,Devengado!$A$1:$AI$1,33,FALSE),"")</f>
        <v/>
      </c>
      <c r="BO752" s="224">
        <f t="shared" si="91"/>
        <v>0</v>
      </c>
      <c r="BP752" s="224" t="str">
        <f t="shared" si="92"/>
        <v/>
      </c>
      <c r="BQ752" s="207"/>
      <c r="BR752" s="207" t="str">
        <f t="shared" si="93"/>
        <v>53</v>
      </c>
    </row>
    <row r="753" spans="1:70" s="225" customFormat="1" ht="25.5" customHeight="1">
      <c r="A753" s="207">
        <v>749</v>
      </c>
      <c r="B753" s="112" t="s">
        <v>348</v>
      </c>
      <c r="C753" s="112" t="s">
        <v>77</v>
      </c>
      <c r="D753" s="112" t="s">
        <v>77</v>
      </c>
      <c r="E753" s="112" t="s">
        <v>76</v>
      </c>
      <c r="F753" s="112" t="s">
        <v>77</v>
      </c>
      <c r="G753" s="112" t="s">
        <v>77</v>
      </c>
      <c r="H753" s="112" t="s">
        <v>77</v>
      </c>
      <c r="I753" s="112" t="s">
        <v>77</v>
      </c>
      <c r="J753" s="112" t="s">
        <v>77</v>
      </c>
      <c r="K753" s="112" t="s">
        <v>77</v>
      </c>
      <c r="L753" s="112" t="s">
        <v>87</v>
      </c>
      <c r="M753" s="207" t="s">
        <v>723</v>
      </c>
      <c r="N753" s="118" t="s">
        <v>350</v>
      </c>
      <c r="O753" s="118" t="s">
        <v>111</v>
      </c>
      <c r="P753" s="118" t="s">
        <v>81</v>
      </c>
      <c r="Q753" s="118" t="s">
        <v>112</v>
      </c>
      <c r="R753" s="115" t="str">
        <f t="shared" si="88"/>
        <v>53</v>
      </c>
      <c r="S753" s="269">
        <v>530101</v>
      </c>
      <c r="T753" s="207" t="str">
        <f>VLOOKUP(S753,ITEM!$C$1:$D$156,2,FALSE)</f>
        <v>Agua Potable</v>
      </c>
      <c r="U753" s="207">
        <v>1701</v>
      </c>
      <c r="V753" s="114" t="s">
        <v>82</v>
      </c>
      <c r="W753" s="114" t="s">
        <v>84</v>
      </c>
      <c r="X753" s="114" t="s">
        <v>84</v>
      </c>
      <c r="Y753" s="298" t="e">
        <f>'Matriz POA 2024-TRABAJO'!#REF!</f>
        <v>#REF!</v>
      </c>
      <c r="Z753" s="298" t="e">
        <f>'Matriz POA 2024-TRABAJO'!#REF!</f>
        <v>#REF!</v>
      </c>
      <c r="AA753" s="298" t="e">
        <f>'Matriz POA 2024-TRABAJO'!#REF!</f>
        <v>#REF!</v>
      </c>
      <c r="AB753" s="207">
        <v>4</v>
      </c>
      <c r="AC753" s="207">
        <v>0</v>
      </c>
      <c r="AD753" s="207">
        <v>0</v>
      </c>
      <c r="AE753" s="207">
        <v>0</v>
      </c>
      <c r="AF753" s="207">
        <v>0</v>
      </c>
      <c r="AG753" s="207">
        <v>0</v>
      </c>
      <c r="AH753" s="207">
        <v>0</v>
      </c>
      <c r="AI753" s="207">
        <v>0</v>
      </c>
      <c r="AJ753" s="207">
        <v>0</v>
      </c>
      <c r="AK753" s="207">
        <v>0</v>
      </c>
      <c r="AL753" s="207">
        <v>0</v>
      </c>
      <c r="AM753" s="207">
        <v>0</v>
      </c>
      <c r="AN753" s="207"/>
      <c r="AO753" s="224">
        <f t="shared" si="89"/>
        <v>4</v>
      </c>
      <c r="AP753" s="224" t="e">
        <f t="shared" si="94"/>
        <v>#REF!</v>
      </c>
      <c r="AQ753" s="207"/>
      <c r="AR753" s="207"/>
      <c r="AS753" s="207"/>
      <c r="AT753" s="224" t="str">
        <f>IFERROR(VLOOKUP($A753,'Constancias POA'!$A$2:$DH$9993,17,FALSE),"")</f>
        <v/>
      </c>
      <c r="AU753" s="207" t="str">
        <f t="shared" si="95"/>
        <v/>
      </c>
      <c r="AV753" s="224" t="str">
        <f>IFERROR(VLOOKUP($A753,CP!$A$1:$U$7992,18,FALSE),"")</f>
        <v/>
      </c>
      <c r="AW753" s="224" t="str">
        <f>IFERROR(VLOOKUP($A753,CP!$A$1:$U$7992,19,FALSE),"")</f>
        <v/>
      </c>
      <c r="AX753" s="224" t="str">
        <f>IFERROR(VLOOKUP($A753,CP!$A$1:$U$7992,20,FALSE),"")</f>
        <v/>
      </c>
      <c r="AY753" s="207" t="str">
        <f>IFERROR(VLOOKUP($A753,CP!$A$1:$U$1,21,FALSE),"")</f>
        <v/>
      </c>
      <c r="AZ753" s="224" t="str">
        <f>IFERROR(VLOOKUP(A753,Devengado!$A$1:AJ1,35,FALSE),"")</f>
        <v/>
      </c>
      <c r="BA753" s="224" t="str">
        <f t="shared" si="90"/>
        <v/>
      </c>
      <c r="BB753" s="224" t="str">
        <f>IFERROR(AZ753/#REF!,"")</f>
        <v/>
      </c>
      <c r="BC753" s="224" t="str">
        <f>IFERROR(VLOOKUP($A753,Devengado!$A$1:$AI$1,22,FALSE),"")</f>
        <v/>
      </c>
      <c r="BD753" s="224" t="str">
        <f>IFERROR(VLOOKUP($A753,Devengado!$A$1:$AI$1,23,FALSE),"")</f>
        <v/>
      </c>
      <c r="BE753" s="224" t="str">
        <f>IFERROR(VLOOKUP($A753,Devengado!$A$1:$AI$1,24,FALSE),"")</f>
        <v/>
      </c>
      <c r="BF753" s="224" t="str">
        <f>IFERROR(VLOOKUP($A753,Devengado!$A$1:$AI$1,25,FALSE),"")</f>
        <v/>
      </c>
      <c r="BG753" s="224" t="str">
        <f>IFERROR(VLOOKUP($A753,Devengado!$A$1:$AI$1,26,FALSE),"")</f>
        <v/>
      </c>
      <c r="BH753" s="224" t="str">
        <f>IFERROR(VLOOKUP($A753,Devengado!$A$1:$AI$1,27,FALSE),"")</f>
        <v/>
      </c>
      <c r="BI753" s="224" t="str">
        <f>IFERROR(VLOOKUP($A753,Devengado!$A$1:$AI$1,28,FALSE),"")</f>
        <v/>
      </c>
      <c r="BJ753" s="224" t="str">
        <f>IFERROR(VLOOKUP($A753,Devengado!$A$1:$AI$1,29,FALSE),"")</f>
        <v/>
      </c>
      <c r="BK753" s="224" t="str">
        <f>IFERROR(VLOOKUP($A753,Devengado!$A$1:$AI$1,30,FALSE),"")</f>
        <v/>
      </c>
      <c r="BL753" s="224" t="str">
        <f>IFERROR(VLOOKUP($A753,Devengado!$A$1:$AI$1,31,FALSE),"")</f>
        <v/>
      </c>
      <c r="BM753" s="224" t="str">
        <f>IFERROR(VLOOKUP($A753,Devengado!$A$1:$AI$1,32,FALSE),"")</f>
        <v/>
      </c>
      <c r="BN753" s="224" t="str">
        <f>IFERROR(VLOOKUP($A753,Devengado!$A$1:$AI$1,33,FALSE),"")</f>
        <v/>
      </c>
      <c r="BO753" s="224">
        <f t="shared" si="91"/>
        <v>0</v>
      </c>
      <c r="BP753" s="224" t="str">
        <f t="shared" si="92"/>
        <v/>
      </c>
      <c r="BQ753" s="207"/>
      <c r="BR753" s="207" t="str">
        <f t="shared" si="93"/>
        <v>53</v>
      </c>
    </row>
    <row r="754" spans="1:70" s="225" customFormat="1" ht="25.5" customHeight="1">
      <c r="A754" s="207">
        <v>750</v>
      </c>
      <c r="B754" s="112" t="s">
        <v>348</v>
      </c>
      <c r="C754" s="112" t="s">
        <v>77</v>
      </c>
      <c r="D754" s="112" t="s">
        <v>77</v>
      </c>
      <c r="E754" s="112" t="s">
        <v>76</v>
      </c>
      <c r="F754" s="112" t="s">
        <v>77</v>
      </c>
      <c r="G754" s="112" t="s">
        <v>77</v>
      </c>
      <c r="H754" s="112" t="s">
        <v>77</v>
      </c>
      <c r="I754" s="112" t="s">
        <v>77</v>
      </c>
      <c r="J754" s="112" t="s">
        <v>77</v>
      </c>
      <c r="K754" s="112" t="s">
        <v>77</v>
      </c>
      <c r="L754" s="112" t="s">
        <v>85</v>
      </c>
      <c r="M754" s="207" t="s">
        <v>720</v>
      </c>
      <c r="N754" s="118" t="s">
        <v>350</v>
      </c>
      <c r="O754" s="118" t="s">
        <v>111</v>
      </c>
      <c r="P754" s="118" t="s">
        <v>81</v>
      </c>
      <c r="Q754" s="118" t="s">
        <v>112</v>
      </c>
      <c r="R754" s="115" t="str">
        <f t="shared" si="88"/>
        <v>53</v>
      </c>
      <c r="S754" s="269">
        <v>530101</v>
      </c>
      <c r="T754" s="207" t="str">
        <f>VLOOKUP(S754,ITEM!$C$1:$D$156,2,FALSE)</f>
        <v>Agua Potable</v>
      </c>
      <c r="U754" s="207">
        <v>1701</v>
      </c>
      <c r="V754" s="114" t="s">
        <v>82</v>
      </c>
      <c r="W754" s="114" t="s">
        <v>84</v>
      </c>
      <c r="X754" s="114" t="s">
        <v>84</v>
      </c>
      <c r="Y754" s="298" t="e">
        <f>'Matriz POA 2024-TRABAJO'!#REF!</f>
        <v>#REF!</v>
      </c>
      <c r="Z754" s="298" t="e">
        <f>'Matriz POA 2024-TRABAJO'!#REF!</f>
        <v>#REF!</v>
      </c>
      <c r="AA754" s="298" t="e">
        <f>'Matriz POA 2024-TRABAJO'!#REF!</f>
        <v>#REF!</v>
      </c>
      <c r="AB754" s="207">
        <v>2.19</v>
      </c>
      <c r="AC754" s="207">
        <v>2.19</v>
      </c>
      <c r="AD754" s="207">
        <v>2.19</v>
      </c>
      <c r="AE754" s="207">
        <v>2.19</v>
      </c>
      <c r="AF754" s="207">
        <v>2.19</v>
      </c>
      <c r="AG754" s="207">
        <v>2.19</v>
      </c>
      <c r="AH754" s="207">
        <v>2.19</v>
      </c>
      <c r="AI754" s="207">
        <v>2.19</v>
      </c>
      <c r="AJ754" s="207">
        <v>2.19</v>
      </c>
      <c r="AK754" s="207">
        <v>2.19</v>
      </c>
      <c r="AL754" s="207">
        <v>2.19</v>
      </c>
      <c r="AM754" s="207">
        <v>2.19</v>
      </c>
      <c r="AN754" s="207"/>
      <c r="AO754" s="224">
        <f t="shared" si="89"/>
        <v>26.280000000000005</v>
      </c>
      <c r="AP754" s="224" t="e">
        <f t="shared" si="94"/>
        <v>#REF!</v>
      </c>
      <c r="AQ754" s="207"/>
      <c r="AR754" s="207"/>
      <c r="AS754" s="207"/>
      <c r="AT754" s="224" t="str">
        <f>IFERROR(VLOOKUP($A754,'Constancias POA'!$A$2:$DH$9993,17,FALSE),"")</f>
        <v/>
      </c>
      <c r="AU754" s="207" t="str">
        <f t="shared" si="95"/>
        <v/>
      </c>
      <c r="AV754" s="224" t="str">
        <f>IFERROR(VLOOKUP($A754,CP!$A$1:$U$7992,18,FALSE),"")</f>
        <v/>
      </c>
      <c r="AW754" s="224" t="str">
        <f>IFERROR(VLOOKUP($A754,CP!$A$1:$U$7992,19,FALSE),"")</f>
        <v/>
      </c>
      <c r="AX754" s="224" t="str">
        <f>IFERROR(VLOOKUP($A754,CP!$A$1:$U$7992,20,FALSE),"")</f>
        <v/>
      </c>
      <c r="AY754" s="207" t="str">
        <f>IFERROR(VLOOKUP($A754,CP!$A$1:$U$1,21,FALSE),"")</f>
        <v/>
      </c>
      <c r="AZ754" s="224" t="str">
        <f>IFERROR(VLOOKUP(A754,Devengado!$A$1:AJ1,35,FALSE),"")</f>
        <v/>
      </c>
      <c r="BA754" s="224" t="str">
        <f t="shared" si="90"/>
        <v/>
      </c>
      <c r="BB754" s="224" t="str">
        <f>IFERROR(AZ754/#REF!,"")</f>
        <v/>
      </c>
      <c r="BC754" s="224" t="str">
        <f>IFERROR(VLOOKUP($A754,Devengado!$A$1:$AI$1,22,FALSE),"")</f>
        <v/>
      </c>
      <c r="BD754" s="224" t="str">
        <f>IFERROR(VLOOKUP($A754,Devengado!$A$1:$AI$1,23,FALSE),"")</f>
        <v/>
      </c>
      <c r="BE754" s="224" t="str">
        <f>IFERROR(VLOOKUP($A754,Devengado!$A$1:$AI$1,24,FALSE),"")</f>
        <v/>
      </c>
      <c r="BF754" s="224" t="str">
        <f>IFERROR(VLOOKUP($A754,Devengado!$A$1:$AI$1,25,FALSE),"")</f>
        <v/>
      </c>
      <c r="BG754" s="224" t="str">
        <f>IFERROR(VLOOKUP($A754,Devengado!$A$1:$AI$1,26,FALSE),"")</f>
        <v/>
      </c>
      <c r="BH754" s="224" t="str">
        <f>IFERROR(VLOOKUP($A754,Devengado!$A$1:$AI$1,27,FALSE),"")</f>
        <v/>
      </c>
      <c r="BI754" s="224" t="str">
        <f>IFERROR(VLOOKUP($A754,Devengado!$A$1:$AI$1,28,FALSE),"")</f>
        <v/>
      </c>
      <c r="BJ754" s="224" t="str">
        <f>IFERROR(VLOOKUP($A754,Devengado!$A$1:$AI$1,29,FALSE),"")</f>
        <v/>
      </c>
      <c r="BK754" s="224" t="str">
        <f>IFERROR(VLOOKUP($A754,Devengado!$A$1:$AI$1,30,FALSE),"")</f>
        <v/>
      </c>
      <c r="BL754" s="224" t="str">
        <f>IFERROR(VLOOKUP($A754,Devengado!$A$1:$AI$1,31,FALSE),"")</f>
        <v/>
      </c>
      <c r="BM754" s="224" t="str">
        <f>IFERROR(VLOOKUP($A754,Devengado!$A$1:$AI$1,32,FALSE),"")</f>
        <v/>
      </c>
      <c r="BN754" s="224" t="str">
        <f>IFERROR(VLOOKUP($A754,Devengado!$A$1:$AI$1,33,FALSE),"")</f>
        <v/>
      </c>
      <c r="BO754" s="224">
        <f t="shared" si="91"/>
        <v>0</v>
      </c>
      <c r="BP754" s="224" t="str">
        <f t="shared" si="92"/>
        <v/>
      </c>
      <c r="BQ754" s="207"/>
      <c r="BR754" s="207" t="str">
        <f t="shared" si="93"/>
        <v>53</v>
      </c>
    </row>
    <row r="755" spans="1:70" s="225" customFormat="1" ht="25.5" customHeight="1">
      <c r="A755" s="207">
        <v>751</v>
      </c>
      <c r="B755" s="112" t="s">
        <v>348</v>
      </c>
      <c r="C755" s="112" t="s">
        <v>77</v>
      </c>
      <c r="D755" s="112" t="s">
        <v>77</v>
      </c>
      <c r="E755" s="112" t="s">
        <v>76</v>
      </c>
      <c r="F755" s="112" t="s">
        <v>77</v>
      </c>
      <c r="G755" s="112" t="s">
        <v>77</v>
      </c>
      <c r="H755" s="112" t="s">
        <v>77</v>
      </c>
      <c r="I755" s="112" t="s">
        <v>77</v>
      </c>
      <c r="J755" s="112" t="s">
        <v>77</v>
      </c>
      <c r="K755" s="112" t="s">
        <v>77</v>
      </c>
      <c r="L755" s="112" t="s">
        <v>85</v>
      </c>
      <c r="M755" s="207" t="s">
        <v>721</v>
      </c>
      <c r="N755" s="118" t="s">
        <v>350</v>
      </c>
      <c r="O755" s="118" t="s">
        <v>111</v>
      </c>
      <c r="P755" s="118" t="s">
        <v>81</v>
      </c>
      <c r="Q755" s="118" t="s">
        <v>112</v>
      </c>
      <c r="R755" s="115" t="str">
        <f t="shared" si="88"/>
        <v>53</v>
      </c>
      <c r="S755" s="269">
        <v>530101</v>
      </c>
      <c r="T755" s="207" t="str">
        <f>VLOOKUP(S755,ITEM!$C$1:$D$156,2,FALSE)</f>
        <v>Agua Potable</v>
      </c>
      <c r="U755" s="207">
        <v>1701</v>
      </c>
      <c r="V755" s="114" t="s">
        <v>82</v>
      </c>
      <c r="W755" s="114" t="s">
        <v>84</v>
      </c>
      <c r="X755" s="114" t="s">
        <v>84</v>
      </c>
      <c r="Y755" s="298" t="e">
        <f>'Matriz POA 2024-TRABAJO'!#REF!</f>
        <v>#REF!</v>
      </c>
      <c r="Z755" s="298" t="e">
        <f>'Matriz POA 2024-TRABAJO'!#REF!</f>
        <v>#REF!</v>
      </c>
      <c r="AA755" s="298" t="e">
        <f>'Matriz POA 2024-TRABAJO'!#REF!</f>
        <v>#REF!</v>
      </c>
      <c r="AB755" s="207">
        <v>30</v>
      </c>
      <c r="AC755" s="207">
        <v>30</v>
      </c>
      <c r="AD755" s="207">
        <v>30</v>
      </c>
      <c r="AE755" s="207">
        <v>30</v>
      </c>
      <c r="AF755" s="207">
        <v>30</v>
      </c>
      <c r="AG755" s="207">
        <v>30</v>
      </c>
      <c r="AH755" s="207">
        <v>30</v>
      </c>
      <c r="AI755" s="207">
        <v>30</v>
      </c>
      <c r="AJ755" s="207">
        <v>30</v>
      </c>
      <c r="AK755" s="207">
        <v>30</v>
      </c>
      <c r="AL755" s="207">
        <v>30</v>
      </c>
      <c r="AM755" s="207">
        <v>30</v>
      </c>
      <c r="AN755" s="207"/>
      <c r="AO755" s="224">
        <f t="shared" si="89"/>
        <v>360</v>
      </c>
      <c r="AP755" s="224" t="e">
        <f t="shared" si="94"/>
        <v>#REF!</v>
      </c>
      <c r="AQ755" s="207"/>
      <c r="AR755" s="207"/>
      <c r="AS755" s="207"/>
      <c r="AT755" s="224" t="str">
        <f>IFERROR(VLOOKUP($A755,'Constancias POA'!$A$2:$DH$9993,17,FALSE),"")</f>
        <v/>
      </c>
      <c r="AU755" s="207" t="str">
        <f t="shared" si="95"/>
        <v/>
      </c>
      <c r="AV755" s="224" t="str">
        <f>IFERROR(VLOOKUP($A755,CP!$A$1:$U$7992,18,FALSE),"")</f>
        <v/>
      </c>
      <c r="AW755" s="224" t="str">
        <f>IFERROR(VLOOKUP($A755,CP!$A$1:$U$7992,19,FALSE),"")</f>
        <v/>
      </c>
      <c r="AX755" s="224" t="str">
        <f>IFERROR(VLOOKUP($A755,CP!$A$1:$U$7992,20,FALSE),"")</f>
        <v/>
      </c>
      <c r="AY755" s="207" t="str">
        <f>IFERROR(VLOOKUP($A755,CP!$A$1:$U$1,21,FALSE),"")</f>
        <v/>
      </c>
      <c r="AZ755" s="224" t="str">
        <f>IFERROR(VLOOKUP(A755,Devengado!$A$1:AJ1,35,FALSE),"")</f>
        <v/>
      </c>
      <c r="BA755" s="224" t="str">
        <f t="shared" si="90"/>
        <v/>
      </c>
      <c r="BB755" s="224" t="str">
        <f>IFERROR(AZ755/#REF!,"")</f>
        <v/>
      </c>
      <c r="BC755" s="224" t="str">
        <f>IFERROR(VLOOKUP($A755,Devengado!$A$1:$AI$1,22,FALSE),"")</f>
        <v/>
      </c>
      <c r="BD755" s="224" t="str">
        <f>IFERROR(VLOOKUP($A755,Devengado!$A$1:$AI$1,23,FALSE),"")</f>
        <v/>
      </c>
      <c r="BE755" s="224" t="str">
        <f>IFERROR(VLOOKUP($A755,Devengado!$A$1:$AI$1,24,FALSE),"")</f>
        <v/>
      </c>
      <c r="BF755" s="224" t="str">
        <f>IFERROR(VLOOKUP($A755,Devengado!$A$1:$AI$1,25,FALSE),"")</f>
        <v/>
      </c>
      <c r="BG755" s="224" t="str">
        <f>IFERROR(VLOOKUP($A755,Devengado!$A$1:$AI$1,26,FALSE),"")</f>
        <v/>
      </c>
      <c r="BH755" s="224" t="str">
        <f>IFERROR(VLOOKUP($A755,Devengado!$A$1:$AI$1,27,FALSE),"")</f>
        <v/>
      </c>
      <c r="BI755" s="224" t="str">
        <f>IFERROR(VLOOKUP($A755,Devengado!$A$1:$AI$1,28,FALSE),"")</f>
        <v/>
      </c>
      <c r="BJ755" s="224" t="str">
        <f>IFERROR(VLOOKUP($A755,Devengado!$A$1:$AI$1,29,FALSE),"")</f>
        <v/>
      </c>
      <c r="BK755" s="224" t="str">
        <f>IFERROR(VLOOKUP($A755,Devengado!$A$1:$AI$1,30,FALSE),"")</f>
        <v/>
      </c>
      <c r="BL755" s="224" t="str">
        <f>IFERROR(VLOOKUP($A755,Devengado!$A$1:$AI$1,31,FALSE),"")</f>
        <v/>
      </c>
      <c r="BM755" s="224" t="str">
        <f>IFERROR(VLOOKUP($A755,Devengado!$A$1:$AI$1,32,FALSE),"")</f>
        <v/>
      </c>
      <c r="BN755" s="224" t="str">
        <f>IFERROR(VLOOKUP($A755,Devengado!$A$1:$AI$1,33,FALSE),"")</f>
        <v/>
      </c>
      <c r="BO755" s="224">
        <f t="shared" si="91"/>
        <v>0</v>
      </c>
      <c r="BP755" s="224" t="str">
        <f t="shared" si="92"/>
        <v/>
      </c>
      <c r="BQ755" s="207"/>
      <c r="BR755" s="207" t="str">
        <f t="shared" si="93"/>
        <v>53</v>
      </c>
    </row>
    <row r="756" spans="1:70" s="225" customFormat="1" ht="25.5" customHeight="1">
      <c r="A756" s="207">
        <v>752</v>
      </c>
      <c r="B756" s="112" t="s">
        <v>348</v>
      </c>
      <c r="C756" s="112" t="s">
        <v>77</v>
      </c>
      <c r="D756" s="112" t="s">
        <v>77</v>
      </c>
      <c r="E756" s="112" t="s">
        <v>76</v>
      </c>
      <c r="F756" s="112" t="s">
        <v>77</v>
      </c>
      <c r="G756" s="112" t="s">
        <v>77</v>
      </c>
      <c r="H756" s="112" t="s">
        <v>77</v>
      </c>
      <c r="I756" s="112" t="s">
        <v>77</v>
      </c>
      <c r="J756" s="112" t="s">
        <v>77</v>
      </c>
      <c r="K756" s="112" t="s">
        <v>77</v>
      </c>
      <c r="L756" s="112" t="s">
        <v>85</v>
      </c>
      <c r="M756" s="207" t="s">
        <v>722</v>
      </c>
      <c r="N756" s="118" t="s">
        <v>350</v>
      </c>
      <c r="O756" s="118" t="s">
        <v>111</v>
      </c>
      <c r="P756" s="118" t="s">
        <v>81</v>
      </c>
      <c r="Q756" s="118" t="s">
        <v>112</v>
      </c>
      <c r="R756" s="115" t="str">
        <f t="shared" si="88"/>
        <v>53</v>
      </c>
      <c r="S756" s="269">
        <v>530101</v>
      </c>
      <c r="T756" s="207" t="str">
        <f>VLOOKUP(S756,ITEM!$C$1:$D$156,2,FALSE)</f>
        <v>Agua Potable</v>
      </c>
      <c r="U756" s="207">
        <v>1701</v>
      </c>
      <c r="V756" s="114" t="s">
        <v>82</v>
      </c>
      <c r="W756" s="114" t="s">
        <v>84</v>
      </c>
      <c r="X756" s="114" t="s">
        <v>84</v>
      </c>
      <c r="Y756" s="298" t="e">
        <f>'Matriz POA 2024-TRABAJO'!#REF!</f>
        <v>#REF!</v>
      </c>
      <c r="Z756" s="298" t="e">
        <f>'Matriz POA 2024-TRABAJO'!#REF!</f>
        <v>#REF!</v>
      </c>
      <c r="AA756" s="298" t="e">
        <f>'Matriz POA 2024-TRABAJO'!#REF!</f>
        <v>#REF!</v>
      </c>
      <c r="AB756" s="207">
        <v>35</v>
      </c>
      <c r="AC756" s="207">
        <v>35</v>
      </c>
      <c r="AD756" s="207">
        <v>35</v>
      </c>
      <c r="AE756" s="207">
        <v>35</v>
      </c>
      <c r="AF756" s="207">
        <v>35</v>
      </c>
      <c r="AG756" s="207">
        <v>35</v>
      </c>
      <c r="AH756" s="207">
        <v>35</v>
      </c>
      <c r="AI756" s="207">
        <v>35</v>
      </c>
      <c r="AJ756" s="207">
        <v>35</v>
      </c>
      <c r="AK756" s="207">
        <v>35</v>
      </c>
      <c r="AL756" s="207">
        <v>35</v>
      </c>
      <c r="AM756" s="207">
        <v>35</v>
      </c>
      <c r="AN756" s="207"/>
      <c r="AO756" s="224">
        <f t="shared" si="89"/>
        <v>420</v>
      </c>
      <c r="AP756" s="224" t="e">
        <f t="shared" si="94"/>
        <v>#REF!</v>
      </c>
      <c r="AQ756" s="207"/>
      <c r="AR756" s="207"/>
      <c r="AS756" s="207"/>
      <c r="AT756" s="224" t="str">
        <f>IFERROR(VLOOKUP($A756,'Constancias POA'!$A$2:$DH$9993,17,FALSE),"")</f>
        <v/>
      </c>
      <c r="AU756" s="207" t="str">
        <f t="shared" si="95"/>
        <v/>
      </c>
      <c r="AV756" s="224" t="str">
        <f>IFERROR(VLOOKUP($A756,CP!$A$1:$U$7992,18,FALSE),"")</f>
        <v/>
      </c>
      <c r="AW756" s="224" t="str">
        <f>IFERROR(VLOOKUP($A756,CP!$A$1:$U$7992,19,FALSE),"")</f>
        <v/>
      </c>
      <c r="AX756" s="224" t="str">
        <f>IFERROR(VLOOKUP($A756,CP!$A$1:$U$7992,20,FALSE),"")</f>
        <v/>
      </c>
      <c r="AY756" s="207" t="str">
        <f>IFERROR(VLOOKUP($A756,CP!$A$1:$U$1,21,FALSE),"")</f>
        <v/>
      </c>
      <c r="AZ756" s="224" t="str">
        <f>IFERROR(VLOOKUP(A756,Devengado!$A$1:AJ1,35,FALSE),"")</f>
        <v/>
      </c>
      <c r="BA756" s="224" t="str">
        <f t="shared" si="90"/>
        <v/>
      </c>
      <c r="BB756" s="224" t="str">
        <f>IFERROR(AZ756/#REF!,"")</f>
        <v/>
      </c>
      <c r="BC756" s="224" t="str">
        <f>IFERROR(VLOOKUP($A756,Devengado!$A$1:$AI$1,22,FALSE),"")</f>
        <v/>
      </c>
      <c r="BD756" s="224" t="str">
        <f>IFERROR(VLOOKUP($A756,Devengado!$A$1:$AI$1,23,FALSE),"")</f>
        <v/>
      </c>
      <c r="BE756" s="224" t="str">
        <f>IFERROR(VLOOKUP($A756,Devengado!$A$1:$AI$1,24,FALSE),"")</f>
        <v/>
      </c>
      <c r="BF756" s="224" t="str">
        <f>IFERROR(VLOOKUP($A756,Devengado!$A$1:$AI$1,25,FALSE),"")</f>
        <v/>
      </c>
      <c r="BG756" s="224" t="str">
        <f>IFERROR(VLOOKUP($A756,Devengado!$A$1:$AI$1,26,FALSE),"")</f>
        <v/>
      </c>
      <c r="BH756" s="224" t="str">
        <f>IFERROR(VLOOKUP($A756,Devengado!$A$1:$AI$1,27,FALSE),"")</f>
        <v/>
      </c>
      <c r="BI756" s="224" t="str">
        <f>IFERROR(VLOOKUP($A756,Devengado!$A$1:$AI$1,28,FALSE),"")</f>
        <v/>
      </c>
      <c r="BJ756" s="224" t="str">
        <f>IFERROR(VLOOKUP($A756,Devengado!$A$1:$AI$1,29,FALSE),"")</f>
        <v/>
      </c>
      <c r="BK756" s="224" t="str">
        <f>IFERROR(VLOOKUP($A756,Devengado!$A$1:$AI$1,30,FALSE),"")</f>
        <v/>
      </c>
      <c r="BL756" s="224" t="str">
        <f>IFERROR(VLOOKUP($A756,Devengado!$A$1:$AI$1,31,FALSE),"")</f>
        <v/>
      </c>
      <c r="BM756" s="224" t="str">
        <f>IFERROR(VLOOKUP($A756,Devengado!$A$1:$AI$1,32,FALSE),"")</f>
        <v/>
      </c>
      <c r="BN756" s="224" t="str">
        <f>IFERROR(VLOOKUP($A756,Devengado!$A$1:$AI$1,33,FALSE),"")</f>
        <v/>
      </c>
      <c r="BO756" s="224">
        <f t="shared" si="91"/>
        <v>0</v>
      </c>
      <c r="BP756" s="224" t="str">
        <f t="shared" si="92"/>
        <v/>
      </c>
      <c r="BQ756" s="207"/>
      <c r="BR756" s="207" t="str">
        <f t="shared" si="93"/>
        <v>53</v>
      </c>
    </row>
    <row r="757" spans="1:70" s="225" customFormat="1" ht="25.5" customHeight="1">
      <c r="A757" s="207">
        <v>753</v>
      </c>
      <c r="B757" s="112" t="s">
        <v>348</v>
      </c>
      <c r="C757" s="112" t="s">
        <v>77</v>
      </c>
      <c r="D757" s="112" t="s">
        <v>77</v>
      </c>
      <c r="E757" s="112" t="s">
        <v>76</v>
      </c>
      <c r="F757" s="112" t="s">
        <v>77</v>
      </c>
      <c r="G757" s="112" t="s">
        <v>77</v>
      </c>
      <c r="H757" s="112" t="s">
        <v>77</v>
      </c>
      <c r="I757" s="112" t="s">
        <v>77</v>
      </c>
      <c r="J757" s="112" t="s">
        <v>77</v>
      </c>
      <c r="K757" s="112" t="s">
        <v>77</v>
      </c>
      <c r="L757" s="112" t="s">
        <v>85</v>
      </c>
      <c r="M757" s="207" t="s">
        <v>723</v>
      </c>
      <c r="N757" s="118" t="s">
        <v>350</v>
      </c>
      <c r="O757" s="118" t="s">
        <v>111</v>
      </c>
      <c r="P757" s="118" t="s">
        <v>81</v>
      </c>
      <c r="Q757" s="118" t="s">
        <v>112</v>
      </c>
      <c r="R757" s="115" t="str">
        <f t="shared" si="88"/>
        <v>53</v>
      </c>
      <c r="S757" s="269">
        <v>530101</v>
      </c>
      <c r="T757" s="207" t="str">
        <f>VLOOKUP(S757,ITEM!$C$1:$D$156,2,FALSE)</f>
        <v>Agua Potable</v>
      </c>
      <c r="U757" s="207">
        <v>1701</v>
      </c>
      <c r="V757" s="114" t="s">
        <v>82</v>
      </c>
      <c r="W757" s="114" t="s">
        <v>84</v>
      </c>
      <c r="X757" s="114" t="s">
        <v>84</v>
      </c>
      <c r="Y757" s="298" t="e">
        <f>'Matriz POA 2024-TRABAJO'!#REF!</f>
        <v>#REF!</v>
      </c>
      <c r="Z757" s="298" t="e">
        <f>'Matriz POA 2024-TRABAJO'!#REF!</f>
        <v>#REF!</v>
      </c>
      <c r="AA757" s="298" t="e">
        <f>'Matriz POA 2024-TRABAJO'!#REF!</f>
        <v>#REF!</v>
      </c>
      <c r="AB757" s="207">
        <v>10</v>
      </c>
      <c r="AC757" s="207">
        <v>10</v>
      </c>
      <c r="AD757" s="207">
        <v>10</v>
      </c>
      <c r="AE757" s="207">
        <v>10</v>
      </c>
      <c r="AF757" s="207">
        <v>10</v>
      </c>
      <c r="AG757" s="207">
        <v>10</v>
      </c>
      <c r="AH757" s="207">
        <v>10</v>
      </c>
      <c r="AI757" s="207">
        <v>10</v>
      </c>
      <c r="AJ757" s="207">
        <v>10</v>
      </c>
      <c r="AK757" s="207">
        <v>10</v>
      </c>
      <c r="AL757" s="207">
        <v>10</v>
      </c>
      <c r="AM757" s="207">
        <v>10</v>
      </c>
      <c r="AN757" s="207"/>
      <c r="AO757" s="224">
        <f t="shared" si="89"/>
        <v>120</v>
      </c>
      <c r="AP757" s="224" t="e">
        <f t="shared" si="94"/>
        <v>#REF!</v>
      </c>
      <c r="AQ757" s="207"/>
      <c r="AR757" s="207"/>
      <c r="AS757" s="207"/>
      <c r="AT757" s="224" t="str">
        <f>IFERROR(VLOOKUP($A757,'Constancias POA'!$A$2:$DH$9993,17,FALSE),"")</f>
        <v/>
      </c>
      <c r="AU757" s="207" t="str">
        <f t="shared" si="95"/>
        <v/>
      </c>
      <c r="AV757" s="224" t="str">
        <f>IFERROR(VLOOKUP($A757,CP!$A$1:$U$7992,18,FALSE),"")</f>
        <v/>
      </c>
      <c r="AW757" s="224" t="str">
        <f>IFERROR(VLOOKUP($A757,CP!$A$1:$U$7992,19,FALSE),"")</f>
        <v/>
      </c>
      <c r="AX757" s="224" t="str">
        <f>IFERROR(VLOOKUP($A757,CP!$A$1:$U$7992,20,FALSE),"")</f>
        <v/>
      </c>
      <c r="AY757" s="207" t="str">
        <f>IFERROR(VLOOKUP($A757,CP!$A$1:$U$1,21,FALSE),"")</f>
        <v/>
      </c>
      <c r="AZ757" s="224" t="str">
        <f>IFERROR(VLOOKUP(A757,Devengado!$A$1:AJ1,35,FALSE),"")</f>
        <v/>
      </c>
      <c r="BA757" s="224" t="str">
        <f t="shared" si="90"/>
        <v/>
      </c>
      <c r="BB757" s="224" t="str">
        <f>IFERROR(AZ757/#REF!,"")</f>
        <v/>
      </c>
      <c r="BC757" s="224" t="str">
        <f>IFERROR(VLOOKUP($A757,Devengado!$A$1:$AI$1,22,FALSE),"")</f>
        <v/>
      </c>
      <c r="BD757" s="224" t="str">
        <f>IFERROR(VLOOKUP($A757,Devengado!$A$1:$AI$1,23,FALSE),"")</f>
        <v/>
      </c>
      <c r="BE757" s="224" t="str">
        <f>IFERROR(VLOOKUP($A757,Devengado!$A$1:$AI$1,24,FALSE),"")</f>
        <v/>
      </c>
      <c r="BF757" s="224" t="str">
        <f>IFERROR(VLOOKUP($A757,Devengado!$A$1:$AI$1,25,FALSE),"")</f>
        <v/>
      </c>
      <c r="BG757" s="224" t="str">
        <f>IFERROR(VLOOKUP($A757,Devengado!$A$1:$AI$1,26,FALSE),"")</f>
        <v/>
      </c>
      <c r="BH757" s="224" t="str">
        <f>IFERROR(VLOOKUP($A757,Devengado!$A$1:$AI$1,27,FALSE),"")</f>
        <v/>
      </c>
      <c r="BI757" s="224" t="str">
        <f>IFERROR(VLOOKUP($A757,Devengado!$A$1:$AI$1,28,FALSE),"")</f>
        <v/>
      </c>
      <c r="BJ757" s="224" t="str">
        <f>IFERROR(VLOOKUP($A757,Devengado!$A$1:$AI$1,29,FALSE),"")</f>
        <v/>
      </c>
      <c r="BK757" s="224" t="str">
        <f>IFERROR(VLOOKUP($A757,Devengado!$A$1:$AI$1,30,FALSE),"")</f>
        <v/>
      </c>
      <c r="BL757" s="224" t="str">
        <f>IFERROR(VLOOKUP($A757,Devengado!$A$1:$AI$1,31,FALSE),"")</f>
        <v/>
      </c>
      <c r="BM757" s="224" t="str">
        <f>IFERROR(VLOOKUP($A757,Devengado!$A$1:$AI$1,32,FALSE),"")</f>
        <v/>
      </c>
      <c r="BN757" s="224" t="str">
        <f>IFERROR(VLOOKUP($A757,Devengado!$A$1:$AI$1,33,FALSE),"")</f>
        <v/>
      </c>
      <c r="BO757" s="224">
        <f t="shared" si="91"/>
        <v>0</v>
      </c>
      <c r="BP757" s="224" t="str">
        <f t="shared" si="92"/>
        <v/>
      </c>
      <c r="BQ757" s="207"/>
      <c r="BR757" s="207" t="str">
        <f t="shared" si="93"/>
        <v>53</v>
      </c>
    </row>
    <row r="758" spans="1:70" s="225" customFormat="1" ht="25.5" customHeight="1">
      <c r="A758" s="207">
        <v>754</v>
      </c>
      <c r="B758" s="112" t="s">
        <v>348</v>
      </c>
      <c r="C758" s="112" t="s">
        <v>77</v>
      </c>
      <c r="D758" s="112" t="s">
        <v>77</v>
      </c>
      <c r="E758" s="112" t="s">
        <v>76</v>
      </c>
      <c r="F758" s="112" t="s">
        <v>77</v>
      </c>
      <c r="G758" s="112" t="s">
        <v>77</v>
      </c>
      <c r="H758" s="112" t="s">
        <v>77</v>
      </c>
      <c r="I758" s="112" t="s">
        <v>77</v>
      </c>
      <c r="J758" s="112" t="s">
        <v>77</v>
      </c>
      <c r="K758" s="112" t="s">
        <v>77</v>
      </c>
      <c r="L758" s="112" t="s">
        <v>85</v>
      </c>
      <c r="M758" s="207" t="s">
        <v>724</v>
      </c>
      <c r="N758" s="118" t="s">
        <v>350</v>
      </c>
      <c r="O758" s="118" t="s">
        <v>111</v>
      </c>
      <c r="P758" s="118" t="s">
        <v>81</v>
      </c>
      <c r="Q758" s="118" t="s">
        <v>112</v>
      </c>
      <c r="R758" s="115" t="str">
        <f t="shared" si="88"/>
        <v>53</v>
      </c>
      <c r="S758" s="269">
        <v>530101</v>
      </c>
      <c r="T758" s="207" t="str">
        <f>VLOOKUP(S758,ITEM!$C$1:$D$156,2,FALSE)</f>
        <v>Agua Potable</v>
      </c>
      <c r="U758" s="207">
        <v>1701</v>
      </c>
      <c r="V758" s="114" t="s">
        <v>82</v>
      </c>
      <c r="W758" s="114" t="s">
        <v>84</v>
      </c>
      <c r="X758" s="114" t="s">
        <v>84</v>
      </c>
      <c r="Y758" s="298" t="e">
        <f>'Matriz POA 2024-TRABAJO'!#REF!</f>
        <v>#REF!</v>
      </c>
      <c r="Z758" s="298" t="e">
        <f>'Matriz POA 2024-TRABAJO'!#REF!</f>
        <v>#REF!</v>
      </c>
      <c r="AA758" s="298" t="e">
        <f>'Matriz POA 2024-TRABAJO'!#REF!</f>
        <v>#REF!</v>
      </c>
      <c r="AB758" s="207">
        <v>55</v>
      </c>
      <c r="AC758" s="207">
        <v>50</v>
      </c>
      <c r="AD758" s="207">
        <v>50</v>
      </c>
      <c r="AE758" s="207">
        <v>50</v>
      </c>
      <c r="AF758" s="207">
        <v>50</v>
      </c>
      <c r="AG758" s="207">
        <v>50</v>
      </c>
      <c r="AH758" s="207">
        <v>50</v>
      </c>
      <c r="AI758" s="207">
        <v>50</v>
      </c>
      <c r="AJ758" s="207">
        <v>50</v>
      </c>
      <c r="AK758" s="207">
        <v>50</v>
      </c>
      <c r="AL758" s="207">
        <v>50</v>
      </c>
      <c r="AM758" s="207">
        <v>50</v>
      </c>
      <c r="AN758" s="207"/>
      <c r="AO758" s="224">
        <f t="shared" si="89"/>
        <v>605</v>
      </c>
      <c r="AP758" s="224" t="e">
        <f t="shared" si="94"/>
        <v>#REF!</v>
      </c>
      <c r="AQ758" s="207"/>
      <c r="AR758" s="207"/>
      <c r="AS758" s="207"/>
      <c r="AT758" s="224" t="str">
        <f>IFERROR(VLOOKUP($A758,'Constancias POA'!$A$2:$DH$9993,17,FALSE),"")</f>
        <v/>
      </c>
      <c r="AU758" s="207" t="str">
        <f t="shared" si="95"/>
        <v/>
      </c>
      <c r="AV758" s="224" t="str">
        <f>IFERROR(VLOOKUP($A758,CP!$A$1:$U$7992,18,FALSE),"")</f>
        <v/>
      </c>
      <c r="AW758" s="224" t="str">
        <f>IFERROR(VLOOKUP($A758,CP!$A$1:$U$7992,19,FALSE),"")</f>
        <v/>
      </c>
      <c r="AX758" s="224" t="str">
        <f>IFERROR(VLOOKUP($A758,CP!$A$1:$U$7992,20,FALSE),"")</f>
        <v/>
      </c>
      <c r="AY758" s="207" t="str">
        <f>IFERROR(VLOOKUP($A758,CP!$A$1:$U$1,21,FALSE),"")</f>
        <v/>
      </c>
      <c r="AZ758" s="224" t="str">
        <f>IFERROR(VLOOKUP(A758,Devengado!$A$1:AJ1,35,FALSE),"")</f>
        <v/>
      </c>
      <c r="BA758" s="224" t="str">
        <f t="shared" si="90"/>
        <v/>
      </c>
      <c r="BB758" s="224" t="str">
        <f>IFERROR(AZ758/#REF!,"")</f>
        <v/>
      </c>
      <c r="BC758" s="224" t="str">
        <f>IFERROR(VLOOKUP($A758,Devengado!$A$1:$AI$1,22,FALSE),"")</f>
        <v/>
      </c>
      <c r="BD758" s="224" t="str">
        <f>IFERROR(VLOOKUP($A758,Devengado!$A$1:$AI$1,23,FALSE),"")</f>
        <v/>
      </c>
      <c r="BE758" s="224" t="str">
        <f>IFERROR(VLOOKUP($A758,Devengado!$A$1:$AI$1,24,FALSE),"")</f>
        <v/>
      </c>
      <c r="BF758" s="224" t="str">
        <f>IFERROR(VLOOKUP($A758,Devengado!$A$1:$AI$1,25,FALSE),"")</f>
        <v/>
      </c>
      <c r="BG758" s="224" t="str">
        <f>IFERROR(VLOOKUP($A758,Devengado!$A$1:$AI$1,26,FALSE),"")</f>
        <v/>
      </c>
      <c r="BH758" s="224" t="str">
        <f>IFERROR(VLOOKUP($A758,Devengado!$A$1:$AI$1,27,FALSE),"")</f>
        <v/>
      </c>
      <c r="BI758" s="224" t="str">
        <f>IFERROR(VLOOKUP($A758,Devengado!$A$1:$AI$1,28,FALSE),"")</f>
        <v/>
      </c>
      <c r="BJ758" s="224" t="str">
        <f>IFERROR(VLOOKUP($A758,Devengado!$A$1:$AI$1,29,FALSE),"")</f>
        <v/>
      </c>
      <c r="BK758" s="224" t="str">
        <f>IFERROR(VLOOKUP($A758,Devengado!$A$1:$AI$1,30,FALSE),"")</f>
        <v/>
      </c>
      <c r="BL758" s="224" t="str">
        <f>IFERROR(VLOOKUP($A758,Devengado!$A$1:$AI$1,31,FALSE),"")</f>
        <v/>
      </c>
      <c r="BM758" s="224" t="str">
        <f>IFERROR(VLOOKUP($A758,Devengado!$A$1:$AI$1,32,FALSE),"")</f>
        <v/>
      </c>
      <c r="BN758" s="224" t="str">
        <f>IFERROR(VLOOKUP($A758,Devengado!$A$1:$AI$1,33,FALSE),"")</f>
        <v/>
      </c>
      <c r="BO758" s="224">
        <f t="shared" si="91"/>
        <v>0</v>
      </c>
      <c r="BP758" s="224" t="str">
        <f t="shared" si="92"/>
        <v/>
      </c>
      <c r="BQ758" s="207"/>
      <c r="BR758" s="207" t="str">
        <f t="shared" si="93"/>
        <v>53</v>
      </c>
    </row>
    <row r="759" spans="1:70" s="225" customFormat="1" ht="25.5" customHeight="1">
      <c r="A759" s="207">
        <v>755</v>
      </c>
      <c r="B759" s="112" t="s">
        <v>348</v>
      </c>
      <c r="C759" s="112" t="s">
        <v>77</v>
      </c>
      <c r="D759" s="112" t="s">
        <v>77</v>
      </c>
      <c r="E759" s="112" t="s">
        <v>76</v>
      </c>
      <c r="F759" s="112" t="s">
        <v>77</v>
      </c>
      <c r="G759" s="112" t="s">
        <v>77</v>
      </c>
      <c r="H759" s="112" t="s">
        <v>77</v>
      </c>
      <c r="I759" s="112" t="s">
        <v>77</v>
      </c>
      <c r="J759" s="112" t="s">
        <v>77</v>
      </c>
      <c r="K759" s="112" t="s">
        <v>77</v>
      </c>
      <c r="L759" s="112" t="s">
        <v>85</v>
      </c>
      <c r="M759" s="207" t="s">
        <v>725</v>
      </c>
      <c r="N759" s="118" t="s">
        <v>350</v>
      </c>
      <c r="O759" s="118" t="s">
        <v>111</v>
      </c>
      <c r="P759" s="118" t="s">
        <v>81</v>
      </c>
      <c r="Q759" s="118" t="s">
        <v>112</v>
      </c>
      <c r="R759" s="115" t="str">
        <f t="shared" si="88"/>
        <v>53</v>
      </c>
      <c r="S759" s="269">
        <v>530101</v>
      </c>
      <c r="T759" s="207" t="str">
        <f>VLOOKUP(S759,ITEM!$C$1:$D$156,2,FALSE)</f>
        <v>Agua Potable</v>
      </c>
      <c r="U759" s="207">
        <v>1701</v>
      </c>
      <c r="V759" s="114" t="s">
        <v>82</v>
      </c>
      <c r="W759" s="114" t="s">
        <v>84</v>
      </c>
      <c r="X759" s="114" t="s">
        <v>84</v>
      </c>
      <c r="Y759" s="298" t="e">
        <f>'Matriz POA 2024-TRABAJO'!#REF!</f>
        <v>#REF!</v>
      </c>
      <c r="Z759" s="298" t="e">
        <f>'Matriz POA 2024-TRABAJO'!#REF!</f>
        <v>#REF!</v>
      </c>
      <c r="AA759" s="298" t="e">
        <f>'Matriz POA 2024-TRABAJO'!#REF!</f>
        <v>#REF!</v>
      </c>
      <c r="AB759" s="207">
        <v>900</v>
      </c>
      <c r="AC759" s="207">
        <v>900</v>
      </c>
      <c r="AD759" s="207">
        <v>900</v>
      </c>
      <c r="AE759" s="207">
        <v>900</v>
      </c>
      <c r="AF759" s="207">
        <v>900</v>
      </c>
      <c r="AG759" s="207">
        <v>900</v>
      </c>
      <c r="AH759" s="207">
        <v>900</v>
      </c>
      <c r="AI759" s="207">
        <v>900</v>
      </c>
      <c r="AJ759" s="207">
        <v>900</v>
      </c>
      <c r="AK759" s="207">
        <v>900</v>
      </c>
      <c r="AL759" s="207">
        <v>900</v>
      </c>
      <c r="AM759" s="207">
        <v>900</v>
      </c>
      <c r="AN759" s="207"/>
      <c r="AO759" s="224">
        <f t="shared" si="89"/>
        <v>10800</v>
      </c>
      <c r="AP759" s="224" t="e">
        <f t="shared" si="94"/>
        <v>#REF!</v>
      </c>
      <c r="AQ759" s="207"/>
      <c r="AR759" s="207"/>
      <c r="AS759" s="207"/>
      <c r="AT759" s="224" t="str">
        <f>IFERROR(VLOOKUP($A759,'Constancias POA'!$A$2:$DH$9993,17,FALSE),"")</f>
        <v/>
      </c>
      <c r="AU759" s="207" t="str">
        <f t="shared" si="95"/>
        <v/>
      </c>
      <c r="AV759" s="224" t="str">
        <f>IFERROR(VLOOKUP($A759,CP!$A$1:$U$7992,18,FALSE),"")</f>
        <v/>
      </c>
      <c r="AW759" s="224" t="str">
        <f>IFERROR(VLOOKUP($A759,CP!$A$1:$U$7992,19,FALSE),"")</f>
        <v/>
      </c>
      <c r="AX759" s="224" t="str">
        <f>IFERROR(VLOOKUP($A759,CP!$A$1:$U$7992,20,FALSE),"")</f>
        <v/>
      </c>
      <c r="AY759" s="207" t="str">
        <f>IFERROR(VLOOKUP($A759,CP!$A$1:$U$1,21,FALSE),"")</f>
        <v/>
      </c>
      <c r="AZ759" s="224" t="str">
        <f>IFERROR(VLOOKUP(A759,Devengado!$A$1:AJ1,35,FALSE),"")</f>
        <v/>
      </c>
      <c r="BA759" s="224" t="str">
        <f t="shared" si="90"/>
        <v/>
      </c>
      <c r="BB759" s="224" t="str">
        <f>IFERROR(AZ759/#REF!,"")</f>
        <v/>
      </c>
      <c r="BC759" s="224" t="str">
        <f>IFERROR(VLOOKUP($A759,Devengado!$A$1:$AI$1,22,FALSE),"")</f>
        <v/>
      </c>
      <c r="BD759" s="224" t="str">
        <f>IFERROR(VLOOKUP($A759,Devengado!$A$1:$AI$1,23,FALSE),"")</f>
        <v/>
      </c>
      <c r="BE759" s="224" t="str">
        <f>IFERROR(VLOOKUP($A759,Devengado!$A$1:$AI$1,24,FALSE),"")</f>
        <v/>
      </c>
      <c r="BF759" s="224" t="str">
        <f>IFERROR(VLOOKUP($A759,Devengado!$A$1:$AI$1,25,FALSE),"")</f>
        <v/>
      </c>
      <c r="BG759" s="224" t="str">
        <f>IFERROR(VLOOKUP($A759,Devengado!$A$1:$AI$1,26,FALSE),"")</f>
        <v/>
      </c>
      <c r="BH759" s="224" t="str">
        <f>IFERROR(VLOOKUP($A759,Devengado!$A$1:$AI$1,27,FALSE),"")</f>
        <v/>
      </c>
      <c r="BI759" s="224" t="str">
        <f>IFERROR(VLOOKUP($A759,Devengado!$A$1:$AI$1,28,FALSE),"")</f>
        <v/>
      </c>
      <c r="BJ759" s="224" t="str">
        <f>IFERROR(VLOOKUP($A759,Devengado!$A$1:$AI$1,29,FALSE),"")</f>
        <v/>
      </c>
      <c r="BK759" s="224" t="str">
        <f>IFERROR(VLOOKUP($A759,Devengado!$A$1:$AI$1,30,FALSE),"")</f>
        <v/>
      </c>
      <c r="BL759" s="224" t="str">
        <f>IFERROR(VLOOKUP($A759,Devengado!$A$1:$AI$1,31,FALSE),"")</f>
        <v/>
      </c>
      <c r="BM759" s="224" t="str">
        <f>IFERROR(VLOOKUP($A759,Devengado!$A$1:$AI$1,32,FALSE),"")</f>
        <v/>
      </c>
      <c r="BN759" s="224" t="str">
        <f>IFERROR(VLOOKUP($A759,Devengado!$A$1:$AI$1,33,FALSE),"")</f>
        <v/>
      </c>
      <c r="BO759" s="224">
        <f t="shared" si="91"/>
        <v>0</v>
      </c>
      <c r="BP759" s="224" t="str">
        <f t="shared" si="92"/>
        <v/>
      </c>
      <c r="BQ759" s="207"/>
      <c r="BR759" s="207" t="str">
        <f t="shared" si="93"/>
        <v>53</v>
      </c>
    </row>
    <row r="760" spans="1:70" s="225" customFormat="1" ht="25.5" customHeight="1">
      <c r="A760" s="207">
        <v>756</v>
      </c>
      <c r="B760" s="112" t="s">
        <v>348</v>
      </c>
      <c r="C760" s="112" t="s">
        <v>77</v>
      </c>
      <c r="D760" s="112" t="s">
        <v>77</v>
      </c>
      <c r="E760" s="112" t="s">
        <v>76</v>
      </c>
      <c r="F760" s="112" t="s">
        <v>77</v>
      </c>
      <c r="G760" s="112" t="s">
        <v>77</v>
      </c>
      <c r="H760" s="112" t="s">
        <v>77</v>
      </c>
      <c r="I760" s="112" t="s">
        <v>77</v>
      </c>
      <c r="J760" s="112" t="s">
        <v>77</v>
      </c>
      <c r="K760" s="112" t="s">
        <v>77</v>
      </c>
      <c r="L760" s="112" t="s">
        <v>85</v>
      </c>
      <c r="M760" s="207" t="s">
        <v>726</v>
      </c>
      <c r="N760" s="118" t="s">
        <v>350</v>
      </c>
      <c r="O760" s="118" t="s">
        <v>111</v>
      </c>
      <c r="P760" s="118" t="s">
        <v>81</v>
      </c>
      <c r="Q760" s="118" t="s">
        <v>112</v>
      </c>
      <c r="R760" s="115" t="str">
        <f t="shared" si="88"/>
        <v>53</v>
      </c>
      <c r="S760" s="269">
        <v>530105</v>
      </c>
      <c r="T760" s="207" t="str">
        <f>VLOOKUP(S760,ITEM!$C$1:$D$156,2,FALSE)</f>
        <v>Telecomunicaciones</v>
      </c>
      <c r="U760" s="207">
        <v>1701</v>
      </c>
      <c r="V760" s="114" t="s">
        <v>82</v>
      </c>
      <c r="W760" s="114" t="s">
        <v>84</v>
      </c>
      <c r="X760" s="114" t="s">
        <v>84</v>
      </c>
      <c r="Y760" s="298" t="e">
        <f>'Matriz POA 2024-TRABAJO'!#REF!</f>
        <v>#REF!</v>
      </c>
      <c r="Z760" s="298" t="e">
        <f>'Matriz POA 2024-TRABAJO'!#REF!</f>
        <v>#REF!</v>
      </c>
      <c r="AA760" s="298" t="e">
        <f>'Matriz POA 2024-TRABAJO'!#REF!</f>
        <v>#REF!</v>
      </c>
      <c r="AB760" s="207">
        <v>11</v>
      </c>
      <c r="AC760" s="207">
        <v>11</v>
      </c>
      <c r="AD760" s="207">
        <v>11</v>
      </c>
      <c r="AE760" s="207">
        <v>11</v>
      </c>
      <c r="AF760" s="207">
        <v>11</v>
      </c>
      <c r="AG760" s="207">
        <v>11</v>
      </c>
      <c r="AH760" s="207">
        <v>11</v>
      </c>
      <c r="AI760" s="207">
        <v>11</v>
      </c>
      <c r="AJ760" s="207">
        <v>11</v>
      </c>
      <c r="AK760" s="207">
        <v>11</v>
      </c>
      <c r="AL760" s="207">
        <v>11</v>
      </c>
      <c r="AM760" s="207">
        <v>11</v>
      </c>
      <c r="AN760" s="207"/>
      <c r="AO760" s="224">
        <f t="shared" si="89"/>
        <v>132</v>
      </c>
      <c r="AP760" s="224" t="e">
        <f t="shared" si="94"/>
        <v>#REF!</v>
      </c>
      <c r="AQ760" s="207"/>
      <c r="AR760" s="207"/>
      <c r="AS760" s="207"/>
      <c r="AT760" s="224" t="str">
        <f>IFERROR(VLOOKUP($A760,'Constancias POA'!$A$2:$DH$9993,17,FALSE),"")</f>
        <v/>
      </c>
      <c r="AU760" s="207" t="str">
        <f t="shared" si="95"/>
        <v/>
      </c>
      <c r="AV760" s="224" t="str">
        <f>IFERROR(VLOOKUP($A760,CP!$A$1:$U$7992,18,FALSE),"")</f>
        <v/>
      </c>
      <c r="AW760" s="224" t="str">
        <f>IFERROR(VLOOKUP($A760,CP!$A$1:$U$7992,19,FALSE),"")</f>
        <v/>
      </c>
      <c r="AX760" s="224" t="str">
        <f>IFERROR(VLOOKUP($A760,CP!$A$1:$U$7992,20,FALSE),"")</f>
        <v/>
      </c>
      <c r="AY760" s="207" t="str">
        <f>IFERROR(VLOOKUP($A760,CP!$A$1:$U$1,21,FALSE),"")</f>
        <v/>
      </c>
      <c r="AZ760" s="224" t="str">
        <f>IFERROR(VLOOKUP(A760,Devengado!$A$1:AJ1,35,FALSE),"")</f>
        <v/>
      </c>
      <c r="BA760" s="224" t="str">
        <f t="shared" si="90"/>
        <v/>
      </c>
      <c r="BB760" s="224" t="str">
        <f>IFERROR(AZ760/#REF!,"")</f>
        <v/>
      </c>
      <c r="BC760" s="224" t="str">
        <f>IFERROR(VLOOKUP($A760,Devengado!$A$1:$AI$1,22,FALSE),"")</f>
        <v/>
      </c>
      <c r="BD760" s="224" t="str">
        <f>IFERROR(VLOOKUP($A760,Devengado!$A$1:$AI$1,23,FALSE),"")</f>
        <v/>
      </c>
      <c r="BE760" s="224" t="str">
        <f>IFERROR(VLOOKUP($A760,Devengado!$A$1:$AI$1,24,FALSE),"")</f>
        <v/>
      </c>
      <c r="BF760" s="224" t="str">
        <f>IFERROR(VLOOKUP($A760,Devengado!$A$1:$AI$1,25,FALSE),"")</f>
        <v/>
      </c>
      <c r="BG760" s="224" t="str">
        <f>IFERROR(VLOOKUP($A760,Devengado!$A$1:$AI$1,26,FALSE),"")</f>
        <v/>
      </c>
      <c r="BH760" s="224" t="str">
        <f>IFERROR(VLOOKUP($A760,Devengado!$A$1:$AI$1,27,FALSE),"")</f>
        <v/>
      </c>
      <c r="BI760" s="224" t="str">
        <f>IFERROR(VLOOKUP($A760,Devengado!$A$1:$AI$1,28,FALSE),"")</f>
        <v/>
      </c>
      <c r="BJ760" s="224" t="str">
        <f>IFERROR(VLOOKUP($A760,Devengado!$A$1:$AI$1,29,FALSE),"")</f>
        <v/>
      </c>
      <c r="BK760" s="224" t="str">
        <f>IFERROR(VLOOKUP($A760,Devengado!$A$1:$AI$1,30,FALSE),"")</f>
        <v/>
      </c>
      <c r="BL760" s="224" t="str">
        <f>IFERROR(VLOOKUP($A760,Devengado!$A$1:$AI$1,31,FALSE),"")</f>
        <v/>
      </c>
      <c r="BM760" s="224" t="str">
        <f>IFERROR(VLOOKUP($A760,Devengado!$A$1:$AI$1,32,FALSE),"")</f>
        <v/>
      </c>
      <c r="BN760" s="224" t="str">
        <f>IFERROR(VLOOKUP($A760,Devengado!$A$1:$AI$1,33,FALSE),"")</f>
        <v/>
      </c>
      <c r="BO760" s="224">
        <f t="shared" si="91"/>
        <v>0</v>
      </c>
      <c r="BP760" s="224" t="str">
        <f t="shared" si="92"/>
        <v/>
      </c>
      <c r="BQ760" s="207"/>
      <c r="BR760" s="207" t="str">
        <f t="shared" si="93"/>
        <v>53</v>
      </c>
    </row>
    <row r="761" spans="1:70" s="225" customFormat="1" ht="25.5" customHeight="1">
      <c r="A761" s="207">
        <v>757</v>
      </c>
      <c r="B761" s="112" t="s">
        <v>348</v>
      </c>
      <c r="C761" s="112" t="s">
        <v>77</v>
      </c>
      <c r="D761" s="112" t="s">
        <v>77</v>
      </c>
      <c r="E761" s="112" t="s">
        <v>76</v>
      </c>
      <c r="F761" s="112" t="s">
        <v>77</v>
      </c>
      <c r="G761" s="112" t="s">
        <v>77</v>
      </c>
      <c r="H761" s="112" t="s">
        <v>77</v>
      </c>
      <c r="I761" s="112" t="s">
        <v>77</v>
      </c>
      <c r="J761" s="112" t="s">
        <v>77</v>
      </c>
      <c r="K761" s="112" t="s">
        <v>77</v>
      </c>
      <c r="L761" s="112" t="s">
        <v>85</v>
      </c>
      <c r="M761" s="207" t="s">
        <v>727</v>
      </c>
      <c r="N761" s="118" t="s">
        <v>350</v>
      </c>
      <c r="O761" s="118" t="s">
        <v>111</v>
      </c>
      <c r="P761" s="118" t="s">
        <v>81</v>
      </c>
      <c r="Q761" s="118" t="s">
        <v>112</v>
      </c>
      <c r="R761" s="115" t="str">
        <f t="shared" si="88"/>
        <v>53</v>
      </c>
      <c r="S761" s="269">
        <v>530105</v>
      </c>
      <c r="T761" s="207" t="str">
        <f>VLOOKUP(S761,ITEM!$C$1:$D$156,2,FALSE)</f>
        <v>Telecomunicaciones</v>
      </c>
      <c r="U761" s="207">
        <v>1701</v>
      </c>
      <c r="V761" s="114" t="s">
        <v>82</v>
      </c>
      <c r="W761" s="114" t="s">
        <v>84</v>
      </c>
      <c r="X761" s="114" t="s">
        <v>84</v>
      </c>
      <c r="Y761" s="298" t="e">
        <f>'Matriz POA 2024-TRABAJO'!#REF!</f>
        <v>#REF!</v>
      </c>
      <c r="Z761" s="298" t="e">
        <f>'Matriz POA 2024-TRABAJO'!#REF!</f>
        <v>#REF!</v>
      </c>
      <c r="AA761" s="298" t="e">
        <f>'Matriz POA 2024-TRABAJO'!#REF!</f>
        <v>#REF!</v>
      </c>
      <c r="AB761" s="207">
        <v>26</v>
      </c>
      <c r="AC761" s="207">
        <v>26</v>
      </c>
      <c r="AD761" s="207">
        <v>26</v>
      </c>
      <c r="AE761" s="207">
        <v>26</v>
      </c>
      <c r="AF761" s="207">
        <v>26</v>
      </c>
      <c r="AG761" s="207">
        <v>26</v>
      </c>
      <c r="AH761" s="207">
        <v>26</v>
      </c>
      <c r="AI761" s="207">
        <v>26</v>
      </c>
      <c r="AJ761" s="207">
        <v>26</v>
      </c>
      <c r="AK761" s="207">
        <v>26</v>
      </c>
      <c r="AL761" s="207">
        <v>26</v>
      </c>
      <c r="AM761" s="207">
        <v>26</v>
      </c>
      <c r="AN761" s="207"/>
      <c r="AO761" s="224">
        <f t="shared" si="89"/>
        <v>312</v>
      </c>
      <c r="AP761" s="224" t="e">
        <f t="shared" si="94"/>
        <v>#REF!</v>
      </c>
      <c r="AQ761" s="207"/>
      <c r="AR761" s="207"/>
      <c r="AS761" s="207"/>
      <c r="AT761" s="224" t="str">
        <f>IFERROR(VLOOKUP($A761,'Constancias POA'!$A$2:$DH$9993,17,FALSE),"")</f>
        <v/>
      </c>
      <c r="AU761" s="207" t="str">
        <f t="shared" si="95"/>
        <v/>
      </c>
      <c r="AV761" s="224" t="str">
        <f>IFERROR(VLOOKUP($A761,CP!$A$1:$U$7992,18,FALSE),"")</f>
        <v/>
      </c>
      <c r="AW761" s="224" t="str">
        <f>IFERROR(VLOOKUP($A761,CP!$A$1:$U$7992,19,FALSE),"")</f>
        <v/>
      </c>
      <c r="AX761" s="224" t="str">
        <f>IFERROR(VLOOKUP($A761,CP!$A$1:$U$7992,20,FALSE),"")</f>
        <v/>
      </c>
      <c r="AY761" s="207" t="str">
        <f>IFERROR(VLOOKUP($A761,CP!$A$1:$U$1,21,FALSE),"")</f>
        <v/>
      </c>
      <c r="AZ761" s="224" t="str">
        <f>IFERROR(VLOOKUP(A761,Devengado!$A$1:AJ1,35,FALSE),"")</f>
        <v/>
      </c>
      <c r="BA761" s="224" t="str">
        <f t="shared" si="90"/>
        <v/>
      </c>
      <c r="BB761" s="224" t="str">
        <f>IFERROR(AZ761/#REF!,"")</f>
        <v/>
      </c>
      <c r="BC761" s="224" t="str">
        <f>IFERROR(VLOOKUP($A761,Devengado!$A$1:$AI$1,22,FALSE),"")</f>
        <v/>
      </c>
      <c r="BD761" s="224" t="str">
        <f>IFERROR(VLOOKUP($A761,Devengado!$A$1:$AI$1,23,FALSE),"")</f>
        <v/>
      </c>
      <c r="BE761" s="224" t="str">
        <f>IFERROR(VLOOKUP($A761,Devengado!$A$1:$AI$1,24,FALSE),"")</f>
        <v/>
      </c>
      <c r="BF761" s="224" t="str">
        <f>IFERROR(VLOOKUP($A761,Devengado!$A$1:$AI$1,25,FALSE),"")</f>
        <v/>
      </c>
      <c r="BG761" s="224" t="str">
        <f>IFERROR(VLOOKUP($A761,Devengado!$A$1:$AI$1,26,FALSE),"")</f>
        <v/>
      </c>
      <c r="BH761" s="224" t="str">
        <f>IFERROR(VLOOKUP($A761,Devengado!$A$1:$AI$1,27,FALSE),"")</f>
        <v/>
      </c>
      <c r="BI761" s="224" t="str">
        <f>IFERROR(VLOOKUP($A761,Devengado!$A$1:$AI$1,28,FALSE),"")</f>
        <v/>
      </c>
      <c r="BJ761" s="224" t="str">
        <f>IFERROR(VLOOKUP($A761,Devengado!$A$1:$AI$1,29,FALSE),"")</f>
        <v/>
      </c>
      <c r="BK761" s="224" t="str">
        <f>IFERROR(VLOOKUP($A761,Devengado!$A$1:$AI$1,30,FALSE),"")</f>
        <v/>
      </c>
      <c r="BL761" s="224" t="str">
        <f>IFERROR(VLOOKUP($A761,Devengado!$A$1:$AI$1,31,FALSE),"")</f>
        <v/>
      </c>
      <c r="BM761" s="224" t="str">
        <f>IFERROR(VLOOKUP($A761,Devengado!$A$1:$AI$1,32,FALSE),"")</f>
        <v/>
      </c>
      <c r="BN761" s="224" t="str">
        <f>IFERROR(VLOOKUP($A761,Devengado!$A$1:$AI$1,33,FALSE),"")</f>
        <v/>
      </c>
      <c r="BO761" s="224">
        <f t="shared" si="91"/>
        <v>0</v>
      </c>
      <c r="BP761" s="224" t="str">
        <f t="shared" si="92"/>
        <v/>
      </c>
      <c r="BQ761" s="207"/>
      <c r="BR761" s="207" t="str">
        <f t="shared" si="93"/>
        <v>53</v>
      </c>
    </row>
    <row r="762" spans="1:70" s="225" customFormat="1" ht="25.5" customHeight="1">
      <c r="A762" s="207">
        <v>758</v>
      </c>
      <c r="B762" s="112" t="s">
        <v>348</v>
      </c>
      <c r="C762" s="112" t="s">
        <v>77</v>
      </c>
      <c r="D762" s="112" t="s">
        <v>77</v>
      </c>
      <c r="E762" s="112" t="s">
        <v>76</v>
      </c>
      <c r="F762" s="112" t="s">
        <v>77</v>
      </c>
      <c r="G762" s="112" t="s">
        <v>77</v>
      </c>
      <c r="H762" s="112" t="s">
        <v>77</v>
      </c>
      <c r="I762" s="112" t="s">
        <v>77</v>
      </c>
      <c r="J762" s="112" t="s">
        <v>77</v>
      </c>
      <c r="K762" s="112" t="s">
        <v>77</v>
      </c>
      <c r="L762" s="112" t="s">
        <v>85</v>
      </c>
      <c r="M762" s="207" t="s">
        <v>728</v>
      </c>
      <c r="N762" s="118" t="s">
        <v>350</v>
      </c>
      <c r="O762" s="118" t="s">
        <v>111</v>
      </c>
      <c r="P762" s="118" t="s">
        <v>81</v>
      </c>
      <c r="Q762" s="118" t="s">
        <v>112</v>
      </c>
      <c r="R762" s="115" t="str">
        <f t="shared" si="88"/>
        <v>53</v>
      </c>
      <c r="S762" s="269">
        <v>530105</v>
      </c>
      <c r="T762" s="207" t="str">
        <f>VLOOKUP(S762,ITEM!$C$1:$D$156,2,FALSE)</f>
        <v>Telecomunicaciones</v>
      </c>
      <c r="U762" s="207">
        <v>1701</v>
      </c>
      <c r="V762" s="114" t="s">
        <v>82</v>
      </c>
      <c r="W762" s="114" t="s">
        <v>84</v>
      </c>
      <c r="X762" s="114" t="s">
        <v>84</v>
      </c>
      <c r="Y762" s="298" t="e">
        <f>'Matriz POA 2024-TRABAJO'!#REF!</f>
        <v>#REF!</v>
      </c>
      <c r="Z762" s="298" t="e">
        <f>'Matriz POA 2024-TRABAJO'!#REF!</f>
        <v>#REF!</v>
      </c>
      <c r="AA762" s="298" t="e">
        <f>'Matriz POA 2024-TRABAJO'!#REF!</f>
        <v>#REF!</v>
      </c>
      <c r="AB762" s="207">
        <v>25</v>
      </c>
      <c r="AC762" s="207">
        <v>25</v>
      </c>
      <c r="AD762" s="207">
        <v>25</v>
      </c>
      <c r="AE762" s="207">
        <v>25</v>
      </c>
      <c r="AF762" s="207">
        <v>25</v>
      </c>
      <c r="AG762" s="207">
        <v>25</v>
      </c>
      <c r="AH762" s="207">
        <v>25</v>
      </c>
      <c r="AI762" s="207">
        <v>25</v>
      </c>
      <c r="AJ762" s="207">
        <v>25</v>
      </c>
      <c r="AK762" s="207">
        <v>25</v>
      </c>
      <c r="AL762" s="207">
        <v>25</v>
      </c>
      <c r="AM762" s="207">
        <v>25</v>
      </c>
      <c r="AN762" s="207"/>
      <c r="AO762" s="224">
        <f t="shared" si="89"/>
        <v>300</v>
      </c>
      <c r="AP762" s="224" t="e">
        <f t="shared" si="94"/>
        <v>#REF!</v>
      </c>
      <c r="AQ762" s="207"/>
      <c r="AR762" s="207"/>
      <c r="AS762" s="207"/>
      <c r="AT762" s="224" t="str">
        <f>IFERROR(VLOOKUP($A762,'Constancias POA'!$A$2:$DH$9993,17,FALSE),"")</f>
        <v/>
      </c>
      <c r="AU762" s="207" t="str">
        <f t="shared" si="95"/>
        <v/>
      </c>
      <c r="AV762" s="224" t="str">
        <f>IFERROR(VLOOKUP($A762,CP!$A$1:$U$7992,18,FALSE),"")</f>
        <v/>
      </c>
      <c r="AW762" s="224" t="str">
        <f>IFERROR(VLOOKUP($A762,CP!$A$1:$U$7992,19,FALSE),"")</f>
        <v/>
      </c>
      <c r="AX762" s="224" t="str">
        <f>IFERROR(VLOOKUP($A762,CP!$A$1:$U$7992,20,FALSE),"")</f>
        <v/>
      </c>
      <c r="AY762" s="207" t="str">
        <f>IFERROR(VLOOKUP($A762,CP!$A$1:$U$1,21,FALSE),"")</f>
        <v/>
      </c>
      <c r="AZ762" s="224" t="str">
        <f>IFERROR(VLOOKUP(A762,Devengado!$A$1:AJ1,35,FALSE),"")</f>
        <v/>
      </c>
      <c r="BA762" s="224" t="str">
        <f t="shared" si="90"/>
        <v/>
      </c>
      <c r="BB762" s="224" t="str">
        <f>IFERROR(AZ762/#REF!,"")</f>
        <v/>
      </c>
      <c r="BC762" s="224" t="str">
        <f>IFERROR(VLOOKUP($A762,Devengado!$A$1:$AI$1,22,FALSE),"")</f>
        <v/>
      </c>
      <c r="BD762" s="224" t="str">
        <f>IFERROR(VLOOKUP($A762,Devengado!$A$1:$AI$1,23,FALSE),"")</f>
        <v/>
      </c>
      <c r="BE762" s="224" t="str">
        <f>IFERROR(VLOOKUP($A762,Devengado!$A$1:$AI$1,24,FALSE),"")</f>
        <v/>
      </c>
      <c r="BF762" s="224" t="str">
        <f>IFERROR(VLOOKUP($A762,Devengado!$A$1:$AI$1,25,FALSE),"")</f>
        <v/>
      </c>
      <c r="BG762" s="224" t="str">
        <f>IFERROR(VLOOKUP($A762,Devengado!$A$1:$AI$1,26,FALSE),"")</f>
        <v/>
      </c>
      <c r="BH762" s="224" t="str">
        <f>IFERROR(VLOOKUP($A762,Devengado!$A$1:$AI$1,27,FALSE),"")</f>
        <v/>
      </c>
      <c r="BI762" s="224" t="str">
        <f>IFERROR(VLOOKUP($A762,Devengado!$A$1:$AI$1,28,FALSE),"")</f>
        <v/>
      </c>
      <c r="BJ762" s="224" t="str">
        <f>IFERROR(VLOOKUP($A762,Devengado!$A$1:$AI$1,29,FALSE),"")</f>
        <v/>
      </c>
      <c r="BK762" s="224" t="str">
        <f>IFERROR(VLOOKUP($A762,Devengado!$A$1:$AI$1,30,FALSE),"")</f>
        <v/>
      </c>
      <c r="BL762" s="224" t="str">
        <f>IFERROR(VLOOKUP($A762,Devengado!$A$1:$AI$1,31,FALSE),"")</f>
        <v/>
      </c>
      <c r="BM762" s="224" t="str">
        <f>IFERROR(VLOOKUP($A762,Devengado!$A$1:$AI$1,32,FALSE),"")</f>
        <v/>
      </c>
      <c r="BN762" s="224" t="str">
        <f>IFERROR(VLOOKUP($A762,Devengado!$A$1:$AI$1,33,FALSE),"")</f>
        <v/>
      </c>
      <c r="BO762" s="224">
        <f t="shared" si="91"/>
        <v>0</v>
      </c>
      <c r="BP762" s="224" t="str">
        <f t="shared" si="92"/>
        <v/>
      </c>
      <c r="BQ762" s="207"/>
      <c r="BR762" s="207" t="str">
        <f t="shared" si="93"/>
        <v>53</v>
      </c>
    </row>
    <row r="763" spans="1:70" s="225" customFormat="1" ht="25.5" customHeight="1">
      <c r="A763" s="207">
        <v>759</v>
      </c>
      <c r="B763" s="112" t="s">
        <v>348</v>
      </c>
      <c r="C763" s="112" t="s">
        <v>77</v>
      </c>
      <c r="D763" s="112" t="s">
        <v>77</v>
      </c>
      <c r="E763" s="112" t="s">
        <v>76</v>
      </c>
      <c r="F763" s="112" t="s">
        <v>77</v>
      </c>
      <c r="G763" s="112" t="s">
        <v>77</v>
      </c>
      <c r="H763" s="112" t="s">
        <v>77</v>
      </c>
      <c r="I763" s="112" t="s">
        <v>77</v>
      </c>
      <c r="J763" s="112" t="s">
        <v>77</v>
      </c>
      <c r="K763" s="112" t="s">
        <v>77</v>
      </c>
      <c r="L763" s="112" t="s">
        <v>87</v>
      </c>
      <c r="M763" s="207" t="s">
        <v>729</v>
      </c>
      <c r="N763" s="118" t="s">
        <v>350</v>
      </c>
      <c r="O763" s="118" t="s">
        <v>111</v>
      </c>
      <c r="P763" s="118" t="s">
        <v>81</v>
      </c>
      <c r="Q763" s="118" t="s">
        <v>112</v>
      </c>
      <c r="R763" s="115" t="str">
        <f t="shared" si="88"/>
        <v>53</v>
      </c>
      <c r="S763" s="269">
        <v>530104</v>
      </c>
      <c r="T763" s="207" t="str">
        <f>VLOOKUP(S763,ITEM!$C$1:$D$156,2,FALSE)</f>
        <v>Energía Eléctrica</v>
      </c>
      <c r="U763" s="207">
        <v>1701</v>
      </c>
      <c r="V763" s="114" t="s">
        <v>82</v>
      </c>
      <c r="W763" s="114" t="s">
        <v>84</v>
      </c>
      <c r="X763" s="114" t="s">
        <v>84</v>
      </c>
      <c r="Y763" s="298" t="e">
        <f>'Matriz POA 2024-TRABAJO'!#REF!</f>
        <v>#REF!</v>
      </c>
      <c r="Z763" s="298" t="e">
        <f>'Matriz POA 2024-TRABAJO'!#REF!</f>
        <v>#REF!</v>
      </c>
      <c r="AA763" s="298" t="e">
        <f>'Matriz POA 2024-TRABAJO'!#REF!</f>
        <v>#REF!</v>
      </c>
      <c r="AB763" s="207">
        <v>57.88</v>
      </c>
      <c r="AC763" s="207">
        <v>0</v>
      </c>
      <c r="AD763" s="207">
        <v>0</v>
      </c>
      <c r="AE763" s="207">
        <v>0</v>
      </c>
      <c r="AF763" s="207">
        <v>0</v>
      </c>
      <c r="AG763" s="207">
        <v>0</v>
      </c>
      <c r="AH763" s="207">
        <v>0</v>
      </c>
      <c r="AI763" s="207">
        <v>0</v>
      </c>
      <c r="AJ763" s="207">
        <v>0</v>
      </c>
      <c r="AK763" s="207">
        <v>0</v>
      </c>
      <c r="AL763" s="207">
        <v>0</v>
      </c>
      <c r="AM763" s="207">
        <v>0</v>
      </c>
      <c r="AN763" s="207"/>
      <c r="AO763" s="224">
        <f t="shared" si="89"/>
        <v>57.88</v>
      </c>
      <c r="AP763" s="224" t="e">
        <f t="shared" si="94"/>
        <v>#REF!</v>
      </c>
      <c r="AQ763" s="207"/>
      <c r="AR763" s="207"/>
      <c r="AS763" s="207"/>
      <c r="AT763" s="224" t="str">
        <f>IFERROR(VLOOKUP($A763,'Constancias POA'!$A$2:$DH$9993,17,FALSE),"")</f>
        <v/>
      </c>
      <c r="AU763" s="207" t="str">
        <f t="shared" si="95"/>
        <v/>
      </c>
      <c r="AV763" s="224" t="str">
        <f>IFERROR(VLOOKUP($A763,CP!$A$1:$U$7992,18,FALSE),"")</f>
        <v/>
      </c>
      <c r="AW763" s="224" t="str">
        <f>IFERROR(VLOOKUP($A763,CP!$A$1:$U$7992,19,FALSE),"")</f>
        <v/>
      </c>
      <c r="AX763" s="224" t="str">
        <f>IFERROR(VLOOKUP($A763,CP!$A$1:$U$7992,20,FALSE),"")</f>
        <v/>
      </c>
      <c r="AY763" s="207" t="str">
        <f>IFERROR(VLOOKUP($A763,CP!$A$1:$U$1,21,FALSE),"")</f>
        <v/>
      </c>
      <c r="AZ763" s="224" t="str">
        <f>IFERROR(VLOOKUP(A763,Devengado!$A$1:AJ1,35,FALSE),"")</f>
        <v/>
      </c>
      <c r="BA763" s="224" t="str">
        <f t="shared" si="90"/>
        <v/>
      </c>
      <c r="BB763" s="224" t="str">
        <f>IFERROR(AZ763/#REF!,"")</f>
        <v/>
      </c>
      <c r="BC763" s="224" t="str">
        <f>IFERROR(VLOOKUP($A763,Devengado!$A$1:$AI$1,22,FALSE),"")</f>
        <v/>
      </c>
      <c r="BD763" s="224" t="str">
        <f>IFERROR(VLOOKUP($A763,Devengado!$A$1:$AI$1,23,FALSE),"")</f>
        <v/>
      </c>
      <c r="BE763" s="224" t="str">
        <f>IFERROR(VLOOKUP($A763,Devengado!$A$1:$AI$1,24,FALSE),"")</f>
        <v/>
      </c>
      <c r="BF763" s="224" t="str">
        <f>IFERROR(VLOOKUP($A763,Devengado!$A$1:$AI$1,25,FALSE),"")</f>
        <v/>
      </c>
      <c r="BG763" s="224" t="str">
        <f>IFERROR(VLOOKUP($A763,Devengado!$A$1:$AI$1,26,FALSE),"")</f>
        <v/>
      </c>
      <c r="BH763" s="224" t="str">
        <f>IFERROR(VLOOKUP($A763,Devengado!$A$1:$AI$1,27,FALSE),"")</f>
        <v/>
      </c>
      <c r="BI763" s="224" t="str">
        <f>IFERROR(VLOOKUP($A763,Devengado!$A$1:$AI$1,28,FALSE),"")</f>
        <v/>
      </c>
      <c r="BJ763" s="224" t="str">
        <f>IFERROR(VLOOKUP($A763,Devengado!$A$1:$AI$1,29,FALSE),"")</f>
        <v/>
      </c>
      <c r="BK763" s="224" t="str">
        <f>IFERROR(VLOOKUP($A763,Devengado!$A$1:$AI$1,30,FALSE),"")</f>
        <v/>
      </c>
      <c r="BL763" s="224" t="str">
        <f>IFERROR(VLOOKUP($A763,Devengado!$A$1:$AI$1,31,FALSE),"")</f>
        <v/>
      </c>
      <c r="BM763" s="224" t="str">
        <f>IFERROR(VLOOKUP($A763,Devengado!$A$1:$AI$1,32,FALSE),"")</f>
        <v/>
      </c>
      <c r="BN763" s="224" t="str">
        <f>IFERROR(VLOOKUP($A763,Devengado!$A$1:$AI$1,33,FALSE),"")</f>
        <v/>
      </c>
      <c r="BO763" s="224">
        <f t="shared" si="91"/>
        <v>0</v>
      </c>
      <c r="BP763" s="224" t="str">
        <f t="shared" si="92"/>
        <v/>
      </c>
      <c r="BQ763" s="207"/>
      <c r="BR763" s="207" t="str">
        <f t="shared" si="93"/>
        <v>53</v>
      </c>
    </row>
    <row r="764" spans="1:70" s="225" customFormat="1" ht="25.5" customHeight="1">
      <c r="A764" s="207">
        <v>760</v>
      </c>
      <c r="B764" s="112" t="s">
        <v>348</v>
      </c>
      <c r="C764" s="112" t="s">
        <v>77</v>
      </c>
      <c r="D764" s="112" t="s">
        <v>77</v>
      </c>
      <c r="E764" s="112" t="s">
        <v>76</v>
      </c>
      <c r="F764" s="112" t="s">
        <v>77</v>
      </c>
      <c r="G764" s="112" t="s">
        <v>77</v>
      </c>
      <c r="H764" s="112" t="s">
        <v>77</v>
      </c>
      <c r="I764" s="112" t="s">
        <v>77</v>
      </c>
      <c r="J764" s="112" t="s">
        <v>77</v>
      </c>
      <c r="K764" s="112" t="s">
        <v>77</v>
      </c>
      <c r="L764" s="112" t="s">
        <v>85</v>
      </c>
      <c r="M764" s="207" t="s">
        <v>730</v>
      </c>
      <c r="N764" s="118" t="s">
        <v>350</v>
      </c>
      <c r="O764" s="118" t="s">
        <v>111</v>
      </c>
      <c r="P764" s="118" t="s">
        <v>81</v>
      </c>
      <c r="Q764" s="118" t="s">
        <v>112</v>
      </c>
      <c r="R764" s="115" t="str">
        <f t="shared" si="88"/>
        <v>53</v>
      </c>
      <c r="S764" s="269">
        <v>530104</v>
      </c>
      <c r="T764" s="207" t="str">
        <f>VLOOKUP(S764,ITEM!$C$1:$D$156,2,FALSE)</f>
        <v>Energía Eléctrica</v>
      </c>
      <c r="U764" s="207">
        <v>1701</v>
      </c>
      <c r="V764" s="114" t="s">
        <v>82</v>
      </c>
      <c r="W764" s="114" t="s">
        <v>84</v>
      </c>
      <c r="X764" s="114" t="s">
        <v>84</v>
      </c>
      <c r="Y764" s="298" t="e">
        <f>'Matriz POA 2024-TRABAJO'!#REF!</f>
        <v>#REF!</v>
      </c>
      <c r="Z764" s="298" t="e">
        <f>'Matriz POA 2024-TRABAJO'!#REF!</f>
        <v>#REF!</v>
      </c>
      <c r="AA764" s="298" t="e">
        <f>'Matriz POA 2024-TRABAJO'!#REF!</f>
        <v>#REF!</v>
      </c>
      <c r="AB764" s="207">
        <v>1650</v>
      </c>
      <c r="AC764" s="207">
        <v>1650</v>
      </c>
      <c r="AD764" s="207">
        <v>1650</v>
      </c>
      <c r="AE764" s="207">
        <v>1650</v>
      </c>
      <c r="AF764" s="207">
        <v>1650</v>
      </c>
      <c r="AG764" s="207">
        <v>1650</v>
      </c>
      <c r="AH764" s="207">
        <v>1650</v>
      </c>
      <c r="AI764" s="207">
        <v>1650</v>
      </c>
      <c r="AJ764" s="207">
        <v>1650</v>
      </c>
      <c r="AK764" s="207">
        <v>1650</v>
      </c>
      <c r="AL764" s="207">
        <v>1650</v>
      </c>
      <c r="AM764" s="207">
        <v>1650</v>
      </c>
      <c r="AN764" s="207"/>
      <c r="AO764" s="224">
        <f t="shared" si="89"/>
        <v>19800</v>
      </c>
      <c r="AP764" s="224" t="e">
        <f t="shared" si="94"/>
        <v>#REF!</v>
      </c>
      <c r="AQ764" s="207"/>
      <c r="AR764" s="207"/>
      <c r="AS764" s="207"/>
      <c r="AT764" s="224" t="str">
        <f>IFERROR(VLOOKUP($A764,'Constancias POA'!$A$2:$DH$9993,17,FALSE),"")</f>
        <v/>
      </c>
      <c r="AU764" s="207" t="str">
        <f t="shared" si="95"/>
        <v/>
      </c>
      <c r="AV764" s="224" t="str">
        <f>IFERROR(VLOOKUP($A764,CP!$A$1:$U$7992,18,FALSE),"")</f>
        <v/>
      </c>
      <c r="AW764" s="224" t="str">
        <f>IFERROR(VLOOKUP($A764,CP!$A$1:$U$7992,19,FALSE),"")</f>
        <v/>
      </c>
      <c r="AX764" s="224" t="str">
        <f>IFERROR(VLOOKUP($A764,CP!$A$1:$U$7992,20,FALSE),"")</f>
        <v/>
      </c>
      <c r="AY764" s="207" t="str">
        <f>IFERROR(VLOOKUP($A764,CP!$A$1:$U$1,21,FALSE),"")</f>
        <v/>
      </c>
      <c r="AZ764" s="224" t="str">
        <f>IFERROR(VLOOKUP(A764,Devengado!$A$1:AJ1,35,FALSE),"")</f>
        <v/>
      </c>
      <c r="BA764" s="224" t="str">
        <f t="shared" si="90"/>
        <v/>
      </c>
      <c r="BB764" s="224" t="str">
        <f>IFERROR(AZ764/#REF!,"")</f>
        <v/>
      </c>
      <c r="BC764" s="224" t="str">
        <f>IFERROR(VLOOKUP($A764,Devengado!$A$1:$AI$1,22,FALSE),"")</f>
        <v/>
      </c>
      <c r="BD764" s="224" t="str">
        <f>IFERROR(VLOOKUP($A764,Devengado!$A$1:$AI$1,23,FALSE),"")</f>
        <v/>
      </c>
      <c r="BE764" s="224" t="str">
        <f>IFERROR(VLOOKUP($A764,Devengado!$A$1:$AI$1,24,FALSE),"")</f>
        <v/>
      </c>
      <c r="BF764" s="224" t="str">
        <f>IFERROR(VLOOKUP($A764,Devengado!$A$1:$AI$1,25,FALSE),"")</f>
        <v/>
      </c>
      <c r="BG764" s="224" t="str">
        <f>IFERROR(VLOOKUP($A764,Devengado!$A$1:$AI$1,26,FALSE),"")</f>
        <v/>
      </c>
      <c r="BH764" s="224" t="str">
        <f>IFERROR(VLOOKUP($A764,Devengado!$A$1:$AI$1,27,FALSE),"")</f>
        <v/>
      </c>
      <c r="BI764" s="224" t="str">
        <f>IFERROR(VLOOKUP($A764,Devengado!$A$1:$AI$1,28,FALSE),"")</f>
        <v/>
      </c>
      <c r="BJ764" s="224" t="str">
        <f>IFERROR(VLOOKUP($A764,Devengado!$A$1:$AI$1,29,FALSE),"")</f>
        <v/>
      </c>
      <c r="BK764" s="224" t="str">
        <f>IFERROR(VLOOKUP($A764,Devengado!$A$1:$AI$1,30,FALSE),"")</f>
        <v/>
      </c>
      <c r="BL764" s="224" t="str">
        <f>IFERROR(VLOOKUP($A764,Devengado!$A$1:$AI$1,31,FALSE),"")</f>
        <v/>
      </c>
      <c r="BM764" s="224" t="str">
        <f>IFERROR(VLOOKUP($A764,Devengado!$A$1:$AI$1,32,FALSE),"")</f>
        <v/>
      </c>
      <c r="BN764" s="224" t="str">
        <f>IFERROR(VLOOKUP($A764,Devengado!$A$1:$AI$1,33,FALSE),"")</f>
        <v/>
      </c>
      <c r="BO764" s="224">
        <f t="shared" si="91"/>
        <v>0</v>
      </c>
      <c r="BP764" s="224" t="str">
        <f t="shared" si="92"/>
        <v/>
      </c>
      <c r="BQ764" s="207"/>
      <c r="BR764" s="207" t="str">
        <f t="shared" si="93"/>
        <v>53</v>
      </c>
    </row>
    <row r="765" spans="1:70" s="225" customFormat="1" ht="25.5" customHeight="1">
      <c r="A765" s="207">
        <v>761</v>
      </c>
      <c r="B765" s="112" t="s">
        <v>348</v>
      </c>
      <c r="C765" s="112" t="s">
        <v>77</v>
      </c>
      <c r="D765" s="112" t="s">
        <v>77</v>
      </c>
      <c r="E765" s="112" t="s">
        <v>76</v>
      </c>
      <c r="F765" s="112" t="s">
        <v>77</v>
      </c>
      <c r="G765" s="112" t="s">
        <v>77</v>
      </c>
      <c r="H765" s="112" t="s">
        <v>77</v>
      </c>
      <c r="I765" s="112" t="s">
        <v>77</v>
      </c>
      <c r="J765" s="112" t="s">
        <v>77</v>
      </c>
      <c r="K765" s="112" t="s">
        <v>77</v>
      </c>
      <c r="L765" s="112" t="s">
        <v>85</v>
      </c>
      <c r="M765" s="207" t="s">
        <v>731</v>
      </c>
      <c r="N765" s="118" t="s">
        <v>350</v>
      </c>
      <c r="O765" s="118" t="s">
        <v>111</v>
      </c>
      <c r="P765" s="118" t="s">
        <v>81</v>
      </c>
      <c r="Q765" s="118" t="s">
        <v>112</v>
      </c>
      <c r="R765" s="115" t="str">
        <f t="shared" si="88"/>
        <v>53</v>
      </c>
      <c r="S765" s="269">
        <v>530104</v>
      </c>
      <c r="T765" s="207" t="str">
        <f>VLOOKUP(S765,ITEM!$C$1:$D$156,2,FALSE)</f>
        <v>Energía Eléctrica</v>
      </c>
      <c r="U765" s="207">
        <v>1701</v>
      </c>
      <c r="V765" s="114" t="s">
        <v>82</v>
      </c>
      <c r="W765" s="114" t="s">
        <v>84</v>
      </c>
      <c r="X765" s="114" t="s">
        <v>84</v>
      </c>
      <c r="Y765" s="298" t="e">
        <f>'Matriz POA 2024-TRABAJO'!#REF!</f>
        <v>#REF!</v>
      </c>
      <c r="Z765" s="298" t="e">
        <f>'Matriz POA 2024-TRABAJO'!#REF!</f>
        <v>#REF!</v>
      </c>
      <c r="AA765" s="298" t="e">
        <f>'Matriz POA 2024-TRABAJO'!#REF!</f>
        <v>#REF!</v>
      </c>
      <c r="AB765" s="207">
        <v>1000</v>
      </c>
      <c r="AC765" s="207">
        <v>1000</v>
      </c>
      <c r="AD765" s="207">
        <v>1000</v>
      </c>
      <c r="AE765" s="207">
        <v>1000</v>
      </c>
      <c r="AF765" s="207">
        <v>1000</v>
      </c>
      <c r="AG765" s="207">
        <v>1000</v>
      </c>
      <c r="AH765" s="207">
        <v>1000</v>
      </c>
      <c r="AI765" s="207">
        <v>1000</v>
      </c>
      <c r="AJ765" s="207">
        <v>1000</v>
      </c>
      <c r="AK765" s="207">
        <v>1000</v>
      </c>
      <c r="AL765" s="207">
        <v>1000</v>
      </c>
      <c r="AM765" s="207">
        <v>1000</v>
      </c>
      <c r="AN765" s="207"/>
      <c r="AO765" s="224">
        <f t="shared" si="89"/>
        <v>12000</v>
      </c>
      <c r="AP765" s="224" t="e">
        <f t="shared" si="94"/>
        <v>#REF!</v>
      </c>
      <c r="AQ765" s="207"/>
      <c r="AR765" s="207"/>
      <c r="AS765" s="207"/>
      <c r="AT765" s="224" t="str">
        <f>IFERROR(VLOOKUP($A765,'Constancias POA'!$A$2:$DH$9993,17,FALSE),"")</f>
        <v/>
      </c>
      <c r="AU765" s="207" t="str">
        <f t="shared" si="95"/>
        <v/>
      </c>
      <c r="AV765" s="224" t="str">
        <f>IFERROR(VLOOKUP($A765,CP!$A$1:$U$7992,18,FALSE),"")</f>
        <v/>
      </c>
      <c r="AW765" s="224" t="str">
        <f>IFERROR(VLOOKUP($A765,CP!$A$1:$U$7992,19,FALSE),"")</f>
        <v/>
      </c>
      <c r="AX765" s="224" t="str">
        <f>IFERROR(VLOOKUP($A765,CP!$A$1:$U$7992,20,FALSE),"")</f>
        <v/>
      </c>
      <c r="AY765" s="207" t="str">
        <f>IFERROR(VLOOKUP($A765,CP!$A$1:$U$1,21,FALSE),"")</f>
        <v/>
      </c>
      <c r="AZ765" s="224" t="str">
        <f>IFERROR(VLOOKUP(A765,Devengado!$A$1:AJ1,35,FALSE),"")</f>
        <v/>
      </c>
      <c r="BA765" s="224" t="str">
        <f t="shared" si="90"/>
        <v/>
      </c>
      <c r="BB765" s="224" t="str">
        <f>IFERROR(AZ765/#REF!,"")</f>
        <v/>
      </c>
      <c r="BC765" s="224" t="str">
        <f>IFERROR(VLOOKUP($A765,Devengado!$A$1:$AI$1,22,FALSE),"")</f>
        <v/>
      </c>
      <c r="BD765" s="224" t="str">
        <f>IFERROR(VLOOKUP($A765,Devengado!$A$1:$AI$1,23,FALSE),"")</f>
        <v/>
      </c>
      <c r="BE765" s="224" t="str">
        <f>IFERROR(VLOOKUP($A765,Devengado!$A$1:$AI$1,24,FALSE),"")</f>
        <v/>
      </c>
      <c r="BF765" s="224" t="str">
        <f>IFERROR(VLOOKUP($A765,Devengado!$A$1:$AI$1,25,FALSE),"")</f>
        <v/>
      </c>
      <c r="BG765" s="224" t="str">
        <f>IFERROR(VLOOKUP($A765,Devengado!$A$1:$AI$1,26,FALSE),"")</f>
        <v/>
      </c>
      <c r="BH765" s="224" t="str">
        <f>IFERROR(VLOOKUP($A765,Devengado!$A$1:$AI$1,27,FALSE),"")</f>
        <v/>
      </c>
      <c r="BI765" s="224" t="str">
        <f>IFERROR(VLOOKUP($A765,Devengado!$A$1:$AI$1,28,FALSE),"")</f>
        <v/>
      </c>
      <c r="BJ765" s="224" t="str">
        <f>IFERROR(VLOOKUP($A765,Devengado!$A$1:$AI$1,29,FALSE),"")</f>
        <v/>
      </c>
      <c r="BK765" s="224" t="str">
        <f>IFERROR(VLOOKUP($A765,Devengado!$A$1:$AI$1,30,FALSE),"")</f>
        <v/>
      </c>
      <c r="BL765" s="224" t="str">
        <f>IFERROR(VLOOKUP($A765,Devengado!$A$1:$AI$1,31,FALSE),"")</f>
        <v/>
      </c>
      <c r="BM765" s="224" t="str">
        <f>IFERROR(VLOOKUP($A765,Devengado!$A$1:$AI$1,32,FALSE),"")</f>
        <v/>
      </c>
      <c r="BN765" s="224" t="str">
        <f>IFERROR(VLOOKUP($A765,Devengado!$A$1:$AI$1,33,FALSE),"")</f>
        <v/>
      </c>
      <c r="BO765" s="224">
        <f t="shared" si="91"/>
        <v>0</v>
      </c>
      <c r="BP765" s="224" t="str">
        <f t="shared" si="92"/>
        <v/>
      </c>
      <c r="BQ765" s="207"/>
      <c r="BR765" s="207" t="str">
        <f t="shared" si="93"/>
        <v>53</v>
      </c>
    </row>
    <row r="766" spans="1:70" s="225" customFormat="1" ht="25.5" customHeight="1">
      <c r="A766" s="207">
        <v>762</v>
      </c>
      <c r="B766" s="112" t="s">
        <v>348</v>
      </c>
      <c r="C766" s="112" t="s">
        <v>77</v>
      </c>
      <c r="D766" s="112" t="s">
        <v>77</v>
      </c>
      <c r="E766" s="112" t="s">
        <v>76</v>
      </c>
      <c r="F766" s="112" t="s">
        <v>77</v>
      </c>
      <c r="G766" s="112" t="s">
        <v>77</v>
      </c>
      <c r="H766" s="112" t="s">
        <v>77</v>
      </c>
      <c r="I766" s="112" t="s">
        <v>77</v>
      </c>
      <c r="J766" s="112" t="s">
        <v>77</v>
      </c>
      <c r="K766" s="112" t="s">
        <v>77</v>
      </c>
      <c r="L766" s="112" t="s">
        <v>85</v>
      </c>
      <c r="M766" s="207" t="s">
        <v>732</v>
      </c>
      <c r="N766" s="118" t="s">
        <v>350</v>
      </c>
      <c r="O766" s="118" t="s">
        <v>111</v>
      </c>
      <c r="P766" s="118" t="s">
        <v>81</v>
      </c>
      <c r="Q766" s="118" t="s">
        <v>112</v>
      </c>
      <c r="R766" s="115" t="str">
        <f t="shared" si="88"/>
        <v>53</v>
      </c>
      <c r="S766" s="269">
        <v>530104</v>
      </c>
      <c r="T766" s="207" t="str">
        <f>VLOOKUP(S766,ITEM!$C$1:$D$156,2,FALSE)</f>
        <v>Energía Eléctrica</v>
      </c>
      <c r="U766" s="207">
        <v>1701</v>
      </c>
      <c r="V766" s="114" t="s">
        <v>82</v>
      </c>
      <c r="W766" s="114" t="s">
        <v>84</v>
      </c>
      <c r="X766" s="114" t="s">
        <v>84</v>
      </c>
      <c r="Y766" s="298" t="e">
        <f>'Matriz POA 2024-TRABAJO'!#REF!</f>
        <v>#REF!</v>
      </c>
      <c r="Z766" s="298" t="e">
        <f>'Matriz POA 2024-TRABAJO'!#REF!</f>
        <v>#REF!</v>
      </c>
      <c r="AA766" s="298" t="e">
        <f>'Matriz POA 2024-TRABAJO'!#REF!</f>
        <v>#REF!</v>
      </c>
      <c r="AB766" s="207">
        <v>150</v>
      </c>
      <c r="AC766" s="207">
        <v>150</v>
      </c>
      <c r="AD766" s="207">
        <v>150</v>
      </c>
      <c r="AE766" s="207">
        <v>150</v>
      </c>
      <c r="AF766" s="207">
        <v>150</v>
      </c>
      <c r="AG766" s="207">
        <v>150</v>
      </c>
      <c r="AH766" s="207">
        <v>150</v>
      </c>
      <c r="AI766" s="207">
        <v>150</v>
      </c>
      <c r="AJ766" s="207">
        <v>150</v>
      </c>
      <c r="AK766" s="207">
        <v>150</v>
      </c>
      <c r="AL766" s="207">
        <v>150</v>
      </c>
      <c r="AM766" s="207">
        <v>150</v>
      </c>
      <c r="AN766" s="207"/>
      <c r="AO766" s="224">
        <f t="shared" si="89"/>
        <v>1800</v>
      </c>
      <c r="AP766" s="224" t="e">
        <f t="shared" si="94"/>
        <v>#REF!</v>
      </c>
      <c r="AQ766" s="207"/>
      <c r="AR766" s="207"/>
      <c r="AS766" s="207"/>
      <c r="AT766" s="224" t="str">
        <f>IFERROR(VLOOKUP($A766,'Constancias POA'!$A$2:$DH$9993,17,FALSE),"")</f>
        <v/>
      </c>
      <c r="AU766" s="207" t="str">
        <f t="shared" si="95"/>
        <v/>
      </c>
      <c r="AV766" s="224" t="str">
        <f>IFERROR(VLOOKUP($A766,CP!$A$1:$U$7992,18,FALSE),"")</f>
        <v/>
      </c>
      <c r="AW766" s="224" t="str">
        <f>IFERROR(VLOOKUP($A766,CP!$A$1:$U$7992,19,FALSE),"")</f>
        <v/>
      </c>
      <c r="AX766" s="224" t="str">
        <f>IFERROR(VLOOKUP($A766,CP!$A$1:$U$7992,20,FALSE),"")</f>
        <v/>
      </c>
      <c r="AY766" s="207" t="str">
        <f>IFERROR(VLOOKUP($A766,CP!$A$1:$U$1,21,FALSE),"")</f>
        <v/>
      </c>
      <c r="AZ766" s="224" t="str">
        <f>IFERROR(VLOOKUP(A766,Devengado!$A$1:AJ1,35,FALSE),"")</f>
        <v/>
      </c>
      <c r="BA766" s="224" t="str">
        <f t="shared" si="90"/>
        <v/>
      </c>
      <c r="BB766" s="224" t="str">
        <f>IFERROR(AZ766/#REF!,"")</f>
        <v/>
      </c>
      <c r="BC766" s="224" t="str">
        <f>IFERROR(VLOOKUP($A766,Devengado!$A$1:$AI$1,22,FALSE),"")</f>
        <v/>
      </c>
      <c r="BD766" s="224" t="str">
        <f>IFERROR(VLOOKUP($A766,Devengado!$A$1:$AI$1,23,FALSE),"")</f>
        <v/>
      </c>
      <c r="BE766" s="224" t="str">
        <f>IFERROR(VLOOKUP($A766,Devengado!$A$1:$AI$1,24,FALSE),"")</f>
        <v/>
      </c>
      <c r="BF766" s="224" t="str">
        <f>IFERROR(VLOOKUP($A766,Devengado!$A$1:$AI$1,25,FALSE),"")</f>
        <v/>
      </c>
      <c r="BG766" s="224" t="str">
        <f>IFERROR(VLOOKUP($A766,Devengado!$A$1:$AI$1,26,FALSE),"")</f>
        <v/>
      </c>
      <c r="BH766" s="224" t="str">
        <f>IFERROR(VLOOKUP($A766,Devengado!$A$1:$AI$1,27,FALSE),"")</f>
        <v/>
      </c>
      <c r="BI766" s="224" t="str">
        <f>IFERROR(VLOOKUP($A766,Devengado!$A$1:$AI$1,28,FALSE),"")</f>
        <v/>
      </c>
      <c r="BJ766" s="224" t="str">
        <f>IFERROR(VLOOKUP($A766,Devengado!$A$1:$AI$1,29,FALSE),"")</f>
        <v/>
      </c>
      <c r="BK766" s="224" t="str">
        <f>IFERROR(VLOOKUP($A766,Devengado!$A$1:$AI$1,30,FALSE),"")</f>
        <v/>
      </c>
      <c r="BL766" s="224" t="str">
        <f>IFERROR(VLOOKUP($A766,Devengado!$A$1:$AI$1,31,FALSE),"")</f>
        <v/>
      </c>
      <c r="BM766" s="224" t="str">
        <f>IFERROR(VLOOKUP($A766,Devengado!$A$1:$AI$1,32,FALSE),"")</f>
        <v/>
      </c>
      <c r="BN766" s="224" t="str">
        <f>IFERROR(VLOOKUP($A766,Devengado!$A$1:$AI$1,33,FALSE),"")</f>
        <v/>
      </c>
      <c r="BO766" s="224">
        <f t="shared" si="91"/>
        <v>0</v>
      </c>
      <c r="BP766" s="224" t="str">
        <f t="shared" si="92"/>
        <v/>
      </c>
      <c r="BQ766" s="207"/>
      <c r="BR766" s="207" t="str">
        <f t="shared" si="93"/>
        <v>53</v>
      </c>
    </row>
    <row r="767" spans="1:70" s="225" customFormat="1" ht="25.5" customHeight="1">
      <c r="A767" s="207">
        <v>763</v>
      </c>
      <c r="B767" s="112" t="s">
        <v>348</v>
      </c>
      <c r="C767" s="112" t="s">
        <v>77</v>
      </c>
      <c r="D767" s="112" t="s">
        <v>77</v>
      </c>
      <c r="E767" s="112" t="s">
        <v>76</v>
      </c>
      <c r="F767" s="112" t="s">
        <v>77</v>
      </c>
      <c r="G767" s="112" t="s">
        <v>77</v>
      </c>
      <c r="H767" s="112" t="s">
        <v>77</v>
      </c>
      <c r="I767" s="112" t="s">
        <v>77</v>
      </c>
      <c r="J767" s="112" t="s">
        <v>77</v>
      </c>
      <c r="K767" s="112" t="s">
        <v>77</v>
      </c>
      <c r="L767" s="112" t="s">
        <v>85</v>
      </c>
      <c r="M767" s="207" t="s">
        <v>729</v>
      </c>
      <c r="N767" s="118" t="s">
        <v>350</v>
      </c>
      <c r="O767" s="118" t="s">
        <v>111</v>
      </c>
      <c r="P767" s="118" t="s">
        <v>81</v>
      </c>
      <c r="Q767" s="118" t="s">
        <v>112</v>
      </c>
      <c r="R767" s="115" t="str">
        <f t="shared" si="88"/>
        <v>53</v>
      </c>
      <c r="S767" s="269">
        <v>530104</v>
      </c>
      <c r="T767" s="207" t="str">
        <f>VLOOKUP(S767,ITEM!$C$1:$D$156,2,FALSE)</f>
        <v>Energía Eléctrica</v>
      </c>
      <c r="U767" s="207">
        <v>1701</v>
      </c>
      <c r="V767" s="114" t="s">
        <v>82</v>
      </c>
      <c r="W767" s="114" t="s">
        <v>84</v>
      </c>
      <c r="X767" s="114" t="s">
        <v>84</v>
      </c>
      <c r="Y767" s="298" t="e">
        <f>'Matriz POA 2024-TRABAJO'!#REF!</f>
        <v>#REF!</v>
      </c>
      <c r="Z767" s="298" t="e">
        <f>'Matriz POA 2024-TRABAJO'!#REF!</f>
        <v>#REF!</v>
      </c>
      <c r="AA767" s="298" t="e">
        <f>'Matriz POA 2024-TRABAJO'!#REF!</f>
        <v>#REF!</v>
      </c>
      <c r="AB767" s="207">
        <v>110</v>
      </c>
      <c r="AC767" s="207">
        <v>110</v>
      </c>
      <c r="AD767" s="207">
        <v>110</v>
      </c>
      <c r="AE767" s="207">
        <v>110</v>
      </c>
      <c r="AF767" s="207">
        <v>110</v>
      </c>
      <c r="AG767" s="207">
        <v>110</v>
      </c>
      <c r="AH767" s="207">
        <v>110</v>
      </c>
      <c r="AI767" s="207">
        <v>110</v>
      </c>
      <c r="AJ767" s="207">
        <v>110</v>
      </c>
      <c r="AK767" s="207">
        <v>110</v>
      </c>
      <c r="AL767" s="207">
        <v>110</v>
      </c>
      <c r="AM767" s="207">
        <v>110</v>
      </c>
      <c r="AN767" s="207"/>
      <c r="AO767" s="224">
        <f t="shared" si="89"/>
        <v>1320</v>
      </c>
      <c r="AP767" s="224" t="e">
        <f t="shared" si="94"/>
        <v>#REF!</v>
      </c>
      <c r="AQ767" s="207"/>
      <c r="AR767" s="207"/>
      <c r="AS767" s="207"/>
      <c r="AT767" s="224" t="str">
        <f>IFERROR(VLOOKUP($A767,'Constancias POA'!$A$2:$DH$9993,17,FALSE),"")</f>
        <v/>
      </c>
      <c r="AU767" s="207" t="str">
        <f t="shared" si="95"/>
        <v/>
      </c>
      <c r="AV767" s="224" t="str">
        <f>IFERROR(VLOOKUP($A767,CP!$A$1:$U$7992,18,FALSE),"")</f>
        <v/>
      </c>
      <c r="AW767" s="224" t="str">
        <f>IFERROR(VLOOKUP($A767,CP!$A$1:$U$7992,19,FALSE),"")</f>
        <v/>
      </c>
      <c r="AX767" s="224" t="str">
        <f>IFERROR(VLOOKUP($A767,CP!$A$1:$U$7992,20,FALSE),"")</f>
        <v/>
      </c>
      <c r="AY767" s="207" t="str">
        <f>IFERROR(VLOOKUP($A767,CP!$A$1:$U$1,21,FALSE),"")</f>
        <v/>
      </c>
      <c r="AZ767" s="224" t="str">
        <f>IFERROR(VLOOKUP(A767,Devengado!$A$1:AJ1,35,FALSE),"")</f>
        <v/>
      </c>
      <c r="BA767" s="224" t="str">
        <f t="shared" si="90"/>
        <v/>
      </c>
      <c r="BB767" s="224" t="str">
        <f>IFERROR(AZ767/#REF!,"")</f>
        <v/>
      </c>
      <c r="BC767" s="224" t="str">
        <f>IFERROR(VLOOKUP($A767,Devengado!$A$1:$AI$1,22,FALSE),"")</f>
        <v/>
      </c>
      <c r="BD767" s="224" t="str">
        <f>IFERROR(VLOOKUP($A767,Devengado!$A$1:$AI$1,23,FALSE),"")</f>
        <v/>
      </c>
      <c r="BE767" s="224" t="str">
        <f>IFERROR(VLOOKUP($A767,Devengado!$A$1:$AI$1,24,FALSE),"")</f>
        <v/>
      </c>
      <c r="BF767" s="224" t="str">
        <f>IFERROR(VLOOKUP($A767,Devengado!$A$1:$AI$1,25,FALSE),"")</f>
        <v/>
      </c>
      <c r="BG767" s="224" t="str">
        <f>IFERROR(VLOOKUP($A767,Devengado!$A$1:$AI$1,26,FALSE),"")</f>
        <v/>
      </c>
      <c r="BH767" s="224" t="str">
        <f>IFERROR(VLOOKUP($A767,Devengado!$A$1:$AI$1,27,FALSE),"")</f>
        <v/>
      </c>
      <c r="BI767" s="224" t="str">
        <f>IFERROR(VLOOKUP($A767,Devengado!$A$1:$AI$1,28,FALSE),"")</f>
        <v/>
      </c>
      <c r="BJ767" s="224" t="str">
        <f>IFERROR(VLOOKUP($A767,Devengado!$A$1:$AI$1,29,FALSE),"")</f>
        <v/>
      </c>
      <c r="BK767" s="224" t="str">
        <f>IFERROR(VLOOKUP($A767,Devengado!$A$1:$AI$1,30,FALSE),"")</f>
        <v/>
      </c>
      <c r="BL767" s="224" t="str">
        <f>IFERROR(VLOOKUP($A767,Devengado!$A$1:$AI$1,31,FALSE),"")</f>
        <v/>
      </c>
      <c r="BM767" s="224" t="str">
        <f>IFERROR(VLOOKUP($A767,Devengado!$A$1:$AI$1,32,FALSE),"")</f>
        <v/>
      </c>
      <c r="BN767" s="224" t="str">
        <f>IFERROR(VLOOKUP($A767,Devengado!$A$1:$AI$1,33,FALSE),"")</f>
        <v/>
      </c>
      <c r="BO767" s="224">
        <f t="shared" si="91"/>
        <v>0</v>
      </c>
      <c r="BP767" s="224" t="str">
        <f t="shared" si="92"/>
        <v/>
      </c>
      <c r="BQ767" s="207"/>
      <c r="BR767" s="207" t="str">
        <f t="shared" si="93"/>
        <v>53</v>
      </c>
    </row>
    <row r="768" spans="1:70" s="225" customFormat="1" ht="25.5" customHeight="1">
      <c r="A768" s="207">
        <v>764</v>
      </c>
      <c r="B768" s="112" t="s">
        <v>348</v>
      </c>
      <c r="C768" s="112" t="s">
        <v>77</v>
      </c>
      <c r="D768" s="112" t="s">
        <v>77</v>
      </c>
      <c r="E768" s="112" t="s">
        <v>76</v>
      </c>
      <c r="F768" s="112" t="s">
        <v>77</v>
      </c>
      <c r="G768" s="112" t="s">
        <v>77</v>
      </c>
      <c r="H768" s="112" t="s">
        <v>77</v>
      </c>
      <c r="I768" s="112" t="s">
        <v>77</v>
      </c>
      <c r="J768" s="112" t="s">
        <v>77</v>
      </c>
      <c r="K768" s="112" t="s">
        <v>77</v>
      </c>
      <c r="L768" s="112" t="s">
        <v>85</v>
      </c>
      <c r="M768" s="207" t="s">
        <v>733</v>
      </c>
      <c r="N768" s="118" t="s">
        <v>350</v>
      </c>
      <c r="O768" s="118" t="s">
        <v>111</v>
      </c>
      <c r="P768" s="118" t="s">
        <v>81</v>
      </c>
      <c r="Q768" s="118" t="s">
        <v>112</v>
      </c>
      <c r="R768" s="115" t="str">
        <f t="shared" si="88"/>
        <v>53</v>
      </c>
      <c r="S768" s="269">
        <v>530104</v>
      </c>
      <c r="T768" s="207" t="str">
        <f>VLOOKUP(S768,ITEM!$C$1:$D$156,2,FALSE)</f>
        <v>Energía Eléctrica</v>
      </c>
      <c r="U768" s="207">
        <v>1701</v>
      </c>
      <c r="V768" s="114" t="s">
        <v>82</v>
      </c>
      <c r="W768" s="114" t="s">
        <v>84</v>
      </c>
      <c r="X768" s="114" t="s">
        <v>84</v>
      </c>
      <c r="Y768" s="298" t="e">
        <f>'Matriz POA 2024-TRABAJO'!#REF!</f>
        <v>#REF!</v>
      </c>
      <c r="Z768" s="298" t="e">
        <f>'Matriz POA 2024-TRABAJO'!#REF!</f>
        <v>#REF!</v>
      </c>
      <c r="AA768" s="298" t="e">
        <f>'Matriz POA 2024-TRABAJO'!#REF!</f>
        <v>#REF!</v>
      </c>
      <c r="AB768" s="207">
        <v>275</v>
      </c>
      <c r="AC768" s="207">
        <v>275</v>
      </c>
      <c r="AD768" s="207">
        <v>275</v>
      </c>
      <c r="AE768" s="207">
        <v>275</v>
      </c>
      <c r="AF768" s="207">
        <v>275</v>
      </c>
      <c r="AG768" s="207">
        <v>275</v>
      </c>
      <c r="AH768" s="207">
        <v>275</v>
      </c>
      <c r="AI768" s="207">
        <v>275</v>
      </c>
      <c r="AJ768" s="207">
        <v>275</v>
      </c>
      <c r="AK768" s="207">
        <v>275</v>
      </c>
      <c r="AL768" s="207">
        <v>275</v>
      </c>
      <c r="AM768" s="207">
        <v>275</v>
      </c>
      <c r="AN768" s="207"/>
      <c r="AO768" s="224">
        <f t="shared" si="89"/>
        <v>3300</v>
      </c>
      <c r="AP768" s="224" t="e">
        <f t="shared" si="94"/>
        <v>#REF!</v>
      </c>
      <c r="AQ768" s="207"/>
      <c r="AR768" s="207"/>
      <c r="AS768" s="207"/>
      <c r="AT768" s="224" t="str">
        <f>IFERROR(VLOOKUP($A768,'Constancias POA'!$A$2:$DH$9993,17,FALSE),"")</f>
        <v/>
      </c>
      <c r="AU768" s="207" t="str">
        <f t="shared" si="95"/>
        <v/>
      </c>
      <c r="AV768" s="224" t="str">
        <f>IFERROR(VLOOKUP($A768,CP!$A$1:$U$7992,18,FALSE),"")</f>
        <v/>
      </c>
      <c r="AW768" s="224" t="str">
        <f>IFERROR(VLOOKUP($A768,CP!$A$1:$U$7992,19,FALSE),"")</f>
        <v/>
      </c>
      <c r="AX768" s="224" t="str">
        <f>IFERROR(VLOOKUP($A768,CP!$A$1:$U$7992,20,FALSE),"")</f>
        <v/>
      </c>
      <c r="AY768" s="207" t="str">
        <f>IFERROR(VLOOKUP($A768,CP!$A$1:$U$1,21,FALSE),"")</f>
        <v/>
      </c>
      <c r="AZ768" s="224" t="str">
        <f>IFERROR(VLOOKUP(A768,Devengado!$A$1:AJ1,35,FALSE),"")</f>
        <v/>
      </c>
      <c r="BA768" s="224" t="str">
        <f t="shared" si="90"/>
        <v/>
      </c>
      <c r="BB768" s="224" t="str">
        <f>IFERROR(AZ768/#REF!,"")</f>
        <v/>
      </c>
      <c r="BC768" s="224" t="str">
        <f>IFERROR(VLOOKUP($A768,Devengado!$A$1:$AI$1,22,FALSE),"")</f>
        <v/>
      </c>
      <c r="BD768" s="224" t="str">
        <f>IFERROR(VLOOKUP($A768,Devengado!$A$1:$AI$1,23,FALSE),"")</f>
        <v/>
      </c>
      <c r="BE768" s="224" t="str">
        <f>IFERROR(VLOOKUP($A768,Devengado!$A$1:$AI$1,24,FALSE),"")</f>
        <v/>
      </c>
      <c r="BF768" s="224" t="str">
        <f>IFERROR(VLOOKUP($A768,Devengado!$A$1:$AI$1,25,FALSE),"")</f>
        <v/>
      </c>
      <c r="BG768" s="224" t="str">
        <f>IFERROR(VLOOKUP($A768,Devengado!$A$1:$AI$1,26,FALSE),"")</f>
        <v/>
      </c>
      <c r="BH768" s="224" t="str">
        <f>IFERROR(VLOOKUP($A768,Devengado!$A$1:$AI$1,27,FALSE),"")</f>
        <v/>
      </c>
      <c r="BI768" s="224" t="str">
        <f>IFERROR(VLOOKUP($A768,Devengado!$A$1:$AI$1,28,FALSE),"")</f>
        <v/>
      </c>
      <c r="BJ768" s="224" t="str">
        <f>IFERROR(VLOOKUP($A768,Devengado!$A$1:$AI$1,29,FALSE),"")</f>
        <v/>
      </c>
      <c r="BK768" s="224" t="str">
        <f>IFERROR(VLOOKUP($A768,Devengado!$A$1:$AI$1,30,FALSE),"")</f>
        <v/>
      </c>
      <c r="BL768" s="224" t="str">
        <f>IFERROR(VLOOKUP($A768,Devengado!$A$1:$AI$1,31,FALSE),"")</f>
        <v/>
      </c>
      <c r="BM768" s="224" t="str">
        <f>IFERROR(VLOOKUP($A768,Devengado!$A$1:$AI$1,32,FALSE),"")</f>
        <v/>
      </c>
      <c r="BN768" s="224" t="str">
        <f>IFERROR(VLOOKUP($A768,Devengado!$A$1:$AI$1,33,FALSE),"")</f>
        <v/>
      </c>
      <c r="BO768" s="224">
        <f t="shared" si="91"/>
        <v>0</v>
      </c>
      <c r="BP768" s="224" t="str">
        <f t="shared" si="92"/>
        <v/>
      </c>
      <c r="BQ768" s="207"/>
      <c r="BR768" s="207" t="str">
        <f t="shared" si="93"/>
        <v>53</v>
      </c>
    </row>
    <row r="769" spans="1:70" s="225" customFormat="1" ht="25.5" customHeight="1">
      <c r="A769" s="207">
        <v>765</v>
      </c>
      <c r="B769" s="112" t="s">
        <v>348</v>
      </c>
      <c r="C769" s="112" t="s">
        <v>77</v>
      </c>
      <c r="D769" s="112" t="s">
        <v>77</v>
      </c>
      <c r="E769" s="112" t="s">
        <v>76</v>
      </c>
      <c r="F769" s="112" t="s">
        <v>77</v>
      </c>
      <c r="G769" s="112" t="s">
        <v>77</v>
      </c>
      <c r="H769" s="112" t="s">
        <v>77</v>
      </c>
      <c r="I769" s="112" t="s">
        <v>77</v>
      </c>
      <c r="J769" s="112" t="s">
        <v>77</v>
      </c>
      <c r="K769" s="112" t="s">
        <v>77</v>
      </c>
      <c r="L769" s="112" t="s">
        <v>85</v>
      </c>
      <c r="M769" s="207" t="s">
        <v>734</v>
      </c>
      <c r="N769" s="118" t="s">
        <v>350</v>
      </c>
      <c r="O769" s="118" t="s">
        <v>111</v>
      </c>
      <c r="P769" s="118" t="s">
        <v>81</v>
      </c>
      <c r="Q769" s="118" t="s">
        <v>112</v>
      </c>
      <c r="R769" s="115" t="str">
        <f t="shared" si="88"/>
        <v>53</v>
      </c>
      <c r="S769" s="269">
        <v>530104</v>
      </c>
      <c r="T769" s="207" t="str">
        <f>VLOOKUP(S769,ITEM!$C$1:$D$156,2,FALSE)</f>
        <v>Energía Eléctrica</v>
      </c>
      <c r="U769" s="207">
        <v>1701</v>
      </c>
      <c r="V769" s="114" t="s">
        <v>82</v>
      </c>
      <c r="W769" s="114" t="s">
        <v>84</v>
      </c>
      <c r="X769" s="114" t="s">
        <v>84</v>
      </c>
      <c r="Y769" s="298" t="e">
        <f>'Matriz POA 2024-TRABAJO'!#REF!</f>
        <v>#REF!</v>
      </c>
      <c r="Z769" s="298" t="e">
        <f>'Matriz POA 2024-TRABAJO'!#REF!</f>
        <v>#REF!</v>
      </c>
      <c r="AA769" s="298" t="e">
        <f>'Matriz POA 2024-TRABAJO'!#REF!</f>
        <v>#REF!</v>
      </c>
      <c r="AB769" s="207">
        <v>800</v>
      </c>
      <c r="AC769" s="207">
        <v>800</v>
      </c>
      <c r="AD769" s="207">
        <v>800</v>
      </c>
      <c r="AE769" s="207">
        <v>800</v>
      </c>
      <c r="AF769" s="207">
        <v>800</v>
      </c>
      <c r="AG769" s="207">
        <v>800</v>
      </c>
      <c r="AH769" s="207">
        <v>800</v>
      </c>
      <c r="AI769" s="207">
        <v>800</v>
      </c>
      <c r="AJ769" s="207">
        <v>800</v>
      </c>
      <c r="AK769" s="207">
        <v>800</v>
      </c>
      <c r="AL769" s="207">
        <v>800</v>
      </c>
      <c r="AM769" s="207">
        <v>800</v>
      </c>
      <c r="AN769" s="207"/>
      <c r="AO769" s="224">
        <f t="shared" si="89"/>
        <v>9600</v>
      </c>
      <c r="AP769" s="224" t="e">
        <f t="shared" si="94"/>
        <v>#REF!</v>
      </c>
      <c r="AQ769" s="207"/>
      <c r="AR769" s="207"/>
      <c r="AS769" s="207"/>
      <c r="AT769" s="224" t="str">
        <f>IFERROR(VLOOKUP($A769,'Constancias POA'!$A$2:$DH$9993,17,FALSE),"")</f>
        <v/>
      </c>
      <c r="AU769" s="207" t="str">
        <f t="shared" si="95"/>
        <v/>
      </c>
      <c r="AV769" s="224" t="str">
        <f>IFERROR(VLOOKUP($A769,CP!$A$1:$U$7992,18,FALSE),"")</f>
        <v/>
      </c>
      <c r="AW769" s="224" t="str">
        <f>IFERROR(VLOOKUP($A769,CP!$A$1:$U$7992,19,FALSE),"")</f>
        <v/>
      </c>
      <c r="AX769" s="224" t="str">
        <f>IFERROR(VLOOKUP($A769,CP!$A$1:$U$7992,20,FALSE),"")</f>
        <v/>
      </c>
      <c r="AY769" s="207" t="str">
        <f>IFERROR(VLOOKUP($A769,CP!$A$1:$U$1,21,FALSE),"")</f>
        <v/>
      </c>
      <c r="AZ769" s="224" t="str">
        <f>IFERROR(VLOOKUP(A769,Devengado!$A$1:AJ1,35,FALSE),"")</f>
        <v/>
      </c>
      <c r="BA769" s="224" t="str">
        <f t="shared" si="90"/>
        <v/>
      </c>
      <c r="BB769" s="224" t="str">
        <f>IFERROR(AZ769/#REF!,"")</f>
        <v/>
      </c>
      <c r="BC769" s="224" t="str">
        <f>IFERROR(VLOOKUP($A769,Devengado!$A$1:$AI$1,22,FALSE),"")</f>
        <v/>
      </c>
      <c r="BD769" s="224" t="str">
        <f>IFERROR(VLOOKUP($A769,Devengado!$A$1:$AI$1,23,FALSE),"")</f>
        <v/>
      </c>
      <c r="BE769" s="224" t="str">
        <f>IFERROR(VLOOKUP($A769,Devengado!$A$1:$AI$1,24,FALSE),"")</f>
        <v/>
      </c>
      <c r="BF769" s="224" t="str">
        <f>IFERROR(VLOOKUP($A769,Devengado!$A$1:$AI$1,25,FALSE),"")</f>
        <v/>
      </c>
      <c r="BG769" s="224" t="str">
        <f>IFERROR(VLOOKUP($A769,Devengado!$A$1:$AI$1,26,FALSE),"")</f>
        <v/>
      </c>
      <c r="BH769" s="224" t="str">
        <f>IFERROR(VLOOKUP($A769,Devengado!$A$1:$AI$1,27,FALSE),"")</f>
        <v/>
      </c>
      <c r="BI769" s="224" t="str">
        <f>IFERROR(VLOOKUP($A769,Devengado!$A$1:$AI$1,28,FALSE),"")</f>
        <v/>
      </c>
      <c r="BJ769" s="224" t="str">
        <f>IFERROR(VLOOKUP($A769,Devengado!$A$1:$AI$1,29,FALSE),"")</f>
        <v/>
      </c>
      <c r="BK769" s="224" t="str">
        <f>IFERROR(VLOOKUP($A769,Devengado!$A$1:$AI$1,30,FALSE),"")</f>
        <v/>
      </c>
      <c r="BL769" s="224" t="str">
        <f>IFERROR(VLOOKUP($A769,Devengado!$A$1:$AI$1,31,FALSE),"")</f>
        <v/>
      </c>
      <c r="BM769" s="224" t="str">
        <f>IFERROR(VLOOKUP($A769,Devengado!$A$1:$AI$1,32,FALSE),"")</f>
        <v/>
      </c>
      <c r="BN769" s="224" t="str">
        <f>IFERROR(VLOOKUP($A769,Devengado!$A$1:$AI$1,33,FALSE),"")</f>
        <v/>
      </c>
      <c r="BO769" s="224">
        <f t="shared" si="91"/>
        <v>0</v>
      </c>
      <c r="BP769" s="224" t="str">
        <f t="shared" si="92"/>
        <v/>
      </c>
      <c r="BQ769" s="207"/>
      <c r="BR769" s="207" t="str">
        <f t="shared" si="93"/>
        <v>53</v>
      </c>
    </row>
    <row r="770" spans="1:70" s="225" customFormat="1" ht="25.5" customHeight="1">
      <c r="A770" s="207">
        <v>766</v>
      </c>
      <c r="B770" s="112" t="s">
        <v>348</v>
      </c>
      <c r="C770" s="112" t="s">
        <v>77</v>
      </c>
      <c r="D770" s="112" t="s">
        <v>77</v>
      </c>
      <c r="E770" s="112" t="s">
        <v>76</v>
      </c>
      <c r="F770" s="112" t="s">
        <v>77</v>
      </c>
      <c r="G770" s="112" t="s">
        <v>77</v>
      </c>
      <c r="H770" s="112" t="s">
        <v>77</v>
      </c>
      <c r="I770" s="112" t="s">
        <v>77</v>
      </c>
      <c r="J770" s="112" t="s">
        <v>77</v>
      </c>
      <c r="K770" s="112" t="s">
        <v>77</v>
      </c>
      <c r="L770" s="112" t="s">
        <v>85</v>
      </c>
      <c r="M770" s="207" t="s">
        <v>735</v>
      </c>
      <c r="N770" s="118" t="s">
        <v>350</v>
      </c>
      <c r="O770" s="118" t="s">
        <v>111</v>
      </c>
      <c r="P770" s="118" t="s">
        <v>81</v>
      </c>
      <c r="Q770" s="118" t="s">
        <v>112</v>
      </c>
      <c r="R770" s="115" t="str">
        <f t="shared" si="88"/>
        <v>53</v>
      </c>
      <c r="S770" s="269">
        <v>530205</v>
      </c>
      <c r="T770" s="207" t="str">
        <f>VLOOKUP(S770,ITEM!$C$1:$D$156,2,FALSE)</f>
        <v>Espectáculos Culturales y Sociales</v>
      </c>
      <c r="U770" s="207">
        <v>1701</v>
      </c>
      <c r="V770" s="114" t="s">
        <v>82</v>
      </c>
      <c r="W770" s="114" t="s">
        <v>84</v>
      </c>
      <c r="X770" s="114" t="s">
        <v>84</v>
      </c>
      <c r="Y770" s="298" t="e">
        <f>'Matriz POA 2024-TRABAJO'!#REF!</f>
        <v>#REF!</v>
      </c>
      <c r="Z770" s="298" t="e">
        <f>'Matriz POA 2024-TRABAJO'!#REF!</f>
        <v>#REF!</v>
      </c>
      <c r="AA770" s="298" t="e">
        <f>'Matriz POA 2024-TRABAJO'!#REF!</f>
        <v>#REF!</v>
      </c>
      <c r="AB770" s="207"/>
      <c r="AC770" s="207"/>
      <c r="AD770" s="207"/>
      <c r="AE770" s="207"/>
      <c r="AF770" s="207"/>
      <c r="AG770" s="207"/>
      <c r="AH770" s="207"/>
      <c r="AI770" s="207"/>
      <c r="AJ770" s="207"/>
      <c r="AK770" s="207"/>
      <c r="AL770" s="207"/>
      <c r="AM770" s="207"/>
      <c r="AN770" s="207"/>
      <c r="AO770" s="224">
        <f t="shared" si="89"/>
        <v>0</v>
      </c>
      <c r="AP770" s="224" t="e">
        <f t="shared" si="94"/>
        <v>#REF!</v>
      </c>
      <c r="AQ770" s="207"/>
      <c r="AR770" s="207"/>
      <c r="AS770" s="207"/>
      <c r="AT770" s="224" t="str">
        <f>IFERROR(VLOOKUP($A770,'Constancias POA'!$A$2:$DH$9993,17,FALSE),"")</f>
        <v/>
      </c>
      <c r="AU770" s="207" t="str">
        <f t="shared" si="95"/>
        <v/>
      </c>
      <c r="AV770" s="224" t="str">
        <f>IFERROR(VLOOKUP($A770,CP!$A$1:$U$7992,18,FALSE),"")</f>
        <v/>
      </c>
      <c r="AW770" s="224" t="str">
        <f>IFERROR(VLOOKUP($A770,CP!$A$1:$U$7992,19,FALSE),"")</f>
        <v/>
      </c>
      <c r="AX770" s="224" t="str">
        <f>IFERROR(VLOOKUP($A770,CP!$A$1:$U$7992,20,FALSE),"")</f>
        <v/>
      </c>
      <c r="AY770" s="207" t="str">
        <f>IFERROR(VLOOKUP($A770,CP!$A$1:$U$1,21,FALSE),"")</f>
        <v/>
      </c>
      <c r="AZ770" s="224" t="str">
        <f>IFERROR(VLOOKUP(A770,Devengado!$A$1:AJ1,35,FALSE),"")</f>
        <v/>
      </c>
      <c r="BA770" s="224" t="str">
        <f t="shared" si="90"/>
        <v/>
      </c>
      <c r="BB770" s="224" t="str">
        <f>IFERROR(AZ770/#REF!,"")</f>
        <v/>
      </c>
      <c r="BC770" s="224" t="str">
        <f>IFERROR(VLOOKUP($A770,Devengado!$A$1:$AI$1,22,FALSE),"")</f>
        <v/>
      </c>
      <c r="BD770" s="224" t="str">
        <f>IFERROR(VLOOKUP($A770,Devengado!$A$1:$AI$1,23,FALSE),"")</f>
        <v/>
      </c>
      <c r="BE770" s="224" t="str">
        <f>IFERROR(VLOOKUP($A770,Devengado!$A$1:$AI$1,24,FALSE),"")</f>
        <v/>
      </c>
      <c r="BF770" s="224" t="str">
        <f>IFERROR(VLOOKUP($A770,Devengado!$A$1:$AI$1,25,FALSE),"")</f>
        <v/>
      </c>
      <c r="BG770" s="224" t="str">
        <f>IFERROR(VLOOKUP($A770,Devengado!$A$1:$AI$1,26,FALSE),"")</f>
        <v/>
      </c>
      <c r="BH770" s="224" t="str">
        <f>IFERROR(VLOOKUP($A770,Devengado!$A$1:$AI$1,27,FALSE),"")</f>
        <v/>
      </c>
      <c r="BI770" s="224" t="str">
        <f>IFERROR(VLOOKUP($A770,Devengado!$A$1:$AI$1,28,FALSE),"")</f>
        <v/>
      </c>
      <c r="BJ770" s="224" t="str">
        <f>IFERROR(VLOOKUP($A770,Devengado!$A$1:$AI$1,29,FALSE),"")</f>
        <v/>
      </c>
      <c r="BK770" s="224" t="str">
        <f>IFERROR(VLOOKUP($A770,Devengado!$A$1:$AI$1,30,FALSE),"")</f>
        <v/>
      </c>
      <c r="BL770" s="224" t="str">
        <f>IFERROR(VLOOKUP($A770,Devengado!$A$1:$AI$1,31,FALSE),"")</f>
        <v/>
      </c>
      <c r="BM770" s="224" t="str">
        <f>IFERROR(VLOOKUP($A770,Devengado!$A$1:$AI$1,32,FALSE),"")</f>
        <v/>
      </c>
      <c r="BN770" s="224" t="str">
        <f>IFERROR(VLOOKUP($A770,Devengado!$A$1:$AI$1,33,FALSE),"")</f>
        <v/>
      </c>
      <c r="BO770" s="224">
        <f t="shared" si="91"/>
        <v>0</v>
      </c>
      <c r="BP770" s="224" t="str">
        <f t="shared" si="92"/>
        <v/>
      </c>
      <c r="BQ770" s="207"/>
      <c r="BR770" s="207" t="str">
        <f t="shared" si="93"/>
        <v>53</v>
      </c>
    </row>
    <row r="771" spans="1:70" s="225" customFormat="1" ht="25.5" customHeight="1">
      <c r="A771" s="207">
        <v>767</v>
      </c>
      <c r="B771" s="112" t="s">
        <v>348</v>
      </c>
      <c r="C771" s="112" t="s">
        <v>77</v>
      </c>
      <c r="D771" s="112" t="s">
        <v>77</v>
      </c>
      <c r="E771" s="112" t="s">
        <v>76</v>
      </c>
      <c r="F771" s="112" t="s">
        <v>77</v>
      </c>
      <c r="G771" s="112" t="s">
        <v>77</v>
      </c>
      <c r="H771" s="112" t="s">
        <v>77</v>
      </c>
      <c r="I771" s="112" t="s">
        <v>77</v>
      </c>
      <c r="J771" s="112" t="s">
        <v>77</v>
      </c>
      <c r="K771" s="112" t="s">
        <v>77</v>
      </c>
      <c r="L771" s="112" t="s">
        <v>85</v>
      </c>
      <c r="M771" s="207" t="s">
        <v>736</v>
      </c>
      <c r="N771" s="118" t="s">
        <v>350</v>
      </c>
      <c r="O771" s="118" t="s">
        <v>111</v>
      </c>
      <c r="P771" s="118" t="s">
        <v>81</v>
      </c>
      <c r="Q771" s="118" t="s">
        <v>112</v>
      </c>
      <c r="R771" s="115" t="str">
        <f t="shared" si="88"/>
        <v>53</v>
      </c>
      <c r="S771" s="269">
        <v>530613</v>
      </c>
      <c r="T771" s="207" t="e">
        <f>VLOOKUP(S771,ITEM!$C$1:$D$156,2,FALSE)</f>
        <v>#N/A</v>
      </c>
      <c r="U771" s="207">
        <v>1701</v>
      </c>
      <c r="V771" s="114" t="s">
        <v>82</v>
      </c>
      <c r="W771" s="114" t="s">
        <v>84</v>
      </c>
      <c r="X771" s="114" t="s">
        <v>84</v>
      </c>
      <c r="Y771" s="298" t="e">
        <f>'Matriz POA 2024-TRABAJO'!#REF!</f>
        <v>#REF!</v>
      </c>
      <c r="Z771" s="298" t="e">
        <f>'Matriz POA 2024-TRABAJO'!#REF!</f>
        <v>#REF!</v>
      </c>
      <c r="AA771" s="272" t="e">
        <f>'Matriz POA 2024-TRABAJO'!#REF!</f>
        <v>#REF!</v>
      </c>
      <c r="AB771" s="272">
        <v>0</v>
      </c>
      <c r="AC771" s="272">
        <v>0</v>
      </c>
      <c r="AD771" s="272">
        <v>0</v>
      </c>
      <c r="AE771" s="272">
        <v>4000</v>
      </c>
      <c r="AF771" s="272">
        <v>0</v>
      </c>
      <c r="AG771" s="272">
        <v>0</v>
      </c>
      <c r="AH771" s="272">
        <v>0</v>
      </c>
      <c r="AI771" s="272">
        <v>0</v>
      </c>
      <c r="AJ771" s="272">
        <v>0</v>
      </c>
      <c r="AK771" s="272">
        <v>0</v>
      </c>
      <c r="AL771" s="272">
        <v>0</v>
      </c>
      <c r="AM771" s="272">
        <v>0</v>
      </c>
      <c r="AN771" s="272"/>
      <c r="AO771" s="224">
        <f t="shared" si="89"/>
        <v>4000</v>
      </c>
      <c r="AP771" s="224" t="e">
        <f t="shared" si="94"/>
        <v>#REF!</v>
      </c>
      <c r="AQ771" s="207"/>
      <c r="AR771" s="207"/>
      <c r="AS771" s="207"/>
      <c r="AT771" s="224" t="str">
        <f>IFERROR(VLOOKUP($A771,'Constancias POA'!$A$2:$DH$9993,17,FALSE),"")</f>
        <v/>
      </c>
      <c r="AU771" s="207" t="str">
        <f t="shared" si="95"/>
        <v/>
      </c>
      <c r="AV771" s="224" t="str">
        <f>IFERROR(VLOOKUP($A771,CP!$A$1:$U$7992,18,FALSE),"")</f>
        <v/>
      </c>
      <c r="AW771" s="224" t="str">
        <f>IFERROR(VLOOKUP($A771,CP!$A$1:$U$7992,19,FALSE),"")</f>
        <v/>
      </c>
      <c r="AX771" s="224" t="str">
        <f>IFERROR(VLOOKUP($A771,CP!$A$1:$U$7992,20,FALSE),"")</f>
        <v/>
      </c>
      <c r="AY771" s="207" t="str">
        <f>IFERROR(VLOOKUP($A771,CP!$A$1:$U$1,21,FALSE),"")</f>
        <v/>
      </c>
      <c r="AZ771" s="224" t="str">
        <f>IFERROR(VLOOKUP(A771,Devengado!$A$1:AJ1,35,FALSE),"")</f>
        <v/>
      </c>
      <c r="BA771" s="224" t="str">
        <f t="shared" si="90"/>
        <v/>
      </c>
      <c r="BB771" s="224" t="str">
        <f>IFERROR(AZ771/#REF!,"")</f>
        <v/>
      </c>
      <c r="BC771" s="224" t="str">
        <f>IFERROR(VLOOKUP($A771,Devengado!$A$1:$AI$1,22,FALSE),"")</f>
        <v/>
      </c>
      <c r="BD771" s="224" t="str">
        <f>IFERROR(VLOOKUP($A771,Devengado!$A$1:$AI$1,23,FALSE),"")</f>
        <v/>
      </c>
      <c r="BE771" s="224" t="str">
        <f>IFERROR(VLOOKUP($A771,Devengado!$A$1:$AI$1,24,FALSE),"")</f>
        <v/>
      </c>
      <c r="BF771" s="224" t="str">
        <f>IFERROR(VLOOKUP($A771,Devengado!$A$1:$AI$1,25,FALSE),"")</f>
        <v/>
      </c>
      <c r="BG771" s="224" t="str">
        <f>IFERROR(VLOOKUP($A771,Devengado!$A$1:$AI$1,26,FALSE),"")</f>
        <v/>
      </c>
      <c r="BH771" s="224" t="str">
        <f>IFERROR(VLOOKUP($A771,Devengado!$A$1:$AI$1,27,FALSE),"")</f>
        <v/>
      </c>
      <c r="BI771" s="224" t="str">
        <f>IFERROR(VLOOKUP($A771,Devengado!$A$1:$AI$1,28,FALSE),"")</f>
        <v/>
      </c>
      <c r="BJ771" s="224" t="str">
        <f>IFERROR(VLOOKUP($A771,Devengado!$A$1:$AI$1,29,FALSE),"")</f>
        <v/>
      </c>
      <c r="BK771" s="224" t="str">
        <f>IFERROR(VLOOKUP($A771,Devengado!$A$1:$AI$1,30,FALSE),"")</f>
        <v/>
      </c>
      <c r="BL771" s="224" t="str">
        <f>IFERROR(VLOOKUP($A771,Devengado!$A$1:$AI$1,31,FALSE),"")</f>
        <v/>
      </c>
      <c r="BM771" s="224" t="str">
        <f>IFERROR(VLOOKUP($A771,Devengado!$A$1:$AI$1,32,FALSE),"")</f>
        <v/>
      </c>
      <c r="BN771" s="224" t="str">
        <f>IFERROR(VLOOKUP($A771,Devengado!$A$1:$AI$1,33,FALSE),"")</f>
        <v/>
      </c>
      <c r="BO771" s="224">
        <f t="shared" si="91"/>
        <v>0</v>
      </c>
      <c r="BP771" s="224" t="str">
        <f t="shared" si="92"/>
        <v/>
      </c>
      <c r="BQ771" s="207"/>
      <c r="BR771" s="207" t="str">
        <f t="shared" si="93"/>
        <v>53</v>
      </c>
    </row>
    <row r="772" spans="1:70" s="225" customFormat="1" ht="25.5" customHeight="1">
      <c r="A772" s="207">
        <v>768</v>
      </c>
      <c r="B772" s="112" t="s">
        <v>348</v>
      </c>
      <c r="C772" s="112" t="s">
        <v>77</v>
      </c>
      <c r="D772" s="112" t="s">
        <v>77</v>
      </c>
      <c r="E772" s="112" t="s">
        <v>76</v>
      </c>
      <c r="F772" s="112" t="s">
        <v>77</v>
      </c>
      <c r="G772" s="112" t="s">
        <v>77</v>
      </c>
      <c r="H772" s="112" t="s">
        <v>77</v>
      </c>
      <c r="I772" s="112" t="s">
        <v>77</v>
      </c>
      <c r="J772" s="112" t="s">
        <v>77</v>
      </c>
      <c r="K772" s="112" t="s">
        <v>77</v>
      </c>
      <c r="L772" s="112" t="s">
        <v>85</v>
      </c>
      <c r="M772" s="207" t="s">
        <v>737</v>
      </c>
      <c r="N772" s="118" t="s">
        <v>350</v>
      </c>
      <c r="O772" s="118" t="s">
        <v>111</v>
      </c>
      <c r="P772" s="118" t="s">
        <v>81</v>
      </c>
      <c r="Q772" s="118" t="s">
        <v>112</v>
      </c>
      <c r="R772" s="115" t="str">
        <f t="shared" si="88"/>
        <v>53</v>
      </c>
      <c r="S772" s="269">
        <v>530611</v>
      </c>
      <c r="T772" s="207" t="e">
        <f>VLOOKUP(S772,ITEM!$C$1:$D$156,2,FALSE)</f>
        <v>#N/A</v>
      </c>
      <c r="U772" s="207">
        <v>1701</v>
      </c>
      <c r="V772" s="114" t="s">
        <v>82</v>
      </c>
      <c r="W772" s="114" t="s">
        <v>84</v>
      </c>
      <c r="X772" s="114" t="s">
        <v>84</v>
      </c>
      <c r="Y772" s="298" t="e">
        <f>'Matriz POA 2024-TRABAJO'!#REF!</f>
        <v>#REF!</v>
      </c>
      <c r="Z772" s="298" t="e">
        <f>'Matriz POA 2024-TRABAJO'!#REF!</f>
        <v>#REF!</v>
      </c>
      <c r="AA772" s="272" t="e">
        <f>'Matriz POA 2024-TRABAJO'!#REF!</f>
        <v>#REF!</v>
      </c>
      <c r="AB772" s="272">
        <v>0</v>
      </c>
      <c r="AC772" s="272">
        <v>0</v>
      </c>
      <c r="AD772" s="272">
        <v>0</v>
      </c>
      <c r="AE772" s="272">
        <v>4000</v>
      </c>
      <c r="AF772" s="272">
        <v>0</v>
      </c>
      <c r="AG772" s="272">
        <v>0</v>
      </c>
      <c r="AH772" s="272">
        <v>0</v>
      </c>
      <c r="AI772" s="272">
        <v>0</v>
      </c>
      <c r="AJ772" s="272">
        <v>0</v>
      </c>
      <c r="AK772" s="272">
        <v>0</v>
      </c>
      <c r="AL772" s="272">
        <v>0</v>
      </c>
      <c r="AM772" s="272">
        <v>0</v>
      </c>
      <c r="AN772" s="272"/>
      <c r="AO772" s="224">
        <f t="shared" si="89"/>
        <v>4000</v>
      </c>
      <c r="AP772" s="224" t="e">
        <f t="shared" si="94"/>
        <v>#REF!</v>
      </c>
      <c r="AQ772" s="207"/>
      <c r="AR772" s="207"/>
      <c r="AS772" s="207"/>
      <c r="AT772" s="224" t="str">
        <f>IFERROR(VLOOKUP($A772,'Constancias POA'!$A$2:$DH$9993,17,FALSE),"")</f>
        <v/>
      </c>
      <c r="AU772" s="207" t="str">
        <f t="shared" si="95"/>
        <v/>
      </c>
      <c r="AV772" s="224" t="str">
        <f>IFERROR(VLOOKUP($A772,CP!$A$1:$U$7992,18,FALSE),"")</f>
        <v/>
      </c>
      <c r="AW772" s="224" t="str">
        <f>IFERROR(VLOOKUP($A772,CP!$A$1:$U$7992,19,FALSE),"")</f>
        <v/>
      </c>
      <c r="AX772" s="224" t="str">
        <f>IFERROR(VLOOKUP($A772,CP!$A$1:$U$7992,20,FALSE),"")</f>
        <v/>
      </c>
      <c r="AY772" s="207" t="str">
        <f>IFERROR(VLOOKUP($A772,CP!$A$1:$U$1,21,FALSE),"")</f>
        <v/>
      </c>
      <c r="AZ772" s="224" t="str">
        <f>IFERROR(VLOOKUP(A772,Devengado!$A$1:AJ1,35,FALSE),"")</f>
        <v/>
      </c>
      <c r="BA772" s="224" t="str">
        <f t="shared" si="90"/>
        <v/>
      </c>
      <c r="BB772" s="224" t="str">
        <f>IFERROR(AZ772/#REF!,"")</f>
        <v/>
      </c>
      <c r="BC772" s="224" t="str">
        <f>IFERROR(VLOOKUP($A772,Devengado!$A$1:$AI$1,22,FALSE),"")</f>
        <v/>
      </c>
      <c r="BD772" s="224" t="str">
        <f>IFERROR(VLOOKUP($A772,Devengado!$A$1:$AI$1,23,FALSE),"")</f>
        <v/>
      </c>
      <c r="BE772" s="224" t="str">
        <f>IFERROR(VLOOKUP($A772,Devengado!$A$1:$AI$1,24,FALSE),"")</f>
        <v/>
      </c>
      <c r="BF772" s="224" t="str">
        <f>IFERROR(VLOOKUP($A772,Devengado!$A$1:$AI$1,25,FALSE),"")</f>
        <v/>
      </c>
      <c r="BG772" s="224" t="str">
        <f>IFERROR(VLOOKUP($A772,Devengado!$A$1:$AI$1,26,FALSE),"")</f>
        <v/>
      </c>
      <c r="BH772" s="224" t="str">
        <f>IFERROR(VLOOKUP($A772,Devengado!$A$1:$AI$1,27,FALSE),"")</f>
        <v/>
      </c>
      <c r="BI772" s="224" t="str">
        <f>IFERROR(VLOOKUP($A772,Devengado!$A$1:$AI$1,28,FALSE),"")</f>
        <v/>
      </c>
      <c r="BJ772" s="224" t="str">
        <f>IFERROR(VLOOKUP($A772,Devengado!$A$1:$AI$1,29,FALSE),"")</f>
        <v/>
      </c>
      <c r="BK772" s="224" t="str">
        <f>IFERROR(VLOOKUP($A772,Devengado!$A$1:$AI$1,30,FALSE),"")</f>
        <v/>
      </c>
      <c r="BL772" s="224" t="str">
        <f>IFERROR(VLOOKUP($A772,Devengado!$A$1:$AI$1,31,FALSE),"")</f>
        <v/>
      </c>
      <c r="BM772" s="224" t="str">
        <f>IFERROR(VLOOKUP($A772,Devengado!$A$1:$AI$1,32,FALSE),"")</f>
        <v/>
      </c>
      <c r="BN772" s="224" t="str">
        <f>IFERROR(VLOOKUP($A772,Devengado!$A$1:$AI$1,33,FALSE),"")</f>
        <v/>
      </c>
      <c r="BO772" s="224">
        <f t="shared" si="91"/>
        <v>0</v>
      </c>
      <c r="BP772" s="224" t="str">
        <f t="shared" si="92"/>
        <v/>
      </c>
      <c r="BQ772" s="207"/>
      <c r="BR772" s="207" t="str">
        <f t="shared" si="93"/>
        <v>53</v>
      </c>
    </row>
    <row r="773" spans="1:70" s="225" customFormat="1" ht="25.5" customHeight="1">
      <c r="A773" s="207">
        <v>769</v>
      </c>
      <c r="B773" s="112" t="s">
        <v>348</v>
      </c>
      <c r="C773" s="112" t="s">
        <v>77</v>
      </c>
      <c r="D773" s="112" t="s">
        <v>77</v>
      </c>
      <c r="E773" s="112" t="s">
        <v>76</v>
      </c>
      <c r="F773" s="112" t="s">
        <v>77</v>
      </c>
      <c r="G773" s="112" t="s">
        <v>77</v>
      </c>
      <c r="H773" s="112" t="s">
        <v>77</v>
      </c>
      <c r="I773" s="112" t="s">
        <v>77</v>
      </c>
      <c r="J773" s="112" t="s">
        <v>77</v>
      </c>
      <c r="K773" s="112" t="s">
        <v>77</v>
      </c>
      <c r="L773" s="112" t="s">
        <v>85</v>
      </c>
      <c r="M773" s="207" t="s">
        <v>738</v>
      </c>
      <c r="N773" s="118" t="s">
        <v>350</v>
      </c>
      <c r="O773" s="118" t="s">
        <v>111</v>
      </c>
      <c r="P773" s="118" t="s">
        <v>81</v>
      </c>
      <c r="Q773" s="118" t="s">
        <v>112</v>
      </c>
      <c r="R773" s="115" t="str">
        <f t="shared" ref="R773:R836" si="96">LEFT(S773,2)</f>
        <v>53</v>
      </c>
      <c r="S773" s="269">
        <v>530222</v>
      </c>
      <c r="T773" s="207" t="str">
        <f>VLOOKUP(S773,ITEM!$C$1:$D$156,2,FALSE)</f>
        <v>Servicios y Derechos en Producción y Programación de Radio y Televisión</v>
      </c>
      <c r="U773" s="207">
        <v>1701</v>
      </c>
      <c r="V773" s="114" t="s">
        <v>82</v>
      </c>
      <c r="W773" s="114" t="s">
        <v>84</v>
      </c>
      <c r="X773" s="114" t="s">
        <v>84</v>
      </c>
      <c r="Y773" s="298" t="e">
        <f>'Matriz POA 2024-TRABAJO'!#REF!</f>
        <v>#REF!</v>
      </c>
      <c r="Z773" s="298" t="e">
        <f>'Matriz POA 2024-TRABAJO'!#REF!</f>
        <v>#REF!</v>
      </c>
      <c r="AA773" s="298" t="e">
        <f>'Matriz POA 2024-TRABAJO'!#REF!</f>
        <v>#REF!</v>
      </c>
      <c r="AB773" s="207"/>
      <c r="AC773" s="207"/>
      <c r="AD773" s="207"/>
      <c r="AE773" s="207"/>
      <c r="AF773" s="207"/>
      <c r="AG773" s="207"/>
      <c r="AH773" s="207"/>
      <c r="AI773" s="207"/>
      <c r="AJ773" s="207"/>
      <c r="AK773" s="207"/>
      <c r="AL773" s="207"/>
      <c r="AM773" s="207"/>
      <c r="AN773" s="207"/>
      <c r="AO773" s="224">
        <f t="shared" ref="AO773:AO836" si="97">SUM(AB773:AM773)</f>
        <v>0</v>
      </c>
      <c r="AP773" s="224" t="e">
        <f t="shared" si="94"/>
        <v>#REF!</v>
      </c>
      <c r="AQ773" s="207"/>
      <c r="AR773" s="207"/>
      <c r="AS773" s="207"/>
      <c r="AT773" s="224" t="str">
        <f>IFERROR(VLOOKUP($A773,'Constancias POA'!$A$2:$DH$9993,17,FALSE),"")</f>
        <v/>
      </c>
      <c r="AU773" s="207" t="str">
        <f t="shared" si="95"/>
        <v/>
      </c>
      <c r="AV773" s="224" t="str">
        <f>IFERROR(VLOOKUP($A773,CP!$A$1:$U$7992,18,FALSE),"")</f>
        <v/>
      </c>
      <c r="AW773" s="224" t="str">
        <f>IFERROR(VLOOKUP($A773,CP!$A$1:$U$7992,19,FALSE),"")</f>
        <v/>
      </c>
      <c r="AX773" s="224" t="str">
        <f>IFERROR(VLOOKUP($A773,CP!$A$1:$U$7992,20,FALSE),"")</f>
        <v/>
      </c>
      <c r="AY773" s="207" t="str">
        <f>IFERROR(VLOOKUP($A773,CP!$A$1:$U$1,21,FALSE),"")</f>
        <v/>
      </c>
      <c r="AZ773" s="224" t="str">
        <f>IFERROR(VLOOKUP(A773,Devengado!$A$1:AJ1,35,FALSE),"")</f>
        <v/>
      </c>
      <c r="BA773" s="224" t="str">
        <f t="shared" ref="BA773:BA836" si="98">IFERROR((AA773-AZ773),"")</f>
        <v/>
      </c>
      <c r="BB773" s="224" t="str">
        <f>IFERROR(AZ773/#REF!,"")</f>
        <v/>
      </c>
      <c r="BC773" s="224" t="str">
        <f>IFERROR(VLOOKUP($A773,Devengado!$A$1:$AI$1,22,FALSE),"")</f>
        <v/>
      </c>
      <c r="BD773" s="224" t="str">
        <f>IFERROR(VLOOKUP($A773,Devengado!$A$1:$AI$1,23,FALSE),"")</f>
        <v/>
      </c>
      <c r="BE773" s="224" t="str">
        <f>IFERROR(VLOOKUP($A773,Devengado!$A$1:$AI$1,24,FALSE),"")</f>
        <v/>
      </c>
      <c r="BF773" s="224" t="str">
        <f>IFERROR(VLOOKUP($A773,Devengado!$A$1:$AI$1,25,FALSE),"")</f>
        <v/>
      </c>
      <c r="BG773" s="224" t="str">
        <f>IFERROR(VLOOKUP($A773,Devengado!$A$1:$AI$1,26,FALSE),"")</f>
        <v/>
      </c>
      <c r="BH773" s="224" t="str">
        <f>IFERROR(VLOOKUP($A773,Devengado!$A$1:$AI$1,27,FALSE),"")</f>
        <v/>
      </c>
      <c r="BI773" s="224" t="str">
        <f>IFERROR(VLOOKUP($A773,Devengado!$A$1:$AI$1,28,FALSE),"")</f>
        <v/>
      </c>
      <c r="BJ773" s="224" t="str">
        <f>IFERROR(VLOOKUP($A773,Devengado!$A$1:$AI$1,29,FALSE),"")</f>
        <v/>
      </c>
      <c r="BK773" s="224" t="str">
        <f>IFERROR(VLOOKUP($A773,Devengado!$A$1:$AI$1,30,FALSE),"")</f>
        <v/>
      </c>
      <c r="BL773" s="224" t="str">
        <f>IFERROR(VLOOKUP($A773,Devengado!$A$1:$AI$1,31,FALSE),"")</f>
        <v/>
      </c>
      <c r="BM773" s="224" t="str">
        <f>IFERROR(VLOOKUP($A773,Devengado!$A$1:$AI$1,32,FALSE),"")</f>
        <v/>
      </c>
      <c r="BN773" s="224" t="str">
        <f>IFERROR(VLOOKUP($A773,Devengado!$A$1:$AI$1,33,FALSE),"")</f>
        <v/>
      </c>
      <c r="BO773" s="224">
        <f t="shared" ref="BO773:BO806" si="99">SUM(BC773:BN773)</f>
        <v>0</v>
      </c>
      <c r="BP773" s="224" t="str">
        <f t="shared" ref="BP773:BP836" si="100">IFERROR(((AB773+AC773)-AZ773),"")</f>
        <v/>
      </c>
      <c r="BQ773" s="207"/>
      <c r="BR773" s="207" t="str">
        <f t="shared" ref="BR773:BR806" si="101">LEFT(R773,4)</f>
        <v>53</v>
      </c>
    </row>
    <row r="774" spans="1:70" s="225" customFormat="1" ht="25.5" customHeight="1">
      <c r="A774" s="207">
        <v>770</v>
      </c>
      <c r="B774" s="112" t="s">
        <v>348</v>
      </c>
      <c r="C774" s="112" t="s">
        <v>77</v>
      </c>
      <c r="D774" s="112" t="s">
        <v>77</v>
      </c>
      <c r="E774" s="112" t="s">
        <v>76</v>
      </c>
      <c r="F774" s="112" t="s">
        <v>77</v>
      </c>
      <c r="G774" s="112" t="s">
        <v>77</v>
      </c>
      <c r="H774" s="112" t="s">
        <v>77</v>
      </c>
      <c r="I774" s="112" t="s">
        <v>77</v>
      </c>
      <c r="J774" s="112" t="s">
        <v>77</v>
      </c>
      <c r="K774" s="112" t="s">
        <v>77</v>
      </c>
      <c r="L774" s="112" t="s">
        <v>85</v>
      </c>
      <c r="M774" s="207" t="s">
        <v>739</v>
      </c>
      <c r="N774" s="118" t="s">
        <v>350</v>
      </c>
      <c r="O774" s="118" t="s">
        <v>111</v>
      </c>
      <c r="P774" s="118" t="s">
        <v>81</v>
      </c>
      <c r="Q774" s="118" t="s">
        <v>112</v>
      </c>
      <c r="R774" s="115" t="str">
        <f t="shared" si="96"/>
        <v>53</v>
      </c>
      <c r="S774" s="269">
        <v>530611</v>
      </c>
      <c r="T774" s="207" t="e">
        <f>VLOOKUP(S774,ITEM!$C$1:$D$156,2,FALSE)</f>
        <v>#N/A</v>
      </c>
      <c r="U774" s="207">
        <v>1701</v>
      </c>
      <c r="V774" s="114" t="s">
        <v>82</v>
      </c>
      <c r="W774" s="114" t="s">
        <v>84</v>
      </c>
      <c r="X774" s="114" t="s">
        <v>84</v>
      </c>
      <c r="Y774" s="298" t="e">
        <f>'Matriz POA 2024-TRABAJO'!#REF!</f>
        <v>#REF!</v>
      </c>
      <c r="Z774" s="298" t="e">
        <f>'Matriz POA 2024-TRABAJO'!#REF!</f>
        <v>#REF!</v>
      </c>
      <c r="AA774" s="272" t="e">
        <f>'Matriz POA 2024-TRABAJO'!#REF!</f>
        <v>#REF!</v>
      </c>
      <c r="AB774" s="272">
        <v>0</v>
      </c>
      <c r="AC774" s="272">
        <v>0</v>
      </c>
      <c r="AD774" s="272">
        <v>0</v>
      </c>
      <c r="AE774" s="272">
        <v>3500</v>
      </c>
      <c r="AF774" s="272">
        <v>0</v>
      </c>
      <c r="AG774" s="272">
        <v>0</v>
      </c>
      <c r="AH774" s="272">
        <v>0</v>
      </c>
      <c r="AI774" s="272">
        <v>0</v>
      </c>
      <c r="AJ774" s="272">
        <v>0</v>
      </c>
      <c r="AK774" s="272">
        <v>0</v>
      </c>
      <c r="AL774" s="272">
        <v>0</v>
      </c>
      <c r="AM774" s="272">
        <v>0</v>
      </c>
      <c r="AN774" s="272"/>
      <c r="AO774" s="224">
        <f t="shared" si="97"/>
        <v>3500</v>
      </c>
      <c r="AP774" s="224" t="e">
        <f t="shared" ref="AP774:AP837" si="102">+AO774-AA774</f>
        <v>#REF!</v>
      </c>
      <c r="AQ774" s="207"/>
      <c r="AR774" s="207"/>
      <c r="AS774" s="207"/>
      <c r="AT774" s="224" t="str">
        <f>IFERROR(VLOOKUP($A774,'Constancias POA'!$A$2:$DH$9993,17,FALSE),"")</f>
        <v/>
      </c>
      <c r="AU774" s="207" t="str">
        <f t="shared" si="95"/>
        <v/>
      </c>
      <c r="AV774" s="224" t="str">
        <f>IFERROR(VLOOKUP($A774,CP!$A$1:$U$7992,18,FALSE),"")</f>
        <v/>
      </c>
      <c r="AW774" s="224" t="str">
        <f>IFERROR(VLOOKUP($A774,CP!$A$1:$U$7992,19,FALSE),"")</f>
        <v/>
      </c>
      <c r="AX774" s="224" t="str">
        <f>IFERROR(VLOOKUP($A774,CP!$A$1:$U$7992,20,FALSE),"")</f>
        <v/>
      </c>
      <c r="AY774" s="207" t="str">
        <f>IFERROR(VLOOKUP($A774,CP!$A$1:$U$1,21,FALSE),"")</f>
        <v/>
      </c>
      <c r="AZ774" s="224" t="str">
        <f>IFERROR(VLOOKUP(A774,Devengado!$A$1:AJ1,35,FALSE),"")</f>
        <v/>
      </c>
      <c r="BA774" s="224" t="str">
        <f t="shared" si="98"/>
        <v/>
      </c>
      <c r="BB774" s="224" t="str">
        <f>IFERROR(AZ774/#REF!,"")</f>
        <v/>
      </c>
      <c r="BC774" s="224" t="str">
        <f>IFERROR(VLOOKUP($A774,Devengado!$A$1:$AI$1,22,FALSE),"")</f>
        <v/>
      </c>
      <c r="BD774" s="224" t="str">
        <f>IFERROR(VLOOKUP($A774,Devengado!$A$1:$AI$1,23,FALSE),"")</f>
        <v/>
      </c>
      <c r="BE774" s="224" t="str">
        <f>IFERROR(VLOOKUP($A774,Devengado!$A$1:$AI$1,24,FALSE),"")</f>
        <v/>
      </c>
      <c r="BF774" s="224" t="str">
        <f>IFERROR(VLOOKUP($A774,Devengado!$A$1:$AI$1,25,FALSE),"")</f>
        <v/>
      </c>
      <c r="BG774" s="224" t="str">
        <f>IFERROR(VLOOKUP($A774,Devengado!$A$1:$AI$1,26,FALSE),"")</f>
        <v/>
      </c>
      <c r="BH774" s="224" t="str">
        <f>IFERROR(VLOOKUP($A774,Devengado!$A$1:$AI$1,27,FALSE),"")</f>
        <v/>
      </c>
      <c r="BI774" s="224" t="str">
        <f>IFERROR(VLOOKUP($A774,Devengado!$A$1:$AI$1,28,FALSE),"")</f>
        <v/>
      </c>
      <c r="BJ774" s="224" t="str">
        <f>IFERROR(VLOOKUP($A774,Devengado!$A$1:$AI$1,29,FALSE),"")</f>
        <v/>
      </c>
      <c r="BK774" s="224" t="str">
        <f>IFERROR(VLOOKUP($A774,Devengado!$A$1:$AI$1,30,FALSE),"")</f>
        <v/>
      </c>
      <c r="BL774" s="224" t="str">
        <f>IFERROR(VLOOKUP($A774,Devengado!$A$1:$AI$1,31,FALSE),"")</f>
        <v/>
      </c>
      <c r="BM774" s="224" t="str">
        <f>IFERROR(VLOOKUP($A774,Devengado!$A$1:$AI$1,32,FALSE),"")</f>
        <v/>
      </c>
      <c r="BN774" s="224" t="str">
        <f>IFERROR(VLOOKUP($A774,Devengado!$A$1:$AI$1,33,FALSE),"")</f>
        <v/>
      </c>
      <c r="BO774" s="224">
        <f t="shared" si="99"/>
        <v>0</v>
      </c>
      <c r="BP774" s="224" t="str">
        <f t="shared" si="100"/>
        <v/>
      </c>
      <c r="BQ774" s="207"/>
      <c r="BR774" s="207" t="str">
        <f t="shared" si="101"/>
        <v>53</v>
      </c>
    </row>
    <row r="775" spans="1:70" s="225" customFormat="1" ht="25.5" customHeight="1">
      <c r="A775" s="207">
        <v>771</v>
      </c>
      <c r="B775" s="112" t="s">
        <v>348</v>
      </c>
      <c r="C775" s="112" t="s">
        <v>77</v>
      </c>
      <c r="D775" s="112" t="s">
        <v>77</v>
      </c>
      <c r="E775" s="112" t="s">
        <v>76</v>
      </c>
      <c r="F775" s="112" t="s">
        <v>77</v>
      </c>
      <c r="G775" s="112" t="s">
        <v>77</v>
      </c>
      <c r="H775" s="112" t="s">
        <v>77</v>
      </c>
      <c r="I775" s="112" t="s">
        <v>77</v>
      </c>
      <c r="J775" s="112" t="s">
        <v>77</v>
      </c>
      <c r="K775" s="112" t="s">
        <v>77</v>
      </c>
      <c r="L775" s="112" t="s">
        <v>85</v>
      </c>
      <c r="M775" s="207" t="s">
        <v>740</v>
      </c>
      <c r="N775" s="118" t="s">
        <v>350</v>
      </c>
      <c r="O775" s="118" t="s">
        <v>111</v>
      </c>
      <c r="P775" s="118" t="s">
        <v>81</v>
      </c>
      <c r="Q775" s="118" t="s">
        <v>112</v>
      </c>
      <c r="R775" s="115" t="str">
        <f t="shared" si="96"/>
        <v>53</v>
      </c>
      <c r="S775" s="269">
        <v>531403</v>
      </c>
      <c r="T775" s="207" t="e">
        <f>VLOOKUP(S775,ITEM!$C$1:$D$156,2,FALSE)</f>
        <v>#N/A</v>
      </c>
      <c r="U775" s="207">
        <v>1701</v>
      </c>
      <c r="V775" s="114" t="s">
        <v>82</v>
      </c>
      <c r="W775" s="114" t="s">
        <v>84</v>
      </c>
      <c r="X775" s="114" t="s">
        <v>84</v>
      </c>
      <c r="Y775" s="298" t="e">
        <f>'Matriz POA 2024-TRABAJO'!#REF!</f>
        <v>#REF!</v>
      </c>
      <c r="Z775" s="298" t="e">
        <f>'Matriz POA 2024-TRABAJO'!#REF!</f>
        <v>#REF!</v>
      </c>
      <c r="AA775" s="272" t="e">
        <f>'Matriz POA 2024-TRABAJO'!#REF!</f>
        <v>#REF!</v>
      </c>
      <c r="AB775" s="272">
        <v>0</v>
      </c>
      <c r="AC775" s="272">
        <v>0</v>
      </c>
      <c r="AD775" s="272">
        <v>0</v>
      </c>
      <c r="AE775" s="272">
        <v>3000</v>
      </c>
      <c r="AF775" s="272">
        <v>0</v>
      </c>
      <c r="AG775" s="272">
        <v>0</v>
      </c>
      <c r="AH775" s="272">
        <v>0</v>
      </c>
      <c r="AI775" s="272">
        <v>0</v>
      </c>
      <c r="AJ775" s="272">
        <v>0</v>
      </c>
      <c r="AK775" s="272">
        <v>0</v>
      </c>
      <c r="AL775" s="272">
        <v>0</v>
      </c>
      <c r="AM775" s="272">
        <v>0</v>
      </c>
      <c r="AN775" s="272"/>
      <c r="AO775" s="224">
        <f t="shared" si="97"/>
        <v>3000</v>
      </c>
      <c r="AP775" s="224" t="e">
        <f t="shared" si="102"/>
        <v>#REF!</v>
      </c>
      <c r="AQ775" s="207"/>
      <c r="AR775" s="207"/>
      <c r="AS775" s="207"/>
      <c r="AT775" s="224" t="str">
        <f>IFERROR(VLOOKUP($A775,'Constancias POA'!$A$2:$DH$9993,17,FALSE),"")</f>
        <v/>
      </c>
      <c r="AU775" s="207" t="str">
        <f t="shared" ref="AU775:AU806" si="103">IFERROR(AA775-AT775,"")</f>
        <v/>
      </c>
      <c r="AV775" s="224" t="str">
        <f>IFERROR(VLOOKUP($A775,CP!$A$1:$U$7992,18,FALSE),"")</f>
        <v/>
      </c>
      <c r="AW775" s="224" t="str">
        <f>IFERROR(VLOOKUP($A775,CP!$A$1:$U$7992,19,FALSE),"")</f>
        <v/>
      </c>
      <c r="AX775" s="224" t="str">
        <f>IFERROR(VLOOKUP($A775,CP!$A$1:$U$7992,20,FALSE),"")</f>
        <v/>
      </c>
      <c r="AY775" s="207" t="str">
        <f>IFERROR(VLOOKUP($A775,CP!$A$1:$U$1,21,FALSE),"")</f>
        <v/>
      </c>
      <c r="AZ775" s="224" t="str">
        <f>IFERROR(VLOOKUP(A775,Devengado!$A$1:AJ1,35,FALSE),"")</f>
        <v/>
      </c>
      <c r="BA775" s="224" t="str">
        <f t="shared" si="98"/>
        <v/>
      </c>
      <c r="BB775" s="224" t="str">
        <f>IFERROR(AZ775/#REF!,"")</f>
        <v/>
      </c>
      <c r="BC775" s="224" t="str">
        <f>IFERROR(VLOOKUP($A775,Devengado!$A$1:$AI$1,22,FALSE),"")</f>
        <v/>
      </c>
      <c r="BD775" s="224" t="str">
        <f>IFERROR(VLOOKUP($A775,Devengado!$A$1:$AI$1,23,FALSE),"")</f>
        <v/>
      </c>
      <c r="BE775" s="224" t="str">
        <f>IFERROR(VLOOKUP($A775,Devengado!$A$1:$AI$1,24,FALSE),"")</f>
        <v/>
      </c>
      <c r="BF775" s="224" t="str">
        <f>IFERROR(VLOOKUP($A775,Devengado!$A$1:$AI$1,25,FALSE),"")</f>
        <v/>
      </c>
      <c r="BG775" s="224" t="str">
        <f>IFERROR(VLOOKUP($A775,Devengado!$A$1:$AI$1,26,FALSE),"")</f>
        <v/>
      </c>
      <c r="BH775" s="224" t="str">
        <f>IFERROR(VLOOKUP($A775,Devengado!$A$1:$AI$1,27,FALSE),"")</f>
        <v/>
      </c>
      <c r="BI775" s="224" t="str">
        <f>IFERROR(VLOOKUP($A775,Devengado!$A$1:$AI$1,28,FALSE),"")</f>
        <v/>
      </c>
      <c r="BJ775" s="224" t="str">
        <f>IFERROR(VLOOKUP($A775,Devengado!$A$1:$AI$1,29,FALSE),"")</f>
        <v/>
      </c>
      <c r="BK775" s="224" t="str">
        <f>IFERROR(VLOOKUP($A775,Devengado!$A$1:$AI$1,30,FALSE),"")</f>
        <v/>
      </c>
      <c r="BL775" s="224" t="str">
        <f>IFERROR(VLOOKUP($A775,Devengado!$A$1:$AI$1,31,FALSE),"")</f>
        <v/>
      </c>
      <c r="BM775" s="224" t="str">
        <f>IFERROR(VLOOKUP($A775,Devengado!$A$1:$AI$1,32,FALSE),"")</f>
        <v/>
      </c>
      <c r="BN775" s="224" t="str">
        <f>IFERROR(VLOOKUP($A775,Devengado!$A$1:$AI$1,33,FALSE),"")</f>
        <v/>
      </c>
      <c r="BO775" s="224">
        <f t="shared" si="99"/>
        <v>0</v>
      </c>
      <c r="BP775" s="224" t="str">
        <f t="shared" si="100"/>
        <v/>
      </c>
      <c r="BQ775" s="207"/>
      <c r="BR775" s="207" t="str">
        <f t="shared" si="101"/>
        <v>53</v>
      </c>
    </row>
    <row r="776" spans="1:70" s="225" customFormat="1" ht="25.5" customHeight="1">
      <c r="A776" s="207">
        <v>772</v>
      </c>
      <c r="B776" s="112" t="s">
        <v>348</v>
      </c>
      <c r="C776" s="112" t="s">
        <v>77</v>
      </c>
      <c r="D776" s="112" t="s">
        <v>77</v>
      </c>
      <c r="E776" s="112" t="s">
        <v>76</v>
      </c>
      <c r="F776" s="112" t="s">
        <v>77</v>
      </c>
      <c r="G776" s="112" t="s">
        <v>77</v>
      </c>
      <c r="H776" s="112" t="s">
        <v>77</v>
      </c>
      <c r="I776" s="112" t="s">
        <v>77</v>
      </c>
      <c r="J776" s="112" t="s">
        <v>77</v>
      </c>
      <c r="K776" s="112" t="s">
        <v>77</v>
      </c>
      <c r="L776" s="112" t="s">
        <v>85</v>
      </c>
      <c r="M776" s="207" t="s">
        <v>741</v>
      </c>
      <c r="N776" s="118" t="s">
        <v>350</v>
      </c>
      <c r="O776" s="118" t="s">
        <v>111</v>
      </c>
      <c r="P776" s="118" t="s">
        <v>81</v>
      </c>
      <c r="Q776" s="118" t="s">
        <v>112</v>
      </c>
      <c r="R776" s="115" t="str">
        <f t="shared" si="96"/>
        <v>53</v>
      </c>
      <c r="S776" s="269">
        <v>530204</v>
      </c>
      <c r="T776" s="207" t="str">
        <f>VLOOKUP(S776,ITEM!$C$1:$D$156,2,FALSE)</f>
        <v>Edición, Impresión, Reproducción, Publicaciones, Suscripciones, Fotocopiado, Traducción, Empastado, Enmarcación,
Serigrafía, Fotografía, Carnetización, Filmación e Imágenes Satelitales.</v>
      </c>
      <c r="U776" s="207">
        <v>1701</v>
      </c>
      <c r="V776" s="114" t="s">
        <v>82</v>
      </c>
      <c r="W776" s="114" t="s">
        <v>84</v>
      </c>
      <c r="X776" s="114" t="s">
        <v>84</v>
      </c>
      <c r="Y776" s="298" t="e">
        <f>'Matriz POA 2024-TRABAJO'!#REF!</f>
        <v>#REF!</v>
      </c>
      <c r="Z776" s="298" t="e">
        <f>'Matriz POA 2024-TRABAJO'!#REF!</f>
        <v>#REF!</v>
      </c>
      <c r="AA776" s="272" t="e">
        <f>'Matriz POA 2024-TRABAJO'!#REF!</f>
        <v>#REF!</v>
      </c>
      <c r="AB776" s="272">
        <v>0</v>
      </c>
      <c r="AC776" s="272">
        <v>0</v>
      </c>
      <c r="AD776" s="272">
        <v>0</v>
      </c>
      <c r="AE776" s="272">
        <v>0</v>
      </c>
      <c r="AF776" s="272">
        <v>2500</v>
      </c>
      <c r="AG776" s="272">
        <v>0</v>
      </c>
      <c r="AH776" s="272">
        <v>0</v>
      </c>
      <c r="AI776" s="272">
        <v>0</v>
      </c>
      <c r="AJ776" s="272">
        <v>0</v>
      </c>
      <c r="AK776" s="272">
        <v>0</v>
      </c>
      <c r="AL776" s="272">
        <v>0</v>
      </c>
      <c r="AM776" s="272">
        <v>0</v>
      </c>
      <c r="AN776" s="272"/>
      <c r="AO776" s="224">
        <f t="shared" si="97"/>
        <v>2500</v>
      </c>
      <c r="AP776" s="224" t="e">
        <f t="shared" si="102"/>
        <v>#REF!</v>
      </c>
      <c r="AQ776" s="207"/>
      <c r="AR776" s="207"/>
      <c r="AS776" s="207"/>
      <c r="AT776" s="224" t="str">
        <f>IFERROR(VLOOKUP($A776,'Constancias POA'!$A$2:$DH$9993,17,FALSE),"")</f>
        <v/>
      </c>
      <c r="AU776" s="207" t="str">
        <f t="shared" si="103"/>
        <v/>
      </c>
      <c r="AV776" s="224" t="str">
        <f>IFERROR(VLOOKUP($A776,CP!$A$1:$U$7992,18,FALSE),"")</f>
        <v/>
      </c>
      <c r="AW776" s="224" t="str">
        <f>IFERROR(VLOOKUP($A776,CP!$A$1:$U$7992,19,FALSE),"")</f>
        <v/>
      </c>
      <c r="AX776" s="224" t="str">
        <f>IFERROR(VLOOKUP($A776,CP!$A$1:$U$7992,20,FALSE),"")</f>
        <v/>
      </c>
      <c r="AY776" s="207" t="str">
        <f>IFERROR(VLOOKUP($A776,CP!$A$1:$U$1,21,FALSE),"")</f>
        <v/>
      </c>
      <c r="AZ776" s="224" t="str">
        <f>IFERROR(VLOOKUP(A776,Devengado!$A$1:AJ1,35,FALSE),"")</f>
        <v/>
      </c>
      <c r="BA776" s="224" t="str">
        <f t="shared" si="98"/>
        <v/>
      </c>
      <c r="BB776" s="224" t="str">
        <f>IFERROR(AZ776/#REF!,"")</f>
        <v/>
      </c>
      <c r="BC776" s="224" t="str">
        <f>IFERROR(VLOOKUP($A776,Devengado!$A$1:$AI$1,22,FALSE),"")</f>
        <v/>
      </c>
      <c r="BD776" s="224" t="str">
        <f>IFERROR(VLOOKUP($A776,Devengado!$A$1:$AI$1,23,FALSE),"")</f>
        <v/>
      </c>
      <c r="BE776" s="224" t="str">
        <f>IFERROR(VLOOKUP($A776,Devengado!$A$1:$AI$1,24,FALSE),"")</f>
        <v/>
      </c>
      <c r="BF776" s="224" t="str">
        <f>IFERROR(VLOOKUP($A776,Devengado!$A$1:$AI$1,25,FALSE),"")</f>
        <v/>
      </c>
      <c r="BG776" s="224" t="str">
        <f>IFERROR(VLOOKUP($A776,Devengado!$A$1:$AI$1,26,FALSE),"")</f>
        <v/>
      </c>
      <c r="BH776" s="224" t="str">
        <f>IFERROR(VLOOKUP($A776,Devengado!$A$1:$AI$1,27,FALSE),"")</f>
        <v/>
      </c>
      <c r="BI776" s="224" t="str">
        <f>IFERROR(VLOOKUP($A776,Devengado!$A$1:$AI$1,28,FALSE),"")</f>
        <v/>
      </c>
      <c r="BJ776" s="224" t="str">
        <f>IFERROR(VLOOKUP($A776,Devengado!$A$1:$AI$1,29,FALSE),"")</f>
        <v/>
      </c>
      <c r="BK776" s="224" t="str">
        <f>IFERROR(VLOOKUP($A776,Devengado!$A$1:$AI$1,30,FALSE),"")</f>
        <v/>
      </c>
      <c r="BL776" s="224" t="str">
        <f>IFERROR(VLOOKUP($A776,Devengado!$A$1:$AI$1,31,FALSE),"")</f>
        <v/>
      </c>
      <c r="BM776" s="224" t="str">
        <f>IFERROR(VLOOKUP($A776,Devengado!$A$1:$AI$1,32,FALSE),"")</f>
        <v/>
      </c>
      <c r="BN776" s="224" t="str">
        <f>IFERROR(VLOOKUP($A776,Devengado!$A$1:$AI$1,33,FALSE),"")</f>
        <v/>
      </c>
      <c r="BO776" s="224">
        <f t="shared" si="99"/>
        <v>0</v>
      </c>
      <c r="BP776" s="224" t="str">
        <f t="shared" si="100"/>
        <v/>
      </c>
      <c r="BQ776" s="207"/>
      <c r="BR776" s="207" t="str">
        <f t="shared" si="101"/>
        <v>53</v>
      </c>
    </row>
    <row r="777" spans="1:70" s="225" customFormat="1" ht="25.5" customHeight="1">
      <c r="A777" s="207">
        <v>773</v>
      </c>
      <c r="B777" s="112" t="s">
        <v>348</v>
      </c>
      <c r="C777" s="112" t="s">
        <v>77</v>
      </c>
      <c r="D777" s="112" t="s">
        <v>77</v>
      </c>
      <c r="E777" s="112" t="s">
        <v>76</v>
      </c>
      <c r="F777" s="112" t="s">
        <v>77</v>
      </c>
      <c r="G777" s="112" t="s">
        <v>77</v>
      </c>
      <c r="H777" s="112" t="s">
        <v>77</v>
      </c>
      <c r="I777" s="112" t="s">
        <v>77</v>
      </c>
      <c r="J777" s="112" t="s">
        <v>77</v>
      </c>
      <c r="K777" s="112" t="s">
        <v>77</v>
      </c>
      <c r="L777" s="112" t="s">
        <v>85</v>
      </c>
      <c r="M777" s="207" t="s">
        <v>742</v>
      </c>
      <c r="N777" s="118" t="s">
        <v>350</v>
      </c>
      <c r="O777" s="118" t="s">
        <v>111</v>
      </c>
      <c r="P777" s="118" t="s">
        <v>81</v>
      </c>
      <c r="Q777" s="118" t="s">
        <v>112</v>
      </c>
      <c r="R777" s="115" t="str">
        <f t="shared" si="96"/>
        <v>53</v>
      </c>
      <c r="S777" s="269">
        <v>530204</v>
      </c>
      <c r="T777" s="207" t="str">
        <f>VLOOKUP(S777,ITEM!$C$1:$D$156,2,FALSE)</f>
        <v>Edición, Impresión, Reproducción, Publicaciones, Suscripciones, Fotocopiado, Traducción, Empastado, Enmarcación,
Serigrafía, Fotografía, Carnetización, Filmación e Imágenes Satelitales.</v>
      </c>
      <c r="U777" s="207">
        <v>1701</v>
      </c>
      <c r="V777" s="114" t="s">
        <v>82</v>
      </c>
      <c r="W777" s="114" t="s">
        <v>84</v>
      </c>
      <c r="X777" s="114" t="s">
        <v>84</v>
      </c>
      <c r="Y777" s="298" t="e">
        <f>'Matriz POA 2024-TRABAJO'!#REF!</f>
        <v>#REF!</v>
      </c>
      <c r="Z777" s="298" t="e">
        <f>'Matriz POA 2024-TRABAJO'!#REF!</f>
        <v>#REF!</v>
      </c>
      <c r="AA777" s="272" t="e">
        <f>'Matriz POA 2024-TRABAJO'!#REF!</f>
        <v>#REF!</v>
      </c>
      <c r="AB777" s="272">
        <v>0</v>
      </c>
      <c r="AC777" s="272">
        <v>0</v>
      </c>
      <c r="AD777" s="272">
        <v>0</v>
      </c>
      <c r="AE777" s="272">
        <v>0</v>
      </c>
      <c r="AF777" s="272">
        <v>15000</v>
      </c>
      <c r="AG777" s="272">
        <v>0</v>
      </c>
      <c r="AH777" s="272">
        <v>0</v>
      </c>
      <c r="AI777" s="272">
        <v>0</v>
      </c>
      <c r="AJ777" s="272">
        <v>0</v>
      </c>
      <c r="AK777" s="272">
        <v>0</v>
      </c>
      <c r="AL777" s="272">
        <v>0</v>
      </c>
      <c r="AM777" s="272">
        <v>0</v>
      </c>
      <c r="AN777" s="272"/>
      <c r="AO777" s="224">
        <f t="shared" si="97"/>
        <v>15000</v>
      </c>
      <c r="AP777" s="224" t="e">
        <f t="shared" si="102"/>
        <v>#REF!</v>
      </c>
      <c r="AQ777" s="207"/>
      <c r="AR777" s="207"/>
      <c r="AS777" s="207"/>
      <c r="AT777" s="224" t="str">
        <f>IFERROR(VLOOKUP($A777,'Constancias POA'!$A$2:$DH$9993,17,FALSE),"")</f>
        <v/>
      </c>
      <c r="AU777" s="207" t="str">
        <f t="shared" si="103"/>
        <v/>
      </c>
      <c r="AV777" s="224" t="str">
        <f>IFERROR(VLOOKUP($A777,CP!$A$1:$U$7992,18,FALSE),"")</f>
        <v/>
      </c>
      <c r="AW777" s="224" t="str">
        <f>IFERROR(VLOOKUP($A777,CP!$A$1:$U$7992,19,FALSE),"")</f>
        <v/>
      </c>
      <c r="AX777" s="224" t="str">
        <f>IFERROR(VLOOKUP($A777,CP!$A$1:$U$7992,20,FALSE),"")</f>
        <v/>
      </c>
      <c r="AY777" s="207" t="str">
        <f>IFERROR(VLOOKUP($A777,CP!$A$1:$U$1,21,FALSE),"")</f>
        <v/>
      </c>
      <c r="AZ777" s="224" t="str">
        <f>IFERROR(VLOOKUP(A777,Devengado!$A$1:AJ1,35,FALSE),"")</f>
        <v/>
      </c>
      <c r="BA777" s="224" t="str">
        <f t="shared" si="98"/>
        <v/>
      </c>
      <c r="BB777" s="224" t="str">
        <f>IFERROR(AZ777/#REF!,"")</f>
        <v/>
      </c>
      <c r="BC777" s="224" t="str">
        <f>IFERROR(VLOOKUP($A777,Devengado!$A$1:$AI$1,22,FALSE),"")</f>
        <v/>
      </c>
      <c r="BD777" s="224" t="str">
        <f>IFERROR(VLOOKUP($A777,Devengado!$A$1:$AI$1,23,FALSE),"")</f>
        <v/>
      </c>
      <c r="BE777" s="224" t="str">
        <f>IFERROR(VLOOKUP($A777,Devengado!$A$1:$AI$1,24,FALSE),"")</f>
        <v/>
      </c>
      <c r="BF777" s="224" t="str">
        <f>IFERROR(VLOOKUP($A777,Devengado!$A$1:$AI$1,25,FALSE),"")</f>
        <v/>
      </c>
      <c r="BG777" s="224" t="str">
        <f>IFERROR(VLOOKUP($A777,Devengado!$A$1:$AI$1,26,FALSE),"")</f>
        <v/>
      </c>
      <c r="BH777" s="224" t="str">
        <f>IFERROR(VLOOKUP($A777,Devengado!$A$1:$AI$1,27,FALSE),"")</f>
        <v/>
      </c>
      <c r="BI777" s="224" t="str">
        <f>IFERROR(VLOOKUP($A777,Devengado!$A$1:$AI$1,28,FALSE),"")</f>
        <v/>
      </c>
      <c r="BJ777" s="224" t="str">
        <f>IFERROR(VLOOKUP($A777,Devengado!$A$1:$AI$1,29,FALSE),"")</f>
        <v/>
      </c>
      <c r="BK777" s="224" t="str">
        <f>IFERROR(VLOOKUP($A777,Devengado!$A$1:$AI$1,30,FALSE),"")</f>
        <v/>
      </c>
      <c r="BL777" s="224" t="str">
        <f>IFERROR(VLOOKUP($A777,Devengado!$A$1:$AI$1,31,FALSE),"")</f>
        <v/>
      </c>
      <c r="BM777" s="224" t="str">
        <f>IFERROR(VLOOKUP($A777,Devengado!$A$1:$AI$1,32,FALSE),"")</f>
        <v/>
      </c>
      <c r="BN777" s="224" t="str">
        <f>IFERROR(VLOOKUP($A777,Devengado!$A$1:$AI$1,33,FALSE),"")</f>
        <v/>
      </c>
      <c r="BO777" s="224">
        <f t="shared" si="99"/>
        <v>0</v>
      </c>
      <c r="BP777" s="224" t="str">
        <f t="shared" si="100"/>
        <v/>
      </c>
      <c r="BQ777" s="207"/>
      <c r="BR777" s="207" t="str">
        <f t="shared" si="101"/>
        <v>53</v>
      </c>
    </row>
    <row r="778" spans="1:70" s="225" customFormat="1" ht="35.450000000000003" customHeight="1">
      <c r="A778" s="207">
        <v>774</v>
      </c>
      <c r="B778" s="112" t="s">
        <v>348</v>
      </c>
      <c r="C778" s="112" t="s">
        <v>77</v>
      </c>
      <c r="D778" s="112" t="s">
        <v>77</v>
      </c>
      <c r="E778" s="112" t="s">
        <v>76</v>
      </c>
      <c r="F778" s="112" t="s">
        <v>77</v>
      </c>
      <c r="G778" s="112" t="s">
        <v>77</v>
      </c>
      <c r="H778" s="112" t="s">
        <v>77</v>
      </c>
      <c r="I778" s="112" t="s">
        <v>77</v>
      </c>
      <c r="J778" s="112" t="s">
        <v>77</v>
      </c>
      <c r="K778" s="112" t="s">
        <v>77</v>
      </c>
      <c r="L778" s="112" t="s">
        <v>85</v>
      </c>
      <c r="M778" s="207" t="s">
        <v>743</v>
      </c>
      <c r="N778" s="118" t="s">
        <v>350</v>
      </c>
      <c r="O778" s="118" t="s">
        <v>111</v>
      </c>
      <c r="P778" s="118" t="s">
        <v>81</v>
      </c>
      <c r="Q778" s="118" t="s">
        <v>112</v>
      </c>
      <c r="R778" s="115" t="str">
        <f t="shared" si="96"/>
        <v>53</v>
      </c>
      <c r="S778" s="269">
        <v>530425</v>
      </c>
      <c r="T778" s="207" t="str">
        <f>VLOOKUP(S778,ITEM!$C$1:$D$156,2,FALSE)</f>
        <v>Instalación, Readecuación, Montaje de Exposiciones, Mantenimiento y Reparación de Espacios y Bienes Culturales</v>
      </c>
      <c r="U778" s="207">
        <v>1701</v>
      </c>
      <c r="V778" s="114" t="s">
        <v>82</v>
      </c>
      <c r="W778" s="114" t="s">
        <v>84</v>
      </c>
      <c r="X778" s="114" t="s">
        <v>84</v>
      </c>
      <c r="Y778" s="298" t="e">
        <f>'Matriz POA 2024-TRABAJO'!#REF!</f>
        <v>#REF!</v>
      </c>
      <c r="Z778" s="298" t="e">
        <f>'Matriz POA 2024-TRABAJO'!#REF!</f>
        <v>#REF!</v>
      </c>
      <c r="AA778" s="272" t="e">
        <f>'Matriz POA 2024-TRABAJO'!#REF!</f>
        <v>#REF!</v>
      </c>
      <c r="AB778" s="272">
        <v>0</v>
      </c>
      <c r="AC778" s="272"/>
      <c r="AD778" s="272">
        <v>0</v>
      </c>
      <c r="AE778" s="272">
        <v>41000</v>
      </c>
      <c r="AF778" s="272">
        <v>0</v>
      </c>
      <c r="AG778" s="272">
        <v>0</v>
      </c>
      <c r="AH778" s="272">
        <v>0</v>
      </c>
      <c r="AI778" s="272">
        <v>0</v>
      </c>
      <c r="AJ778" s="272">
        <v>0</v>
      </c>
      <c r="AK778" s="272">
        <v>0</v>
      </c>
      <c r="AL778" s="272">
        <v>0</v>
      </c>
      <c r="AM778" s="272">
        <v>0</v>
      </c>
      <c r="AN778" s="272"/>
      <c r="AO778" s="224">
        <f t="shared" si="97"/>
        <v>41000</v>
      </c>
      <c r="AP778" s="224" t="e">
        <f t="shared" si="102"/>
        <v>#REF!</v>
      </c>
      <c r="AQ778" s="207"/>
      <c r="AR778" s="207"/>
      <c r="AS778" s="207"/>
      <c r="AT778" s="224" t="str">
        <f>IFERROR(VLOOKUP($A778,'Constancias POA'!$A$2:$DH$9993,17,FALSE),"")</f>
        <v/>
      </c>
      <c r="AU778" s="207" t="str">
        <f t="shared" si="103"/>
        <v/>
      </c>
      <c r="AV778" s="224" t="str">
        <f>IFERROR(VLOOKUP($A778,CP!$A$1:$U$7992,18,FALSE),"")</f>
        <v/>
      </c>
      <c r="AW778" s="224" t="str">
        <f>IFERROR(VLOOKUP($A778,CP!$A$1:$U$7992,19,FALSE),"")</f>
        <v/>
      </c>
      <c r="AX778" s="224" t="str">
        <f>IFERROR(VLOOKUP($A778,CP!$A$1:$U$7992,20,FALSE),"")</f>
        <v/>
      </c>
      <c r="AY778" s="207" t="str">
        <f>IFERROR(VLOOKUP($A778,CP!$A$1:$U$1,21,FALSE),"")</f>
        <v/>
      </c>
      <c r="AZ778" s="224" t="str">
        <f>IFERROR(VLOOKUP(A778,Devengado!$A$1:AJ1,35,FALSE),"")</f>
        <v/>
      </c>
      <c r="BA778" s="224" t="str">
        <f t="shared" si="98"/>
        <v/>
      </c>
      <c r="BB778" s="224" t="str">
        <f>IFERROR(AZ778/#REF!,"")</f>
        <v/>
      </c>
      <c r="BC778" s="224" t="str">
        <f>IFERROR(VLOOKUP($A778,Devengado!$A$1:$AI$1,22,FALSE),"")</f>
        <v/>
      </c>
      <c r="BD778" s="224" t="str">
        <f>IFERROR(VLOOKUP($A778,Devengado!$A$1:$AI$1,23,FALSE),"")</f>
        <v/>
      </c>
      <c r="BE778" s="224" t="str">
        <f>IFERROR(VLOOKUP($A778,Devengado!$A$1:$AI$1,24,FALSE),"")</f>
        <v/>
      </c>
      <c r="BF778" s="224" t="str">
        <f>IFERROR(VLOOKUP($A778,Devengado!$A$1:$AI$1,25,FALSE),"")</f>
        <v/>
      </c>
      <c r="BG778" s="224" t="str">
        <f>IFERROR(VLOOKUP($A778,Devengado!$A$1:$AI$1,26,FALSE),"")</f>
        <v/>
      </c>
      <c r="BH778" s="224" t="str">
        <f>IFERROR(VLOOKUP($A778,Devengado!$A$1:$AI$1,27,FALSE),"")</f>
        <v/>
      </c>
      <c r="BI778" s="224" t="str">
        <f>IFERROR(VLOOKUP($A778,Devengado!$A$1:$AI$1,28,FALSE),"")</f>
        <v/>
      </c>
      <c r="BJ778" s="224" t="str">
        <f>IFERROR(VLOOKUP($A778,Devengado!$A$1:$AI$1,29,FALSE),"")</f>
        <v/>
      </c>
      <c r="BK778" s="224" t="str">
        <f>IFERROR(VLOOKUP($A778,Devengado!$A$1:$AI$1,30,FALSE),"")</f>
        <v/>
      </c>
      <c r="BL778" s="224" t="str">
        <f>IFERROR(VLOOKUP($A778,Devengado!$A$1:$AI$1,31,FALSE),"")</f>
        <v/>
      </c>
      <c r="BM778" s="224" t="str">
        <f>IFERROR(VLOOKUP($A778,Devengado!$A$1:$AI$1,32,FALSE),"")</f>
        <v/>
      </c>
      <c r="BN778" s="224" t="str">
        <f>IFERROR(VLOOKUP($A778,Devengado!$A$1:$AI$1,33,FALSE),"")</f>
        <v/>
      </c>
      <c r="BO778" s="224">
        <f t="shared" si="99"/>
        <v>0</v>
      </c>
      <c r="BP778" s="224" t="str">
        <f t="shared" si="100"/>
        <v/>
      </c>
      <c r="BQ778" s="207"/>
      <c r="BR778" s="207" t="str">
        <f t="shared" si="101"/>
        <v>53</v>
      </c>
    </row>
    <row r="779" spans="1:70" s="225" customFormat="1" ht="25.5" customHeight="1">
      <c r="A779" s="207">
        <v>775</v>
      </c>
      <c r="B779" s="112" t="s">
        <v>348</v>
      </c>
      <c r="C779" s="112" t="s">
        <v>77</v>
      </c>
      <c r="D779" s="112" t="s">
        <v>77</v>
      </c>
      <c r="E779" s="112" t="s">
        <v>76</v>
      </c>
      <c r="F779" s="112" t="s">
        <v>77</v>
      </c>
      <c r="G779" s="112" t="s">
        <v>77</v>
      </c>
      <c r="H779" s="112" t="s">
        <v>77</v>
      </c>
      <c r="I779" s="112" t="s">
        <v>77</v>
      </c>
      <c r="J779" s="112" t="s">
        <v>77</v>
      </c>
      <c r="K779" s="112" t="s">
        <v>77</v>
      </c>
      <c r="L779" s="112" t="s">
        <v>85</v>
      </c>
      <c r="M779" s="207" t="s">
        <v>744</v>
      </c>
      <c r="N779" s="118" t="s">
        <v>350</v>
      </c>
      <c r="O779" s="118" t="s">
        <v>111</v>
      </c>
      <c r="P779" s="118" t="s">
        <v>81</v>
      </c>
      <c r="Q779" s="118" t="s">
        <v>112</v>
      </c>
      <c r="R779" s="115" t="str">
        <f t="shared" si="96"/>
        <v>53</v>
      </c>
      <c r="S779" s="269">
        <v>530425</v>
      </c>
      <c r="T779" s="207" t="str">
        <f>VLOOKUP(S779,ITEM!$C$1:$D$156,2,FALSE)</f>
        <v>Instalación, Readecuación, Montaje de Exposiciones, Mantenimiento y Reparación de Espacios y Bienes Culturales</v>
      </c>
      <c r="U779" s="207">
        <v>1701</v>
      </c>
      <c r="V779" s="114" t="s">
        <v>82</v>
      </c>
      <c r="W779" s="114" t="s">
        <v>84</v>
      </c>
      <c r="X779" s="114" t="s">
        <v>84</v>
      </c>
      <c r="Y779" s="298" t="e">
        <f>'Matriz POA 2024-TRABAJO'!#REF!</f>
        <v>#REF!</v>
      </c>
      <c r="Z779" s="298" t="e">
        <f>'Matriz POA 2024-TRABAJO'!#REF!</f>
        <v>#REF!</v>
      </c>
      <c r="AA779" s="272" t="e">
        <f>'Matriz POA 2024-TRABAJO'!#REF!</f>
        <v>#REF!</v>
      </c>
      <c r="AB779" s="272">
        <v>0</v>
      </c>
      <c r="AC779" s="272">
        <v>0</v>
      </c>
      <c r="AD779" s="272">
        <v>0</v>
      </c>
      <c r="AE779" s="272">
        <v>6480</v>
      </c>
      <c r="AF779" s="272">
        <v>0</v>
      </c>
      <c r="AG779" s="272">
        <v>0</v>
      </c>
      <c r="AH779" s="272">
        <v>0</v>
      </c>
      <c r="AI779" s="272">
        <v>0</v>
      </c>
      <c r="AJ779" s="272">
        <v>0</v>
      </c>
      <c r="AK779" s="272">
        <v>0</v>
      </c>
      <c r="AL779" s="272">
        <v>0</v>
      </c>
      <c r="AM779" s="272">
        <v>0</v>
      </c>
      <c r="AN779" s="272"/>
      <c r="AO779" s="224">
        <f t="shared" si="97"/>
        <v>6480</v>
      </c>
      <c r="AP779" s="224" t="e">
        <f t="shared" si="102"/>
        <v>#REF!</v>
      </c>
      <c r="AQ779" s="207"/>
      <c r="AR779" s="207"/>
      <c r="AS779" s="207"/>
      <c r="AT779" s="224" t="str">
        <f>IFERROR(VLOOKUP($A779,'Constancias POA'!$A$2:$DH$9993,17,FALSE),"")</f>
        <v/>
      </c>
      <c r="AU779" s="207" t="str">
        <f t="shared" si="103"/>
        <v/>
      </c>
      <c r="AV779" s="224" t="str">
        <f>IFERROR(VLOOKUP($A779,CP!$A$1:$U$7992,18,FALSE),"")</f>
        <v/>
      </c>
      <c r="AW779" s="224" t="str">
        <f>IFERROR(VLOOKUP($A779,CP!$A$1:$U$7992,19,FALSE),"")</f>
        <v/>
      </c>
      <c r="AX779" s="224" t="str">
        <f>IFERROR(VLOOKUP($A779,CP!$A$1:$U$7992,20,FALSE),"")</f>
        <v/>
      </c>
      <c r="AY779" s="207" t="str">
        <f>IFERROR(VLOOKUP($A779,CP!$A$1:$U$1,21,FALSE),"")</f>
        <v/>
      </c>
      <c r="AZ779" s="224" t="str">
        <f>IFERROR(VLOOKUP(A779,Devengado!$A$1:AJ1,35,FALSE),"")</f>
        <v/>
      </c>
      <c r="BA779" s="224" t="str">
        <f t="shared" si="98"/>
        <v/>
      </c>
      <c r="BB779" s="224" t="str">
        <f>IFERROR(AZ779/#REF!,"")</f>
        <v/>
      </c>
      <c r="BC779" s="224" t="str">
        <f>IFERROR(VLOOKUP($A779,Devengado!$A$1:$AI$1,22,FALSE),"")</f>
        <v/>
      </c>
      <c r="BD779" s="224" t="str">
        <f>IFERROR(VLOOKUP($A779,Devengado!$A$1:$AI$1,23,FALSE),"")</f>
        <v/>
      </c>
      <c r="BE779" s="224" t="str">
        <f>IFERROR(VLOOKUP($A779,Devengado!$A$1:$AI$1,24,FALSE),"")</f>
        <v/>
      </c>
      <c r="BF779" s="224" t="str">
        <f>IFERROR(VLOOKUP($A779,Devengado!$A$1:$AI$1,25,FALSE),"")</f>
        <v/>
      </c>
      <c r="BG779" s="224" t="str">
        <f>IFERROR(VLOOKUP($A779,Devengado!$A$1:$AI$1,26,FALSE),"")</f>
        <v/>
      </c>
      <c r="BH779" s="224" t="str">
        <f>IFERROR(VLOOKUP($A779,Devengado!$A$1:$AI$1,27,FALSE),"")</f>
        <v/>
      </c>
      <c r="BI779" s="224" t="str">
        <f>IFERROR(VLOOKUP($A779,Devengado!$A$1:$AI$1,28,FALSE),"")</f>
        <v/>
      </c>
      <c r="BJ779" s="224" t="str">
        <f>IFERROR(VLOOKUP($A779,Devengado!$A$1:$AI$1,29,FALSE),"")</f>
        <v/>
      </c>
      <c r="BK779" s="224" t="str">
        <f>IFERROR(VLOOKUP($A779,Devengado!$A$1:$AI$1,30,FALSE),"")</f>
        <v/>
      </c>
      <c r="BL779" s="224" t="str">
        <f>IFERROR(VLOOKUP($A779,Devengado!$A$1:$AI$1,31,FALSE),"")</f>
        <v/>
      </c>
      <c r="BM779" s="224" t="str">
        <f>IFERROR(VLOOKUP($A779,Devengado!$A$1:$AI$1,32,FALSE),"")</f>
        <v/>
      </c>
      <c r="BN779" s="224" t="str">
        <f>IFERROR(VLOOKUP($A779,Devengado!$A$1:$AI$1,33,FALSE),"")</f>
        <v/>
      </c>
      <c r="BO779" s="224">
        <f t="shared" si="99"/>
        <v>0</v>
      </c>
      <c r="BP779" s="224" t="str">
        <f t="shared" si="100"/>
        <v/>
      </c>
      <c r="BQ779" s="207"/>
      <c r="BR779" s="207" t="str">
        <f t="shared" si="101"/>
        <v>53</v>
      </c>
    </row>
    <row r="780" spans="1:70" s="225" customFormat="1" ht="25.5" customHeight="1">
      <c r="A780" s="207">
        <v>776</v>
      </c>
      <c r="B780" s="112" t="s">
        <v>348</v>
      </c>
      <c r="C780" s="112" t="s">
        <v>77</v>
      </c>
      <c r="D780" s="112" t="s">
        <v>77</v>
      </c>
      <c r="E780" s="112" t="s">
        <v>76</v>
      </c>
      <c r="F780" s="112" t="s">
        <v>77</v>
      </c>
      <c r="G780" s="112" t="s">
        <v>77</v>
      </c>
      <c r="H780" s="112" t="s">
        <v>77</v>
      </c>
      <c r="I780" s="112" t="s">
        <v>77</v>
      </c>
      <c r="J780" s="112" t="s">
        <v>77</v>
      </c>
      <c r="K780" s="112" t="s">
        <v>77</v>
      </c>
      <c r="L780" s="112" t="s">
        <v>85</v>
      </c>
      <c r="M780" s="207" t="s">
        <v>745</v>
      </c>
      <c r="N780" s="118" t="s">
        <v>350</v>
      </c>
      <c r="O780" s="118" t="s">
        <v>111</v>
      </c>
      <c r="P780" s="118" t="s">
        <v>81</v>
      </c>
      <c r="Q780" s="118" t="s">
        <v>112</v>
      </c>
      <c r="R780" s="115" t="str">
        <f t="shared" si="96"/>
        <v>53</v>
      </c>
      <c r="S780" s="269">
        <v>530425</v>
      </c>
      <c r="T780" s="207" t="str">
        <f>VLOOKUP(S780,ITEM!$C$1:$D$156,2,FALSE)</f>
        <v>Instalación, Readecuación, Montaje de Exposiciones, Mantenimiento y Reparación de Espacios y Bienes Culturales</v>
      </c>
      <c r="U780" s="207">
        <v>1701</v>
      </c>
      <c r="V780" s="114" t="s">
        <v>82</v>
      </c>
      <c r="W780" s="114" t="s">
        <v>84</v>
      </c>
      <c r="X780" s="114" t="s">
        <v>84</v>
      </c>
      <c r="Y780" s="298" t="e">
        <f>'Matriz POA 2024-TRABAJO'!#REF!</f>
        <v>#REF!</v>
      </c>
      <c r="Z780" s="298" t="e">
        <f>'Matriz POA 2024-TRABAJO'!#REF!</f>
        <v>#REF!</v>
      </c>
      <c r="AA780" s="272" t="e">
        <f>'Matriz POA 2024-TRABAJO'!#REF!</f>
        <v>#REF!</v>
      </c>
      <c r="AB780" s="272">
        <v>0</v>
      </c>
      <c r="AC780" s="272">
        <v>0</v>
      </c>
      <c r="AD780" s="272">
        <v>0</v>
      </c>
      <c r="AE780" s="272">
        <v>6455</v>
      </c>
      <c r="AF780" s="272">
        <v>0</v>
      </c>
      <c r="AG780" s="272">
        <v>0</v>
      </c>
      <c r="AH780" s="272">
        <v>0</v>
      </c>
      <c r="AI780" s="272">
        <v>0</v>
      </c>
      <c r="AJ780" s="272"/>
      <c r="AK780" s="272">
        <v>0</v>
      </c>
      <c r="AL780" s="272">
        <v>0</v>
      </c>
      <c r="AM780" s="272">
        <v>0</v>
      </c>
      <c r="AN780" s="272"/>
      <c r="AO780" s="224">
        <f t="shared" si="97"/>
        <v>6455</v>
      </c>
      <c r="AP780" s="224" t="e">
        <f t="shared" si="102"/>
        <v>#REF!</v>
      </c>
      <c r="AQ780" s="207"/>
      <c r="AR780" s="207"/>
      <c r="AS780" s="207"/>
      <c r="AT780" s="224" t="str">
        <f>IFERROR(VLOOKUP($A780,'Constancias POA'!$A$2:$DH$9993,17,FALSE),"")</f>
        <v/>
      </c>
      <c r="AU780" s="207" t="str">
        <f t="shared" si="103"/>
        <v/>
      </c>
      <c r="AV780" s="224" t="str">
        <f>IFERROR(VLOOKUP($A780,CP!$A$1:$U$7992,18,FALSE),"")</f>
        <v/>
      </c>
      <c r="AW780" s="224" t="str">
        <f>IFERROR(VLOOKUP($A780,CP!$A$1:$U$7992,19,FALSE),"")</f>
        <v/>
      </c>
      <c r="AX780" s="224" t="str">
        <f>IFERROR(VLOOKUP($A780,CP!$A$1:$U$7992,20,FALSE),"")</f>
        <v/>
      </c>
      <c r="AY780" s="207" t="str">
        <f>IFERROR(VLOOKUP($A780,CP!$A$1:$U$1,21,FALSE),"")</f>
        <v/>
      </c>
      <c r="AZ780" s="224" t="str">
        <f>IFERROR(VLOOKUP(A780,Devengado!$A$1:AJ1,35,FALSE),"")</f>
        <v/>
      </c>
      <c r="BA780" s="224" t="str">
        <f t="shared" si="98"/>
        <v/>
      </c>
      <c r="BB780" s="224" t="str">
        <f>IFERROR(AZ780/#REF!,"")</f>
        <v/>
      </c>
      <c r="BC780" s="224" t="str">
        <f>IFERROR(VLOOKUP($A780,Devengado!$A$1:$AI$1,22,FALSE),"")</f>
        <v/>
      </c>
      <c r="BD780" s="224" t="str">
        <f>IFERROR(VLOOKUP($A780,Devengado!$A$1:$AI$1,23,FALSE),"")</f>
        <v/>
      </c>
      <c r="BE780" s="224" t="str">
        <f>IFERROR(VLOOKUP($A780,Devengado!$A$1:$AI$1,24,FALSE),"")</f>
        <v/>
      </c>
      <c r="BF780" s="224" t="str">
        <f>IFERROR(VLOOKUP($A780,Devengado!$A$1:$AI$1,25,FALSE),"")</f>
        <v/>
      </c>
      <c r="BG780" s="224" t="str">
        <f>IFERROR(VLOOKUP($A780,Devengado!$A$1:$AI$1,26,FALSE),"")</f>
        <v/>
      </c>
      <c r="BH780" s="224" t="str">
        <f>IFERROR(VLOOKUP($A780,Devengado!$A$1:$AI$1,27,FALSE),"")</f>
        <v/>
      </c>
      <c r="BI780" s="224" t="str">
        <f>IFERROR(VLOOKUP($A780,Devengado!$A$1:$AI$1,28,FALSE),"")</f>
        <v/>
      </c>
      <c r="BJ780" s="224" t="str">
        <f>IFERROR(VLOOKUP($A780,Devengado!$A$1:$AI$1,29,FALSE),"")</f>
        <v/>
      </c>
      <c r="BK780" s="224" t="str">
        <f>IFERROR(VLOOKUP($A780,Devengado!$A$1:$AI$1,30,FALSE),"")</f>
        <v/>
      </c>
      <c r="BL780" s="224" t="str">
        <f>IFERROR(VLOOKUP($A780,Devengado!$A$1:$AI$1,31,FALSE),"")</f>
        <v/>
      </c>
      <c r="BM780" s="224" t="str">
        <f>IFERROR(VLOOKUP($A780,Devengado!$A$1:$AI$1,32,FALSE),"")</f>
        <v/>
      </c>
      <c r="BN780" s="224" t="str">
        <f>IFERROR(VLOOKUP($A780,Devengado!$A$1:$AI$1,33,FALSE),"")</f>
        <v/>
      </c>
      <c r="BO780" s="224">
        <f t="shared" si="99"/>
        <v>0</v>
      </c>
      <c r="BP780" s="224" t="str">
        <f t="shared" si="100"/>
        <v/>
      </c>
      <c r="BQ780" s="207"/>
      <c r="BR780" s="207" t="str">
        <f t="shared" si="101"/>
        <v>53</v>
      </c>
    </row>
    <row r="781" spans="1:70" s="225" customFormat="1" ht="25.5" customHeight="1">
      <c r="A781" s="207">
        <v>777</v>
      </c>
      <c r="B781" s="112" t="s">
        <v>348</v>
      </c>
      <c r="C781" s="112" t="s">
        <v>77</v>
      </c>
      <c r="D781" s="112" t="s">
        <v>77</v>
      </c>
      <c r="E781" s="112" t="s">
        <v>76</v>
      </c>
      <c r="F781" s="112" t="s">
        <v>77</v>
      </c>
      <c r="G781" s="112" t="s">
        <v>77</v>
      </c>
      <c r="H781" s="112" t="s">
        <v>77</v>
      </c>
      <c r="I781" s="112" t="s">
        <v>77</v>
      </c>
      <c r="J781" s="112" t="s">
        <v>77</v>
      </c>
      <c r="K781" s="112" t="s">
        <v>77</v>
      </c>
      <c r="L781" s="112" t="s">
        <v>85</v>
      </c>
      <c r="M781" s="207" t="s">
        <v>746</v>
      </c>
      <c r="N781" s="118" t="s">
        <v>350</v>
      </c>
      <c r="O781" s="118" t="s">
        <v>111</v>
      </c>
      <c r="P781" s="118" t="s">
        <v>81</v>
      </c>
      <c r="Q781" s="118" t="s">
        <v>112</v>
      </c>
      <c r="R781" s="115" t="str">
        <f t="shared" si="96"/>
        <v>53</v>
      </c>
      <c r="S781" s="269">
        <v>530402</v>
      </c>
      <c r="T781" s="207" t="str">
        <f>VLOOKUP(S781,ITEM!$C$1:$D$156,2,FALSE)</f>
        <v>Edificios, Locales, Residencias y Cableado Estructurado (Instalación, Mantenimiento y Reparación)</v>
      </c>
      <c r="U781" s="207">
        <v>1701</v>
      </c>
      <c r="V781" s="114" t="s">
        <v>82</v>
      </c>
      <c r="W781" s="114" t="s">
        <v>84</v>
      </c>
      <c r="X781" s="114" t="s">
        <v>84</v>
      </c>
      <c r="Y781" s="298" t="e">
        <f>'Matriz POA 2024-TRABAJO'!#REF!</f>
        <v>#REF!</v>
      </c>
      <c r="Z781" s="298" t="e">
        <f>'Matriz POA 2024-TRABAJO'!#REF!</f>
        <v>#REF!</v>
      </c>
      <c r="AA781" s="272" t="e">
        <f>'Matriz POA 2024-TRABAJO'!#REF!</f>
        <v>#REF!</v>
      </c>
      <c r="AB781" s="272">
        <v>0</v>
      </c>
      <c r="AC781" s="272">
        <v>0</v>
      </c>
      <c r="AD781" s="272">
        <v>0</v>
      </c>
      <c r="AE781" s="272">
        <v>1500</v>
      </c>
      <c r="AF781" s="272">
        <v>0</v>
      </c>
      <c r="AG781" s="272">
        <v>0</v>
      </c>
      <c r="AH781" s="272">
        <v>0</v>
      </c>
      <c r="AI781" s="272">
        <v>0</v>
      </c>
      <c r="AJ781" s="272">
        <v>0</v>
      </c>
      <c r="AK781" s="272">
        <v>0</v>
      </c>
      <c r="AL781" s="272">
        <v>0</v>
      </c>
      <c r="AM781" s="272">
        <v>0</v>
      </c>
      <c r="AN781" s="272"/>
      <c r="AO781" s="224">
        <f t="shared" si="97"/>
        <v>1500</v>
      </c>
      <c r="AP781" s="224" t="e">
        <f t="shared" si="102"/>
        <v>#REF!</v>
      </c>
      <c r="AQ781" s="207"/>
      <c r="AR781" s="207"/>
      <c r="AS781" s="207"/>
      <c r="AT781" s="224" t="str">
        <f>IFERROR(VLOOKUP($A781,'Constancias POA'!$A$2:$DH$9993,17,FALSE),"")</f>
        <v/>
      </c>
      <c r="AU781" s="207" t="str">
        <f t="shared" si="103"/>
        <v/>
      </c>
      <c r="AV781" s="224" t="str">
        <f>IFERROR(VLOOKUP($A781,CP!$A$1:$U$7992,18,FALSE),"")</f>
        <v/>
      </c>
      <c r="AW781" s="224" t="str">
        <f>IFERROR(VLOOKUP($A781,CP!$A$1:$U$7992,19,FALSE),"")</f>
        <v/>
      </c>
      <c r="AX781" s="224" t="str">
        <f>IFERROR(VLOOKUP($A781,CP!$A$1:$U$7992,20,FALSE),"")</f>
        <v/>
      </c>
      <c r="AY781" s="207" t="str">
        <f>IFERROR(VLOOKUP($A781,CP!$A$1:$U$1,21,FALSE),"")</f>
        <v/>
      </c>
      <c r="AZ781" s="224" t="str">
        <f>IFERROR(VLOOKUP(A781,Devengado!$A$1:AJ1,35,FALSE),"")</f>
        <v/>
      </c>
      <c r="BA781" s="224" t="str">
        <f t="shared" si="98"/>
        <v/>
      </c>
      <c r="BB781" s="224" t="str">
        <f>IFERROR(AZ781/#REF!,"")</f>
        <v/>
      </c>
      <c r="BC781" s="224" t="str">
        <f>IFERROR(VLOOKUP($A781,Devengado!$A$1:$AI$1,22,FALSE),"")</f>
        <v/>
      </c>
      <c r="BD781" s="224" t="str">
        <f>IFERROR(VLOOKUP($A781,Devengado!$A$1:$AI$1,23,FALSE),"")</f>
        <v/>
      </c>
      <c r="BE781" s="224" t="str">
        <f>IFERROR(VLOOKUP($A781,Devengado!$A$1:$AI$1,24,FALSE),"")</f>
        <v/>
      </c>
      <c r="BF781" s="224" t="str">
        <f>IFERROR(VLOOKUP($A781,Devengado!$A$1:$AI$1,25,FALSE),"")</f>
        <v/>
      </c>
      <c r="BG781" s="224" t="str">
        <f>IFERROR(VLOOKUP($A781,Devengado!$A$1:$AI$1,26,FALSE),"")</f>
        <v/>
      </c>
      <c r="BH781" s="224" t="str">
        <f>IFERROR(VLOOKUP($A781,Devengado!$A$1:$AI$1,27,FALSE),"")</f>
        <v/>
      </c>
      <c r="BI781" s="224" t="str">
        <f>IFERROR(VLOOKUP($A781,Devengado!$A$1:$AI$1,28,FALSE),"")</f>
        <v/>
      </c>
      <c r="BJ781" s="224" t="str">
        <f>IFERROR(VLOOKUP($A781,Devengado!$A$1:$AI$1,29,FALSE),"")</f>
        <v/>
      </c>
      <c r="BK781" s="224" t="str">
        <f>IFERROR(VLOOKUP($A781,Devengado!$A$1:$AI$1,30,FALSE),"")</f>
        <v/>
      </c>
      <c r="BL781" s="224" t="str">
        <f>IFERROR(VLOOKUP($A781,Devengado!$A$1:$AI$1,31,FALSE),"")</f>
        <v/>
      </c>
      <c r="BM781" s="224" t="str">
        <f>IFERROR(VLOOKUP($A781,Devengado!$A$1:$AI$1,32,FALSE),"")</f>
        <v/>
      </c>
      <c r="BN781" s="224" t="str">
        <f>IFERROR(VLOOKUP($A781,Devengado!$A$1:$AI$1,33,FALSE),"")</f>
        <v/>
      </c>
      <c r="BO781" s="224">
        <f t="shared" si="99"/>
        <v>0</v>
      </c>
      <c r="BP781" s="224" t="str">
        <f t="shared" si="100"/>
        <v/>
      </c>
      <c r="BQ781" s="207"/>
      <c r="BR781" s="207" t="str">
        <f t="shared" si="101"/>
        <v>53</v>
      </c>
    </row>
    <row r="782" spans="1:70" s="225" customFormat="1" ht="25.5" customHeight="1">
      <c r="A782" s="207">
        <v>778</v>
      </c>
      <c r="B782" s="112" t="s">
        <v>348</v>
      </c>
      <c r="C782" s="112" t="s">
        <v>77</v>
      </c>
      <c r="D782" s="112" t="s">
        <v>77</v>
      </c>
      <c r="E782" s="112" t="s">
        <v>76</v>
      </c>
      <c r="F782" s="112" t="s">
        <v>77</v>
      </c>
      <c r="G782" s="112" t="s">
        <v>77</v>
      </c>
      <c r="H782" s="112" t="s">
        <v>77</v>
      </c>
      <c r="I782" s="112" t="s">
        <v>77</v>
      </c>
      <c r="J782" s="112" t="s">
        <v>77</v>
      </c>
      <c r="K782" s="112" t="s">
        <v>77</v>
      </c>
      <c r="L782" s="112" t="s">
        <v>85</v>
      </c>
      <c r="M782" s="207" t="s">
        <v>747</v>
      </c>
      <c r="N782" s="118" t="s">
        <v>350</v>
      </c>
      <c r="O782" s="118" t="s">
        <v>111</v>
      </c>
      <c r="P782" s="118" t="s">
        <v>81</v>
      </c>
      <c r="Q782" s="118" t="s">
        <v>112</v>
      </c>
      <c r="R782" s="115" t="str">
        <f t="shared" si="96"/>
        <v>53</v>
      </c>
      <c r="S782" s="269">
        <v>530425</v>
      </c>
      <c r="T782" s="207" t="str">
        <f>VLOOKUP(S782,ITEM!$C$1:$D$156,2,FALSE)</f>
        <v>Instalación, Readecuación, Montaje de Exposiciones, Mantenimiento y Reparación de Espacios y Bienes Culturales</v>
      </c>
      <c r="U782" s="207">
        <v>1701</v>
      </c>
      <c r="V782" s="114" t="s">
        <v>82</v>
      </c>
      <c r="W782" s="114" t="s">
        <v>84</v>
      </c>
      <c r="X782" s="114" t="s">
        <v>84</v>
      </c>
      <c r="Y782" s="298" t="e">
        <f>'Matriz POA 2024-TRABAJO'!#REF!</f>
        <v>#REF!</v>
      </c>
      <c r="Z782" s="298" t="e">
        <f>'Matriz POA 2024-TRABAJO'!#REF!</f>
        <v>#REF!</v>
      </c>
      <c r="AA782" s="272" t="e">
        <f>'Matriz POA 2024-TRABAJO'!#REF!</f>
        <v>#REF!</v>
      </c>
      <c r="AB782" s="272">
        <v>0</v>
      </c>
      <c r="AC782" s="272">
        <v>0</v>
      </c>
      <c r="AD782" s="272">
        <v>0</v>
      </c>
      <c r="AE782" s="272">
        <v>6437</v>
      </c>
      <c r="AF782" s="272">
        <v>0</v>
      </c>
      <c r="AG782" s="272">
        <v>0</v>
      </c>
      <c r="AH782" s="272">
        <v>0</v>
      </c>
      <c r="AI782" s="272">
        <v>0</v>
      </c>
      <c r="AJ782" s="272">
        <v>0</v>
      </c>
      <c r="AK782" s="272">
        <v>0</v>
      </c>
      <c r="AL782" s="272">
        <v>0</v>
      </c>
      <c r="AM782" s="272">
        <v>0</v>
      </c>
      <c r="AN782" s="272"/>
      <c r="AO782" s="224">
        <f t="shared" si="97"/>
        <v>6437</v>
      </c>
      <c r="AP782" s="224" t="e">
        <f t="shared" si="102"/>
        <v>#REF!</v>
      </c>
      <c r="AQ782" s="207"/>
      <c r="AR782" s="207"/>
      <c r="AS782" s="207"/>
      <c r="AT782" s="224" t="str">
        <f>IFERROR(VLOOKUP($A782,'Constancias POA'!$A$2:$DH$9993,17,FALSE),"")</f>
        <v/>
      </c>
      <c r="AU782" s="207" t="str">
        <f t="shared" si="103"/>
        <v/>
      </c>
      <c r="AV782" s="224" t="str">
        <f>IFERROR(VLOOKUP($A782,CP!$A$1:$U$7992,18,FALSE),"")</f>
        <v/>
      </c>
      <c r="AW782" s="224" t="str">
        <f>IFERROR(VLOOKUP($A782,CP!$A$1:$U$7992,19,FALSE),"")</f>
        <v/>
      </c>
      <c r="AX782" s="224" t="str">
        <f>IFERROR(VLOOKUP($A782,CP!$A$1:$U$7992,20,FALSE),"")</f>
        <v/>
      </c>
      <c r="AY782" s="207" t="str">
        <f>IFERROR(VLOOKUP($A782,CP!$A$1:$U$1,21,FALSE),"")</f>
        <v/>
      </c>
      <c r="AZ782" s="224" t="str">
        <f>IFERROR(VLOOKUP(A782,Devengado!$A$1:AJ1,35,FALSE),"")</f>
        <v/>
      </c>
      <c r="BA782" s="224" t="str">
        <f t="shared" si="98"/>
        <v/>
      </c>
      <c r="BB782" s="224" t="str">
        <f>IFERROR(AZ782/#REF!,"")</f>
        <v/>
      </c>
      <c r="BC782" s="224" t="str">
        <f>IFERROR(VLOOKUP($A782,Devengado!$A$1:$AI$1,22,FALSE),"")</f>
        <v/>
      </c>
      <c r="BD782" s="224" t="str">
        <f>IFERROR(VLOOKUP($A782,Devengado!$A$1:$AI$1,23,FALSE),"")</f>
        <v/>
      </c>
      <c r="BE782" s="224" t="str">
        <f>IFERROR(VLOOKUP($A782,Devengado!$A$1:$AI$1,24,FALSE),"")</f>
        <v/>
      </c>
      <c r="BF782" s="224" t="str">
        <f>IFERROR(VLOOKUP($A782,Devengado!$A$1:$AI$1,25,FALSE),"")</f>
        <v/>
      </c>
      <c r="BG782" s="224" t="str">
        <f>IFERROR(VLOOKUP($A782,Devengado!$A$1:$AI$1,26,FALSE),"")</f>
        <v/>
      </c>
      <c r="BH782" s="224" t="str">
        <f>IFERROR(VLOOKUP($A782,Devengado!$A$1:$AI$1,27,FALSE),"")</f>
        <v/>
      </c>
      <c r="BI782" s="224" t="str">
        <f>IFERROR(VLOOKUP($A782,Devengado!$A$1:$AI$1,28,FALSE),"")</f>
        <v/>
      </c>
      <c r="BJ782" s="224" t="str">
        <f>IFERROR(VLOOKUP($A782,Devengado!$A$1:$AI$1,29,FALSE),"")</f>
        <v/>
      </c>
      <c r="BK782" s="224" t="str">
        <f>IFERROR(VLOOKUP($A782,Devengado!$A$1:$AI$1,30,FALSE),"")</f>
        <v/>
      </c>
      <c r="BL782" s="224" t="str">
        <f>IFERROR(VLOOKUP($A782,Devengado!$A$1:$AI$1,31,FALSE),"")</f>
        <v/>
      </c>
      <c r="BM782" s="224" t="str">
        <f>IFERROR(VLOOKUP($A782,Devengado!$A$1:$AI$1,32,FALSE),"")</f>
        <v/>
      </c>
      <c r="BN782" s="224" t="str">
        <f>IFERROR(VLOOKUP($A782,Devengado!$A$1:$AI$1,33,FALSE),"")</f>
        <v/>
      </c>
      <c r="BO782" s="224">
        <f t="shared" si="99"/>
        <v>0</v>
      </c>
      <c r="BP782" s="224" t="str">
        <f t="shared" si="100"/>
        <v/>
      </c>
      <c r="BQ782" s="207"/>
      <c r="BR782" s="207" t="str">
        <f t="shared" si="101"/>
        <v>53</v>
      </c>
    </row>
    <row r="783" spans="1:70" s="225" customFormat="1" ht="25.5" customHeight="1">
      <c r="A783" s="207">
        <v>779</v>
      </c>
      <c r="B783" s="112" t="s">
        <v>348</v>
      </c>
      <c r="C783" s="112" t="s">
        <v>77</v>
      </c>
      <c r="D783" s="112" t="s">
        <v>77</v>
      </c>
      <c r="E783" s="112" t="s">
        <v>76</v>
      </c>
      <c r="F783" s="112" t="s">
        <v>77</v>
      </c>
      <c r="G783" s="112" t="s">
        <v>77</v>
      </c>
      <c r="H783" s="112" t="s">
        <v>77</v>
      </c>
      <c r="I783" s="112" t="s">
        <v>77</v>
      </c>
      <c r="J783" s="112" t="s">
        <v>77</v>
      </c>
      <c r="K783" s="112" t="s">
        <v>77</v>
      </c>
      <c r="L783" s="112" t="s">
        <v>85</v>
      </c>
      <c r="M783" s="207" t="s">
        <v>748</v>
      </c>
      <c r="N783" s="118" t="s">
        <v>350</v>
      </c>
      <c r="O783" s="118" t="s">
        <v>111</v>
      </c>
      <c r="P783" s="118" t="s">
        <v>81</v>
      </c>
      <c r="Q783" s="118" t="s">
        <v>112</v>
      </c>
      <c r="R783" s="115" t="str">
        <f t="shared" si="96"/>
        <v>57</v>
      </c>
      <c r="S783" s="269">
        <v>570206</v>
      </c>
      <c r="T783" s="207" t="e">
        <f>VLOOKUP(S783,ITEM!$C$1:$D$156,2,FALSE)</f>
        <v>#N/A</v>
      </c>
      <c r="U783" s="207">
        <v>1701</v>
      </c>
      <c r="V783" s="114" t="s">
        <v>82</v>
      </c>
      <c r="W783" s="114" t="s">
        <v>84</v>
      </c>
      <c r="X783" s="114" t="s">
        <v>84</v>
      </c>
      <c r="Y783" s="298" t="e">
        <f>'Matriz POA 2024-TRABAJO'!#REF!</f>
        <v>#REF!</v>
      </c>
      <c r="Z783" s="298" t="e">
        <f>'Matriz POA 2024-TRABAJO'!#REF!</f>
        <v>#REF!</v>
      </c>
      <c r="AA783" s="272" t="e">
        <f>'Matriz POA 2024-TRABAJO'!#REF!</f>
        <v>#REF!</v>
      </c>
      <c r="AB783" s="272">
        <v>0</v>
      </c>
      <c r="AC783" s="272">
        <v>0</v>
      </c>
      <c r="AD783" s="272">
        <v>0</v>
      </c>
      <c r="AE783" s="272">
        <v>300</v>
      </c>
      <c r="AF783" s="272">
        <v>0</v>
      </c>
      <c r="AG783" s="272">
        <v>0</v>
      </c>
      <c r="AH783" s="272">
        <v>0</v>
      </c>
      <c r="AI783" s="272">
        <v>0</v>
      </c>
      <c r="AJ783" s="272">
        <v>0</v>
      </c>
      <c r="AK783" s="272">
        <v>0</v>
      </c>
      <c r="AL783" s="272">
        <v>0</v>
      </c>
      <c r="AM783" s="272">
        <v>0</v>
      </c>
      <c r="AN783" s="272"/>
      <c r="AO783" s="224">
        <f t="shared" si="97"/>
        <v>300</v>
      </c>
      <c r="AP783" s="224" t="e">
        <f t="shared" si="102"/>
        <v>#REF!</v>
      </c>
      <c r="AQ783" s="207"/>
      <c r="AR783" s="207"/>
      <c r="AS783" s="207"/>
      <c r="AT783" s="224" t="str">
        <f>IFERROR(VLOOKUP($A783,'Constancias POA'!$A$2:$DH$9993,17,FALSE),"")</f>
        <v/>
      </c>
      <c r="AU783" s="207" t="str">
        <f t="shared" si="103"/>
        <v/>
      </c>
      <c r="AV783" s="224" t="str">
        <f>IFERROR(VLOOKUP($A783,CP!$A$1:$U$7992,18,FALSE),"")</f>
        <v/>
      </c>
      <c r="AW783" s="224" t="str">
        <f>IFERROR(VLOOKUP($A783,CP!$A$1:$U$7992,19,FALSE),"")</f>
        <v/>
      </c>
      <c r="AX783" s="224" t="str">
        <f>IFERROR(VLOOKUP($A783,CP!$A$1:$U$7992,20,FALSE),"")</f>
        <v/>
      </c>
      <c r="AY783" s="207" t="str">
        <f>IFERROR(VLOOKUP($A783,CP!$A$1:$U$1,21,FALSE),"")</f>
        <v/>
      </c>
      <c r="AZ783" s="224" t="str">
        <f>IFERROR(VLOOKUP(A783,Devengado!$A$1:AJ1,35,FALSE),"")</f>
        <v/>
      </c>
      <c r="BA783" s="224" t="str">
        <f t="shared" si="98"/>
        <v/>
      </c>
      <c r="BB783" s="224" t="str">
        <f>IFERROR(AZ783/#REF!,"")</f>
        <v/>
      </c>
      <c r="BC783" s="224" t="str">
        <f>IFERROR(VLOOKUP($A783,Devengado!$A$1:$AI$1,22,FALSE),"")</f>
        <v/>
      </c>
      <c r="BD783" s="224" t="str">
        <f>IFERROR(VLOOKUP($A783,Devengado!$A$1:$AI$1,23,FALSE),"")</f>
        <v/>
      </c>
      <c r="BE783" s="224" t="str">
        <f>IFERROR(VLOOKUP($A783,Devengado!$A$1:$AI$1,24,FALSE),"")</f>
        <v/>
      </c>
      <c r="BF783" s="224" t="str">
        <f>IFERROR(VLOOKUP($A783,Devengado!$A$1:$AI$1,25,FALSE),"")</f>
        <v/>
      </c>
      <c r="BG783" s="224" t="str">
        <f>IFERROR(VLOOKUP($A783,Devengado!$A$1:$AI$1,26,FALSE),"")</f>
        <v/>
      </c>
      <c r="BH783" s="224" t="str">
        <f>IFERROR(VLOOKUP($A783,Devengado!$A$1:$AI$1,27,FALSE),"")</f>
        <v/>
      </c>
      <c r="BI783" s="224" t="str">
        <f>IFERROR(VLOOKUP($A783,Devengado!$A$1:$AI$1,28,FALSE),"")</f>
        <v/>
      </c>
      <c r="BJ783" s="224" t="str">
        <f>IFERROR(VLOOKUP($A783,Devengado!$A$1:$AI$1,29,FALSE),"")</f>
        <v/>
      </c>
      <c r="BK783" s="224" t="str">
        <f>IFERROR(VLOOKUP($A783,Devengado!$A$1:$AI$1,30,FALSE),"")</f>
        <v/>
      </c>
      <c r="BL783" s="224" t="str">
        <f>IFERROR(VLOOKUP($A783,Devengado!$A$1:$AI$1,31,FALSE),"")</f>
        <v/>
      </c>
      <c r="BM783" s="224" t="str">
        <f>IFERROR(VLOOKUP($A783,Devengado!$A$1:$AI$1,32,FALSE),"")</f>
        <v/>
      </c>
      <c r="BN783" s="224" t="str">
        <f>IFERROR(VLOOKUP($A783,Devengado!$A$1:$AI$1,33,FALSE),"")</f>
        <v/>
      </c>
      <c r="BO783" s="224">
        <f t="shared" si="99"/>
        <v>0</v>
      </c>
      <c r="BP783" s="224" t="str">
        <f t="shared" si="100"/>
        <v/>
      </c>
      <c r="BQ783" s="207"/>
      <c r="BR783" s="207" t="str">
        <f t="shared" si="101"/>
        <v>57</v>
      </c>
    </row>
    <row r="784" spans="1:70" s="225" customFormat="1" ht="25.5" customHeight="1">
      <c r="A784" s="207">
        <f t="shared" ref="A784:A795" si="104">+A783+1</f>
        <v>780</v>
      </c>
      <c r="B784" s="112" t="s">
        <v>429</v>
      </c>
      <c r="C784" s="112" t="s">
        <v>77</v>
      </c>
      <c r="D784" s="112" t="s">
        <v>77</v>
      </c>
      <c r="E784" s="112" t="s">
        <v>76</v>
      </c>
      <c r="F784" s="112" t="s">
        <v>77</v>
      </c>
      <c r="G784" s="112" t="s">
        <v>77</v>
      </c>
      <c r="H784" s="112" t="s">
        <v>77</v>
      </c>
      <c r="I784" s="112" t="s">
        <v>77</v>
      </c>
      <c r="J784" s="112" t="s">
        <v>77</v>
      </c>
      <c r="K784" s="112" t="s">
        <v>77</v>
      </c>
      <c r="L784" s="112" t="s">
        <v>85</v>
      </c>
      <c r="M784" s="207" t="s">
        <v>749</v>
      </c>
      <c r="N784" s="114" t="s">
        <v>430</v>
      </c>
      <c r="O784" s="114" t="s">
        <v>111</v>
      </c>
      <c r="P784" s="114" t="s">
        <v>81</v>
      </c>
      <c r="Q784" s="114" t="s">
        <v>112</v>
      </c>
      <c r="R784" s="115" t="str">
        <f t="shared" si="96"/>
        <v>57</v>
      </c>
      <c r="S784" s="269">
        <v>570102</v>
      </c>
      <c r="T784" s="207" t="e">
        <f>VLOOKUP(S784,ITEM!$C$1:$D$156,2,FALSE)</f>
        <v>#N/A</v>
      </c>
      <c r="U784" s="207">
        <v>1308</v>
      </c>
      <c r="V784" s="207" t="s">
        <v>82</v>
      </c>
      <c r="W784" s="207" t="s">
        <v>84</v>
      </c>
      <c r="X784" s="207" t="s">
        <v>84</v>
      </c>
      <c r="Y784" s="298">
        <f>'Matriz POA 2024-TRABAJO'!AS96</f>
        <v>6283.11</v>
      </c>
      <c r="Z784" s="298">
        <f>'Matriz POA 2024-TRABAJO'!AT96</f>
        <v>0</v>
      </c>
      <c r="AA784" s="298">
        <f>'Matriz POA 2024-TRABAJO'!AU96</f>
        <v>6283.11</v>
      </c>
      <c r="AB784" s="207"/>
      <c r="AC784" s="207">
        <v>7224.44</v>
      </c>
      <c r="AD784" s="207"/>
      <c r="AE784" s="207"/>
      <c r="AF784" s="207"/>
      <c r="AG784" s="207"/>
      <c r="AH784" s="207"/>
      <c r="AI784" s="207"/>
      <c r="AJ784" s="207"/>
      <c r="AK784" s="207"/>
      <c r="AL784" s="207"/>
      <c r="AM784" s="207"/>
      <c r="AN784" s="207"/>
      <c r="AO784" s="224">
        <f t="shared" si="97"/>
        <v>7224.44</v>
      </c>
      <c r="AP784" s="224">
        <f t="shared" si="102"/>
        <v>941.32999999999993</v>
      </c>
      <c r="AQ784" s="207"/>
      <c r="AR784" s="207"/>
      <c r="AS784" s="207"/>
      <c r="AT784" s="224">
        <f>IFERROR(VLOOKUP($A784,'Constancias POA'!$A$2:$DH$9993,17,FALSE),"")</f>
        <v>6283.11</v>
      </c>
      <c r="AU784" s="207">
        <f t="shared" si="103"/>
        <v>0</v>
      </c>
      <c r="AV784" s="224">
        <f>IFERROR(VLOOKUP($A784,CP!$A$1:$U$7992,18,FALSE),"")</f>
        <v>0</v>
      </c>
      <c r="AW784" s="224">
        <f>IFERROR(VLOOKUP($A784,CP!$A$1:$U$7992,19,FALSE),"")</f>
        <v>6283.11</v>
      </c>
      <c r="AX784" s="224">
        <f>IFERROR(VLOOKUP($A784,CP!$A$1:$U$7992,20,FALSE),"")</f>
        <v>0</v>
      </c>
      <c r="AY784" s="207" t="str">
        <f>IFERROR(VLOOKUP($A784,CP!$A$1:$U$1,21,FALSE),"")</f>
        <v/>
      </c>
      <c r="AZ784" s="224" t="str">
        <f>IFERROR(VLOOKUP(A784,Devengado!$A$1:AJ1,35,FALSE),"")</f>
        <v/>
      </c>
      <c r="BA784" s="224" t="str">
        <f t="shared" si="98"/>
        <v/>
      </c>
      <c r="BB784" s="224" t="str">
        <f>IFERROR(AZ784/#REF!,"")</f>
        <v/>
      </c>
      <c r="BC784" s="224" t="str">
        <f>IFERROR(VLOOKUP($A784,Devengado!$A$1:$AI$1,22,FALSE),"")</f>
        <v/>
      </c>
      <c r="BD784" s="224" t="str">
        <f>IFERROR(VLOOKUP($A784,Devengado!$A$1:$AI$1,23,FALSE),"")</f>
        <v/>
      </c>
      <c r="BE784" s="224" t="str">
        <f>IFERROR(VLOOKUP($A784,Devengado!$A$1:$AI$1,24,FALSE),"")</f>
        <v/>
      </c>
      <c r="BF784" s="224" t="str">
        <f>IFERROR(VLOOKUP($A784,Devengado!$A$1:$AI$1,25,FALSE),"")</f>
        <v/>
      </c>
      <c r="BG784" s="224" t="str">
        <f>IFERROR(VLOOKUP($A784,Devengado!$A$1:$AI$1,26,FALSE),"")</f>
        <v/>
      </c>
      <c r="BH784" s="224" t="str">
        <f>IFERROR(VLOOKUP($A784,Devengado!$A$1:$AI$1,27,FALSE),"")</f>
        <v/>
      </c>
      <c r="BI784" s="224" t="str">
        <f>IFERROR(VLOOKUP($A784,Devengado!$A$1:$AI$1,28,FALSE),"")</f>
        <v/>
      </c>
      <c r="BJ784" s="224" t="str">
        <f>IFERROR(VLOOKUP($A784,Devengado!$A$1:$AI$1,29,FALSE),"")</f>
        <v/>
      </c>
      <c r="BK784" s="224" t="str">
        <f>IFERROR(VLOOKUP($A784,Devengado!$A$1:$AI$1,30,FALSE),"")</f>
        <v/>
      </c>
      <c r="BL784" s="224" t="str">
        <f>IFERROR(VLOOKUP($A784,Devengado!$A$1:$AI$1,31,FALSE),"")</f>
        <v/>
      </c>
      <c r="BM784" s="224" t="str">
        <f>IFERROR(VLOOKUP($A784,Devengado!$A$1:$AI$1,32,FALSE),"")</f>
        <v/>
      </c>
      <c r="BN784" s="224" t="str">
        <f>IFERROR(VLOOKUP($A784,Devengado!$A$1:$AI$1,33,FALSE),"")</f>
        <v/>
      </c>
      <c r="BO784" s="224">
        <f t="shared" si="99"/>
        <v>0</v>
      </c>
      <c r="BP784" s="224" t="str">
        <f t="shared" si="100"/>
        <v/>
      </c>
      <c r="BQ784" s="207"/>
      <c r="BR784" s="207" t="str">
        <f t="shared" si="101"/>
        <v>57</v>
      </c>
    </row>
    <row r="785" spans="1:70" s="225" customFormat="1" ht="25.5" customHeight="1">
      <c r="A785" s="207">
        <f t="shared" si="104"/>
        <v>781</v>
      </c>
      <c r="B785" s="207" t="s">
        <v>73</v>
      </c>
      <c r="C785" s="207" t="s">
        <v>187</v>
      </c>
      <c r="D785" s="207" t="s">
        <v>188</v>
      </c>
      <c r="E785" s="207" t="s">
        <v>196</v>
      </c>
      <c r="F785" s="207" t="s">
        <v>77</v>
      </c>
      <c r="G785" s="207" t="s">
        <v>77</v>
      </c>
      <c r="H785" s="207" t="s">
        <v>77</v>
      </c>
      <c r="I785" s="207" t="s">
        <v>77</v>
      </c>
      <c r="J785" s="207" t="s">
        <v>77</v>
      </c>
      <c r="K785" s="207" t="s">
        <v>77</v>
      </c>
      <c r="L785" s="207" t="s">
        <v>87</v>
      </c>
      <c r="M785" s="207" t="s">
        <v>750</v>
      </c>
      <c r="N785" s="208">
        <v>9999</v>
      </c>
      <c r="O785" s="208" t="s">
        <v>80</v>
      </c>
      <c r="P785" s="208" t="s">
        <v>81</v>
      </c>
      <c r="Q785" s="208" t="s">
        <v>82</v>
      </c>
      <c r="R785" s="115" t="str">
        <f t="shared" si="96"/>
        <v>53</v>
      </c>
      <c r="S785" s="269">
        <v>530802</v>
      </c>
      <c r="T785" s="207" t="e">
        <f>VLOOKUP(S785,ITEM!$C$1:$D$156,2,FALSE)</f>
        <v>#N/A</v>
      </c>
      <c r="U785" s="207">
        <v>1701</v>
      </c>
      <c r="V785" s="207" t="s">
        <v>82</v>
      </c>
      <c r="W785" s="207" t="s">
        <v>84</v>
      </c>
      <c r="X785" s="207" t="s">
        <v>84</v>
      </c>
      <c r="Y785" s="272" t="e">
        <f>'Matriz POA 2024-TRABAJO'!#REF!</f>
        <v>#REF!</v>
      </c>
      <c r="Z785" s="272" t="e">
        <f>'Matriz POA 2024-TRABAJO'!#REF!</f>
        <v>#REF!</v>
      </c>
      <c r="AA785" s="272" t="e">
        <f>'Matriz POA 2024-TRABAJO'!#REF!</f>
        <v>#REF!</v>
      </c>
      <c r="AB785" s="272"/>
      <c r="AC785" s="273">
        <v>0</v>
      </c>
      <c r="AD785" s="272">
        <v>11918.71</v>
      </c>
      <c r="AE785" s="207"/>
      <c r="AF785" s="207"/>
      <c r="AG785" s="207"/>
      <c r="AH785" s="207"/>
      <c r="AI785" s="207"/>
      <c r="AJ785" s="207"/>
      <c r="AK785" s="207"/>
      <c r="AL785" s="207"/>
      <c r="AM785" s="207"/>
      <c r="AN785" s="207"/>
      <c r="AO785" s="224">
        <f t="shared" si="97"/>
        <v>11918.71</v>
      </c>
      <c r="AP785" s="224" t="e">
        <f t="shared" si="102"/>
        <v>#REF!</v>
      </c>
      <c r="AQ785" s="207"/>
      <c r="AR785" s="207"/>
      <c r="AS785" s="207"/>
      <c r="AT785" s="224" t="str">
        <f>IFERROR(VLOOKUP($A785,'Constancias POA'!$A$2:$DH$9993,17,FALSE),"")</f>
        <v/>
      </c>
      <c r="AU785" s="207" t="str">
        <f t="shared" si="103"/>
        <v/>
      </c>
      <c r="AV785" s="224" t="str">
        <f>IFERROR(VLOOKUP($A785,CP!$A$1:$U$7992,18,FALSE),"")</f>
        <v/>
      </c>
      <c r="AW785" s="224" t="str">
        <f>IFERROR(VLOOKUP($A785,CP!$A$1:$U$7992,19,FALSE),"")</f>
        <v/>
      </c>
      <c r="AX785" s="224" t="str">
        <f>IFERROR(VLOOKUP($A785,CP!$A$1:$U$7992,20,FALSE),"")</f>
        <v/>
      </c>
      <c r="AY785" s="207" t="str">
        <f>IFERROR(VLOOKUP($A785,CP!$A$1:$U$1,21,FALSE),"")</f>
        <v/>
      </c>
      <c r="AZ785" s="224" t="str">
        <f>IFERROR(VLOOKUP(A785,Devengado!$A$1:AJ1,35,FALSE),"")</f>
        <v/>
      </c>
      <c r="BA785" s="224" t="str">
        <f t="shared" si="98"/>
        <v/>
      </c>
      <c r="BB785" s="224" t="str">
        <f>IFERROR(AZ785/#REF!,"")</f>
        <v/>
      </c>
      <c r="BC785" s="224" t="str">
        <f>IFERROR(VLOOKUP($A785,Devengado!$A$1:$AI$1,22,FALSE),"")</f>
        <v/>
      </c>
      <c r="BD785" s="224" t="str">
        <f>IFERROR(VLOOKUP($A785,Devengado!$A$1:$AI$1,23,FALSE),"")</f>
        <v/>
      </c>
      <c r="BE785" s="224" t="str">
        <f>IFERROR(VLOOKUP($A785,Devengado!$A$1:$AI$1,24,FALSE),"")</f>
        <v/>
      </c>
      <c r="BF785" s="224" t="str">
        <f>IFERROR(VLOOKUP($A785,Devengado!$A$1:$AI$1,25,FALSE),"")</f>
        <v/>
      </c>
      <c r="BG785" s="224" t="str">
        <f>IFERROR(VLOOKUP($A785,Devengado!$A$1:$AI$1,26,FALSE),"")</f>
        <v/>
      </c>
      <c r="BH785" s="224" t="str">
        <f>IFERROR(VLOOKUP($A785,Devengado!$A$1:$AI$1,27,FALSE),"")</f>
        <v/>
      </c>
      <c r="BI785" s="224" t="str">
        <f>IFERROR(VLOOKUP($A785,Devengado!$A$1:$AI$1,28,FALSE),"")</f>
        <v/>
      </c>
      <c r="BJ785" s="224" t="str">
        <f>IFERROR(VLOOKUP($A785,Devengado!$A$1:$AI$1,29,FALSE),"")</f>
        <v/>
      </c>
      <c r="BK785" s="224" t="str">
        <f>IFERROR(VLOOKUP($A785,Devengado!$A$1:$AI$1,30,FALSE),"")</f>
        <v/>
      </c>
      <c r="BL785" s="224" t="str">
        <f>IFERROR(VLOOKUP($A785,Devengado!$A$1:$AI$1,31,FALSE),"")</f>
        <v/>
      </c>
      <c r="BM785" s="224" t="str">
        <f>IFERROR(VLOOKUP($A785,Devengado!$A$1:$AI$1,32,FALSE),"")</f>
        <v/>
      </c>
      <c r="BN785" s="224" t="str">
        <f>IFERROR(VLOOKUP($A785,Devengado!$A$1:$AI$1,33,FALSE),"")</f>
        <v/>
      </c>
      <c r="BO785" s="224">
        <f t="shared" si="99"/>
        <v>0</v>
      </c>
      <c r="BP785" s="224" t="str">
        <f t="shared" si="100"/>
        <v/>
      </c>
      <c r="BQ785" s="207"/>
      <c r="BR785" s="207" t="str">
        <f t="shared" si="101"/>
        <v>53</v>
      </c>
    </row>
    <row r="786" spans="1:70" s="225" customFormat="1" ht="63" customHeight="1">
      <c r="A786" s="207">
        <f t="shared" si="104"/>
        <v>782</v>
      </c>
      <c r="B786" s="112" t="s">
        <v>73</v>
      </c>
      <c r="C786" s="112" t="s">
        <v>187</v>
      </c>
      <c r="D786" s="125" t="s">
        <v>515</v>
      </c>
      <c r="E786" s="125" t="s">
        <v>76</v>
      </c>
      <c r="F786" s="112" t="s">
        <v>77</v>
      </c>
      <c r="G786" s="112" t="s">
        <v>77</v>
      </c>
      <c r="H786" s="112" t="s">
        <v>77</v>
      </c>
      <c r="I786" s="112" t="s">
        <v>77</v>
      </c>
      <c r="J786" s="112" t="s">
        <v>77</v>
      </c>
      <c r="K786" s="112" t="s">
        <v>77</v>
      </c>
      <c r="L786" s="112" t="s">
        <v>87</v>
      </c>
      <c r="M786" s="112" t="s">
        <v>517</v>
      </c>
      <c r="N786" s="126">
        <v>9999</v>
      </c>
      <c r="O786" s="127" t="s">
        <v>80</v>
      </c>
      <c r="P786" s="127" t="s">
        <v>81</v>
      </c>
      <c r="Q786" s="127" t="s">
        <v>82</v>
      </c>
      <c r="R786" s="115" t="str">
        <f t="shared" si="96"/>
        <v>99</v>
      </c>
      <c r="S786" s="269">
        <v>990102</v>
      </c>
      <c r="T786" s="207" t="e">
        <f>VLOOKUP(S786,ITEM!$C$1:$D$156,2,FALSE)</f>
        <v>#N/A</v>
      </c>
      <c r="U786" s="112">
        <v>1701</v>
      </c>
      <c r="V786" s="114" t="s">
        <v>82</v>
      </c>
      <c r="W786" s="114" t="s">
        <v>84</v>
      </c>
      <c r="X786" s="114" t="s">
        <v>84</v>
      </c>
      <c r="Y786" s="272" t="e">
        <f>'Matriz POA 2024-TRABAJO'!#REF!</f>
        <v>#REF!</v>
      </c>
      <c r="Z786" s="272" t="e">
        <f>'Matriz POA 2024-TRABAJO'!#REF!</f>
        <v>#REF!</v>
      </c>
      <c r="AA786" s="272" t="e">
        <f>'Matriz POA 2024-TRABAJO'!#REF!</f>
        <v>#REF!</v>
      </c>
      <c r="AB786" s="272"/>
      <c r="AC786" s="272">
        <v>55826.96</v>
      </c>
      <c r="AD786" s="272"/>
      <c r="AE786" s="207"/>
      <c r="AF786" s="207"/>
      <c r="AG786" s="207"/>
      <c r="AH786" s="207"/>
      <c r="AI786" s="207"/>
      <c r="AJ786" s="207"/>
      <c r="AK786" s="207"/>
      <c r="AL786" s="207"/>
      <c r="AM786" s="207"/>
      <c r="AN786" s="207"/>
      <c r="AO786" s="224">
        <f t="shared" si="97"/>
        <v>55826.96</v>
      </c>
      <c r="AP786" s="224" t="e">
        <f t="shared" si="102"/>
        <v>#REF!</v>
      </c>
      <c r="AQ786" s="207"/>
      <c r="AR786" s="207"/>
      <c r="AS786" s="207"/>
      <c r="AT786" s="224" t="str">
        <f>IFERROR(VLOOKUP($A786,'Constancias POA'!$A$2:$DH$9993,17,FALSE),"")</f>
        <v/>
      </c>
      <c r="AU786" s="207" t="str">
        <f t="shared" si="103"/>
        <v/>
      </c>
      <c r="AV786" s="224" t="str">
        <f>IFERROR(VLOOKUP($A786,CP!$A$1:$U$7992,18,FALSE),"")</f>
        <v/>
      </c>
      <c r="AW786" s="224" t="str">
        <f>IFERROR(VLOOKUP($A786,CP!$A$1:$U$7992,19,FALSE),"")</f>
        <v/>
      </c>
      <c r="AX786" s="224" t="str">
        <f>IFERROR(VLOOKUP($A786,CP!$A$1:$U$7992,20,FALSE),"")</f>
        <v/>
      </c>
      <c r="AY786" s="207" t="str">
        <f>IFERROR(VLOOKUP($A786,CP!$A$1:$U$1,21,FALSE),"")</f>
        <v/>
      </c>
      <c r="AZ786" s="224" t="str">
        <f>IFERROR(VLOOKUP(A786,Devengado!$A$1:AJ1,35,FALSE),"")</f>
        <v/>
      </c>
      <c r="BA786" s="224" t="str">
        <f t="shared" si="98"/>
        <v/>
      </c>
      <c r="BB786" s="224" t="str">
        <f>IFERROR(AZ786/#REF!,"")</f>
        <v/>
      </c>
      <c r="BC786" s="224" t="str">
        <f>IFERROR(VLOOKUP($A786,Devengado!$A$1:$AI$1,22,FALSE),"")</f>
        <v/>
      </c>
      <c r="BD786" s="224" t="str">
        <f>IFERROR(VLOOKUP($A786,Devengado!$A$1:$AI$1,23,FALSE),"")</f>
        <v/>
      </c>
      <c r="BE786" s="224" t="str">
        <f>IFERROR(VLOOKUP($A786,Devengado!$A$1:$AI$1,24,FALSE),"")</f>
        <v/>
      </c>
      <c r="BF786" s="224" t="str">
        <f>IFERROR(VLOOKUP($A786,Devengado!$A$1:$AI$1,25,FALSE),"")</f>
        <v/>
      </c>
      <c r="BG786" s="224" t="str">
        <f>IFERROR(VLOOKUP($A786,Devengado!$A$1:$AI$1,26,FALSE),"")</f>
        <v/>
      </c>
      <c r="BH786" s="224" t="str">
        <f>IFERROR(VLOOKUP($A786,Devengado!$A$1:$AI$1,27,FALSE),"")</f>
        <v/>
      </c>
      <c r="BI786" s="224" t="str">
        <f>IFERROR(VLOOKUP($A786,Devengado!$A$1:$AI$1,28,FALSE),"")</f>
        <v/>
      </c>
      <c r="BJ786" s="224" t="str">
        <f>IFERROR(VLOOKUP($A786,Devengado!$A$1:$AI$1,29,FALSE),"")</f>
        <v/>
      </c>
      <c r="BK786" s="224" t="str">
        <f>IFERROR(VLOOKUP($A786,Devengado!$A$1:$AI$1,30,FALSE),"")</f>
        <v/>
      </c>
      <c r="BL786" s="224" t="str">
        <f>IFERROR(VLOOKUP($A786,Devengado!$A$1:$AI$1,31,FALSE),"")</f>
        <v/>
      </c>
      <c r="BM786" s="224" t="str">
        <f>IFERROR(VLOOKUP($A786,Devengado!$A$1:$AI$1,32,FALSE),"")</f>
        <v/>
      </c>
      <c r="BN786" s="224" t="str">
        <f>IFERROR(VLOOKUP($A786,Devengado!$A$1:$AI$1,33,FALSE),"")</f>
        <v/>
      </c>
      <c r="BO786" s="224">
        <f t="shared" si="99"/>
        <v>0</v>
      </c>
      <c r="BP786" s="224" t="str">
        <f t="shared" si="100"/>
        <v/>
      </c>
      <c r="BQ786" s="207"/>
      <c r="BR786" s="207" t="str">
        <f t="shared" si="101"/>
        <v>99</v>
      </c>
    </row>
    <row r="787" spans="1:70" s="225" customFormat="1" ht="25.5" customHeight="1">
      <c r="A787" s="207">
        <f t="shared" si="104"/>
        <v>783</v>
      </c>
      <c r="B787" s="207" t="s">
        <v>73</v>
      </c>
      <c r="C787" s="207" t="s">
        <v>108</v>
      </c>
      <c r="D787" s="207" t="s">
        <v>109</v>
      </c>
      <c r="E787" s="207" t="s">
        <v>76</v>
      </c>
      <c r="F787" s="207" t="s">
        <v>77</v>
      </c>
      <c r="G787" s="207" t="s">
        <v>77</v>
      </c>
      <c r="H787" s="207" t="s">
        <v>77</v>
      </c>
      <c r="I787" s="207" t="s">
        <v>77</v>
      </c>
      <c r="J787" s="207" t="s">
        <v>77</v>
      </c>
      <c r="K787" s="207" t="s">
        <v>77</v>
      </c>
      <c r="L787" s="207" t="s">
        <v>85</v>
      </c>
      <c r="M787" s="207" t="s">
        <v>751</v>
      </c>
      <c r="N787" s="113">
        <v>9999</v>
      </c>
      <c r="O787" s="114" t="s">
        <v>111</v>
      </c>
      <c r="P787" s="118" t="s">
        <v>81</v>
      </c>
      <c r="Q787" s="114" t="s">
        <v>112</v>
      </c>
      <c r="R787" s="115" t="str">
        <f t="shared" si="96"/>
        <v>53</v>
      </c>
      <c r="S787" s="302">
        <v>530205</v>
      </c>
      <c r="T787" s="207" t="str">
        <f>VLOOKUP(S787,ITEM!$C$1:$D$156,2,FALSE)</f>
        <v>Espectáculos Culturales y Sociales</v>
      </c>
      <c r="U787" s="113" t="s">
        <v>83</v>
      </c>
      <c r="V787" s="114" t="s">
        <v>82</v>
      </c>
      <c r="W787" s="118" t="s">
        <v>84</v>
      </c>
      <c r="X787" s="118" t="s">
        <v>84</v>
      </c>
      <c r="Y787" s="298" t="e">
        <f>'Matriz POA 2024-TRABAJO'!#REF!</f>
        <v>#REF!</v>
      </c>
      <c r="Z787" s="298" t="e">
        <f>'Matriz POA 2024-TRABAJO'!#REF!</f>
        <v>#REF!</v>
      </c>
      <c r="AA787" s="298" t="e">
        <f>'Matriz POA 2024-TRABAJO'!#REF!</f>
        <v>#REF!</v>
      </c>
      <c r="AB787" s="207"/>
      <c r="AC787" s="207"/>
      <c r="AD787" s="207"/>
      <c r="AE787" s="207"/>
      <c r="AF787" s="207"/>
      <c r="AG787" s="207"/>
      <c r="AH787" s="207"/>
      <c r="AI787" s="207"/>
      <c r="AJ787" s="207"/>
      <c r="AK787" s="207"/>
      <c r="AL787" s="207"/>
      <c r="AM787" s="207"/>
      <c r="AN787" s="207"/>
      <c r="AO787" s="224">
        <f t="shared" si="97"/>
        <v>0</v>
      </c>
      <c r="AP787" s="224" t="e">
        <f t="shared" si="102"/>
        <v>#REF!</v>
      </c>
      <c r="AQ787" s="207"/>
      <c r="AR787" s="207"/>
      <c r="AS787" s="207"/>
      <c r="AT787" s="224" t="str">
        <f>IFERROR(VLOOKUP($A787,'Constancias POA'!$A$2:$DH$9993,17,FALSE),"")</f>
        <v/>
      </c>
      <c r="AU787" s="207" t="str">
        <f t="shared" si="103"/>
        <v/>
      </c>
      <c r="AV787" s="224" t="str">
        <f>IFERROR(VLOOKUP($A787,CP!$A$1:$U$7992,18,FALSE),"")</f>
        <v/>
      </c>
      <c r="AW787" s="224" t="str">
        <f>IFERROR(VLOOKUP($A787,CP!$A$1:$U$7992,19,FALSE),"")</f>
        <v/>
      </c>
      <c r="AX787" s="224" t="str">
        <f>IFERROR(VLOOKUP($A787,CP!$A$1:$U$7992,20,FALSE),"")</f>
        <v/>
      </c>
      <c r="AY787" s="207" t="str">
        <f>IFERROR(VLOOKUP($A787,CP!$A$1:$U$1,21,FALSE),"")</f>
        <v/>
      </c>
      <c r="AZ787" s="224" t="str">
        <f>IFERROR(VLOOKUP(A787,Devengado!$A$1:AJ1,35,FALSE),"")</f>
        <v/>
      </c>
      <c r="BA787" s="224" t="str">
        <f t="shared" si="98"/>
        <v/>
      </c>
      <c r="BB787" s="224" t="str">
        <f>IFERROR(AZ787/#REF!,"")</f>
        <v/>
      </c>
      <c r="BC787" s="224" t="str">
        <f>IFERROR(VLOOKUP($A787,Devengado!$A$1:$AI$1,22,FALSE),"")</f>
        <v/>
      </c>
      <c r="BD787" s="224" t="str">
        <f>IFERROR(VLOOKUP($A787,Devengado!$A$1:$AI$1,23,FALSE),"")</f>
        <v/>
      </c>
      <c r="BE787" s="224" t="str">
        <f>IFERROR(VLOOKUP($A787,Devengado!$A$1:$AI$1,24,FALSE),"")</f>
        <v/>
      </c>
      <c r="BF787" s="224" t="str">
        <f>IFERROR(VLOOKUP($A787,Devengado!$A$1:$AI$1,25,FALSE),"")</f>
        <v/>
      </c>
      <c r="BG787" s="224" t="str">
        <f>IFERROR(VLOOKUP($A787,Devengado!$A$1:$AI$1,26,FALSE),"")</f>
        <v/>
      </c>
      <c r="BH787" s="224" t="str">
        <f>IFERROR(VLOOKUP($A787,Devengado!$A$1:$AI$1,27,FALSE),"")</f>
        <v/>
      </c>
      <c r="BI787" s="224" t="str">
        <f>IFERROR(VLOOKUP($A787,Devengado!$A$1:$AI$1,28,FALSE),"")</f>
        <v/>
      </c>
      <c r="BJ787" s="224" t="str">
        <f>IFERROR(VLOOKUP($A787,Devengado!$A$1:$AI$1,29,FALSE),"")</f>
        <v/>
      </c>
      <c r="BK787" s="224" t="str">
        <f>IFERROR(VLOOKUP($A787,Devengado!$A$1:$AI$1,30,FALSE),"")</f>
        <v/>
      </c>
      <c r="BL787" s="224" t="str">
        <f>IFERROR(VLOOKUP($A787,Devengado!$A$1:$AI$1,31,FALSE),"")</f>
        <v/>
      </c>
      <c r="BM787" s="224" t="str">
        <f>IFERROR(VLOOKUP($A787,Devengado!$A$1:$AI$1,32,FALSE),"")</f>
        <v/>
      </c>
      <c r="BN787" s="224" t="str">
        <f>IFERROR(VLOOKUP($A787,Devengado!$A$1:$AI$1,33,FALSE),"")</f>
        <v/>
      </c>
      <c r="BO787" s="224">
        <f t="shared" si="99"/>
        <v>0</v>
      </c>
      <c r="BP787" s="224" t="str">
        <f t="shared" si="100"/>
        <v/>
      </c>
      <c r="BQ787" s="207"/>
      <c r="BR787" s="207" t="str">
        <f t="shared" si="101"/>
        <v>53</v>
      </c>
    </row>
    <row r="788" spans="1:70" s="225" customFormat="1" ht="25.5" customHeight="1">
      <c r="A788" s="207">
        <f t="shared" si="104"/>
        <v>784</v>
      </c>
      <c r="B788" s="207" t="s">
        <v>73</v>
      </c>
      <c r="C788" s="207" t="s">
        <v>108</v>
      </c>
      <c r="D788" s="207" t="s">
        <v>109</v>
      </c>
      <c r="E788" s="207" t="s">
        <v>76</v>
      </c>
      <c r="F788" s="207" t="s">
        <v>77</v>
      </c>
      <c r="G788" s="207" t="s">
        <v>77</v>
      </c>
      <c r="H788" s="207" t="s">
        <v>77</v>
      </c>
      <c r="I788" s="207" t="s">
        <v>77</v>
      </c>
      <c r="J788" s="207" t="s">
        <v>77</v>
      </c>
      <c r="K788" s="207" t="s">
        <v>77</v>
      </c>
      <c r="L788" s="207" t="s">
        <v>85</v>
      </c>
      <c r="M788" s="207" t="s">
        <v>751</v>
      </c>
      <c r="N788" s="113">
        <v>9999</v>
      </c>
      <c r="O788" s="114" t="s">
        <v>111</v>
      </c>
      <c r="P788" s="118" t="s">
        <v>81</v>
      </c>
      <c r="Q788" s="114" t="s">
        <v>112</v>
      </c>
      <c r="R788" s="115" t="str">
        <f t="shared" si="96"/>
        <v>53</v>
      </c>
      <c r="S788" s="302">
        <v>530425</v>
      </c>
      <c r="T788" s="207" t="str">
        <f>VLOOKUP(S788,ITEM!$C$1:$D$156,2,FALSE)</f>
        <v>Instalación, Readecuación, Montaje de Exposiciones, Mantenimiento y Reparación de Espacios y Bienes Culturales</v>
      </c>
      <c r="U788" s="113" t="s">
        <v>83</v>
      </c>
      <c r="V788" s="114" t="s">
        <v>82</v>
      </c>
      <c r="W788" s="118" t="s">
        <v>84</v>
      </c>
      <c r="X788" s="118" t="s">
        <v>84</v>
      </c>
      <c r="Y788" s="298" t="e">
        <f>'Matriz POA 2024-TRABAJO'!#REF!</f>
        <v>#REF!</v>
      </c>
      <c r="Z788" s="298" t="e">
        <f>'Matriz POA 2024-TRABAJO'!#REF!</f>
        <v>#REF!</v>
      </c>
      <c r="AA788" s="298" t="e">
        <f>'Matriz POA 2024-TRABAJO'!#REF!</f>
        <v>#REF!</v>
      </c>
      <c r="AB788" s="207"/>
      <c r="AC788" s="207"/>
      <c r="AD788" s="207"/>
      <c r="AE788" s="207"/>
      <c r="AF788" s="207"/>
      <c r="AG788" s="207"/>
      <c r="AH788" s="207"/>
      <c r="AI788" s="207"/>
      <c r="AJ788" s="207"/>
      <c r="AK788" s="207"/>
      <c r="AL788" s="207"/>
      <c r="AM788" s="207"/>
      <c r="AN788" s="207"/>
      <c r="AO788" s="224">
        <f t="shared" si="97"/>
        <v>0</v>
      </c>
      <c r="AP788" s="224" t="e">
        <f t="shared" si="102"/>
        <v>#REF!</v>
      </c>
      <c r="AQ788" s="207"/>
      <c r="AR788" s="207"/>
      <c r="AS788" s="207"/>
      <c r="AT788" s="224" t="str">
        <f>IFERROR(VLOOKUP($A788,'Constancias POA'!$A$2:$DH$9993,17,FALSE),"")</f>
        <v/>
      </c>
      <c r="AU788" s="207" t="str">
        <f t="shared" si="103"/>
        <v/>
      </c>
      <c r="AV788" s="224" t="str">
        <f>IFERROR(VLOOKUP($A788,CP!$A$1:$U$7992,18,FALSE),"")</f>
        <v/>
      </c>
      <c r="AW788" s="224" t="str">
        <f>IFERROR(VLOOKUP($A788,CP!$A$1:$U$7992,19,FALSE),"")</f>
        <v/>
      </c>
      <c r="AX788" s="224" t="str">
        <f>IFERROR(VLOOKUP($A788,CP!$A$1:$U$7992,20,FALSE),"")</f>
        <v/>
      </c>
      <c r="AY788" s="207" t="str">
        <f>IFERROR(VLOOKUP($A788,CP!$A$1:$U$1,21,FALSE),"")</f>
        <v/>
      </c>
      <c r="AZ788" s="224" t="str">
        <f>IFERROR(VLOOKUP(A788,Devengado!$A$1:AJ1,35,FALSE),"")</f>
        <v/>
      </c>
      <c r="BA788" s="224" t="str">
        <f t="shared" si="98"/>
        <v/>
      </c>
      <c r="BB788" s="224" t="str">
        <f>IFERROR(AZ788/#REF!,"")</f>
        <v/>
      </c>
      <c r="BC788" s="224" t="str">
        <f>IFERROR(VLOOKUP($A788,Devengado!$A$1:$AI$1,22,FALSE),"")</f>
        <v/>
      </c>
      <c r="BD788" s="224" t="str">
        <f>IFERROR(VLOOKUP($A788,Devengado!$A$1:$AI$1,23,FALSE),"")</f>
        <v/>
      </c>
      <c r="BE788" s="224" t="str">
        <f>IFERROR(VLOOKUP($A788,Devengado!$A$1:$AI$1,24,FALSE),"")</f>
        <v/>
      </c>
      <c r="BF788" s="224" t="str">
        <f>IFERROR(VLOOKUP($A788,Devengado!$A$1:$AI$1,25,FALSE),"")</f>
        <v/>
      </c>
      <c r="BG788" s="224" t="str">
        <f>IFERROR(VLOOKUP($A788,Devengado!$A$1:$AI$1,26,FALSE),"")</f>
        <v/>
      </c>
      <c r="BH788" s="224" t="str">
        <f>IFERROR(VLOOKUP($A788,Devengado!$A$1:$AI$1,27,FALSE),"")</f>
        <v/>
      </c>
      <c r="BI788" s="224" t="str">
        <f>IFERROR(VLOOKUP($A788,Devengado!$A$1:$AI$1,28,FALSE),"")</f>
        <v/>
      </c>
      <c r="BJ788" s="224" t="str">
        <f>IFERROR(VLOOKUP($A788,Devengado!$A$1:$AI$1,29,FALSE),"")</f>
        <v/>
      </c>
      <c r="BK788" s="224" t="str">
        <f>IFERROR(VLOOKUP($A788,Devengado!$A$1:$AI$1,30,FALSE),"")</f>
        <v/>
      </c>
      <c r="BL788" s="224" t="str">
        <f>IFERROR(VLOOKUP($A788,Devengado!$A$1:$AI$1,31,FALSE),"")</f>
        <v/>
      </c>
      <c r="BM788" s="224" t="str">
        <f>IFERROR(VLOOKUP($A788,Devengado!$A$1:$AI$1,32,FALSE),"")</f>
        <v/>
      </c>
      <c r="BN788" s="224" t="str">
        <f>IFERROR(VLOOKUP($A788,Devengado!$A$1:$AI$1,33,FALSE),"")</f>
        <v/>
      </c>
      <c r="BO788" s="224">
        <f t="shared" si="99"/>
        <v>0</v>
      </c>
      <c r="BP788" s="224" t="str">
        <f t="shared" si="100"/>
        <v/>
      </c>
      <c r="BQ788" s="207"/>
      <c r="BR788" s="207" t="str">
        <f t="shared" si="101"/>
        <v>53</v>
      </c>
    </row>
    <row r="789" spans="1:70" s="225" customFormat="1" ht="25.5" customHeight="1">
      <c r="A789" s="207">
        <f t="shared" si="104"/>
        <v>785</v>
      </c>
      <c r="B789" s="207" t="s">
        <v>73</v>
      </c>
      <c r="C789" s="207" t="s">
        <v>108</v>
      </c>
      <c r="D789" s="207" t="s">
        <v>109</v>
      </c>
      <c r="E789" s="207" t="s">
        <v>76</v>
      </c>
      <c r="F789" s="207" t="s">
        <v>77</v>
      </c>
      <c r="G789" s="207" t="s">
        <v>77</v>
      </c>
      <c r="H789" s="207" t="s">
        <v>77</v>
      </c>
      <c r="I789" s="207" t="s">
        <v>77</v>
      </c>
      <c r="J789" s="207" t="s">
        <v>77</v>
      </c>
      <c r="K789" s="207" t="s">
        <v>77</v>
      </c>
      <c r="L789" s="207" t="s">
        <v>85</v>
      </c>
      <c r="M789" s="207" t="s">
        <v>751</v>
      </c>
      <c r="N789" s="113">
        <v>9999</v>
      </c>
      <c r="O789" s="114" t="s">
        <v>111</v>
      </c>
      <c r="P789" s="118" t="s">
        <v>81</v>
      </c>
      <c r="Q789" s="114" t="s">
        <v>112</v>
      </c>
      <c r="R789" s="115" t="str">
        <f t="shared" si="96"/>
        <v>53</v>
      </c>
      <c r="S789" s="302">
        <v>530204</v>
      </c>
      <c r="T789" s="207" t="str">
        <f>VLOOKUP(S789,ITEM!$C$1:$D$156,2,FALSE)</f>
        <v>Edición, Impresión, Reproducción, Publicaciones, Suscripciones, Fotocopiado, Traducción, Empastado, Enmarcación,
Serigrafía, Fotografía, Carnetización, Filmación e Imágenes Satelitales.</v>
      </c>
      <c r="U789" s="113" t="s">
        <v>83</v>
      </c>
      <c r="V789" s="114" t="s">
        <v>82</v>
      </c>
      <c r="W789" s="118" t="s">
        <v>84</v>
      </c>
      <c r="X789" s="118" t="s">
        <v>84</v>
      </c>
      <c r="Y789" s="298" t="e">
        <f>'Matriz POA 2024-TRABAJO'!#REF!</f>
        <v>#REF!</v>
      </c>
      <c r="Z789" s="298" t="e">
        <f>'Matriz POA 2024-TRABAJO'!#REF!</f>
        <v>#REF!</v>
      </c>
      <c r="AA789" s="298" t="e">
        <f>'Matriz POA 2024-TRABAJO'!#REF!</f>
        <v>#REF!</v>
      </c>
      <c r="AB789" s="207"/>
      <c r="AC789" s="207"/>
      <c r="AD789" s="207"/>
      <c r="AE789" s="207"/>
      <c r="AF789" s="207"/>
      <c r="AG789" s="207"/>
      <c r="AH789" s="207"/>
      <c r="AI789" s="207"/>
      <c r="AJ789" s="207"/>
      <c r="AK789" s="207"/>
      <c r="AL789" s="207"/>
      <c r="AM789" s="207"/>
      <c r="AN789" s="207"/>
      <c r="AO789" s="224">
        <f t="shared" si="97"/>
        <v>0</v>
      </c>
      <c r="AP789" s="224" t="e">
        <f t="shared" si="102"/>
        <v>#REF!</v>
      </c>
      <c r="AQ789" s="207"/>
      <c r="AR789" s="207"/>
      <c r="AS789" s="207"/>
      <c r="AT789" s="224" t="str">
        <f>IFERROR(VLOOKUP($A789,'Constancias POA'!$A$2:$DH$9993,17,FALSE),"")</f>
        <v/>
      </c>
      <c r="AU789" s="207" t="str">
        <f t="shared" si="103"/>
        <v/>
      </c>
      <c r="AV789" s="224" t="str">
        <f>IFERROR(VLOOKUP($A789,CP!$A$1:$U$7992,18,FALSE),"")</f>
        <v/>
      </c>
      <c r="AW789" s="224" t="str">
        <f>IFERROR(VLOOKUP($A789,CP!$A$1:$U$7992,19,FALSE),"")</f>
        <v/>
      </c>
      <c r="AX789" s="224" t="str">
        <f>IFERROR(VLOOKUP($A789,CP!$A$1:$U$7992,20,FALSE),"")</f>
        <v/>
      </c>
      <c r="AY789" s="207" t="str">
        <f>IFERROR(VLOOKUP($A789,CP!$A$1:$U$1,21,FALSE),"")</f>
        <v/>
      </c>
      <c r="AZ789" s="224" t="str">
        <f>IFERROR(VLOOKUP(A789,Devengado!$A$1:AJ1,35,FALSE),"")</f>
        <v/>
      </c>
      <c r="BA789" s="224" t="str">
        <f t="shared" si="98"/>
        <v/>
      </c>
      <c r="BB789" s="224" t="str">
        <f>IFERROR(AZ789/#REF!,"")</f>
        <v/>
      </c>
      <c r="BC789" s="224" t="str">
        <f>IFERROR(VLOOKUP($A789,Devengado!$A$1:$AI$1,22,FALSE),"")</f>
        <v/>
      </c>
      <c r="BD789" s="224" t="str">
        <f>IFERROR(VLOOKUP($A789,Devengado!$A$1:$AI$1,23,FALSE),"")</f>
        <v/>
      </c>
      <c r="BE789" s="224" t="str">
        <f>IFERROR(VLOOKUP($A789,Devengado!$A$1:$AI$1,24,FALSE),"")</f>
        <v/>
      </c>
      <c r="BF789" s="224" t="str">
        <f>IFERROR(VLOOKUP($A789,Devengado!$A$1:$AI$1,25,FALSE),"")</f>
        <v/>
      </c>
      <c r="BG789" s="224" t="str">
        <f>IFERROR(VLOOKUP($A789,Devengado!$A$1:$AI$1,26,FALSE),"")</f>
        <v/>
      </c>
      <c r="BH789" s="224" t="str">
        <f>IFERROR(VLOOKUP($A789,Devengado!$A$1:$AI$1,27,FALSE),"")</f>
        <v/>
      </c>
      <c r="BI789" s="224" t="str">
        <f>IFERROR(VLOOKUP($A789,Devengado!$A$1:$AI$1,28,FALSE),"")</f>
        <v/>
      </c>
      <c r="BJ789" s="224" t="str">
        <f>IFERROR(VLOOKUP($A789,Devengado!$A$1:$AI$1,29,FALSE),"")</f>
        <v/>
      </c>
      <c r="BK789" s="224" t="str">
        <f>IFERROR(VLOOKUP($A789,Devengado!$A$1:$AI$1,30,FALSE),"")</f>
        <v/>
      </c>
      <c r="BL789" s="224" t="str">
        <f>IFERROR(VLOOKUP($A789,Devengado!$A$1:$AI$1,31,FALSE),"")</f>
        <v/>
      </c>
      <c r="BM789" s="224" t="str">
        <f>IFERROR(VLOOKUP($A789,Devengado!$A$1:$AI$1,32,FALSE),"")</f>
        <v/>
      </c>
      <c r="BN789" s="224" t="str">
        <f>IFERROR(VLOOKUP($A789,Devengado!$A$1:$AI$1,33,FALSE),"")</f>
        <v/>
      </c>
      <c r="BO789" s="224">
        <f t="shared" si="99"/>
        <v>0</v>
      </c>
      <c r="BP789" s="224" t="str">
        <f t="shared" si="100"/>
        <v/>
      </c>
      <c r="BQ789" s="207"/>
      <c r="BR789" s="207" t="str">
        <f t="shared" si="101"/>
        <v>53</v>
      </c>
    </row>
    <row r="790" spans="1:70" s="225" customFormat="1" ht="15.75" customHeight="1">
      <c r="A790" s="207">
        <f t="shared" si="104"/>
        <v>786</v>
      </c>
      <c r="B790" s="207" t="s">
        <v>429</v>
      </c>
      <c r="C790" s="207" t="s">
        <v>77</v>
      </c>
      <c r="D790" s="207" t="s">
        <v>77</v>
      </c>
      <c r="E790" s="207" t="s">
        <v>76</v>
      </c>
      <c r="F790" s="207" t="s">
        <v>77</v>
      </c>
      <c r="G790" s="207" t="s">
        <v>77</v>
      </c>
      <c r="H790" s="207" t="s">
        <v>77</v>
      </c>
      <c r="I790" s="207" t="s">
        <v>77</v>
      </c>
      <c r="J790" s="207" t="s">
        <v>77</v>
      </c>
      <c r="K790" s="207" t="s">
        <v>77</v>
      </c>
      <c r="L790" s="207" t="s">
        <v>85</v>
      </c>
      <c r="M790" s="207" t="s">
        <v>752</v>
      </c>
      <c r="N790" s="303" t="s">
        <v>430</v>
      </c>
      <c r="O790" s="303">
        <v>80</v>
      </c>
      <c r="P790" s="303" t="s">
        <v>81</v>
      </c>
      <c r="Q790" s="118" t="s">
        <v>112</v>
      </c>
      <c r="R790" s="115" t="str">
        <f t="shared" si="96"/>
        <v>53</v>
      </c>
      <c r="S790" s="269">
        <v>530811</v>
      </c>
      <c r="T790" s="207" t="e">
        <f>VLOOKUP(S790,ITEM!$C$1:$D$156,2,FALSE)</f>
        <v>#N/A</v>
      </c>
      <c r="U790" s="207">
        <v>1314</v>
      </c>
      <c r="V790" s="207" t="s">
        <v>82</v>
      </c>
      <c r="W790" s="207" t="s">
        <v>84</v>
      </c>
      <c r="X790" s="207" t="s">
        <v>84</v>
      </c>
      <c r="Y790" s="298">
        <f>'Matriz POA 2024-TRABAJO'!AS97</f>
        <v>0</v>
      </c>
      <c r="Z790" s="298">
        <f>'Matriz POA 2024-TRABAJO'!AT97</f>
        <v>0</v>
      </c>
      <c r="AA790" s="298">
        <f>'Matriz POA 2024-TRABAJO'!AU97</f>
        <v>0</v>
      </c>
      <c r="AB790" s="294"/>
      <c r="AC790" s="294"/>
      <c r="AD790" s="294"/>
      <c r="AE790" s="294"/>
      <c r="AF790" s="294"/>
      <c r="AG790" s="294"/>
      <c r="AH790" s="294"/>
      <c r="AI790" s="294"/>
      <c r="AJ790" s="294"/>
      <c r="AK790" s="294"/>
      <c r="AL790" s="294"/>
      <c r="AM790" s="294"/>
      <c r="AN790" s="207"/>
      <c r="AO790" s="224">
        <f t="shared" si="97"/>
        <v>0</v>
      </c>
      <c r="AP790" s="224">
        <f t="shared" si="102"/>
        <v>0</v>
      </c>
      <c r="AQ790" s="207"/>
      <c r="AR790" s="207"/>
      <c r="AS790" s="207"/>
      <c r="AT790" s="224" t="str">
        <f>IFERROR(VLOOKUP($A790,'Constancias POA'!$A$2:$DH$9993,17,FALSE),"")</f>
        <v/>
      </c>
      <c r="AU790" s="207" t="str">
        <f t="shared" si="103"/>
        <v/>
      </c>
      <c r="AV790" s="224" t="str">
        <f>IFERROR(VLOOKUP($A790,CP!$A$1:$U$7992,18,FALSE),"")</f>
        <v/>
      </c>
      <c r="AW790" s="224" t="str">
        <f>IFERROR(VLOOKUP($A790,CP!$A$1:$U$7992,19,FALSE),"")</f>
        <v/>
      </c>
      <c r="AX790" s="224" t="str">
        <f>IFERROR(VLOOKUP($A790,CP!$A$1:$U$7992,20,FALSE),"")</f>
        <v/>
      </c>
      <c r="AY790" s="207" t="str">
        <f>IFERROR(VLOOKUP($A790,CP!$A$1:$U$1,21,FALSE),"")</f>
        <v/>
      </c>
      <c r="AZ790" s="224" t="str">
        <f>IFERROR(VLOOKUP(A790,Devengado!$A$1:AJ1,35,FALSE),"")</f>
        <v/>
      </c>
      <c r="BA790" s="224" t="str">
        <f t="shared" si="98"/>
        <v/>
      </c>
      <c r="BB790" s="224" t="str">
        <f>IFERROR(AZ790/#REF!,"")</f>
        <v/>
      </c>
      <c r="BC790" s="224" t="str">
        <f>IFERROR(VLOOKUP($A790,Devengado!$A$1:$AI$1,22,FALSE),"")</f>
        <v/>
      </c>
      <c r="BD790" s="224" t="str">
        <f>IFERROR(VLOOKUP($A790,Devengado!$A$1:$AI$1,23,FALSE),"")</f>
        <v/>
      </c>
      <c r="BE790" s="224" t="str">
        <f>IFERROR(VLOOKUP($A790,Devengado!$A$1:$AI$1,24,FALSE),"")</f>
        <v/>
      </c>
      <c r="BF790" s="224" t="str">
        <f>IFERROR(VLOOKUP($A790,Devengado!$A$1:$AI$1,25,FALSE),"")</f>
        <v/>
      </c>
      <c r="BG790" s="224" t="str">
        <f>IFERROR(VLOOKUP($A790,Devengado!$A$1:$AI$1,26,FALSE),"")</f>
        <v/>
      </c>
      <c r="BH790" s="224" t="str">
        <f>IFERROR(VLOOKUP($A790,Devengado!$A$1:$AI$1,27,FALSE),"")</f>
        <v/>
      </c>
      <c r="BI790" s="224" t="str">
        <f>IFERROR(VLOOKUP($A790,Devengado!$A$1:$AI$1,28,FALSE),"")</f>
        <v/>
      </c>
      <c r="BJ790" s="224" t="str">
        <f>IFERROR(VLOOKUP($A790,Devengado!$A$1:$AI$1,29,FALSE),"")</f>
        <v/>
      </c>
      <c r="BK790" s="224" t="str">
        <f>IFERROR(VLOOKUP($A790,Devengado!$A$1:$AI$1,30,FALSE),"")</f>
        <v/>
      </c>
      <c r="BL790" s="224" t="str">
        <f>IFERROR(VLOOKUP($A790,Devengado!$A$1:$AI$1,31,FALSE),"")</f>
        <v/>
      </c>
      <c r="BM790" s="224" t="str">
        <f>IFERROR(VLOOKUP($A790,Devengado!$A$1:$AI$1,32,FALSE),"")</f>
        <v/>
      </c>
      <c r="BN790" s="224" t="str">
        <f>IFERROR(VLOOKUP($A790,Devengado!$A$1:$AI$1,33,FALSE),"")</f>
        <v/>
      </c>
      <c r="BO790" s="224">
        <f t="shared" si="99"/>
        <v>0</v>
      </c>
      <c r="BP790" s="224" t="str">
        <f t="shared" si="100"/>
        <v/>
      </c>
      <c r="BQ790" s="207"/>
      <c r="BR790" s="207" t="str">
        <f t="shared" si="101"/>
        <v>53</v>
      </c>
    </row>
    <row r="791" spans="1:70" s="225" customFormat="1" ht="15.75" customHeight="1">
      <c r="A791" s="207">
        <f t="shared" si="104"/>
        <v>787</v>
      </c>
      <c r="B791" s="207" t="s">
        <v>429</v>
      </c>
      <c r="C791" s="207" t="s">
        <v>77</v>
      </c>
      <c r="D791" s="207" t="s">
        <v>77</v>
      </c>
      <c r="E791" s="207" t="s">
        <v>76</v>
      </c>
      <c r="F791" s="207" t="s">
        <v>77</v>
      </c>
      <c r="G791" s="207" t="s">
        <v>77</v>
      </c>
      <c r="H791" s="207" t="s">
        <v>77</v>
      </c>
      <c r="I791" s="207" t="s">
        <v>77</v>
      </c>
      <c r="J791" s="207" t="s">
        <v>77</v>
      </c>
      <c r="K791" s="207" t="s">
        <v>77</v>
      </c>
      <c r="L791" s="207" t="s">
        <v>85</v>
      </c>
      <c r="M791" s="207" t="s">
        <v>753</v>
      </c>
      <c r="N791" s="303" t="s">
        <v>430</v>
      </c>
      <c r="O791" s="303">
        <v>80</v>
      </c>
      <c r="P791" s="303" t="s">
        <v>81</v>
      </c>
      <c r="Q791" s="118" t="s">
        <v>112</v>
      </c>
      <c r="R791" s="115" t="str">
        <f t="shared" si="96"/>
        <v>53</v>
      </c>
      <c r="S791" s="269">
        <v>530402</v>
      </c>
      <c r="T791" s="207" t="str">
        <f>VLOOKUP(S791,ITEM!$C$1:$D$156,2,FALSE)</f>
        <v>Edificios, Locales, Residencias y Cableado Estructurado (Instalación, Mantenimiento y Reparación)</v>
      </c>
      <c r="U791" s="207">
        <v>1314</v>
      </c>
      <c r="V791" s="207" t="s">
        <v>82</v>
      </c>
      <c r="W791" s="207" t="s">
        <v>84</v>
      </c>
      <c r="X791" s="207" t="s">
        <v>84</v>
      </c>
      <c r="Y791" s="298">
        <f>'Matriz POA 2024-TRABAJO'!AS98</f>
        <v>0</v>
      </c>
      <c r="Z791" s="298">
        <f>'Matriz POA 2024-TRABAJO'!AT98</f>
        <v>0</v>
      </c>
      <c r="AA791" s="298">
        <f>'Matriz POA 2024-TRABAJO'!AU98</f>
        <v>0</v>
      </c>
      <c r="AB791" s="294"/>
      <c r="AC791" s="294"/>
      <c r="AD791" s="294"/>
      <c r="AE791" s="294"/>
      <c r="AF791" s="294"/>
      <c r="AG791" s="294"/>
      <c r="AH791" s="294"/>
      <c r="AI791" s="294"/>
      <c r="AJ791" s="294"/>
      <c r="AK791" s="294"/>
      <c r="AL791" s="294"/>
      <c r="AM791" s="294"/>
      <c r="AN791" s="207"/>
      <c r="AO791" s="224">
        <f t="shared" si="97"/>
        <v>0</v>
      </c>
      <c r="AP791" s="224">
        <f t="shared" si="102"/>
        <v>0</v>
      </c>
      <c r="AQ791" s="207"/>
      <c r="AR791" s="207"/>
      <c r="AS791" s="207"/>
      <c r="AT791" s="224" t="str">
        <f>IFERROR(VLOOKUP($A791,'Constancias POA'!$A$2:$DH$9993,17,FALSE),"")</f>
        <v/>
      </c>
      <c r="AU791" s="207" t="str">
        <f t="shared" si="103"/>
        <v/>
      </c>
      <c r="AV791" s="224" t="str">
        <f>IFERROR(VLOOKUP($A791,CP!$A$1:$U$7992,18,FALSE),"")</f>
        <v/>
      </c>
      <c r="AW791" s="224" t="str">
        <f>IFERROR(VLOOKUP($A791,CP!$A$1:$U$7992,19,FALSE),"")</f>
        <v/>
      </c>
      <c r="AX791" s="224" t="str">
        <f>IFERROR(VLOOKUP($A791,CP!$A$1:$U$7992,20,FALSE),"")</f>
        <v/>
      </c>
      <c r="AY791" s="207" t="str">
        <f>IFERROR(VLOOKUP($A791,CP!$A$1:$U$1,21,FALSE),"")</f>
        <v/>
      </c>
      <c r="AZ791" s="224" t="str">
        <f>IFERROR(VLOOKUP(A791,Devengado!$A$1:AJ1,35,FALSE),"")</f>
        <v/>
      </c>
      <c r="BA791" s="224" t="str">
        <f t="shared" si="98"/>
        <v/>
      </c>
      <c r="BB791" s="224" t="str">
        <f>IFERROR(AZ791/#REF!,"")</f>
        <v/>
      </c>
      <c r="BC791" s="224" t="str">
        <f>IFERROR(VLOOKUP($A791,Devengado!$A$1:$AI$1,22,FALSE),"")</f>
        <v/>
      </c>
      <c r="BD791" s="224" t="str">
        <f>IFERROR(VLOOKUP($A791,Devengado!$A$1:$AI$1,23,FALSE),"")</f>
        <v/>
      </c>
      <c r="BE791" s="224" t="str">
        <f>IFERROR(VLOOKUP($A791,Devengado!$A$1:$AI$1,24,FALSE),"")</f>
        <v/>
      </c>
      <c r="BF791" s="224" t="str">
        <f>IFERROR(VLOOKUP($A791,Devengado!$A$1:$AI$1,25,FALSE),"")</f>
        <v/>
      </c>
      <c r="BG791" s="224" t="str">
        <f>IFERROR(VLOOKUP($A791,Devengado!$A$1:$AI$1,26,FALSE),"")</f>
        <v/>
      </c>
      <c r="BH791" s="224" t="str">
        <f>IFERROR(VLOOKUP($A791,Devengado!$A$1:$AI$1,27,FALSE),"")</f>
        <v/>
      </c>
      <c r="BI791" s="224" t="str">
        <f>IFERROR(VLOOKUP($A791,Devengado!$A$1:$AI$1,28,FALSE),"")</f>
        <v/>
      </c>
      <c r="BJ791" s="224" t="str">
        <f>IFERROR(VLOOKUP($A791,Devengado!$A$1:$AI$1,29,FALSE),"")</f>
        <v/>
      </c>
      <c r="BK791" s="224" t="str">
        <f>IFERROR(VLOOKUP($A791,Devengado!$A$1:$AI$1,30,FALSE),"")</f>
        <v/>
      </c>
      <c r="BL791" s="224" t="str">
        <f>IFERROR(VLOOKUP($A791,Devengado!$A$1:$AI$1,31,FALSE),"")</f>
        <v/>
      </c>
      <c r="BM791" s="224" t="str">
        <f>IFERROR(VLOOKUP($A791,Devengado!$A$1:$AI$1,32,FALSE),"")</f>
        <v/>
      </c>
      <c r="BN791" s="224" t="str">
        <f>IFERROR(VLOOKUP($A791,Devengado!$A$1:$AI$1,33,FALSE),"")</f>
        <v/>
      </c>
      <c r="BO791" s="224">
        <f t="shared" si="99"/>
        <v>0</v>
      </c>
      <c r="BP791" s="224" t="str">
        <f t="shared" si="100"/>
        <v/>
      </c>
      <c r="BQ791" s="207"/>
      <c r="BR791" s="207" t="str">
        <f t="shared" si="101"/>
        <v>53</v>
      </c>
    </row>
    <row r="792" spans="1:70" s="225" customFormat="1" ht="15.75" customHeight="1">
      <c r="A792" s="207">
        <f t="shared" si="104"/>
        <v>788</v>
      </c>
      <c r="B792" s="207" t="s">
        <v>429</v>
      </c>
      <c r="C792" s="207" t="s">
        <v>77</v>
      </c>
      <c r="D792" s="207" t="s">
        <v>77</v>
      </c>
      <c r="E792" s="207" t="s">
        <v>76</v>
      </c>
      <c r="F792" s="207" t="s">
        <v>77</v>
      </c>
      <c r="G792" s="207" t="s">
        <v>77</v>
      </c>
      <c r="H792" s="207" t="s">
        <v>77</v>
      </c>
      <c r="I792" s="207" t="s">
        <v>77</v>
      </c>
      <c r="J792" s="207" t="s">
        <v>77</v>
      </c>
      <c r="K792" s="207" t="s">
        <v>77</v>
      </c>
      <c r="L792" s="207" t="s">
        <v>85</v>
      </c>
      <c r="M792" s="207" t="s">
        <v>754</v>
      </c>
      <c r="N792" s="303" t="s">
        <v>430</v>
      </c>
      <c r="O792" s="303">
        <v>80</v>
      </c>
      <c r="P792" s="303" t="s">
        <v>81</v>
      </c>
      <c r="Q792" s="118" t="s">
        <v>112</v>
      </c>
      <c r="R792" s="115" t="str">
        <f t="shared" si="96"/>
        <v>53</v>
      </c>
      <c r="S792" s="269">
        <v>530205</v>
      </c>
      <c r="T792" s="207" t="str">
        <f>VLOOKUP(S792,ITEM!$C$1:$D$156,2,FALSE)</f>
        <v>Espectáculos Culturales y Sociales</v>
      </c>
      <c r="U792" s="207">
        <v>1309</v>
      </c>
      <c r="V792" s="207" t="s">
        <v>82</v>
      </c>
      <c r="W792" s="207" t="s">
        <v>84</v>
      </c>
      <c r="X792" s="207" t="s">
        <v>84</v>
      </c>
      <c r="Y792" s="298">
        <f>'Matriz POA 2024-TRABAJO'!AS99</f>
        <v>0</v>
      </c>
      <c r="Z792" s="298">
        <f>'Matriz POA 2024-TRABAJO'!AT99</f>
        <v>0</v>
      </c>
      <c r="AA792" s="298">
        <f>'Matriz POA 2024-TRABAJO'!AU99</f>
        <v>0</v>
      </c>
      <c r="AB792" s="207"/>
      <c r="AC792" s="207"/>
      <c r="AD792" s="207"/>
      <c r="AE792" s="207"/>
      <c r="AF792" s="294"/>
      <c r="AG792" s="207"/>
      <c r="AH792" s="294"/>
      <c r="AI792" s="207"/>
      <c r="AJ792" s="294"/>
      <c r="AK792" s="207"/>
      <c r="AL792" s="207"/>
      <c r="AM792" s="294"/>
      <c r="AN792" s="207"/>
      <c r="AO792" s="224">
        <f t="shared" si="97"/>
        <v>0</v>
      </c>
      <c r="AP792" s="224">
        <f t="shared" si="102"/>
        <v>0</v>
      </c>
      <c r="AQ792" s="207"/>
      <c r="AR792" s="207"/>
      <c r="AS792" s="207"/>
      <c r="AT792" s="224" t="str">
        <f>IFERROR(VLOOKUP($A792,'Constancias POA'!$A$2:$DH$9993,17,FALSE),"")</f>
        <v/>
      </c>
      <c r="AU792" s="207" t="str">
        <f t="shared" si="103"/>
        <v/>
      </c>
      <c r="AV792" s="224" t="str">
        <f>IFERROR(VLOOKUP($A792,CP!$A$1:$U$7992,18,FALSE),"")</f>
        <v/>
      </c>
      <c r="AW792" s="224" t="str">
        <f>IFERROR(VLOOKUP($A792,CP!$A$1:$U$7992,19,FALSE),"")</f>
        <v/>
      </c>
      <c r="AX792" s="224" t="str">
        <f>IFERROR(VLOOKUP($A792,CP!$A$1:$U$7992,20,FALSE),"")</f>
        <v/>
      </c>
      <c r="AY792" s="207" t="str">
        <f>IFERROR(VLOOKUP($A792,CP!$A$1:$U$1,21,FALSE),"")</f>
        <v/>
      </c>
      <c r="AZ792" s="224" t="str">
        <f>IFERROR(VLOOKUP(A792,Devengado!$A$1:AJ1,35,FALSE),"")</f>
        <v/>
      </c>
      <c r="BA792" s="224" t="str">
        <f t="shared" si="98"/>
        <v/>
      </c>
      <c r="BB792" s="224" t="str">
        <f>IFERROR(AZ792/#REF!,"")</f>
        <v/>
      </c>
      <c r="BC792" s="224" t="str">
        <f>IFERROR(VLOOKUP($A792,Devengado!$A$1:$AI$1,22,FALSE),"")</f>
        <v/>
      </c>
      <c r="BD792" s="224" t="str">
        <f>IFERROR(VLOOKUP($A792,Devengado!$A$1:$AI$1,23,FALSE),"")</f>
        <v/>
      </c>
      <c r="BE792" s="224" t="str">
        <f>IFERROR(VLOOKUP($A792,Devengado!$A$1:$AI$1,24,FALSE),"")</f>
        <v/>
      </c>
      <c r="BF792" s="224" t="str">
        <f>IFERROR(VLOOKUP($A792,Devengado!$A$1:$AI$1,25,FALSE),"")</f>
        <v/>
      </c>
      <c r="BG792" s="224" t="str">
        <f>IFERROR(VLOOKUP($A792,Devengado!$A$1:$AI$1,26,FALSE),"")</f>
        <v/>
      </c>
      <c r="BH792" s="224" t="str">
        <f>IFERROR(VLOOKUP($A792,Devengado!$A$1:$AI$1,27,FALSE),"")</f>
        <v/>
      </c>
      <c r="BI792" s="224" t="str">
        <f>IFERROR(VLOOKUP($A792,Devengado!$A$1:$AI$1,28,FALSE),"")</f>
        <v/>
      </c>
      <c r="BJ792" s="224" t="str">
        <f>IFERROR(VLOOKUP($A792,Devengado!$A$1:$AI$1,29,FALSE),"")</f>
        <v/>
      </c>
      <c r="BK792" s="224" t="str">
        <f>IFERROR(VLOOKUP($A792,Devengado!$A$1:$AI$1,30,FALSE),"")</f>
        <v/>
      </c>
      <c r="BL792" s="224" t="str">
        <f>IFERROR(VLOOKUP($A792,Devengado!$A$1:$AI$1,31,FALSE),"")</f>
        <v/>
      </c>
      <c r="BM792" s="224" t="str">
        <f>IFERROR(VLOOKUP($A792,Devengado!$A$1:$AI$1,32,FALSE),"")</f>
        <v/>
      </c>
      <c r="BN792" s="224" t="str">
        <f>IFERROR(VLOOKUP($A792,Devengado!$A$1:$AI$1,33,FALSE),"")</f>
        <v/>
      </c>
      <c r="BO792" s="224">
        <f t="shared" si="99"/>
        <v>0</v>
      </c>
      <c r="BP792" s="224" t="str">
        <f t="shared" si="100"/>
        <v/>
      </c>
      <c r="BQ792" s="207"/>
      <c r="BR792" s="207" t="str">
        <f t="shared" si="101"/>
        <v>53</v>
      </c>
    </row>
    <row r="793" spans="1:70" s="225" customFormat="1" ht="15.75" customHeight="1">
      <c r="A793" s="207">
        <f t="shared" si="104"/>
        <v>789</v>
      </c>
      <c r="B793" s="207" t="s">
        <v>429</v>
      </c>
      <c r="C793" s="207" t="s">
        <v>77</v>
      </c>
      <c r="D793" s="207" t="s">
        <v>77</v>
      </c>
      <c r="E793" s="207" t="s">
        <v>76</v>
      </c>
      <c r="F793" s="207" t="s">
        <v>77</v>
      </c>
      <c r="G793" s="207" t="s">
        <v>77</v>
      </c>
      <c r="H793" s="207" t="s">
        <v>77</v>
      </c>
      <c r="I793" s="207" t="s">
        <v>77</v>
      </c>
      <c r="J793" s="207" t="s">
        <v>77</v>
      </c>
      <c r="K793" s="207" t="s">
        <v>77</v>
      </c>
      <c r="L793" s="207" t="s">
        <v>85</v>
      </c>
      <c r="M793" s="207" t="s">
        <v>755</v>
      </c>
      <c r="N793" s="303" t="s">
        <v>430</v>
      </c>
      <c r="O793" s="303">
        <v>80</v>
      </c>
      <c r="P793" s="303" t="s">
        <v>81</v>
      </c>
      <c r="Q793" s="118" t="s">
        <v>112</v>
      </c>
      <c r="R793" s="115" t="str">
        <f t="shared" si="96"/>
        <v>53</v>
      </c>
      <c r="S793" s="269">
        <v>530403</v>
      </c>
      <c r="T793" s="207" t="str">
        <f>VLOOKUP(S793,ITEM!$C$1:$D$156,2,FALSE)</f>
        <v>Mobiliarios  (Instalación, Mantenimiento y Reparación)</v>
      </c>
      <c r="U793" s="207">
        <v>1309</v>
      </c>
      <c r="V793" s="207" t="s">
        <v>82</v>
      </c>
      <c r="W793" s="207" t="s">
        <v>84</v>
      </c>
      <c r="X793" s="207" t="s">
        <v>84</v>
      </c>
      <c r="Y793" s="298">
        <f>'Matriz POA 2024-TRABAJO'!AS100</f>
        <v>0</v>
      </c>
      <c r="Z793" s="298">
        <f>'Matriz POA 2024-TRABAJO'!AT100</f>
        <v>0</v>
      </c>
      <c r="AA793" s="298">
        <f>'Matriz POA 2024-TRABAJO'!AU100</f>
        <v>0</v>
      </c>
      <c r="AB793" s="207"/>
      <c r="AC793" s="294"/>
      <c r="AD793" s="207"/>
      <c r="AE793" s="207"/>
      <c r="AF793" s="207"/>
      <c r="AG793" s="207"/>
      <c r="AH793" s="207"/>
      <c r="AI793" s="207"/>
      <c r="AJ793" s="207"/>
      <c r="AK793" s="207"/>
      <c r="AL793" s="207"/>
      <c r="AM793" s="207"/>
      <c r="AN793" s="207"/>
      <c r="AO793" s="224">
        <f t="shared" si="97"/>
        <v>0</v>
      </c>
      <c r="AP793" s="224">
        <f t="shared" si="102"/>
        <v>0</v>
      </c>
      <c r="AQ793" s="207"/>
      <c r="AR793" s="207"/>
      <c r="AS793" s="207"/>
      <c r="AT793" s="224" t="str">
        <f>IFERROR(VLOOKUP($A793,'Constancias POA'!$A$2:$DH$9993,17,FALSE),"")</f>
        <v/>
      </c>
      <c r="AU793" s="207" t="str">
        <f t="shared" si="103"/>
        <v/>
      </c>
      <c r="AV793" s="224" t="str">
        <f>IFERROR(VLOOKUP($A793,CP!$A$1:$U$7992,18,FALSE),"")</f>
        <v/>
      </c>
      <c r="AW793" s="224" t="str">
        <f>IFERROR(VLOOKUP($A793,CP!$A$1:$U$7992,19,FALSE),"")</f>
        <v/>
      </c>
      <c r="AX793" s="224" t="str">
        <f>IFERROR(VLOOKUP($A793,CP!$A$1:$U$7992,20,FALSE),"")</f>
        <v/>
      </c>
      <c r="AY793" s="207" t="str">
        <f>IFERROR(VLOOKUP($A793,CP!$A$1:$U$1,21,FALSE),"")</f>
        <v/>
      </c>
      <c r="AZ793" s="224" t="str">
        <f>IFERROR(VLOOKUP(A793,Devengado!$A$1:AJ1,35,FALSE),"")</f>
        <v/>
      </c>
      <c r="BA793" s="224" t="str">
        <f t="shared" si="98"/>
        <v/>
      </c>
      <c r="BB793" s="224" t="str">
        <f>IFERROR(AZ793/#REF!,"")</f>
        <v/>
      </c>
      <c r="BC793" s="224" t="str">
        <f>IFERROR(VLOOKUP($A793,Devengado!$A$1:$AI$1,22,FALSE),"")</f>
        <v/>
      </c>
      <c r="BD793" s="224" t="str">
        <f>IFERROR(VLOOKUP($A793,Devengado!$A$1:$AI$1,23,FALSE),"")</f>
        <v/>
      </c>
      <c r="BE793" s="224" t="str">
        <f>IFERROR(VLOOKUP($A793,Devengado!$A$1:$AI$1,24,FALSE),"")</f>
        <v/>
      </c>
      <c r="BF793" s="224" t="str">
        <f>IFERROR(VLOOKUP($A793,Devengado!$A$1:$AI$1,25,FALSE),"")</f>
        <v/>
      </c>
      <c r="BG793" s="224" t="str">
        <f>IFERROR(VLOOKUP($A793,Devengado!$A$1:$AI$1,26,FALSE),"")</f>
        <v/>
      </c>
      <c r="BH793" s="224" t="str">
        <f>IFERROR(VLOOKUP($A793,Devengado!$A$1:$AI$1,27,FALSE),"")</f>
        <v/>
      </c>
      <c r="BI793" s="224" t="str">
        <f>IFERROR(VLOOKUP($A793,Devengado!$A$1:$AI$1,28,FALSE),"")</f>
        <v/>
      </c>
      <c r="BJ793" s="224" t="str">
        <f>IFERROR(VLOOKUP($A793,Devengado!$A$1:$AI$1,29,FALSE),"")</f>
        <v/>
      </c>
      <c r="BK793" s="224" t="str">
        <f>IFERROR(VLOOKUP($A793,Devengado!$A$1:$AI$1,30,FALSE),"")</f>
        <v/>
      </c>
      <c r="BL793" s="224" t="str">
        <f>IFERROR(VLOOKUP($A793,Devengado!$A$1:$AI$1,31,FALSE),"")</f>
        <v/>
      </c>
      <c r="BM793" s="224" t="str">
        <f>IFERROR(VLOOKUP($A793,Devengado!$A$1:$AI$1,32,FALSE),"")</f>
        <v/>
      </c>
      <c r="BN793" s="224" t="str">
        <f>IFERROR(VLOOKUP($A793,Devengado!$A$1:$AI$1,33,FALSE),"")</f>
        <v/>
      </c>
      <c r="BO793" s="224">
        <f t="shared" si="99"/>
        <v>0</v>
      </c>
      <c r="BP793" s="224" t="str">
        <f t="shared" si="100"/>
        <v/>
      </c>
      <c r="BQ793" s="207"/>
      <c r="BR793" s="207" t="str">
        <f t="shared" si="101"/>
        <v>53</v>
      </c>
    </row>
    <row r="794" spans="1:70" s="225" customFormat="1" ht="15.75" customHeight="1">
      <c r="A794" s="207">
        <f t="shared" si="104"/>
        <v>790</v>
      </c>
      <c r="B794" s="207" t="s">
        <v>429</v>
      </c>
      <c r="C794" s="207" t="s">
        <v>77</v>
      </c>
      <c r="D794" s="207" t="s">
        <v>77</v>
      </c>
      <c r="E794" s="207" t="s">
        <v>76</v>
      </c>
      <c r="F794" s="207" t="s">
        <v>77</v>
      </c>
      <c r="G794" s="207" t="s">
        <v>77</v>
      </c>
      <c r="H794" s="207" t="s">
        <v>77</v>
      </c>
      <c r="I794" s="207" t="s">
        <v>77</v>
      </c>
      <c r="J794" s="207" t="s">
        <v>77</v>
      </c>
      <c r="K794" s="207" t="s">
        <v>77</v>
      </c>
      <c r="L794" s="207" t="s">
        <v>85</v>
      </c>
      <c r="M794" s="207" t="s">
        <v>756</v>
      </c>
      <c r="N794" s="303" t="s">
        <v>430</v>
      </c>
      <c r="O794" s="303">
        <v>80</v>
      </c>
      <c r="P794" s="303" t="s">
        <v>81</v>
      </c>
      <c r="Q794" s="118" t="s">
        <v>112</v>
      </c>
      <c r="R794" s="115" t="str">
        <f t="shared" si="96"/>
        <v>53</v>
      </c>
      <c r="S794" s="269">
        <v>530425</v>
      </c>
      <c r="T794" s="207" t="str">
        <f>VLOOKUP(S794,ITEM!$C$1:$D$156,2,FALSE)</f>
        <v>Instalación, Readecuación, Montaje de Exposiciones, Mantenimiento y Reparación de Espacios y Bienes Culturales</v>
      </c>
      <c r="U794" s="207">
        <v>1309</v>
      </c>
      <c r="V794" s="207" t="s">
        <v>82</v>
      </c>
      <c r="W794" s="207" t="s">
        <v>84</v>
      </c>
      <c r="X794" s="207" t="s">
        <v>84</v>
      </c>
      <c r="Y794" s="298">
        <f>'Matriz POA 2024-TRABAJO'!AS101</f>
        <v>0</v>
      </c>
      <c r="Z794" s="298">
        <f>'Matriz POA 2024-TRABAJO'!AT101</f>
        <v>0</v>
      </c>
      <c r="AA794" s="298">
        <f>'Matriz POA 2024-TRABAJO'!AU101</f>
        <v>0</v>
      </c>
      <c r="AB794" s="207"/>
      <c r="AC794" s="207"/>
      <c r="AD794" s="294"/>
      <c r="AE794" s="207"/>
      <c r="AF794" s="207"/>
      <c r="AG794" s="207"/>
      <c r="AH794" s="207"/>
      <c r="AI794" s="207"/>
      <c r="AJ794" s="207"/>
      <c r="AK794" s="207"/>
      <c r="AL794" s="207"/>
      <c r="AM794" s="207"/>
      <c r="AN794" s="207"/>
      <c r="AO794" s="224">
        <f t="shared" si="97"/>
        <v>0</v>
      </c>
      <c r="AP794" s="224">
        <f t="shared" si="102"/>
        <v>0</v>
      </c>
      <c r="AQ794" s="207"/>
      <c r="AR794" s="207"/>
      <c r="AS794" s="207"/>
      <c r="AT794" s="224" t="str">
        <f>IFERROR(VLOOKUP($A794,'Constancias POA'!$A$2:$DH$9993,17,FALSE),"")</f>
        <v/>
      </c>
      <c r="AU794" s="207" t="str">
        <f t="shared" si="103"/>
        <v/>
      </c>
      <c r="AV794" s="224" t="str">
        <f>IFERROR(VLOOKUP($A794,CP!$A$1:$U$7992,18,FALSE),"")</f>
        <v/>
      </c>
      <c r="AW794" s="224" t="str">
        <f>IFERROR(VLOOKUP($A794,CP!$A$1:$U$7992,19,FALSE),"")</f>
        <v/>
      </c>
      <c r="AX794" s="224" t="str">
        <f>IFERROR(VLOOKUP($A794,CP!$A$1:$U$7992,20,FALSE),"")</f>
        <v/>
      </c>
      <c r="AY794" s="207" t="str">
        <f>IFERROR(VLOOKUP($A794,CP!$A$1:$U$1,21,FALSE),"")</f>
        <v/>
      </c>
      <c r="AZ794" s="224" t="str">
        <f>IFERROR(VLOOKUP(A794,Devengado!$A$1:AJ1,35,FALSE),"")</f>
        <v/>
      </c>
      <c r="BA794" s="224" t="str">
        <f t="shared" si="98"/>
        <v/>
      </c>
      <c r="BB794" s="224" t="str">
        <f>IFERROR(AZ794/#REF!,"")</f>
        <v/>
      </c>
      <c r="BC794" s="224" t="str">
        <f>IFERROR(VLOOKUP($A794,Devengado!$A$1:$AI$1,22,FALSE),"")</f>
        <v/>
      </c>
      <c r="BD794" s="224" t="str">
        <f>IFERROR(VLOOKUP($A794,Devengado!$A$1:$AI$1,23,FALSE),"")</f>
        <v/>
      </c>
      <c r="BE794" s="224" t="str">
        <f>IFERROR(VLOOKUP($A794,Devengado!$A$1:$AI$1,24,FALSE),"")</f>
        <v/>
      </c>
      <c r="BF794" s="224" t="str">
        <f>IFERROR(VLOOKUP($A794,Devengado!$A$1:$AI$1,25,FALSE),"")</f>
        <v/>
      </c>
      <c r="BG794" s="224" t="str">
        <f>IFERROR(VLOOKUP($A794,Devengado!$A$1:$AI$1,26,FALSE),"")</f>
        <v/>
      </c>
      <c r="BH794" s="224" t="str">
        <f>IFERROR(VLOOKUP($A794,Devengado!$A$1:$AI$1,27,FALSE),"")</f>
        <v/>
      </c>
      <c r="BI794" s="224" t="str">
        <f>IFERROR(VLOOKUP($A794,Devengado!$A$1:$AI$1,28,FALSE),"")</f>
        <v/>
      </c>
      <c r="BJ794" s="224" t="str">
        <f>IFERROR(VLOOKUP($A794,Devengado!$A$1:$AI$1,29,FALSE),"")</f>
        <v/>
      </c>
      <c r="BK794" s="224" t="str">
        <f>IFERROR(VLOOKUP($A794,Devengado!$A$1:$AI$1,30,FALSE),"")</f>
        <v/>
      </c>
      <c r="BL794" s="224" t="str">
        <f>IFERROR(VLOOKUP($A794,Devengado!$A$1:$AI$1,31,FALSE),"")</f>
        <v/>
      </c>
      <c r="BM794" s="224" t="str">
        <f>IFERROR(VLOOKUP($A794,Devengado!$A$1:$AI$1,32,FALSE),"")</f>
        <v/>
      </c>
      <c r="BN794" s="224" t="str">
        <f>IFERROR(VLOOKUP($A794,Devengado!$A$1:$AI$1,33,FALSE),"")</f>
        <v/>
      </c>
      <c r="BO794" s="224">
        <f t="shared" si="99"/>
        <v>0</v>
      </c>
      <c r="BP794" s="224" t="str">
        <f t="shared" si="100"/>
        <v/>
      </c>
      <c r="BQ794" s="207"/>
      <c r="BR794" s="207" t="str">
        <f t="shared" si="101"/>
        <v>53</v>
      </c>
    </row>
    <row r="795" spans="1:70" s="225" customFormat="1" ht="15.75" customHeight="1">
      <c r="A795" s="207">
        <f t="shared" si="104"/>
        <v>791</v>
      </c>
      <c r="B795" s="207" t="s">
        <v>429</v>
      </c>
      <c r="C795" s="207" t="s">
        <v>77</v>
      </c>
      <c r="D795" s="207" t="s">
        <v>77</v>
      </c>
      <c r="E795" s="207" t="s">
        <v>76</v>
      </c>
      <c r="F795" s="207" t="s">
        <v>77</v>
      </c>
      <c r="G795" s="207" t="s">
        <v>77</v>
      </c>
      <c r="H795" s="207" t="s">
        <v>77</v>
      </c>
      <c r="I795" s="207" t="s">
        <v>77</v>
      </c>
      <c r="J795" s="207" t="s">
        <v>77</v>
      </c>
      <c r="K795" s="207" t="s">
        <v>77</v>
      </c>
      <c r="L795" s="207" t="s">
        <v>85</v>
      </c>
      <c r="M795" s="207" t="s">
        <v>757</v>
      </c>
      <c r="N795" s="303" t="s">
        <v>430</v>
      </c>
      <c r="O795" s="303">
        <v>80</v>
      </c>
      <c r="P795" s="303" t="s">
        <v>81</v>
      </c>
      <c r="Q795" s="118" t="s">
        <v>112</v>
      </c>
      <c r="R795" s="115" t="str">
        <f t="shared" si="96"/>
        <v>99</v>
      </c>
      <c r="S795" s="269">
        <v>990102</v>
      </c>
      <c r="T795" s="207" t="e">
        <f>VLOOKUP(S795,ITEM!$C$1:$D$156,2,FALSE)</f>
        <v>#N/A</v>
      </c>
      <c r="U795" s="207">
        <v>1309</v>
      </c>
      <c r="V795" s="207" t="s">
        <v>82</v>
      </c>
      <c r="W795" s="207" t="s">
        <v>84</v>
      </c>
      <c r="X795" s="207" t="s">
        <v>84</v>
      </c>
      <c r="Y795" s="298">
        <f>'Matriz POA 2024-TRABAJO'!AS102</f>
        <v>0</v>
      </c>
      <c r="Z795" s="298">
        <f>'Matriz POA 2024-TRABAJO'!AT102</f>
        <v>0</v>
      </c>
      <c r="AA795" s="298">
        <f>'Matriz POA 2024-TRABAJO'!AU102</f>
        <v>0</v>
      </c>
      <c r="AB795" s="207"/>
      <c r="AC795" s="294"/>
      <c r="AD795" s="207"/>
      <c r="AE795" s="207"/>
      <c r="AF795" s="207"/>
      <c r="AG795" s="207"/>
      <c r="AH795" s="207"/>
      <c r="AI795" s="207"/>
      <c r="AJ795" s="207"/>
      <c r="AK795" s="207"/>
      <c r="AL795" s="207"/>
      <c r="AM795" s="207"/>
      <c r="AN795" s="207"/>
      <c r="AO795" s="224">
        <f t="shared" si="97"/>
        <v>0</v>
      </c>
      <c r="AP795" s="224">
        <f t="shared" si="102"/>
        <v>0</v>
      </c>
      <c r="AQ795" s="207"/>
      <c r="AR795" s="207"/>
      <c r="AS795" s="207"/>
      <c r="AT795" s="224" t="str">
        <f>IFERROR(VLOOKUP($A795,'Constancias POA'!$A$2:$DH$9993,17,FALSE),"")</f>
        <v/>
      </c>
      <c r="AU795" s="207" t="str">
        <f t="shared" si="103"/>
        <v/>
      </c>
      <c r="AV795" s="224" t="str">
        <f>IFERROR(VLOOKUP($A795,CP!$A$1:$U$7992,18,FALSE),"")</f>
        <v/>
      </c>
      <c r="AW795" s="224" t="str">
        <f>IFERROR(VLOOKUP($A795,CP!$A$1:$U$7992,19,FALSE),"")</f>
        <v/>
      </c>
      <c r="AX795" s="224" t="str">
        <f>IFERROR(VLOOKUP($A795,CP!$A$1:$U$7992,20,FALSE),"")</f>
        <v/>
      </c>
      <c r="AY795" s="207" t="str">
        <f>IFERROR(VLOOKUP($A795,CP!$A$1:$U$1,21,FALSE),"")</f>
        <v/>
      </c>
      <c r="AZ795" s="224" t="str">
        <f>IFERROR(VLOOKUP(A795,Devengado!$A$1:AJ1,35,FALSE),"")</f>
        <v/>
      </c>
      <c r="BA795" s="224" t="str">
        <f t="shared" si="98"/>
        <v/>
      </c>
      <c r="BB795" s="224" t="str">
        <f>IFERROR(AZ795/#REF!,"")</f>
        <v/>
      </c>
      <c r="BC795" s="224" t="str">
        <f>IFERROR(VLOOKUP($A795,Devengado!$A$1:$AI$1,22,FALSE),"")</f>
        <v/>
      </c>
      <c r="BD795" s="224" t="str">
        <f>IFERROR(VLOOKUP($A795,Devengado!$A$1:$AI$1,23,FALSE),"")</f>
        <v/>
      </c>
      <c r="BE795" s="224" t="str">
        <f>IFERROR(VLOOKUP($A795,Devengado!$A$1:$AI$1,24,FALSE),"")</f>
        <v/>
      </c>
      <c r="BF795" s="224" t="str">
        <f>IFERROR(VLOOKUP($A795,Devengado!$A$1:$AI$1,25,FALSE),"")</f>
        <v/>
      </c>
      <c r="BG795" s="224" t="str">
        <f>IFERROR(VLOOKUP($A795,Devengado!$A$1:$AI$1,26,FALSE),"")</f>
        <v/>
      </c>
      <c r="BH795" s="224" t="str">
        <f>IFERROR(VLOOKUP($A795,Devengado!$A$1:$AI$1,27,FALSE),"")</f>
        <v/>
      </c>
      <c r="BI795" s="224" t="str">
        <f>IFERROR(VLOOKUP($A795,Devengado!$A$1:$AI$1,28,FALSE),"")</f>
        <v/>
      </c>
      <c r="BJ795" s="224" t="str">
        <f>IFERROR(VLOOKUP($A795,Devengado!$A$1:$AI$1,29,FALSE),"")</f>
        <v/>
      </c>
      <c r="BK795" s="224" t="str">
        <f>IFERROR(VLOOKUP($A795,Devengado!$A$1:$AI$1,30,FALSE),"")</f>
        <v/>
      </c>
      <c r="BL795" s="224" t="str">
        <f>IFERROR(VLOOKUP($A795,Devengado!$A$1:$AI$1,31,FALSE),"")</f>
        <v/>
      </c>
      <c r="BM795" s="224" t="str">
        <f>IFERROR(VLOOKUP($A795,Devengado!$A$1:$AI$1,32,FALSE),"")</f>
        <v/>
      </c>
      <c r="BN795" s="224" t="str">
        <f>IFERROR(VLOOKUP($A795,Devengado!$A$1:$AI$1,33,FALSE),"")</f>
        <v/>
      </c>
      <c r="BO795" s="224">
        <f t="shared" si="99"/>
        <v>0</v>
      </c>
      <c r="BP795" s="224" t="str">
        <f t="shared" si="100"/>
        <v/>
      </c>
      <c r="BQ795" s="207"/>
      <c r="BR795" s="207" t="str">
        <f t="shared" si="101"/>
        <v>99</v>
      </c>
    </row>
    <row r="796" spans="1:70" s="225" customFormat="1" ht="25.5" customHeight="1">
      <c r="A796" s="207">
        <f t="shared" ref="A796:A802" si="105">+A795+1</f>
        <v>792</v>
      </c>
      <c r="B796" s="119" t="s">
        <v>73</v>
      </c>
      <c r="C796" s="120" t="s">
        <v>77</v>
      </c>
      <c r="D796" s="121" t="s">
        <v>176</v>
      </c>
      <c r="E796" s="112" t="s">
        <v>76</v>
      </c>
      <c r="F796" s="112" t="s">
        <v>77</v>
      </c>
      <c r="G796" s="112" t="s">
        <v>77</v>
      </c>
      <c r="H796" s="112" t="s">
        <v>77</v>
      </c>
      <c r="I796" s="112" t="s">
        <v>77</v>
      </c>
      <c r="J796" s="112" t="s">
        <v>77</v>
      </c>
      <c r="K796" s="112" t="s">
        <v>77</v>
      </c>
      <c r="L796" s="112" t="s">
        <v>85</v>
      </c>
      <c r="M796" s="207" t="s">
        <v>758</v>
      </c>
      <c r="N796" s="112">
        <v>9999</v>
      </c>
      <c r="O796" s="118" t="s">
        <v>132</v>
      </c>
      <c r="P796" s="114" t="s">
        <v>81</v>
      </c>
      <c r="Q796" s="114" t="s">
        <v>82</v>
      </c>
      <c r="R796" s="115" t="str">
        <f t="shared" si="96"/>
        <v>53</v>
      </c>
      <c r="S796" s="112">
        <v>530601</v>
      </c>
      <c r="T796" s="122" t="str">
        <f>VLOOKUP(S796,ITEM!$C$1:$D$156,2,FALSE)</f>
        <v>Consultoría, Asesoría e Investigación Especializada</v>
      </c>
      <c r="U796" s="114" t="s">
        <v>83</v>
      </c>
      <c r="V796" s="114" t="s">
        <v>82</v>
      </c>
      <c r="W796" s="114" t="s">
        <v>84</v>
      </c>
      <c r="X796" s="114" t="s">
        <v>84</v>
      </c>
      <c r="Y796" s="298" t="e">
        <f>'Matriz POA 2024-TRABAJO'!#REF!</f>
        <v>#REF!</v>
      </c>
      <c r="Z796" s="298" t="e">
        <f>'Matriz POA 2024-TRABAJO'!#REF!</f>
        <v>#REF!</v>
      </c>
      <c r="AA796" s="298" t="e">
        <f>'Matriz POA 2024-TRABAJO'!#REF!</f>
        <v>#REF!</v>
      </c>
      <c r="AB796" s="207"/>
      <c r="AC796" s="207"/>
      <c r="AD796" s="207"/>
      <c r="AE796" s="207"/>
      <c r="AF796" s="207"/>
      <c r="AG796" s="207"/>
      <c r="AH796" s="207"/>
      <c r="AI796" s="207"/>
      <c r="AJ796" s="207"/>
      <c r="AK796" s="207"/>
      <c r="AL796" s="207"/>
      <c r="AM796" s="207"/>
      <c r="AN796" s="207" t="e">
        <f>SUM(#REF!)</f>
        <v>#REF!</v>
      </c>
      <c r="AO796" s="224">
        <f t="shared" si="97"/>
        <v>0</v>
      </c>
      <c r="AP796" s="224" t="e">
        <f t="shared" si="102"/>
        <v>#REF!</v>
      </c>
      <c r="AQ796" s="207"/>
      <c r="AR796" s="207"/>
      <c r="AS796" s="207"/>
      <c r="AT796" s="224" t="str">
        <f>IFERROR(VLOOKUP($A796,'Constancias POA'!$A$2:$DH$9993,17,FALSE),"")</f>
        <v/>
      </c>
      <c r="AU796" s="207" t="str">
        <f t="shared" si="103"/>
        <v/>
      </c>
      <c r="AV796" s="224" t="str">
        <f>IFERROR(VLOOKUP($A796,CP!$A$1:$U$7992,18,FALSE),"")</f>
        <v/>
      </c>
      <c r="AW796" s="224" t="str">
        <f>IFERROR(VLOOKUP($A796,CP!$A$1:$U$7992,19,FALSE),"")</f>
        <v/>
      </c>
      <c r="AX796" s="224" t="str">
        <f>IFERROR(VLOOKUP($A796,CP!$A$1:$U$7992,20,FALSE),"")</f>
        <v/>
      </c>
      <c r="AY796" s="207" t="str">
        <f>IFERROR(VLOOKUP($A796,CP!$A$1:$U$1,21,FALSE),"")</f>
        <v/>
      </c>
      <c r="AZ796" s="224" t="str">
        <f>IFERROR(VLOOKUP(A796,Devengado!$A$1:AJ1,35,FALSE),"")</f>
        <v/>
      </c>
      <c r="BA796" s="224" t="str">
        <f t="shared" si="98"/>
        <v/>
      </c>
      <c r="BB796" s="224" t="str">
        <f>IFERROR(AZ796/#REF!,"")</f>
        <v/>
      </c>
      <c r="BC796" s="224" t="str">
        <f>IFERROR(VLOOKUP($A796,Devengado!$A$1:$AI$1,22,FALSE),"")</f>
        <v/>
      </c>
      <c r="BD796" s="224" t="str">
        <f>IFERROR(VLOOKUP($A796,Devengado!$A$1:$AI$1,23,FALSE),"")</f>
        <v/>
      </c>
      <c r="BE796" s="224" t="str">
        <f>IFERROR(VLOOKUP($A796,Devengado!$A$1:$AI$1,24,FALSE),"")</f>
        <v/>
      </c>
      <c r="BF796" s="224" t="str">
        <f>IFERROR(VLOOKUP($A796,Devengado!$A$1:$AI$1,25,FALSE),"")</f>
        <v/>
      </c>
      <c r="BG796" s="224" t="str">
        <f>IFERROR(VLOOKUP($A796,Devengado!$A$1:$AI$1,26,FALSE),"")</f>
        <v/>
      </c>
      <c r="BH796" s="224" t="str">
        <f>IFERROR(VLOOKUP($A796,Devengado!$A$1:$AI$1,27,FALSE),"")</f>
        <v/>
      </c>
      <c r="BI796" s="224" t="str">
        <f>IFERROR(VLOOKUP($A796,Devengado!$A$1:$AI$1,28,FALSE),"")</f>
        <v/>
      </c>
      <c r="BJ796" s="224" t="str">
        <f>IFERROR(VLOOKUP($A796,Devengado!$A$1:$AI$1,29,FALSE),"")</f>
        <v/>
      </c>
      <c r="BK796" s="224" t="str">
        <f>IFERROR(VLOOKUP($A796,Devengado!$A$1:$AI$1,30,FALSE),"")</f>
        <v/>
      </c>
      <c r="BL796" s="224" t="str">
        <f>IFERROR(VLOOKUP($A796,Devengado!$A$1:$AI$1,31,FALSE),"")</f>
        <v/>
      </c>
      <c r="BM796" s="224" t="str">
        <f>IFERROR(VLOOKUP($A796,Devengado!$A$1:$AI$1,32,FALSE),"")</f>
        <v/>
      </c>
      <c r="BN796" s="224" t="str">
        <f>IFERROR(VLOOKUP($A796,Devengado!$A$1:$AI$1,33,FALSE),"")</f>
        <v/>
      </c>
      <c r="BO796" s="224">
        <f t="shared" si="99"/>
        <v>0</v>
      </c>
      <c r="BP796" s="224" t="str">
        <f t="shared" si="100"/>
        <v/>
      </c>
      <c r="BQ796" s="207"/>
      <c r="BR796" s="207" t="str">
        <f t="shared" si="101"/>
        <v>53</v>
      </c>
    </row>
    <row r="797" spans="1:70" s="225" customFormat="1" ht="25.5" customHeight="1">
      <c r="A797" s="207">
        <f t="shared" si="105"/>
        <v>793</v>
      </c>
      <c r="B797" s="112" t="s">
        <v>73</v>
      </c>
      <c r="C797" s="112" t="s">
        <v>129</v>
      </c>
      <c r="D797" s="112" t="s">
        <v>134</v>
      </c>
      <c r="E797" s="112" t="s">
        <v>76</v>
      </c>
      <c r="F797" s="112" t="s">
        <v>77</v>
      </c>
      <c r="G797" s="112" t="s">
        <v>77</v>
      </c>
      <c r="H797" s="112" t="s">
        <v>77</v>
      </c>
      <c r="I797" s="112" t="s">
        <v>77</v>
      </c>
      <c r="J797" s="112" t="s">
        <v>77</v>
      </c>
      <c r="K797" s="112" t="s">
        <v>77</v>
      </c>
      <c r="L797" s="112" t="s">
        <v>85</v>
      </c>
      <c r="M797" s="304" t="s">
        <v>149</v>
      </c>
      <c r="N797" s="112">
        <v>9999</v>
      </c>
      <c r="O797" s="114" t="s">
        <v>132</v>
      </c>
      <c r="P797" s="114" t="s">
        <v>81</v>
      </c>
      <c r="Q797" s="114" t="s">
        <v>112</v>
      </c>
      <c r="R797" s="115" t="str">
        <f t="shared" si="96"/>
        <v>58</v>
      </c>
      <c r="S797" s="302">
        <v>580301</v>
      </c>
      <c r="T797" s="207" t="e">
        <f>VLOOKUP(S797,ITEM!$C$1:$D$156,2,FALSE)</f>
        <v>#N/A</v>
      </c>
      <c r="U797" s="112" t="s">
        <v>83</v>
      </c>
      <c r="V797" s="112" t="s">
        <v>82</v>
      </c>
      <c r="W797" s="112" t="s">
        <v>84</v>
      </c>
      <c r="X797" s="112" t="s">
        <v>84</v>
      </c>
      <c r="Y797" s="298" t="e">
        <f>'Matriz POA 2024-TRABAJO'!#REF!</f>
        <v>#REF!</v>
      </c>
      <c r="Z797" s="298" t="e">
        <f>'Matriz POA 2024-TRABAJO'!#REF!</f>
        <v>#REF!</v>
      </c>
      <c r="AA797" s="298" t="e">
        <f>'Matriz POA 2024-TRABAJO'!#REF!</f>
        <v>#REF!</v>
      </c>
      <c r="AB797" s="207"/>
      <c r="AC797" s="207"/>
      <c r="AD797" s="207">
        <v>15191.73</v>
      </c>
      <c r="AE797" s="207"/>
      <c r="AF797" s="207"/>
      <c r="AG797" s="207"/>
      <c r="AH797" s="207"/>
      <c r="AI797" s="207"/>
      <c r="AJ797" s="207"/>
      <c r="AK797" s="207"/>
      <c r="AL797" s="207"/>
      <c r="AM797" s="207"/>
      <c r="AN797" s="207" t="e">
        <f>SUM(#REF!)</f>
        <v>#REF!</v>
      </c>
      <c r="AO797" s="224">
        <f t="shared" si="97"/>
        <v>15191.73</v>
      </c>
      <c r="AP797" s="224" t="e">
        <f t="shared" si="102"/>
        <v>#REF!</v>
      </c>
      <c r="AQ797" s="301" t="s">
        <v>759</v>
      </c>
      <c r="AR797" s="207" t="s">
        <v>760</v>
      </c>
      <c r="AS797" s="207"/>
      <c r="AT797" s="224" t="str">
        <f>IFERROR(VLOOKUP($A797,'Constancias POA'!$A$2:$DH$9993,17,FALSE),"")</f>
        <v/>
      </c>
      <c r="AU797" s="207" t="str">
        <f t="shared" si="103"/>
        <v/>
      </c>
      <c r="AV797" s="224" t="str">
        <f>IFERROR(VLOOKUP($A797,CP!$A$1:$U$7992,18,FALSE),"")</f>
        <v/>
      </c>
      <c r="AW797" s="224" t="str">
        <f>IFERROR(VLOOKUP($A797,CP!$A$1:$U$7992,19,FALSE),"")</f>
        <v/>
      </c>
      <c r="AX797" s="224" t="str">
        <f>IFERROR(VLOOKUP($A797,CP!$A$1:$U$7992,20,FALSE),"")</f>
        <v/>
      </c>
      <c r="AY797" s="207" t="str">
        <f>IFERROR(VLOOKUP($A797,CP!$A$1:$U$1,21,FALSE),"")</f>
        <v/>
      </c>
      <c r="AZ797" s="224" t="str">
        <f>IFERROR(VLOOKUP(A797,Devengado!$A$1:AJ1,35,FALSE),"")</f>
        <v/>
      </c>
      <c r="BA797" s="224" t="str">
        <f t="shared" si="98"/>
        <v/>
      </c>
      <c r="BB797" s="224" t="str">
        <f>IFERROR(AZ797/#REF!,"")</f>
        <v/>
      </c>
      <c r="BC797" s="224" t="str">
        <f>IFERROR(VLOOKUP($A797,Devengado!$A$1:$AI$1,22,FALSE),"")</f>
        <v/>
      </c>
      <c r="BD797" s="224" t="str">
        <f>IFERROR(VLOOKUP($A797,Devengado!$A$1:$AI$1,23,FALSE),"")</f>
        <v/>
      </c>
      <c r="BE797" s="224" t="str">
        <f>IFERROR(VLOOKUP($A797,Devengado!$A$1:$AI$1,24,FALSE),"")</f>
        <v/>
      </c>
      <c r="BF797" s="224" t="str">
        <f>IFERROR(VLOOKUP($A797,Devengado!$A$1:$AI$1,25,FALSE),"")</f>
        <v/>
      </c>
      <c r="BG797" s="224" t="str">
        <f>IFERROR(VLOOKUP($A797,Devengado!$A$1:$AI$1,26,FALSE),"")</f>
        <v/>
      </c>
      <c r="BH797" s="224" t="str">
        <f>IFERROR(VLOOKUP($A797,Devengado!$A$1:$AI$1,27,FALSE),"")</f>
        <v/>
      </c>
      <c r="BI797" s="224" t="str">
        <f>IFERROR(VLOOKUP($A797,Devengado!$A$1:$AI$1,28,FALSE),"")</f>
        <v/>
      </c>
      <c r="BJ797" s="224" t="str">
        <f>IFERROR(VLOOKUP($A797,Devengado!$A$1:$AI$1,29,FALSE),"")</f>
        <v/>
      </c>
      <c r="BK797" s="224" t="str">
        <f>IFERROR(VLOOKUP($A797,Devengado!$A$1:$AI$1,30,FALSE),"")</f>
        <v/>
      </c>
      <c r="BL797" s="224" t="str">
        <f>IFERROR(VLOOKUP($A797,Devengado!$A$1:$AI$1,31,FALSE),"")</f>
        <v/>
      </c>
      <c r="BM797" s="224" t="str">
        <f>IFERROR(VLOOKUP($A797,Devengado!$A$1:$AI$1,32,FALSE),"")</f>
        <v/>
      </c>
      <c r="BN797" s="224" t="str">
        <f>IFERROR(VLOOKUP($A797,Devengado!$A$1:$AI$1,33,FALSE),"")</f>
        <v/>
      </c>
      <c r="BO797" s="224">
        <f t="shared" si="99"/>
        <v>0</v>
      </c>
      <c r="BP797" s="224" t="str">
        <f t="shared" si="100"/>
        <v/>
      </c>
      <c r="BQ797" s="207"/>
      <c r="BR797" s="207" t="str">
        <f t="shared" si="101"/>
        <v>58</v>
      </c>
    </row>
    <row r="798" spans="1:70" s="225" customFormat="1" ht="25.5" customHeight="1">
      <c r="A798" s="207">
        <f t="shared" si="105"/>
        <v>794</v>
      </c>
      <c r="B798" s="112" t="s">
        <v>244</v>
      </c>
      <c r="C798" s="112" t="s">
        <v>77</v>
      </c>
      <c r="D798" s="112" t="s">
        <v>77</v>
      </c>
      <c r="E798" s="112" t="s">
        <v>76</v>
      </c>
      <c r="F798" s="112" t="s">
        <v>77</v>
      </c>
      <c r="G798" s="112" t="s">
        <v>77</v>
      </c>
      <c r="H798" s="112" t="s">
        <v>77</v>
      </c>
      <c r="I798" s="112" t="s">
        <v>77</v>
      </c>
      <c r="J798" s="112" t="s">
        <v>77</v>
      </c>
      <c r="K798" s="112" t="s">
        <v>77</v>
      </c>
      <c r="L798" s="112" t="s">
        <v>85</v>
      </c>
      <c r="M798" s="222" t="s">
        <v>274</v>
      </c>
      <c r="N798" s="172" t="s">
        <v>246</v>
      </c>
      <c r="O798" s="305" t="s">
        <v>111</v>
      </c>
      <c r="P798" s="306" t="s">
        <v>81</v>
      </c>
      <c r="Q798" s="306" t="s">
        <v>112</v>
      </c>
      <c r="R798" s="115" t="str">
        <f t="shared" si="96"/>
        <v>53</v>
      </c>
      <c r="S798" s="302">
        <v>530804</v>
      </c>
      <c r="T798" s="207" t="e">
        <f>VLOOKUP(S798,ITEM!$C$1:$D$156,2,FALSE)</f>
        <v>#N/A</v>
      </c>
      <c r="U798" s="306" t="s">
        <v>83</v>
      </c>
      <c r="V798" s="306" t="s">
        <v>82</v>
      </c>
      <c r="W798" s="306" t="s">
        <v>84</v>
      </c>
      <c r="X798" s="306" t="s">
        <v>84</v>
      </c>
      <c r="Y798" s="272" t="e">
        <f>'Matriz POA 2024-TRABAJO'!#REF!</f>
        <v>#REF!</v>
      </c>
      <c r="Z798" s="272" t="e">
        <f>'Matriz POA 2024-TRABAJO'!#REF!</f>
        <v>#REF!</v>
      </c>
      <c r="AA798" s="272" t="e">
        <f>'Matriz POA 2024-TRABAJO'!#REF!</f>
        <v>#REF!</v>
      </c>
      <c r="AB798" s="272">
        <v>0</v>
      </c>
      <c r="AC798" s="272">
        <v>0</v>
      </c>
      <c r="AD798" s="272">
        <v>320.51</v>
      </c>
      <c r="AE798" s="272">
        <v>0</v>
      </c>
      <c r="AF798" s="272">
        <v>0</v>
      </c>
      <c r="AG798" s="272">
        <v>0</v>
      </c>
      <c r="AH798" s="272">
        <v>0</v>
      </c>
      <c r="AI798" s="272">
        <v>0</v>
      </c>
      <c r="AJ798" s="272">
        <v>0</v>
      </c>
      <c r="AK798" s="272">
        <v>0</v>
      </c>
      <c r="AL798" s="272">
        <v>0</v>
      </c>
      <c r="AM798" s="272">
        <v>0</v>
      </c>
      <c r="AN798" s="272" t="e">
        <f>SUM(#REF!)</f>
        <v>#REF!</v>
      </c>
      <c r="AO798" s="224">
        <f t="shared" si="97"/>
        <v>320.51</v>
      </c>
      <c r="AP798" s="224" t="e">
        <f t="shared" si="102"/>
        <v>#REF!</v>
      </c>
      <c r="AQ798" s="207"/>
      <c r="AR798" s="207"/>
      <c r="AS798" s="207"/>
      <c r="AT798" s="224" t="str">
        <f>IFERROR(VLOOKUP($A798,'Constancias POA'!$A$2:$DH$9993,17,FALSE),"")</f>
        <v/>
      </c>
      <c r="AU798" s="207" t="str">
        <f t="shared" si="103"/>
        <v/>
      </c>
      <c r="AV798" s="224" t="str">
        <f>IFERROR(VLOOKUP($A798,CP!$A$1:$U$7992,18,FALSE),"")</f>
        <v/>
      </c>
      <c r="AW798" s="224" t="str">
        <f>IFERROR(VLOOKUP($A798,CP!$A$1:$U$7992,19,FALSE),"")</f>
        <v/>
      </c>
      <c r="AX798" s="224" t="str">
        <f>IFERROR(VLOOKUP($A798,CP!$A$1:$U$7992,20,FALSE),"")</f>
        <v/>
      </c>
      <c r="AY798" s="207" t="str">
        <f>IFERROR(VLOOKUP($A798,CP!$A$1:$U$1,21,FALSE),"")</f>
        <v/>
      </c>
      <c r="AZ798" s="224" t="str">
        <f>IFERROR(VLOOKUP(A798,Devengado!$A$1:AJ1,35,FALSE),"")</f>
        <v/>
      </c>
      <c r="BA798" s="224" t="str">
        <f t="shared" si="98"/>
        <v/>
      </c>
      <c r="BB798" s="224" t="str">
        <f>IFERROR(AZ798/#REF!,"")</f>
        <v/>
      </c>
      <c r="BC798" s="224" t="str">
        <f>IFERROR(VLOOKUP($A798,Devengado!$A$1:$AI$1,22,FALSE),"")</f>
        <v/>
      </c>
      <c r="BD798" s="224" t="str">
        <f>IFERROR(VLOOKUP($A798,Devengado!$A$1:$AI$1,23,FALSE),"")</f>
        <v/>
      </c>
      <c r="BE798" s="224" t="str">
        <f>IFERROR(VLOOKUP($A798,Devengado!$A$1:$AI$1,24,FALSE),"")</f>
        <v/>
      </c>
      <c r="BF798" s="224" t="str">
        <f>IFERROR(VLOOKUP($A798,Devengado!$A$1:$AI$1,25,FALSE),"")</f>
        <v/>
      </c>
      <c r="BG798" s="224" t="str">
        <f>IFERROR(VLOOKUP($A798,Devengado!$A$1:$AI$1,26,FALSE),"")</f>
        <v/>
      </c>
      <c r="BH798" s="224" t="str">
        <f>IFERROR(VLOOKUP($A798,Devengado!$A$1:$AI$1,27,FALSE),"")</f>
        <v/>
      </c>
      <c r="BI798" s="224" t="str">
        <f>IFERROR(VLOOKUP($A798,Devengado!$A$1:$AI$1,28,FALSE),"")</f>
        <v/>
      </c>
      <c r="BJ798" s="224" t="str">
        <f>IFERROR(VLOOKUP($A798,Devengado!$A$1:$AI$1,29,FALSE),"")</f>
        <v/>
      </c>
      <c r="BK798" s="224" t="str">
        <f>IFERROR(VLOOKUP($A798,Devengado!$A$1:$AI$1,30,FALSE),"")</f>
        <v/>
      </c>
      <c r="BL798" s="224" t="str">
        <f>IFERROR(VLOOKUP($A798,Devengado!$A$1:$AI$1,31,FALSE),"")</f>
        <v/>
      </c>
      <c r="BM798" s="224" t="str">
        <f>IFERROR(VLOOKUP($A798,Devengado!$A$1:$AI$1,32,FALSE),"")</f>
        <v/>
      </c>
      <c r="BN798" s="224" t="str">
        <f>IFERROR(VLOOKUP($A798,Devengado!$A$1:$AI$1,33,FALSE),"")</f>
        <v/>
      </c>
      <c r="BO798" s="224">
        <f t="shared" si="99"/>
        <v>0</v>
      </c>
      <c r="BP798" s="224" t="str">
        <f t="shared" si="100"/>
        <v/>
      </c>
      <c r="BQ798" s="207"/>
      <c r="BR798" s="207" t="str">
        <f t="shared" si="101"/>
        <v>53</v>
      </c>
    </row>
    <row r="799" spans="1:70" s="225" customFormat="1" ht="25.5" customHeight="1">
      <c r="A799" s="207">
        <f t="shared" si="105"/>
        <v>795</v>
      </c>
      <c r="B799" s="112" t="s">
        <v>244</v>
      </c>
      <c r="C799" s="112" t="s">
        <v>77</v>
      </c>
      <c r="D799" s="112" t="s">
        <v>77</v>
      </c>
      <c r="E799" s="112" t="s">
        <v>76</v>
      </c>
      <c r="F799" s="112" t="s">
        <v>77</v>
      </c>
      <c r="G799" s="112" t="s">
        <v>77</v>
      </c>
      <c r="H799" s="112" t="s">
        <v>77</v>
      </c>
      <c r="I799" s="112" t="s">
        <v>77</v>
      </c>
      <c r="J799" s="112" t="s">
        <v>77</v>
      </c>
      <c r="K799" s="112" t="s">
        <v>77</v>
      </c>
      <c r="L799" s="112" t="s">
        <v>85</v>
      </c>
      <c r="M799" s="307" t="s">
        <v>761</v>
      </c>
      <c r="N799" s="172" t="s">
        <v>246</v>
      </c>
      <c r="O799" s="305" t="s">
        <v>111</v>
      </c>
      <c r="P799" s="306" t="s">
        <v>81</v>
      </c>
      <c r="Q799" s="306" t="s">
        <v>112</v>
      </c>
      <c r="R799" s="115" t="str">
        <f t="shared" si="96"/>
        <v>53</v>
      </c>
      <c r="S799" s="221">
        <v>530204</v>
      </c>
      <c r="T799" s="207" t="str">
        <f>VLOOKUP(S799,ITEM!$C$1:$D$156,2,FALSE)</f>
        <v>Edición, Impresión, Reproducción, Publicaciones, Suscripciones, Fotocopiado, Traducción, Empastado, Enmarcación,
Serigrafía, Fotografía, Carnetización, Filmación e Imágenes Satelitales.</v>
      </c>
      <c r="U799" s="306" t="s">
        <v>83</v>
      </c>
      <c r="V799" s="306" t="s">
        <v>82</v>
      </c>
      <c r="W799" s="306" t="s">
        <v>84</v>
      </c>
      <c r="X799" s="306" t="s">
        <v>84</v>
      </c>
      <c r="Y799" s="272" t="e">
        <f>'Matriz POA 2024-TRABAJO'!#REF!</f>
        <v>#REF!</v>
      </c>
      <c r="Z799" s="272" t="e">
        <f>'Matriz POA 2024-TRABAJO'!#REF!</f>
        <v>#REF!</v>
      </c>
      <c r="AA799" s="272" t="e">
        <f>'Matriz POA 2024-TRABAJO'!#REF!</f>
        <v>#REF!</v>
      </c>
      <c r="AB799" s="272">
        <v>0</v>
      </c>
      <c r="AC799" s="272">
        <v>0</v>
      </c>
      <c r="AD799" s="272">
        <v>14</v>
      </c>
      <c r="AE799" s="272">
        <v>0</v>
      </c>
      <c r="AF799" s="272">
        <v>0</v>
      </c>
      <c r="AG799" s="272">
        <v>0</v>
      </c>
      <c r="AH799" s="272">
        <v>0</v>
      </c>
      <c r="AI799" s="272">
        <v>0</v>
      </c>
      <c r="AJ799" s="272">
        <v>0</v>
      </c>
      <c r="AK799" s="272">
        <v>0</v>
      </c>
      <c r="AL799" s="272">
        <v>0</v>
      </c>
      <c r="AM799" s="272">
        <v>0</v>
      </c>
      <c r="AN799" s="272" t="e">
        <f>SUM(#REF!)</f>
        <v>#REF!</v>
      </c>
      <c r="AO799" s="224">
        <f t="shared" si="97"/>
        <v>14</v>
      </c>
      <c r="AP799" s="224" t="e">
        <f t="shared" si="102"/>
        <v>#REF!</v>
      </c>
      <c r="AQ799" s="207"/>
      <c r="AR799" s="207"/>
      <c r="AS799" s="207"/>
      <c r="AT799" s="224" t="str">
        <f>IFERROR(VLOOKUP($A799,'Constancias POA'!$A$2:$DH$9993,17,FALSE),"")</f>
        <v/>
      </c>
      <c r="AU799" s="207" t="str">
        <f t="shared" si="103"/>
        <v/>
      </c>
      <c r="AV799" s="224" t="str">
        <f>IFERROR(VLOOKUP($A799,CP!$A$1:$U$7992,18,FALSE),"")</f>
        <v/>
      </c>
      <c r="AW799" s="224" t="str">
        <f>IFERROR(VLOOKUP($A799,CP!$A$1:$U$7992,19,FALSE),"")</f>
        <v/>
      </c>
      <c r="AX799" s="224" t="str">
        <f>IFERROR(VLOOKUP($A799,CP!$A$1:$U$7992,20,FALSE),"")</f>
        <v/>
      </c>
      <c r="AY799" s="207" t="str">
        <f>IFERROR(VLOOKUP($A799,CP!$A$1:$U$1,21,FALSE),"")</f>
        <v/>
      </c>
      <c r="AZ799" s="224" t="str">
        <f>IFERROR(VLOOKUP(A799,Devengado!$A$1:AJ1,35,FALSE),"")</f>
        <v/>
      </c>
      <c r="BA799" s="224" t="str">
        <f t="shared" si="98"/>
        <v/>
      </c>
      <c r="BB799" s="224" t="str">
        <f>IFERROR(AZ799/#REF!,"")</f>
        <v/>
      </c>
      <c r="BC799" s="224" t="str">
        <f>IFERROR(VLOOKUP($A799,Devengado!$A$1:$AI$1,22,FALSE),"")</f>
        <v/>
      </c>
      <c r="BD799" s="224" t="str">
        <f>IFERROR(VLOOKUP($A799,Devengado!$A$1:$AI$1,23,FALSE),"")</f>
        <v/>
      </c>
      <c r="BE799" s="224" t="str">
        <f>IFERROR(VLOOKUP($A799,Devengado!$A$1:$AI$1,24,FALSE),"")</f>
        <v/>
      </c>
      <c r="BF799" s="224" t="str">
        <f>IFERROR(VLOOKUP($A799,Devengado!$A$1:$AI$1,25,FALSE),"")</f>
        <v/>
      </c>
      <c r="BG799" s="224" t="str">
        <f>IFERROR(VLOOKUP($A799,Devengado!$A$1:$AI$1,26,FALSE),"")</f>
        <v/>
      </c>
      <c r="BH799" s="224" t="str">
        <f>IFERROR(VLOOKUP($A799,Devengado!$A$1:$AI$1,27,FALSE),"")</f>
        <v/>
      </c>
      <c r="BI799" s="224" t="str">
        <f>IFERROR(VLOOKUP($A799,Devengado!$A$1:$AI$1,28,FALSE),"")</f>
        <v/>
      </c>
      <c r="BJ799" s="224" t="str">
        <f>IFERROR(VLOOKUP($A799,Devengado!$A$1:$AI$1,29,FALSE),"")</f>
        <v/>
      </c>
      <c r="BK799" s="224" t="str">
        <f>IFERROR(VLOOKUP($A799,Devengado!$A$1:$AI$1,30,FALSE),"")</f>
        <v/>
      </c>
      <c r="BL799" s="224" t="str">
        <f>IFERROR(VLOOKUP($A799,Devengado!$A$1:$AI$1,31,FALSE),"")</f>
        <v/>
      </c>
      <c r="BM799" s="224" t="str">
        <f>IFERROR(VLOOKUP($A799,Devengado!$A$1:$AI$1,32,FALSE),"")</f>
        <v/>
      </c>
      <c r="BN799" s="224" t="str">
        <f>IFERROR(VLOOKUP($A799,Devengado!$A$1:$AI$1,33,FALSE),"")</f>
        <v/>
      </c>
      <c r="BO799" s="224">
        <f t="shared" si="99"/>
        <v>0</v>
      </c>
      <c r="BP799" s="224" t="str">
        <f t="shared" si="100"/>
        <v/>
      </c>
      <c r="BQ799" s="207"/>
      <c r="BR799" s="207" t="str">
        <f t="shared" si="101"/>
        <v>53</v>
      </c>
    </row>
    <row r="800" spans="1:70" s="225" customFormat="1" ht="25.5" customHeight="1">
      <c r="A800" s="207">
        <f t="shared" si="105"/>
        <v>796</v>
      </c>
      <c r="B800" s="112" t="s">
        <v>244</v>
      </c>
      <c r="C800" s="112" t="s">
        <v>77</v>
      </c>
      <c r="D800" s="112" t="s">
        <v>77</v>
      </c>
      <c r="E800" s="112" t="s">
        <v>76</v>
      </c>
      <c r="F800" s="112" t="s">
        <v>77</v>
      </c>
      <c r="G800" s="112" t="s">
        <v>77</v>
      </c>
      <c r="H800" s="112" t="s">
        <v>77</v>
      </c>
      <c r="I800" s="112" t="s">
        <v>77</v>
      </c>
      <c r="J800" s="112" t="s">
        <v>77</v>
      </c>
      <c r="K800" s="112" t="s">
        <v>77</v>
      </c>
      <c r="L800" s="112" t="s">
        <v>85</v>
      </c>
      <c r="M800" s="307" t="s">
        <v>761</v>
      </c>
      <c r="N800" s="172" t="s">
        <v>246</v>
      </c>
      <c r="O800" s="305" t="s">
        <v>111</v>
      </c>
      <c r="P800" s="306" t="s">
        <v>81</v>
      </c>
      <c r="Q800" s="306" t="s">
        <v>112</v>
      </c>
      <c r="R800" s="115" t="str">
        <f t="shared" si="96"/>
        <v>53</v>
      </c>
      <c r="S800" s="308">
        <v>530811</v>
      </c>
      <c r="T800" s="207" t="e">
        <f>VLOOKUP(S800,ITEM!$C$1:$D$156,2,FALSE)</f>
        <v>#N/A</v>
      </c>
      <c r="U800" s="306" t="s">
        <v>83</v>
      </c>
      <c r="V800" s="306" t="s">
        <v>82</v>
      </c>
      <c r="W800" s="306" t="s">
        <v>84</v>
      </c>
      <c r="X800" s="306" t="s">
        <v>84</v>
      </c>
      <c r="Y800" s="272" t="e">
        <f>'Matriz POA 2024-TRABAJO'!#REF!</f>
        <v>#REF!</v>
      </c>
      <c r="Z800" s="272" t="e">
        <f>'Matriz POA 2024-TRABAJO'!#REF!</f>
        <v>#REF!</v>
      </c>
      <c r="AA800" s="272" t="e">
        <f>'Matriz POA 2024-TRABAJO'!#REF!</f>
        <v>#REF!</v>
      </c>
      <c r="AB800" s="272">
        <v>0</v>
      </c>
      <c r="AC800" s="272">
        <v>0</v>
      </c>
      <c r="AD800" s="272">
        <v>102.24</v>
      </c>
      <c r="AE800" s="272">
        <v>0</v>
      </c>
      <c r="AF800" s="272">
        <v>0</v>
      </c>
      <c r="AG800" s="272">
        <v>0</v>
      </c>
      <c r="AH800" s="272">
        <v>0</v>
      </c>
      <c r="AI800" s="272">
        <v>0</v>
      </c>
      <c r="AJ800" s="272">
        <v>0</v>
      </c>
      <c r="AK800" s="272">
        <v>0</v>
      </c>
      <c r="AL800" s="272">
        <v>0</v>
      </c>
      <c r="AM800" s="272">
        <v>0</v>
      </c>
      <c r="AN800" s="272" t="e">
        <f>SUM(#REF!)</f>
        <v>#REF!</v>
      </c>
      <c r="AO800" s="224">
        <f t="shared" si="97"/>
        <v>102.24</v>
      </c>
      <c r="AP800" s="224" t="e">
        <f t="shared" si="102"/>
        <v>#REF!</v>
      </c>
      <c r="AQ800" s="207"/>
      <c r="AR800" s="207"/>
      <c r="AS800" s="207"/>
      <c r="AT800" s="224" t="str">
        <f>IFERROR(VLOOKUP($A800,'Constancias POA'!$A$2:$DH$9993,17,FALSE),"")</f>
        <v/>
      </c>
      <c r="AU800" s="207" t="str">
        <f t="shared" si="103"/>
        <v/>
      </c>
      <c r="AV800" s="224" t="str">
        <f>IFERROR(VLOOKUP($A800,CP!$A$1:$U$7992,18,FALSE),"")</f>
        <v/>
      </c>
      <c r="AW800" s="224" t="str">
        <f>IFERROR(VLOOKUP($A800,CP!$A$1:$U$7992,19,FALSE),"")</f>
        <v/>
      </c>
      <c r="AX800" s="224" t="str">
        <f>IFERROR(VLOOKUP($A800,CP!$A$1:$U$7992,20,FALSE),"")</f>
        <v/>
      </c>
      <c r="AY800" s="207" t="str">
        <f>IFERROR(VLOOKUP($A800,CP!$A$1:$U$1,21,FALSE),"")</f>
        <v/>
      </c>
      <c r="AZ800" s="224" t="str">
        <f>IFERROR(VLOOKUP(A800,Devengado!$A$1:AJ1,35,FALSE),"")</f>
        <v/>
      </c>
      <c r="BA800" s="224" t="str">
        <f t="shared" si="98"/>
        <v/>
      </c>
      <c r="BB800" s="224" t="str">
        <f>IFERROR(AZ800/#REF!,"")</f>
        <v/>
      </c>
      <c r="BC800" s="224" t="str">
        <f>IFERROR(VLOOKUP($A800,Devengado!$A$1:$AI$1,22,FALSE),"")</f>
        <v/>
      </c>
      <c r="BD800" s="224" t="str">
        <f>IFERROR(VLOOKUP($A800,Devengado!$A$1:$AI$1,23,FALSE),"")</f>
        <v/>
      </c>
      <c r="BE800" s="224" t="str">
        <f>IFERROR(VLOOKUP($A800,Devengado!$A$1:$AI$1,24,FALSE),"")</f>
        <v/>
      </c>
      <c r="BF800" s="224" t="str">
        <f>IFERROR(VLOOKUP($A800,Devengado!$A$1:$AI$1,25,FALSE),"")</f>
        <v/>
      </c>
      <c r="BG800" s="224" t="str">
        <f>IFERROR(VLOOKUP($A800,Devengado!$A$1:$AI$1,26,FALSE),"")</f>
        <v/>
      </c>
      <c r="BH800" s="224" t="str">
        <f>IFERROR(VLOOKUP($A800,Devengado!$A$1:$AI$1,27,FALSE),"")</f>
        <v/>
      </c>
      <c r="BI800" s="224" t="str">
        <f>IFERROR(VLOOKUP($A800,Devengado!$A$1:$AI$1,28,FALSE),"")</f>
        <v/>
      </c>
      <c r="BJ800" s="224" t="str">
        <f>IFERROR(VLOOKUP($A800,Devengado!$A$1:$AI$1,29,FALSE),"")</f>
        <v/>
      </c>
      <c r="BK800" s="224" t="str">
        <f>IFERROR(VLOOKUP($A800,Devengado!$A$1:$AI$1,30,FALSE),"")</f>
        <v/>
      </c>
      <c r="BL800" s="224" t="str">
        <f>IFERROR(VLOOKUP($A800,Devengado!$A$1:$AI$1,31,FALSE),"")</f>
        <v/>
      </c>
      <c r="BM800" s="224" t="str">
        <f>IFERROR(VLOOKUP($A800,Devengado!$A$1:$AI$1,32,FALSE),"")</f>
        <v/>
      </c>
      <c r="BN800" s="224" t="str">
        <f>IFERROR(VLOOKUP($A800,Devengado!$A$1:$AI$1,33,FALSE),"")</f>
        <v/>
      </c>
      <c r="BO800" s="224">
        <f t="shared" si="99"/>
        <v>0</v>
      </c>
      <c r="BP800" s="224" t="str">
        <f t="shared" si="100"/>
        <v/>
      </c>
      <c r="BQ800" s="207"/>
      <c r="BR800" s="207" t="str">
        <f t="shared" si="101"/>
        <v>53</v>
      </c>
    </row>
    <row r="801" spans="1:70" s="225" customFormat="1" ht="25.5" customHeight="1">
      <c r="A801" s="207">
        <f t="shared" si="105"/>
        <v>797</v>
      </c>
      <c r="B801" s="112" t="s">
        <v>244</v>
      </c>
      <c r="C801" s="112" t="s">
        <v>77</v>
      </c>
      <c r="D801" s="112" t="s">
        <v>77</v>
      </c>
      <c r="E801" s="112" t="s">
        <v>76</v>
      </c>
      <c r="F801" s="112" t="s">
        <v>77</v>
      </c>
      <c r="G801" s="112" t="s">
        <v>77</v>
      </c>
      <c r="H801" s="112" t="s">
        <v>77</v>
      </c>
      <c r="I801" s="112" t="s">
        <v>77</v>
      </c>
      <c r="J801" s="112" t="s">
        <v>77</v>
      </c>
      <c r="K801" s="112" t="s">
        <v>77</v>
      </c>
      <c r="L801" s="112" t="s">
        <v>85</v>
      </c>
      <c r="M801" s="307" t="s">
        <v>761</v>
      </c>
      <c r="N801" s="172" t="s">
        <v>246</v>
      </c>
      <c r="O801" s="305" t="s">
        <v>111</v>
      </c>
      <c r="P801" s="306" t="s">
        <v>81</v>
      </c>
      <c r="Q801" s="306" t="s">
        <v>112</v>
      </c>
      <c r="R801" s="115" t="str">
        <f t="shared" si="96"/>
        <v>53</v>
      </c>
      <c r="S801" s="164">
        <v>530813</v>
      </c>
      <c r="T801" s="207" t="e">
        <f>VLOOKUP(S801,ITEM!$C$1:$D$156,2,FALSE)</f>
        <v>#N/A</v>
      </c>
      <c r="U801" s="306" t="s">
        <v>83</v>
      </c>
      <c r="V801" s="306" t="s">
        <v>82</v>
      </c>
      <c r="W801" s="306" t="s">
        <v>84</v>
      </c>
      <c r="X801" s="306" t="s">
        <v>84</v>
      </c>
      <c r="Y801" s="272" t="e">
        <f>'Matriz POA 2024-TRABAJO'!#REF!</f>
        <v>#REF!</v>
      </c>
      <c r="Z801" s="272" t="e">
        <f>'Matriz POA 2024-TRABAJO'!#REF!</f>
        <v>#REF!</v>
      </c>
      <c r="AA801" s="272" t="e">
        <f>'Matriz POA 2024-TRABAJO'!#REF!</f>
        <v>#REF!</v>
      </c>
      <c r="AB801" s="272">
        <v>0</v>
      </c>
      <c r="AC801" s="272">
        <v>0</v>
      </c>
      <c r="AD801" s="272">
        <v>49.28</v>
      </c>
      <c r="AE801" s="272">
        <v>0</v>
      </c>
      <c r="AF801" s="272">
        <v>0</v>
      </c>
      <c r="AG801" s="272">
        <v>0</v>
      </c>
      <c r="AH801" s="272">
        <v>0</v>
      </c>
      <c r="AI801" s="272">
        <v>0</v>
      </c>
      <c r="AJ801" s="272">
        <v>0</v>
      </c>
      <c r="AK801" s="272">
        <v>0</v>
      </c>
      <c r="AL801" s="272">
        <v>0</v>
      </c>
      <c r="AM801" s="272">
        <v>0</v>
      </c>
      <c r="AN801" s="272" t="e">
        <f>SUM(#REF!)</f>
        <v>#REF!</v>
      </c>
      <c r="AO801" s="224">
        <f t="shared" si="97"/>
        <v>49.28</v>
      </c>
      <c r="AP801" s="224" t="e">
        <f t="shared" si="102"/>
        <v>#REF!</v>
      </c>
      <c r="AQ801" s="207"/>
      <c r="AR801" s="207"/>
      <c r="AS801" s="207"/>
      <c r="AT801" s="224" t="str">
        <f>IFERROR(VLOOKUP($A801,'Constancias POA'!$A$2:$DH$9993,17,FALSE),"")</f>
        <v/>
      </c>
      <c r="AU801" s="207" t="str">
        <f t="shared" si="103"/>
        <v/>
      </c>
      <c r="AV801" s="224" t="str">
        <f>IFERROR(VLOOKUP($A801,CP!$A$1:$U$7992,18,FALSE),"")</f>
        <v/>
      </c>
      <c r="AW801" s="224" t="str">
        <f>IFERROR(VLOOKUP($A801,CP!$A$1:$U$7992,19,FALSE),"")</f>
        <v/>
      </c>
      <c r="AX801" s="224" t="str">
        <f>IFERROR(VLOOKUP($A801,CP!$A$1:$U$7992,20,FALSE),"")</f>
        <v/>
      </c>
      <c r="AY801" s="207" t="str">
        <f>IFERROR(VLOOKUP($A801,CP!$A$1:$U$1,21,FALSE),"")</f>
        <v/>
      </c>
      <c r="AZ801" s="224" t="str">
        <f>IFERROR(VLOOKUP(A801,Devengado!$A$1:AJ1,35,FALSE),"")</f>
        <v/>
      </c>
      <c r="BA801" s="224" t="str">
        <f t="shared" si="98"/>
        <v/>
      </c>
      <c r="BB801" s="224" t="str">
        <f>IFERROR(AZ801/#REF!,"")</f>
        <v/>
      </c>
      <c r="BC801" s="224" t="str">
        <f>IFERROR(VLOOKUP($A801,Devengado!$A$1:$AI$1,22,FALSE),"")</f>
        <v/>
      </c>
      <c r="BD801" s="224" t="str">
        <f>IFERROR(VLOOKUP($A801,Devengado!$A$1:$AI$1,23,FALSE),"")</f>
        <v/>
      </c>
      <c r="BE801" s="224" t="str">
        <f>IFERROR(VLOOKUP($A801,Devengado!$A$1:$AI$1,24,FALSE),"")</f>
        <v/>
      </c>
      <c r="BF801" s="224" t="str">
        <f>IFERROR(VLOOKUP($A801,Devengado!$A$1:$AI$1,25,FALSE),"")</f>
        <v/>
      </c>
      <c r="BG801" s="224" t="str">
        <f>IFERROR(VLOOKUP($A801,Devengado!$A$1:$AI$1,26,FALSE),"")</f>
        <v/>
      </c>
      <c r="BH801" s="224" t="str">
        <f>IFERROR(VLOOKUP($A801,Devengado!$A$1:$AI$1,27,FALSE),"")</f>
        <v/>
      </c>
      <c r="BI801" s="224" t="str">
        <f>IFERROR(VLOOKUP($A801,Devengado!$A$1:$AI$1,28,FALSE),"")</f>
        <v/>
      </c>
      <c r="BJ801" s="224" t="str">
        <f>IFERROR(VLOOKUP($A801,Devengado!$A$1:$AI$1,29,FALSE),"")</f>
        <v/>
      </c>
      <c r="BK801" s="224" t="str">
        <f>IFERROR(VLOOKUP($A801,Devengado!$A$1:$AI$1,30,FALSE),"")</f>
        <v/>
      </c>
      <c r="BL801" s="224" t="str">
        <f>IFERROR(VLOOKUP($A801,Devengado!$A$1:$AI$1,31,FALSE),"")</f>
        <v/>
      </c>
      <c r="BM801" s="224" t="str">
        <f>IFERROR(VLOOKUP($A801,Devengado!$A$1:$AI$1,32,FALSE),"")</f>
        <v/>
      </c>
      <c r="BN801" s="224" t="str">
        <f>IFERROR(VLOOKUP($A801,Devengado!$A$1:$AI$1,33,FALSE),"")</f>
        <v/>
      </c>
      <c r="BO801" s="224">
        <f t="shared" si="99"/>
        <v>0</v>
      </c>
      <c r="BP801" s="224" t="str">
        <f t="shared" si="100"/>
        <v/>
      </c>
      <c r="BQ801" s="207"/>
      <c r="BR801" s="207" t="str">
        <f t="shared" si="101"/>
        <v>53</v>
      </c>
    </row>
    <row r="802" spans="1:70" s="225" customFormat="1" ht="40.700000000000003" customHeight="1">
      <c r="A802" s="207">
        <f t="shared" si="105"/>
        <v>798</v>
      </c>
      <c r="B802" s="207" t="s">
        <v>73</v>
      </c>
      <c r="C802" s="207" t="s">
        <v>108</v>
      </c>
      <c r="D802" s="207" t="s">
        <v>109</v>
      </c>
      <c r="E802" s="207" t="s">
        <v>76</v>
      </c>
      <c r="F802" s="207" t="s">
        <v>77</v>
      </c>
      <c r="G802" s="207" t="s">
        <v>77</v>
      </c>
      <c r="H802" s="207" t="s">
        <v>77</v>
      </c>
      <c r="I802" s="207" t="s">
        <v>77</v>
      </c>
      <c r="J802" s="207" t="s">
        <v>77</v>
      </c>
      <c r="K802" s="207" t="s">
        <v>77</v>
      </c>
      <c r="L802" s="207" t="s">
        <v>85</v>
      </c>
      <c r="M802" s="112" t="s">
        <v>762</v>
      </c>
      <c r="N802" s="113">
        <v>9999</v>
      </c>
      <c r="O802" s="114" t="s">
        <v>111</v>
      </c>
      <c r="P802" s="118" t="s">
        <v>81</v>
      </c>
      <c r="Q802" s="114" t="s">
        <v>112</v>
      </c>
      <c r="R802" s="115" t="str">
        <f t="shared" si="96"/>
        <v>53</v>
      </c>
      <c r="S802" s="302">
        <v>530606</v>
      </c>
      <c r="T802" s="207" t="str">
        <f>VLOOKUP(S802,ITEM!$C$1:$D$156,2,FALSE)</f>
        <v>Honorarios por Contratos Civiles de Servicios</v>
      </c>
      <c r="U802" s="113" t="s">
        <v>83</v>
      </c>
      <c r="V802" s="114" t="s">
        <v>82</v>
      </c>
      <c r="W802" s="118" t="s">
        <v>84</v>
      </c>
      <c r="X802" s="118" t="s">
        <v>84</v>
      </c>
      <c r="Y802" s="272" t="e">
        <f>'Matriz POA 2024-TRABAJO'!#REF!</f>
        <v>#REF!</v>
      </c>
      <c r="Z802" s="272" t="e">
        <f>'Matriz POA 2024-TRABAJO'!#REF!</f>
        <v>#REF!</v>
      </c>
      <c r="AA802" s="272" t="e">
        <f>'Matriz POA 2024-TRABAJO'!#REF!</f>
        <v>#REF!</v>
      </c>
      <c r="AB802" s="272"/>
      <c r="AC802" s="272"/>
      <c r="AD802" s="272"/>
      <c r="AE802" s="272">
        <v>901</v>
      </c>
      <c r="AF802" s="272">
        <v>901</v>
      </c>
      <c r="AG802" s="272">
        <v>901</v>
      </c>
      <c r="AH802" s="272">
        <v>901</v>
      </c>
      <c r="AI802" s="272">
        <v>901</v>
      </c>
      <c r="AJ802" s="272">
        <v>901</v>
      </c>
      <c r="AK802" s="272">
        <v>901</v>
      </c>
      <c r="AL802" s="272">
        <v>901</v>
      </c>
      <c r="AM802" s="272">
        <v>901</v>
      </c>
      <c r="AN802" s="272" t="e">
        <f>SUM(#REF!)</f>
        <v>#REF!</v>
      </c>
      <c r="AO802" s="224">
        <f t="shared" si="97"/>
        <v>8109</v>
      </c>
      <c r="AP802" s="224" t="e">
        <f t="shared" si="102"/>
        <v>#REF!</v>
      </c>
      <c r="AQ802" s="207"/>
      <c r="AR802" s="207"/>
      <c r="AS802" s="207"/>
      <c r="AT802" s="224" t="str">
        <f>IFERROR(VLOOKUP($A802,'Constancias POA'!$A$2:$DH$9993,17,FALSE),"")</f>
        <v/>
      </c>
      <c r="AU802" s="207" t="str">
        <f t="shared" si="103"/>
        <v/>
      </c>
      <c r="AV802" s="224" t="str">
        <f>IFERROR(VLOOKUP($A802,CP!$A$1:$U$7992,18,FALSE),"")</f>
        <v/>
      </c>
      <c r="AW802" s="224" t="str">
        <f>IFERROR(VLOOKUP($A802,CP!$A$1:$U$7992,19,FALSE),"")</f>
        <v/>
      </c>
      <c r="AX802" s="224" t="str">
        <f>IFERROR(VLOOKUP($A802,CP!$A$1:$U$7992,20,FALSE),"")</f>
        <v/>
      </c>
      <c r="AY802" s="207" t="str">
        <f>IFERROR(VLOOKUP($A802,CP!$A$1:$U$1,21,FALSE),"")</f>
        <v/>
      </c>
      <c r="AZ802" s="224" t="str">
        <f>IFERROR(VLOOKUP(A802,Devengado!$A$1:AJ1,35,FALSE),"")</f>
        <v/>
      </c>
      <c r="BA802" s="224" t="str">
        <f t="shared" si="98"/>
        <v/>
      </c>
      <c r="BB802" s="224" t="str">
        <f>IFERROR(AZ802/#REF!,"")</f>
        <v/>
      </c>
      <c r="BC802" s="224" t="str">
        <f>IFERROR(VLOOKUP($A802,Devengado!$A$1:$AI$1,22,FALSE),"")</f>
        <v/>
      </c>
      <c r="BD802" s="224" t="str">
        <f>IFERROR(VLOOKUP($A802,Devengado!$A$1:$AI$1,23,FALSE),"")</f>
        <v/>
      </c>
      <c r="BE802" s="224" t="str">
        <f>IFERROR(VLOOKUP($A802,Devengado!$A$1:$AI$1,24,FALSE),"")</f>
        <v/>
      </c>
      <c r="BF802" s="224" t="str">
        <f>IFERROR(VLOOKUP($A802,Devengado!$A$1:$AI$1,25,FALSE),"")</f>
        <v/>
      </c>
      <c r="BG802" s="224" t="str">
        <f>IFERROR(VLOOKUP($A802,Devengado!$A$1:$AI$1,26,FALSE),"")</f>
        <v/>
      </c>
      <c r="BH802" s="224" t="str">
        <f>IFERROR(VLOOKUP($A802,Devengado!$A$1:$AI$1,27,FALSE),"")</f>
        <v/>
      </c>
      <c r="BI802" s="224" t="str">
        <f>IFERROR(VLOOKUP($A802,Devengado!$A$1:$AI$1,28,FALSE),"")</f>
        <v/>
      </c>
      <c r="BJ802" s="224" t="str">
        <f>IFERROR(VLOOKUP($A802,Devengado!$A$1:$AI$1,29,FALSE),"")</f>
        <v/>
      </c>
      <c r="BK802" s="224" t="str">
        <f>IFERROR(VLOOKUP($A802,Devengado!$A$1:$AI$1,30,FALSE),"")</f>
        <v/>
      </c>
      <c r="BL802" s="224" t="str">
        <f>IFERROR(VLOOKUP($A802,Devengado!$A$1:$AI$1,31,FALSE),"")</f>
        <v/>
      </c>
      <c r="BM802" s="224" t="str">
        <f>IFERROR(VLOOKUP($A802,Devengado!$A$1:$AI$1,32,FALSE),"")</f>
        <v/>
      </c>
      <c r="BN802" s="224" t="str">
        <f>IFERROR(VLOOKUP($A802,Devengado!$A$1:$AI$1,33,FALSE),"")</f>
        <v/>
      </c>
      <c r="BO802" s="224">
        <f t="shared" si="99"/>
        <v>0</v>
      </c>
      <c r="BP802" s="224" t="str">
        <f t="shared" si="100"/>
        <v/>
      </c>
      <c r="BQ802" s="207"/>
      <c r="BR802" s="207" t="str">
        <f t="shared" si="101"/>
        <v>53</v>
      </c>
    </row>
    <row r="803" spans="1:70" s="225" customFormat="1" ht="40.700000000000003" customHeight="1">
      <c r="A803" s="207">
        <f t="shared" ref="A803:A839" si="106">+A802+1</f>
        <v>799</v>
      </c>
      <c r="B803" s="207" t="s">
        <v>73</v>
      </c>
      <c r="C803" s="207" t="s">
        <v>108</v>
      </c>
      <c r="D803" s="207" t="s">
        <v>109</v>
      </c>
      <c r="E803" s="207" t="s">
        <v>76</v>
      </c>
      <c r="F803" s="207" t="s">
        <v>77</v>
      </c>
      <c r="G803" s="207" t="s">
        <v>77</v>
      </c>
      <c r="H803" s="207" t="s">
        <v>77</v>
      </c>
      <c r="I803" s="207" t="s">
        <v>77</v>
      </c>
      <c r="J803" s="207" t="s">
        <v>77</v>
      </c>
      <c r="K803" s="207" t="s">
        <v>77</v>
      </c>
      <c r="L803" s="207" t="s">
        <v>85</v>
      </c>
      <c r="M803" s="112" t="s">
        <v>763</v>
      </c>
      <c r="N803" s="113">
        <v>9999</v>
      </c>
      <c r="O803" s="114" t="s">
        <v>111</v>
      </c>
      <c r="P803" s="118" t="s">
        <v>81</v>
      </c>
      <c r="Q803" s="114" t="s">
        <v>112</v>
      </c>
      <c r="R803" s="115" t="str">
        <f t="shared" si="96"/>
        <v>53</v>
      </c>
      <c r="S803" s="302">
        <v>530205</v>
      </c>
      <c r="T803" s="207" t="str">
        <f>VLOOKUP(S803,ITEM!$C$1:$D$156,2,FALSE)</f>
        <v>Espectáculos Culturales y Sociales</v>
      </c>
      <c r="U803" s="113" t="s">
        <v>83</v>
      </c>
      <c r="V803" s="114" t="s">
        <v>82</v>
      </c>
      <c r="W803" s="118" t="s">
        <v>84</v>
      </c>
      <c r="X803" s="118" t="s">
        <v>84</v>
      </c>
      <c r="Y803" s="272" t="e">
        <f>'Matriz POA 2024-TRABAJO'!#REF!</f>
        <v>#REF!</v>
      </c>
      <c r="Z803" s="272" t="e">
        <f>'Matriz POA 2024-TRABAJO'!#REF!</f>
        <v>#REF!</v>
      </c>
      <c r="AA803" s="272" t="e">
        <f>'Matriz POA 2024-TRABAJO'!#REF!</f>
        <v>#REF!</v>
      </c>
      <c r="AB803" s="272"/>
      <c r="AC803" s="272"/>
      <c r="AD803" s="272">
        <v>10731</v>
      </c>
      <c r="AE803" s="272"/>
      <c r="AF803" s="272"/>
      <c r="AG803" s="272"/>
      <c r="AH803" s="272"/>
      <c r="AI803" s="272"/>
      <c r="AJ803" s="272"/>
      <c r="AK803" s="272"/>
      <c r="AL803" s="272"/>
      <c r="AM803" s="272"/>
      <c r="AN803" s="272" t="e">
        <f>SUM(#REF!)</f>
        <v>#REF!</v>
      </c>
      <c r="AO803" s="224">
        <f t="shared" si="97"/>
        <v>10731</v>
      </c>
      <c r="AP803" s="224" t="e">
        <f t="shared" si="102"/>
        <v>#REF!</v>
      </c>
      <c r="AQ803" s="207"/>
      <c r="AR803" s="207"/>
      <c r="AS803" s="207"/>
      <c r="AT803" s="224" t="str">
        <f>IFERROR(VLOOKUP($A803,'Constancias POA'!$A$2:$DH$9993,17,FALSE),"")</f>
        <v/>
      </c>
      <c r="AU803" s="207" t="str">
        <f t="shared" si="103"/>
        <v/>
      </c>
      <c r="AV803" s="224" t="str">
        <f>IFERROR(VLOOKUP($A803,CP!$A$1:$U$7992,18,FALSE),"")</f>
        <v/>
      </c>
      <c r="AW803" s="224" t="str">
        <f>IFERROR(VLOOKUP($A803,CP!$A$1:$U$7992,19,FALSE),"")</f>
        <v/>
      </c>
      <c r="AX803" s="224" t="str">
        <f>IFERROR(VLOOKUP($A803,CP!$A$1:$U$7992,20,FALSE),"")</f>
        <v/>
      </c>
      <c r="AY803" s="207" t="str">
        <f>IFERROR(VLOOKUP($A803,CP!$A$1:$U$1,21,FALSE),"")</f>
        <v/>
      </c>
      <c r="AZ803" s="224" t="str">
        <f>IFERROR(VLOOKUP(A803,Devengado!$A$1:AJ1,35,FALSE),"")</f>
        <v/>
      </c>
      <c r="BA803" s="224" t="str">
        <f t="shared" si="98"/>
        <v/>
      </c>
      <c r="BB803" s="224" t="str">
        <f>IFERROR(AZ803/#REF!,"")</f>
        <v/>
      </c>
      <c r="BC803" s="224" t="str">
        <f>IFERROR(VLOOKUP($A803,Devengado!$A$1:$AI$1,22,FALSE),"")</f>
        <v/>
      </c>
      <c r="BD803" s="224" t="str">
        <f>IFERROR(VLOOKUP($A803,Devengado!$A$1:$AI$1,23,FALSE),"")</f>
        <v/>
      </c>
      <c r="BE803" s="224" t="str">
        <f>IFERROR(VLOOKUP($A803,Devengado!$A$1:$AI$1,24,FALSE),"")</f>
        <v/>
      </c>
      <c r="BF803" s="224" t="str">
        <f>IFERROR(VLOOKUP($A803,Devengado!$A$1:$AI$1,25,FALSE),"")</f>
        <v/>
      </c>
      <c r="BG803" s="224" t="str">
        <f>IFERROR(VLOOKUP($A803,Devengado!$A$1:$AI$1,26,FALSE),"")</f>
        <v/>
      </c>
      <c r="BH803" s="224" t="str">
        <f>IFERROR(VLOOKUP($A803,Devengado!$A$1:$AI$1,27,FALSE),"")</f>
        <v/>
      </c>
      <c r="BI803" s="224" t="str">
        <f>IFERROR(VLOOKUP($A803,Devengado!$A$1:$AI$1,28,FALSE),"")</f>
        <v/>
      </c>
      <c r="BJ803" s="224" t="str">
        <f>IFERROR(VLOOKUP($A803,Devengado!$A$1:$AI$1,29,FALSE),"")</f>
        <v/>
      </c>
      <c r="BK803" s="224" t="str">
        <f>IFERROR(VLOOKUP($A803,Devengado!$A$1:$AI$1,30,FALSE),"")</f>
        <v/>
      </c>
      <c r="BL803" s="224" t="str">
        <f>IFERROR(VLOOKUP($A803,Devengado!$A$1:$AI$1,31,FALSE),"")</f>
        <v/>
      </c>
      <c r="BM803" s="224" t="str">
        <f>IFERROR(VLOOKUP($A803,Devengado!$A$1:$AI$1,32,FALSE),"")</f>
        <v/>
      </c>
      <c r="BN803" s="224" t="str">
        <f>IFERROR(VLOOKUP($A803,Devengado!$A$1:$AI$1,33,FALSE),"")</f>
        <v/>
      </c>
      <c r="BO803" s="207">
        <f t="shared" si="99"/>
        <v>0</v>
      </c>
      <c r="BP803" s="298" t="str">
        <f t="shared" si="100"/>
        <v/>
      </c>
      <c r="BQ803" s="207"/>
      <c r="BR803" s="207" t="str">
        <f t="shared" si="101"/>
        <v>53</v>
      </c>
    </row>
    <row r="804" spans="1:70" s="225" customFormat="1" ht="25.5" customHeight="1">
      <c r="A804" s="207">
        <f t="shared" si="106"/>
        <v>800</v>
      </c>
      <c r="B804" s="112" t="s">
        <v>73</v>
      </c>
      <c r="C804" s="112" t="s">
        <v>129</v>
      </c>
      <c r="D804" s="117" t="s">
        <v>130</v>
      </c>
      <c r="E804" s="117" t="s">
        <v>76</v>
      </c>
      <c r="F804" s="112" t="s">
        <v>77</v>
      </c>
      <c r="G804" s="112" t="s">
        <v>77</v>
      </c>
      <c r="H804" s="112" t="s">
        <v>77</v>
      </c>
      <c r="I804" s="112" t="s">
        <v>77</v>
      </c>
      <c r="J804" s="112" t="s">
        <v>77</v>
      </c>
      <c r="K804" s="112" t="s">
        <v>77</v>
      </c>
      <c r="L804" s="302" t="s">
        <v>87</v>
      </c>
      <c r="M804" s="306" t="s">
        <v>764</v>
      </c>
      <c r="N804" s="113">
        <v>9999</v>
      </c>
      <c r="O804" s="118" t="s">
        <v>132</v>
      </c>
      <c r="P804" s="118" t="s">
        <v>81</v>
      </c>
      <c r="Q804" s="118" t="s">
        <v>112</v>
      </c>
      <c r="R804" s="115" t="str">
        <f t="shared" si="96"/>
        <v>53</v>
      </c>
      <c r="S804" s="112">
        <v>530205</v>
      </c>
      <c r="T804" s="207" t="str">
        <f>VLOOKUP(S804,ITEM!$C$1:$D$156,2,FALSE)</f>
        <v>Espectáculos Culturales y Sociales</v>
      </c>
      <c r="U804" s="115" t="s">
        <v>83</v>
      </c>
      <c r="V804" s="115" t="s">
        <v>82</v>
      </c>
      <c r="W804" s="115" t="s">
        <v>84</v>
      </c>
      <c r="X804" s="115" t="s">
        <v>84</v>
      </c>
      <c r="Y804" s="298" t="e">
        <f>'Matriz POA 2024-TRABAJO'!#REF!</f>
        <v>#REF!</v>
      </c>
      <c r="Z804" s="298" t="e">
        <f>'Matriz POA 2024-TRABAJO'!#REF!</f>
        <v>#REF!</v>
      </c>
      <c r="AA804" s="298" t="e">
        <f>'Matriz POA 2024-TRABAJO'!#REF!</f>
        <v>#REF!</v>
      </c>
      <c r="AB804" s="207"/>
      <c r="AC804" s="207"/>
      <c r="AD804" s="207">
        <v>189300</v>
      </c>
      <c r="AE804" s="207"/>
      <c r="AF804" s="207"/>
      <c r="AG804" s="207"/>
      <c r="AH804" s="207"/>
      <c r="AI804" s="207"/>
      <c r="AJ804" s="207"/>
      <c r="AK804" s="207"/>
      <c r="AL804" s="207"/>
      <c r="AM804" s="207"/>
      <c r="AN804" s="207"/>
      <c r="AO804" s="224">
        <f t="shared" si="97"/>
        <v>189300</v>
      </c>
      <c r="AP804" s="224" t="e">
        <f t="shared" si="102"/>
        <v>#REF!</v>
      </c>
      <c r="AQ804" s="207"/>
      <c r="AR804" s="207"/>
      <c r="AS804" s="207"/>
      <c r="AT804" s="224" t="str">
        <f>IFERROR(VLOOKUP($A804,'Constancias POA'!$A$2:$DH$9993,17,FALSE),"")</f>
        <v/>
      </c>
      <c r="AU804" s="207" t="str">
        <f t="shared" si="103"/>
        <v/>
      </c>
      <c r="AV804" s="224" t="str">
        <f>IFERROR(VLOOKUP($A804,CP!$A$1:$U$7992,18,FALSE),"")</f>
        <v/>
      </c>
      <c r="AW804" s="224" t="str">
        <f>IFERROR(VLOOKUP($A804,CP!$A$1:$U$7992,19,FALSE),"")</f>
        <v/>
      </c>
      <c r="AX804" s="224" t="str">
        <f>IFERROR(VLOOKUP($A804,CP!$A$1:$U$7992,20,FALSE),"")</f>
        <v/>
      </c>
      <c r="AY804" s="207" t="str">
        <f>IFERROR(VLOOKUP($A804,CP!$A$1:$U$1,21,FALSE),"")</f>
        <v/>
      </c>
      <c r="AZ804" s="224" t="str">
        <f>IFERROR(VLOOKUP(A804,Devengado!$A$1:AJ1,35,FALSE),"")</f>
        <v/>
      </c>
      <c r="BA804" s="224" t="str">
        <f t="shared" si="98"/>
        <v/>
      </c>
      <c r="BB804" s="224" t="str">
        <f>IFERROR(AZ804/#REF!,"")</f>
        <v/>
      </c>
      <c r="BC804" s="224" t="str">
        <f>IFERROR(VLOOKUP($A804,Devengado!$A$1:$AI$1,22,FALSE),"")</f>
        <v/>
      </c>
      <c r="BD804" s="224" t="str">
        <f>IFERROR(VLOOKUP($A804,Devengado!$A$1:$AI$1,23,FALSE),"")</f>
        <v/>
      </c>
      <c r="BE804" s="224" t="str">
        <f>IFERROR(VLOOKUP($A804,Devengado!$A$1:$AI$1,24,FALSE),"")</f>
        <v/>
      </c>
      <c r="BF804" s="224" t="str">
        <f>IFERROR(VLOOKUP($A804,Devengado!$A$1:$AI$1,25,FALSE),"")</f>
        <v/>
      </c>
      <c r="BG804" s="224" t="str">
        <f>IFERROR(VLOOKUP($A804,Devengado!$A$1:$AI$1,26,FALSE),"")</f>
        <v/>
      </c>
      <c r="BH804" s="224" t="str">
        <f>IFERROR(VLOOKUP($A804,Devengado!$A$1:$AI$1,27,FALSE),"")</f>
        <v/>
      </c>
      <c r="BI804" s="224" t="str">
        <f>IFERROR(VLOOKUP($A804,Devengado!$A$1:$AI$1,28,FALSE),"")</f>
        <v/>
      </c>
      <c r="BJ804" s="224" t="str">
        <f>IFERROR(VLOOKUP($A804,Devengado!$A$1:$AI$1,29,FALSE),"")</f>
        <v/>
      </c>
      <c r="BK804" s="224" t="str">
        <f>IFERROR(VLOOKUP($A804,Devengado!$A$1:$AI$1,30,FALSE),"")</f>
        <v/>
      </c>
      <c r="BL804" s="224" t="str">
        <f>IFERROR(VLOOKUP($A804,Devengado!$A$1:$AI$1,31,FALSE),"")</f>
        <v/>
      </c>
      <c r="BM804" s="224" t="str">
        <f>IFERROR(VLOOKUP($A804,Devengado!$A$1:$AI$1,32,FALSE),"")</f>
        <v/>
      </c>
      <c r="BN804" s="224" t="str">
        <f>IFERROR(VLOOKUP($A804,Devengado!$A$1:$AI$1,33,FALSE),"")</f>
        <v/>
      </c>
      <c r="BO804" s="207">
        <f t="shared" si="99"/>
        <v>0</v>
      </c>
      <c r="BP804" s="298" t="str">
        <f t="shared" si="100"/>
        <v/>
      </c>
      <c r="BQ804" s="207"/>
      <c r="BR804" s="207" t="str">
        <f t="shared" si="101"/>
        <v>53</v>
      </c>
    </row>
    <row r="805" spans="1:70" s="225" customFormat="1" ht="25.5" customHeight="1">
      <c r="A805" s="207">
        <f t="shared" si="106"/>
        <v>801</v>
      </c>
      <c r="B805" s="112" t="s">
        <v>73</v>
      </c>
      <c r="C805" s="112" t="s">
        <v>129</v>
      </c>
      <c r="D805" s="117" t="s">
        <v>130</v>
      </c>
      <c r="E805" s="117" t="s">
        <v>76</v>
      </c>
      <c r="F805" s="112" t="s">
        <v>77</v>
      </c>
      <c r="G805" s="112" t="s">
        <v>77</v>
      </c>
      <c r="H805" s="112" t="s">
        <v>77</v>
      </c>
      <c r="I805" s="112" t="s">
        <v>77</v>
      </c>
      <c r="J805" s="112" t="s">
        <v>77</v>
      </c>
      <c r="K805" s="112" t="s">
        <v>77</v>
      </c>
      <c r="L805" s="302" t="s">
        <v>85</v>
      </c>
      <c r="M805" s="306" t="s">
        <v>765</v>
      </c>
      <c r="N805" s="113">
        <v>9999</v>
      </c>
      <c r="O805" s="118" t="s">
        <v>132</v>
      </c>
      <c r="P805" s="118" t="s">
        <v>81</v>
      </c>
      <c r="Q805" s="118" t="s">
        <v>112</v>
      </c>
      <c r="R805" s="115" t="str">
        <f t="shared" si="96"/>
        <v>53</v>
      </c>
      <c r="S805" s="112">
        <v>530205</v>
      </c>
      <c r="T805" s="207" t="str">
        <f>VLOOKUP(S805,ITEM!$C$1:$D$156,2,FALSE)</f>
        <v>Espectáculos Culturales y Sociales</v>
      </c>
      <c r="U805" s="115" t="s">
        <v>83</v>
      </c>
      <c r="V805" s="115" t="s">
        <v>82</v>
      </c>
      <c r="W805" s="115" t="s">
        <v>84</v>
      </c>
      <c r="X805" s="115" t="s">
        <v>84</v>
      </c>
      <c r="Y805" s="298" t="e">
        <f>'Matriz POA 2024-TRABAJO'!#REF!</f>
        <v>#REF!</v>
      </c>
      <c r="Z805" s="298" t="e">
        <f>'Matriz POA 2024-TRABAJO'!#REF!</f>
        <v>#REF!</v>
      </c>
      <c r="AA805" s="298" t="e">
        <f>'Matriz POA 2024-TRABAJO'!#REF!</f>
        <v>#REF!</v>
      </c>
      <c r="AB805" s="207"/>
      <c r="AC805" s="207"/>
      <c r="AD805" s="207"/>
      <c r="AE805" s="207"/>
      <c r="AF805" s="207"/>
      <c r="AG805" s="207"/>
      <c r="AH805" s="207"/>
      <c r="AI805" s="207">
        <v>160700</v>
      </c>
      <c r="AJ805" s="207"/>
      <c r="AK805" s="207"/>
      <c r="AL805" s="207"/>
      <c r="AM805" s="207"/>
      <c r="AN805" s="207"/>
      <c r="AO805" s="224">
        <f t="shared" si="97"/>
        <v>160700</v>
      </c>
      <c r="AP805" s="224" t="e">
        <f t="shared" si="102"/>
        <v>#REF!</v>
      </c>
      <c r="AQ805" s="207"/>
      <c r="AR805" s="207"/>
      <c r="AS805" s="207"/>
      <c r="AT805" s="224" t="str">
        <f>IFERROR(VLOOKUP($A805,'Constancias POA'!$A$2:$DH$9993,17,FALSE),"")</f>
        <v/>
      </c>
      <c r="AU805" s="207" t="str">
        <f t="shared" si="103"/>
        <v/>
      </c>
      <c r="AV805" s="224" t="str">
        <f>IFERROR(VLOOKUP($A805,CP!$A$1:$U$7992,18,FALSE),"")</f>
        <v/>
      </c>
      <c r="AW805" s="224" t="str">
        <f>IFERROR(VLOOKUP($A805,CP!$A$1:$U$7992,19,FALSE),"")</f>
        <v/>
      </c>
      <c r="AX805" s="224" t="str">
        <f>IFERROR(VLOOKUP($A805,CP!$A$1:$U$7992,20,FALSE),"")</f>
        <v/>
      </c>
      <c r="AY805" s="207" t="str">
        <f>IFERROR(VLOOKUP($A805,CP!$A$1:$U$1,21,FALSE),"")</f>
        <v/>
      </c>
      <c r="AZ805" s="224" t="str">
        <f>IFERROR(VLOOKUP(A805,Devengado!$A$1:AJ1,35,FALSE),"")</f>
        <v/>
      </c>
      <c r="BA805" s="224" t="str">
        <f t="shared" si="98"/>
        <v/>
      </c>
      <c r="BB805" s="224" t="str">
        <f>IFERROR(AZ805/#REF!,"")</f>
        <v/>
      </c>
      <c r="BC805" s="224" t="str">
        <f>IFERROR(VLOOKUP($A805,Devengado!$A$1:$AI$1,22,FALSE),"")</f>
        <v/>
      </c>
      <c r="BD805" s="224" t="str">
        <f>IFERROR(VLOOKUP($A805,Devengado!$A$1:$AI$1,23,FALSE),"")</f>
        <v/>
      </c>
      <c r="BE805" s="224" t="str">
        <f>IFERROR(VLOOKUP($A805,Devengado!$A$1:$AI$1,24,FALSE),"")</f>
        <v/>
      </c>
      <c r="BF805" s="224" t="str">
        <f>IFERROR(VLOOKUP($A805,Devengado!$A$1:$AI$1,25,FALSE),"")</f>
        <v/>
      </c>
      <c r="BG805" s="224" t="str">
        <f>IFERROR(VLOOKUP($A805,Devengado!$A$1:$AI$1,26,FALSE),"")</f>
        <v/>
      </c>
      <c r="BH805" s="224" t="str">
        <f>IFERROR(VLOOKUP($A805,Devengado!$A$1:$AI$1,27,FALSE),"")</f>
        <v/>
      </c>
      <c r="BI805" s="224" t="str">
        <f>IFERROR(VLOOKUP($A805,Devengado!$A$1:$AI$1,28,FALSE),"")</f>
        <v/>
      </c>
      <c r="BJ805" s="224" t="str">
        <f>IFERROR(VLOOKUP($A805,Devengado!$A$1:$AI$1,29,FALSE),"")</f>
        <v/>
      </c>
      <c r="BK805" s="224" t="str">
        <f>IFERROR(VLOOKUP($A805,Devengado!$A$1:$AI$1,30,FALSE),"")</f>
        <v/>
      </c>
      <c r="BL805" s="224" t="str">
        <f>IFERROR(VLOOKUP($A805,Devengado!$A$1:$AI$1,31,FALSE),"")</f>
        <v/>
      </c>
      <c r="BM805" s="224" t="str">
        <f>IFERROR(VLOOKUP($A805,Devengado!$A$1:$AI$1,32,FALSE),"")</f>
        <v/>
      </c>
      <c r="BN805" s="224" t="str">
        <f>IFERROR(VLOOKUP($A805,Devengado!$A$1:$AI$1,33,FALSE),"")</f>
        <v/>
      </c>
      <c r="BO805" s="207">
        <f t="shared" si="99"/>
        <v>0</v>
      </c>
      <c r="BP805" s="298" t="str">
        <f t="shared" si="100"/>
        <v/>
      </c>
      <c r="BQ805" s="207"/>
      <c r="BR805" s="207" t="str">
        <f t="shared" si="101"/>
        <v>53</v>
      </c>
    </row>
    <row r="806" spans="1:70" s="225" customFormat="1" ht="25.5" customHeight="1">
      <c r="A806" s="207">
        <f t="shared" si="106"/>
        <v>802</v>
      </c>
      <c r="B806" s="112" t="s">
        <v>621</v>
      </c>
      <c r="C806" s="112" t="s">
        <v>77</v>
      </c>
      <c r="D806" s="112" t="s">
        <v>77</v>
      </c>
      <c r="E806" s="112" t="s">
        <v>76</v>
      </c>
      <c r="F806" s="112" t="s">
        <v>77</v>
      </c>
      <c r="G806" s="112" t="s">
        <v>77</v>
      </c>
      <c r="H806" s="112" t="s">
        <v>77</v>
      </c>
      <c r="I806" s="112" t="s">
        <v>77</v>
      </c>
      <c r="J806" s="112" t="s">
        <v>77</v>
      </c>
      <c r="K806" s="112" t="s">
        <v>77</v>
      </c>
      <c r="L806" s="112" t="s">
        <v>85</v>
      </c>
      <c r="M806" s="213" t="s">
        <v>766</v>
      </c>
      <c r="N806" s="114" t="s">
        <v>623</v>
      </c>
      <c r="O806" s="123">
        <v>80</v>
      </c>
      <c r="P806" s="114" t="s">
        <v>81</v>
      </c>
      <c r="Q806" s="114" t="s">
        <v>112</v>
      </c>
      <c r="R806" s="115" t="str">
        <f t="shared" si="96"/>
        <v>53</v>
      </c>
      <c r="S806" s="270">
        <v>530204</v>
      </c>
      <c r="T806" s="122" t="str">
        <f>VLOOKUP(S806,ITEM!$C$1:$D$156,2,FALSE)</f>
        <v>Edición, Impresión, Reproducción, Publicaciones, Suscripciones, Fotocopiado, Traducción, Empastado, Enmarcación,
Serigrafía, Fotografía, Carnetización, Filmación e Imágenes Satelitales.</v>
      </c>
      <c r="U806" s="112">
        <v>101</v>
      </c>
      <c r="V806" s="114" t="s">
        <v>82</v>
      </c>
      <c r="W806" s="114" t="s">
        <v>84</v>
      </c>
      <c r="X806" s="114" t="s">
        <v>84</v>
      </c>
      <c r="Y806" s="296" t="e">
        <f>'Matriz POA 2024-TRABAJO'!#REF!</f>
        <v>#REF!</v>
      </c>
      <c r="Z806" s="296" t="e">
        <f>'Matriz POA 2024-TRABAJO'!#REF!</f>
        <v>#REF!</v>
      </c>
      <c r="AA806" s="296" t="e">
        <f>'Matriz POA 2024-TRABAJO'!#REF!</f>
        <v>#REF!</v>
      </c>
      <c r="AB806" s="207"/>
      <c r="AC806" s="207"/>
      <c r="AD806" s="207"/>
      <c r="AE806" s="207"/>
      <c r="AF806" s="207"/>
      <c r="AG806" s="309">
        <v>2659.4</v>
      </c>
      <c r="AH806" s="207"/>
      <c r="AI806" s="207"/>
      <c r="AJ806" s="207"/>
      <c r="AK806" s="207"/>
      <c r="AL806" s="310">
        <v>2340.6</v>
      </c>
      <c r="AM806" s="207"/>
      <c r="AN806" s="296" t="e">
        <f>SUM(#REF!)</f>
        <v>#REF!</v>
      </c>
      <c r="AO806" s="224">
        <f t="shared" si="97"/>
        <v>5000</v>
      </c>
      <c r="AP806" s="224" t="e">
        <f t="shared" si="102"/>
        <v>#REF!</v>
      </c>
      <c r="AQ806" s="296"/>
      <c r="AR806" s="296"/>
      <c r="AS806" s="296"/>
      <c r="AT806" s="224" t="str">
        <f>IFERROR(VLOOKUP($A806,'Constancias POA'!$A$2:$DH$9993,17,FALSE),"")</f>
        <v/>
      </c>
      <c r="AU806" s="296" t="str">
        <f t="shared" si="103"/>
        <v/>
      </c>
      <c r="AV806" s="224" t="str">
        <f>IFERROR(VLOOKUP($A806,CP!$A$1:$U$7992,18,FALSE),"")</f>
        <v/>
      </c>
      <c r="AW806" s="224" t="str">
        <f>IFERROR(VLOOKUP($A806,CP!$A$1:$U$7992,19,FALSE),"")</f>
        <v/>
      </c>
      <c r="AX806" s="224" t="str">
        <f>IFERROR(VLOOKUP($A806,CP!$A$1:$U$7992,20,FALSE),"")</f>
        <v/>
      </c>
      <c r="AY806" s="296" t="str">
        <f>IFERROR(VLOOKUP($A806,CP!$A$1:$U$1,21,FALSE),"")</f>
        <v/>
      </c>
      <c r="AZ806" s="224" t="str">
        <f>IFERROR(VLOOKUP(A806,Devengado!$A$1:AJ1,35,FALSE),"")</f>
        <v/>
      </c>
      <c r="BA806" s="224" t="str">
        <f t="shared" si="98"/>
        <v/>
      </c>
      <c r="BB806" s="224" t="str">
        <f>IFERROR(AZ806/#REF!,"")</f>
        <v/>
      </c>
      <c r="BC806" s="224" t="str">
        <f>IFERROR(VLOOKUP($A806,Devengado!$A$1:$AI$1,22,FALSE),"")</f>
        <v/>
      </c>
      <c r="BD806" s="224" t="str">
        <f>IFERROR(VLOOKUP($A806,Devengado!$A$1:$AI$1,23,FALSE),"")</f>
        <v/>
      </c>
      <c r="BE806" s="224" t="str">
        <f>IFERROR(VLOOKUP($A806,Devengado!$A$1:$AI$1,24,FALSE),"")</f>
        <v/>
      </c>
      <c r="BF806" s="224" t="str">
        <f>IFERROR(VLOOKUP($A806,Devengado!$A$1:$AI$1,25,FALSE),"")</f>
        <v/>
      </c>
      <c r="BG806" s="224" t="str">
        <f>IFERROR(VLOOKUP($A806,Devengado!$A$1:$AI$1,26,FALSE),"")</f>
        <v/>
      </c>
      <c r="BH806" s="224" t="str">
        <f>IFERROR(VLOOKUP($A806,Devengado!$A$1:$AI$1,27,FALSE),"")</f>
        <v/>
      </c>
      <c r="BI806" s="224" t="str">
        <f>IFERROR(VLOOKUP($A806,Devengado!$A$1:$AI$1,28,FALSE),"")</f>
        <v/>
      </c>
      <c r="BJ806" s="224" t="str">
        <f>IFERROR(VLOOKUP($A806,Devengado!$A$1:$AI$1,29,FALSE),"")</f>
        <v/>
      </c>
      <c r="BK806" s="224" t="str">
        <f>IFERROR(VLOOKUP($A806,Devengado!$A$1:$AI$1,30,FALSE),"")</f>
        <v/>
      </c>
      <c r="BL806" s="224" t="str">
        <f>IFERROR(VLOOKUP($A806,Devengado!$A$1:$AI$1,31,FALSE),"")</f>
        <v/>
      </c>
      <c r="BM806" s="224" t="str">
        <f>IFERROR(VLOOKUP($A806,Devengado!$A$1:$AI$1,32,FALSE),"")</f>
        <v/>
      </c>
      <c r="BN806" s="224" t="str">
        <f>IFERROR(VLOOKUP($A806,Devengado!$A$1:$AI$1,33,FALSE),"")</f>
        <v/>
      </c>
      <c r="BO806" s="224">
        <f t="shared" si="99"/>
        <v>0</v>
      </c>
      <c r="BP806" s="224" t="str">
        <f t="shared" si="100"/>
        <v/>
      </c>
      <c r="BQ806" s="296"/>
      <c r="BR806" s="297" t="str">
        <f t="shared" si="101"/>
        <v>53</v>
      </c>
    </row>
    <row r="807" spans="1:70" s="225" customFormat="1" ht="25.5" customHeight="1">
      <c r="A807" s="207">
        <f t="shared" si="106"/>
        <v>803</v>
      </c>
      <c r="B807" s="112" t="s">
        <v>73</v>
      </c>
      <c r="C807" s="112" t="s">
        <v>129</v>
      </c>
      <c r="D807" s="117" t="s">
        <v>767</v>
      </c>
      <c r="E807" s="117" t="s">
        <v>76</v>
      </c>
      <c r="F807" s="112" t="s">
        <v>77</v>
      </c>
      <c r="G807" s="112" t="s">
        <v>77</v>
      </c>
      <c r="H807" s="112" t="s">
        <v>77</v>
      </c>
      <c r="I807" s="112" t="s">
        <v>77</v>
      </c>
      <c r="J807" s="112" t="s">
        <v>77</v>
      </c>
      <c r="K807" s="112" t="s">
        <v>77</v>
      </c>
      <c r="L807" s="221" t="s">
        <v>85</v>
      </c>
      <c r="M807" s="207" t="s">
        <v>768</v>
      </c>
      <c r="N807" s="113">
        <v>9999</v>
      </c>
      <c r="O807" s="118" t="s">
        <v>132</v>
      </c>
      <c r="P807" s="118" t="s">
        <v>81</v>
      </c>
      <c r="Q807" s="118" t="s">
        <v>112</v>
      </c>
      <c r="R807" s="115" t="str">
        <f t="shared" si="96"/>
        <v>58</v>
      </c>
      <c r="S807" s="311">
        <v>580204</v>
      </c>
      <c r="T807" s="207" t="e">
        <f>VLOOKUP(S807,ITEM!$C$1:$D$156,2,FALSE)</f>
        <v>#N/A</v>
      </c>
      <c r="U807" s="115" t="s">
        <v>83</v>
      </c>
      <c r="V807" s="115" t="s">
        <v>82</v>
      </c>
      <c r="W807" s="115" t="s">
        <v>84</v>
      </c>
      <c r="X807" s="115" t="s">
        <v>84</v>
      </c>
      <c r="Y807" s="296" t="e">
        <f>'Matriz POA 2024-TRABAJO'!#REF!</f>
        <v>#REF!</v>
      </c>
      <c r="Z807" s="296" t="e">
        <f>'Matriz POA 2024-TRABAJO'!#REF!</f>
        <v>#REF!</v>
      </c>
      <c r="AA807" s="296" t="e">
        <f>'Matriz POA 2024-TRABAJO'!#REF!</f>
        <v>#REF!</v>
      </c>
      <c r="AB807" s="207"/>
      <c r="AC807" s="207"/>
      <c r="AD807" s="207"/>
      <c r="AE807" s="312">
        <v>45000</v>
      </c>
      <c r="AF807" s="207"/>
      <c r="AG807" s="207"/>
      <c r="AH807" s="207"/>
      <c r="AI807" s="207"/>
      <c r="AJ807" s="207"/>
      <c r="AK807" s="207"/>
      <c r="AL807" s="207"/>
      <c r="AM807" s="207"/>
      <c r="AN807" s="298" t="e">
        <f>SUM(#REF!)</f>
        <v>#REF!</v>
      </c>
      <c r="AO807" s="224">
        <f t="shared" si="97"/>
        <v>45000</v>
      </c>
      <c r="AP807" s="224" t="e">
        <f t="shared" si="102"/>
        <v>#REF!</v>
      </c>
      <c r="AQ807" s="207"/>
      <c r="AR807" s="207"/>
      <c r="AS807" s="207"/>
      <c r="AT807" s="224" t="str">
        <f>IFERROR(VLOOKUP($A807,'Constancias POA'!$A$2:$DH$9993,17,FALSE),"")</f>
        <v/>
      </c>
      <c r="AU807" s="207"/>
      <c r="AV807" s="224" t="str">
        <f>IFERROR(VLOOKUP($A807,CP!$A$1:$U$7992,18,FALSE),"")</f>
        <v/>
      </c>
      <c r="AW807" s="224" t="str">
        <f>IFERROR(VLOOKUP($A807,CP!$A$1:$U$7992,19,FALSE),"")</f>
        <v/>
      </c>
      <c r="AX807" s="224" t="str">
        <f>IFERROR(VLOOKUP($A807,CP!$A$1:$U$7992,20,FALSE),"")</f>
        <v/>
      </c>
      <c r="AY807" s="207"/>
      <c r="AZ807" s="224" t="str">
        <f>IFERROR(VLOOKUP(A807,Devengado!$A$1:AJ1,35,FALSE),"")</f>
        <v/>
      </c>
      <c r="BA807" s="224" t="str">
        <f t="shared" si="98"/>
        <v/>
      </c>
      <c r="BB807" s="224" t="str">
        <f>IFERROR(AZ807/#REF!,"")</f>
        <v/>
      </c>
      <c r="BC807" s="224" t="str">
        <f>IFERROR(VLOOKUP($A807,Devengado!$A$1:$AI$1,22,FALSE),"")</f>
        <v/>
      </c>
      <c r="BD807" s="224" t="str">
        <f>IFERROR(VLOOKUP($A807,Devengado!$A$1:$AI$1,23,FALSE),"")</f>
        <v/>
      </c>
      <c r="BE807" s="224" t="str">
        <f>IFERROR(VLOOKUP($A807,Devengado!$A$1:$AI$1,24,FALSE),"")</f>
        <v/>
      </c>
      <c r="BF807" s="224" t="str">
        <f>IFERROR(VLOOKUP($A807,Devengado!$A$1:$AI$1,25,FALSE),"")</f>
        <v/>
      </c>
      <c r="BG807" s="224" t="str">
        <f>IFERROR(VLOOKUP($A807,Devengado!$A$1:$AI$1,26,FALSE),"")</f>
        <v/>
      </c>
      <c r="BH807" s="224" t="str">
        <f>IFERROR(VLOOKUP($A807,Devengado!$A$1:$AI$1,27,FALSE),"")</f>
        <v/>
      </c>
      <c r="BI807" s="224" t="str">
        <f>IFERROR(VLOOKUP($A807,Devengado!$A$1:$AI$1,28,FALSE),"")</f>
        <v/>
      </c>
      <c r="BJ807" s="224" t="str">
        <f>IFERROR(VLOOKUP($A807,Devengado!$A$1:$AI$1,29,FALSE),"")</f>
        <v/>
      </c>
      <c r="BK807" s="224" t="str">
        <f>IFERROR(VLOOKUP($A807,Devengado!$A$1:$AI$1,30,FALSE),"")</f>
        <v/>
      </c>
      <c r="BL807" s="224" t="str">
        <f>IFERROR(VLOOKUP($A807,Devengado!$A$1:$AI$1,31,FALSE),"")</f>
        <v/>
      </c>
      <c r="BM807" s="224" t="str">
        <f>IFERROR(VLOOKUP($A807,Devengado!$A$1:$AI$1,32,FALSE),"")</f>
        <v/>
      </c>
      <c r="BN807" s="224" t="str">
        <f>IFERROR(VLOOKUP($A807,Devengado!$A$1:$AI$1,33,FALSE),"")</f>
        <v/>
      </c>
      <c r="BO807" s="207"/>
      <c r="BP807" s="298" t="str">
        <f t="shared" si="100"/>
        <v/>
      </c>
      <c r="BQ807" s="207"/>
      <c r="BR807" s="207"/>
    </row>
    <row r="808" spans="1:70" s="225" customFormat="1" ht="15.75" customHeight="1" thickBot="1">
      <c r="A808" s="313">
        <f t="shared" si="106"/>
        <v>804</v>
      </c>
      <c r="B808" s="112" t="s">
        <v>73</v>
      </c>
      <c r="C808" s="112" t="s">
        <v>187</v>
      </c>
      <c r="D808" s="125" t="s">
        <v>188</v>
      </c>
      <c r="E808" s="117" t="s">
        <v>76</v>
      </c>
      <c r="F808" s="112" t="s">
        <v>77</v>
      </c>
      <c r="G808" s="112" t="s">
        <v>77</v>
      </c>
      <c r="H808" s="112" t="s">
        <v>77</v>
      </c>
      <c r="I808" s="112" t="s">
        <v>77</v>
      </c>
      <c r="J808" s="112" t="s">
        <v>77</v>
      </c>
      <c r="K808" s="112" t="s">
        <v>77</v>
      </c>
      <c r="L808" s="302" t="s">
        <v>85</v>
      </c>
      <c r="M808" s="204" t="s">
        <v>769</v>
      </c>
      <c r="N808" s="204" t="s">
        <v>770</v>
      </c>
      <c r="O808" s="204" t="s">
        <v>80</v>
      </c>
      <c r="P808" s="204" t="s">
        <v>81</v>
      </c>
      <c r="Q808" s="204" t="s">
        <v>82</v>
      </c>
      <c r="R808" s="115" t="str">
        <f t="shared" si="96"/>
        <v>57</v>
      </c>
      <c r="S808" s="204">
        <v>570218</v>
      </c>
      <c r="T808" s="207" t="e">
        <f>VLOOKUP(S808,ITEM!$C$1:$D$156,2,FALSE)</f>
        <v>#N/A</v>
      </c>
      <c r="U808" s="204">
        <v>1701</v>
      </c>
      <c r="V808" s="204" t="s">
        <v>82</v>
      </c>
      <c r="W808" s="204" t="s">
        <v>84</v>
      </c>
      <c r="X808" s="205" t="s">
        <v>84</v>
      </c>
      <c r="Y808" s="298" t="e">
        <f>'Matriz POA 2024-TRABAJO'!#REF!</f>
        <v>#REF!</v>
      </c>
      <c r="Z808" s="298" t="e">
        <f>'Matriz POA 2024-TRABAJO'!#REF!</f>
        <v>#REF!</v>
      </c>
      <c r="AA808" s="298" t="e">
        <f>'Matriz POA 2024-TRABAJO'!#REF!</f>
        <v>#REF!</v>
      </c>
      <c r="AB808" s="207"/>
      <c r="AC808" s="207"/>
      <c r="AD808" s="272"/>
      <c r="AE808" s="272"/>
      <c r="AF808" s="272"/>
      <c r="AG808" s="272"/>
      <c r="AH808" s="207"/>
      <c r="AI808" s="207"/>
      <c r="AJ808" s="207"/>
      <c r="AK808" s="207"/>
      <c r="AL808" s="207"/>
      <c r="AM808" s="207"/>
      <c r="AN808" s="298" t="e">
        <f>SUM(#REF!)</f>
        <v>#REF!</v>
      </c>
      <c r="AO808" s="224">
        <f t="shared" si="97"/>
        <v>0</v>
      </c>
      <c r="AP808" s="224" t="e">
        <f>+AO808-AA808</f>
        <v>#REF!</v>
      </c>
      <c r="AQ808" s="207"/>
      <c r="AR808" s="207"/>
      <c r="AS808" s="207"/>
      <c r="AT808" s="224" t="str">
        <f>IFERROR(VLOOKUP($A808,'Constancias POA'!$A$2:$DH$9993,17,FALSE),"")</f>
        <v/>
      </c>
      <c r="AU808" s="207" t="str">
        <f t="shared" ref="AU808:AU844" si="107">IFERROR(AA808-AT808,"")</f>
        <v/>
      </c>
      <c r="AV808" s="224" t="str">
        <f>IFERROR(VLOOKUP($A808,CP!$A$1:$U$7992,18,FALSE),"")</f>
        <v/>
      </c>
      <c r="AW808" s="224" t="str">
        <f>IFERROR(VLOOKUP($A808,CP!$A$1:$U$7992,19,FALSE),"")</f>
        <v/>
      </c>
      <c r="AX808" s="224" t="str">
        <f>IFERROR(VLOOKUP($A808,CP!$A$1:$U$7992,20,FALSE),"")</f>
        <v/>
      </c>
      <c r="AY808" s="207" t="str">
        <f>IFERROR(VLOOKUP($A808,CP!$A$1:$U$1,21,FALSE),"")</f>
        <v/>
      </c>
      <c r="AZ808" s="224" t="str">
        <f>IFERROR(VLOOKUP(A808,Devengado!$A$1:AJ1,35,FALSE),"")</f>
        <v/>
      </c>
      <c r="BA808" s="224" t="str">
        <f t="shared" si="98"/>
        <v/>
      </c>
      <c r="BB808" s="224" t="str">
        <f>IFERROR(AZ808/#REF!,"")</f>
        <v/>
      </c>
      <c r="BC808" s="224" t="str">
        <f>IFERROR(VLOOKUP($A808,Devengado!$A$1:$AI$1,22,FALSE),"")</f>
        <v/>
      </c>
      <c r="BD808" s="224" t="str">
        <f>IFERROR(VLOOKUP($A808,Devengado!$A$1:$AI$1,23,FALSE),"")</f>
        <v/>
      </c>
      <c r="BE808" s="224" t="str">
        <f>IFERROR(VLOOKUP($A808,Devengado!$A$1:$AI$1,24,FALSE),"")</f>
        <v/>
      </c>
      <c r="BF808" s="224" t="str">
        <f>IFERROR(VLOOKUP($A808,Devengado!$A$1:$AI$1,25,FALSE),"")</f>
        <v/>
      </c>
      <c r="BG808" s="224" t="str">
        <f>IFERROR(VLOOKUP($A808,Devengado!$A$1:$AI$1,26,FALSE),"")</f>
        <v/>
      </c>
      <c r="BH808" s="224" t="str">
        <f>IFERROR(VLOOKUP($A808,Devengado!$A$1:$AI$1,27,FALSE),"")</f>
        <v/>
      </c>
      <c r="BI808" s="224" t="str">
        <f>IFERROR(VLOOKUP($A808,Devengado!$A$1:$AI$1,28,FALSE),"")</f>
        <v/>
      </c>
      <c r="BJ808" s="224" t="str">
        <f>IFERROR(VLOOKUP($A808,Devengado!$A$1:$AI$1,29,FALSE),"")</f>
        <v/>
      </c>
      <c r="BK808" s="224" t="str">
        <f>IFERROR(VLOOKUP($A808,Devengado!$A$1:$AI$1,30,FALSE),"")</f>
        <v/>
      </c>
      <c r="BL808" s="224" t="str">
        <f>IFERROR(VLOOKUP($A808,Devengado!$A$1:$AI$1,31,FALSE),"")</f>
        <v/>
      </c>
      <c r="BM808" s="224" t="str">
        <f>IFERROR(VLOOKUP($A808,Devengado!$A$1:$AI$1,32,FALSE),"")</f>
        <v/>
      </c>
      <c r="BN808" s="224" t="str">
        <f>IFERROR(VLOOKUP($A808,Devengado!$A$1:$AI$1,33,FALSE),"")</f>
        <v/>
      </c>
      <c r="BO808" s="207">
        <f>SUM(BC808:BN808)</f>
        <v>0</v>
      </c>
      <c r="BP808" s="298" t="str">
        <f t="shared" si="100"/>
        <v/>
      </c>
      <c r="BQ808" s="207"/>
      <c r="BR808" s="207" t="str">
        <f t="shared" ref="BR808:BR844" si="108">LEFT(R808,4)</f>
        <v>57</v>
      </c>
    </row>
    <row r="809" spans="1:70" s="225" customFormat="1" ht="25.5" customHeight="1">
      <c r="A809" s="207">
        <f t="shared" si="106"/>
        <v>805</v>
      </c>
      <c r="B809" s="112" t="s">
        <v>73</v>
      </c>
      <c r="C809" s="112" t="s">
        <v>129</v>
      </c>
      <c r="D809" s="302" t="s">
        <v>771</v>
      </c>
      <c r="E809" s="117" t="s">
        <v>76</v>
      </c>
      <c r="F809" s="112" t="s">
        <v>77</v>
      </c>
      <c r="G809" s="112" t="s">
        <v>77</v>
      </c>
      <c r="H809" s="112" t="s">
        <v>77</v>
      </c>
      <c r="I809" s="112" t="s">
        <v>77</v>
      </c>
      <c r="J809" s="112" t="s">
        <v>77</v>
      </c>
      <c r="K809" s="112" t="s">
        <v>77</v>
      </c>
      <c r="L809" s="302" t="s">
        <v>85</v>
      </c>
      <c r="M809" s="306" t="s">
        <v>772</v>
      </c>
      <c r="N809" s="306" t="s">
        <v>770</v>
      </c>
      <c r="O809" s="305" t="s">
        <v>132</v>
      </c>
      <c r="P809" s="306" t="s">
        <v>81</v>
      </c>
      <c r="Q809" s="306" t="s">
        <v>112</v>
      </c>
      <c r="R809" s="115" t="str">
        <f t="shared" si="96"/>
        <v>53</v>
      </c>
      <c r="S809" s="302">
        <v>530304</v>
      </c>
      <c r="T809" s="207" t="str">
        <f>VLOOKUP(S809,ITEM!$C$1:$D$156,2,FALSE)</f>
        <v>Viáticos y Subsistencias en el Exterior</v>
      </c>
      <c r="U809" s="302">
        <v>1701</v>
      </c>
      <c r="V809" s="306" t="s">
        <v>82</v>
      </c>
      <c r="W809" s="306" t="s">
        <v>84</v>
      </c>
      <c r="X809" s="306" t="s">
        <v>84</v>
      </c>
      <c r="Y809" s="298" t="e">
        <f>'Matriz POA 2024-TRABAJO'!#REF!</f>
        <v>#REF!</v>
      </c>
      <c r="Z809" s="298" t="e">
        <f>'Matriz POA 2024-TRABAJO'!#REF!</f>
        <v>#REF!</v>
      </c>
      <c r="AA809" s="298" t="e">
        <f>'Matriz POA 2024-TRABAJO'!#REF!</f>
        <v>#REF!</v>
      </c>
      <c r="AB809" s="207"/>
      <c r="AC809" s="207"/>
      <c r="AD809" s="314">
        <v>1360</v>
      </c>
      <c r="AE809" s="272"/>
      <c r="AF809" s="272"/>
      <c r="AG809" s="272"/>
      <c r="AH809" s="207"/>
      <c r="AI809" s="207"/>
      <c r="AJ809" s="207"/>
      <c r="AK809" s="207"/>
      <c r="AL809" s="207"/>
      <c r="AM809" s="207"/>
      <c r="AN809" s="298" t="e">
        <f>SUM(#REF!)</f>
        <v>#REF!</v>
      </c>
      <c r="AO809" s="224">
        <f t="shared" si="97"/>
        <v>1360</v>
      </c>
      <c r="AP809" s="224" t="e">
        <f t="shared" si="102"/>
        <v>#REF!</v>
      </c>
      <c r="AQ809" s="207"/>
      <c r="AR809" s="207"/>
      <c r="AS809" s="207"/>
      <c r="AT809" s="224" t="str">
        <f>IFERROR(VLOOKUP($A809,'Constancias POA'!$A$2:$DH$9993,17,FALSE),"")</f>
        <v/>
      </c>
      <c r="AU809" s="207" t="str">
        <f t="shared" si="107"/>
        <v/>
      </c>
      <c r="AV809" s="224" t="str">
        <f>IFERROR(VLOOKUP($A809,CP!$A$1:$U$7992,18,FALSE),"")</f>
        <v/>
      </c>
      <c r="AW809" s="224" t="str">
        <f>IFERROR(VLOOKUP($A809,CP!$A$1:$U$7992,19,FALSE),"")</f>
        <v/>
      </c>
      <c r="AX809" s="224" t="str">
        <f>IFERROR(VLOOKUP($A809,CP!$A$1:$U$7992,20,FALSE),"")</f>
        <v/>
      </c>
      <c r="AY809" s="207" t="str">
        <f>IFERROR(VLOOKUP($A809,CP!$A$1:$U$1,21,FALSE),"")</f>
        <v/>
      </c>
      <c r="AZ809" s="224" t="str">
        <f>IFERROR(VLOOKUP(A809,Devengado!$A$1:AJ1,35,FALSE),"")</f>
        <v/>
      </c>
      <c r="BA809" s="224" t="str">
        <f t="shared" si="98"/>
        <v/>
      </c>
      <c r="BB809" s="224" t="str">
        <f>IFERROR(AZ809/#REF!,"")</f>
        <v/>
      </c>
      <c r="BC809" s="224" t="str">
        <f>IFERROR(VLOOKUP($A809,Devengado!$A$1:$AI$1,22,FALSE),"")</f>
        <v/>
      </c>
      <c r="BD809" s="224" t="str">
        <f>IFERROR(VLOOKUP($A809,Devengado!$A$1:$AI$1,23,FALSE),"")</f>
        <v/>
      </c>
      <c r="BE809" s="224" t="str">
        <f>IFERROR(VLOOKUP($A809,Devengado!$A$1:$AI$1,24,FALSE),"")</f>
        <v/>
      </c>
      <c r="BF809" s="224" t="str">
        <f>IFERROR(VLOOKUP($A809,Devengado!$A$1:$AI$1,25,FALSE),"")</f>
        <v/>
      </c>
      <c r="BG809" s="224" t="str">
        <f>IFERROR(VLOOKUP($A809,Devengado!$A$1:$AI$1,26,FALSE),"")</f>
        <v/>
      </c>
      <c r="BH809" s="224" t="str">
        <f>IFERROR(VLOOKUP($A809,Devengado!$A$1:$AI$1,27,FALSE),"")</f>
        <v/>
      </c>
      <c r="BI809" s="224" t="str">
        <f>IFERROR(VLOOKUP($A809,Devengado!$A$1:$AI$1,28,FALSE),"")</f>
        <v/>
      </c>
      <c r="BJ809" s="224" t="str">
        <f>IFERROR(VLOOKUP($A809,Devengado!$A$1:$AI$1,29,FALSE),"")</f>
        <v/>
      </c>
      <c r="BK809" s="224" t="str">
        <f>IFERROR(VLOOKUP($A809,Devengado!$A$1:$AI$1,30,FALSE),"")</f>
        <v/>
      </c>
      <c r="BL809" s="224" t="str">
        <f>IFERROR(VLOOKUP($A809,Devengado!$A$1:$AI$1,31,FALSE),"")</f>
        <v/>
      </c>
      <c r="BM809" s="224" t="str">
        <f>IFERROR(VLOOKUP($A809,Devengado!$A$1:$AI$1,32,FALSE),"")</f>
        <v/>
      </c>
      <c r="BN809" s="224" t="str">
        <f>IFERROR(VLOOKUP($A809,Devengado!$A$1:$AI$1,33,FALSE),"")</f>
        <v/>
      </c>
      <c r="BO809" s="207">
        <f t="shared" ref="BO809:BO837" si="109">SUM(BC809:BN809)</f>
        <v>0</v>
      </c>
      <c r="BP809" s="298" t="str">
        <f t="shared" si="100"/>
        <v/>
      </c>
      <c r="BQ809" s="207"/>
      <c r="BR809" s="207" t="str">
        <f t="shared" si="108"/>
        <v>53</v>
      </c>
    </row>
    <row r="810" spans="1:70" s="225" customFormat="1" ht="25.5" customHeight="1">
      <c r="A810" s="313">
        <f t="shared" si="106"/>
        <v>806</v>
      </c>
      <c r="B810" s="112" t="s">
        <v>73</v>
      </c>
      <c r="C810" s="112" t="s">
        <v>129</v>
      </c>
      <c r="D810" s="302" t="s">
        <v>771</v>
      </c>
      <c r="E810" s="117" t="s">
        <v>76</v>
      </c>
      <c r="F810" s="112" t="s">
        <v>77</v>
      </c>
      <c r="G810" s="112" t="s">
        <v>77</v>
      </c>
      <c r="H810" s="112" t="s">
        <v>77</v>
      </c>
      <c r="I810" s="112" t="s">
        <v>77</v>
      </c>
      <c r="J810" s="112" t="s">
        <v>77</v>
      </c>
      <c r="K810" s="112" t="s">
        <v>77</v>
      </c>
      <c r="L810" s="302" t="s">
        <v>85</v>
      </c>
      <c r="M810" s="306" t="s">
        <v>773</v>
      </c>
      <c r="N810" s="306" t="s">
        <v>770</v>
      </c>
      <c r="O810" s="305" t="s">
        <v>132</v>
      </c>
      <c r="P810" s="306" t="s">
        <v>81</v>
      </c>
      <c r="Q810" s="306" t="s">
        <v>112</v>
      </c>
      <c r="R810" s="115" t="str">
        <f t="shared" si="96"/>
        <v>53</v>
      </c>
      <c r="S810" s="112">
        <v>530303</v>
      </c>
      <c r="T810" s="207" t="str">
        <f>VLOOKUP(S810,ITEM!$C$1:$D$156,2,FALSE)</f>
        <v>Viáticos y Subsistencias en el Interior</v>
      </c>
      <c r="U810" s="302">
        <v>1701</v>
      </c>
      <c r="V810" s="306" t="s">
        <v>82</v>
      </c>
      <c r="W810" s="306" t="s">
        <v>84</v>
      </c>
      <c r="X810" s="306" t="s">
        <v>84</v>
      </c>
      <c r="Y810" s="298" t="e">
        <f>'Matriz POA 2024-TRABAJO'!#REF!</f>
        <v>#REF!</v>
      </c>
      <c r="Z810" s="298" t="e">
        <f>'Matriz POA 2024-TRABAJO'!#REF!</f>
        <v>#REF!</v>
      </c>
      <c r="AA810" s="298" t="e">
        <f>'Matriz POA 2024-TRABAJO'!#REF!</f>
        <v>#REF!</v>
      </c>
      <c r="AB810" s="207"/>
      <c r="AC810" s="207"/>
      <c r="AD810" s="272">
        <v>600</v>
      </c>
      <c r="AE810" s="272">
        <v>600</v>
      </c>
      <c r="AF810" s="272"/>
      <c r="AG810" s="272"/>
      <c r="AH810" s="207"/>
      <c r="AI810" s="207"/>
      <c r="AJ810" s="207"/>
      <c r="AK810" s="207"/>
      <c r="AL810" s="207"/>
      <c r="AM810" s="207"/>
      <c r="AN810" s="298" t="e">
        <f>SUM(#REF!)</f>
        <v>#REF!</v>
      </c>
      <c r="AO810" s="224">
        <f t="shared" si="97"/>
        <v>1200</v>
      </c>
      <c r="AP810" s="224" t="e">
        <f t="shared" si="102"/>
        <v>#REF!</v>
      </c>
      <c r="AQ810" s="207"/>
      <c r="AR810" s="207"/>
      <c r="AS810" s="207"/>
      <c r="AT810" s="224" t="str">
        <f>IFERROR(VLOOKUP($A810,'Constancias POA'!$A$2:$DH$9993,17,FALSE),"")</f>
        <v/>
      </c>
      <c r="AU810" s="207" t="str">
        <f t="shared" si="107"/>
        <v/>
      </c>
      <c r="AV810" s="224" t="str">
        <f>IFERROR(VLOOKUP($A810,CP!$A$1:$U$7992,18,FALSE),"")</f>
        <v/>
      </c>
      <c r="AW810" s="224" t="str">
        <f>IFERROR(VLOOKUP($A810,CP!$A$1:$U$7992,19,FALSE),"")</f>
        <v/>
      </c>
      <c r="AX810" s="224" t="str">
        <f>IFERROR(VLOOKUP($A810,CP!$A$1:$U$7992,20,FALSE),"")</f>
        <v/>
      </c>
      <c r="AY810" s="207" t="str">
        <f>IFERROR(VLOOKUP($A810,CP!$A$1:$U$1,21,FALSE),"")</f>
        <v/>
      </c>
      <c r="AZ810" s="224" t="str">
        <f>IFERROR(VLOOKUP(A810,Devengado!$A$1:AJ1,35,FALSE),"")</f>
        <v/>
      </c>
      <c r="BA810" s="224" t="str">
        <f t="shared" si="98"/>
        <v/>
      </c>
      <c r="BB810" s="224" t="str">
        <f>IFERROR(AZ810/#REF!,"")</f>
        <v/>
      </c>
      <c r="BC810" s="224" t="str">
        <f>IFERROR(VLOOKUP($A810,Devengado!$A$1:$AI$1,22,FALSE),"")</f>
        <v/>
      </c>
      <c r="BD810" s="224" t="str">
        <f>IFERROR(VLOOKUP($A810,Devengado!$A$1:$AI$1,23,FALSE),"")</f>
        <v/>
      </c>
      <c r="BE810" s="224" t="str">
        <f>IFERROR(VLOOKUP($A810,Devengado!$A$1:$AI$1,24,FALSE),"")</f>
        <v/>
      </c>
      <c r="BF810" s="224" t="str">
        <f>IFERROR(VLOOKUP($A810,Devengado!$A$1:$AI$1,25,FALSE),"")</f>
        <v/>
      </c>
      <c r="BG810" s="224" t="str">
        <f>IFERROR(VLOOKUP($A810,Devengado!$A$1:$AI$1,26,FALSE),"")</f>
        <v/>
      </c>
      <c r="BH810" s="224" t="str">
        <f>IFERROR(VLOOKUP($A810,Devengado!$A$1:$AI$1,27,FALSE),"")</f>
        <v/>
      </c>
      <c r="BI810" s="224" t="str">
        <f>IFERROR(VLOOKUP($A810,Devengado!$A$1:$AI$1,28,FALSE),"")</f>
        <v/>
      </c>
      <c r="BJ810" s="224" t="str">
        <f>IFERROR(VLOOKUP($A810,Devengado!$A$1:$AI$1,29,FALSE),"")</f>
        <v/>
      </c>
      <c r="BK810" s="224" t="str">
        <f>IFERROR(VLOOKUP($A810,Devengado!$A$1:$AI$1,30,FALSE),"")</f>
        <v/>
      </c>
      <c r="BL810" s="224" t="str">
        <f>IFERROR(VLOOKUP($A810,Devengado!$A$1:$AI$1,31,FALSE),"")</f>
        <v/>
      </c>
      <c r="BM810" s="224" t="str">
        <f>IFERROR(VLOOKUP($A810,Devengado!$A$1:$AI$1,32,FALSE),"")</f>
        <v/>
      </c>
      <c r="BN810" s="224" t="str">
        <f>IFERROR(VLOOKUP($A810,Devengado!$A$1:$AI$1,33,FALSE),"")</f>
        <v/>
      </c>
      <c r="BO810" s="207">
        <f t="shared" si="109"/>
        <v>0</v>
      </c>
      <c r="BP810" s="298" t="str">
        <f t="shared" si="100"/>
        <v/>
      </c>
      <c r="BQ810" s="207"/>
      <c r="BR810" s="207" t="str">
        <f t="shared" si="108"/>
        <v>53</v>
      </c>
    </row>
    <row r="811" spans="1:70" s="225" customFormat="1" ht="25.5" customHeight="1">
      <c r="A811" s="313">
        <f t="shared" si="106"/>
        <v>807</v>
      </c>
      <c r="B811" s="112" t="s">
        <v>73</v>
      </c>
      <c r="C811" s="112" t="s">
        <v>129</v>
      </c>
      <c r="D811" s="207" t="s">
        <v>142</v>
      </c>
      <c r="E811" s="117" t="s">
        <v>76</v>
      </c>
      <c r="F811" s="112" t="s">
        <v>77</v>
      </c>
      <c r="G811" s="112" t="s">
        <v>77</v>
      </c>
      <c r="H811" s="112" t="s">
        <v>77</v>
      </c>
      <c r="I811" s="112" t="s">
        <v>77</v>
      </c>
      <c r="J811" s="112" t="s">
        <v>77</v>
      </c>
      <c r="K811" s="112" t="s">
        <v>77</v>
      </c>
      <c r="L811" s="302" t="s">
        <v>85</v>
      </c>
      <c r="M811" s="222" t="s">
        <v>774</v>
      </c>
      <c r="N811" s="222" t="s">
        <v>770</v>
      </c>
      <c r="O811" s="315" t="s">
        <v>132</v>
      </c>
      <c r="P811" s="222" t="s">
        <v>81</v>
      </c>
      <c r="Q811" s="222" t="s">
        <v>112</v>
      </c>
      <c r="R811" s="115" t="str">
        <f t="shared" si="96"/>
        <v>53</v>
      </c>
      <c r="S811" s="316">
        <v>530304</v>
      </c>
      <c r="T811" s="207" t="str">
        <f>VLOOKUP(S811,ITEM!$C$1:$D$156,2,FALSE)</f>
        <v>Viáticos y Subsistencias en el Exterior</v>
      </c>
      <c r="U811" s="221">
        <v>1701</v>
      </c>
      <c r="V811" s="222" t="s">
        <v>82</v>
      </c>
      <c r="W811" s="222" t="s">
        <v>84</v>
      </c>
      <c r="X811" s="222" t="s">
        <v>84</v>
      </c>
      <c r="Y811" s="298" t="e">
        <f>'Matriz POA 2024-TRABAJO'!#REF!</f>
        <v>#REF!</v>
      </c>
      <c r="Z811" s="298" t="e">
        <f>'Matriz POA 2024-TRABAJO'!#REF!</f>
        <v>#REF!</v>
      </c>
      <c r="AA811" s="298" t="e">
        <f>'Matriz POA 2024-TRABAJO'!#REF!</f>
        <v>#REF!</v>
      </c>
      <c r="AB811" s="317"/>
      <c r="AC811" s="318"/>
      <c r="AD811" s="319"/>
      <c r="AE811" s="319"/>
      <c r="AF811" s="319">
        <v>2000</v>
      </c>
      <c r="AG811" s="319"/>
      <c r="AH811" s="318"/>
      <c r="AI811" s="317"/>
      <c r="AJ811" s="317">
        <v>2000</v>
      </c>
      <c r="AK811" s="317"/>
      <c r="AL811" s="317"/>
      <c r="AM811" s="317"/>
      <c r="AN811" s="298" t="e">
        <f>SUM(#REF!)</f>
        <v>#REF!</v>
      </c>
      <c r="AO811" s="224">
        <f t="shared" si="97"/>
        <v>4000</v>
      </c>
      <c r="AP811" s="224" t="e">
        <f t="shared" si="102"/>
        <v>#REF!</v>
      </c>
      <c r="AQ811" s="207"/>
      <c r="AR811" s="207"/>
      <c r="AS811" s="207"/>
      <c r="AT811" s="224" t="str">
        <f>IFERROR(VLOOKUP($A811,'Constancias POA'!$A$2:$DH$9993,17,FALSE),"")</f>
        <v/>
      </c>
      <c r="AU811" s="207" t="str">
        <f t="shared" si="107"/>
        <v/>
      </c>
      <c r="AV811" s="224" t="str">
        <f>IFERROR(VLOOKUP($A811,CP!$A$1:$U$7992,18,FALSE),"")</f>
        <v/>
      </c>
      <c r="AW811" s="224" t="str">
        <f>IFERROR(VLOOKUP($A811,CP!$A$1:$U$7992,19,FALSE),"")</f>
        <v/>
      </c>
      <c r="AX811" s="224" t="str">
        <f>IFERROR(VLOOKUP($A811,CP!$A$1:$U$7992,20,FALSE),"")</f>
        <v/>
      </c>
      <c r="AY811" s="207" t="str">
        <f>IFERROR(VLOOKUP($A811,CP!$A$1:$U$1,21,FALSE),"")</f>
        <v/>
      </c>
      <c r="AZ811" s="224" t="str">
        <f>IFERROR(VLOOKUP(A811,Devengado!$A$1:AJ1,35,FALSE),"")</f>
        <v/>
      </c>
      <c r="BA811" s="224" t="str">
        <f t="shared" si="98"/>
        <v/>
      </c>
      <c r="BB811" s="224" t="str">
        <f>IFERROR(AZ811/#REF!,"")</f>
        <v/>
      </c>
      <c r="BC811" s="224" t="str">
        <f>IFERROR(VLOOKUP($A811,Devengado!$A$1:$AI$1,22,FALSE),"")</f>
        <v/>
      </c>
      <c r="BD811" s="224" t="str">
        <f>IFERROR(VLOOKUP($A811,Devengado!$A$1:$AI$1,23,FALSE),"")</f>
        <v/>
      </c>
      <c r="BE811" s="224" t="str">
        <f>IFERROR(VLOOKUP($A811,Devengado!$A$1:$AI$1,24,FALSE),"")</f>
        <v/>
      </c>
      <c r="BF811" s="224" t="str">
        <f>IFERROR(VLOOKUP($A811,Devengado!$A$1:$AI$1,25,FALSE),"")</f>
        <v/>
      </c>
      <c r="BG811" s="224" t="str">
        <f>IFERROR(VLOOKUP($A811,Devengado!$A$1:$AI$1,26,FALSE),"")</f>
        <v/>
      </c>
      <c r="BH811" s="224" t="str">
        <f>IFERROR(VLOOKUP($A811,Devengado!$A$1:$AI$1,27,FALSE),"")</f>
        <v/>
      </c>
      <c r="BI811" s="224" t="str">
        <f>IFERROR(VLOOKUP($A811,Devengado!$A$1:$AI$1,28,FALSE),"")</f>
        <v/>
      </c>
      <c r="BJ811" s="224" t="str">
        <f>IFERROR(VLOOKUP($A811,Devengado!$A$1:$AI$1,29,FALSE),"")</f>
        <v/>
      </c>
      <c r="BK811" s="224" t="str">
        <f>IFERROR(VLOOKUP($A811,Devengado!$A$1:$AI$1,30,FALSE),"")</f>
        <v/>
      </c>
      <c r="BL811" s="224" t="str">
        <f>IFERROR(VLOOKUP($A811,Devengado!$A$1:$AI$1,31,FALSE),"")</f>
        <v/>
      </c>
      <c r="BM811" s="224" t="str">
        <f>IFERROR(VLOOKUP($A811,Devengado!$A$1:$AI$1,32,FALSE),"")</f>
        <v/>
      </c>
      <c r="BN811" s="224" t="str">
        <f>IFERROR(VLOOKUP($A811,Devengado!$A$1:$AI$1,33,FALSE),"")</f>
        <v/>
      </c>
      <c r="BO811" s="207">
        <f t="shared" si="109"/>
        <v>0</v>
      </c>
      <c r="BP811" s="298" t="str">
        <f t="shared" si="100"/>
        <v/>
      </c>
      <c r="BQ811" s="207"/>
      <c r="BR811" s="207" t="str">
        <f t="shared" si="108"/>
        <v>53</v>
      </c>
    </row>
    <row r="812" spans="1:70" s="225" customFormat="1" ht="25.5" customHeight="1">
      <c r="A812" s="207">
        <f t="shared" si="106"/>
        <v>808</v>
      </c>
      <c r="B812" s="112" t="s">
        <v>73</v>
      </c>
      <c r="C812" s="112" t="s">
        <v>129</v>
      </c>
      <c r="D812" s="207" t="s">
        <v>142</v>
      </c>
      <c r="E812" s="117" t="s">
        <v>76</v>
      </c>
      <c r="F812" s="112" t="s">
        <v>77</v>
      </c>
      <c r="G812" s="112" t="s">
        <v>77</v>
      </c>
      <c r="H812" s="112" t="s">
        <v>77</v>
      </c>
      <c r="I812" s="112" t="s">
        <v>77</v>
      </c>
      <c r="J812" s="112" t="s">
        <v>77</v>
      </c>
      <c r="K812" s="112" t="s">
        <v>77</v>
      </c>
      <c r="L812" s="302" t="s">
        <v>85</v>
      </c>
      <c r="M812" s="222" t="s">
        <v>775</v>
      </c>
      <c r="N812" s="222" t="s">
        <v>770</v>
      </c>
      <c r="O812" s="315" t="s">
        <v>132</v>
      </c>
      <c r="P812" s="222" t="s">
        <v>81</v>
      </c>
      <c r="Q812" s="222" t="s">
        <v>112</v>
      </c>
      <c r="R812" s="115" t="str">
        <f t="shared" si="96"/>
        <v>53</v>
      </c>
      <c r="S812" s="320">
        <v>530822</v>
      </c>
      <c r="T812" s="207" t="e">
        <f>VLOOKUP(S812,ITEM!$C$1:$D$156,2,FALSE)</f>
        <v>#N/A</v>
      </c>
      <c r="U812" s="221">
        <v>1701</v>
      </c>
      <c r="V812" s="222" t="s">
        <v>82</v>
      </c>
      <c r="W812" s="222" t="s">
        <v>84</v>
      </c>
      <c r="X812" s="222" t="s">
        <v>84</v>
      </c>
      <c r="Y812" s="298" t="e">
        <f>'Matriz POA 2024-TRABAJO'!#REF!</f>
        <v>#REF!</v>
      </c>
      <c r="Z812" s="298" t="e">
        <f>'Matriz POA 2024-TRABAJO'!#REF!</f>
        <v>#REF!</v>
      </c>
      <c r="AA812" s="298" t="e">
        <f>'Matriz POA 2024-TRABAJO'!#REF!</f>
        <v>#REF!</v>
      </c>
      <c r="AB812" s="317"/>
      <c r="AC812" s="317"/>
      <c r="AD812" s="317"/>
      <c r="AE812" s="317"/>
      <c r="AF812" s="317"/>
      <c r="AG812" s="317"/>
      <c r="AH812" s="317"/>
      <c r="AI812" s="317">
        <v>2000</v>
      </c>
      <c r="AJ812" s="317"/>
      <c r="AK812" s="317"/>
      <c r="AL812" s="317"/>
      <c r="AM812" s="317"/>
      <c r="AN812" s="298" t="e">
        <f>SUM(#REF!)</f>
        <v>#REF!</v>
      </c>
      <c r="AO812" s="224">
        <f t="shared" si="97"/>
        <v>2000</v>
      </c>
      <c r="AP812" s="224" t="e">
        <f t="shared" si="102"/>
        <v>#REF!</v>
      </c>
      <c r="AQ812" s="207"/>
      <c r="AR812" s="207"/>
      <c r="AS812" s="207" t="s">
        <v>776</v>
      </c>
      <c r="AT812" s="224" t="str">
        <f>IFERROR(VLOOKUP($A812,'Constancias POA'!$A$2:$DH$9993,17,FALSE),"")</f>
        <v/>
      </c>
      <c r="AU812" s="321" t="str">
        <f t="shared" si="107"/>
        <v/>
      </c>
      <c r="AV812" s="224" t="str">
        <f>IFERROR(VLOOKUP($A812,CP!$A$1:$U$7992,18,FALSE),"")</f>
        <v/>
      </c>
      <c r="AW812" s="224" t="str">
        <f>IFERROR(VLOOKUP($A812,CP!$A$1:$U$7992,19,FALSE),"")</f>
        <v/>
      </c>
      <c r="AX812" s="224" t="str">
        <f>IFERROR(VLOOKUP($A812,CP!$A$1:$U$7992,20,FALSE),"")</f>
        <v/>
      </c>
      <c r="AY812" s="207" t="str">
        <f>IFERROR(VLOOKUP($A812,CP!$A$1:$U$1,21,FALSE),"")</f>
        <v/>
      </c>
      <c r="AZ812" s="224" t="str">
        <f>IFERROR(VLOOKUP(A812,Devengado!$A$1:AJ1,35,FALSE),"")</f>
        <v/>
      </c>
      <c r="BA812" s="224" t="str">
        <f t="shared" si="98"/>
        <v/>
      </c>
      <c r="BB812" s="224" t="str">
        <f>IFERROR(AZ812/#REF!,"")</f>
        <v/>
      </c>
      <c r="BC812" s="224" t="str">
        <f>IFERROR(VLOOKUP($A812,Devengado!$A$1:$AI$1,22,FALSE),"")</f>
        <v/>
      </c>
      <c r="BD812" s="224" t="str">
        <f>IFERROR(VLOOKUP($A812,Devengado!$A$1:$AI$1,23,FALSE),"")</f>
        <v/>
      </c>
      <c r="BE812" s="224" t="str">
        <f>IFERROR(VLOOKUP($A812,Devengado!$A$1:$AI$1,24,FALSE),"")</f>
        <v/>
      </c>
      <c r="BF812" s="224" t="str">
        <f>IFERROR(VLOOKUP($A812,Devengado!$A$1:$AI$1,25,FALSE),"")</f>
        <v/>
      </c>
      <c r="BG812" s="224" t="str">
        <f>IFERROR(VLOOKUP($A812,Devengado!$A$1:$AI$1,26,FALSE),"")</f>
        <v/>
      </c>
      <c r="BH812" s="224" t="str">
        <f>IFERROR(VLOOKUP($A812,Devengado!$A$1:$AI$1,27,FALSE),"")</f>
        <v/>
      </c>
      <c r="BI812" s="224" t="str">
        <f>IFERROR(VLOOKUP($A812,Devengado!$A$1:$AI$1,28,FALSE),"")</f>
        <v/>
      </c>
      <c r="BJ812" s="224" t="str">
        <f>IFERROR(VLOOKUP($A812,Devengado!$A$1:$AI$1,29,FALSE),"")</f>
        <v/>
      </c>
      <c r="BK812" s="224" t="str">
        <f>IFERROR(VLOOKUP($A812,Devengado!$A$1:$AI$1,30,FALSE),"")</f>
        <v/>
      </c>
      <c r="BL812" s="224" t="str">
        <f>IFERROR(VLOOKUP($A812,Devengado!$A$1:$AI$1,31,FALSE),"")</f>
        <v/>
      </c>
      <c r="BM812" s="224" t="str">
        <f>IFERROR(VLOOKUP($A812,Devengado!$A$1:$AI$1,32,FALSE),"")</f>
        <v/>
      </c>
      <c r="BN812" s="224" t="str">
        <f>IFERROR(VLOOKUP($A812,Devengado!$A$1:$AI$1,33,FALSE),"")</f>
        <v/>
      </c>
      <c r="BO812" s="207">
        <f t="shared" si="109"/>
        <v>0</v>
      </c>
      <c r="BP812" s="298" t="str">
        <f t="shared" si="100"/>
        <v/>
      </c>
      <c r="BQ812" s="207"/>
      <c r="BR812" s="207" t="str">
        <f t="shared" si="108"/>
        <v>53</v>
      </c>
    </row>
    <row r="813" spans="1:70" s="225" customFormat="1" ht="25.5" customHeight="1">
      <c r="A813" s="313">
        <f t="shared" si="106"/>
        <v>809</v>
      </c>
      <c r="B813" s="207" t="s">
        <v>73</v>
      </c>
      <c r="C813" s="207" t="s">
        <v>103</v>
      </c>
      <c r="D813" s="207" t="s">
        <v>77</v>
      </c>
      <c r="E813" s="207" t="s">
        <v>76</v>
      </c>
      <c r="F813" s="207" t="s">
        <v>77</v>
      </c>
      <c r="G813" s="207" t="s">
        <v>77</v>
      </c>
      <c r="H813" s="207" t="s">
        <v>77</v>
      </c>
      <c r="I813" s="207" t="s">
        <v>77</v>
      </c>
      <c r="J813" s="207" t="s">
        <v>77</v>
      </c>
      <c r="K813" s="207" t="s">
        <v>77</v>
      </c>
      <c r="L813" s="112" t="s">
        <v>85</v>
      </c>
      <c r="M813" s="207" t="s">
        <v>106</v>
      </c>
      <c r="N813" s="113">
        <v>9999</v>
      </c>
      <c r="O813" s="118" t="s">
        <v>80</v>
      </c>
      <c r="P813" s="114" t="s">
        <v>81</v>
      </c>
      <c r="Q813" s="114" t="s">
        <v>82</v>
      </c>
      <c r="R813" s="115" t="str">
        <f t="shared" si="96"/>
        <v>53</v>
      </c>
      <c r="S813" s="269">
        <v>530502</v>
      </c>
      <c r="T813" s="207" t="str">
        <f>VLOOKUP(S813,ITEM!$C$1:$D$156,2,FALSE)</f>
        <v>Edificios, Locales y Residencias, Parqueaderos, Casilleros Judiciales y Bancarios (Arrendamiento)</v>
      </c>
      <c r="U813" s="112" t="s">
        <v>83</v>
      </c>
      <c r="V813" s="114" t="s">
        <v>82</v>
      </c>
      <c r="W813" s="114" t="s">
        <v>84</v>
      </c>
      <c r="X813" s="114" t="s">
        <v>84</v>
      </c>
      <c r="Y813" s="298" t="e">
        <f>'Matriz POA 2024-TRABAJO'!#REF!</f>
        <v>#REF!</v>
      </c>
      <c r="Z813" s="298" t="e">
        <f>'Matriz POA 2024-TRABAJO'!#REF!</f>
        <v>#REF!</v>
      </c>
      <c r="AA813" s="298" t="e">
        <f>'Matriz POA 2024-TRABAJO'!#REF!</f>
        <v>#REF!</v>
      </c>
      <c r="AB813" s="207">
        <v>0</v>
      </c>
      <c r="AC813" s="207">
        <v>0</v>
      </c>
      <c r="AD813" s="207">
        <v>50</v>
      </c>
      <c r="AE813" s="207">
        <v>0</v>
      </c>
      <c r="AF813" s="207">
        <v>0</v>
      </c>
      <c r="AG813" s="207">
        <v>0</v>
      </c>
      <c r="AH813" s="207">
        <v>0</v>
      </c>
      <c r="AI813" s="207">
        <v>0</v>
      </c>
      <c r="AJ813" s="207">
        <v>0</v>
      </c>
      <c r="AK813" s="207">
        <v>0</v>
      </c>
      <c r="AL813" s="207">
        <v>0</v>
      </c>
      <c r="AM813" s="207">
        <v>0</v>
      </c>
      <c r="AN813" s="298" t="e">
        <f>SUM(#REF!)</f>
        <v>#REF!</v>
      </c>
      <c r="AO813" s="224">
        <f t="shared" si="97"/>
        <v>50</v>
      </c>
      <c r="AP813" s="224" t="e">
        <f t="shared" si="102"/>
        <v>#REF!</v>
      </c>
      <c r="AQ813" s="207"/>
      <c r="AR813" s="207"/>
      <c r="AS813" s="207"/>
      <c r="AT813" s="224" t="str">
        <f>IFERROR(VLOOKUP($A813,'Constancias POA'!$A$2:$DH$9993,17,FALSE),"")</f>
        <v/>
      </c>
      <c r="AU813" s="207" t="str">
        <f t="shared" si="107"/>
        <v/>
      </c>
      <c r="AV813" s="224" t="str">
        <f>IFERROR(VLOOKUP($A813,CP!$A$1:$U$7992,18,FALSE),"")</f>
        <v/>
      </c>
      <c r="AW813" s="224" t="str">
        <f>IFERROR(VLOOKUP($A813,CP!$A$1:$U$7992,19,FALSE),"")</f>
        <v/>
      </c>
      <c r="AX813" s="224" t="str">
        <f>IFERROR(VLOOKUP($A813,CP!$A$1:$U$7992,20,FALSE),"")</f>
        <v/>
      </c>
      <c r="AY813" s="207" t="str">
        <f>IFERROR(VLOOKUP($A813,CP!$A$1:$U$1,21,FALSE),"")</f>
        <v/>
      </c>
      <c r="AZ813" s="224" t="str">
        <f>IFERROR(VLOOKUP(A813,Devengado!$A$1:AJ1,35,FALSE),"")</f>
        <v/>
      </c>
      <c r="BA813" s="224" t="str">
        <f t="shared" si="98"/>
        <v/>
      </c>
      <c r="BB813" s="224" t="str">
        <f>IFERROR(AZ813/#REF!,"")</f>
        <v/>
      </c>
      <c r="BC813" s="224" t="str">
        <f>IFERROR(VLOOKUP($A813,Devengado!$A$1:$AI$1,22,FALSE),"")</f>
        <v/>
      </c>
      <c r="BD813" s="224" t="str">
        <f>IFERROR(VLOOKUP($A813,Devengado!$A$1:$AI$1,23,FALSE),"")</f>
        <v/>
      </c>
      <c r="BE813" s="224" t="str">
        <f>IFERROR(VLOOKUP($A813,Devengado!$A$1:$AI$1,24,FALSE),"")</f>
        <v/>
      </c>
      <c r="BF813" s="224" t="str">
        <f>IFERROR(VLOOKUP($A813,Devengado!$A$1:$AI$1,25,FALSE),"")</f>
        <v/>
      </c>
      <c r="BG813" s="224" t="str">
        <f>IFERROR(VLOOKUP($A813,Devengado!$A$1:$AI$1,26,FALSE),"")</f>
        <v/>
      </c>
      <c r="BH813" s="224" t="str">
        <f>IFERROR(VLOOKUP($A813,Devengado!$A$1:$AI$1,27,FALSE),"")</f>
        <v/>
      </c>
      <c r="BI813" s="224" t="str">
        <f>IFERROR(VLOOKUP($A813,Devengado!$A$1:$AI$1,28,FALSE),"")</f>
        <v/>
      </c>
      <c r="BJ813" s="224" t="str">
        <f>IFERROR(VLOOKUP($A813,Devengado!$A$1:$AI$1,29,FALSE),"")</f>
        <v/>
      </c>
      <c r="BK813" s="224" t="str">
        <f>IFERROR(VLOOKUP($A813,Devengado!$A$1:$AI$1,30,FALSE),"")</f>
        <v/>
      </c>
      <c r="BL813" s="224" t="str">
        <f>IFERROR(VLOOKUP($A813,Devengado!$A$1:$AI$1,31,FALSE),"")</f>
        <v/>
      </c>
      <c r="BM813" s="224" t="str">
        <f>IFERROR(VLOOKUP($A813,Devengado!$A$1:$AI$1,32,FALSE),"")</f>
        <v/>
      </c>
      <c r="BN813" s="224" t="str">
        <f>IFERROR(VLOOKUP($A813,Devengado!$A$1:$AI$1,33,FALSE),"")</f>
        <v/>
      </c>
      <c r="BO813" s="207">
        <f t="shared" si="109"/>
        <v>0</v>
      </c>
      <c r="BP813" s="298" t="str">
        <f t="shared" si="100"/>
        <v/>
      </c>
      <c r="BQ813" s="207"/>
      <c r="BR813" s="207" t="str">
        <f t="shared" si="108"/>
        <v>53</v>
      </c>
    </row>
    <row r="814" spans="1:70" ht="25.5" customHeight="1">
      <c r="A814" s="207">
        <f t="shared" si="106"/>
        <v>810</v>
      </c>
      <c r="B814" s="207" t="s">
        <v>206</v>
      </c>
      <c r="C814" s="207" t="s">
        <v>77</v>
      </c>
      <c r="D814" s="207" t="s">
        <v>77</v>
      </c>
      <c r="E814" s="207" t="s">
        <v>76</v>
      </c>
      <c r="F814" s="207" t="s">
        <v>77</v>
      </c>
      <c r="G814" s="207" t="s">
        <v>77</v>
      </c>
      <c r="H814" s="207" t="s">
        <v>77</v>
      </c>
      <c r="I814" s="207" t="s">
        <v>77</v>
      </c>
      <c r="J814" s="207" t="s">
        <v>77</v>
      </c>
      <c r="K814" s="207" t="s">
        <v>77</v>
      </c>
      <c r="L814" s="207" t="s">
        <v>85</v>
      </c>
      <c r="M814" s="267" t="s">
        <v>777</v>
      </c>
      <c r="N814" s="208" t="s">
        <v>208</v>
      </c>
      <c r="O814" s="208" t="s">
        <v>111</v>
      </c>
      <c r="P814" s="208" t="s">
        <v>81</v>
      </c>
      <c r="Q814" s="208" t="s">
        <v>112</v>
      </c>
      <c r="R814" s="115" t="str">
        <f t="shared" si="96"/>
        <v>53</v>
      </c>
      <c r="S814" s="268">
        <v>530301</v>
      </c>
      <c r="T814" s="207" t="str">
        <f>VLOOKUP(S814,ITEM!$C$1:$D$156,2,FALSE)</f>
        <v>Pasajes al Interior</v>
      </c>
      <c r="U814" s="207" t="s">
        <v>83</v>
      </c>
      <c r="V814" s="207" t="s">
        <v>82</v>
      </c>
      <c r="W814" s="207" t="s">
        <v>84</v>
      </c>
      <c r="X814" s="207" t="s">
        <v>84</v>
      </c>
      <c r="Y814" s="272" t="e">
        <f>'Matriz POA 2024-TRABAJO'!#REF!</f>
        <v>#REF!</v>
      </c>
      <c r="Z814" s="272" t="e">
        <f>'Matriz POA 2024-TRABAJO'!#REF!</f>
        <v>#REF!</v>
      </c>
      <c r="AA814" s="272" t="e">
        <f>'Matriz POA 2024-TRABAJO'!#REF!</f>
        <v>#REF!</v>
      </c>
      <c r="AB814" s="322"/>
      <c r="AC814" s="322"/>
      <c r="AD814" s="322"/>
      <c r="AE814" s="322">
        <v>300</v>
      </c>
      <c r="AF814" s="322"/>
      <c r="AG814" s="322"/>
      <c r="AH814" s="322"/>
      <c r="AI814" s="322"/>
      <c r="AJ814" s="322"/>
      <c r="AK814" s="322"/>
      <c r="AL814" s="322"/>
      <c r="AM814" s="322"/>
      <c r="AN814" s="272" t="e">
        <f>SUM(#REF!)</f>
        <v>#REF!</v>
      </c>
      <c r="AO814" s="224">
        <f t="shared" si="97"/>
        <v>300</v>
      </c>
      <c r="AP814" s="224" t="e">
        <f t="shared" si="102"/>
        <v>#REF!</v>
      </c>
      <c r="AQ814" s="272"/>
      <c r="AR814" s="272"/>
      <c r="AS814" s="272"/>
      <c r="AT814" s="272" t="str">
        <f>IFERROR(VLOOKUP($A814,'Constancias POA'!$A$2:$DH$9993,17,FALSE),"")</f>
        <v/>
      </c>
      <c r="AU814" s="272" t="str">
        <f t="shared" si="107"/>
        <v/>
      </c>
      <c r="AV814" s="224" t="str">
        <f>IFERROR(VLOOKUP($A814,CP!$A$1:$U$7992,18,FALSE),"")</f>
        <v/>
      </c>
      <c r="AW814" s="224" t="str">
        <f>IFERROR(VLOOKUP($A814,CP!$A$1:$U$7992,19,FALSE),"")</f>
        <v/>
      </c>
      <c r="AX814" s="224" t="str">
        <f>IFERROR(VLOOKUP($A814,CP!$A$1:$U$7992,20,FALSE),"")</f>
        <v/>
      </c>
      <c r="AY814" s="272" t="str">
        <f>IFERROR(VLOOKUP($A814,CP!$A$1:$U$1,21,FALSE),"")</f>
        <v/>
      </c>
      <c r="AZ814" s="224" t="str">
        <f>IFERROR(VLOOKUP(A814,Devengado!$A$1:AJ1,35,FALSE),"")</f>
        <v/>
      </c>
      <c r="BA814" s="224" t="str">
        <f t="shared" si="98"/>
        <v/>
      </c>
      <c r="BB814" s="224" t="str">
        <f>IFERROR(AZ814/#REF!,"")</f>
        <v/>
      </c>
      <c r="BC814" s="272" t="str">
        <f>IFERROR(VLOOKUP($A814,Devengado!$A$1:$AI$1,22,FALSE),"")</f>
        <v/>
      </c>
      <c r="BD814" s="272" t="str">
        <f>IFERROR(VLOOKUP($A814,Devengado!$A$1:$AI$1,23,FALSE),"")</f>
        <v/>
      </c>
      <c r="BE814" s="272" t="str">
        <f>IFERROR(VLOOKUP($A814,Devengado!$A$1:$AI$1,24,FALSE),"")</f>
        <v/>
      </c>
      <c r="BF814" s="272" t="str">
        <f>IFERROR(VLOOKUP($A814,Devengado!$A$1:$AI$1,25,FALSE),"")</f>
        <v/>
      </c>
      <c r="BG814" s="272" t="str">
        <f>IFERROR(VLOOKUP($A814,Devengado!$A$1:$AI$1,26,FALSE),"")</f>
        <v/>
      </c>
      <c r="BH814" s="272" t="str">
        <f>IFERROR(VLOOKUP($A814,Devengado!$A$1:$AI$1,27,FALSE),"")</f>
        <v/>
      </c>
      <c r="BI814" s="272" t="str">
        <f>IFERROR(VLOOKUP($A814,Devengado!$A$1:$AI$1,28,FALSE),"")</f>
        <v/>
      </c>
      <c r="BJ814" s="272" t="str">
        <f>IFERROR(VLOOKUP($A814,Devengado!$A$1:$AI$1,29,FALSE),"")</f>
        <v/>
      </c>
      <c r="BK814" s="272" t="str">
        <f>IFERROR(VLOOKUP($A814,Devengado!$A$1:$AI$1,30,FALSE),"")</f>
        <v/>
      </c>
      <c r="BL814" s="272" t="str">
        <f>IFERROR(VLOOKUP($A814,Devengado!$A$1:$AI$1,31,FALSE),"")</f>
        <v/>
      </c>
      <c r="BM814" s="272" t="str">
        <f>IFERROR(VLOOKUP($A814,Devengado!$A$1:$AI$1,32,FALSE),"")</f>
        <v/>
      </c>
      <c r="BN814" s="272" t="str">
        <f>IFERROR(VLOOKUP($A814,Devengado!$A$1:$AI$1,33,FALSE),"")</f>
        <v/>
      </c>
      <c r="BO814" s="272">
        <f t="shared" si="109"/>
        <v>0</v>
      </c>
      <c r="BP814" s="272" t="str">
        <f t="shared" si="100"/>
        <v/>
      </c>
      <c r="BQ814" s="272"/>
      <c r="BR814" s="207" t="str">
        <f t="shared" si="108"/>
        <v>53</v>
      </c>
    </row>
    <row r="815" spans="1:70" s="225" customFormat="1" ht="25.5" customHeight="1">
      <c r="A815" s="207">
        <f t="shared" si="106"/>
        <v>811</v>
      </c>
      <c r="B815" s="112" t="s">
        <v>429</v>
      </c>
      <c r="C815" s="112" t="s">
        <v>77</v>
      </c>
      <c r="D815" s="112" t="s">
        <v>77</v>
      </c>
      <c r="E815" s="112" t="s">
        <v>76</v>
      </c>
      <c r="F815" s="112" t="s">
        <v>77</v>
      </c>
      <c r="G815" s="112" t="s">
        <v>77</v>
      </c>
      <c r="H815" s="112" t="s">
        <v>77</v>
      </c>
      <c r="I815" s="112" t="s">
        <v>77</v>
      </c>
      <c r="J815" s="112" t="s">
        <v>77</v>
      </c>
      <c r="K815" s="112" t="s">
        <v>77</v>
      </c>
      <c r="L815" s="112" t="s">
        <v>85</v>
      </c>
      <c r="M815" s="207" t="s">
        <v>752</v>
      </c>
      <c r="N815" s="114" t="s">
        <v>430</v>
      </c>
      <c r="O815" s="114" t="s">
        <v>111</v>
      </c>
      <c r="P815" s="114" t="s">
        <v>81</v>
      </c>
      <c r="Q815" s="114" t="s">
        <v>112</v>
      </c>
      <c r="R815" s="115" t="str">
        <f t="shared" si="96"/>
        <v>53</v>
      </c>
      <c r="S815" s="269">
        <v>530811</v>
      </c>
      <c r="T815" s="207" t="e">
        <f>VLOOKUP(S815,ITEM!$C$1:$D$156,2,FALSE)</f>
        <v>#N/A</v>
      </c>
      <c r="U815" s="207">
        <v>1314</v>
      </c>
      <c r="V815" s="114" t="s">
        <v>82</v>
      </c>
      <c r="W815" s="114" t="s">
        <v>84</v>
      </c>
      <c r="X815" s="114" t="s">
        <v>84</v>
      </c>
      <c r="Y815" s="298">
        <f>'Matriz POA 2024-TRABAJO'!AS103</f>
        <v>0</v>
      </c>
      <c r="Z815" s="298">
        <f>'Matriz POA 2024-TRABAJO'!AT103</f>
        <v>0</v>
      </c>
      <c r="AA815" s="298">
        <f>'Matriz POA 2024-TRABAJO'!AU103</f>
        <v>0</v>
      </c>
      <c r="AB815" s="207"/>
      <c r="AC815" s="207"/>
      <c r="AD815" s="207"/>
      <c r="AE815" s="207">
        <v>3600</v>
      </c>
      <c r="AF815" s="207"/>
      <c r="AG815" s="207"/>
      <c r="AH815" s="207"/>
      <c r="AI815" s="207"/>
      <c r="AJ815" s="207"/>
      <c r="AK815" s="207"/>
      <c r="AL815" s="207"/>
      <c r="AM815" s="207"/>
      <c r="AN815" s="272" t="e">
        <f>SUM(#REF!)</f>
        <v>#REF!</v>
      </c>
      <c r="AO815" s="224">
        <f t="shared" si="97"/>
        <v>3600</v>
      </c>
      <c r="AP815" s="224">
        <f t="shared" si="102"/>
        <v>3600</v>
      </c>
      <c r="AQ815" s="207"/>
      <c r="AR815" s="207"/>
      <c r="AS815" s="207"/>
      <c r="AT815" s="224" t="str">
        <f>IFERROR(VLOOKUP($A815,'Constancias POA'!$A$2:$DH$9993,17,FALSE),"")</f>
        <v/>
      </c>
      <c r="AU815" s="207" t="str">
        <f t="shared" si="107"/>
        <v/>
      </c>
      <c r="AV815" s="224" t="str">
        <f>IFERROR(VLOOKUP($A815,CP!$A$1:$U$7992,18,FALSE),"")</f>
        <v/>
      </c>
      <c r="AW815" s="224" t="str">
        <f>IFERROR(VLOOKUP($A815,CP!$A$1:$U$7992,19,FALSE),"")</f>
        <v/>
      </c>
      <c r="AX815" s="224" t="str">
        <f>IFERROR(VLOOKUP($A815,CP!$A$1:$U$7992,20,FALSE),"")</f>
        <v/>
      </c>
      <c r="AY815" s="207" t="str">
        <f>IFERROR(VLOOKUP($A815,CP!$A$1:$U$1,21,FALSE),"")</f>
        <v/>
      </c>
      <c r="AZ815" s="224" t="str">
        <f>IFERROR(VLOOKUP(A815,Devengado!$A$1:AJ1,35,FALSE),"")</f>
        <v/>
      </c>
      <c r="BA815" s="224" t="str">
        <f t="shared" si="98"/>
        <v/>
      </c>
      <c r="BB815" s="224" t="str">
        <f>IFERROR(AZ815/#REF!,"")</f>
        <v/>
      </c>
      <c r="BC815" s="224" t="str">
        <f>IFERROR(VLOOKUP($A815,Devengado!$A$1:$AI$1,22,FALSE),"")</f>
        <v/>
      </c>
      <c r="BD815" s="224" t="str">
        <f>IFERROR(VLOOKUP($A815,Devengado!$A$1:$AI$1,23,FALSE),"")</f>
        <v/>
      </c>
      <c r="BE815" s="224" t="str">
        <f>IFERROR(VLOOKUP($A815,Devengado!$A$1:$AI$1,24,FALSE),"")</f>
        <v/>
      </c>
      <c r="BF815" s="224" t="str">
        <f>IFERROR(VLOOKUP($A815,Devengado!$A$1:$AI$1,25,FALSE),"")</f>
        <v/>
      </c>
      <c r="BG815" s="224" t="str">
        <f>IFERROR(VLOOKUP($A815,Devengado!$A$1:$AI$1,26,FALSE),"")</f>
        <v/>
      </c>
      <c r="BH815" s="224" t="str">
        <f>IFERROR(VLOOKUP($A815,Devengado!$A$1:$AI$1,27,FALSE),"")</f>
        <v/>
      </c>
      <c r="BI815" s="224" t="str">
        <f>IFERROR(VLOOKUP($A815,Devengado!$A$1:$AI$1,28,FALSE),"")</f>
        <v/>
      </c>
      <c r="BJ815" s="224" t="str">
        <f>IFERROR(VLOOKUP($A815,Devengado!$A$1:$AI$1,29,FALSE),"")</f>
        <v/>
      </c>
      <c r="BK815" s="224" t="str">
        <f>IFERROR(VLOOKUP($A815,Devengado!$A$1:$AI$1,30,FALSE),"")</f>
        <v/>
      </c>
      <c r="BL815" s="224" t="str">
        <f>IFERROR(VLOOKUP($A815,Devengado!$A$1:$AI$1,31,FALSE),"")</f>
        <v/>
      </c>
      <c r="BM815" s="224" t="str">
        <f>IFERROR(VLOOKUP($A815,Devengado!$A$1:$AI$1,32,FALSE),"")</f>
        <v/>
      </c>
      <c r="BN815" s="224" t="str">
        <f>IFERROR(VLOOKUP($A815,Devengado!$A$1:$AI$1,33,FALSE),"")</f>
        <v/>
      </c>
      <c r="BO815" s="207">
        <f t="shared" si="109"/>
        <v>0</v>
      </c>
      <c r="BP815" s="298" t="str">
        <f t="shared" si="100"/>
        <v/>
      </c>
      <c r="BQ815" s="207"/>
      <c r="BR815" s="207" t="str">
        <f t="shared" si="108"/>
        <v>53</v>
      </c>
    </row>
    <row r="816" spans="1:70" ht="25.5" customHeight="1">
      <c r="A816" s="207">
        <f t="shared" si="106"/>
        <v>812</v>
      </c>
      <c r="B816" s="112" t="s">
        <v>429</v>
      </c>
      <c r="C816" s="112" t="s">
        <v>77</v>
      </c>
      <c r="D816" s="112" t="s">
        <v>77</v>
      </c>
      <c r="E816" s="112" t="s">
        <v>76</v>
      </c>
      <c r="F816" s="112" t="s">
        <v>77</v>
      </c>
      <c r="G816" s="112" t="s">
        <v>77</v>
      </c>
      <c r="H816" s="112" t="s">
        <v>77</v>
      </c>
      <c r="I816" s="112" t="s">
        <v>77</v>
      </c>
      <c r="J816" s="112" t="s">
        <v>77</v>
      </c>
      <c r="K816" s="112" t="s">
        <v>77</v>
      </c>
      <c r="L816" s="112" t="s">
        <v>85</v>
      </c>
      <c r="M816" s="207" t="s">
        <v>778</v>
      </c>
      <c r="N816" s="114" t="s">
        <v>430</v>
      </c>
      <c r="O816" s="114" t="s">
        <v>111</v>
      </c>
      <c r="P816" s="114" t="s">
        <v>81</v>
      </c>
      <c r="Q816" s="114" t="s">
        <v>112</v>
      </c>
      <c r="R816" s="115" t="str">
        <f t="shared" si="96"/>
        <v>53</v>
      </c>
      <c r="S816" s="269">
        <v>530402</v>
      </c>
      <c r="T816" s="207" t="str">
        <f>VLOOKUP(S816,ITEM!$C$1:$D$156,2,FALSE)</f>
        <v>Edificios, Locales, Residencias y Cableado Estructurado (Instalación, Mantenimiento y Reparación)</v>
      </c>
      <c r="U816" s="207">
        <v>1314</v>
      </c>
      <c r="V816" s="114" t="s">
        <v>82</v>
      </c>
      <c r="W816" s="114" t="s">
        <v>84</v>
      </c>
      <c r="X816" s="114" t="s">
        <v>84</v>
      </c>
      <c r="Y816" s="272">
        <f>'Matriz POA 2024-TRABAJO'!AS104</f>
        <v>0</v>
      </c>
      <c r="Z816" s="272">
        <f>'Matriz POA 2024-TRABAJO'!AT104</f>
        <v>0</v>
      </c>
      <c r="AA816" s="272">
        <f>'Matriz POA 2024-TRABAJO'!AU104</f>
        <v>0</v>
      </c>
      <c r="AB816" s="272"/>
      <c r="AC816" s="272"/>
      <c r="AD816" s="272"/>
      <c r="AE816" s="272"/>
      <c r="AF816" s="272">
        <v>8000</v>
      </c>
      <c r="AG816" s="272"/>
      <c r="AH816" s="272"/>
      <c r="AI816" s="272"/>
      <c r="AJ816" s="272"/>
      <c r="AK816" s="272"/>
      <c r="AL816" s="272"/>
      <c r="AM816" s="272"/>
      <c r="AN816" s="272" t="e">
        <f>SUM(#REF!)</f>
        <v>#REF!</v>
      </c>
      <c r="AO816" s="224">
        <f t="shared" si="97"/>
        <v>8000</v>
      </c>
      <c r="AP816" s="224">
        <f t="shared" si="102"/>
        <v>8000</v>
      </c>
      <c r="AQ816" s="272"/>
      <c r="AR816" s="272"/>
      <c r="AS816" s="272"/>
      <c r="AT816" s="272" t="str">
        <f>IFERROR(VLOOKUP($A816,'Constancias POA'!$A$2:$DH$9993,17,FALSE),"")</f>
        <v/>
      </c>
      <c r="AU816" s="272" t="str">
        <f t="shared" si="107"/>
        <v/>
      </c>
      <c r="AV816" s="224" t="str">
        <f>IFERROR(VLOOKUP($A816,CP!$A$1:$U$7992,18,FALSE),"")</f>
        <v/>
      </c>
      <c r="AW816" s="224" t="str">
        <f>IFERROR(VLOOKUP($A816,CP!$A$1:$U$7992,19,FALSE),"")</f>
        <v/>
      </c>
      <c r="AX816" s="224" t="str">
        <f>IFERROR(VLOOKUP($A816,CP!$A$1:$U$7992,20,FALSE),"")</f>
        <v/>
      </c>
      <c r="AY816" s="272" t="str">
        <f>IFERROR(VLOOKUP($A816,CP!$A$1:$U$1,21,FALSE),"")</f>
        <v/>
      </c>
      <c r="AZ816" s="224" t="str">
        <f>IFERROR(VLOOKUP(A816,Devengado!$A$1:AJ1,35,FALSE),"")</f>
        <v/>
      </c>
      <c r="BA816" s="224" t="str">
        <f t="shared" si="98"/>
        <v/>
      </c>
      <c r="BB816" s="224" t="str">
        <f>IFERROR(AZ816/#REF!,"")</f>
        <v/>
      </c>
      <c r="BC816" s="272" t="str">
        <f>IFERROR(VLOOKUP($A816,Devengado!$A$1:$AI$1,22,FALSE),"")</f>
        <v/>
      </c>
      <c r="BD816" s="272" t="str">
        <f>IFERROR(VLOOKUP($A816,Devengado!$A$1:$AI$1,23,FALSE),"")</f>
        <v/>
      </c>
      <c r="BE816" s="272" t="str">
        <f>IFERROR(VLOOKUP($A816,Devengado!$A$1:$AI$1,24,FALSE),"")</f>
        <v/>
      </c>
      <c r="BF816" s="272" t="str">
        <f>IFERROR(VLOOKUP($A816,Devengado!$A$1:$AI$1,25,FALSE),"")</f>
        <v/>
      </c>
      <c r="BG816" s="272" t="str">
        <f>IFERROR(VLOOKUP($A816,Devengado!$A$1:$AI$1,26,FALSE),"")</f>
        <v/>
      </c>
      <c r="BH816" s="272" t="str">
        <f>IFERROR(VLOOKUP($A816,Devengado!$A$1:$AI$1,27,FALSE),"")</f>
        <v/>
      </c>
      <c r="BI816" s="272" t="str">
        <f>IFERROR(VLOOKUP($A816,Devengado!$A$1:$AI$1,28,FALSE),"")</f>
        <v/>
      </c>
      <c r="BJ816" s="272" t="str">
        <f>IFERROR(VLOOKUP($A816,Devengado!$A$1:$AI$1,29,FALSE),"")</f>
        <v/>
      </c>
      <c r="BK816" s="272" t="str">
        <f>IFERROR(VLOOKUP($A816,Devengado!$A$1:$AI$1,30,FALSE),"")</f>
        <v/>
      </c>
      <c r="BL816" s="272" t="str">
        <f>IFERROR(VLOOKUP($A816,Devengado!$A$1:$AI$1,31,FALSE),"")</f>
        <v/>
      </c>
      <c r="BM816" s="272" t="str">
        <f>IFERROR(VLOOKUP($A816,Devengado!$A$1:$AI$1,32,FALSE),"")</f>
        <v/>
      </c>
      <c r="BN816" s="272" t="str">
        <f>IFERROR(VLOOKUP($A816,Devengado!$A$1:$AI$1,33,FALSE),"")</f>
        <v/>
      </c>
      <c r="BO816" s="272">
        <f t="shared" si="109"/>
        <v>0</v>
      </c>
      <c r="BP816" s="272" t="str">
        <f t="shared" si="100"/>
        <v/>
      </c>
      <c r="BQ816" s="272"/>
      <c r="BR816" s="207" t="str">
        <f t="shared" si="108"/>
        <v>53</v>
      </c>
    </row>
    <row r="817" spans="1:70" ht="25.5" customHeight="1">
      <c r="A817" s="207">
        <f t="shared" si="106"/>
        <v>813</v>
      </c>
      <c r="B817" s="112" t="s">
        <v>429</v>
      </c>
      <c r="C817" s="112" t="s">
        <v>77</v>
      </c>
      <c r="D817" s="112" t="s">
        <v>77</v>
      </c>
      <c r="E817" s="112" t="s">
        <v>76</v>
      </c>
      <c r="F817" s="112" t="s">
        <v>77</v>
      </c>
      <c r="G817" s="112" t="s">
        <v>77</v>
      </c>
      <c r="H817" s="112" t="s">
        <v>77</v>
      </c>
      <c r="I817" s="112" t="s">
        <v>77</v>
      </c>
      <c r="J817" s="112" t="s">
        <v>77</v>
      </c>
      <c r="K817" s="112" t="s">
        <v>77</v>
      </c>
      <c r="L817" s="112" t="s">
        <v>85</v>
      </c>
      <c r="M817" s="207" t="s">
        <v>779</v>
      </c>
      <c r="N817" s="114" t="s">
        <v>430</v>
      </c>
      <c r="O817" s="114" t="s">
        <v>111</v>
      </c>
      <c r="P817" s="114" t="s">
        <v>81</v>
      </c>
      <c r="Q817" s="114" t="s">
        <v>112</v>
      </c>
      <c r="R817" s="115" t="str">
        <f t="shared" si="96"/>
        <v>53</v>
      </c>
      <c r="S817" s="269">
        <v>530203</v>
      </c>
      <c r="T817" s="207" t="str">
        <f>VLOOKUP(S817,ITEM!$C$1:$D$156,2,FALSE)</f>
        <v>Almacenamiento, Embalaje, Desembalaje, Envase, Desenvase y Recarga de Extintores</v>
      </c>
      <c r="U817" s="207">
        <v>1309</v>
      </c>
      <c r="V817" s="114" t="s">
        <v>82</v>
      </c>
      <c r="W817" s="114" t="s">
        <v>84</v>
      </c>
      <c r="X817" s="114" t="s">
        <v>84</v>
      </c>
      <c r="Y817" s="272">
        <f>'Matriz POA 2024-TRABAJO'!AS105</f>
        <v>0</v>
      </c>
      <c r="Z817" s="272">
        <f>'Matriz POA 2024-TRABAJO'!AT105</f>
        <v>0</v>
      </c>
      <c r="AA817" s="272">
        <f>'Matriz POA 2024-TRABAJO'!AU105</f>
        <v>0</v>
      </c>
      <c r="AB817" s="272"/>
      <c r="AC817" s="272"/>
      <c r="AD817" s="272"/>
      <c r="AE817" s="272"/>
      <c r="AF817" s="272"/>
      <c r="AG817" s="272"/>
      <c r="AH817" s="272"/>
      <c r="AI817" s="272"/>
      <c r="AJ817" s="272"/>
      <c r="AK817" s="272">
        <v>1500</v>
      </c>
      <c r="AL817" s="272"/>
      <c r="AM817" s="272"/>
      <c r="AN817" s="272" t="e">
        <f>SUM(#REF!)</f>
        <v>#REF!</v>
      </c>
      <c r="AO817" s="224">
        <f t="shared" si="97"/>
        <v>1500</v>
      </c>
      <c r="AP817" s="224">
        <f t="shared" si="102"/>
        <v>1500</v>
      </c>
      <c r="AQ817" s="272"/>
      <c r="AR817" s="272"/>
      <c r="AS817" s="272"/>
      <c r="AT817" s="272" t="str">
        <f>IFERROR(VLOOKUP($A817,'Constancias POA'!$A$2:$DH$9993,17,FALSE),"")</f>
        <v/>
      </c>
      <c r="AU817" s="272" t="str">
        <f t="shared" si="107"/>
        <v/>
      </c>
      <c r="AV817" s="224" t="str">
        <f>IFERROR(VLOOKUP($A817,CP!$A$1:$U$7992,18,FALSE),"")</f>
        <v/>
      </c>
      <c r="AW817" s="224" t="str">
        <f>IFERROR(VLOOKUP($A817,CP!$A$1:$U$7992,19,FALSE),"")</f>
        <v/>
      </c>
      <c r="AX817" s="224" t="str">
        <f>IFERROR(VLOOKUP($A817,CP!$A$1:$U$7992,20,FALSE),"")</f>
        <v/>
      </c>
      <c r="AY817" s="272" t="str">
        <f>IFERROR(VLOOKUP($A817,CP!$A$1:$U$1,21,FALSE),"")</f>
        <v/>
      </c>
      <c r="AZ817" s="224" t="str">
        <f>IFERROR(VLOOKUP(A817,Devengado!$A$1:AJ1,35,FALSE),"")</f>
        <v/>
      </c>
      <c r="BA817" s="224" t="str">
        <f t="shared" si="98"/>
        <v/>
      </c>
      <c r="BB817" s="224" t="str">
        <f>IFERROR(AZ817/#REF!,"")</f>
        <v/>
      </c>
      <c r="BC817" s="272" t="str">
        <f>IFERROR(VLOOKUP($A817,Devengado!$A$1:$AI$1,22,FALSE),"")</f>
        <v/>
      </c>
      <c r="BD817" s="272" t="str">
        <f>IFERROR(VLOOKUP($A817,Devengado!$A$1:$AI$1,23,FALSE),"")</f>
        <v/>
      </c>
      <c r="BE817" s="272" t="str">
        <f>IFERROR(VLOOKUP($A817,Devengado!$A$1:$AI$1,24,FALSE),"")</f>
        <v/>
      </c>
      <c r="BF817" s="272" t="str">
        <f>IFERROR(VLOOKUP($A817,Devengado!$A$1:$AI$1,25,FALSE),"")</f>
        <v/>
      </c>
      <c r="BG817" s="272" t="str">
        <f>IFERROR(VLOOKUP($A817,Devengado!$A$1:$AI$1,26,FALSE),"")</f>
        <v/>
      </c>
      <c r="BH817" s="272" t="str">
        <f>IFERROR(VLOOKUP($A817,Devengado!$A$1:$AI$1,27,FALSE),"")</f>
        <v/>
      </c>
      <c r="BI817" s="272" t="str">
        <f>IFERROR(VLOOKUP($A817,Devengado!$A$1:$AI$1,28,FALSE),"")</f>
        <v/>
      </c>
      <c r="BJ817" s="272" t="str">
        <f>IFERROR(VLOOKUP($A817,Devengado!$A$1:$AI$1,29,FALSE),"")</f>
        <v/>
      </c>
      <c r="BK817" s="272" t="str">
        <f>IFERROR(VLOOKUP($A817,Devengado!$A$1:$AI$1,30,FALSE),"")</f>
        <v/>
      </c>
      <c r="BL817" s="272" t="str">
        <f>IFERROR(VLOOKUP($A817,Devengado!$A$1:$AI$1,31,FALSE),"")</f>
        <v/>
      </c>
      <c r="BM817" s="272" t="str">
        <f>IFERROR(VLOOKUP($A817,Devengado!$A$1:$AI$1,32,FALSE),"")</f>
        <v/>
      </c>
      <c r="BN817" s="272" t="str">
        <f>IFERROR(VLOOKUP($A817,Devengado!$A$1:$AI$1,33,FALSE),"")</f>
        <v/>
      </c>
      <c r="BO817" s="272">
        <f t="shared" si="109"/>
        <v>0</v>
      </c>
      <c r="BP817" s="272" t="str">
        <f t="shared" si="100"/>
        <v/>
      </c>
      <c r="BQ817" s="272"/>
      <c r="BR817" s="207" t="str">
        <f t="shared" si="108"/>
        <v>53</v>
      </c>
    </row>
    <row r="818" spans="1:70" ht="25.5" customHeight="1">
      <c r="A818" s="207">
        <f t="shared" si="106"/>
        <v>814</v>
      </c>
      <c r="B818" s="112" t="s">
        <v>429</v>
      </c>
      <c r="C818" s="112" t="s">
        <v>77</v>
      </c>
      <c r="D818" s="112" t="s">
        <v>77</v>
      </c>
      <c r="E818" s="112" t="s">
        <v>76</v>
      </c>
      <c r="F818" s="112" t="s">
        <v>77</v>
      </c>
      <c r="G818" s="112" t="s">
        <v>77</v>
      </c>
      <c r="H818" s="112" t="s">
        <v>77</v>
      </c>
      <c r="I818" s="112" t="s">
        <v>77</v>
      </c>
      <c r="J818" s="112" t="s">
        <v>77</v>
      </c>
      <c r="K818" s="112" t="s">
        <v>77</v>
      </c>
      <c r="L818" s="112" t="s">
        <v>85</v>
      </c>
      <c r="M818" s="207" t="s">
        <v>780</v>
      </c>
      <c r="N818" s="114" t="s">
        <v>430</v>
      </c>
      <c r="O818" s="114" t="s">
        <v>111</v>
      </c>
      <c r="P818" s="114" t="s">
        <v>81</v>
      </c>
      <c r="Q818" s="114" t="s">
        <v>112</v>
      </c>
      <c r="R818" s="115" t="str">
        <f t="shared" si="96"/>
        <v>53</v>
      </c>
      <c r="S818" s="269">
        <v>530106</v>
      </c>
      <c r="T818" s="207" t="str">
        <f>VLOOKUP(S818,ITEM!$C$1:$D$156,2,FALSE)</f>
        <v>Servicio de Correo</v>
      </c>
      <c r="U818" s="207">
        <v>1309</v>
      </c>
      <c r="V818" s="114" t="s">
        <v>82</v>
      </c>
      <c r="W818" s="114" t="s">
        <v>84</v>
      </c>
      <c r="X818" s="114" t="s">
        <v>84</v>
      </c>
      <c r="Y818" s="272">
        <f>'Matriz POA 2024-TRABAJO'!AS106</f>
        <v>0</v>
      </c>
      <c r="Z818" s="272">
        <f>'Matriz POA 2024-TRABAJO'!AT106</f>
        <v>0</v>
      </c>
      <c r="AA818" s="272">
        <f>'Matriz POA 2024-TRABAJO'!AU106</f>
        <v>0</v>
      </c>
      <c r="AB818" s="272"/>
      <c r="AC818" s="272"/>
      <c r="AD818" s="272"/>
      <c r="AE818" s="272">
        <v>125</v>
      </c>
      <c r="AF818" s="272">
        <v>125</v>
      </c>
      <c r="AG818" s="272">
        <v>125</v>
      </c>
      <c r="AH818" s="272">
        <v>125</v>
      </c>
      <c r="AI818" s="272">
        <v>125</v>
      </c>
      <c r="AJ818" s="272">
        <v>125</v>
      </c>
      <c r="AK818" s="272">
        <v>125</v>
      </c>
      <c r="AL818" s="272">
        <v>125</v>
      </c>
      <c r="AM818" s="272"/>
      <c r="AN818" s="272" t="e">
        <f>SUM(#REF!)</f>
        <v>#REF!</v>
      </c>
      <c r="AO818" s="224">
        <f t="shared" si="97"/>
        <v>1000</v>
      </c>
      <c r="AP818" s="224">
        <f t="shared" si="102"/>
        <v>1000</v>
      </c>
      <c r="AQ818" s="272"/>
      <c r="AR818" s="272"/>
      <c r="AS818" s="272"/>
      <c r="AT818" s="272">
        <f>IFERROR(VLOOKUP($A818,'Constancias POA'!$A$2:$DH$9993,17,FALSE),"")</f>
        <v>0</v>
      </c>
      <c r="AU818" s="272">
        <f t="shared" si="107"/>
        <v>0</v>
      </c>
      <c r="AV818" s="224">
        <f>IFERROR(VLOOKUP($A818,CP!$A$1:$U$7992,18,FALSE),"")</f>
        <v>0</v>
      </c>
      <c r="AW818" s="224">
        <f>IFERROR(VLOOKUP($A818,CP!$A$1:$U$7992,19,FALSE),"")</f>
        <v>0</v>
      </c>
      <c r="AX818" s="224">
        <f>IFERROR(VLOOKUP($A818,CP!$A$1:$U$7992,20,FALSE),"")</f>
        <v>0</v>
      </c>
      <c r="AY818" s="272" t="str">
        <f>IFERROR(VLOOKUP($A818,CP!$A$1:$U$1,21,FALSE),"")</f>
        <v/>
      </c>
      <c r="AZ818" s="224" t="str">
        <f>IFERROR(VLOOKUP(A818,Devengado!$A$1:AJ1,35,FALSE),"")</f>
        <v/>
      </c>
      <c r="BA818" s="224" t="str">
        <f t="shared" si="98"/>
        <v/>
      </c>
      <c r="BB818" s="224" t="str">
        <f>IFERROR(AZ818/#REF!,"")</f>
        <v/>
      </c>
      <c r="BC818" s="272" t="str">
        <f>IFERROR(VLOOKUP($A818,Devengado!$A$1:$AI$1,22,FALSE),"")</f>
        <v/>
      </c>
      <c r="BD818" s="272" t="str">
        <f>IFERROR(VLOOKUP($A818,Devengado!$A$1:$AI$1,23,FALSE),"")</f>
        <v/>
      </c>
      <c r="BE818" s="272" t="str">
        <f>IFERROR(VLOOKUP($A818,Devengado!$A$1:$AI$1,24,FALSE),"")</f>
        <v/>
      </c>
      <c r="BF818" s="272" t="str">
        <f>IFERROR(VLOOKUP($A818,Devengado!$A$1:$AI$1,25,FALSE),"")</f>
        <v/>
      </c>
      <c r="BG818" s="272" t="str">
        <f>IFERROR(VLOOKUP($A818,Devengado!$A$1:$AI$1,26,FALSE),"")</f>
        <v/>
      </c>
      <c r="BH818" s="272" t="str">
        <f>IFERROR(VLOOKUP($A818,Devengado!$A$1:$AI$1,27,FALSE),"")</f>
        <v/>
      </c>
      <c r="BI818" s="272" t="str">
        <f>IFERROR(VLOOKUP($A818,Devengado!$A$1:$AI$1,28,FALSE),"")</f>
        <v/>
      </c>
      <c r="BJ818" s="272" t="str">
        <f>IFERROR(VLOOKUP($A818,Devengado!$A$1:$AI$1,29,FALSE),"")</f>
        <v/>
      </c>
      <c r="BK818" s="272" t="str">
        <f>IFERROR(VLOOKUP($A818,Devengado!$A$1:$AI$1,30,FALSE),"")</f>
        <v/>
      </c>
      <c r="BL818" s="272" t="str">
        <f>IFERROR(VLOOKUP($A818,Devengado!$A$1:$AI$1,31,FALSE),"")</f>
        <v/>
      </c>
      <c r="BM818" s="272" t="str">
        <f>IFERROR(VLOOKUP($A818,Devengado!$A$1:$AI$1,32,FALSE),"")</f>
        <v/>
      </c>
      <c r="BN818" s="272" t="str">
        <f>IFERROR(VLOOKUP($A818,Devengado!$A$1:$AI$1,33,FALSE),"")</f>
        <v/>
      </c>
      <c r="BO818" s="272">
        <f t="shared" si="109"/>
        <v>0</v>
      </c>
      <c r="BP818" s="272" t="str">
        <f t="shared" si="100"/>
        <v/>
      </c>
      <c r="BQ818" s="272"/>
      <c r="BR818" s="207" t="str">
        <f t="shared" si="108"/>
        <v>53</v>
      </c>
    </row>
    <row r="819" spans="1:70" ht="25.5" customHeight="1">
      <c r="A819" s="207">
        <f t="shared" si="106"/>
        <v>815</v>
      </c>
      <c r="B819" s="112" t="s">
        <v>429</v>
      </c>
      <c r="C819" s="112" t="s">
        <v>77</v>
      </c>
      <c r="D819" s="112" t="s">
        <v>77</v>
      </c>
      <c r="E819" s="112" t="s">
        <v>76</v>
      </c>
      <c r="F819" s="112" t="s">
        <v>77</v>
      </c>
      <c r="G819" s="112" t="s">
        <v>77</v>
      </c>
      <c r="H819" s="112" t="s">
        <v>77</v>
      </c>
      <c r="I819" s="112" t="s">
        <v>77</v>
      </c>
      <c r="J819" s="112" t="s">
        <v>77</v>
      </c>
      <c r="K819" s="112" t="s">
        <v>77</v>
      </c>
      <c r="L819" s="112" t="s">
        <v>85</v>
      </c>
      <c r="M819" s="207" t="s">
        <v>781</v>
      </c>
      <c r="N819" s="114" t="s">
        <v>430</v>
      </c>
      <c r="O819" s="114" t="s">
        <v>111</v>
      </c>
      <c r="P819" s="114" t="s">
        <v>81</v>
      </c>
      <c r="Q819" s="114" t="s">
        <v>112</v>
      </c>
      <c r="R819" s="115" t="str">
        <f t="shared" si="96"/>
        <v>53</v>
      </c>
      <c r="S819" s="269">
        <v>530408</v>
      </c>
      <c r="T819" s="207" t="str">
        <f>VLOOKUP(S819,ITEM!$C$1:$D$156,2,FALSE)</f>
        <v>Bienes Artísticos y Culturales</v>
      </c>
      <c r="U819" s="207">
        <v>1309</v>
      </c>
      <c r="V819" s="114" t="s">
        <v>82</v>
      </c>
      <c r="W819" s="114" t="s">
        <v>84</v>
      </c>
      <c r="X819" s="114" t="s">
        <v>84</v>
      </c>
      <c r="Y819" s="272">
        <f>'Matriz POA 2024-TRABAJO'!AS107</f>
        <v>0</v>
      </c>
      <c r="Z819" s="272">
        <f>'Matriz POA 2024-TRABAJO'!AT107</f>
        <v>0</v>
      </c>
      <c r="AA819" s="272">
        <f>'Matriz POA 2024-TRABAJO'!AU107</f>
        <v>0</v>
      </c>
      <c r="AB819" s="272"/>
      <c r="AC819" s="272"/>
      <c r="AD819" s="272"/>
      <c r="AE819" s="272"/>
      <c r="AF819" s="272">
        <v>2500</v>
      </c>
      <c r="AG819" s="272">
        <v>2500</v>
      </c>
      <c r="AH819" s="272"/>
      <c r="AI819" s="272"/>
      <c r="AJ819" s="272"/>
      <c r="AK819" s="272"/>
      <c r="AL819" s="272"/>
      <c r="AM819" s="272"/>
      <c r="AN819" s="272" t="e">
        <f>SUM(#REF!)</f>
        <v>#REF!</v>
      </c>
      <c r="AO819" s="224">
        <f t="shared" si="97"/>
        <v>5000</v>
      </c>
      <c r="AP819" s="224">
        <f t="shared" si="102"/>
        <v>5000</v>
      </c>
      <c r="AQ819" s="272"/>
      <c r="AR819" s="272"/>
      <c r="AS819" s="272"/>
      <c r="AT819" s="272">
        <f>IFERROR(VLOOKUP($A819,'Constancias POA'!$A$2:$DH$9993,17,FALSE),"")</f>
        <v>0</v>
      </c>
      <c r="AU819" s="272">
        <f t="shared" si="107"/>
        <v>0</v>
      </c>
      <c r="AV819" s="224">
        <f>IFERROR(VLOOKUP($A819,CP!$A$1:$U$7992,18,FALSE),"")</f>
        <v>0</v>
      </c>
      <c r="AW819" s="224">
        <f>IFERROR(VLOOKUP($A819,CP!$A$1:$U$7992,19,FALSE),"")</f>
        <v>0</v>
      </c>
      <c r="AX819" s="224">
        <f>IFERROR(VLOOKUP($A819,CP!$A$1:$U$7992,20,FALSE),"")</f>
        <v>0</v>
      </c>
      <c r="AY819" s="272" t="str">
        <f>IFERROR(VLOOKUP($A819,CP!$A$1:$U$1,21,FALSE),"")</f>
        <v/>
      </c>
      <c r="AZ819" s="224" t="str">
        <f>IFERROR(VLOOKUP(A819,Devengado!$A$1:AJ1,35,FALSE),"")</f>
        <v/>
      </c>
      <c r="BA819" s="224" t="str">
        <f t="shared" si="98"/>
        <v/>
      </c>
      <c r="BB819" s="224" t="str">
        <f>IFERROR(AZ819/#REF!,"")</f>
        <v/>
      </c>
      <c r="BC819" s="272" t="str">
        <f>IFERROR(VLOOKUP($A819,Devengado!$A$1:$AI$1,22,FALSE),"")</f>
        <v/>
      </c>
      <c r="BD819" s="272" t="str">
        <f>IFERROR(VLOOKUP($A819,Devengado!$A$1:$AI$1,23,FALSE),"")</f>
        <v/>
      </c>
      <c r="BE819" s="272" t="str">
        <f>IFERROR(VLOOKUP($A819,Devengado!$A$1:$AI$1,24,FALSE),"")</f>
        <v/>
      </c>
      <c r="BF819" s="272" t="str">
        <f>IFERROR(VLOOKUP($A819,Devengado!$A$1:$AI$1,25,FALSE),"")</f>
        <v/>
      </c>
      <c r="BG819" s="272" t="str">
        <f>IFERROR(VLOOKUP($A819,Devengado!$A$1:$AI$1,26,FALSE),"")</f>
        <v/>
      </c>
      <c r="BH819" s="272" t="str">
        <f>IFERROR(VLOOKUP($A819,Devengado!$A$1:$AI$1,27,FALSE),"")</f>
        <v/>
      </c>
      <c r="BI819" s="272" t="str">
        <f>IFERROR(VLOOKUP($A819,Devengado!$A$1:$AI$1,28,FALSE),"")</f>
        <v/>
      </c>
      <c r="BJ819" s="272" t="str">
        <f>IFERROR(VLOOKUP($A819,Devengado!$A$1:$AI$1,29,FALSE),"")</f>
        <v/>
      </c>
      <c r="BK819" s="272" t="str">
        <f>IFERROR(VLOOKUP($A819,Devengado!$A$1:$AI$1,30,FALSE),"")</f>
        <v/>
      </c>
      <c r="BL819" s="272" t="str">
        <f>IFERROR(VLOOKUP($A819,Devengado!$A$1:$AI$1,31,FALSE),"")</f>
        <v/>
      </c>
      <c r="BM819" s="272" t="str">
        <f>IFERROR(VLOOKUP($A819,Devengado!$A$1:$AI$1,32,FALSE),"")</f>
        <v/>
      </c>
      <c r="BN819" s="272" t="str">
        <f>IFERROR(VLOOKUP($A819,Devengado!$A$1:$AI$1,33,FALSE),"")</f>
        <v/>
      </c>
      <c r="BO819" s="272">
        <f t="shared" si="109"/>
        <v>0</v>
      </c>
      <c r="BP819" s="272" t="str">
        <f t="shared" si="100"/>
        <v/>
      </c>
      <c r="BQ819" s="272"/>
      <c r="BR819" s="207" t="str">
        <f t="shared" si="108"/>
        <v>53</v>
      </c>
    </row>
    <row r="820" spans="1:70" ht="25.5" customHeight="1">
      <c r="A820" s="207">
        <f t="shared" si="106"/>
        <v>816</v>
      </c>
      <c r="B820" s="112" t="s">
        <v>429</v>
      </c>
      <c r="C820" s="112" t="s">
        <v>77</v>
      </c>
      <c r="D820" s="112" t="s">
        <v>77</v>
      </c>
      <c r="E820" s="112" t="s">
        <v>76</v>
      </c>
      <c r="F820" s="112" t="s">
        <v>77</v>
      </c>
      <c r="G820" s="112" t="s">
        <v>77</v>
      </c>
      <c r="H820" s="112" t="s">
        <v>77</v>
      </c>
      <c r="I820" s="112" t="s">
        <v>77</v>
      </c>
      <c r="J820" s="112" t="s">
        <v>77</v>
      </c>
      <c r="K820" s="112" t="s">
        <v>77</v>
      </c>
      <c r="L820" s="112" t="s">
        <v>85</v>
      </c>
      <c r="M820" s="207" t="s">
        <v>782</v>
      </c>
      <c r="N820" s="114" t="s">
        <v>430</v>
      </c>
      <c r="O820" s="114" t="s">
        <v>111</v>
      </c>
      <c r="P820" s="114" t="s">
        <v>81</v>
      </c>
      <c r="Q820" s="114" t="s">
        <v>112</v>
      </c>
      <c r="R820" s="115" t="str">
        <f t="shared" si="96"/>
        <v>53</v>
      </c>
      <c r="S820" s="269">
        <v>530403</v>
      </c>
      <c r="T820" s="207" t="str">
        <f>VLOOKUP(S820,ITEM!$C$1:$D$156,2,FALSE)</f>
        <v>Mobiliarios  (Instalación, Mantenimiento y Reparación)</v>
      </c>
      <c r="U820" s="207">
        <v>1308</v>
      </c>
      <c r="V820" s="114" t="s">
        <v>82</v>
      </c>
      <c r="W820" s="114" t="s">
        <v>84</v>
      </c>
      <c r="X820" s="114" t="s">
        <v>84</v>
      </c>
      <c r="Y820" s="272">
        <f>'Matriz POA 2024-TRABAJO'!AS108</f>
        <v>0</v>
      </c>
      <c r="Z820" s="272">
        <f>'Matriz POA 2024-TRABAJO'!AT108</f>
        <v>0</v>
      </c>
      <c r="AA820" s="272">
        <f>'Matriz POA 2024-TRABAJO'!AU108</f>
        <v>0</v>
      </c>
      <c r="AB820" s="272"/>
      <c r="AC820" s="272"/>
      <c r="AD820" s="272"/>
      <c r="AE820" s="272"/>
      <c r="AF820" s="272">
        <v>9788.9</v>
      </c>
      <c r="AG820" s="272"/>
      <c r="AH820" s="272"/>
      <c r="AI820" s="272"/>
      <c r="AJ820" s="272"/>
      <c r="AK820" s="272"/>
      <c r="AL820" s="272"/>
      <c r="AM820" s="272"/>
      <c r="AN820" s="272" t="e">
        <f>SUM(#REF!)</f>
        <v>#REF!</v>
      </c>
      <c r="AO820" s="224">
        <f t="shared" si="97"/>
        <v>9788.9</v>
      </c>
      <c r="AP820" s="224">
        <f t="shared" si="102"/>
        <v>9788.9</v>
      </c>
      <c r="AQ820" s="272"/>
      <c r="AR820" s="272"/>
      <c r="AS820" s="272"/>
      <c r="AT820" s="272">
        <f>IFERROR(VLOOKUP($A820,'Constancias POA'!$A$2:$DH$9993,17,FALSE),"")</f>
        <v>0</v>
      </c>
      <c r="AU820" s="272">
        <f t="shared" si="107"/>
        <v>0</v>
      </c>
      <c r="AV820" s="224">
        <f>IFERROR(VLOOKUP($A820,CP!$A$1:$U$7992,18,FALSE),"")</f>
        <v>0</v>
      </c>
      <c r="AW820" s="224">
        <f>IFERROR(VLOOKUP($A820,CP!$A$1:$U$7992,19,FALSE),"")</f>
        <v>0</v>
      </c>
      <c r="AX820" s="224">
        <f>IFERROR(VLOOKUP($A820,CP!$A$1:$U$7992,20,FALSE),"")</f>
        <v>0</v>
      </c>
      <c r="AY820" s="272" t="str">
        <f>IFERROR(VLOOKUP($A820,CP!$A$1:$U$1,21,FALSE),"")</f>
        <v/>
      </c>
      <c r="AZ820" s="224" t="str">
        <f>IFERROR(VLOOKUP(A820,Devengado!$A$1:AJ1,35,FALSE),"")</f>
        <v/>
      </c>
      <c r="BA820" s="224" t="str">
        <f t="shared" si="98"/>
        <v/>
      </c>
      <c r="BB820" s="224" t="str">
        <f>IFERROR(AZ820/#REF!,"")</f>
        <v/>
      </c>
      <c r="BC820" s="272" t="str">
        <f>IFERROR(VLOOKUP($A820,Devengado!$A$1:$AI$1,22,FALSE),"")</f>
        <v/>
      </c>
      <c r="BD820" s="272" t="str">
        <f>IFERROR(VLOOKUP($A820,Devengado!$A$1:$AI$1,23,FALSE),"")</f>
        <v/>
      </c>
      <c r="BE820" s="272" t="str">
        <f>IFERROR(VLOOKUP($A820,Devengado!$A$1:$AI$1,24,FALSE),"")</f>
        <v/>
      </c>
      <c r="BF820" s="272" t="str">
        <f>IFERROR(VLOOKUP($A820,Devengado!$A$1:$AI$1,25,FALSE),"")</f>
        <v/>
      </c>
      <c r="BG820" s="272" t="str">
        <f>IFERROR(VLOOKUP($A820,Devengado!$A$1:$AI$1,26,FALSE),"")</f>
        <v/>
      </c>
      <c r="BH820" s="272" t="str">
        <f>IFERROR(VLOOKUP($A820,Devengado!$A$1:$AI$1,27,FALSE),"")</f>
        <v/>
      </c>
      <c r="BI820" s="272" t="str">
        <f>IFERROR(VLOOKUP($A820,Devengado!$A$1:$AI$1,28,FALSE),"")</f>
        <v/>
      </c>
      <c r="BJ820" s="272" t="str">
        <f>IFERROR(VLOOKUP($A820,Devengado!$A$1:$AI$1,29,FALSE),"")</f>
        <v/>
      </c>
      <c r="BK820" s="272" t="str">
        <f>IFERROR(VLOOKUP($A820,Devengado!$A$1:$AI$1,30,FALSE),"")</f>
        <v/>
      </c>
      <c r="BL820" s="272" t="str">
        <f>IFERROR(VLOOKUP($A820,Devengado!$A$1:$AI$1,31,FALSE),"")</f>
        <v/>
      </c>
      <c r="BM820" s="272" t="str">
        <f>IFERROR(VLOOKUP($A820,Devengado!$A$1:$AI$1,32,FALSE),"")</f>
        <v/>
      </c>
      <c r="BN820" s="272" t="str">
        <f>IFERROR(VLOOKUP($A820,Devengado!$A$1:$AI$1,33,FALSE),"")</f>
        <v/>
      </c>
      <c r="BO820" s="272">
        <f t="shared" si="109"/>
        <v>0</v>
      </c>
      <c r="BP820" s="272" t="str">
        <f t="shared" si="100"/>
        <v/>
      </c>
      <c r="BQ820" s="272"/>
      <c r="BR820" s="207" t="str">
        <f t="shared" si="108"/>
        <v>53</v>
      </c>
    </row>
    <row r="821" spans="1:70" ht="25.5" customHeight="1">
      <c r="A821" s="207">
        <f t="shared" si="106"/>
        <v>817</v>
      </c>
      <c r="B821" s="112" t="s">
        <v>429</v>
      </c>
      <c r="C821" s="112" t="s">
        <v>77</v>
      </c>
      <c r="D821" s="112" t="s">
        <v>77</v>
      </c>
      <c r="E821" s="112" t="s">
        <v>76</v>
      </c>
      <c r="F821" s="112" t="s">
        <v>77</v>
      </c>
      <c r="G821" s="112" t="s">
        <v>77</v>
      </c>
      <c r="H821" s="112" t="s">
        <v>77</v>
      </c>
      <c r="I821" s="112" t="s">
        <v>77</v>
      </c>
      <c r="J821" s="112" t="s">
        <v>77</v>
      </c>
      <c r="K821" s="112" t="s">
        <v>77</v>
      </c>
      <c r="L821" s="112" t="s">
        <v>85</v>
      </c>
      <c r="M821" s="207" t="s">
        <v>783</v>
      </c>
      <c r="N821" s="114" t="s">
        <v>430</v>
      </c>
      <c r="O821" s="114" t="s">
        <v>111</v>
      </c>
      <c r="P821" s="114" t="s">
        <v>81</v>
      </c>
      <c r="Q821" s="114" t="s">
        <v>112</v>
      </c>
      <c r="R821" s="115" t="str">
        <f t="shared" si="96"/>
        <v>53</v>
      </c>
      <c r="S821" s="269">
        <v>530701</v>
      </c>
      <c r="T821" s="207" t="e">
        <f>VLOOKUP(S821,ITEM!$C$1:$D$156,2,FALSE)</f>
        <v>#N/A</v>
      </c>
      <c r="U821" s="207">
        <v>1309</v>
      </c>
      <c r="V821" s="114" t="s">
        <v>82</v>
      </c>
      <c r="W821" s="114" t="s">
        <v>84</v>
      </c>
      <c r="X821" s="114" t="s">
        <v>84</v>
      </c>
      <c r="Y821" s="272">
        <f>'Matriz POA 2024-TRABAJO'!AS109</f>
        <v>0</v>
      </c>
      <c r="Z821" s="272">
        <f>'Matriz POA 2024-TRABAJO'!AT109</f>
        <v>0</v>
      </c>
      <c r="AA821" s="272">
        <f>'Matriz POA 2024-TRABAJO'!AU109</f>
        <v>0</v>
      </c>
      <c r="AB821" s="272"/>
      <c r="AC821" s="272"/>
      <c r="AD821" s="272"/>
      <c r="AE821" s="272"/>
      <c r="AF821" s="272">
        <v>400</v>
      </c>
      <c r="AG821" s="272"/>
      <c r="AH821" s="272"/>
      <c r="AI821" s="272"/>
      <c r="AJ821" s="272"/>
      <c r="AK821" s="272"/>
      <c r="AL821" s="272"/>
      <c r="AM821" s="272"/>
      <c r="AN821" s="272" t="e">
        <f>SUM(#REF!)</f>
        <v>#REF!</v>
      </c>
      <c r="AO821" s="224">
        <f t="shared" si="97"/>
        <v>400</v>
      </c>
      <c r="AP821" s="224">
        <f t="shared" si="102"/>
        <v>400</v>
      </c>
      <c r="AQ821" s="272"/>
      <c r="AR821" s="272"/>
      <c r="AS821" s="272"/>
      <c r="AT821" s="272">
        <f>IFERROR(VLOOKUP($A821,'Constancias POA'!$A$2:$DH$9993,17,FALSE),"")</f>
        <v>0</v>
      </c>
      <c r="AU821" s="272">
        <f t="shared" si="107"/>
        <v>0</v>
      </c>
      <c r="AV821" s="224">
        <f>IFERROR(VLOOKUP($A821,CP!$A$1:$U$7992,18,FALSE),"")</f>
        <v>0</v>
      </c>
      <c r="AW821" s="224">
        <f>IFERROR(VLOOKUP($A821,CP!$A$1:$U$7992,19,FALSE),"")</f>
        <v>0</v>
      </c>
      <c r="AX821" s="224">
        <f>IFERROR(VLOOKUP($A821,CP!$A$1:$U$7992,20,FALSE),"")</f>
        <v>0</v>
      </c>
      <c r="AY821" s="272" t="str">
        <f>IFERROR(VLOOKUP($A821,CP!$A$1:$U$1,21,FALSE),"")</f>
        <v/>
      </c>
      <c r="AZ821" s="224" t="str">
        <f>IFERROR(VLOOKUP(A821,Devengado!$A$1:AJ1,35,FALSE),"")</f>
        <v/>
      </c>
      <c r="BA821" s="224" t="str">
        <f t="shared" si="98"/>
        <v/>
      </c>
      <c r="BB821" s="224" t="str">
        <f>IFERROR(AZ821/#REF!,"")</f>
        <v/>
      </c>
      <c r="BC821" s="272" t="str">
        <f>IFERROR(VLOOKUP($A821,Devengado!$A$1:$AI$1,22,FALSE),"")</f>
        <v/>
      </c>
      <c r="BD821" s="272" t="str">
        <f>IFERROR(VLOOKUP($A821,Devengado!$A$1:$AI$1,23,FALSE),"")</f>
        <v/>
      </c>
      <c r="BE821" s="272" t="str">
        <f>IFERROR(VLOOKUP($A821,Devengado!$A$1:$AI$1,24,FALSE),"")</f>
        <v/>
      </c>
      <c r="BF821" s="272" t="str">
        <f>IFERROR(VLOOKUP($A821,Devengado!$A$1:$AI$1,25,FALSE),"")</f>
        <v/>
      </c>
      <c r="BG821" s="272" t="str">
        <f>IFERROR(VLOOKUP($A821,Devengado!$A$1:$AI$1,26,FALSE),"")</f>
        <v/>
      </c>
      <c r="BH821" s="272" t="str">
        <f>IFERROR(VLOOKUP($A821,Devengado!$A$1:$AI$1,27,FALSE),"")</f>
        <v/>
      </c>
      <c r="BI821" s="272" t="str">
        <f>IFERROR(VLOOKUP($A821,Devengado!$A$1:$AI$1,28,FALSE),"")</f>
        <v/>
      </c>
      <c r="BJ821" s="272" t="str">
        <f>IFERROR(VLOOKUP($A821,Devengado!$A$1:$AI$1,29,FALSE),"")</f>
        <v/>
      </c>
      <c r="BK821" s="272" t="str">
        <f>IFERROR(VLOOKUP($A821,Devengado!$A$1:$AI$1,30,FALSE),"")</f>
        <v/>
      </c>
      <c r="BL821" s="272" t="str">
        <f>IFERROR(VLOOKUP($A821,Devengado!$A$1:$AI$1,31,FALSE),"")</f>
        <v/>
      </c>
      <c r="BM821" s="272" t="str">
        <f>IFERROR(VLOOKUP($A821,Devengado!$A$1:$AI$1,32,FALSE),"")</f>
        <v/>
      </c>
      <c r="BN821" s="272" t="str">
        <f>IFERROR(VLOOKUP($A821,Devengado!$A$1:$AI$1,33,FALSE),"")</f>
        <v/>
      </c>
      <c r="BO821" s="272">
        <f t="shared" si="109"/>
        <v>0</v>
      </c>
      <c r="BP821" s="272" t="str">
        <f t="shared" si="100"/>
        <v/>
      </c>
      <c r="BQ821" s="272"/>
      <c r="BR821" s="207" t="str">
        <f t="shared" si="108"/>
        <v>53</v>
      </c>
    </row>
    <row r="822" spans="1:70" ht="25.5" customHeight="1">
      <c r="A822" s="207">
        <f t="shared" si="106"/>
        <v>818</v>
      </c>
      <c r="B822" s="207" t="s">
        <v>429</v>
      </c>
      <c r="C822" s="207" t="s">
        <v>77</v>
      </c>
      <c r="D822" s="207" t="s">
        <v>77</v>
      </c>
      <c r="E822" s="207" t="s">
        <v>76</v>
      </c>
      <c r="F822" s="207" t="s">
        <v>77</v>
      </c>
      <c r="G822" s="207" t="s">
        <v>77</v>
      </c>
      <c r="H822" s="207" t="s">
        <v>77</v>
      </c>
      <c r="I822" s="207" t="s">
        <v>77</v>
      </c>
      <c r="J822" s="207" t="s">
        <v>77</v>
      </c>
      <c r="K822" s="207" t="s">
        <v>77</v>
      </c>
      <c r="L822" s="207" t="s">
        <v>85</v>
      </c>
      <c r="M822" s="207" t="s">
        <v>754</v>
      </c>
      <c r="N822" s="114" t="s">
        <v>430</v>
      </c>
      <c r="O822" s="114" t="s">
        <v>111</v>
      </c>
      <c r="P822" s="114" t="s">
        <v>81</v>
      </c>
      <c r="Q822" s="114" t="s">
        <v>112</v>
      </c>
      <c r="R822" s="115" t="str">
        <f t="shared" si="96"/>
        <v>53</v>
      </c>
      <c r="S822" s="269">
        <v>530205</v>
      </c>
      <c r="T822" s="207" t="str">
        <f>VLOOKUP(S822,ITEM!$C$1:$D$156,2,FALSE)</f>
        <v>Espectáculos Culturales y Sociales</v>
      </c>
      <c r="U822" s="207">
        <v>1309</v>
      </c>
      <c r="V822" s="114" t="s">
        <v>82</v>
      </c>
      <c r="W822" s="114" t="s">
        <v>84</v>
      </c>
      <c r="X822" s="114" t="s">
        <v>84</v>
      </c>
      <c r="Y822" s="272">
        <f>'Matriz POA 2024-TRABAJO'!AS110</f>
        <v>5991.5</v>
      </c>
      <c r="Z822" s="272">
        <f>'Matriz POA 2024-TRABAJO'!AT110</f>
        <v>0</v>
      </c>
      <c r="AA822" s="272">
        <f>'Matriz POA 2024-TRABAJO'!AU110</f>
        <v>5991.5</v>
      </c>
      <c r="AB822" s="272"/>
      <c r="AC822" s="272"/>
      <c r="AD822" s="272"/>
      <c r="AE822" s="272">
        <v>2500</v>
      </c>
      <c r="AF822" s="272"/>
      <c r="AG822" s="272">
        <v>2500</v>
      </c>
      <c r="AH822" s="272"/>
      <c r="AI822" s="272"/>
      <c r="AJ822" s="272"/>
      <c r="AK822" s="272"/>
      <c r="AL822" s="272"/>
      <c r="AM822" s="272"/>
      <c r="AN822" s="272" t="e">
        <f>SUM(#REF!)</f>
        <v>#REF!</v>
      </c>
      <c r="AO822" s="224">
        <f t="shared" si="97"/>
        <v>5000</v>
      </c>
      <c r="AP822" s="224">
        <f t="shared" si="102"/>
        <v>-991.5</v>
      </c>
      <c r="AQ822" s="272"/>
      <c r="AR822" s="272"/>
      <c r="AS822" s="272"/>
      <c r="AT822" s="272">
        <f>IFERROR(VLOOKUP($A822,'Constancias POA'!$A$2:$DH$9993,17,FALSE),"")</f>
        <v>5991.5</v>
      </c>
      <c r="AU822" s="272">
        <f t="shared" si="107"/>
        <v>0</v>
      </c>
      <c r="AV822" s="224">
        <f>IFERROR(VLOOKUP($A822,CP!$A$1:$U$7992,18,FALSE),"")</f>
        <v>5991.5</v>
      </c>
      <c r="AW822" s="224">
        <f>IFERROR(VLOOKUP($A822,CP!$A$1:$U$7992,19,FALSE),"")</f>
        <v>5990</v>
      </c>
      <c r="AX822" s="224">
        <f>IFERROR(VLOOKUP($A822,CP!$A$1:$U$7992,20,FALSE),"")</f>
        <v>1.5</v>
      </c>
      <c r="AY822" s="272" t="str">
        <f>IFERROR(VLOOKUP($A822,CP!$A$1:$U$1,21,FALSE),"")</f>
        <v/>
      </c>
      <c r="AZ822" s="224" t="str">
        <f>IFERROR(VLOOKUP(A822,Devengado!$A$1:AJ1,35,FALSE),"")</f>
        <v/>
      </c>
      <c r="BA822" s="224" t="str">
        <f t="shared" si="98"/>
        <v/>
      </c>
      <c r="BB822" s="224" t="str">
        <f>IFERROR(AZ822/#REF!,"")</f>
        <v/>
      </c>
      <c r="BC822" s="272" t="str">
        <f>IFERROR(VLOOKUP($A822,Devengado!$A$1:$AI$1,22,FALSE),"")</f>
        <v/>
      </c>
      <c r="BD822" s="272" t="str">
        <f>IFERROR(VLOOKUP($A822,Devengado!$A$1:$AI$1,23,FALSE),"")</f>
        <v/>
      </c>
      <c r="BE822" s="272" t="str">
        <f>IFERROR(VLOOKUP($A822,Devengado!$A$1:$AI$1,24,FALSE),"")</f>
        <v/>
      </c>
      <c r="BF822" s="272" t="str">
        <f>IFERROR(VLOOKUP($A822,Devengado!$A$1:$AI$1,25,FALSE),"")</f>
        <v/>
      </c>
      <c r="BG822" s="272" t="str">
        <f>IFERROR(VLOOKUP($A822,Devengado!$A$1:$AI$1,26,FALSE),"")</f>
        <v/>
      </c>
      <c r="BH822" s="272" t="str">
        <f>IFERROR(VLOOKUP($A822,Devengado!$A$1:$AI$1,27,FALSE),"")</f>
        <v/>
      </c>
      <c r="BI822" s="272" t="str">
        <f>IFERROR(VLOOKUP($A822,Devengado!$A$1:$AI$1,28,FALSE),"")</f>
        <v/>
      </c>
      <c r="BJ822" s="272" t="str">
        <f>IFERROR(VLOOKUP($A822,Devengado!$A$1:$AI$1,29,FALSE),"")</f>
        <v/>
      </c>
      <c r="BK822" s="272" t="str">
        <f>IFERROR(VLOOKUP($A822,Devengado!$A$1:$AI$1,30,FALSE),"")</f>
        <v/>
      </c>
      <c r="BL822" s="272" t="str">
        <f>IFERROR(VLOOKUP($A822,Devengado!$A$1:$AI$1,31,FALSE),"")</f>
        <v/>
      </c>
      <c r="BM822" s="272" t="str">
        <f>IFERROR(VLOOKUP($A822,Devengado!$A$1:$AI$1,32,FALSE),"")</f>
        <v/>
      </c>
      <c r="BN822" s="272" t="str">
        <f>IFERROR(VLOOKUP($A822,Devengado!$A$1:$AI$1,33,FALSE),"")</f>
        <v/>
      </c>
      <c r="BO822" s="272">
        <f t="shared" si="109"/>
        <v>0</v>
      </c>
      <c r="BP822" s="272" t="str">
        <f t="shared" si="100"/>
        <v/>
      </c>
      <c r="BQ822" s="272"/>
      <c r="BR822" s="207" t="str">
        <f t="shared" si="108"/>
        <v>53</v>
      </c>
    </row>
    <row r="823" spans="1:70" ht="25.5" customHeight="1">
      <c r="A823" s="207">
        <f t="shared" si="106"/>
        <v>819</v>
      </c>
      <c r="B823" s="207" t="s">
        <v>429</v>
      </c>
      <c r="C823" s="207" t="s">
        <v>77</v>
      </c>
      <c r="D823" s="207" t="s">
        <v>77</v>
      </c>
      <c r="E823" s="207" t="s">
        <v>76</v>
      </c>
      <c r="F823" s="207" t="s">
        <v>77</v>
      </c>
      <c r="G823" s="207" t="s">
        <v>77</v>
      </c>
      <c r="H823" s="207" t="s">
        <v>77</v>
      </c>
      <c r="I823" s="207" t="s">
        <v>77</v>
      </c>
      <c r="J823" s="207" t="s">
        <v>77</v>
      </c>
      <c r="K823" s="207" t="s">
        <v>77</v>
      </c>
      <c r="L823" s="207" t="s">
        <v>85</v>
      </c>
      <c r="M823" s="207" t="s">
        <v>784</v>
      </c>
      <c r="N823" s="114" t="s">
        <v>430</v>
      </c>
      <c r="O823" s="114" t="s">
        <v>111</v>
      </c>
      <c r="P823" s="114" t="s">
        <v>81</v>
      </c>
      <c r="Q823" s="114" t="s">
        <v>112</v>
      </c>
      <c r="R823" s="115" t="str">
        <f t="shared" si="96"/>
        <v>53</v>
      </c>
      <c r="S823" s="269">
        <v>530402</v>
      </c>
      <c r="T823" s="207" t="str">
        <f>VLOOKUP(S823,ITEM!$C$1:$D$156,2,FALSE)</f>
        <v>Edificios, Locales, Residencias y Cableado Estructurado (Instalación, Mantenimiento y Reparación)</v>
      </c>
      <c r="U823" s="207">
        <v>1308</v>
      </c>
      <c r="V823" s="114" t="s">
        <v>82</v>
      </c>
      <c r="W823" s="114" t="s">
        <v>84</v>
      </c>
      <c r="X823" s="114" t="s">
        <v>84</v>
      </c>
      <c r="Y823" s="272">
        <f>'Matriz POA 2024-TRABAJO'!AS111</f>
        <v>4830</v>
      </c>
      <c r="Z823" s="272">
        <f>'Matriz POA 2024-TRABAJO'!AT111</f>
        <v>0</v>
      </c>
      <c r="AA823" s="272">
        <f>'Matriz POA 2024-TRABAJO'!AU111</f>
        <v>4830</v>
      </c>
      <c r="AB823" s="272"/>
      <c r="AC823" s="272"/>
      <c r="AD823" s="272">
        <v>5000</v>
      </c>
      <c r="AE823" s="272"/>
      <c r="AF823" s="272"/>
      <c r="AG823" s="272"/>
      <c r="AH823" s="272"/>
      <c r="AI823" s="272"/>
      <c r="AJ823" s="272"/>
      <c r="AK823" s="272"/>
      <c r="AL823" s="272"/>
      <c r="AM823" s="272"/>
      <c r="AN823" s="272" t="e">
        <f>SUM(#REF!)</f>
        <v>#REF!</v>
      </c>
      <c r="AO823" s="224">
        <f t="shared" si="97"/>
        <v>5000</v>
      </c>
      <c r="AP823" s="224">
        <f t="shared" si="102"/>
        <v>170</v>
      </c>
      <c r="AQ823" s="272"/>
      <c r="AR823" s="272"/>
      <c r="AS823" s="272"/>
      <c r="AT823" s="272">
        <f>IFERROR(VLOOKUP($A823,'Constancias POA'!$A$2:$DH$9993,17,FALSE),"")</f>
        <v>4830</v>
      </c>
      <c r="AU823" s="272">
        <f t="shared" si="107"/>
        <v>0</v>
      </c>
      <c r="AV823" s="224">
        <f>IFERROR(VLOOKUP($A823,CP!$A$1:$U$7992,18,FALSE),"")</f>
        <v>0</v>
      </c>
      <c r="AW823" s="224">
        <f>IFERROR(VLOOKUP($A823,CP!$A$1:$U$7992,19,FALSE),"")</f>
        <v>4830</v>
      </c>
      <c r="AX823" s="224">
        <f>IFERROR(VLOOKUP($A823,CP!$A$1:$U$7992,20,FALSE),"")</f>
        <v>0</v>
      </c>
      <c r="AY823" s="272" t="str">
        <f>IFERROR(VLOOKUP($A823,CP!$A$1:$U$1,21,FALSE),"")</f>
        <v/>
      </c>
      <c r="AZ823" s="224" t="str">
        <f>IFERROR(VLOOKUP(A823,Devengado!$A$1:AJ1,35,FALSE),"")</f>
        <v/>
      </c>
      <c r="BA823" s="224" t="str">
        <f t="shared" si="98"/>
        <v/>
      </c>
      <c r="BB823" s="224" t="str">
        <f>IFERROR(AZ823/#REF!,"")</f>
        <v/>
      </c>
      <c r="BC823" s="272" t="str">
        <f>IFERROR(VLOOKUP($A823,Devengado!$A$1:$AI$1,22,FALSE),"")</f>
        <v/>
      </c>
      <c r="BD823" s="272" t="str">
        <f>IFERROR(VLOOKUP($A823,Devengado!$A$1:$AI$1,23,FALSE),"")</f>
        <v/>
      </c>
      <c r="BE823" s="272" t="str">
        <f>IFERROR(VLOOKUP($A823,Devengado!$A$1:$AI$1,24,FALSE),"")</f>
        <v/>
      </c>
      <c r="BF823" s="272" t="str">
        <f>IFERROR(VLOOKUP($A823,Devengado!$A$1:$AI$1,25,FALSE),"")</f>
        <v/>
      </c>
      <c r="BG823" s="272" t="str">
        <f>IFERROR(VLOOKUP($A823,Devengado!$A$1:$AI$1,26,FALSE),"")</f>
        <v/>
      </c>
      <c r="BH823" s="272" t="str">
        <f>IFERROR(VLOOKUP($A823,Devengado!$A$1:$AI$1,27,FALSE),"")</f>
        <v/>
      </c>
      <c r="BI823" s="272" t="str">
        <f>IFERROR(VLOOKUP($A823,Devengado!$A$1:$AI$1,28,FALSE),"")</f>
        <v/>
      </c>
      <c r="BJ823" s="272" t="str">
        <f>IFERROR(VLOOKUP($A823,Devengado!$A$1:$AI$1,29,FALSE),"")</f>
        <v/>
      </c>
      <c r="BK823" s="272" t="str">
        <f>IFERROR(VLOOKUP($A823,Devengado!$A$1:$AI$1,30,FALSE),"")</f>
        <v/>
      </c>
      <c r="BL823" s="272" t="str">
        <f>IFERROR(VLOOKUP($A823,Devengado!$A$1:$AI$1,31,FALSE),"")</f>
        <v/>
      </c>
      <c r="BM823" s="272" t="str">
        <f>IFERROR(VLOOKUP($A823,Devengado!$A$1:$AI$1,32,FALSE),"")</f>
        <v/>
      </c>
      <c r="BN823" s="272" t="str">
        <f>IFERROR(VLOOKUP($A823,Devengado!$A$1:$AI$1,33,FALSE),"")</f>
        <v/>
      </c>
      <c r="BO823" s="272">
        <f t="shared" si="109"/>
        <v>0</v>
      </c>
      <c r="BP823" s="272" t="str">
        <f t="shared" si="100"/>
        <v/>
      </c>
      <c r="BQ823" s="272"/>
      <c r="BR823" s="207" t="str">
        <f t="shared" si="108"/>
        <v>53</v>
      </c>
    </row>
    <row r="824" spans="1:70" ht="25.5" customHeight="1">
      <c r="A824" s="207">
        <f t="shared" si="106"/>
        <v>820</v>
      </c>
      <c r="B824" s="207" t="s">
        <v>429</v>
      </c>
      <c r="C824" s="207" t="s">
        <v>77</v>
      </c>
      <c r="D824" s="207" t="s">
        <v>77</v>
      </c>
      <c r="E824" s="207" t="s">
        <v>76</v>
      </c>
      <c r="F824" s="207" t="s">
        <v>77</v>
      </c>
      <c r="G824" s="207" t="s">
        <v>77</v>
      </c>
      <c r="H824" s="207" t="s">
        <v>77</v>
      </c>
      <c r="I824" s="207" t="s">
        <v>77</v>
      </c>
      <c r="J824" s="207" t="s">
        <v>77</v>
      </c>
      <c r="K824" s="207" t="s">
        <v>77</v>
      </c>
      <c r="L824" s="207" t="s">
        <v>85</v>
      </c>
      <c r="M824" s="207" t="s">
        <v>785</v>
      </c>
      <c r="N824" s="114" t="s">
        <v>430</v>
      </c>
      <c r="O824" s="114" t="s">
        <v>111</v>
      </c>
      <c r="P824" s="114" t="s">
        <v>81</v>
      </c>
      <c r="Q824" s="114" t="s">
        <v>112</v>
      </c>
      <c r="R824" s="115" t="str">
        <f t="shared" si="96"/>
        <v>53</v>
      </c>
      <c r="S824" s="269">
        <v>530403</v>
      </c>
      <c r="T824" s="207" t="str">
        <f>VLOOKUP(S824,ITEM!$C$1:$D$156,2,FALSE)</f>
        <v>Mobiliarios  (Instalación, Mantenimiento y Reparación)</v>
      </c>
      <c r="U824" s="207">
        <v>1301</v>
      </c>
      <c r="V824" s="114" t="s">
        <v>82</v>
      </c>
      <c r="W824" s="114" t="s">
        <v>84</v>
      </c>
      <c r="X824" s="114" t="s">
        <v>84</v>
      </c>
      <c r="Y824" s="272">
        <f>'Matriz POA 2024-TRABAJO'!AS112</f>
        <v>0</v>
      </c>
      <c r="Z824" s="272">
        <f>'Matriz POA 2024-TRABAJO'!AT112</f>
        <v>0</v>
      </c>
      <c r="AA824" s="272">
        <f>'Matriz POA 2024-TRABAJO'!AU112</f>
        <v>0</v>
      </c>
      <c r="AB824" s="272"/>
      <c r="AC824" s="272"/>
      <c r="AD824" s="272"/>
      <c r="AE824" s="272"/>
      <c r="AF824" s="272"/>
      <c r="AG824" s="272">
        <v>5000</v>
      </c>
      <c r="AH824" s="272"/>
      <c r="AI824" s="272"/>
      <c r="AJ824" s="272"/>
      <c r="AK824" s="272"/>
      <c r="AL824" s="272"/>
      <c r="AM824" s="272"/>
      <c r="AN824" s="272" t="e">
        <f>SUM(#REF!)</f>
        <v>#REF!</v>
      </c>
      <c r="AO824" s="224">
        <f t="shared" si="97"/>
        <v>5000</v>
      </c>
      <c r="AP824" s="224">
        <f t="shared" si="102"/>
        <v>5000</v>
      </c>
      <c r="AQ824" s="272"/>
      <c r="AR824" s="272"/>
      <c r="AS824" s="272"/>
      <c r="AT824" s="272">
        <f>IFERROR(VLOOKUP($A824,'Constancias POA'!$A$2:$DH$9993,17,FALSE),"")</f>
        <v>0</v>
      </c>
      <c r="AU824" s="272">
        <f t="shared" si="107"/>
        <v>0</v>
      </c>
      <c r="AV824" s="224">
        <f>IFERROR(VLOOKUP($A824,CP!$A$1:$U$7992,18,FALSE),"")</f>
        <v>0</v>
      </c>
      <c r="AW824" s="224">
        <f>IFERROR(VLOOKUP($A824,CP!$A$1:$U$7992,19,FALSE),"")</f>
        <v>0</v>
      </c>
      <c r="AX824" s="224">
        <f>IFERROR(VLOOKUP($A824,CP!$A$1:$U$7992,20,FALSE),"")</f>
        <v>0</v>
      </c>
      <c r="AY824" s="272" t="str">
        <f>IFERROR(VLOOKUP($A824,CP!$A$1:$U$1,21,FALSE),"")</f>
        <v/>
      </c>
      <c r="AZ824" s="224" t="str">
        <f>IFERROR(VLOOKUP(A824,Devengado!$A$1:AJ1,35,FALSE),"")</f>
        <v/>
      </c>
      <c r="BA824" s="224" t="str">
        <f t="shared" si="98"/>
        <v/>
      </c>
      <c r="BB824" s="224" t="str">
        <f>IFERROR(AZ824/#REF!,"")</f>
        <v/>
      </c>
      <c r="BC824" s="272" t="str">
        <f>IFERROR(VLOOKUP($A824,Devengado!$A$1:$AI$1,22,FALSE),"")</f>
        <v/>
      </c>
      <c r="BD824" s="272" t="str">
        <f>IFERROR(VLOOKUP($A824,Devengado!$A$1:$AI$1,23,FALSE),"")</f>
        <v/>
      </c>
      <c r="BE824" s="272" t="str">
        <f>IFERROR(VLOOKUP($A824,Devengado!$A$1:$AI$1,24,FALSE),"")</f>
        <v/>
      </c>
      <c r="BF824" s="272" t="str">
        <f>IFERROR(VLOOKUP($A824,Devengado!$A$1:$AI$1,25,FALSE),"")</f>
        <v/>
      </c>
      <c r="BG824" s="272" t="str">
        <f>IFERROR(VLOOKUP($A824,Devengado!$A$1:$AI$1,26,FALSE),"")</f>
        <v/>
      </c>
      <c r="BH824" s="272" t="str">
        <f>IFERROR(VLOOKUP($A824,Devengado!$A$1:$AI$1,27,FALSE),"")</f>
        <v/>
      </c>
      <c r="BI824" s="272" t="str">
        <f>IFERROR(VLOOKUP($A824,Devengado!$A$1:$AI$1,28,FALSE),"")</f>
        <v/>
      </c>
      <c r="BJ824" s="272" t="str">
        <f>IFERROR(VLOOKUP($A824,Devengado!$A$1:$AI$1,29,FALSE),"")</f>
        <v/>
      </c>
      <c r="BK824" s="272" t="str">
        <f>IFERROR(VLOOKUP($A824,Devengado!$A$1:$AI$1,30,FALSE),"")</f>
        <v/>
      </c>
      <c r="BL824" s="272" t="str">
        <f>IFERROR(VLOOKUP($A824,Devengado!$A$1:$AI$1,31,FALSE),"")</f>
        <v/>
      </c>
      <c r="BM824" s="272" t="str">
        <f>IFERROR(VLOOKUP($A824,Devengado!$A$1:$AI$1,32,FALSE),"")</f>
        <v/>
      </c>
      <c r="BN824" s="272" t="str">
        <f>IFERROR(VLOOKUP($A824,Devengado!$A$1:$AI$1,33,FALSE),"")</f>
        <v/>
      </c>
      <c r="BO824" s="272">
        <f t="shared" si="109"/>
        <v>0</v>
      </c>
      <c r="BP824" s="272" t="str">
        <f t="shared" si="100"/>
        <v/>
      </c>
      <c r="BQ824" s="272"/>
      <c r="BR824" s="207" t="str">
        <f t="shared" si="108"/>
        <v>53</v>
      </c>
    </row>
    <row r="825" spans="1:70" ht="25.5" customHeight="1">
      <c r="A825" s="207">
        <f t="shared" si="106"/>
        <v>821</v>
      </c>
      <c r="B825" s="207" t="s">
        <v>429</v>
      </c>
      <c r="C825" s="207" t="s">
        <v>77</v>
      </c>
      <c r="D825" s="207" t="s">
        <v>77</v>
      </c>
      <c r="E825" s="207" t="s">
        <v>76</v>
      </c>
      <c r="F825" s="207" t="s">
        <v>77</v>
      </c>
      <c r="G825" s="207" t="s">
        <v>77</v>
      </c>
      <c r="H825" s="207" t="s">
        <v>77</v>
      </c>
      <c r="I825" s="207" t="s">
        <v>77</v>
      </c>
      <c r="J825" s="207" t="s">
        <v>77</v>
      </c>
      <c r="K825" s="207" t="s">
        <v>77</v>
      </c>
      <c r="L825" s="207" t="s">
        <v>85</v>
      </c>
      <c r="M825" s="207" t="s">
        <v>786</v>
      </c>
      <c r="N825" s="114" t="s">
        <v>430</v>
      </c>
      <c r="O825" s="114" t="s">
        <v>111</v>
      </c>
      <c r="P825" s="114" t="s">
        <v>81</v>
      </c>
      <c r="Q825" s="114" t="s">
        <v>112</v>
      </c>
      <c r="R825" s="115" t="str">
        <f t="shared" si="96"/>
        <v>53</v>
      </c>
      <c r="S825" s="269">
        <v>530404</v>
      </c>
      <c r="T825" s="207" t="str">
        <f>VLOOKUP(S825,ITEM!$C$1:$D$156,2,FALSE)</f>
        <v>Maquinarias y Equipos (Instalación, Mantenimiento y Reparación)</v>
      </c>
      <c r="U825" s="207">
        <v>1314</v>
      </c>
      <c r="V825" s="114" t="s">
        <v>82</v>
      </c>
      <c r="W825" s="114" t="s">
        <v>84</v>
      </c>
      <c r="X825" s="114" t="s">
        <v>84</v>
      </c>
      <c r="Y825" s="272">
        <f>'Matriz POA 2024-TRABAJO'!AS113</f>
        <v>0</v>
      </c>
      <c r="Z825" s="272">
        <f>'Matriz POA 2024-TRABAJO'!AT113</f>
        <v>0</v>
      </c>
      <c r="AA825" s="272">
        <f>'Matriz POA 2024-TRABAJO'!AU113</f>
        <v>0</v>
      </c>
      <c r="AB825" s="272"/>
      <c r="AC825" s="272"/>
      <c r="AD825" s="272"/>
      <c r="AE825" s="272">
        <v>5000</v>
      </c>
      <c r="AF825" s="272"/>
      <c r="AG825" s="272"/>
      <c r="AH825" s="272"/>
      <c r="AI825" s="272"/>
      <c r="AJ825" s="272"/>
      <c r="AK825" s="272"/>
      <c r="AL825" s="272"/>
      <c r="AM825" s="272"/>
      <c r="AN825" s="272" t="e">
        <f>SUM(#REF!)</f>
        <v>#REF!</v>
      </c>
      <c r="AO825" s="224">
        <f t="shared" si="97"/>
        <v>5000</v>
      </c>
      <c r="AP825" s="224">
        <f t="shared" si="102"/>
        <v>5000</v>
      </c>
      <c r="AQ825" s="272"/>
      <c r="AR825" s="272"/>
      <c r="AS825" s="272"/>
      <c r="AT825" s="272" t="str">
        <f>IFERROR(VLOOKUP($A825,'Constancias POA'!$A$2:$DH$9993,17,FALSE),"")</f>
        <v/>
      </c>
      <c r="AU825" s="272" t="str">
        <f t="shared" si="107"/>
        <v/>
      </c>
      <c r="AV825" s="224" t="str">
        <f>IFERROR(VLOOKUP($A825,CP!$A$1:$U$7992,18,FALSE),"")</f>
        <v/>
      </c>
      <c r="AW825" s="224" t="str">
        <f>IFERROR(VLOOKUP($A825,CP!$A$1:$U$7992,19,FALSE),"")</f>
        <v/>
      </c>
      <c r="AX825" s="224" t="str">
        <f>IFERROR(VLOOKUP($A825,CP!$A$1:$U$7992,20,FALSE),"")</f>
        <v/>
      </c>
      <c r="AY825" s="272" t="str">
        <f>IFERROR(VLOOKUP($A825,CP!$A$1:$U$1,21,FALSE),"")</f>
        <v/>
      </c>
      <c r="AZ825" s="224" t="str">
        <f>IFERROR(VLOOKUP(A825,Devengado!$A$1:AJ1,35,FALSE),"")</f>
        <v/>
      </c>
      <c r="BA825" s="224" t="str">
        <f t="shared" si="98"/>
        <v/>
      </c>
      <c r="BB825" s="224" t="str">
        <f>IFERROR(AZ825/#REF!,"")</f>
        <v/>
      </c>
      <c r="BC825" s="272" t="str">
        <f>IFERROR(VLOOKUP($A825,Devengado!$A$1:$AI$1,22,FALSE),"")</f>
        <v/>
      </c>
      <c r="BD825" s="272" t="str">
        <f>IFERROR(VLOOKUP($A825,Devengado!$A$1:$AI$1,23,FALSE),"")</f>
        <v/>
      </c>
      <c r="BE825" s="272" t="str">
        <f>IFERROR(VLOOKUP($A825,Devengado!$A$1:$AI$1,24,FALSE),"")</f>
        <v/>
      </c>
      <c r="BF825" s="272" t="str">
        <f>IFERROR(VLOOKUP($A825,Devengado!$A$1:$AI$1,25,FALSE),"")</f>
        <v/>
      </c>
      <c r="BG825" s="272" t="str">
        <f>IFERROR(VLOOKUP($A825,Devengado!$A$1:$AI$1,26,FALSE),"")</f>
        <v/>
      </c>
      <c r="BH825" s="272" t="str">
        <f>IFERROR(VLOOKUP($A825,Devengado!$A$1:$AI$1,27,FALSE),"")</f>
        <v/>
      </c>
      <c r="BI825" s="272" t="str">
        <f>IFERROR(VLOOKUP($A825,Devengado!$A$1:$AI$1,28,FALSE),"")</f>
        <v/>
      </c>
      <c r="BJ825" s="272" t="str">
        <f>IFERROR(VLOOKUP($A825,Devengado!$A$1:$AI$1,29,FALSE),"")</f>
        <v/>
      </c>
      <c r="BK825" s="272" t="str">
        <f>IFERROR(VLOOKUP($A825,Devengado!$A$1:$AI$1,30,FALSE),"")</f>
        <v/>
      </c>
      <c r="BL825" s="272" t="str">
        <f>IFERROR(VLOOKUP($A825,Devengado!$A$1:$AI$1,31,FALSE),"")</f>
        <v/>
      </c>
      <c r="BM825" s="272" t="str">
        <f>IFERROR(VLOOKUP($A825,Devengado!$A$1:$AI$1,32,FALSE),"")</f>
        <v/>
      </c>
      <c r="BN825" s="272" t="str">
        <f>IFERROR(VLOOKUP($A825,Devengado!$A$1:$AI$1,33,FALSE),"")</f>
        <v/>
      </c>
      <c r="BO825" s="272">
        <f t="shared" si="109"/>
        <v>0</v>
      </c>
      <c r="BP825" s="272" t="str">
        <f t="shared" si="100"/>
        <v/>
      </c>
      <c r="BQ825" s="272"/>
      <c r="BR825" s="207" t="str">
        <f t="shared" si="108"/>
        <v>53</v>
      </c>
    </row>
    <row r="826" spans="1:70" ht="25.5" customHeight="1">
      <c r="A826" s="207">
        <f t="shared" si="106"/>
        <v>822</v>
      </c>
      <c r="B826" s="112" t="s">
        <v>348</v>
      </c>
      <c r="C826" s="112" t="s">
        <v>77</v>
      </c>
      <c r="D826" s="112" t="s">
        <v>77</v>
      </c>
      <c r="E826" s="112" t="s">
        <v>76</v>
      </c>
      <c r="F826" s="112" t="s">
        <v>77</v>
      </c>
      <c r="G826" s="112" t="s">
        <v>77</v>
      </c>
      <c r="H826" s="112" t="s">
        <v>77</v>
      </c>
      <c r="I826" s="112" t="s">
        <v>77</v>
      </c>
      <c r="J826" s="112" t="s">
        <v>77</v>
      </c>
      <c r="K826" s="112" t="s">
        <v>77</v>
      </c>
      <c r="L826" s="112" t="s">
        <v>85</v>
      </c>
      <c r="M826" s="221" t="s">
        <v>787</v>
      </c>
      <c r="N826" s="118" t="s">
        <v>350</v>
      </c>
      <c r="O826" s="222">
        <v>80</v>
      </c>
      <c r="P826" s="222" t="s">
        <v>81</v>
      </c>
      <c r="Q826" s="222" t="s">
        <v>112</v>
      </c>
      <c r="R826" s="115" t="str">
        <f t="shared" si="96"/>
        <v>53</v>
      </c>
      <c r="S826" s="221">
        <v>530204</v>
      </c>
      <c r="T826" s="207" t="str">
        <f>VLOOKUP(S826,ITEM!$C$1:$D$156,2,FALSE)</f>
        <v>Edición, Impresión, Reproducción, Publicaciones, Suscripciones, Fotocopiado, Traducción, Empastado, Enmarcación,
Serigrafía, Fotografía, Carnetización, Filmación e Imágenes Satelitales.</v>
      </c>
      <c r="U826" s="221">
        <v>1701</v>
      </c>
      <c r="V826" s="222" t="s">
        <v>82</v>
      </c>
      <c r="W826" s="221" t="s">
        <v>84</v>
      </c>
      <c r="X826" s="221" t="s">
        <v>84</v>
      </c>
      <c r="Y826" s="272" t="e">
        <f>'Matriz POA 2024-TRABAJO'!#REF!</f>
        <v>#REF!</v>
      </c>
      <c r="Z826" s="272" t="e">
        <f>'Matriz POA 2024-TRABAJO'!#REF!</f>
        <v>#REF!</v>
      </c>
      <c r="AA826" s="272" t="e">
        <f>'Matriz POA 2024-TRABAJO'!#REF!</f>
        <v>#REF!</v>
      </c>
      <c r="AB826" s="272">
        <v>0</v>
      </c>
      <c r="AC826" s="272">
        <v>0</v>
      </c>
      <c r="AD826" s="272">
        <v>0</v>
      </c>
      <c r="AE826" s="272">
        <v>21558.97</v>
      </c>
      <c r="AF826" s="272">
        <v>0</v>
      </c>
      <c r="AG826" s="272">
        <v>0</v>
      </c>
      <c r="AH826" s="272">
        <v>0</v>
      </c>
      <c r="AI826" s="272">
        <v>0</v>
      </c>
      <c r="AJ826" s="272">
        <v>0</v>
      </c>
      <c r="AK826" s="272">
        <v>0</v>
      </c>
      <c r="AL826" s="272">
        <v>0</v>
      </c>
      <c r="AM826" s="272">
        <v>0</v>
      </c>
      <c r="AN826" s="272" t="e">
        <f>SUM(#REF!)</f>
        <v>#REF!</v>
      </c>
      <c r="AO826" s="224">
        <f t="shared" si="97"/>
        <v>21558.97</v>
      </c>
      <c r="AP826" s="224" t="e">
        <f t="shared" si="102"/>
        <v>#REF!</v>
      </c>
      <c r="AQ826" s="272"/>
      <c r="AR826" s="272"/>
      <c r="AS826" s="272"/>
      <c r="AT826" s="272" t="str">
        <f>IFERROR(VLOOKUP($A826,'Constancias POA'!$A$2:$DH$9993,17,FALSE),"")</f>
        <v/>
      </c>
      <c r="AU826" s="272" t="str">
        <f t="shared" si="107"/>
        <v/>
      </c>
      <c r="AV826" s="224" t="str">
        <f>IFERROR(VLOOKUP($A826,CP!$A$1:$U$7992,18,FALSE),"")</f>
        <v/>
      </c>
      <c r="AW826" s="224" t="str">
        <f>IFERROR(VLOOKUP($A826,CP!$A$1:$U$7992,19,FALSE),"")</f>
        <v/>
      </c>
      <c r="AX826" s="224" t="str">
        <f>IFERROR(VLOOKUP($A826,CP!$A$1:$U$7992,20,FALSE),"")</f>
        <v/>
      </c>
      <c r="AY826" s="272" t="str">
        <f>IFERROR(VLOOKUP($A826,CP!$A$1:$U$1,21,FALSE),"")</f>
        <v/>
      </c>
      <c r="AZ826" s="224" t="str">
        <f>IFERROR(VLOOKUP(A826,Devengado!$A$1:AJ1,35,FALSE),"")</f>
        <v/>
      </c>
      <c r="BA826" s="224" t="str">
        <f t="shared" si="98"/>
        <v/>
      </c>
      <c r="BB826" s="224" t="str">
        <f>IFERROR(AZ826/#REF!,"")</f>
        <v/>
      </c>
      <c r="BC826" s="272" t="str">
        <f>IFERROR(VLOOKUP($A826,Devengado!$A$1:$AI$1,22,FALSE),"")</f>
        <v/>
      </c>
      <c r="BD826" s="272" t="str">
        <f>IFERROR(VLOOKUP($A826,Devengado!$A$1:$AI$1,23,FALSE),"")</f>
        <v/>
      </c>
      <c r="BE826" s="272" t="str">
        <f>IFERROR(VLOOKUP($A826,Devengado!$A$1:$AI$1,24,FALSE),"")</f>
        <v/>
      </c>
      <c r="BF826" s="272" t="str">
        <f>IFERROR(VLOOKUP($A826,Devengado!$A$1:$AI$1,25,FALSE),"")</f>
        <v/>
      </c>
      <c r="BG826" s="272" t="str">
        <f>IFERROR(VLOOKUP($A826,Devengado!$A$1:$AI$1,26,FALSE),"")</f>
        <v/>
      </c>
      <c r="BH826" s="272" t="str">
        <f>IFERROR(VLOOKUP($A826,Devengado!$A$1:$AI$1,27,FALSE),"")</f>
        <v/>
      </c>
      <c r="BI826" s="272" t="str">
        <f>IFERROR(VLOOKUP($A826,Devengado!$A$1:$AI$1,28,FALSE),"")</f>
        <v/>
      </c>
      <c r="BJ826" s="272" t="str">
        <f>IFERROR(VLOOKUP($A826,Devengado!$A$1:$AI$1,29,FALSE),"")</f>
        <v/>
      </c>
      <c r="BK826" s="272" t="str">
        <f>IFERROR(VLOOKUP($A826,Devengado!$A$1:$AI$1,30,FALSE),"")</f>
        <v/>
      </c>
      <c r="BL826" s="272" t="str">
        <f>IFERROR(VLOOKUP($A826,Devengado!$A$1:$AI$1,31,FALSE),"")</f>
        <v/>
      </c>
      <c r="BM826" s="272" t="str">
        <f>IFERROR(VLOOKUP($A826,Devengado!$A$1:$AI$1,32,FALSE),"")</f>
        <v/>
      </c>
      <c r="BN826" s="272" t="str">
        <f>IFERROR(VLOOKUP($A826,Devengado!$A$1:$AI$1,33,FALSE),"")</f>
        <v/>
      </c>
      <c r="BO826" s="272">
        <f t="shared" si="109"/>
        <v>0</v>
      </c>
      <c r="BP826" s="272" t="str">
        <f t="shared" si="100"/>
        <v/>
      </c>
      <c r="BQ826" s="272"/>
      <c r="BR826" s="207" t="str">
        <f t="shared" si="108"/>
        <v>53</v>
      </c>
    </row>
    <row r="827" spans="1:70" ht="25.5" customHeight="1">
      <c r="A827" s="207">
        <f t="shared" si="106"/>
        <v>823</v>
      </c>
      <c r="B827" s="112" t="s">
        <v>348</v>
      </c>
      <c r="C827" s="112" t="s">
        <v>77</v>
      </c>
      <c r="D827" s="112" t="s">
        <v>77</v>
      </c>
      <c r="E827" s="112" t="s">
        <v>76</v>
      </c>
      <c r="F827" s="112" t="s">
        <v>77</v>
      </c>
      <c r="G827" s="112" t="s">
        <v>77</v>
      </c>
      <c r="H827" s="112" t="s">
        <v>77</v>
      </c>
      <c r="I827" s="112" t="s">
        <v>77</v>
      </c>
      <c r="J827" s="112" t="s">
        <v>77</v>
      </c>
      <c r="K827" s="112" t="s">
        <v>77</v>
      </c>
      <c r="L827" s="112" t="s">
        <v>85</v>
      </c>
      <c r="M827" s="221" t="s">
        <v>788</v>
      </c>
      <c r="N827" s="118" t="s">
        <v>350</v>
      </c>
      <c r="O827" s="222">
        <v>80</v>
      </c>
      <c r="P827" s="222" t="s">
        <v>81</v>
      </c>
      <c r="Q827" s="222" t="s">
        <v>112</v>
      </c>
      <c r="R827" s="115" t="str">
        <f t="shared" si="96"/>
        <v>53</v>
      </c>
      <c r="S827" s="221">
        <v>530402</v>
      </c>
      <c r="T827" s="207" t="str">
        <f>VLOOKUP(S827,ITEM!$C$1:$D$156,2,FALSE)</f>
        <v>Edificios, Locales, Residencias y Cableado Estructurado (Instalación, Mantenimiento y Reparación)</v>
      </c>
      <c r="U827" s="221">
        <v>1701</v>
      </c>
      <c r="V827" s="222" t="s">
        <v>82</v>
      </c>
      <c r="W827" s="221" t="s">
        <v>84</v>
      </c>
      <c r="X827" s="221" t="s">
        <v>84</v>
      </c>
      <c r="Y827" s="272" t="e">
        <f>'Matriz POA 2024-TRABAJO'!#REF!</f>
        <v>#REF!</v>
      </c>
      <c r="Z827" s="272" t="e">
        <f>'Matriz POA 2024-TRABAJO'!#REF!</f>
        <v>#REF!</v>
      </c>
      <c r="AA827" s="272" t="e">
        <f>'Matriz POA 2024-TRABAJO'!#REF!</f>
        <v>#REF!</v>
      </c>
      <c r="AB827" s="272">
        <v>0</v>
      </c>
      <c r="AC827" s="272">
        <v>0</v>
      </c>
      <c r="AD827" s="272">
        <v>0</v>
      </c>
      <c r="AE827" s="272">
        <v>6300</v>
      </c>
      <c r="AF827" s="272">
        <v>0</v>
      </c>
      <c r="AG827" s="272">
        <v>0</v>
      </c>
      <c r="AH827" s="272">
        <v>0</v>
      </c>
      <c r="AI827" s="272">
        <v>0</v>
      </c>
      <c r="AJ827" s="272">
        <v>0</v>
      </c>
      <c r="AK827" s="272">
        <v>0</v>
      </c>
      <c r="AL827" s="272">
        <v>0</v>
      </c>
      <c r="AM827" s="272">
        <v>0</v>
      </c>
      <c r="AN827" s="272" t="e">
        <f>SUM(#REF!)</f>
        <v>#REF!</v>
      </c>
      <c r="AO827" s="224">
        <f t="shared" si="97"/>
        <v>6300</v>
      </c>
      <c r="AP827" s="224" t="e">
        <f t="shared" si="102"/>
        <v>#REF!</v>
      </c>
      <c r="AQ827" s="272"/>
      <c r="AR827" s="272"/>
      <c r="AS827" s="272"/>
      <c r="AT827" s="272" t="str">
        <f>IFERROR(VLOOKUP($A827,'Constancias POA'!$A$2:$DH$9993,17,FALSE),"")</f>
        <v/>
      </c>
      <c r="AU827" s="272" t="str">
        <f t="shared" si="107"/>
        <v/>
      </c>
      <c r="AV827" s="224" t="str">
        <f>IFERROR(VLOOKUP($A827,CP!$A$1:$U$7992,18,FALSE),"")</f>
        <v/>
      </c>
      <c r="AW827" s="224" t="str">
        <f>IFERROR(VLOOKUP($A827,CP!$A$1:$U$7992,19,FALSE),"")</f>
        <v/>
      </c>
      <c r="AX827" s="224" t="str">
        <f>IFERROR(VLOOKUP($A827,CP!$A$1:$U$7992,20,FALSE),"")</f>
        <v/>
      </c>
      <c r="AY827" s="272" t="str">
        <f>IFERROR(VLOOKUP($A827,CP!$A$1:$U$1,21,FALSE),"")</f>
        <v/>
      </c>
      <c r="AZ827" s="224" t="str">
        <f>IFERROR(VLOOKUP(A827,Devengado!$A$1:AJ1,35,FALSE),"")</f>
        <v/>
      </c>
      <c r="BA827" s="224" t="str">
        <f t="shared" si="98"/>
        <v/>
      </c>
      <c r="BB827" s="224" t="str">
        <f>IFERROR(AZ827/#REF!,"")</f>
        <v/>
      </c>
      <c r="BC827" s="272" t="str">
        <f>IFERROR(VLOOKUP($A827,Devengado!$A$1:$AI$1,22,FALSE),"")</f>
        <v/>
      </c>
      <c r="BD827" s="272" t="str">
        <f>IFERROR(VLOOKUP($A827,Devengado!$A$1:$AI$1,23,FALSE),"")</f>
        <v/>
      </c>
      <c r="BE827" s="272" t="str">
        <f>IFERROR(VLOOKUP($A827,Devengado!$A$1:$AI$1,24,FALSE),"")</f>
        <v/>
      </c>
      <c r="BF827" s="272" t="str">
        <f>IFERROR(VLOOKUP($A827,Devengado!$A$1:$AI$1,25,FALSE),"")</f>
        <v/>
      </c>
      <c r="BG827" s="272" t="str">
        <f>IFERROR(VLOOKUP($A827,Devengado!$A$1:$AI$1,26,FALSE),"")</f>
        <v/>
      </c>
      <c r="BH827" s="272" t="str">
        <f>IFERROR(VLOOKUP($A827,Devengado!$A$1:$AI$1,27,FALSE),"")</f>
        <v/>
      </c>
      <c r="BI827" s="272" t="str">
        <f>IFERROR(VLOOKUP($A827,Devengado!$A$1:$AI$1,28,FALSE),"")</f>
        <v/>
      </c>
      <c r="BJ827" s="272" t="str">
        <f>IFERROR(VLOOKUP($A827,Devengado!$A$1:$AI$1,29,FALSE),"")</f>
        <v/>
      </c>
      <c r="BK827" s="272" t="str">
        <f>IFERROR(VLOOKUP($A827,Devengado!$A$1:$AI$1,30,FALSE),"")</f>
        <v/>
      </c>
      <c r="BL827" s="272" t="str">
        <f>IFERROR(VLOOKUP($A827,Devengado!$A$1:$AI$1,31,FALSE),"")</f>
        <v/>
      </c>
      <c r="BM827" s="272" t="str">
        <f>IFERROR(VLOOKUP($A827,Devengado!$A$1:$AI$1,32,FALSE),"")</f>
        <v/>
      </c>
      <c r="BN827" s="272" t="str">
        <f>IFERROR(VLOOKUP($A827,Devengado!$A$1:$AI$1,33,FALSE),"")</f>
        <v/>
      </c>
      <c r="BO827" s="272">
        <f t="shared" si="109"/>
        <v>0</v>
      </c>
      <c r="BP827" s="272" t="str">
        <f t="shared" si="100"/>
        <v/>
      </c>
      <c r="BQ827" s="272"/>
      <c r="BR827" s="207" t="str">
        <f t="shared" si="108"/>
        <v>53</v>
      </c>
    </row>
    <row r="828" spans="1:70" ht="25.5" customHeight="1">
      <c r="A828" s="207">
        <f t="shared" si="106"/>
        <v>824</v>
      </c>
      <c r="B828" s="112" t="s">
        <v>73</v>
      </c>
      <c r="C828" s="112" t="s">
        <v>187</v>
      </c>
      <c r="D828" s="125" t="s">
        <v>515</v>
      </c>
      <c r="E828" s="125" t="s">
        <v>76</v>
      </c>
      <c r="F828" s="112" t="s">
        <v>77</v>
      </c>
      <c r="G828" s="112" t="s">
        <v>77</v>
      </c>
      <c r="H828" s="112" t="s">
        <v>77</v>
      </c>
      <c r="I828" s="112" t="s">
        <v>77</v>
      </c>
      <c r="J828" s="112" t="s">
        <v>77</v>
      </c>
      <c r="K828" s="112" t="s">
        <v>77</v>
      </c>
      <c r="L828" s="112" t="s">
        <v>87</v>
      </c>
      <c r="M828" s="207" t="s">
        <v>789</v>
      </c>
      <c r="N828" s="126">
        <v>9999</v>
      </c>
      <c r="O828" s="114" t="s">
        <v>80</v>
      </c>
      <c r="P828" s="127" t="s">
        <v>81</v>
      </c>
      <c r="Q828" s="127" t="s">
        <v>82</v>
      </c>
      <c r="R828" s="115" t="str">
        <f t="shared" si="96"/>
        <v>99</v>
      </c>
      <c r="S828" s="221">
        <v>990102</v>
      </c>
      <c r="T828" s="207" t="e">
        <f>VLOOKUP(S828,ITEM!$C$1:$D$156,2,FALSE)</f>
        <v>#N/A</v>
      </c>
      <c r="U828" s="112">
        <v>1701</v>
      </c>
      <c r="V828" s="114" t="s">
        <v>82</v>
      </c>
      <c r="W828" s="114" t="s">
        <v>84</v>
      </c>
      <c r="X828" s="114" t="s">
        <v>84</v>
      </c>
      <c r="Y828" s="272" t="e">
        <f>'Matriz POA 2024-TRABAJO'!#REF!</f>
        <v>#REF!</v>
      </c>
      <c r="Z828" s="272" t="e">
        <f>'Matriz POA 2024-TRABAJO'!#REF!</f>
        <v>#REF!</v>
      </c>
      <c r="AA828" s="272" t="e">
        <f>'Matriz POA 2024-TRABAJO'!#REF!</f>
        <v>#REF!</v>
      </c>
      <c r="AB828" s="272"/>
      <c r="AC828" s="272"/>
      <c r="AD828" s="272"/>
      <c r="AE828" s="272">
        <v>19610.73</v>
      </c>
      <c r="AF828" s="272"/>
      <c r="AG828" s="272"/>
      <c r="AH828" s="272"/>
      <c r="AI828" s="272"/>
      <c r="AJ828" s="272"/>
      <c r="AK828" s="272"/>
      <c r="AL828" s="272"/>
      <c r="AM828" s="272"/>
      <c r="AN828" s="272" t="e">
        <f>SUM(#REF!)</f>
        <v>#REF!</v>
      </c>
      <c r="AO828" s="224">
        <f t="shared" si="97"/>
        <v>19610.73</v>
      </c>
      <c r="AP828" s="224" t="e">
        <f t="shared" si="102"/>
        <v>#REF!</v>
      </c>
      <c r="AQ828" s="272"/>
      <c r="AR828" s="272"/>
      <c r="AS828" s="272"/>
      <c r="AT828" s="272" t="str">
        <f>IFERROR(VLOOKUP($A828,'Constancias POA'!$A$2:$DH$9993,17,FALSE),"")</f>
        <v/>
      </c>
      <c r="AU828" s="272" t="str">
        <f t="shared" si="107"/>
        <v/>
      </c>
      <c r="AV828" s="224" t="str">
        <f>IFERROR(VLOOKUP($A828,CP!$A$1:$U$7992,18,FALSE),"")</f>
        <v/>
      </c>
      <c r="AW828" s="224" t="str">
        <f>IFERROR(VLOOKUP($A828,CP!$A$1:$U$7992,19,FALSE),"")</f>
        <v/>
      </c>
      <c r="AX828" s="224" t="str">
        <f>IFERROR(VLOOKUP($A828,CP!$A$1:$U$7992,20,FALSE),"")</f>
        <v/>
      </c>
      <c r="AY828" s="272" t="str">
        <f>IFERROR(VLOOKUP($A828,CP!$A$1:$U$1,21,FALSE),"")</f>
        <v/>
      </c>
      <c r="AZ828" s="224" t="str">
        <f>IFERROR(VLOOKUP(A828,Devengado!$A$1:AJ1,35,FALSE),"")</f>
        <v/>
      </c>
      <c r="BA828" s="224" t="str">
        <f t="shared" si="98"/>
        <v/>
      </c>
      <c r="BB828" s="224" t="str">
        <f>IFERROR(AZ828/#REF!,"")</f>
        <v/>
      </c>
      <c r="BC828" s="272" t="str">
        <f>IFERROR(VLOOKUP($A828,Devengado!$A$1:$AI$1,22,FALSE),"")</f>
        <v/>
      </c>
      <c r="BD828" s="272" t="str">
        <f>IFERROR(VLOOKUP($A828,Devengado!$A$1:$AI$1,23,FALSE),"")</f>
        <v/>
      </c>
      <c r="BE828" s="272" t="str">
        <f>IFERROR(VLOOKUP($A828,Devengado!$A$1:$AI$1,24,FALSE),"")</f>
        <v/>
      </c>
      <c r="BF828" s="272" t="str">
        <f>IFERROR(VLOOKUP($A828,Devengado!$A$1:$AI$1,25,FALSE),"")</f>
        <v/>
      </c>
      <c r="BG828" s="272" t="str">
        <f>IFERROR(VLOOKUP($A828,Devengado!$A$1:$AI$1,26,FALSE),"")</f>
        <v/>
      </c>
      <c r="BH828" s="272" t="str">
        <f>IFERROR(VLOOKUP($A828,Devengado!$A$1:$AI$1,27,FALSE),"")</f>
        <v/>
      </c>
      <c r="BI828" s="272" t="str">
        <f>IFERROR(VLOOKUP($A828,Devengado!$A$1:$AI$1,28,FALSE),"")</f>
        <v/>
      </c>
      <c r="BJ828" s="272" t="str">
        <f>IFERROR(VLOOKUP($A828,Devengado!$A$1:$AI$1,29,FALSE),"")</f>
        <v/>
      </c>
      <c r="BK828" s="272" t="str">
        <f>IFERROR(VLOOKUP($A828,Devengado!$A$1:$AI$1,30,FALSE),"")</f>
        <v/>
      </c>
      <c r="BL828" s="272" t="str">
        <f>IFERROR(VLOOKUP($A828,Devengado!$A$1:$AI$1,31,FALSE),"")</f>
        <v/>
      </c>
      <c r="BM828" s="272" t="str">
        <f>IFERROR(VLOOKUP($A828,Devengado!$A$1:$AI$1,32,FALSE),"")</f>
        <v/>
      </c>
      <c r="BN828" s="272" t="str">
        <f>IFERROR(VLOOKUP($A828,Devengado!$A$1:$AI$1,33,FALSE),"")</f>
        <v/>
      </c>
      <c r="BO828" s="272">
        <f t="shared" si="109"/>
        <v>0</v>
      </c>
      <c r="BP828" s="272" t="str">
        <f t="shared" si="100"/>
        <v/>
      </c>
      <c r="BQ828" s="272"/>
      <c r="BR828" s="207" t="str">
        <f t="shared" si="108"/>
        <v>99</v>
      </c>
    </row>
    <row r="829" spans="1:70" ht="25.5" customHeight="1">
      <c r="A829" s="207">
        <f t="shared" si="106"/>
        <v>825</v>
      </c>
      <c r="B829" s="112" t="s">
        <v>73</v>
      </c>
      <c r="C829" s="112" t="s">
        <v>187</v>
      </c>
      <c r="D829" s="125" t="s">
        <v>515</v>
      </c>
      <c r="E829" s="125" t="s">
        <v>76</v>
      </c>
      <c r="F829" s="112" t="s">
        <v>77</v>
      </c>
      <c r="G829" s="112" t="s">
        <v>77</v>
      </c>
      <c r="H829" s="112" t="s">
        <v>77</v>
      </c>
      <c r="I829" s="112" t="s">
        <v>77</v>
      </c>
      <c r="J829" s="112" t="s">
        <v>77</v>
      </c>
      <c r="K829" s="112" t="s">
        <v>77</v>
      </c>
      <c r="L829" s="112" t="s">
        <v>87</v>
      </c>
      <c r="M829" s="207" t="s">
        <v>790</v>
      </c>
      <c r="N829" s="126">
        <v>9999</v>
      </c>
      <c r="O829" s="114" t="s">
        <v>80</v>
      </c>
      <c r="P829" s="127" t="s">
        <v>81</v>
      </c>
      <c r="Q829" s="127" t="s">
        <v>82</v>
      </c>
      <c r="R829" s="115" t="str">
        <f t="shared" si="96"/>
        <v>99</v>
      </c>
      <c r="S829" s="269">
        <v>990102</v>
      </c>
      <c r="T829" s="207" t="e">
        <f>VLOOKUP(S829,ITEM!$C$1:$D$156,2,FALSE)</f>
        <v>#N/A</v>
      </c>
      <c r="U829" s="112">
        <v>1701</v>
      </c>
      <c r="V829" s="114" t="s">
        <v>82</v>
      </c>
      <c r="W829" s="114" t="s">
        <v>84</v>
      </c>
      <c r="X829" s="114" t="s">
        <v>84</v>
      </c>
      <c r="Y829" s="272" t="e">
        <f>'Matriz POA 2024-TRABAJO'!#REF!</f>
        <v>#REF!</v>
      </c>
      <c r="Z829" s="272" t="e">
        <f>'Matriz POA 2024-TRABAJO'!#REF!</f>
        <v>#REF!</v>
      </c>
      <c r="AA829" s="272" t="e">
        <f>'Matriz POA 2024-TRABAJO'!#REF!</f>
        <v>#REF!</v>
      </c>
      <c r="AB829" s="272"/>
      <c r="AC829" s="272"/>
      <c r="AD829" s="272"/>
      <c r="AE829" s="272">
        <v>5203.3</v>
      </c>
      <c r="AF829" s="272"/>
      <c r="AG829" s="272"/>
      <c r="AH829" s="272"/>
      <c r="AI829" s="272"/>
      <c r="AJ829" s="272"/>
      <c r="AK829" s="272"/>
      <c r="AL829" s="272"/>
      <c r="AM829" s="272"/>
      <c r="AN829" s="272" t="e">
        <f>SUM(#REF!)</f>
        <v>#REF!</v>
      </c>
      <c r="AO829" s="224">
        <f t="shared" si="97"/>
        <v>5203.3</v>
      </c>
      <c r="AP829" s="224" t="e">
        <f t="shared" si="102"/>
        <v>#REF!</v>
      </c>
      <c r="AQ829" s="272"/>
      <c r="AR829" s="272"/>
      <c r="AS829" s="272"/>
      <c r="AT829" s="272" t="str">
        <f>IFERROR(VLOOKUP($A829,'Constancias POA'!$A$2:$DH$9993,17,FALSE),"")</f>
        <v/>
      </c>
      <c r="AU829" s="272" t="str">
        <f t="shared" si="107"/>
        <v/>
      </c>
      <c r="AV829" s="224" t="str">
        <f>IFERROR(VLOOKUP($A829,CP!$A$1:$U$7992,18,FALSE),"")</f>
        <v/>
      </c>
      <c r="AW829" s="224" t="str">
        <f>IFERROR(VLOOKUP($A829,CP!$A$1:$U$7992,19,FALSE),"")</f>
        <v/>
      </c>
      <c r="AX829" s="224" t="str">
        <f>IFERROR(VLOOKUP($A829,CP!$A$1:$U$7992,20,FALSE),"")</f>
        <v/>
      </c>
      <c r="AY829" s="272" t="str">
        <f>IFERROR(VLOOKUP($A829,CP!$A$1:$U$1,21,FALSE),"")</f>
        <v/>
      </c>
      <c r="AZ829" s="224" t="str">
        <f>IFERROR(VLOOKUP(A829,Devengado!$A$1:AJ1,35,FALSE),"")</f>
        <v/>
      </c>
      <c r="BA829" s="224" t="str">
        <f t="shared" si="98"/>
        <v/>
      </c>
      <c r="BB829" s="224" t="str">
        <f>IFERROR(AZ829/#REF!,"")</f>
        <v/>
      </c>
      <c r="BC829" s="272" t="str">
        <f>IFERROR(VLOOKUP($A829,Devengado!$A$1:$AI$1,22,FALSE),"")</f>
        <v/>
      </c>
      <c r="BD829" s="272" t="str">
        <f>IFERROR(VLOOKUP($A829,Devengado!$A$1:$AI$1,23,FALSE),"")</f>
        <v/>
      </c>
      <c r="BE829" s="272" t="str">
        <f>IFERROR(VLOOKUP($A829,Devengado!$A$1:$AI$1,24,FALSE),"")</f>
        <v/>
      </c>
      <c r="BF829" s="272" t="str">
        <f>IFERROR(VLOOKUP($A829,Devengado!$A$1:$AI$1,25,FALSE),"")</f>
        <v/>
      </c>
      <c r="BG829" s="272" t="str">
        <f>IFERROR(VLOOKUP($A829,Devengado!$A$1:$AI$1,26,FALSE),"")</f>
        <v/>
      </c>
      <c r="BH829" s="272" t="str">
        <f>IFERROR(VLOOKUP($A829,Devengado!$A$1:$AI$1,27,FALSE),"")</f>
        <v/>
      </c>
      <c r="BI829" s="272" t="str">
        <f>IFERROR(VLOOKUP($A829,Devengado!$A$1:$AI$1,28,FALSE),"")</f>
        <v/>
      </c>
      <c r="BJ829" s="272" t="str">
        <f>IFERROR(VLOOKUP($A829,Devengado!$A$1:$AI$1,29,FALSE),"")</f>
        <v/>
      </c>
      <c r="BK829" s="272" t="str">
        <f>IFERROR(VLOOKUP($A829,Devengado!$A$1:$AI$1,30,FALSE),"")</f>
        <v/>
      </c>
      <c r="BL829" s="272" t="str">
        <f>IFERROR(VLOOKUP($A829,Devengado!$A$1:$AI$1,31,FALSE),"")</f>
        <v/>
      </c>
      <c r="BM829" s="272" t="str">
        <f>IFERROR(VLOOKUP($A829,Devengado!$A$1:$AI$1,32,FALSE),"")</f>
        <v/>
      </c>
      <c r="BN829" s="272" t="str">
        <f>IFERROR(VLOOKUP($A829,Devengado!$A$1:$AI$1,33,FALSE),"")</f>
        <v/>
      </c>
      <c r="BO829" s="272">
        <f t="shared" si="109"/>
        <v>0</v>
      </c>
      <c r="BP829" s="272" t="str">
        <f t="shared" si="100"/>
        <v/>
      </c>
      <c r="BQ829" s="272"/>
      <c r="BR829" s="207" t="str">
        <f t="shared" si="108"/>
        <v>99</v>
      </c>
    </row>
    <row r="830" spans="1:70" ht="87.75" customHeight="1">
      <c r="A830" s="207">
        <f t="shared" si="106"/>
        <v>826</v>
      </c>
      <c r="B830" s="207" t="s">
        <v>73</v>
      </c>
      <c r="C830" s="207" t="s">
        <v>108</v>
      </c>
      <c r="D830" s="207" t="s">
        <v>124</v>
      </c>
      <c r="E830" s="207" t="s">
        <v>76</v>
      </c>
      <c r="F830" s="207" t="s">
        <v>77</v>
      </c>
      <c r="G830" s="207" t="s">
        <v>77</v>
      </c>
      <c r="H830" s="207" t="s">
        <v>77</v>
      </c>
      <c r="I830" s="207" t="s">
        <v>77</v>
      </c>
      <c r="J830" s="207" t="s">
        <v>77</v>
      </c>
      <c r="K830" s="207" t="s">
        <v>77</v>
      </c>
      <c r="L830" s="207" t="s">
        <v>85</v>
      </c>
      <c r="M830" s="207" t="s">
        <v>791</v>
      </c>
      <c r="N830" s="126">
        <v>9999</v>
      </c>
      <c r="O830" s="114" t="s">
        <v>111</v>
      </c>
      <c r="P830" s="127" t="s">
        <v>81</v>
      </c>
      <c r="Q830" s="127" t="s">
        <v>112</v>
      </c>
      <c r="R830" s="115" t="str">
        <f t="shared" si="96"/>
        <v>57</v>
      </c>
      <c r="S830" s="269">
        <v>570203</v>
      </c>
      <c r="T830" s="207" t="e">
        <f>VLOOKUP(S830,ITEM!$C$1:$D$156,2,FALSE)</f>
        <v>#N/A</v>
      </c>
      <c r="U830" s="113" t="s">
        <v>83</v>
      </c>
      <c r="V830" s="114" t="s">
        <v>82</v>
      </c>
      <c r="W830" s="118" t="s">
        <v>84</v>
      </c>
      <c r="X830" s="118" t="s">
        <v>84</v>
      </c>
      <c r="Y830" s="272" t="e">
        <f>'Matriz POA 2024-TRABAJO'!#REF!</f>
        <v>#REF!</v>
      </c>
      <c r="Z830" s="272" t="e">
        <f>'Matriz POA 2024-TRABAJO'!#REF!</f>
        <v>#REF!</v>
      </c>
      <c r="AA830" s="272" t="e">
        <f>'Matriz POA 2024-TRABAJO'!#REF!</f>
        <v>#REF!</v>
      </c>
      <c r="AB830" s="272"/>
      <c r="AC830" s="272"/>
      <c r="AD830" s="272">
        <v>650</v>
      </c>
      <c r="AE830" s="272"/>
      <c r="AF830" s="272"/>
      <c r="AG830" s="272">
        <v>950</v>
      </c>
      <c r="AH830" s="272"/>
      <c r="AI830" s="272"/>
      <c r="AJ830" s="272"/>
      <c r="AK830" s="272"/>
      <c r="AL830" s="272"/>
      <c r="AM830" s="272"/>
      <c r="AN830" s="272" t="e">
        <f>SUM(#REF!)</f>
        <v>#REF!</v>
      </c>
      <c r="AO830" s="224">
        <f t="shared" si="97"/>
        <v>1600</v>
      </c>
      <c r="AP830" s="224" t="e">
        <f t="shared" si="102"/>
        <v>#REF!</v>
      </c>
      <c r="AQ830" s="272"/>
      <c r="AR830" s="272"/>
      <c r="AS830" s="272"/>
      <c r="AT830" s="272" t="str">
        <f>IFERROR(VLOOKUP($A830,'Constancias POA'!$A$2:$DH$9993,17,FALSE),"")</f>
        <v/>
      </c>
      <c r="AU830" s="272" t="str">
        <f t="shared" si="107"/>
        <v/>
      </c>
      <c r="AV830" s="224" t="str">
        <f>IFERROR(VLOOKUP($A830,CP!$A$1:$U$7992,18,FALSE),"")</f>
        <v/>
      </c>
      <c r="AW830" s="224" t="str">
        <f>IFERROR(VLOOKUP($A830,CP!$A$1:$U$7992,19,FALSE),"")</f>
        <v/>
      </c>
      <c r="AX830" s="224" t="str">
        <f>IFERROR(VLOOKUP($A830,CP!$A$1:$U$7992,20,FALSE),"")</f>
        <v/>
      </c>
      <c r="AY830" s="272" t="str">
        <f>IFERROR(VLOOKUP($A830,CP!$A$1:$U$1,21,FALSE),"")</f>
        <v/>
      </c>
      <c r="AZ830" s="224" t="str">
        <f>IFERROR(VLOOKUP(A830,Devengado!$A$1:AJ1,35,FALSE),"")</f>
        <v/>
      </c>
      <c r="BA830" s="224" t="str">
        <f t="shared" si="98"/>
        <v/>
      </c>
      <c r="BB830" s="224" t="str">
        <f>IFERROR(AZ830/#REF!,"")</f>
        <v/>
      </c>
      <c r="BC830" s="272" t="str">
        <f>IFERROR(VLOOKUP($A830,Devengado!$A$1:$AI$1,22,FALSE),"")</f>
        <v/>
      </c>
      <c r="BD830" s="272" t="str">
        <f>IFERROR(VLOOKUP($A830,Devengado!$A$1:$AI$1,23,FALSE),"")</f>
        <v/>
      </c>
      <c r="BE830" s="272" t="str">
        <f>IFERROR(VLOOKUP($A830,Devengado!$A$1:$AI$1,24,FALSE),"")</f>
        <v/>
      </c>
      <c r="BF830" s="272" t="str">
        <f>IFERROR(VLOOKUP($A830,Devengado!$A$1:$AI$1,25,FALSE),"")</f>
        <v/>
      </c>
      <c r="BG830" s="272" t="str">
        <f>IFERROR(VLOOKUP($A830,Devengado!$A$1:$AI$1,26,FALSE),"")</f>
        <v/>
      </c>
      <c r="BH830" s="272" t="str">
        <f>IFERROR(VLOOKUP($A830,Devengado!$A$1:$AI$1,27,FALSE),"")</f>
        <v/>
      </c>
      <c r="BI830" s="272" t="str">
        <f>IFERROR(VLOOKUP($A830,Devengado!$A$1:$AI$1,28,FALSE),"")</f>
        <v/>
      </c>
      <c r="BJ830" s="272" t="str">
        <f>IFERROR(VLOOKUP($A830,Devengado!$A$1:$AI$1,29,FALSE),"")</f>
        <v/>
      </c>
      <c r="BK830" s="272" t="str">
        <f>IFERROR(VLOOKUP($A830,Devengado!$A$1:$AI$1,30,FALSE),"")</f>
        <v/>
      </c>
      <c r="BL830" s="272" t="str">
        <f>IFERROR(VLOOKUP($A830,Devengado!$A$1:$AI$1,31,FALSE),"")</f>
        <v/>
      </c>
      <c r="BM830" s="272" t="str">
        <f>IFERROR(VLOOKUP($A830,Devengado!$A$1:$AI$1,32,FALSE),"")</f>
        <v/>
      </c>
      <c r="BN830" s="272" t="str">
        <f>IFERROR(VLOOKUP($A830,Devengado!$A$1:$AI$1,33,FALSE),"")</f>
        <v/>
      </c>
      <c r="BO830" s="272">
        <f t="shared" si="109"/>
        <v>0</v>
      </c>
      <c r="BP830" s="272" t="str">
        <f t="shared" si="100"/>
        <v/>
      </c>
      <c r="BQ830" s="272"/>
      <c r="BR830" s="207" t="str">
        <f t="shared" si="108"/>
        <v>57</v>
      </c>
    </row>
    <row r="831" spans="1:70" ht="25.5" customHeight="1">
      <c r="A831" s="207">
        <f t="shared" si="106"/>
        <v>827</v>
      </c>
      <c r="B831" s="112" t="s">
        <v>73</v>
      </c>
      <c r="C831" s="112" t="s">
        <v>187</v>
      </c>
      <c r="D831" s="207" t="s">
        <v>515</v>
      </c>
      <c r="E831" s="125" t="s">
        <v>76</v>
      </c>
      <c r="F831" s="112" t="s">
        <v>77</v>
      </c>
      <c r="G831" s="112" t="s">
        <v>77</v>
      </c>
      <c r="H831" s="112" t="s">
        <v>77</v>
      </c>
      <c r="I831" s="112" t="s">
        <v>77</v>
      </c>
      <c r="J831" s="112" t="s">
        <v>77</v>
      </c>
      <c r="K831" s="112" t="s">
        <v>77</v>
      </c>
      <c r="L831" s="112" t="s">
        <v>87</v>
      </c>
      <c r="M831" s="207" t="s">
        <v>792</v>
      </c>
      <c r="N831" s="126">
        <v>9999</v>
      </c>
      <c r="O831" s="114" t="s">
        <v>80</v>
      </c>
      <c r="P831" s="127" t="s">
        <v>81</v>
      </c>
      <c r="Q831" s="127" t="s">
        <v>82</v>
      </c>
      <c r="R831" s="115" t="str">
        <f t="shared" si="96"/>
        <v>99</v>
      </c>
      <c r="S831" s="269">
        <v>990102</v>
      </c>
      <c r="T831" s="207" t="e">
        <f>VLOOKUP(S831,ITEM!$C$1:$D$156,2,FALSE)</f>
        <v>#N/A</v>
      </c>
      <c r="U831" s="112">
        <v>1701</v>
      </c>
      <c r="V831" s="114" t="s">
        <v>82</v>
      </c>
      <c r="W831" s="114" t="s">
        <v>84</v>
      </c>
      <c r="X831" s="114" t="s">
        <v>84</v>
      </c>
      <c r="Y831" s="272" t="e">
        <f>'Matriz POA 2024-TRABAJO'!#REF!</f>
        <v>#REF!</v>
      </c>
      <c r="Z831" s="272" t="e">
        <f>'Matriz POA 2024-TRABAJO'!#REF!</f>
        <v>#REF!</v>
      </c>
      <c r="AA831" s="272" t="e">
        <f>'Matriz POA 2024-TRABAJO'!#REF!</f>
        <v>#REF!</v>
      </c>
      <c r="AB831" s="272"/>
      <c r="AC831" s="272"/>
      <c r="AD831" s="272"/>
      <c r="AE831" s="272">
        <v>37152</v>
      </c>
      <c r="AF831" s="272"/>
      <c r="AG831" s="272"/>
      <c r="AH831" s="272"/>
      <c r="AI831" s="272"/>
      <c r="AJ831" s="272"/>
      <c r="AK831" s="272"/>
      <c r="AL831" s="272"/>
      <c r="AM831" s="272"/>
      <c r="AN831" s="272" t="e">
        <f>SUM(#REF!)</f>
        <v>#REF!</v>
      </c>
      <c r="AO831" s="224">
        <f t="shared" si="97"/>
        <v>37152</v>
      </c>
      <c r="AP831" s="224" t="e">
        <f t="shared" si="102"/>
        <v>#REF!</v>
      </c>
      <c r="AQ831" s="272"/>
      <c r="AR831" s="272"/>
      <c r="AS831" s="272"/>
      <c r="AT831" s="272" t="str">
        <f>IFERROR(VLOOKUP($A831,'Constancias POA'!$A$2:$DH$9993,17,FALSE),"")</f>
        <v/>
      </c>
      <c r="AU831" s="272" t="str">
        <f t="shared" si="107"/>
        <v/>
      </c>
      <c r="AV831" s="224" t="str">
        <f>IFERROR(VLOOKUP($A831,CP!$A$1:$U$7992,18,FALSE),"")</f>
        <v/>
      </c>
      <c r="AW831" s="224" t="str">
        <f>IFERROR(VLOOKUP($A831,CP!$A$1:$U$7992,19,FALSE),"")</f>
        <v/>
      </c>
      <c r="AX831" s="224" t="str">
        <f>IFERROR(VLOOKUP($A831,CP!$A$1:$U$7992,20,FALSE),"")</f>
        <v/>
      </c>
      <c r="AY831" s="272" t="str">
        <f>IFERROR(VLOOKUP($A831,CP!$A$1:$U$1,21,FALSE),"")</f>
        <v/>
      </c>
      <c r="AZ831" s="224" t="str">
        <f>IFERROR(VLOOKUP(A831,Devengado!$A$1:AJ1,35,FALSE),"")</f>
        <v/>
      </c>
      <c r="BA831" s="224" t="str">
        <f t="shared" si="98"/>
        <v/>
      </c>
      <c r="BB831" s="224" t="str">
        <f>IFERROR(AZ831/#REF!,"")</f>
        <v/>
      </c>
      <c r="BC831" s="272" t="str">
        <f>IFERROR(VLOOKUP($A831,Devengado!$A$1:$AI$1,22,FALSE),"")</f>
        <v/>
      </c>
      <c r="BD831" s="272" t="str">
        <f>IFERROR(VLOOKUP($A831,Devengado!$A$1:$AI$1,23,FALSE),"")</f>
        <v/>
      </c>
      <c r="BE831" s="272" t="str">
        <f>IFERROR(VLOOKUP($A831,Devengado!$A$1:$AI$1,24,FALSE),"")</f>
        <v/>
      </c>
      <c r="BF831" s="272" t="str">
        <f>IFERROR(VLOOKUP($A831,Devengado!$A$1:$AI$1,25,FALSE),"")</f>
        <v/>
      </c>
      <c r="BG831" s="272" t="str">
        <f>IFERROR(VLOOKUP($A831,Devengado!$A$1:$AI$1,26,FALSE),"")</f>
        <v/>
      </c>
      <c r="BH831" s="272" t="str">
        <f>IFERROR(VLOOKUP($A831,Devengado!$A$1:$AI$1,27,FALSE),"")</f>
        <v/>
      </c>
      <c r="BI831" s="272" t="str">
        <f>IFERROR(VLOOKUP($A831,Devengado!$A$1:$AI$1,28,FALSE),"")</f>
        <v/>
      </c>
      <c r="BJ831" s="272" t="str">
        <f>IFERROR(VLOOKUP($A831,Devengado!$A$1:$AI$1,29,FALSE),"")</f>
        <v/>
      </c>
      <c r="BK831" s="272" t="str">
        <f>IFERROR(VLOOKUP($A831,Devengado!$A$1:$AI$1,30,FALSE),"")</f>
        <v/>
      </c>
      <c r="BL831" s="272" t="str">
        <f>IFERROR(VLOOKUP($A831,Devengado!$A$1:$AI$1,31,FALSE),"")</f>
        <v/>
      </c>
      <c r="BM831" s="272" t="str">
        <f>IFERROR(VLOOKUP($A831,Devengado!$A$1:$AI$1,32,FALSE),"")</f>
        <v/>
      </c>
      <c r="BN831" s="272" t="str">
        <f>IFERROR(VLOOKUP($A831,Devengado!$A$1:$AI$1,33,FALSE),"")</f>
        <v/>
      </c>
      <c r="BO831" s="272">
        <f t="shared" si="109"/>
        <v>0</v>
      </c>
      <c r="BP831" s="272" t="str">
        <f t="shared" si="100"/>
        <v/>
      </c>
      <c r="BQ831" s="272"/>
      <c r="BR831" s="207" t="str">
        <f t="shared" si="108"/>
        <v>99</v>
      </c>
    </row>
    <row r="832" spans="1:70" ht="25.5" customHeight="1">
      <c r="A832" s="207">
        <f t="shared" si="106"/>
        <v>828</v>
      </c>
      <c r="B832" s="112" t="s">
        <v>429</v>
      </c>
      <c r="C832" s="112" t="s">
        <v>77</v>
      </c>
      <c r="D832" s="112" t="s">
        <v>77</v>
      </c>
      <c r="E832" s="112" t="s">
        <v>76</v>
      </c>
      <c r="F832" s="112" t="s">
        <v>77</v>
      </c>
      <c r="G832" s="112" t="s">
        <v>77</v>
      </c>
      <c r="H832" s="112" t="s">
        <v>77</v>
      </c>
      <c r="I832" s="112" t="s">
        <v>77</v>
      </c>
      <c r="J832" s="112" t="s">
        <v>77</v>
      </c>
      <c r="K832" s="112" t="s">
        <v>77</v>
      </c>
      <c r="L832" s="112" t="s">
        <v>85</v>
      </c>
      <c r="M832" s="207" t="s">
        <v>793</v>
      </c>
      <c r="N832" s="126" t="s">
        <v>430</v>
      </c>
      <c r="O832" s="114" t="s">
        <v>111</v>
      </c>
      <c r="P832" s="127" t="s">
        <v>81</v>
      </c>
      <c r="Q832" s="127" t="s">
        <v>112</v>
      </c>
      <c r="R832" s="115" t="str">
        <f t="shared" si="96"/>
        <v>53</v>
      </c>
      <c r="S832" s="269">
        <v>530104</v>
      </c>
      <c r="T832" s="207" t="str">
        <f>VLOOKUP(S832,ITEM!$C$1:$D$156,2,FALSE)</f>
        <v>Energía Eléctrica</v>
      </c>
      <c r="U832" s="207">
        <v>1309</v>
      </c>
      <c r="V832" s="207" t="s">
        <v>82</v>
      </c>
      <c r="W832" s="207" t="s">
        <v>84</v>
      </c>
      <c r="X832" s="207" t="s">
        <v>84</v>
      </c>
      <c r="Y832" s="272">
        <f>'Matriz POA 2024-TRABAJO'!AS114</f>
        <v>0</v>
      </c>
      <c r="Z832" s="272">
        <f>'Matriz POA 2024-TRABAJO'!AT114</f>
        <v>0</v>
      </c>
      <c r="AA832" s="272">
        <f>'Matriz POA 2024-TRABAJO'!AU114</f>
        <v>0</v>
      </c>
      <c r="AB832" s="272"/>
      <c r="AC832" s="272"/>
      <c r="AD832" s="272"/>
      <c r="AE832" s="272">
        <v>5922</v>
      </c>
      <c r="AF832" s="272"/>
      <c r="AG832" s="272"/>
      <c r="AH832" s="272"/>
      <c r="AI832" s="272"/>
      <c r="AJ832" s="272"/>
      <c r="AK832" s="272"/>
      <c r="AL832" s="272"/>
      <c r="AM832" s="272"/>
      <c r="AN832" s="272" t="e">
        <f>SUM(#REF!)</f>
        <v>#REF!</v>
      </c>
      <c r="AO832" s="224">
        <f t="shared" si="97"/>
        <v>5922</v>
      </c>
      <c r="AP832" s="224">
        <f t="shared" si="102"/>
        <v>5922</v>
      </c>
      <c r="AQ832" s="272"/>
      <c r="AR832" s="272"/>
      <c r="AS832" s="272"/>
      <c r="AT832" s="272">
        <f>IFERROR(VLOOKUP($A832,'Constancias POA'!$A$2:$DH$9993,17,FALSE),"")</f>
        <v>0</v>
      </c>
      <c r="AU832" s="272">
        <f t="shared" si="107"/>
        <v>0</v>
      </c>
      <c r="AV832" s="224" t="str">
        <f>IFERROR(VLOOKUP($A832,CP!$A$1:$U$7992,18,FALSE),"")</f>
        <v/>
      </c>
      <c r="AW832" s="224" t="str">
        <f>IFERROR(VLOOKUP($A832,CP!$A$1:$U$7992,19,FALSE),"")</f>
        <v/>
      </c>
      <c r="AX832" s="224" t="str">
        <f>IFERROR(VLOOKUP($A832,CP!$A$1:$U$7992,20,FALSE),"")</f>
        <v/>
      </c>
      <c r="AY832" s="272" t="str">
        <f>IFERROR(VLOOKUP($A832,CP!$A$1:$U$1,21,FALSE),"")</f>
        <v/>
      </c>
      <c r="AZ832" s="224" t="str">
        <f>IFERROR(VLOOKUP(A832,Devengado!$A$1:AJ1,35,FALSE),"")</f>
        <v/>
      </c>
      <c r="BA832" s="224" t="str">
        <f t="shared" si="98"/>
        <v/>
      </c>
      <c r="BB832" s="224" t="str">
        <f>IFERROR(AZ832/#REF!,"")</f>
        <v/>
      </c>
      <c r="BC832" s="272" t="str">
        <f>IFERROR(VLOOKUP($A832,Devengado!$A$1:$AI$1,22,FALSE),"")</f>
        <v/>
      </c>
      <c r="BD832" s="272" t="str">
        <f>IFERROR(VLOOKUP($A832,Devengado!$A$1:$AI$1,23,FALSE),"")</f>
        <v/>
      </c>
      <c r="BE832" s="272" t="str">
        <f>IFERROR(VLOOKUP($A832,Devengado!$A$1:$AI$1,24,FALSE),"")</f>
        <v/>
      </c>
      <c r="BF832" s="272" t="str">
        <f>IFERROR(VLOOKUP($A832,Devengado!$A$1:$AI$1,25,FALSE),"")</f>
        <v/>
      </c>
      <c r="BG832" s="272" t="str">
        <f>IFERROR(VLOOKUP($A832,Devengado!$A$1:$AI$1,26,FALSE),"")</f>
        <v/>
      </c>
      <c r="BH832" s="272" t="str">
        <f>IFERROR(VLOOKUP($A832,Devengado!$A$1:$AI$1,27,FALSE),"")</f>
        <v/>
      </c>
      <c r="BI832" s="272" t="str">
        <f>IFERROR(VLOOKUP($A832,Devengado!$A$1:$AI$1,28,FALSE),"")</f>
        <v/>
      </c>
      <c r="BJ832" s="272" t="str">
        <f>IFERROR(VLOOKUP($A832,Devengado!$A$1:$AI$1,29,FALSE),"")</f>
        <v/>
      </c>
      <c r="BK832" s="272" t="str">
        <f>IFERROR(VLOOKUP($A832,Devengado!$A$1:$AI$1,30,FALSE),"")</f>
        <v/>
      </c>
      <c r="BL832" s="272" t="str">
        <f>IFERROR(VLOOKUP($A832,Devengado!$A$1:$AI$1,31,FALSE),"")</f>
        <v/>
      </c>
      <c r="BM832" s="272" t="str">
        <f>IFERROR(VLOOKUP($A832,Devengado!$A$1:$AI$1,32,FALSE),"")</f>
        <v/>
      </c>
      <c r="BN832" s="272" t="str">
        <f>IFERROR(VLOOKUP($A832,Devengado!$A$1:$AI$1,33,FALSE),"")</f>
        <v/>
      </c>
      <c r="BO832" s="272">
        <f t="shared" si="109"/>
        <v>0</v>
      </c>
      <c r="BP832" s="272" t="str">
        <f t="shared" si="100"/>
        <v/>
      </c>
      <c r="BQ832" s="272"/>
      <c r="BR832" s="207" t="str">
        <f t="shared" si="108"/>
        <v>53</v>
      </c>
    </row>
    <row r="833" spans="1:70" ht="48.2" customHeight="1">
      <c r="A833" s="207">
        <f t="shared" si="106"/>
        <v>829</v>
      </c>
      <c r="B833" s="112" t="s">
        <v>429</v>
      </c>
      <c r="C833" s="112" t="s">
        <v>77</v>
      </c>
      <c r="D833" s="112" t="s">
        <v>77</v>
      </c>
      <c r="E833" s="112" t="s">
        <v>76</v>
      </c>
      <c r="F833" s="112" t="s">
        <v>77</v>
      </c>
      <c r="G833" s="112" t="s">
        <v>77</v>
      </c>
      <c r="H833" s="112" t="s">
        <v>77</v>
      </c>
      <c r="I833" s="112" t="s">
        <v>77</v>
      </c>
      <c r="J833" s="112" t="s">
        <v>77</v>
      </c>
      <c r="K833" s="112" t="s">
        <v>77</v>
      </c>
      <c r="L833" s="112" t="s">
        <v>85</v>
      </c>
      <c r="M833" s="207" t="s">
        <v>757</v>
      </c>
      <c r="N833" s="126" t="s">
        <v>430</v>
      </c>
      <c r="O833" s="114" t="s">
        <v>111</v>
      </c>
      <c r="P833" s="127" t="s">
        <v>81</v>
      </c>
      <c r="Q833" s="127" t="s">
        <v>112</v>
      </c>
      <c r="R833" s="115" t="str">
        <f t="shared" si="96"/>
        <v>99</v>
      </c>
      <c r="S833" s="269">
        <v>990102</v>
      </c>
      <c r="T833" s="207" t="e">
        <f>VLOOKUP(S833,ITEM!$C$1:$D$156,2,FALSE)</f>
        <v>#N/A</v>
      </c>
      <c r="U833" s="207">
        <v>1309</v>
      </c>
      <c r="V833" s="207" t="s">
        <v>82</v>
      </c>
      <c r="W833" s="207" t="s">
        <v>84</v>
      </c>
      <c r="X833" s="207" t="s">
        <v>84</v>
      </c>
      <c r="Y833" s="272">
        <f>'Matriz POA 2024-TRABAJO'!AS115</f>
        <v>0</v>
      </c>
      <c r="Z833" s="272">
        <f>'Matriz POA 2024-TRABAJO'!AT115</f>
        <v>0</v>
      </c>
      <c r="AA833" s="272">
        <f>'Matriz POA 2024-TRABAJO'!AU115</f>
        <v>0</v>
      </c>
      <c r="AB833" s="272"/>
      <c r="AC833" s="272"/>
      <c r="AD833" s="272"/>
      <c r="AE833" s="272">
        <v>1350</v>
      </c>
      <c r="AF833" s="272"/>
      <c r="AG833" s="272"/>
      <c r="AH833" s="272"/>
      <c r="AI833" s="272"/>
      <c r="AJ833" s="272"/>
      <c r="AK833" s="272"/>
      <c r="AL833" s="272"/>
      <c r="AM833" s="272"/>
      <c r="AN833" s="272" t="e">
        <f>SUM(#REF!)</f>
        <v>#REF!</v>
      </c>
      <c r="AO833" s="224">
        <f t="shared" si="97"/>
        <v>1350</v>
      </c>
      <c r="AP833" s="224">
        <f t="shared" si="102"/>
        <v>1350</v>
      </c>
      <c r="AQ833" s="272"/>
      <c r="AR833" s="272"/>
      <c r="AS833" s="272"/>
      <c r="AT833" s="272">
        <f>IFERROR(VLOOKUP($A833,'Constancias POA'!$A$2:$DH$9993,17,FALSE),"")</f>
        <v>0</v>
      </c>
      <c r="AU833" s="272">
        <f t="shared" si="107"/>
        <v>0</v>
      </c>
      <c r="AV833" s="224">
        <f>IFERROR(VLOOKUP($A833,CP!$A$1:$U$7992,18,FALSE),"")</f>
        <v>0</v>
      </c>
      <c r="AW833" s="224">
        <f>IFERROR(VLOOKUP($A833,CP!$A$1:$U$7992,19,FALSE),"")</f>
        <v>0</v>
      </c>
      <c r="AX833" s="224">
        <f>IFERROR(VLOOKUP($A833,CP!$A$1:$U$7992,20,FALSE),"")</f>
        <v>0</v>
      </c>
      <c r="AY833" s="272" t="str">
        <f>IFERROR(VLOOKUP($A833,CP!$A$1:$U$1,21,FALSE),"")</f>
        <v/>
      </c>
      <c r="AZ833" s="224" t="str">
        <f>IFERROR(VLOOKUP(A833,Devengado!$A$1:AJ1,35,FALSE),"")</f>
        <v/>
      </c>
      <c r="BA833" s="224" t="str">
        <f t="shared" si="98"/>
        <v/>
      </c>
      <c r="BB833" s="224" t="str">
        <f>IFERROR(AZ833/#REF!,"")</f>
        <v/>
      </c>
      <c r="BC833" s="272" t="str">
        <f>IFERROR(VLOOKUP($A833,Devengado!$A$1:$AI$1,22,FALSE),"")</f>
        <v/>
      </c>
      <c r="BD833" s="272" t="str">
        <f>IFERROR(VLOOKUP($A833,Devengado!$A$1:$AI$1,23,FALSE),"")</f>
        <v/>
      </c>
      <c r="BE833" s="272" t="str">
        <f>IFERROR(VLOOKUP($A833,Devengado!$A$1:$AI$1,24,FALSE),"")</f>
        <v/>
      </c>
      <c r="BF833" s="272" t="str">
        <f>IFERROR(VLOOKUP($A833,Devengado!$A$1:$AI$1,25,FALSE),"")</f>
        <v/>
      </c>
      <c r="BG833" s="272" t="str">
        <f>IFERROR(VLOOKUP($A833,Devengado!$A$1:$AI$1,26,FALSE),"")</f>
        <v/>
      </c>
      <c r="BH833" s="272" t="str">
        <f>IFERROR(VLOOKUP($A833,Devengado!$A$1:$AI$1,27,FALSE),"")</f>
        <v/>
      </c>
      <c r="BI833" s="272" t="str">
        <f>IFERROR(VLOOKUP($A833,Devengado!$A$1:$AI$1,28,FALSE),"")</f>
        <v/>
      </c>
      <c r="BJ833" s="272" t="str">
        <f>IFERROR(VLOOKUP($A833,Devengado!$A$1:$AI$1,29,FALSE),"")</f>
        <v/>
      </c>
      <c r="BK833" s="272" t="str">
        <f>IFERROR(VLOOKUP($A833,Devengado!$A$1:$AI$1,30,FALSE),"")</f>
        <v/>
      </c>
      <c r="BL833" s="272" t="str">
        <f>IFERROR(VLOOKUP($A833,Devengado!$A$1:$AI$1,31,FALSE),"")</f>
        <v/>
      </c>
      <c r="BM833" s="272" t="str">
        <f>IFERROR(VLOOKUP($A833,Devengado!$A$1:$AI$1,32,FALSE),"")</f>
        <v/>
      </c>
      <c r="BN833" s="272" t="str">
        <f>IFERROR(VLOOKUP($A833,Devengado!$A$1:$AI$1,33,FALSE),"")</f>
        <v/>
      </c>
      <c r="BO833" s="272">
        <f t="shared" si="109"/>
        <v>0</v>
      </c>
      <c r="BP833" s="272" t="str">
        <f t="shared" si="100"/>
        <v/>
      </c>
      <c r="BQ833" s="272"/>
      <c r="BR833" s="207" t="str">
        <f t="shared" si="108"/>
        <v>99</v>
      </c>
    </row>
    <row r="834" spans="1:70" ht="25.5" customHeight="1">
      <c r="A834" s="207">
        <f t="shared" si="106"/>
        <v>830</v>
      </c>
      <c r="B834" s="112" t="s">
        <v>621</v>
      </c>
      <c r="C834" s="112" t="s">
        <v>77</v>
      </c>
      <c r="D834" s="112" t="s">
        <v>77</v>
      </c>
      <c r="E834" s="112" t="s">
        <v>76</v>
      </c>
      <c r="F834" s="112" t="s">
        <v>77</v>
      </c>
      <c r="G834" s="112" t="s">
        <v>77</v>
      </c>
      <c r="H834" s="112" t="s">
        <v>77</v>
      </c>
      <c r="I834" s="112" t="s">
        <v>77</v>
      </c>
      <c r="J834" s="112" t="s">
        <v>77</v>
      </c>
      <c r="K834" s="112" t="s">
        <v>77</v>
      </c>
      <c r="L834" s="112" t="s">
        <v>85</v>
      </c>
      <c r="M834" s="207" t="s">
        <v>794</v>
      </c>
      <c r="N834" s="126" t="s">
        <v>623</v>
      </c>
      <c r="O834" s="114">
        <v>80</v>
      </c>
      <c r="P834" s="127" t="s">
        <v>81</v>
      </c>
      <c r="Q834" s="127" t="s">
        <v>112</v>
      </c>
      <c r="R834" s="115" t="str">
        <f t="shared" si="96"/>
        <v>53</v>
      </c>
      <c r="S834" s="269">
        <v>530601</v>
      </c>
      <c r="T834" s="207" t="str">
        <f>VLOOKUP(S834,ITEM!$C$1:$D$156,2,FALSE)</f>
        <v>Consultoría, Asesoría e Investigación Especializada</v>
      </c>
      <c r="U834" s="207">
        <v>101</v>
      </c>
      <c r="V834" s="207" t="s">
        <v>82</v>
      </c>
      <c r="W834" s="207" t="s">
        <v>84</v>
      </c>
      <c r="X834" s="207" t="s">
        <v>84</v>
      </c>
      <c r="Y834" s="272" t="e">
        <f>'Matriz POA 2024-TRABAJO'!#REF!</f>
        <v>#REF!</v>
      </c>
      <c r="Z834" s="272" t="e">
        <f>'Matriz POA 2024-TRABAJO'!#REF!</f>
        <v>#REF!</v>
      </c>
      <c r="AA834" s="272" t="e">
        <f>'Matriz POA 2024-TRABAJO'!#REF!</f>
        <v>#REF!</v>
      </c>
      <c r="AB834" s="272"/>
      <c r="AC834" s="272"/>
      <c r="AD834" s="272"/>
      <c r="AE834" s="272"/>
      <c r="AF834" s="272">
        <v>6000</v>
      </c>
      <c r="AG834" s="272"/>
      <c r="AH834" s="272"/>
      <c r="AI834" s="272"/>
      <c r="AJ834" s="272"/>
      <c r="AK834" s="272"/>
      <c r="AL834" s="272"/>
      <c r="AM834" s="272"/>
      <c r="AN834" s="272" t="e">
        <f>SUM(#REF!)</f>
        <v>#REF!</v>
      </c>
      <c r="AO834" s="224">
        <f t="shared" si="97"/>
        <v>6000</v>
      </c>
      <c r="AP834" s="224" t="e">
        <f t="shared" si="102"/>
        <v>#REF!</v>
      </c>
      <c r="AQ834" s="272"/>
      <c r="AR834" s="272"/>
      <c r="AS834" s="272"/>
      <c r="AT834" s="272" t="str">
        <f>IFERROR(VLOOKUP($A834,'Constancias POA'!$A$2:$DH$9993,17,FALSE),"")</f>
        <v/>
      </c>
      <c r="AU834" s="272" t="str">
        <f t="shared" si="107"/>
        <v/>
      </c>
      <c r="AV834" s="224" t="str">
        <f>IFERROR(VLOOKUP($A834,CP!$A$1:$U$7992,18,FALSE),"")</f>
        <v/>
      </c>
      <c r="AW834" s="224" t="str">
        <f>IFERROR(VLOOKUP($A834,CP!$A$1:$U$7992,19,FALSE),"")</f>
        <v/>
      </c>
      <c r="AX834" s="224" t="str">
        <f>IFERROR(VLOOKUP($A834,CP!$A$1:$U$7992,20,FALSE),"")</f>
        <v/>
      </c>
      <c r="AY834" s="272" t="str">
        <f>IFERROR(VLOOKUP($A834,CP!$A$1:$U$1,21,FALSE),"")</f>
        <v/>
      </c>
      <c r="AZ834" s="224" t="str">
        <f>IFERROR(VLOOKUP(A834,Devengado!$A$1:AJ1,35,FALSE),"")</f>
        <v/>
      </c>
      <c r="BA834" s="224" t="str">
        <f t="shared" si="98"/>
        <v/>
      </c>
      <c r="BB834" s="224" t="str">
        <f>IFERROR(AZ834/#REF!,"")</f>
        <v/>
      </c>
      <c r="BC834" s="272" t="str">
        <f>IFERROR(VLOOKUP($A834,Devengado!$A$1:$AI$1,22,FALSE),"")</f>
        <v/>
      </c>
      <c r="BD834" s="272" t="str">
        <f>IFERROR(VLOOKUP($A834,Devengado!$A$1:$AI$1,23,FALSE),"")</f>
        <v/>
      </c>
      <c r="BE834" s="272" t="str">
        <f>IFERROR(VLOOKUP($A834,Devengado!$A$1:$AI$1,24,FALSE),"")</f>
        <v/>
      </c>
      <c r="BF834" s="272" t="str">
        <f>IFERROR(VLOOKUP($A834,Devengado!$A$1:$AI$1,25,FALSE),"")</f>
        <v/>
      </c>
      <c r="BG834" s="272" t="str">
        <f>IFERROR(VLOOKUP($A834,Devengado!$A$1:$AI$1,26,FALSE),"")</f>
        <v/>
      </c>
      <c r="BH834" s="272" t="str">
        <f>IFERROR(VLOOKUP($A834,Devengado!$A$1:$AI$1,27,FALSE),"")</f>
        <v/>
      </c>
      <c r="BI834" s="272" t="str">
        <f>IFERROR(VLOOKUP($A834,Devengado!$A$1:$AI$1,28,FALSE),"")</f>
        <v/>
      </c>
      <c r="BJ834" s="272" t="str">
        <f>IFERROR(VLOOKUP($A834,Devengado!$A$1:$AI$1,29,FALSE),"")</f>
        <v/>
      </c>
      <c r="BK834" s="272" t="str">
        <f>IFERROR(VLOOKUP($A834,Devengado!$A$1:$AI$1,30,FALSE),"")</f>
        <v/>
      </c>
      <c r="BL834" s="272" t="str">
        <f>IFERROR(VLOOKUP($A834,Devengado!$A$1:$AI$1,31,FALSE),"")</f>
        <v/>
      </c>
      <c r="BM834" s="272" t="str">
        <f>IFERROR(VLOOKUP($A834,Devengado!$A$1:$AI$1,32,FALSE),"")</f>
        <v/>
      </c>
      <c r="BN834" s="272" t="str">
        <f>IFERROR(VLOOKUP($A834,Devengado!$A$1:$AI$1,33,FALSE),"")</f>
        <v/>
      </c>
      <c r="BO834" s="272">
        <f t="shared" si="109"/>
        <v>0</v>
      </c>
      <c r="BP834" s="272" t="str">
        <f t="shared" si="100"/>
        <v/>
      </c>
      <c r="BQ834" s="272"/>
      <c r="BR834" s="207" t="str">
        <f t="shared" si="108"/>
        <v>53</v>
      </c>
    </row>
    <row r="835" spans="1:70" ht="25.5" customHeight="1">
      <c r="A835" s="207">
        <f t="shared" si="106"/>
        <v>831</v>
      </c>
      <c r="B835" s="112" t="s">
        <v>73</v>
      </c>
      <c r="C835" s="112" t="s">
        <v>77</v>
      </c>
      <c r="D835" s="112" t="s">
        <v>169</v>
      </c>
      <c r="E835" s="112" t="s">
        <v>76</v>
      </c>
      <c r="F835" s="112" t="s">
        <v>77</v>
      </c>
      <c r="G835" s="112" t="s">
        <v>77</v>
      </c>
      <c r="H835" s="112" t="s">
        <v>77</v>
      </c>
      <c r="I835" s="112" t="s">
        <v>77</v>
      </c>
      <c r="J835" s="112" t="s">
        <v>77</v>
      </c>
      <c r="K835" s="112" t="s">
        <v>77</v>
      </c>
      <c r="L835" s="112" t="s">
        <v>85</v>
      </c>
      <c r="M835" s="112" t="s">
        <v>795</v>
      </c>
      <c r="N835" s="126">
        <v>9999</v>
      </c>
      <c r="O835" s="114" t="s">
        <v>80</v>
      </c>
      <c r="P835" s="127" t="s">
        <v>81</v>
      </c>
      <c r="Q835" s="127" t="s">
        <v>82</v>
      </c>
      <c r="R835" s="115" t="str">
        <f t="shared" si="96"/>
        <v>53</v>
      </c>
      <c r="S835" s="269">
        <v>530207</v>
      </c>
      <c r="T835" s="207" t="str">
        <f>VLOOKUP(S835,ITEM!$C$1:$D$156,2,FALSE)</f>
        <v>Difusión, Información y Publicidad</v>
      </c>
      <c r="U835" s="207" t="s">
        <v>83</v>
      </c>
      <c r="V835" s="207" t="s">
        <v>82</v>
      </c>
      <c r="W835" s="207" t="s">
        <v>84</v>
      </c>
      <c r="X835" s="207" t="s">
        <v>84</v>
      </c>
      <c r="Y835" s="272" t="e">
        <f>'Matriz POA 2024-TRABAJO'!#REF!</f>
        <v>#REF!</v>
      </c>
      <c r="Z835" s="272" t="e">
        <f>'Matriz POA 2024-TRABAJO'!#REF!</f>
        <v>#REF!</v>
      </c>
      <c r="AA835" s="272" t="e">
        <f>'Matriz POA 2024-TRABAJO'!#REF!</f>
        <v>#REF!</v>
      </c>
      <c r="AB835" s="272"/>
      <c r="AC835" s="272"/>
      <c r="AD835" s="272"/>
      <c r="AE835" s="272">
        <v>6600</v>
      </c>
      <c r="AF835" s="272"/>
      <c r="AG835" s="272"/>
      <c r="AH835" s="272"/>
      <c r="AI835" s="272"/>
      <c r="AJ835" s="272"/>
      <c r="AK835" s="272"/>
      <c r="AL835" s="272"/>
      <c r="AM835" s="272"/>
      <c r="AN835" s="272" t="e">
        <f>SUM(#REF!)</f>
        <v>#REF!</v>
      </c>
      <c r="AO835" s="224">
        <f t="shared" si="97"/>
        <v>6600</v>
      </c>
      <c r="AP835" s="224" t="e">
        <f t="shared" si="102"/>
        <v>#REF!</v>
      </c>
      <c r="AQ835" s="272"/>
      <c r="AR835" s="272"/>
      <c r="AS835" s="272"/>
      <c r="AT835" s="272" t="str">
        <f>IFERROR(VLOOKUP($A835,'Constancias POA'!$A$2:$DH$9993,17,FALSE),"")</f>
        <v/>
      </c>
      <c r="AU835" s="272" t="str">
        <f t="shared" si="107"/>
        <v/>
      </c>
      <c r="AV835" s="224" t="str">
        <f>IFERROR(VLOOKUP($A835,CP!$A$1:$U$7992,18,FALSE),"")</f>
        <v/>
      </c>
      <c r="AW835" s="224" t="str">
        <f>IFERROR(VLOOKUP($A835,CP!$A$1:$U$7992,19,FALSE),"")</f>
        <v/>
      </c>
      <c r="AX835" s="224" t="str">
        <f>IFERROR(VLOOKUP($A835,CP!$A$1:$U$7992,20,FALSE),"")</f>
        <v/>
      </c>
      <c r="AY835" s="272" t="str">
        <f>IFERROR(VLOOKUP($A835,CP!$A$1:$U$1,21,FALSE),"")</f>
        <v/>
      </c>
      <c r="AZ835" s="224" t="str">
        <f>IFERROR(VLOOKUP(A835,Devengado!$A$1:AJ1,35,FALSE),"")</f>
        <v/>
      </c>
      <c r="BA835" s="224" t="str">
        <f t="shared" si="98"/>
        <v/>
      </c>
      <c r="BB835" s="224" t="str">
        <f>IFERROR(AZ835/#REF!,"")</f>
        <v/>
      </c>
      <c r="BC835" s="272" t="str">
        <f>IFERROR(VLOOKUP($A835,Devengado!$A$1:$AI$1,22,FALSE),"")</f>
        <v/>
      </c>
      <c r="BD835" s="272" t="str">
        <f>IFERROR(VLOOKUP($A835,Devengado!$A$1:$AI$1,23,FALSE),"")</f>
        <v/>
      </c>
      <c r="BE835" s="272" t="str">
        <f>IFERROR(VLOOKUP($A835,Devengado!$A$1:$AI$1,24,FALSE),"")</f>
        <v/>
      </c>
      <c r="BF835" s="272" t="str">
        <f>IFERROR(VLOOKUP($A835,Devengado!$A$1:$AI$1,25,FALSE),"")</f>
        <v/>
      </c>
      <c r="BG835" s="272" t="str">
        <f>IFERROR(VLOOKUP($A835,Devengado!$A$1:$AI$1,26,FALSE),"")</f>
        <v/>
      </c>
      <c r="BH835" s="272" t="str">
        <f>IFERROR(VLOOKUP($A835,Devengado!$A$1:$AI$1,27,FALSE),"")</f>
        <v/>
      </c>
      <c r="BI835" s="272" t="str">
        <f>IFERROR(VLOOKUP($A835,Devengado!$A$1:$AI$1,28,FALSE),"")</f>
        <v/>
      </c>
      <c r="BJ835" s="272" t="str">
        <f>IFERROR(VLOOKUP($A835,Devengado!$A$1:$AI$1,29,FALSE),"")</f>
        <v/>
      </c>
      <c r="BK835" s="272" t="str">
        <f>IFERROR(VLOOKUP($A835,Devengado!$A$1:$AI$1,30,FALSE),"")</f>
        <v/>
      </c>
      <c r="BL835" s="272" t="str">
        <f>IFERROR(VLOOKUP($A835,Devengado!$A$1:$AI$1,31,FALSE),"")</f>
        <v/>
      </c>
      <c r="BM835" s="272" t="str">
        <f>IFERROR(VLOOKUP($A835,Devengado!$A$1:$AI$1,32,FALSE),"")</f>
        <v/>
      </c>
      <c r="BN835" s="272" t="str">
        <f>IFERROR(VLOOKUP($A835,Devengado!$A$1:$AI$1,33,FALSE),"")</f>
        <v/>
      </c>
      <c r="BO835" s="272">
        <f t="shared" si="109"/>
        <v>0</v>
      </c>
      <c r="BP835" s="272" t="str">
        <f t="shared" si="100"/>
        <v/>
      </c>
      <c r="BQ835" s="272"/>
      <c r="BR835" s="207" t="str">
        <f t="shared" si="108"/>
        <v>53</v>
      </c>
    </row>
    <row r="836" spans="1:70" ht="25.5" customHeight="1">
      <c r="A836" s="207">
        <f t="shared" si="106"/>
        <v>832</v>
      </c>
      <c r="B836" s="112" t="s">
        <v>287</v>
      </c>
      <c r="C836" s="112" t="s">
        <v>77</v>
      </c>
      <c r="D836" s="112" t="s">
        <v>77</v>
      </c>
      <c r="E836" s="112" t="s">
        <v>76</v>
      </c>
      <c r="F836" s="112" t="s">
        <v>77</v>
      </c>
      <c r="G836" s="112" t="s">
        <v>77</v>
      </c>
      <c r="H836" s="112" t="s">
        <v>77</v>
      </c>
      <c r="I836" s="112" t="s">
        <v>77</v>
      </c>
      <c r="J836" s="112" t="s">
        <v>77</v>
      </c>
      <c r="K836" s="112" t="s">
        <v>77</v>
      </c>
      <c r="L836" s="112" t="s">
        <v>85</v>
      </c>
      <c r="M836" s="207" t="s">
        <v>796</v>
      </c>
      <c r="N836" s="126" t="s">
        <v>289</v>
      </c>
      <c r="O836" s="114">
        <v>80</v>
      </c>
      <c r="P836" s="127" t="s">
        <v>81</v>
      </c>
      <c r="Q836" s="127" t="s">
        <v>112</v>
      </c>
      <c r="R836" s="115" t="str">
        <f t="shared" si="96"/>
        <v>53</v>
      </c>
      <c r="S836" s="269">
        <v>530813</v>
      </c>
      <c r="T836" s="207" t="e">
        <f>VLOOKUP(S836,ITEM!$C$1:$D$156,2,FALSE)</f>
        <v>#N/A</v>
      </c>
      <c r="U836" s="207" t="s">
        <v>797</v>
      </c>
      <c r="V836" s="207" t="s">
        <v>82</v>
      </c>
      <c r="W836" s="207" t="s">
        <v>84</v>
      </c>
      <c r="X836" s="207" t="s">
        <v>84</v>
      </c>
      <c r="Y836" s="272" t="e">
        <f>'Matriz POA 2024-TRABAJO'!#REF!</f>
        <v>#REF!</v>
      </c>
      <c r="Z836" s="272" t="e">
        <f>'Matriz POA 2024-TRABAJO'!#REF!</f>
        <v>#REF!</v>
      </c>
      <c r="AA836" s="272" t="e">
        <f>'Matriz POA 2024-TRABAJO'!#REF!</f>
        <v>#REF!</v>
      </c>
      <c r="AB836" s="272">
        <v>0</v>
      </c>
      <c r="AC836" s="272">
        <v>0</v>
      </c>
      <c r="AD836" s="272">
        <v>0</v>
      </c>
      <c r="AE836" s="272">
        <v>280</v>
      </c>
      <c r="AF836" s="272">
        <v>0</v>
      </c>
      <c r="AG836" s="272">
        <v>0</v>
      </c>
      <c r="AH836" s="272">
        <v>0</v>
      </c>
      <c r="AI836" s="272">
        <v>0</v>
      </c>
      <c r="AJ836" s="272">
        <v>0</v>
      </c>
      <c r="AK836" s="272">
        <v>0</v>
      </c>
      <c r="AL836" s="272">
        <v>0</v>
      </c>
      <c r="AM836" s="272">
        <v>0</v>
      </c>
      <c r="AN836" s="272" t="e">
        <f>SUM(#REF!)</f>
        <v>#REF!</v>
      </c>
      <c r="AO836" s="224">
        <f t="shared" si="97"/>
        <v>280</v>
      </c>
      <c r="AP836" s="224" t="e">
        <f t="shared" si="102"/>
        <v>#REF!</v>
      </c>
      <c r="AQ836" s="272"/>
      <c r="AR836" s="272"/>
      <c r="AS836" s="272"/>
      <c r="AT836" s="272" t="str">
        <f>IFERROR(VLOOKUP($A836,'Constancias POA'!$A$2:$DH$9993,17,FALSE),"")</f>
        <v/>
      </c>
      <c r="AU836" s="272" t="str">
        <f t="shared" si="107"/>
        <v/>
      </c>
      <c r="AV836" s="224" t="str">
        <f>IFERROR(VLOOKUP($A836,CP!$A$1:$U$7992,18,FALSE),"")</f>
        <v/>
      </c>
      <c r="AW836" s="224" t="str">
        <f>IFERROR(VLOOKUP($A836,CP!$A$1:$U$7992,19,FALSE),"")</f>
        <v/>
      </c>
      <c r="AX836" s="224" t="str">
        <f>IFERROR(VLOOKUP($A836,CP!$A$1:$U$7992,20,FALSE),"")</f>
        <v/>
      </c>
      <c r="AY836" s="272" t="str">
        <f>IFERROR(VLOOKUP($A836,CP!$A$1:$U$1,21,FALSE),"")</f>
        <v/>
      </c>
      <c r="AZ836" s="224" t="str">
        <f>IFERROR(VLOOKUP(A836,Devengado!$A$1:AJ1,35,FALSE),"")</f>
        <v/>
      </c>
      <c r="BA836" s="224" t="str">
        <f t="shared" si="98"/>
        <v/>
      </c>
      <c r="BB836" s="224" t="str">
        <f>IFERROR(AZ836/#REF!,"")</f>
        <v/>
      </c>
      <c r="BC836" s="272" t="str">
        <f>IFERROR(VLOOKUP($A836,Devengado!$A$1:$AI$1,22,FALSE),"")</f>
        <v/>
      </c>
      <c r="BD836" s="272" t="str">
        <f>IFERROR(VLOOKUP($A836,Devengado!$A$1:$AI$1,23,FALSE),"")</f>
        <v/>
      </c>
      <c r="BE836" s="272" t="str">
        <f>IFERROR(VLOOKUP($A836,Devengado!$A$1:$AI$1,24,FALSE),"")</f>
        <v/>
      </c>
      <c r="BF836" s="272" t="str">
        <f>IFERROR(VLOOKUP($A836,Devengado!$A$1:$AI$1,25,FALSE),"")</f>
        <v/>
      </c>
      <c r="BG836" s="272" t="str">
        <f>IFERROR(VLOOKUP($A836,Devengado!$A$1:$AI$1,26,FALSE),"")</f>
        <v/>
      </c>
      <c r="BH836" s="272" t="str">
        <f>IFERROR(VLOOKUP($A836,Devengado!$A$1:$AI$1,27,FALSE),"")</f>
        <v/>
      </c>
      <c r="BI836" s="272" t="str">
        <f>IFERROR(VLOOKUP($A836,Devengado!$A$1:$AI$1,28,FALSE),"")</f>
        <v/>
      </c>
      <c r="BJ836" s="272" t="str">
        <f>IFERROR(VLOOKUP($A836,Devengado!$A$1:$AI$1,29,FALSE),"")</f>
        <v/>
      </c>
      <c r="BK836" s="272" t="str">
        <f>IFERROR(VLOOKUP($A836,Devengado!$A$1:$AI$1,30,FALSE),"")</f>
        <v/>
      </c>
      <c r="BL836" s="272" t="str">
        <f>IFERROR(VLOOKUP($A836,Devengado!$A$1:$AI$1,31,FALSE),"")</f>
        <v/>
      </c>
      <c r="BM836" s="272" t="str">
        <f>IFERROR(VLOOKUP($A836,Devengado!$A$1:$AI$1,32,FALSE),"")</f>
        <v/>
      </c>
      <c r="BN836" s="272" t="str">
        <f>IFERROR(VLOOKUP($A836,Devengado!$A$1:$AI$1,33,FALSE),"")</f>
        <v/>
      </c>
      <c r="BO836" s="272">
        <f t="shared" si="109"/>
        <v>0</v>
      </c>
      <c r="BP836" s="272" t="str">
        <f t="shared" si="100"/>
        <v/>
      </c>
      <c r="BQ836" s="272"/>
      <c r="BR836" s="207" t="str">
        <f t="shared" si="108"/>
        <v>53</v>
      </c>
    </row>
    <row r="837" spans="1:70" ht="25.5" customHeight="1">
      <c r="A837" s="249">
        <f t="shared" si="106"/>
        <v>833</v>
      </c>
      <c r="B837" s="250" t="s">
        <v>287</v>
      </c>
      <c r="C837" s="250" t="s">
        <v>77</v>
      </c>
      <c r="D837" s="250" t="s">
        <v>77</v>
      </c>
      <c r="E837" s="250" t="s">
        <v>76</v>
      </c>
      <c r="F837" s="250" t="s">
        <v>77</v>
      </c>
      <c r="G837" s="250" t="s">
        <v>77</v>
      </c>
      <c r="H837" s="250" t="s">
        <v>77</v>
      </c>
      <c r="I837" s="250" t="s">
        <v>77</v>
      </c>
      <c r="J837" s="250" t="s">
        <v>77</v>
      </c>
      <c r="K837" s="250" t="s">
        <v>77</v>
      </c>
      <c r="L837" s="250" t="s">
        <v>85</v>
      </c>
      <c r="M837" s="249" t="s">
        <v>798</v>
      </c>
      <c r="N837" s="126" t="s">
        <v>289</v>
      </c>
      <c r="O837" s="114">
        <v>80</v>
      </c>
      <c r="P837" s="127" t="s">
        <v>81</v>
      </c>
      <c r="Q837" s="127" t="s">
        <v>112</v>
      </c>
      <c r="R837" s="115" t="str">
        <f t="shared" ref="R837:R844" si="110">LEFT(S837,2)</f>
        <v>53</v>
      </c>
      <c r="S837" s="269">
        <v>530813</v>
      </c>
      <c r="T837" s="207" t="e">
        <f>VLOOKUP(S837,ITEM!$C$1:$D$156,2,FALSE)</f>
        <v>#N/A</v>
      </c>
      <c r="U837" s="207" t="s">
        <v>797</v>
      </c>
      <c r="V837" s="207" t="s">
        <v>82</v>
      </c>
      <c r="W837" s="207" t="s">
        <v>84</v>
      </c>
      <c r="X837" s="207" t="s">
        <v>84</v>
      </c>
      <c r="Y837" s="274" t="e">
        <f>'Matriz POA 2024-TRABAJO'!#REF!</f>
        <v>#REF!</v>
      </c>
      <c r="Z837" s="274" t="e">
        <f>'Matriz POA 2024-TRABAJO'!#REF!</f>
        <v>#REF!</v>
      </c>
      <c r="AA837" s="274" t="e">
        <f>'Matriz POA 2024-TRABAJO'!#REF!</f>
        <v>#REF!</v>
      </c>
      <c r="AB837" s="274">
        <v>0</v>
      </c>
      <c r="AC837" s="274">
        <v>0</v>
      </c>
      <c r="AD837" s="274">
        <v>0</v>
      </c>
      <c r="AE837" s="274">
        <v>941.48</v>
      </c>
      <c r="AF837" s="274">
        <v>0</v>
      </c>
      <c r="AG837" s="274">
        <v>0</v>
      </c>
      <c r="AH837" s="274">
        <v>0</v>
      </c>
      <c r="AI837" s="274">
        <v>0</v>
      </c>
      <c r="AJ837" s="274">
        <v>0</v>
      </c>
      <c r="AK837" s="274">
        <v>0</v>
      </c>
      <c r="AL837" s="274">
        <v>0</v>
      </c>
      <c r="AM837" s="274">
        <v>0</v>
      </c>
      <c r="AN837" s="274" t="e">
        <f>SUM(#REF!)</f>
        <v>#REF!</v>
      </c>
      <c r="AO837" s="224">
        <f t="shared" ref="AO837:AO844" si="111">SUM(AB837:AM837)</f>
        <v>941.48</v>
      </c>
      <c r="AP837" s="224" t="e">
        <f t="shared" si="102"/>
        <v>#REF!</v>
      </c>
      <c r="AQ837" s="274"/>
      <c r="AR837" s="274"/>
      <c r="AS837" s="274"/>
      <c r="AT837" s="274" t="str">
        <f>IFERROR(VLOOKUP($A837,'Constancias POA'!$A$2:$DH$9993,17,FALSE),"")</f>
        <v/>
      </c>
      <c r="AU837" s="274" t="str">
        <f t="shared" si="107"/>
        <v/>
      </c>
      <c r="AV837" s="224" t="str">
        <f>IFERROR(VLOOKUP($A837,CP!$A$1:$U$7992,18,FALSE),"")</f>
        <v/>
      </c>
      <c r="AW837" s="224" t="str">
        <f>IFERROR(VLOOKUP($A837,CP!$A$1:$U$7992,19,FALSE),"")</f>
        <v/>
      </c>
      <c r="AX837" s="224" t="str">
        <f>IFERROR(VLOOKUP($A837,CP!$A$1:$U$7992,20,FALSE),"")</f>
        <v/>
      </c>
      <c r="AY837" s="274" t="str">
        <f>IFERROR(VLOOKUP($A837,CP!$A$1:$U$1,21,FALSE),"")</f>
        <v/>
      </c>
      <c r="AZ837" s="224" t="str">
        <f>IFERROR(VLOOKUP(A837,Devengado!$A$1:AJ1,35,FALSE),"")</f>
        <v/>
      </c>
      <c r="BA837" s="224" t="str">
        <f t="shared" ref="BA837:BA844" si="112">IFERROR((AA837-AZ837),"")</f>
        <v/>
      </c>
      <c r="BB837" s="224" t="str">
        <f>IFERROR(AZ837/#REF!,"")</f>
        <v/>
      </c>
      <c r="BC837" s="274" t="str">
        <f>IFERROR(VLOOKUP($A837,Devengado!$A$1:$AI$1,22,FALSE),"")</f>
        <v/>
      </c>
      <c r="BD837" s="274" t="str">
        <f>IFERROR(VLOOKUP($A837,Devengado!$A$1:$AI$1,23,FALSE),"")</f>
        <v/>
      </c>
      <c r="BE837" s="274" t="str">
        <f>IFERROR(VLOOKUP($A837,Devengado!$A$1:$AI$1,24,FALSE),"")</f>
        <v/>
      </c>
      <c r="BF837" s="274" t="str">
        <f>IFERROR(VLOOKUP($A837,Devengado!$A$1:$AI$1,25,FALSE),"")</f>
        <v/>
      </c>
      <c r="BG837" s="274" t="str">
        <f>IFERROR(VLOOKUP($A837,Devengado!$A$1:$AI$1,26,FALSE),"")</f>
        <v/>
      </c>
      <c r="BH837" s="274" t="str">
        <f>IFERROR(VLOOKUP($A837,Devengado!$A$1:$AI$1,27,FALSE),"")</f>
        <v/>
      </c>
      <c r="BI837" s="274" t="str">
        <f>IFERROR(VLOOKUP($A837,Devengado!$A$1:$AI$1,28,FALSE),"")</f>
        <v/>
      </c>
      <c r="BJ837" s="274" t="str">
        <f>IFERROR(VLOOKUP($A837,Devengado!$A$1:$AI$1,29,FALSE),"")</f>
        <v/>
      </c>
      <c r="BK837" s="274" t="str">
        <f>IFERROR(VLOOKUP($A837,Devengado!$A$1:$AI$1,30,FALSE),"")</f>
        <v/>
      </c>
      <c r="BL837" s="274" t="str">
        <f>IFERROR(VLOOKUP($A837,Devengado!$A$1:$AI$1,31,FALSE),"")</f>
        <v/>
      </c>
      <c r="BM837" s="274" t="str">
        <f>IFERROR(VLOOKUP($A837,Devengado!$A$1:$AI$1,32,FALSE),"")</f>
        <v/>
      </c>
      <c r="BN837" s="274" t="str">
        <f>IFERROR(VLOOKUP($A837,Devengado!$A$1:$AI$1,33,FALSE),"")</f>
        <v/>
      </c>
      <c r="BO837" s="274">
        <f t="shared" si="109"/>
        <v>0</v>
      </c>
      <c r="BP837" s="274" t="str">
        <f t="shared" ref="BP837:BP844" si="113">IFERROR(((AB837+AC837)-AZ837),"")</f>
        <v/>
      </c>
      <c r="BQ837" s="274"/>
      <c r="BR837" s="249" t="str">
        <f t="shared" si="108"/>
        <v>53</v>
      </c>
    </row>
    <row r="838" spans="1:70" ht="25.5" customHeight="1">
      <c r="A838" s="207">
        <f t="shared" si="106"/>
        <v>834</v>
      </c>
      <c r="B838" s="112" t="s">
        <v>73</v>
      </c>
      <c r="C838" s="112" t="s">
        <v>187</v>
      </c>
      <c r="D838" s="125" t="s">
        <v>188</v>
      </c>
      <c r="E838" s="117" t="s">
        <v>76</v>
      </c>
      <c r="F838" s="112" t="s">
        <v>77</v>
      </c>
      <c r="G838" s="112" t="s">
        <v>77</v>
      </c>
      <c r="H838" s="112" t="s">
        <v>77</v>
      </c>
      <c r="I838" s="112" t="s">
        <v>77</v>
      </c>
      <c r="J838" s="112" t="s">
        <v>77</v>
      </c>
      <c r="K838" s="112" t="s">
        <v>77</v>
      </c>
      <c r="L838" s="302" t="s">
        <v>85</v>
      </c>
      <c r="M838" s="207" t="s">
        <v>799</v>
      </c>
      <c r="N838" s="126">
        <v>9999</v>
      </c>
      <c r="O838" s="114" t="s">
        <v>80</v>
      </c>
      <c r="P838" s="127" t="s">
        <v>81</v>
      </c>
      <c r="Q838" s="127" t="s">
        <v>82</v>
      </c>
      <c r="R838" s="115" t="str">
        <f t="shared" si="110"/>
        <v>57</v>
      </c>
      <c r="S838" s="269">
        <v>570216</v>
      </c>
      <c r="T838" s="207" t="e">
        <f>VLOOKUP(S838,ITEM!$C$1:$D$156,2,FALSE)</f>
        <v>#N/A</v>
      </c>
      <c r="U838" s="207">
        <v>1701</v>
      </c>
      <c r="V838" s="207" t="s">
        <v>82</v>
      </c>
      <c r="W838" s="207" t="s">
        <v>84</v>
      </c>
      <c r="X838" s="207" t="s">
        <v>84</v>
      </c>
      <c r="Y838" s="272" t="e">
        <f>'Matriz POA 2024-TRABAJO'!#REF!</f>
        <v>#REF!</v>
      </c>
      <c r="Z838" s="272" t="e">
        <f>'Matriz POA 2024-TRABAJO'!#REF!</f>
        <v>#REF!</v>
      </c>
      <c r="AA838" s="272" t="e">
        <f>'Matriz POA 2024-TRABAJO'!#REF!</f>
        <v>#REF!</v>
      </c>
      <c r="AB838" s="272"/>
      <c r="AC838" s="272"/>
      <c r="AD838" s="272">
        <v>26406.18</v>
      </c>
      <c r="AE838" s="272"/>
      <c r="AF838" s="272"/>
      <c r="AG838" s="272"/>
      <c r="AH838" s="272"/>
      <c r="AI838" s="272"/>
      <c r="AJ838" s="272"/>
      <c r="AK838" s="272"/>
      <c r="AL838" s="272"/>
      <c r="AM838" s="272"/>
      <c r="AN838" s="272" t="e">
        <f>SUM(#REF!)</f>
        <v>#REF!</v>
      </c>
      <c r="AO838" s="224">
        <f t="shared" si="111"/>
        <v>26406.18</v>
      </c>
      <c r="AP838" s="224" t="e">
        <f t="shared" ref="AP838:AP844" si="114">+AO838-AA838</f>
        <v>#REF!</v>
      </c>
      <c r="AQ838" s="272"/>
      <c r="AR838" s="272"/>
      <c r="AS838" s="272"/>
      <c r="AT838" s="272" t="str">
        <f>IFERROR(VLOOKUP($A838,'Constancias POA'!$A$2:$DH$9993,17,FALSE),"")</f>
        <v/>
      </c>
      <c r="AU838" s="272" t="str">
        <f t="shared" si="107"/>
        <v/>
      </c>
      <c r="AV838" s="224" t="str">
        <f>IFERROR(VLOOKUP($A838,CP!$A$1:$U$7992,18,FALSE),"")</f>
        <v/>
      </c>
      <c r="AW838" s="224" t="str">
        <f>IFERROR(VLOOKUP($A838,CP!$A$1:$U$7992,19,FALSE),"")</f>
        <v/>
      </c>
      <c r="AX838" s="224" t="str">
        <f>IFERROR(VLOOKUP($A838,CP!$A$1:$U$7992,20,FALSE),"")</f>
        <v/>
      </c>
      <c r="AY838" s="272" t="str">
        <f>IFERROR(VLOOKUP($A838,CP!$A$1:$U$1,21,FALSE),"")</f>
        <v/>
      </c>
      <c r="AZ838" s="224" t="str">
        <f>IFERROR(VLOOKUP(A838,Devengado!$A$1:AJ1,35,FALSE),"")</f>
        <v/>
      </c>
      <c r="BA838" s="224" t="str">
        <f t="shared" si="112"/>
        <v/>
      </c>
      <c r="BB838" s="224" t="str">
        <f>IFERROR(AZ838/#REF!,"")</f>
        <v/>
      </c>
      <c r="BC838" s="272" t="str">
        <f>IFERROR(VLOOKUP($A838,Devengado!$A$1:$AI$1,22,FALSE),"")</f>
        <v/>
      </c>
      <c r="BD838" s="272" t="str">
        <f>IFERROR(VLOOKUP($A838,Devengado!$A$1:$AI$1,23,FALSE),"")</f>
        <v/>
      </c>
      <c r="BE838" s="272" t="str">
        <f>IFERROR(VLOOKUP($A838,Devengado!$A$1:$AI$1,24,FALSE),"")</f>
        <v/>
      </c>
      <c r="BF838" s="272" t="str">
        <f>IFERROR(VLOOKUP($A838,Devengado!$A$1:$AI$1,25,FALSE),"")</f>
        <v/>
      </c>
      <c r="BG838" s="272" t="str">
        <f>IFERROR(VLOOKUP($A838,Devengado!$A$1:$AI$1,26,FALSE),"")</f>
        <v/>
      </c>
      <c r="BH838" s="272" t="str">
        <f>IFERROR(VLOOKUP($A838,Devengado!$A$1:$AI$1,27,FALSE),"")</f>
        <v/>
      </c>
      <c r="BI838" s="272" t="str">
        <f>IFERROR(VLOOKUP($A838,Devengado!$A$1:$AI$1,28,FALSE),"")</f>
        <v/>
      </c>
      <c r="BJ838" s="272" t="str">
        <f>IFERROR(VLOOKUP($A838,Devengado!$A$1:$AI$1,29,FALSE),"")</f>
        <v/>
      </c>
      <c r="BK838" s="272" t="str">
        <f>IFERROR(VLOOKUP($A838,Devengado!$A$1:$AI$1,30,FALSE),"")</f>
        <v/>
      </c>
      <c r="BL838" s="272" t="str">
        <f>IFERROR(VLOOKUP($A838,Devengado!$A$1:$AI$1,31,FALSE),"")</f>
        <v/>
      </c>
      <c r="BM838" s="272" t="str">
        <f>IFERROR(VLOOKUP($A838,Devengado!$A$1:$AI$1,32,FALSE),"")</f>
        <v/>
      </c>
      <c r="BN838" s="272" t="str">
        <f>IFERROR(VLOOKUP($A838,Devengado!$A$1:$AI$1,33,FALSE),"")</f>
        <v/>
      </c>
      <c r="BO838" s="272">
        <f t="shared" ref="BO838:BO844" si="115">SUM(BC838:BN838)</f>
        <v>0</v>
      </c>
      <c r="BP838" s="272" t="str">
        <f t="shared" si="113"/>
        <v/>
      </c>
      <c r="BQ838" s="272"/>
      <c r="BR838" s="207" t="str">
        <f t="shared" si="108"/>
        <v>57</v>
      </c>
    </row>
    <row r="839" spans="1:70" ht="25.5" customHeight="1">
      <c r="A839" s="249">
        <f t="shared" si="106"/>
        <v>835</v>
      </c>
      <c r="B839" s="250" t="s">
        <v>73</v>
      </c>
      <c r="C839" s="250" t="s">
        <v>187</v>
      </c>
      <c r="D839" s="260" t="s">
        <v>188</v>
      </c>
      <c r="E839" s="261" t="s">
        <v>76</v>
      </c>
      <c r="F839" s="250" t="s">
        <v>77</v>
      </c>
      <c r="G839" s="250" t="s">
        <v>77</v>
      </c>
      <c r="H839" s="250" t="s">
        <v>77</v>
      </c>
      <c r="I839" s="250" t="s">
        <v>77</v>
      </c>
      <c r="J839" s="250" t="s">
        <v>77</v>
      </c>
      <c r="K839" s="250" t="s">
        <v>77</v>
      </c>
      <c r="L839" s="323" t="s">
        <v>85</v>
      </c>
      <c r="M839" s="249" t="s">
        <v>800</v>
      </c>
      <c r="N839" s="126">
        <v>9999</v>
      </c>
      <c r="O839" s="114" t="s">
        <v>80</v>
      </c>
      <c r="P839" s="127" t="s">
        <v>81</v>
      </c>
      <c r="Q839" s="127" t="s">
        <v>82</v>
      </c>
      <c r="R839" s="115" t="str">
        <f t="shared" si="110"/>
        <v>57</v>
      </c>
      <c r="S839" s="269">
        <v>570217</v>
      </c>
      <c r="T839" s="207" t="e">
        <f>VLOOKUP(S839,ITEM!$C$1:$D$156,2,FALSE)</f>
        <v>#N/A</v>
      </c>
      <c r="U839" s="207">
        <v>1701</v>
      </c>
      <c r="V839" s="207" t="s">
        <v>82</v>
      </c>
      <c r="W839" s="207" t="s">
        <v>84</v>
      </c>
      <c r="X839" s="207" t="s">
        <v>84</v>
      </c>
      <c r="Y839" s="272" t="e">
        <f>'Matriz POA 2024-TRABAJO'!#REF!</f>
        <v>#REF!</v>
      </c>
      <c r="Z839" s="272" t="e">
        <f>'Matriz POA 2024-TRABAJO'!#REF!</f>
        <v>#REF!</v>
      </c>
      <c r="AA839" s="272" t="e">
        <f>'Matriz POA 2024-TRABAJO'!#REF!</f>
        <v>#REF!</v>
      </c>
      <c r="AB839" s="272"/>
      <c r="AC839" s="272"/>
      <c r="AD839" s="272">
        <v>225.89</v>
      </c>
      <c r="AE839" s="272"/>
      <c r="AF839" s="272"/>
      <c r="AG839" s="272"/>
      <c r="AH839" s="272"/>
      <c r="AI839" s="272"/>
      <c r="AJ839" s="272"/>
      <c r="AK839" s="272"/>
      <c r="AL839" s="272"/>
      <c r="AM839" s="272"/>
      <c r="AN839" s="272" t="e">
        <f>SUM(#REF!)</f>
        <v>#REF!</v>
      </c>
      <c r="AO839" s="224">
        <f t="shared" si="111"/>
        <v>225.89</v>
      </c>
      <c r="AP839" s="224" t="e">
        <f t="shared" si="114"/>
        <v>#REF!</v>
      </c>
      <c r="AQ839" s="272"/>
      <c r="AR839" s="272"/>
      <c r="AS839" s="272"/>
      <c r="AT839" s="272" t="str">
        <f>IFERROR(VLOOKUP($A839,'Constancias POA'!$A$2:$DH$9993,17,FALSE),"")</f>
        <v/>
      </c>
      <c r="AU839" s="272" t="str">
        <f t="shared" si="107"/>
        <v/>
      </c>
      <c r="AV839" s="224" t="str">
        <f>IFERROR(VLOOKUP($A839,CP!$A$1:$U$7992,18,FALSE),"")</f>
        <v/>
      </c>
      <c r="AW839" s="224" t="str">
        <f>IFERROR(VLOOKUP($A839,CP!$A$1:$U$7992,19,FALSE),"")</f>
        <v/>
      </c>
      <c r="AX839" s="224" t="str">
        <f>IFERROR(VLOOKUP($A839,CP!$A$1:$U$7992,20,FALSE),"")</f>
        <v/>
      </c>
      <c r="AY839" s="272" t="str">
        <f>IFERROR(VLOOKUP($A839,CP!$A$1:$U$1,21,FALSE),"")</f>
        <v/>
      </c>
      <c r="AZ839" s="224" t="str">
        <f>IFERROR(VLOOKUP(A839,Devengado!$A$1:AJ1,35,FALSE),"")</f>
        <v/>
      </c>
      <c r="BA839" s="224" t="str">
        <f t="shared" si="112"/>
        <v/>
      </c>
      <c r="BB839" s="224" t="str">
        <f>IFERROR(AZ839/#REF!,"")</f>
        <v/>
      </c>
      <c r="BC839" s="272" t="str">
        <f>IFERROR(VLOOKUP($A839,Devengado!$A$1:$AI$1,22,FALSE),"")</f>
        <v/>
      </c>
      <c r="BD839" s="272" t="str">
        <f>IFERROR(VLOOKUP($A839,Devengado!$A$1:$AI$1,23,FALSE),"")</f>
        <v/>
      </c>
      <c r="BE839" s="272" t="str">
        <f>IFERROR(VLOOKUP($A839,Devengado!$A$1:$AI$1,24,FALSE),"")</f>
        <v/>
      </c>
      <c r="BF839" s="272" t="str">
        <f>IFERROR(VLOOKUP($A839,Devengado!$A$1:$AI$1,25,FALSE),"")</f>
        <v/>
      </c>
      <c r="BG839" s="272" t="str">
        <f>IFERROR(VLOOKUP($A839,Devengado!$A$1:$AI$1,26,FALSE),"")</f>
        <v/>
      </c>
      <c r="BH839" s="272" t="str">
        <f>IFERROR(VLOOKUP($A839,Devengado!$A$1:$AI$1,27,FALSE),"")</f>
        <v/>
      </c>
      <c r="BI839" s="272" t="str">
        <f>IFERROR(VLOOKUP($A839,Devengado!$A$1:$AI$1,28,FALSE),"")</f>
        <v/>
      </c>
      <c r="BJ839" s="272" t="str">
        <f>IFERROR(VLOOKUP($A839,Devengado!$A$1:$AI$1,29,FALSE),"")</f>
        <v/>
      </c>
      <c r="BK839" s="272" t="str">
        <f>IFERROR(VLOOKUP($A839,Devengado!$A$1:$AI$1,30,FALSE),"")</f>
        <v/>
      </c>
      <c r="BL839" s="272" t="str">
        <f>IFERROR(VLOOKUP($A839,Devengado!$A$1:$AI$1,31,FALSE),"")</f>
        <v/>
      </c>
      <c r="BM839" s="272" t="str">
        <f>IFERROR(VLOOKUP($A839,Devengado!$A$1:$AI$1,32,FALSE),"")</f>
        <v/>
      </c>
      <c r="BN839" s="272" t="str">
        <f>IFERROR(VLOOKUP($A839,Devengado!$A$1:$AI$1,33,FALSE),"")</f>
        <v/>
      </c>
      <c r="BO839" s="272">
        <f t="shared" si="115"/>
        <v>0</v>
      </c>
      <c r="BP839" s="272" t="str">
        <f t="shared" si="113"/>
        <v/>
      </c>
      <c r="BQ839" s="272"/>
      <c r="BR839" s="207" t="str">
        <f t="shared" si="108"/>
        <v>57</v>
      </c>
    </row>
    <row r="840" spans="1:70" ht="25.5" customHeight="1">
      <c r="A840" s="207">
        <f>+A839+1</f>
        <v>836</v>
      </c>
      <c r="B840" s="112" t="s">
        <v>73</v>
      </c>
      <c r="C840" s="112" t="s">
        <v>74</v>
      </c>
      <c r="D840" s="112" t="s">
        <v>75</v>
      </c>
      <c r="E840" s="112" t="s">
        <v>76</v>
      </c>
      <c r="F840" s="112" t="s">
        <v>77</v>
      </c>
      <c r="G840" s="112" t="s">
        <v>77</v>
      </c>
      <c r="H840" s="112" t="s">
        <v>77</v>
      </c>
      <c r="I840" s="112" t="s">
        <v>77</v>
      </c>
      <c r="J840" s="112" t="s">
        <v>77</v>
      </c>
      <c r="K840" s="112" t="s">
        <v>77</v>
      </c>
      <c r="L840" s="207" t="s">
        <v>87</v>
      </c>
      <c r="M840" s="207" t="s">
        <v>89</v>
      </c>
      <c r="N840" s="126">
        <v>9999</v>
      </c>
      <c r="O840" s="114" t="s">
        <v>80</v>
      </c>
      <c r="P840" s="127" t="s">
        <v>81</v>
      </c>
      <c r="Q840" s="127" t="s">
        <v>82</v>
      </c>
      <c r="R840" s="115" t="str">
        <f t="shared" si="110"/>
        <v>99</v>
      </c>
      <c r="S840" s="269">
        <v>990102</v>
      </c>
      <c r="T840" s="207" t="e">
        <f>VLOOKUP(S840,ITEM!$C$1:$D$156,2,FALSE)</f>
        <v>#N/A</v>
      </c>
      <c r="U840" s="207" t="s">
        <v>83</v>
      </c>
      <c r="V840" s="207" t="s">
        <v>82</v>
      </c>
      <c r="W840" s="207" t="s">
        <v>84</v>
      </c>
      <c r="X840" s="207" t="s">
        <v>84</v>
      </c>
      <c r="Y840" s="272" t="e">
        <f>'Matriz POA 2024-TRABAJO'!#REF!</f>
        <v>#REF!</v>
      </c>
      <c r="Z840" s="272" t="e">
        <f>'Matriz POA 2024-TRABAJO'!#REF!</f>
        <v>#REF!</v>
      </c>
      <c r="AA840" s="272" t="e">
        <f>'Matriz POA 2024-TRABAJO'!#REF!</f>
        <v>#REF!</v>
      </c>
      <c r="AB840" s="272"/>
      <c r="AC840" s="272"/>
      <c r="AD840" s="272"/>
      <c r="AE840" s="272"/>
      <c r="AF840" s="272">
        <v>1521.35</v>
      </c>
      <c r="AG840" s="272"/>
      <c r="AH840" s="272"/>
      <c r="AI840" s="272"/>
      <c r="AJ840" s="272"/>
      <c r="AK840" s="272"/>
      <c r="AL840" s="272"/>
      <c r="AM840" s="272"/>
      <c r="AN840" s="272" t="e">
        <f>SUM(#REF!)</f>
        <v>#REF!</v>
      </c>
      <c r="AO840" s="224">
        <f t="shared" si="111"/>
        <v>1521.35</v>
      </c>
      <c r="AP840" s="224" t="e">
        <f t="shared" si="114"/>
        <v>#REF!</v>
      </c>
      <c r="AQ840" s="272"/>
      <c r="AR840" s="272"/>
      <c r="AS840" s="272"/>
      <c r="AT840" s="272" t="str">
        <f>IFERROR(VLOOKUP($A840,'Constancias POA'!$A$2:$DH$9993,17,FALSE),"")</f>
        <v/>
      </c>
      <c r="AU840" s="272" t="str">
        <f t="shared" si="107"/>
        <v/>
      </c>
      <c r="AV840" s="224" t="str">
        <f>IFERROR(VLOOKUP($A840,CP!$A$1:$U$7992,18,FALSE),"")</f>
        <v/>
      </c>
      <c r="AW840" s="224" t="str">
        <f>IFERROR(VLOOKUP($A840,CP!$A$1:$U$7992,19,FALSE),"")</f>
        <v/>
      </c>
      <c r="AX840" s="224" t="str">
        <f>IFERROR(VLOOKUP($A840,CP!$A$1:$U$7992,20,FALSE),"")</f>
        <v/>
      </c>
      <c r="AY840" s="272" t="str">
        <f>IFERROR(VLOOKUP($A840,CP!$A$1:$U$1,21,FALSE),"")</f>
        <v/>
      </c>
      <c r="AZ840" s="224" t="str">
        <f>IFERROR(VLOOKUP(A840,Devengado!$A$1:AJ1,35,FALSE),"")</f>
        <v/>
      </c>
      <c r="BA840" s="224" t="str">
        <f t="shared" si="112"/>
        <v/>
      </c>
      <c r="BB840" s="224" t="str">
        <f>IFERROR(AZ840/#REF!,"")</f>
        <v/>
      </c>
      <c r="BC840" s="272" t="str">
        <f>IFERROR(VLOOKUP($A840,Devengado!$A$1:$AI$1,22,FALSE),"")</f>
        <v/>
      </c>
      <c r="BD840" s="272" t="str">
        <f>IFERROR(VLOOKUP($A840,Devengado!$A$1:$AI$1,23,FALSE),"")</f>
        <v/>
      </c>
      <c r="BE840" s="272" t="str">
        <f>IFERROR(VLOOKUP($A840,Devengado!$A$1:$AI$1,24,FALSE),"")</f>
        <v/>
      </c>
      <c r="BF840" s="272" t="str">
        <f>IFERROR(VLOOKUP($A840,Devengado!$A$1:$AI$1,25,FALSE),"")</f>
        <v/>
      </c>
      <c r="BG840" s="272" t="str">
        <f>IFERROR(VLOOKUP($A840,Devengado!$A$1:$AI$1,26,FALSE),"")</f>
        <v/>
      </c>
      <c r="BH840" s="272" t="str">
        <f>IFERROR(VLOOKUP($A840,Devengado!$A$1:$AI$1,27,FALSE),"")</f>
        <v/>
      </c>
      <c r="BI840" s="272" t="str">
        <f>IFERROR(VLOOKUP($A840,Devengado!$A$1:$AI$1,28,FALSE),"")</f>
        <v/>
      </c>
      <c r="BJ840" s="272" t="str">
        <f>IFERROR(VLOOKUP($A840,Devengado!$A$1:$AI$1,29,FALSE),"")</f>
        <v/>
      </c>
      <c r="BK840" s="272" t="str">
        <f>IFERROR(VLOOKUP($A840,Devengado!$A$1:$AI$1,30,FALSE),"")</f>
        <v/>
      </c>
      <c r="BL840" s="272" t="str">
        <f>IFERROR(VLOOKUP($A840,Devengado!$A$1:$AI$1,31,FALSE),"")</f>
        <v/>
      </c>
      <c r="BM840" s="272" t="str">
        <f>IFERROR(VLOOKUP($A840,Devengado!$A$1:$AI$1,32,FALSE),"")</f>
        <v/>
      </c>
      <c r="BN840" s="272" t="str">
        <f>IFERROR(VLOOKUP($A840,Devengado!$A$1:$AI$1,33,FALSE),"")</f>
        <v/>
      </c>
      <c r="BO840" s="272">
        <f t="shared" si="115"/>
        <v>0</v>
      </c>
      <c r="BP840" s="272" t="str">
        <f t="shared" si="113"/>
        <v/>
      </c>
      <c r="BQ840" s="272"/>
      <c r="BR840" s="207" t="str">
        <f t="shared" si="108"/>
        <v>99</v>
      </c>
    </row>
    <row r="841" spans="1:70" ht="25.5" customHeight="1">
      <c r="A841" s="249">
        <f>+A840+1</f>
        <v>837</v>
      </c>
      <c r="B841" s="250" t="s">
        <v>73</v>
      </c>
      <c r="C841" s="250" t="s">
        <v>74</v>
      </c>
      <c r="D841" s="250" t="s">
        <v>75</v>
      </c>
      <c r="E841" s="250" t="s">
        <v>76</v>
      </c>
      <c r="F841" s="250" t="s">
        <v>77</v>
      </c>
      <c r="G841" s="250" t="s">
        <v>77</v>
      </c>
      <c r="H841" s="250" t="s">
        <v>77</v>
      </c>
      <c r="I841" s="250" t="s">
        <v>77</v>
      </c>
      <c r="J841" s="250" t="s">
        <v>77</v>
      </c>
      <c r="K841" s="250" t="s">
        <v>77</v>
      </c>
      <c r="L841" s="249" t="s">
        <v>85</v>
      </c>
      <c r="M841" s="249" t="s">
        <v>801</v>
      </c>
      <c r="N841" s="126">
        <v>9999</v>
      </c>
      <c r="O841" s="114" t="s">
        <v>80</v>
      </c>
      <c r="P841" s="127" t="s">
        <v>81</v>
      </c>
      <c r="Q841" s="127" t="s">
        <v>82</v>
      </c>
      <c r="R841" s="115" t="str">
        <f t="shared" si="110"/>
        <v>53</v>
      </c>
      <c r="S841" s="269">
        <v>530204</v>
      </c>
      <c r="T841" s="207" t="str">
        <f>VLOOKUP(S841,ITEM!$C$1:$D$156,2,FALSE)</f>
        <v>Edición, Impresión, Reproducción, Publicaciones, Suscripciones, Fotocopiado, Traducción, Empastado, Enmarcación,
Serigrafía, Fotografía, Carnetización, Filmación e Imágenes Satelitales.</v>
      </c>
      <c r="U841" s="207" t="s">
        <v>83</v>
      </c>
      <c r="V841" s="207" t="s">
        <v>82</v>
      </c>
      <c r="W841" s="207" t="s">
        <v>84</v>
      </c>
      <c r="X841" s="207" t="s">
        <v>84</v>
      </c>
      <c r="Y841" s="274" t="e">
        <f>'Matriz POA 2024-TRABAJO'!#REF!</f>
        <v>#REF!</v>
      </c>
      <c r="Z841" s="274" t="e">
        <f>'Matriz POA 2024-TRABAJO'!#REF!</f>
        <v>#REF!</v>
      </c>
      <c r="AA841" s="274" t="e">
        <f>'Matriz POA 2024-TRABAJO'!#REF!</f>
        <v>#REF!</v>
      </c>
      <c r="AB841" s="274"/>
      <c r="AC841" s="274"/>
      <c r="AD841" s="274"/>
      <c r="AE841" s="274"/>
      <c r="AF841" s="274"/>
      <c r="AG841" s="274">
        <v>3074.0571428571429</v>
      </c>
      <c r="AH841" s="274">
        <v>3074.0571428571429</v>
      </c>
      <c r="AI841" s="274">
        <v>3074.0571428571429</v>
      </c>
      <c r="AJ841" s="274">
        <v>3074.0571428571429</v>
      </c>
      <c r="AK841" s="274">
        <v>3074.0571428571429</v>
      </c>
      <c r="AL841" s="274">
        <v>3074.0571428571429</v>
      </c>
      <c r="AM841" s="274">
        <v>3074.0571428571429</v>
      </c>
      <c r="AN841" s="274" t="e">
        <f>SUM(#REF!)</f>
        <v>#REF!</v>
      </c>
      <c r="AO841" s="224">
        <f t="shared" si="111"/>
        <v>21518.399999999998</v>
      </c>
      <c r="AP841" s="224" t="e">
        <f t="shared" si="114"/>
        <v>#REF!</v>
      </c>
      <c r="AQ841" s="274"/>
      <c r="AR841" s="274"/>
      <c r="AS841" s="274"/>
      <c r="AT841" s="274" t="str">
        <f>IFERROR(VLOOKUP($A841,'Constancias POA'!$A$2:$DH$9993,17,FALSE),"")</f>
        <v/>
      </c>
      <c r="AU841" s="274" t="str">
        <f t="shared" si="107"/>
        <v/>
      </c>
      <c r="AV841" s="224" t="str">
        <f>IFERROR(VLOOKUP($A841,CP!$A$1:$U$7992,18,FALSE),"")</f>
        <v/>
      </c>
      <c r="AW841" s="224" t="str">
        <f>IFERROR(VLOOKUP($A841,CP!$A$1:$U$7992,19,FALSE),"")</f>
        <v/>
      </c>
      <c r="AX841" s="224" t="str">
        <f>IFERROR(VLOOKUP($A841,CP!$A$1:$U$7992,20,FALSE),"")</f>
        <v/>
      </c>
      <c r="AY841" s="274" t="str">
        <f>IFERROR(VLOOKUP($A841,CP!$A$1:$U$1,21,FALSE),"")</f>
        <v/>
      </c>
      <c r="AZ841" s="224" t="str">
        <f>IFERROR(VLOOKUP(A841,Devengado!$A$1:AJ1,35,FALSE),"")</f>
        <v/>
      </c>
      <c r="BA841" s="224" t="str">
        <f t="shared" si="112"/>
        <v/>
      </c>
      <c r="BB841" s="224" t="str">
        <f>IFERROR(AZ841/#REF!,"")</f>
        <v/>
      </c>
      <c r="BC841" s="274" t="str">
        <f>IFERROR(VLOOKUP($A841,Devengado!$A$1:$AI$1,22,FALSE),"")</f>
        <v/>
      </c>
      <c r="BD841" s="274" t="str">
        <f>IFERROR(VLOOKUP($A841,Devengado!$A$1:$AI$1,23,FALSE),"")</f>
        <v/>
      </c>
      <c r="BE841" s="274" t="str">
        <f>IFERROR(VLOOKUP($A841,Devengado!$A$1:$AI$1,24,FALSE),"")</f>
        <v/>
      </c>
      <c r="BF841" s="274" t="str">
        <f>IFERROR(VLOOKUP($A841,Devengado!$A$1:$AI$1,25,FALSE),"")</f>
        <v/>
      </c>
      <c r="BG841" s="274" t="str">
        <f>IFERROR(VLOOKUP($A841,Devengado!$A$1:$AI$1,26,FALSE),"")</f>
        <v/>
      </c>
      <c r="BH841" s="274" t="str">
        <f>IFERROR(VLOOKUP($A841,Devengado!$A$1:$AI$1,27,FALSE),"")</f>
        <v/>
      </c>
      <c r="BI841" s="274" t="str">
        <f>IFERROR(VLOOKUP($A841,Devengado!$A$1:$AI$1,28,FALSE),"")</f>
        <v/>
      </c>
      <c r="BJ841" s="274" t="str">
        <f>IFERROR(VLOOKUP($A841,Devengado!$A$1:$AI$1,29,FALSE),"")</f>
        <v/>
      </c>
      <c r="BK841" s="274" t="str">
        <f>IFERROR(VLOOKUP($A841,Devengado!$A$1:$AI$1,30,FALSE),"")</f>
        <v/>
      </c>
      <c r="BL841" s="274" t="str">
        <f>IFERROR(VLOOKUP($A841,Devengado!$A$1:$AI$1,31,FALSE),"")</f>
        <v/>
      </c>
      <c r="BM841" s="274" t="str">
        <f>IFERROR(VLOOKUP($A841,Devengado!$A$1:$AI$1,32,FALSE),"")</f>
        <v/>
      </c>
      <c r="BN841" s="274" t="str">
        <f>IFERROR(VLOOKUP($A841,Devengado!$A$1:$AI$1,33,FALSE),"")</f>
        <v/>
      </c>
      <c r="BO841" s="274">
        <f t="shared" si="115"/>
        <v>0</v>
      </c>
      <c r="BP841" s="274" t="str">
        <f t="shared" si="113"/>
        <v/>
      </c>
      <c r="BQ841" s="274"/>
      <c r="BR841" s="249" t="str">
        <f t="shared" si="108"/>
        <v>53</v>
      </c>
    </row>
    <row r="842" spans="1:70" ht="25.5" customHeight="1">
      <c r="A842" s="207">
        <f>+A841+1</f>
        <v>838</v>
      </c>
      <c r="B842" s="112" t="s">
        <v>73</v>
      </c>
      <c r="C842" s="112" t="s">
        <v>187</v>
      </c>
      <c r="D842" s="125" t="s">
        <v>515</v>
      </c>
      <c r="E842" s="125" t="s">
        <v>76</v>
      </c>
      <c r="F842" s="112" t="s">
        <v>77</v>
      </c>
      <c r="G842" s="112" t="s">
        <v>77</v>
      </c>
      <c r="H842" s="112" t="s">
        <v>77</v>
      </c>
      <c r="I842" s="112" t="s">
        <v>77</v>
      </c>
      <c r="J842" s="112" t="s">
        <v>77</v>
      </c>
      <c r="K842" s="112" t="s">
        <v>77</v>
      </c>
      <c r="L842" s="324" t="s">
        <v>87</v>
      </c>
      <c r="M842" s="207" t="s">
        <v>802</v>
      </c>
      <c r="N842" s="126">
        <v>9999</v>
      </c>
      <c r="O842" s="114" t="s">
        <v>80</v>
      </c>
      <c r="P842" s="127" t="s">
        <v>81</v>
      </c>
      <c r="Q842" s="127" t="s">
        <v>82</v>
      </c>
      <c r="R842" s="115" t="str">
        <f t="shared" si="110"/>
        <v>53</v>
      </c>
      <c r="S842" s="269">
        <v>530803</v>
      </c>
      <c r="T842" s="207" t="e">
        <f>VLOOKUP(S842,ITEM!$C$1:$D$156,2,FALSE)</f>
        <v>#N/A</v>
      </c>
      <c r="U842" s="207">
        <v>1701</v>
      </c>
      <c r="V842" s="207" t="s">
        <v>82</v>
      </c>
      <c r="W842" s="207" t="s">
        <v>84</v>
      </c>
      <c r="X842" s="207" t="s">
        <v>84</v>
      </c>
      <c r="Y842" s="272" t="e">
        <f>'Matriz POA 2024-TRABAJO'!#REF!</f>
        <v>#REF!</v>
      </c>
      <c r="Z842" s="272" t="e">
        <f>'Matriz POA 2024-TRABAJO'!#REF!</f>
        <v>#REF!</v>
      </c>
      <c r="AA842" s="272" t="e">
        <f>'Matriz POA 2024-TRABAJO'!#REF!</f>
        <v>#REF!</v>
      </c>
      <c r="AB842" s="272"/>
      <c r="AC842" s="272"/>
      <c r="AD842" s="272"/>
      <c r="AE842" s="272">
        <v>113.53</v>
      </c>
      <c r="AF842" s="272"/>
      <c r="AG842" s="272"/>
      <c r="AH842" s="272"/>
      <c r="AI842" s="272"/>
      <c r="AJ842" s="272"/>
      <c r="AK842" s="272"/>
      <c r="AL842" s="272"/>
      <c r="AM842" s="272"/>
      <c r="AN842" s="272"/>
      <c r="AO842" s="224">
        <f t="shared" si="111"/>
        <v>113.53</v>
      </c>
      <c r="AP842" s="224" t="e">
        <f t="shared" si="114"/>
        <v>#REF!</v>
      </c>
      <c r="AQ842" s="272"/>
      <c r="AR842" s="272"/>
      <c r="AS842" s="272"/>
      <c r="AT842" s="272" t="str">
        <f>IFERROR(VLOOKUP($A842,'Constancias POA'!$A$2:$DH$9993,17,FALSE),"")</f>
        <v/>
      </c>
      <c r="AU842" s="272" t="str">
        <f t="shared" si="107"/>
        <v/>
      </c>
      <c r="AV842" s="224" t="str">
        <f>IFERROR(VLOOKUP($A842,CP!$A$1:$U$7992,18,FALSE),"")</f>
        <v/>
      </c>
      <c r="AW842" s="224" t="str">
        <f>IFERROR(VLOOKUP($A842,CP!$A$1:$U$7992,19,FALSE),"")</f>
        <v/>
      </c>
      <c r="AX842" s="224" t="str">
        <f>IFERROR(VLOOKUP($A842,CP!$A$1:$U$7992,20,FALSE),"")</f>
        <v/>
      </c>
      <c r="AY842" s="272" t="str">
        <f>IFERROR(VLOOKUP($A842,CP!$A$1:$U$1,21,FALSE),"")</f>
        <v/>
      </c>
      <c r="AZ842" s="224" t="str">
        <f>IFERROR(VLOOKUP(A842,Devengado!$A$1:AJ1,35,FALSE),"")</f>
        <v/>
      </c>
      <c r="BA842" s="224" t="str">
        <f t="shared" si="112"/>
        <v/>
      </c>
      <c r="BB842" s="224" t="str">
        <f>IFERROR(AZ842/#REF!,"")</f>
        <v/>
      </c>
      <c r="BC842" s="272" t="str">
        <f>IFERROR(VLOOKUP($A842,Devengado!$A$1:$AI$1,22,FALSE),"")</f>
        <v/>
      </c>
      <c r="BD842" s="272" t="str">
        <f>IFERROR(VLOOKUP($A842,Devengado!$A$1:$AI$1,23,FALSE),"")</f>
        <v/>
      </c>
      <c r="BE842" s="272" t="str">
        <f>IFERROR(VLOOKUP($A842,Devengado!$A$1:$AI$1,24,FALSE),"")</f>
        <v/>
      </c>
      <c r="BF842" s="272" t="str">
        <f>IFERROR(VLOOKUP($A842,Devengado!$A$1:$AI$1,25,FALSE),"")</f>
        <v/>
      </c>
      <c r="BG842" s="272" t="str">
        <f>IFERROR(VLOOKUP($A842,Devengado!$A$1:$AI$1,26,FALSE),"")</f>
        <v/>
      </c>
      <c r="BH842" s="272" t="str">
        <f>IFERROR(VLOOKUP($A842,Devengado!$A$1:$AI$1,27,FALSE),"")</f>
        <v/>
      </c>
      <c r="BI842" s="272" t="str">
        <f>IFERROR(VLOOKUP($A842,Devengado!$A$1:$AI$1,28,FALSE),"")</f>
        <v/>
      </c>
      <c r="BJ842" s="272" t="str">
        <f>IFERROR(VLOOKUP($A842,Devengado!$A$1:$AI$1,29,FALSE),"")</f>
        <v/>
      </c>
      <c r="BK842" s="272" t="str">
        <f>IFERROR(VLOOKUP($A842,Devengado!$A$1:$AI$1,30,FALSE),"")</f>
        <v/>
      </c>
      <c r="BL842" s="272" t="str">
        <f>IFERROR(VLOOKUP($A842,Devengado!$A$1:$AI$1,31,FALSE),"")</f>
        <v/>
      </c>
      <c r="BM842" s="272" t="str">
        <f>IFERROR(VLOOKUP($A842,Devengado!$A$1:$AI$1,32,FALSE),"")</f>
        <v/>
      </c>
      <c r="BN842" s="272" t="str">
        <f>IFERROR(VLOOKUP($A842,Devengado!$A$1:$AI$1,33,FALSE),"")</f>
        <v/>
      </c>
      <c r="BO842" s="272">
        <f t="shared" si="115"/>
        <v>0</v>
      </c>
      <c r="BP842" s="272" t="str">
        <f t="shared" si="113"/>
        <v/>
      </c>
      <c r="BQ842" s="272"/>
      <c r="BR842" s="207" t="str">
        <f t="shared" si="108"/>
        <v>53</v>
      </c>
    </row>
    <row r="843" spans="1:70" ht="25.5" customHeight="1">
      <c r="A843" s="207">
        <f>+A842+1</f>
        <v>839</v>
      </c>
      <c r="B843" s="112" t="s">
        <v>73</v>
      </c>
      <c r="C843" s="112" t="s">
        <v>187</v>
      </c>
      <c r="D843" s="125" t="s">
        <v>515</v>
      </c>
      <c r="E843" s="125" t="s">
        <v>76</v>
      </c>
      <c r="F843" s="112" t="s">
        <v>77</v>
      </c>
      <c r="G843" s="112" t="s">
        <v>77</v>
      </c>
      <c r="H843" s="112" t="s">
        <v>77</v>
      </c>
      <c r="I843" s="112" t="s">
        <v>77</v>
      </c>
      <c r="J843" s="112" t="s">
        <v>77</v>
      </c>
      <c r="K843" s="112" t="s">
        <v>77</v>
      </c>
      <c r="L843" s="324" t="s">
        <v>87</v>
      </c>
      <c r="M843" s="207" t="s">
        <v>802</v>
      </c>
      <c r="N843" s="126">
        <v>9999</v>
      </c>
      <c r="O843" s="114" t="s">
        <v>80</v>
      </c>
      <c r="P843" s="127" t="s">
        <v>81</v>
      </c>
      <c r="Q843" s="127" t="s">
        <v>82</v>
      </c>
      <c r="R843" s="115" t="str">
        <f t="shared" si="110"/>
        <v>53</v>
      </c>
      <c r="S843" s="269">
        <v>530813</v>
      </c>
      <c r="T843" s="207" t="e">
        <f>VLOOKUP(S843,ITEM!$C$1:$D$156,2,FALSE)</f>
        <v>#N/A</v>
      </c>
      <c r="U843" s="207">
        <v>1701</v>
      </c>
      <c r="V843" s="207" t="s">
        <v>82</v>
      </c>
      <c r="W843" s="207" t="s">
        <v>84</v>
      </c>
      <c r="X843" s="207" t="s">
        <v>84</v>
      </c>
      <c r="Y843" s="272" t="e">
        <f>'Matriz POA 2024-TRABAJO'!#REF!</f>
        <v>#REF!</v>
      </c>
      <c r="Z843" s="272" t="e">
        <f>'Matriz POA 2024-TRABAJO'!#REF!</f>
        <v>#REF!</v>
      </c>
      <c r="AA843" s="272" t="e">
        <f>'Matriz POA 2024-TRABAJO'!#REF!</f>
        <v>#REF!</v>
      </c>
      <c r="AB843" s="272"/>
      <c r="AC843" s="272"/>
      <c r="AD843" s="272"/>
      <c r="AE843" s="272">
        <v>859.5</v>
      </c>
      <c r="AF843" s="272"/>
      <c r="AG843" s="272"/>
      <c r="AH843" s="272"/>
      <c r="AI843" s="272"/>
      <c r="AJ843" s="272"/>
      <c r="AK843" s="272"/>
      <c r="AL843" s="272"/>
      <c r="AM843" s="272"/>
      <c r="AN843" s="272"/>
      <c r="AO843" s="224">
        <f t="shared" si="111"/>
        <v>859.5</v>
      </c>
      <c r="AP843" s="224" t="e">
        <f t="shared" si="114"/>
        <v>#REF!</v>
      </c>
      <c r="AQ843" s="272"/>
      <c r="AR843" s="272"/>
      <c r="AS843" s="272"/>
      <c r="AT843" s="272" t="str">
        <f>IFERROR(VLOOKUP($A843,'Constancias POA'!$A$2:$DH$9993,17,FALSE),"")</f>
        <v/>
      </c>
      <c r="AU843" s="272" t="str">
        <f t="shared" si="107"/>
        <v/>
      </c>
      <c r="AV843" s="224" t="str">
        <f>IFERROR(VLOOKUP($A843,CP!$A$1:$U$7992,18,FALSE),"")</f>
        <v/>
      </c>
      <c r="AW843" s="224" t="str">
        <f>IFERROR(VLOOKUP($A843,CP!$A$1:$U$7992,19,FALSE),"")</f>
        <v/>
      </c>
      <c r="AX843" s="224" t="str">
        <f>IFERROR(VLOOKUP($A843,CP!$A$1:$U$7992,20,FALSE),"")</f>
        <v/>
      </c>
      <c r="AY843" s="272" t="str">
        <f>IFERROR(VLOOKUP($A843,CP!$A$1:$U$1,21,FALSE),"")</f>
        <v/>
      </c>
      <c r="AZ843" s="224" t="str">
        <f>IFERROR(VLOOKUP(A843,Devengado!$A$1:AJ1,35,FALSE),"")</f>
        <v/>
      </c>
      <c r="BA843" s="224" t="str">
        <f t="shared" si="112"/>
        <v/>
      </c>
      <c r="BB843" s="224" t="str">
        <f>IFERROR(AZ843/#REF!,"")</f>
        <v/>
      </c>
      <c r="BC843" s="272" t="str">
        <f>IFERROR(VLOOKUP($A843,Devengado!$A$1:$AI$1,22,FALSE),"")</f>
        <v/>
      </c>
      <c r="BD843" s="272" t="str">
        <f>IFERROR(VLOOKUP($A843,Devengado!$A$1:$AI$1,23,FALSE),"")</f>
        <v/>
      </c>
      <c r="BE843" s="272" t="str">
        <f>IFERROR(VLOOKUP($A843,Devengado!$A$1:$AI$1,24,FALSE),"")</f>
        <v/>
      </c>
      <c r="BF843" s="272" t="str">
        <f>IFERROR(VLOOKUP($A843,Devengado!$A$1:$AI$1,25,FALSE),"")</f>
        <v/>
      </c>
      <c r="BG843" s="272" t="str">
        <f>IFERROR(VLOOKUP($A843,Devengado!$A$1:$AI$1,26,FALSE),"")</f>
        <v/>
      </c>
      <c r="BH843" s="272" t="str">
        <f>IFERROR(VLOOKUP($A843,Devengado!$A$1:$AI$1,27,FALSE),"")</f>
        <v/>
      </c>
      <c r="BI843" s="272" t="str">
        <f>IFERROR(VLOOKUP($A843,Devengado!$A$1:$AI$1,28,FALSE),"")</f>
        <v/>
      </c>
      <c r="BJ843" s="272" t="str">
        <f>IFERROR(VLOOKUP($A843,Devengado!$A$1:$AI$1,29,FALSE),"")</f>
        <v/>
      </c>
      <c r="BK843" s="272" t="str">
        <f>IFERROR(VLOOKUP($A843,Devengado!$A$1:$AI$1,30,FALSE),"")</f>
        <v/>
      </c>
      <c r="BL843" s="272" t="str">
        <f>IFERROR(VLOOKUP($A843,Devengado!$A$1:$AI$1,31,FALSE),"")</f>
        <v/>
      </c>
      <c r="BM843" s="272" t="str">
        <f>IFERROR(VLOOKUP($A843,Devengado!$A$1:$AI$1,32,FALSE),"")</f>
        <v/>
      </c>
      <c r="BN843" s="272" t="str">
        <f>IFERROR(VLOOKUP($A843,Devengado!$A$1:$AI$1,33,FALSE),"")</f>
        <v/>
      </c>
      <c r="BO843" s="272">
        <f t="shared" si="115"/>
        <v>0</v>
      </c>
      <c r="BP843" s="272" t="str">
        <f t="shared" si="113"/>
        <v/>
      </c>
      <c r="BQ843" s="272"/>
      <c r="BR843" s="207" t="str">
        <f t="shared" si="108"/>
        <v>53</v>
      </c>
    </row>
    <row r="844" spans="1:70" ht="25.5" customHeight="1">
      <c r="A844" s="207">
        <f>+A843+1</f>
        <v>840</v>
      </c>
      <c r="B844" s="112" t="s">
        <v>73</v>
      </c>
      <c r="C844" s="112" t="s">
        <v>187</v>
      </c>
      <c r="D844" s="125" t="s">
        <v>515</v>
      </c>
      <c r="E844" s="125" t="s">
        <v>76</v>
      </c>
      <c r="F844" s="112" t="s">
        <v>77</v>
      </c>
      <c r="G844" s="112" t="s">
        <v>77</v>
      </c>
      <c r="H844" s="112" t="s">
        <v>77</v>
      </c>
      <c r="I844" s="112" t="s">
        <v>77</v>
      </c>
      <c r="J844" s="112" t="s">
        <v>77</v>
      </c>
      <c r="K844" s="112" t="s">
        <v>77</v>
      </c>
      <c r="L844" s="324" t="s">
        <v>87</v>
      </c>
      <c r="M844" s="207" t="s">
        <v>802</v>
      </c>
      <c r="N844" s="126">
        <v>9999</v>
      </c>
      <c r="O844" s="114" t="s">
        <v>80</v>
      </c>
      <c r="P844" s="127" t="s">
        <v>81</v>
      </c>
      <c r="Q844" s="127" t="s">
        <v>82</v>
      </c>
      <c r="R844" s="115" t="str">
        <f t="shared" si="110"/>
        <v>53</v>
      </c>
      <c r="S844" s="269">
        <v>530405</v>
      </c>
      <c r="T844" s="207" t="str">
        <f>VLOOKUP(S844,ITEM!$C$1:$D$156,2,FALSE)</f>
        <v>Vehículos (Servicio para Mantenimiento y Reparación)</v>
      </c>
      <c r="U844" s="112">
        <v>1701</v>
      </c>
      <c r="V844" s="114" t="s">
        <v>82</v>
      </c>
      <c r="W844" s="114" t="s">
        <v>84</v>
      </c>
      <c r="X844" s="114" t="s">
        <v>84</v>
      </c>
      <c r="Y844" s="272" t="e">
        <f>'Matriz POA 2024-TRABAJO'!#REF!</f>
        <v>#REF!</v>
      </c>
      <c r="Z844" s="272" t="e">
        <f>'Matriz POA 2024-TRABAJO'!#REF!</f>
        <v>#REF!</v>
      </c>
      <c r="AA844" s="272" t="e">
        <f>'Matriz POA 2024-TRABAJO'!#REF!</f>
        <v>#REF!</v>
      </c>
      <c r="AB844" s="272"/>
      <c r="AC844" s="272"/>
      <c r="AD844" s="272"/>
      <c r="AE844" s="272">
        <v>648.67999999999995</v>
      </c>
      <c r="AF844" s="272"/>
      <c r="AG844" s="272"/>
      <c r="AH844" s="272"/>
      <c r="AI844" s="272"/>
      <c r="AJ844" s="272"/>
      <c r="AK844" s="272"/>
      <c r="AL844" s="272"/>
      <c r="AM844" s="272"/>
      <c r="AN844" s="272"/>
      <c r="AO844" s="224">
        <f t="shared" si="111"/>
        <v>648.67999999999995</v>
      </c>
      <c r="AP844" s="224" t="e">
        <f t="shared" si="114"/>
        <v>#REF!</v>
      </c>
      <c r="AQ844" s="272"/>
      <c r="AR844" s="272"/>
      <c r="AS844" s="272"/>
      <c r="AT844" s="272" t="str">
        <f>IFERROR(VLOOKUP($A844,'Constancias POA'!$A$2:$DH$9993,17,FALSE),"")</f>
        <v/>
      </c>
      <c r="AU844" s="272" t="str">
        <f t="shared" si="107"/>
        <v/>
      </c>
      <c r="AV844" s="224" t="str">
        <f>IFERROR(VLOOKUP($A844,CP!$A$1:$U$7992,18,FALSE),"")</f>
        <v/>
      </c>
      <c r="AW844" s="224" t="str">
        <f>IFERROR(VLOOKUP($A844,CP!$A$1:$U$7992,19,FALSE),"")</f>
        <v/>
      </c>
      <c r="AX844" s="224" t="str">
        <f>IFERROR(VLOOKUP($A844,CP!$A$1:$U$7992,20,FALSE),"")</f>
        <v/>
      </c>
      <c r="AY844" s="272" t="str">
        <f>IFERROR(VLOOKUP($A844,CP!$A$1:$U$1,21,FALSE),"")</f>
        <v/>
      </c>
      <c r="AZ844" s="224" t="str">
        <f>IFERROR(VLOOKUP(A844,Devengado!$A$1:AJ1,35,FALSE),"")</f>
        <v/>
      </c>
      <c r="BA844" s="224" t="str">
        <f t="shared" si="112"/>
        <v/>
      </c>
      <c r="BB844" s="224" t="str">
        <f>IFERROR(AZ844/#REF!,"")</f>
        <v/>
      </c>
      <c r="BC844" s="272" t="str">
        <f>IFERROR(VLOOKUP($A844,Devengado!$A$1:$AI$1,22,FALSE),"")</f>
        <v/>
      </c>
      <c r="BD844" s="272" t="str">
        <f>IFERROR(VLOOKUP($A844,Devengado!$A$1:$AI$1,23,FALSE),"")</f>
        <v/>
      </c>
      <c r="BE844" s="272" t="str">
        <f>IFERROR(VLOOKUP($A844,Devengado!$A$1:$AI$1,24,FALSE),"")</f>
        <v/>
      </c>
      <c r="BF844" s="272" t="str">
        <f>IFERROR(VLOOKUP($A844,Devengado!$A$1:$AI$1,25,FALSE),"")</f>
        <v/>
      </c>
      <c r="BG844" s="272" t="str">
        <f>IFERROR(VLOOKUP($A844,Devengado!$A$1:$AI$1,26,FALSE),"")</f>
        <v/>
      </c>
      <c r="BH844" s="272" t="str">
        <f>IFERROR(VLOOKUP($A844,Devengado!$A$1:$AI$1,27,FALSE),"")</f>
        <v/>
      </c>
      <c r="BI844" s="272" t="str">
        <f>IFERROR(VLOOKUP($A844,Devengado!$A$1:$AI$1,28,FALSE),"")</f>
        <v/>
      </c>
      <c r="BJ844" s="272" t="str">
        <f>IFERROR(VLOOKUP($A844,Devengado!$A$1:$AI$1,29,FALSE),"")</f>
        <v/>
      </c>
      <c r="BK844" s="272" t="str">
        <f>IFERROR(VLOOKUP($A844,Devengado!$A$1:$AI$1,30,FALSE),"")</f>
        <v/>
      </c>
      <c r="BL844" s="272" t="str">
        <f>IFERROR(VLOOKUP($A844,Devengado!$A$1:$AI$1,31,FALSE),"")</f>
        <v/>
      </c>
      <c r="BM844" s="272" t="str">
        <f>IFERROR(VLOOKUP($A844,Devengado!$A$1:$AI$1,32,FALSE),"")</f>
        <v/>
      </c>
      <c r="BN844" s="272" t="str">
        <f>IFERROR(VLOOKUP($A844,Devengado!$A$1:$AI$1,33,FALSE),"")</f>
        <v/>
      </c>
      <c r="BO844" s="272">
        <f t="shared" si="115"/>
        <v>0</v>
      </c>
      <c r="BP844" s="272" t="str">
        <f t="shared" si="113"/>
        <v/>
      </c>
      <c r="BQ844" s="272"/>
      <c r="BR844" s="207" t="str">
        <f t="shared" si="108"/>
        <v>53</v>
      </c>
    </row>
  </sheetData>
  <sheetProtection autoFilter="0" pivotTables="0"/>
  <autoFilter ref="A4:BR844"/>
  <mergeCells count="3">
    <mergeCell ref="A1:AP1"/>
    <mergeCell ref="A2:AP2"/>
    <mergeCell ref="A3:AP3"/>
  </mergeCells>
  <pageMargins left="0.7" right="0.7" top="0.75" bottom="0.75" header="0.3" footer="0.3"/>
  <pageSetup paperSize="9" scale="90"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filterMode="1"/>
  <dimension ref="A1:AJ76"/>
  <sheetViews>
    <sheetView topLeftCell="W1" zoomScale="78" zoomScaleNormal="78" workbookViewId="0">
      <pane ySplit="1" topLeftCell="A56" activePane="bottomLeft" state="frozen"/>
      <selection pane="bottomLeft" activeCell="AM77" sqref="AM77"/>
    </sheetView>
  </sheetViews>
  <sheetFormatPr baseColWidth="10" defaultRowHeight="15" customHeight="1"/>
  <cols>
    <col min="1" max="1" width="6.85546875" style="3" customWidth="1"/>
    <col min="2" max="2" width="12.7109375" style="3" customWidth="1"/>
    <col min="3" max="3" width="12" style="3" customWidth="1"/>
    <col min="4" max="4" width="39.140625" style="3" customWidth="1"/>
    <col min="5" max="5" width="7" style="3" customWidth="1"/>
    <col min="6" max="6" width="8.5703125" style="3" customWidth="1"/>
    <col min="7" max="7" width="13.28515625" style="3" customWidth="1"/>
    <col min="8" max="8" width="12.28515625" style="3" customWidth="1"/>
    <col min="9" max="9" width="41.140625" style="147" customWidth="1"/>
    <col min="10" max="10" width="11.42578125" style="3"/>
    <col min="11" max="14" width="11.42578125" style="1"/>
    <col min="15" max="15" width="11.42578125" style="3"/>
    <col min="16" max="16" width="27.28515625" style="145" customWidth="1"/>
    <col min="17" max="17" width="11.42578125" style="3" customWidth="1"/>
    <col min="18" max="18" width="8" style="3" customWidth="1"/>
    <col min="19" max="20" width="8.140625" style="3" customWidth="1"/>
    <col min="21" max="21" width="16" style="3" customWidth="1"/>
    <col min="22" max="22" width="14.28515625" style="3" customWidth="1"/>
    <col min="23" max="23" width="14.42578125" style="3" customWidth="1"/>
    <col min="24" max="24" width="18.140625" style="3" customWidth="1"/>
    <col min="25" max="25" width="12.5703125" style="3" customWidth="1"/>
    <col min="26" max="26" width="11.85546875" style="3" customWidth="1"/>
    <col min="27" max="29" width="13.5703125" style="3" customWidth="1"/>
    <col min="30" max="30" width="11.42578125" style="3"/>
    <col min="31" max="31" width="16.140625" style="3" customWidth="1"/>
    <col min="32" max="32" width="13.85546875" style="3" customWidth="1"/>
    <col min="33" max="33" width="11.42578125" style="3"/>
    <col min="34" max="34" width="18.85546875" style="3" customWidth="1"/>
    <col min="35" max="36" width="16.140625" style="3" customWidth="1"/>
    <col min="37" max="37" width="11.42578125" style="3"/>
    <col min="38" max="38" width="14.28515625" style="3" customWidth="1"/>
    <col min="39" max="16384" width="11.42578125" style="3"/>
  </cols>
  <sheetData>
    <row r="1" spans="1:36" ht="59.25" customHeight="1">
      <c r="A1" s="43" t="s">
        <v>1278</v>
      </c>
      <c r="B1" s="43" t="s">
        <v>1306</v>
      </c>
      <c r="C1" s="43" t="s">
        <v>5</v>
      </c>
      <c r="D1" s="43" t="s">
        <v>6</v>
      </c>
      <c r="E1" s="43" t="s">
        <v>9</v>
      </c>
      <c r="F1" s="43" t="s">
        <v>8</v>
      </c>
      <c r="G1" s="43" t="s">
        <v>1307</v>
      </c>
      <c r="H1" s="43" t="s">
        <v>14</v>
      </c>
      <c r="I1" s="43" t="s">
        <v>1308</v>
      </c>
      <c r="J1" s="43" t="s">
        <v>4</v>
      </c>
      <c r="K1" s="67" t="s">
        <v>17</v>
      </c>
      <c r="L1" s="66" t="s">
        <v>18</v>
      </c>
      <c r="M1" s="67" t="s">
        <v>19</v>
      </c>
      <c r="N1" s="66" t="s">
        <v>926</v>
      </c>
      <c r="O1" s="45" t="s">
        <v>927</v>
      </c>
      <c r="P1" s="43" t="s">
        <v>1017</v>
      </c>
      <c r="Q1" s="46" t="s">
        <v>23</v>
      </c>
      <c r="R1" s="44" t="s">
        <v>24</v>
      </c>
      <c r="S1" s="44" t="s">
        <v>25</v>
      </c>
      <c r="T1" s="47" t="s">
        <v>26</v>
      </c>
      <c r="U1" s="438" t="s">
        <v>1288</v>
      </c>
      <c r="V1" s="440" t="s">
        <v>1309</v>
      </c>
      <c r="W1" s="440" t="s">
        <v>1310</v>
      </c>
      <c r="X1" s="440" t="s">
        <v>1311</v>
      </c>
      <c r="Y1" s="440" t="s">
        <v>1312</v>
      </c>
      <c r="Z1" s="440" t="s">
        <v>1313</v>
      </c>
      <c r="AA1" s="440" t="s">
        <v>1314</v>
      </c>
      <c r="AB1" s="440" t="s">
        <v>1315</v>
      </c>
      <c r="AC1" s="440" t="s">
        <v>1316</v>
      </c>
      <c r="AD1" s="440" t="s">
        <v>1317</v>
      </c>
      <c r="AE1" s="440" t="s">
        <v>1318</v>
      </c>
      <c r="AF1" s="440" t="s">
        <v>1319</v>
      </c>
      <c r="AG1" s="440" t="s">
        <v>1320</v>
      </c>
      <c r="AH1" s="441" t="s">
        <v>1321</v>
      </c>
      <c r="AI1" s="48" t="s">
        <v>54</v>
      </c>
      <c r="AJ1" s="439" t="s">
        <v>1322</v>
      </c>
    </row>
    <row r="2" spans="1:36" ht="15" hidden="1" customHeight="1">
      <c r="A2" s="341">
        <v>452</v>
      </c>
      <c r="B2" s="447" t="str">
        <f>VLOOKUP($A2, 'Matriz POA 2024-TRABAJO'!$A$5:$CY$9142,11,FALSE)</f>
        <v>Corporación Ciudad Alfaro</v>
      </c>
      <c r="C2" s="447" t="str">
        <f>VLOOKUP($A2, 'Matriz POA 2024-TRABAJO'!$A$5:$CY$9142,14,FALSE)</f>
        <v>N/A</v>
      </c>
      <c r="D2" s="447" t="str">
        <f>VLOOKUP($A2, 'Matriz POA 2024-TRABAJO'!$A$5:$CY$9142,15,FALSE)</f>
        <v>N/A</v>
      </c>
      <c r="E2" s="447" t="str">
        <f>VLOOKUP($A2, 'Matriz POA 2024-TRABAJO'!$A$5:$CY$9142,18,FALSE)</f>
        <v>N/A</v>
      </c>
      <c r="F2" s="447" t="str">
        <f>VLOOKUP($A2, 'Matriz POA 2024-TRABAJO'!$A$5:$CY$9142,17,FALSE)</f>
        <v>N/A</v>
      </c>
      <c r="G2" s="447" t="str">
        <f>VLOOKUP($A2, 'Matriz POA 2024-TRABAJO'!$A$5:$CY$9142,20,FALSE)</f>
        <v>N/A</v>
      </c>
      <c r="H2" s="447" t="str">
        <f>VLOOKUP($A2, 'Matriz POA 2024-TRABAJO'!$A$5:$CY$9142,23,FALSE)</f>
        <v>ARRASTRE</v>
      </c>
      <c r="I2" s="447" t="str">
        <f>VLOOKUP($A2, 'Matriz POA 2024-TRABAJO'!$A$5:$CY$9142,24,FALSE)</f>
        <v>Pago Mensual del servicio de Energía Eléctrica de los meses de Noviembre y Diciembre del 2023 del Museo Bahía de Caráquez</v>
      </c>
      <c r="J2" s="447" t="str">
        <f>VLOOKUP($A2,'Matriz POA 2024-TRABAJO'!$A$5:$CY$9142,25,FALSE)</f>
        <v>0035</v>
      </c>
      <c r="K2" s="448" t="str">
        <f>VLOOKUP($A2,'Matriz POA 2024-TRABAJO'!$A$5:$CY$9142,26,FALSE)</f>
        <v>80</v>
      </c>
      <c r="L2" s="448" t="str">
        <f>VLOOKUP($A2,'Matriz POA 2024-TRABAJO'!$A$5:$CY$9142,27,FALSE)</f>
        <v>000</v>
      </c>
      <c r="M2" s="448" t="str">
        <f>VLOOKUP($A2,'Matriz POA 2024-TRABAJO'!$A$5:$CY$9142,28,FALSE)</f>
        <v>002</v>
      </c>
      <c r="N2" s="448" t="str">
        <f>VLOOKUP($A2,'Matriz POA 2024-TRABAJO'!$A$5:$CY$9142,29,FALSE)</f>
        <v>53</v>
      </c>
      <c r="O2" s="448">
        <f>VLOOKUP($A2,'Matriz POA 2024-TRABAJO'!$A$5:$CY$9142,30,FALSE)</f>
        <v>530104</v>
      </c>
      <c r="P2" s="448" t="str">
        <f>VLOOKUP($A2,'Matriz POA 2024-TRABAJO'!$A$5:$CY$9142,31,FALSE)</f>
        <v>Energía Eléctrica</v>
      </c>
      <c r="Q2" s="448">
        <f>VLOOKUP($A2,'Matriz POA 2024-TRABAJO'!$A$5:$CY$9142,32,FALSE)</f>
        <v>1314</v>
      </c>
      <c r="R2" s="448" t="str">
        <f>VLOOKUP($A2,'Matriz POA 2024-TRABAJO'!$A$5:$CY$9142,33,FALSE)</f>
        <v>001</v>
      </c>
      <c r="S2" s="448" t="str">
        <f>VLOOKUP($A2,'Matriz POA 2024-TRABAJO'!$A$5:$CY$9142,34,FALSE)</f>
        <v>0000</v>
      </c>
      <c r="T2" s="448" t="str">
        <f>VLOOKUP($A2,'Matriz POA 2024-TRABAJO'!$A$5:$CY$9142,35,FALSE)</f>
        <v>0000</v>
      </c>
      <c r="U2" s="449">
        <f>VLOOKUP($A2,'Matriz POA 2024-TRABAJO'!$A$5:$CY$9142,47,FALSE)</f>
        <v>1600</v>
      </c>
      <c r="V2" s="505">
        <v>277.45</v>
      </c>
      <c r="W2" s="505">
        <v>569.96</v>
      </c>
      <c r="X2" s="51"/>
      <c r="Y2" s="51"/>
      <c r="Z2" s="51"/>
      <c r="AA2" s="51"/>
      <c r="AB2" s="51"/>
      <c r="AC2" s="51"/>
      <c r="AD2" s="51"/>
      <c r="AE2" s="51"/>
      <c r="AF2" s="51"/>
      <c r="AG2" s="51"/>
      <c r="AH2" s="3">
        <f>VLOOKUP($A2, 'Matriz POA 2024-TRABAJO'!$A$5:$CY$9142,61,FALSE)</f>
        <v>1600</v>
      </c>
      <c r="AI2" s="406">
        <f t="shared" ref="AI2:AI19" si="0">SUM(V2:AG2)</f>
        <v>847.41000000000008</v>
      </c>
      <c r="AJ2" s="407">
        <f t="shared" ref="AJ2:AJ19" si="1">AH2-AI2</f>
        <v>752.58999999999992</v>
      </c>
    </row>
    <row r="3" spans="1:36" ht="15" hidden="1" customHeight="1">
      <c r="A3" s="341">
        <v>450</v>
      </c>
      <c r="B3" s="447" t="str">
        <f>VLOOKUP($A3, 'Matriz POA 2024-TRABAJO'!$A$5:$CY$9142,11,FALSE)</f>
        <v>Corporación Ciudad Alfaro</v>
      </c>
      <c r="C3" s="447" t="str">
        <f>VLOOKUP($A3, 'Matriz POA 2024-TRABAJO'!$A$5:$CY$9142,14,FALSE)</f>
        <v>N/A</v>
      </c>
      <c r="D3" s="447" t="str">
        <f>VLOOKUP($A3, 'Matriz POA 2024-TRABAJO'!$A$5:$CY$9142,15,FALSE)</f>
        <v>N/A</v>
      </c>
      <c r="E3" s="447" t="str">
        <f>VLOOKUP($A3, 'Matriz POA 2024-TRABAJO'!$A$5:$CY$9142,18,FALSE)</f>
        <v>N/A</v>
      </c>
      <c r="F3" s="447" t="str">
        <f>VLOOKUP($A3, 'Matriz POA 2024-TRABAJO'!$A$5:$CY$9142,17,FALSE)</f>
        <v>N/A</v>
      </c>
      <c r="G3" s="447" t="str">
        <f>VLOOKUP($A3, 'Matriz POA 2024-TRABAJO'!$A$5:$CY$9142,20,FALSE)</f>
        <v>N/A</v>
      </c>
      <c r="H3" s="447" t="str">
        <f>VLOOKUP($A3, 'Matriz POA 2024-TRABAJO'!$A$5:$CY$9142,23,FALSE)</f>
        <v>ARRASTRE</v>
      </c>
      <c r="I3" s="447" t="str">
        <f>VLOOKUP($A3, 'Matriz POA 2024-TRABAJO'!$A$5:$CY$9142,24,FALSE)</f>
        <v>Pago Mensual del Servicio de Agua Potable de los meses de Noviembre y Diciembre del 2023 del Museo Bahía de Caráquez</v>
      </c>
      <c r="J3" s="447" t="str">
        <f>VLOOKUP($A3,'Matriz POA 2024-TRABAJO'!$A$5:$CY$9142,25,FALSE)</f>
        <v>0035</v>
      </c>
      <c r="K3" s="448" t="str">
        <f>VLOOKUP($A3,'Matriz POA 2024-TRABAJO'!$A$5:$CY$9142,26,FALSE)</f>
        <v>80</v>
      </c>
      <c r="L3" s="448" t="str">
        <f>VLOOKUP($A3,'Matriz POA 2024-TRABAJO'!$A$5:$CY$9142,27,FALSE)</f>
        <v>000</v>
      </c>
      <c r="M3" s="448" t="str">
        <f>VLOOKUP($A3,'Matriz POA 2024-TRABAJO'!$A$5:$CY$9142,28,FALSE)</f>
        <v>002</v>
      </c>
      <c r="N3" s="448" t="str">
        <f>VLOOKUP($A3,'Matriz POA 2024-TRABAJO'!$A$5:$CY$9142,29,FALSE)</f>
        <v>53</v>
      </c>
      <c r="O3" s="448">
        <f>VLOOKUP($A3,'Matriz POA 2024-TRABAJO'!$A$5:$CY$9142,30,FALSE)</f>
        <v>530101</v>
      </c>
      <c r="P3" s="448" t="str">
        <f>VLOOKUP($A3,'Matriz POA 2024-TRABAJO'!$A$5:$CY$9142,31,FALSE)</f>
        <v>Agua Potable</v>
      </c>
      <c r="Q3" s="448">
        <f>VLOOKUP($A3,'Matriz POA 2024-TRABAJO'!$A$5:$CY$9142,32,FALSE)</f>
        <v>1314</v>
      </c>
      <c r="R3" s="448" t="str">
        <f>VLOOKUP($A3,'Matriz POA 2024-TRABAJO'!$A$5:$CY$9142,33,FALSE)</f>
        <v>001</v>
      </c>
      <c r="S3" s="448" t="str">
        <f>VLOOKUP($A3,'Matriz POA 2024-TRABAJO'!$A$5:$CY$9142,34,FALSE)</f>
        <v>0000</v>
      </c>
      <c r="T3" s="448" t="str">
        <f>VLOOKUP($A3,'Matriz POA 2024-TRABAJO'!$A$5:$CY$9142,35,FALSE)</f>
        <v>0000</v>
      </c>
      <c r="U3" s="449">
        <f>VLOOKUP($A3,'Matriz POA 2024-TRABAJO'!$A$5:$CY$9142,47,FALSE)</f>
        <v>80</v>
      </c>
      <c r="V3" s="51">
        <v>2.75</v>
      </c>
      <c r="W3" s="51"/>
      <c r="X3" s="51"/>
      <c r="Y3" s="51"/>
      <c r="Z3" s="51"/>
      <c r="AA3" s="51"/>
      <c r="AB3" s="51"/>
      <c r="AC3" s="51"/>
      <c r="AD3" s="51"/>
      <c r="AE3" s="51"/>
      <c r="AF3" s="51"/>
      <c r="AG3" s="51"/>
      <c r="AH3" s="3">
        <f>VLOOKUP($A3, 'Matriz POA 2024-TRABAJO'!$A$5:$CY$9142,61,FALSE)</f>
        <v>80</v>
      </c>
      <c r="AI3" s="406">
        <f t="shared" si="0"/>
        <v>2.75</v>
      </c>
      <c r="AJ3" s="407">
        <f t="shared" si="1"/>
        <v>77.25</v>
      </c>
    </row>
    <row r="4" spans="1:36" ht="15" hidden="1" customHeight="1">
      <c r="A4" s="341">
        <v>448</v>
      </c>
      <c r="B4" s="447" t="str">
        <f>VLOOKUP($A4, 'Matriz POA 2024-TRABAJO'!$A$5:$CY$9142,11,FALSE)</f>
        <v>Corporación Ciudad Alfaro</v>
      </c>
      <c r="C4" s="447" t="str">
        <f>VLOOKUP($A4, 'Matriz POA 2024-TRABAJO'!$A$5:$CY$9142,14,FALSE)</f>
        <v>N/A</v>
      </c>
      <c r="D4" s="447" t="str">
        <f>VLOOKUP($A4, 'Matriz POA 2024-TRABAJO'!$A$5:$CY$9142,15,FALSE)</f>
        <v>N/A</v>
      </c>
      <c r="E4" s="447" t="str">
        <f>VLOOKUP($A4, 'Matriz POA 2024-TRABAJO'!$A$5:$CY$9142,18,FALSE)</f>
        <v>N/A</v>
      </c>
      <c r="F4" s="447" t="str">
        <f>VLOOKUP($A4, 'Matriz POA 2024-TRABAJO'!$A$5:$CY$9142,17,FALSE)</f>
        <v>N/A</v>
      </c>
      <c r="G4" s="447" t="str">
        <f>VLOOKUP($A4, 'Matriz POA 2024-TRABAJO'!$A$5:$CY$9142,20,FALSE)</f>
        <v>N/A</v>
      </c>
      <c r="H4" s="447" t="str">
        <f>VLOOKUP($A4, 'Matriz POA 2024-TRABAJO'!$A$5:$CY$9142,23,FALSE)</f>
        <v>ARRASTRE</v>
      </c>
      <c r="I4" s="447" t="str">
        <f>VLOOKUP($A4, 'Matriz POA 2024-TRABAJO'!$A$5:$CY$9142,24,FALSE)</f>
        <v>Pago Mensual del servicio de Alcantarillado de los meses de Noviembre y Diciembre del 2023 del Museo Bahía de Caráquez</v>
      </c>
      <c r="J4" s="447" t="str">
        <f>VLOOKUP($A4,'Matriz POA 2024-TRABAJO'!$A$5:$CY$9142,25,FALSE)</f>
        <v>0035</v>
      </c>
      <c r="K4" s="448" t="str">
        <f>VLOOKUP($A4,'Matriz POA 2024-TRABAJO'!$A$5:$CY$9142,26,FALSE)</f>
        <v>80</v>
      </c>
      <c r="L4" s="448" t="str">
        <f>VLOOKUP($A4,'Matriz POA 2024-TRABAJO'!$A$5:$CY$9142,27,FALSE)</f>
        <v>000</v>
      </c>
      <c r="M4" s="448" t="str">
        <f>VLOOKUP($A4,'Matriz POA 2024-TRABAJO'!$A$5:$CY$9142,28,FALSE)</f>
        <v>002</v>
      </c>
      <c r="N4" s="448" t="str">
        <f>VLOOKUP($A4,'Matriz POA 2024-TRABAJO'!$A$5:$CY$9142,29,FALSE)</f>
        <v>53</v>
      </c>
      <c r="O4" s="448">
        <f>VLOOKUP($A4,'Matriz POA 2024-TRABAJO'!$A$5:$CY$9142,30,FALSE)</f>
        <v>530101</v>
      </c>
      <c r="P4" s="448" t="str">
        <f>VLOOKUP($A4,'Matriz POA 2024-TRABAJO'!$A$5:$CY$9142,31,FALSE)</f>
        <v>Agua Potable</v>
      </c>
      <c r="Q4" s="448">
        <f>VLOOKUP($A4,'Matriz POA 2024-TRABAJO'!$A$5:$CY$9142,32,FALSE)</f>
        <v>1314</v>
      </c>
      <c r="R4" s="448" t="str">
        <f>VLOOKUP($A4,'Matriz POA 2024-TRABAJO'!$A$5:$CY$9142,33,FALSE)</f>
        <v>001</v>
      </c>
      <c r="S4" s="448" t="str">
        <f>VLOOKUP($A4,'Matriz POA 2024-TRABAJO'!$A$5:$CY$9142,34,FALSE)</f>
        <v>0000</v>
      </c>
      <c r="T4" s="448" t="str">
        <f>VLOOKUP($A4,'Matriz POA 2024-TRABAJO'!$A$5:$CY$9142,35,FALSE)</f>
        <v>0000</v>
      </c>
      <c r="U4" s="449">
        <f>VLOOKUP($A4,'Matriz POA 2024-TRABAJO'!$A$5:$CY$9142,47,FALSE)</f>
        <v>40</v>
      </c>
      <c r="V4" s="51">
        <v>2</v>
      </c>
      <c r="W4" s="51"/>
      <c r="X4" s="51"/>
      <c r="Y4" s="51"/>
      <c r="Z4" s="51"/>
      <c r="AA4" s="51"/>
      <c r="AB4" s="51"/>
      <c r="AC4" s="51"/>
      <c r="AD4" s="51"/>
      <c r="AE4" s="51"/>
      <c r="AF4" s="51"/>
      <c r="AG4" s="51"/>
      <c r="AH4" s="3">
        <f>VLOOKUP($A4, 'Matriz POA 2024-TRABAJO'!$A$5:$CY$9142,61,FALSE)</f>
        <v>40</v>
      </c>
      <c r="AI4" s="406">
        <f t="shared" si="0"/>
        <v>2</v>
      </c>
      <c r="AJ4" s="407">
        <f t="shared" si="1"/>
        <v>38</v>
      </c>
    </row>
    <row r="5" spans="1:36" ht="15" hidden="1" customHeight="1">
      <c r="A5" s="341">
        <v>417</v>
      </c>
      <c r="B5" s="447" t="str">
        <f>VLOOKUP($A5, 'Matriz POA 2024-TRABAJO'!$A$5:$CY$9142,11,FALSE)</f>
        <v>Corporación Ciudad Alfaro</v>
      </c>
      <c r="C5" s="447" t="str">
        <f>VLOOKUP($A5, 'Matriz POA 2024-TRABAJO'!$A$5:$CY$9142,14,FALSE)</f>
        <v>N/A</v>
      </c>
      <c r="D5" s="447" t="str">
        <f>VLOOKUP($A5, 'Matriz POA 2024-TRABAJO'!$A$5:$CY$9142,15,FALSE)</f>
        <v>N/A</v>
      </c>
      <c r="E5" s="447" t="str">
        <f>VLOOKUP($A5, 'Matriz POA 2024-TRABAJO'!$A$5:$CY$9142,18,FALSE)</f>
        <v>N/A</v>
      </c>
      <c r="F5" s="447" t="str">
        <f>VLOOKUP($A5, 'Matriz POA 2024-TRABAJO'!$A$5:$CY$9142,17,FALSE)</f>
        <v>N/A</v>
      </c>
      <c r="G5" s="447" t="str">
        <f>VLOOKUP($A5, 'Matriz POA 2024-TRABAJO'!$A$5:$CY$9142,20,FALSE)</f>
        <v>N/A</v>
      </c>
      <c r="H5" s="447" t="str">
        <f>VLOOKUP($A5, 'Matriz POA 2024-TRABAJO'!$A$5:$CY$9142,23,FALSE)</f>
        <v>NUEVA</v>
      </c>
      <c r="I5" s="447" t="str">
        <f>VLOOKUP($A5, 'Matriz POA 2024-TRABAJO'!$A$5:$CY$9142,24,FALSE)</f>
        <v>Décimo Tercer Sueldo</v>
      </c>
      <c r="J5" s="447" t="str">
        <f>VLOOKUP($A5,'Matriz POA 2024-TRABAJO'!$A$5:$CY$9142,25,FALSE)</f>
        <v>0035</v>
      </c>
      <c r="K5" s="448" t="str">
        <f>VLOOKUP($A5,'Matriz POA 2024-TRABAJO'!$A$5:$CY$9142,26,FALSE)</f>
        <v>80</v>
      </c>
      <c r="L5" s="448" t="str">
        <f>VLOOKUP($A5,'Matriz POA 2024-TRABAJO'!$A$5:$CY$9142,27,FALSE)</f>
        <v>000</v>
      </c>
      <c r="M5" s="448" t="str">
        <f>VLOOKUP($A5,'Matriz POA 2024-TRABAJO'!$A$5:$CY$9142,28,FALSE)</f>
        <v>002</v>
      </c>
      <c r="N5" s="448" t="str">
        <f>VLOOKUP($A5,'Matriz POA 2024-TRABAJO'!$A$5:$CY$9142,29,FALSE)</f>
        <v>51</v>
      </c>
      <c r="O5" s="448">
        <f>VLOOKUP($A5,'Matriz POA 2024-TRABAJO'!$A$5:$CY$9142,30,FALSE)</f>
        <v>510203</v>
      </c>
      <c r="P5" s="448" t="str">
        <f>VLOOKUP($A5,'Matriz POA 2024-TRABAJO'!$A$5:$CY$9142,31,FALSE)</f>
        <v>Decimo Tercer Sueldo</v>
      </c>
      <c r="Q5" s="448">
        <f>VLOOKUP($A5,'Matriz POA 2024-TRABAJO'!$A$5:$CY$9142,32,FALSE)</f>
        <v>1300</v>
      </c>
      <c r="R5" s="448" t="str">
        <f>VLOOKUP($A5,'Matriz POA 2024-TRABAJO'!$A$5:$CY$9142,33,FALSE)</f>
        <v>001</v>
      </c>
      <c r="S5" s="448" t="str">
        <f>VLOOKUP($A5,'Matriz POA 2024-TRABAJO'!$A$5:$CY$9142,34,FALSE)</f>
        <v>0000</v>
      </c>
      <c r="T5" s="448" t="str">
        <f>VLOOKUP($A5,'Matriz POA 2024-TRABAJO'!$A$5:$CY$9142,35,FALSE)</f>
        <v>0000</v>
      </c>
      <c r="U5" s="449">
        <f>VLOOKUP($A5,'Matriz POA 2024-TRABAJO'!$A$5:$CY$9142,47,FALSE)</f>
        <v>30689.07</v>
      </c>
      <c r="V5" s="51"/>
      <c r="W5" s="51">
        <v>1558.86</v>
      </c>
      <c r="X5" s="51">
        <v>779.43</v>
      </c>
      <c r="Y5" s="51">
        <v>779.43</v>
      </c>
      <c r="Z5" s="51">
        <v>779.43</v>
      </c>
      <c r="AA5" s="51">
        <v>779.43</v>
      </c>
      <c r="AB5" s="51">
        <v>779.43</v>
      </c>
      <c r="AC5" s="51">
        <v>779.43</v>
      </c>
      <c r="AD5" s="51">
        <v>779.43</v>
      </c>
      <c r="AE5" s="51">
        <v>779.43</v>
      </c>
      <c r="AF5" s="51">
        <f>779.43</f>
        <v>779.43</v>
      </c>
      <c r="AG5" s="51">
        <f>33.18+20500.88+67.16+5.84</f>
        <v>20607.060000000001</v>
      </c>
      <c r="AH5" s="3">
        <f>VLOOKUP($A5, 'Matriz POA 2024-TRABAJO'!$A$5:$CY$9142,61,FALSE)</f>
        <v>30689.07</v>
      </c>
      <c r="AI5" s="406">
        <f t="shared" si="0"/>
        <v>29180.79</v>
      </c>
      <c r="AJ5" s="407">
        <f t="shared" si="1"/>
        <v>1508.2799999999988</v>
      </c>
    </row>
    <row r="6" spans="1:36" ht="15" hidden="1" customHeight="1">
      <c r="A6" s="341">
        <v>418</v>
      </c>
      <c r="B6" s="447" t="str">
        <f>VLOOKUP($A6, 'Matriz POA 2024-TRABAJO'!$A$5:$CY$9142,11,FALSE)</f>
        <v>Corporación Ciudad Alfaro</v>
      </c>
      <c r="C6" s="447" t="str">
        <f>VLOOKUP($A6, 'Matriz POA 2024-TRABAJO'!$A$5:$CY$9142,14,FALSE)</f>
        <v>N/A</v>
      </c>
      <c r="D6" s="447" t="str">
        <f>VLOOKUP($A6, 'Matriz POA 2024-TRABAJO'!$A$5:$CY$9142,15,FALSE)</f>
        <v>N/A</v>
      </c>
      <c r="E6" s="447" t="str">
        <f>VLOOKUP($A6, 'Matriz POA 2024-TRABAJO'!$A$5:$CY$9142,18,FALSE)</f>
        <v>N/A</v>
      </c>
      <c r="F6" s="447" t="str">
        <f>VLOOKUP($A6, 'Matriz POA 2024-TRABAJO'!$A$5:$CY$9142,17,FALSE)</f>
        <v>N/A</v>
      </c>
      <c r="G6" s="447" t="str">
        <f>VLOOKUP($A6, 'Matriz POA 2024-TRABAJO'!$A$5:$CY$9142,20,FALSE)</f>
        <v>N/A</v>
      </c>
      <c r="H6" s="447" t="str">
        <f>VLOOKUP($A6, 'Matriz POA 2024-TRABAJO'!$A$5:$CY$9142,23,FALSE)</f>
        <v>NUEVA</v>
      </c>
      <c r="I6" s="447" t="str">
        <f>VLOOKUP($A6, 'Matriz POA 2024-TRABAJO'!$A$5:$CY$9142,24,FALSE)</f>
        <v>Décimo Cuarto Sueldo</v>
      </c>
      <c r="J6" s="447" t="str">
        <f>VLOOKUP($A6,'Matriz POA 2024-TRABAJO'!$A$5:$CY$9142,25,FALSE)</f>
        <v>0035</v>
      </c>
      <c r="K6" s="448" t="str">
        <f>VLOOKUP($A6,'Matriz POA 2024-TRABAJO'!$A$5:$CY$9142,26,FALSE)</f>
        <v>80</v>
      </c>
      <c r="L6" s="448" t="str">
        <f>VLOOKUP($A6,'Matriz POA 2024-TRABAJO'!$A$5:$CY$9142,27,FALSE)</f>
        <v>000</v>
      </c>
      <c r="M6" s="448" t="str">
        <f>VLOOKUP($A6,'Matriz POA 2024-TRABAJO'!$A$5:$CY$9142,28,FALSE)</f>
        <v>002</v>
      </c>
      <c r="N6" s="448" t="str">
        <f>VLOOKUP($A6,'Matriz POA 2024-TRABAJO'!$A$5:$CY$9142,29,FALSE)</f>
        <v>51</v>
      </c>
      <c r="O6" s="448">
        <f>VLOOKUP($A6,'Matriz POA 2024-TRABAJO'!$A$5:$CY$9142,30,FALSE)</f>
        <v>510204</v>
      </c>
      <c r="P6" s="448" t="str">
        <f>VLOOKUP($A6,'Matriz POA 2024-TRABAJO'!$A$5:$CY$9142,31,FALSE)</f>
        <v>Decimo Cuarto Sueldo</v>
      </c>
      <c r="Q6" s="448">
        <f>VLOOKUP($A6,'Matriz POA 2024-TRABAJO'!$A$5:$CY$9142,32,FALSE)</f>
        <v>1300</v>
      </c>
      <c r="R6" s="448" t="str">
        <f>VLOOKUP($A6,'Matriz POA 2024-TRABAJO'!$A$5:$CY$9142,33,FALSE)</f>
        <v>001</v>
      </c>
      <c r="S6" s="448" t="str">
        <f>VLOOKUP($A6,'Matriz POA 2024-TRABAJO'!$A$5:$CY$9142,34,FALSE)</f>
        <v>0000</v>
      </c>
      <c r="T6" s="448" t="str">
        <f>VLOOKUP($A6,'Matriz POA 2024-TRABAJO'!$A$5:$CY$9142,35,FALSE)</f>
        <v>0000</v>
      </c>
      <c r="U6" s="449">
        <f>VLOOKUP($A6,'Matriz POA 2024-TRABAJO'!$A$5:$CY$9142,47,FALSE)</f>
        <v>16817.650000000001</v>
      </c>
      <c r="V6" s="51"/>
      <c r="W6" s="51">
        <v>689.94</v>
      </c>
      <c r="X6" s="51">
        <v>12686.69</v>
      </c>
      <c r="Y6" s="51">
        <v>344.97</v>
      </c>
      <c r="Z6" s="51">
        <v>344.97</v>
      </c>
      <c r="AA6" s="51">
        <v>344.97</v>
      </c>
      <c r="AB6" s="51">
        <v>344.97</v>
      </c>
      <c r="AC6" s="51">
        <v>344.97</v>
      </c>
      <c r="AD6" s="51">
        <v>344.97</v>
      </c>
      <c r="AE6" s="51">
        <v>344.97</v>
      </c>
      <c r="AF6" s="51">
        <f>344.97</f>
        <v>344.97</v>
      </c>
      <c r="AG6" s="51">
        <f>14.06+344.97</f>
        <v>359.03000000000003</v>
      </c>
      <c r="AH6" s="3">
        <f>VLOOKUP($A6, 'Matriz POA 2024-TRABAJO'!$A$5:$CY$9142,61,FALSE)</f>
        <v>16817.649999999998</v>
      </c>
      <c r="AI6" s="406">
        <f t="shared" si="0"/>
        <v>16495.419999999995</v>
      </c>
      <c r="AJ6" s="407">
        <f t="shared" si="1"/>
        <v>322.2300000000032</v>
      </c>
    </row>
    <row r="7" spans="1:36" ht="15" hidden="1" customHeight="1">
      <c r="A7" s="341">
        <v>425</v>
      </c>
      <c r="B7" s="447" t="str">
        <f>VLOOKUP($A7, 'Matriz POA 2024-TRABAJO'!$A$5:$CY$9142,11,FALSE)</f>
        <v>Corporación Ciudad Alfaro</v>
      </c>
      <c r="C7" s="447" t="str">
        <f>VLOOKUP($A7, 'Matriz POA 2024-TRABAJO'!$A$5:$CY$9142,14,FALSE)</f>
        <v>N/A</v>
      </c>
      <c r="D7" s="447" t="str">
        <f>VLOOKUP($A7, 'Matriz POA 2024-TRABAJO'!$A$5:$CY$9142,15,FALSE)</f>
        <v>N/A</v>
      </c>
      <c r="E7" s="447" t="str">
        <f>VLOOKUP($A7, 'Matriz POA 2024-TRABAJO'!$A$5:$CY$9142,18,FALSE)</f>
        <v>N/A</v>
      </c>
      <c r="F7" s="447" t="str">
        <f>VLOOKUP($A7, 'Matriz POA 2024-TRABAJO'!$A$5:$CY$9142,17,FALSE)</f>
        <v>N/A</v>
      </c>
      <c r="G7" s="447" t="str">
        <f>VLOOKUP($A7, 'Matriz POA 2024-TRABAJO'!$A$5:$CY$9142,20,FALSE)</f>
        <v>N/A</v>
      </c>
      <c r="H7" s="447" t="str">
        <f>VLOOKUP($A7, 'Matriz POA 2024-TRABAJO'!$A$5:$CY$9142,23,FALSE)</f>
        <v>NUEVA</v>
      </c>
      <c r="I7" s="447" t="str">
        <f>VLOOKUP($A7, 'Matriz POA 2024-TRABAJO'!$A$5:$CY$9142,24,FALSE)</f>
        <v>Fondo de Reserva</v>
      </c>
      <c r="J7" s="447" t="str">
        <f>VLOOKUP($A7,'Matriz POA 2024-TRABAJO'!$A$5:$CY$9142,25,FALSE)</f>
        <v>0035</v>
      </c>
      <c r="K7" s="448" t="str">
        <f>VLOOKUP($A7,'Matriz POA 2024-TRABAJO'!$A$5:$CY$9142,26,FALSE)</f>
        <v>80</v>
      </c>
      <c r="L7" s="448" t="str">
        <f>VLOOKUP($A7,'Matriz POA 2024-TRABAJO'!$A$5:$CY$9142,27,FALSE)</f>
        <v>000</v>
      </c>
      <c r="M7" s="448" t="str">
        <f>VLOOKUP($A7,'Matriz POA 2024-TRABAJO'!$A$5:$CY$9142,28,FALSE)</f>
        <v>002</v>
      </c>
      <c r="N7" s="448" t="str">
        <f>VLOOKUP($A7,'Matriz POA 2024-TRABAJO'!$A$5:$CY$9142,29,FALSE)</f>
        <v>51</v>
      </c>
      <c r="O7" s="448">
        <f>VLOOKUP($A7,'Matriz POA 2024-TRABAJO'!$A$5:$CY$9142,30,FALSE)</f>
        <v>510602</v>
      </c>
      <c r="P7" s="448" t="str">
        <f>VLOOKUP($A7,'Matriz POA 2024-TRABAJO'!$A$5:$CY$9142,31,FALSE)</f>
        <v>Fondo de Reserva</v>
      </c>
      <c r="Q7" s="448">
        <f>VLOOKUP($A7,'Matriz POA 2024-TRABAJO'!$A$5:$CY$9142,32,FALSE)</f>
        <v>1300</v>
      </c>
      <c r="R7" s="448" t="str">
        <f>VLOOKUP($A7,'Matriz POA 2024-TRABAJO'!$A$5:$CY$9142,33,FALSE)</f>
        <v>001</v>
      </c>
      <c r="S7" s="448" t="str">
        <f>VLOOKUP($A7,'Matriz POA 2024-TRABAJO'!$A$5:$CY$9142,34,FALSE)</f>
        <v>0000</v>
      </c>
      <c r="T7" s="448" t="str">
        <f>VLOOKUP($A7,'Matriz POA 2024-TRABAJO'!$A$5:$CY$9142,35,FALSE)</f>
        <v>0000</v>
      </c>
      <c r="U7" s="449">
        <f>VLOOKUP($A7,'Matriz POA 2024-TRABAJO'!$A$5:$CY$9142,47,FALSE)</f>
        <v>27570.59</v>
      </c>
      <c r="V7" s="51"/>
      <c r="W7" s="51">
        <v>2332.5700000000002</v>
      </c>
      <c r="X7" s="51">
        <v>2332.5700000000002</v>
      </c>
      <c r="Y7" s="51">
        <v>2332.5700000000002</v>
      </c>
      <c r="Z7" s="51">
        <v>2332.5700000000002</v>
      </c>
      <c r="AA7" s="51">
        <v>2332.5700000000002</v>
      </c>
      <c r="AB7" s="51">
        <v>2332.5700000000002</v>
      </c>
      <c r="AC7" s="51">
        <f>49.42+2332.57+54.37</f>
        <v>2436.36</v>
      </c>
      <c r="AD7" s="51">
        <f>2231.61+54.37+54.37</f>
        <v>2340.35</v>
      </c>
      <c r="AE7" s="51">
        <v>2141.15</v>
      </c>
      <c r="AF7" s="51">
        <v>2187.88</v>
      </c>
      <c r="AG7" s="51">
        <f>2097.42+2097.42</f>
        <v>4194.84</v>
      </c>
      <c r="AH7" s="3">
        <f>VLOOKUP($A7, 'Matriz POA 2024-TRABAJO'!$A$5:$CY$9142,61,FALSE)</f>
        <v>27570.59</v>
      </c>
      <c r="AI7" s="406">
        <f t="shared" si="0"/>
        <v>27296</v>
      </c>
      <c r="AJ7" s="407">
        <f t="shared" si="1"/>
        <v>274.59000000000015</v>
      </c>
    </row>
    <row r="8" spans="1:36" ht="15" hidden="1" customHeight="1">
      <c r="A8" s="341">
        <v>444</v>
      </c>
      <c r="B8" s="447" t="str">
        <f>VLOOKUP($A8, 'Matriz POA 2024-TRABAJO'!$A$5:$CY$9142,11,FALSE)</f>
        <v>Corporación Ciudad Alfaro</v>
      </c>
      <c r="C8" s="447" t="str">
        <f>VLOOKUP($A8, 'Matriz POA 2024-TRABAJO'!$A$5:$CY$9142,14,FALSE)</f>
        <v>N/A</v>
      </c>
      <c r="D8" s="447" t="str">
        <f>VLOOKUP($A8, 'Matriz POA 2024-TRABAJO'!$A$5:$CY$9142,15,FALSE)</f>
        <v>N/A</v>
      </c>
      <c r="E8" s="447" t="str">
        <f>VLOOKUP($A8, 'Matriz POA 2024-TRABAJO'!$A$5:$CY$9142,18,FALSE)</f>
        <v>N/A</v>
      </c>
      <c r="F8" s="447" t="str">
        <f>VLOOKUP($A8, 'Matriz POA 2024-TRABAJO'!$A$5:$CY$9142,17,FALSE)</f>
        <v>N/A</v>
      </c>
      <c r="G8" s="447" t="str">
        <f>VLOOKUP($A8, 'Matriz POA 2024-TRABAJO'!$A$5:$CY$9142,20,FALSE)</f>
        <v>N/A</v>
      </c>
      <c r="H8" s="447" t="str">
        <f>VLOOKUP($A8, 'Matriz POA 2024-TRABAJO'!$A$5:$CY$9142,23,FALSE)</f>
        <v>ARRASTRE</v>
      </c>
      <c r="I8" s="447" t="str">
        <f>VLOOKUP($A8, 'Matriz POA 2024-TRABAJO'!$A$5:$CY$9142,24,FALSE)</f>
        <v>Pago del servicio de energía eléctrica de los meses de Noviembre y Diciembre del 2023 de la Corporación Ciudad Alfaro</v>
      </c>
      <c r="J8" s="447" t="str">
        <f>VLOOKUP($A8,'Matriz POA 2024-TRABAJO'!$A$5:$CY$9142,25,FALSE)</f>
        <v>0035</v>
      </c>
      <c r="K8" s="448" t="str">
        <f>VLOOKUP($A8,'Matriz POA 2024-TRABAJO'!$A$5:$CY$9142,26,FALSE)</f>
        <v>80</v>
      </c>
      <c r="L8" s="448" t="str">
        <f>VLOOKUP($A8,'Matriz POA 2024-TRABAJO'!$A$5:$CY$9142,27,FALSE)</f>
        <v>000</v>
      </c>
      <c r="M8" s="448" t="str">
        <f>VLOOKUP($A8,'Matriz POA 2024-TRABAJO'!$A$5:$CY$9142,28,FALSE)</f>
        <v>002</v>
      </c>
      <c r="N8" s="448" t="str">
        <f>VLOOKUP($A8,'Matriz POA 2024-TRABAJO'!$A$5:$CY$9142,29,FALSE)</f>
        <v>53</v>
      </c>
      <c r="O8" s="448">
        <f>VLOOKUP($A8,'Matriz POA 2024-TRABAJO'!$A$5:$CY$9142,30,FALSE)</f>
        <v>530104</v>
      </c>
      <c r="P8" s="448" t="str">
        <f>VLOOKUP($A8,'Matriz POA 2024-TRABAJO'!$A$5:$CY$9142,31,FALSE)</f>
        <v>Energía Eléctrica</v>
      </c>
      <c r="Q8" s="448">
        <f>VLOOKUP($A8,'Matriz POA 2024-TRABAJO'!$A$5:$CY$9142,32,FALSE)</f>
        <v>1309</v>
      </c>
      <c r="R8" s="448" t="str">
        <f>VLOOKUP($A8,'Matriz POA 2024-TRABAJO'!$A$5:$CY$9142,33,FALSE)</f>
        <v>001</v>
      </c>
      <c r="S8" s="448" t="str">
        <f>VLOOKUP($A8,'Matriz POA 2024-TRABAJO'!$A$5:$CY$9142,34,FALSE)</f>
        <v>0000</v>
      </c>
      <c r="T8" s="448" t="str">
        <f>VLOOKUP($A8,'Matriz POA 2024-TRABAJO'!$A$5:$CY$9142,35,FALSE)</f>
        <v>0000</v>
      </c>
      <c r="U8" s="449">
        <f>VLOOKUP($A8,'Matriz POA 2024-TRABAJO'!$A$5:$CY$9142,47,FALSE)</f>
        <v>2447.1799999999998</v>
      </c>
      <c r="V8" s="51"/>
      <c r="W8" s="505">
        <f>1.66+67.42+19.26+2358.84</f>
        <v>2447.1800000000003</v>
      </c>
      <c r="X8" s="51"/>
      <c r="Y8" s="51"/>
      <c r="Z8" s="51"/>
      <c r="AA8" s="51"/>
      <c r="AB8" s="51"/>
      <c r="AC8" s="51"/>
      <c r="AD8" s="51"/>
      <c r="AE8" s="51"/>
      <c r="AF8" s="51"/>
      <c r="AG8" s="51"/>
      <c r="AH8" s="3">
        <f>VLOOKUP($A8, 'Matriz POA 2024-TRABAJO'!$A$5:$CY$9142,61,FALSE)</f>
        <v>2447.1799999999998</v>
      </c>
      <c r="AI8" s="406">
        <f t="shared" si="0"/>
        <v>2447.1800000000003</v>
      </c>
      <c r="AJ8" s="407">
        <f t="shared" si="1"/>
        <v>0</v>
      </c>
    </row>
    <row r="9" spans="1:36" ht="15" hidden="1" customHeight="1">
      <c r="A9" s="341">
        <v>451</v>
      </c>
      <c r="B9" s="447" t="str">
        <f>VLOOKUP($A9, 'Matriz POA 2024-TRABAJO'!$A$5:$CY$9142,11,FALSE)</f>
        <v>Corporación Ciudad Alfaro</v>
      </c>
      <c r="C9" s="447" t="str">
        <f>VLOOKUP($A9, 'Matriz POA 2024-TRABAJO'!$A$5:$CY$9142,14,FALSE)</f>
        <v>N/A</v>
      </c>
      <c r="D9" s="447" t="str">
        <f>VLOOKUP($A9, 'Matriz POA 2024-TRABAJO'!$A$5:$CY$9142,15,FALSE)</f>
        <v>N/A</v>
      </c>
      <c r="E9" s="447" t="str">
        <f>VLOOKUP($A9, 'Matriz POA 2024-TRABAJO'!$A$5:$CY$9142,18,FALSE)</f>
        <v>N/A</v>
      </c>
      <c r="F9" s="447" t="str">
        <f>VLOOKUP($A9, 'Matriz POA 2024-TRABAJO'!$A$5:$CY$9142,17,FALSE)</f>
        <v>N/A</v>
      </c>
      <c r="G9" s="447" t="str">
        <f>VLOOKUP($A9, 'Matriz POA 2024-TRABAJO'!$A$5:$CY$9142,20,FALSE)</f>
        <v>N/A</v>
      </c>
      <c r="H9" s="447" t="str">
        <f>VLOOKUP($A9, 'Matriz POA 2024-TRABAJO'!$A$5:$CY$9142,23,FALSE)</f>
        <v>NUEVA</v>
      </c>
      <c r="I9" s="447" t="str">
        <f>VLOOKUP($A9, 'Matriz POA 2024-TRABAJO'!$A$5:$CY$9142,24,FALSE)</f>
        <v>Pago Mensual del servicio de Agua Potable del Museo Bahía de Caráquez</v>
      </c>
      <c r="J9" s="447" t="str">
        <f>VLOOKUP($A9,'Matriz POA 2024-TRABAJO'!$A$5:$CY$9142,25,FALSE)</f>
        <v>0035</v>
      </c>
      <c r="K9" s="448" t="str">
        <f>VLOOKUP($A9,'Matriz POA 2024-TRABAJO'!$A$5:$CY$9142,26,FALSE)</f>
        <v>80</v>
      </c>
      <c r="L9" s="448" t="str">
        <f>VLOOKUP($A9,'Matriz POA 2024-TRABAJO'!$A$5:$CY$9142,27,FALSE)</f>
        <v>000</v>
      </c>
      <c r="M9" s="448" t="str">
        <f>VLOOKUP($A9,'Matriz POA 2024-TRABAJO'!$A$5:$CY$9142,28,FALSE)</f>
        <v>002</v>
      </c>
      <c r="N9" s="448" t="str">
        <f>VLOOKUP($A9,'Matriz POA 2024-TRABAJO'!$A$5:$CY$9142,29,FALSE)</f>
        <v>53</v>
      </c>
      <c r="O9" s="448">
        <f>VLOOKUP($A9,'Matriz POA 2024-TRABAJO'!$A$5:$CY$9142,30,FALSE)</f>
        <v>530101</v>
      </c>
      <c r="P9" s="448" t="str">
        <f>VLOOKUP($A9,'Matriz POA 2024-TRABAJO'!$A$5:$CY$9142,31,FALSE)</f>
        <v>Agua Potable</v>
      </c>
      <c r="Q9" s="448">
        <f>VLOOKUP($A9,'Matriz POA 2024-TRABAJO'!$A$5:$CY$9142,32,FALSE)</f>
        <v>1314</v>
      </c>
      <c r="R9" s="448" t="str">
        <f>VLOOKUP($A9,'Matriz POA 2024-TRABAJO'!$A$5:$CY$9142,33,FALSE)</f>
        <v>001</v>
      </c>
      <c r="S9" s="448" t="str">
        <f>VLOOKUP($A9,'Matriz POA 2024-TRABAJO'!$A$5:$CY$9142,34,FALSE)</f>
        <v>0000</v>
      </c>
      <c r="T9" s="448" t="str">
        <f>VLOOKUP($A9,'Matriz POA 2024-TRABAJO'!$A$5:$CY$9142,35,FALSE)</f>
        <v>0000</v>
      </c>
      <c r="U9" s="449">
        <f>VLOOKUP($A9,'Matriz POA 2024-TRABAJO'!$A$5:$CY$9142,47,FALSE)</f>
        <v>360</v>
      </c>
      <c r="V9" s="51"/>
      <c r="W9" s="51">
        <v>2.35</v>
      </c>
      <c r="X9" s="51">
        <v>4.1500000000000004</v>
      </c>
      <c r="Y9" s="51">
        <v>3.75</v>
      </c>
      <c r="Z9" s="51">
        <v>4.18</v>
      </c>
      <c r="AA9" s="51">
        <v>3.55</v>
      </c>
      <c r="AB9" s="51">
        <v>5.15</v>
      </c>
      <c r="AC9" s="51">
        <v>2.15</v>
      </c>
      <c r="AD9" s="51">
        <v>4.17</v>
      </c>
      <c r="AE9" s="51">
        <v>2.15</v>
      </c>
      <c r="AF9" s="51">
        <v>2.15</v>
      </c>
      <c r="AG9" s="51">
        <v>3.75</v>
      </c>
      <c r="AH9" s="3">
        <f>VLOOKUP($A9, 'Matriz POA 2024-TRABAJO'!$A$5:$CY$9142,61,FALSE)</f>
        <v>360</v>
      </c>
      <c r="AI9" s="406">
        <f t="shared" si="0"/>
        <v>37.5</v>
      </c>
      <c r="AJ9" s="407">
        <f t="shared" si="1"/>
        <v>322.5</v>
      </c>
    </row>
    <row r="10" spans="1:36" ht="15" hidden="1" customHeight="1">
      <c r="A10" s="341">
        <v>465</v>
      </c>
      <c r="B10" s="447" t="str">
        <f>VLOOKUP($A10, 'Matriz POA 2024-TRABAJO'!$A$5:$CY$9142,11,FALSE)</f>
        <v>Corporación Ciudad Alfaro</v>
      </c>
      <c r="C10" s="447" t="str">
        <f>VLOOKUP($A10, 'Matriz POA 2024-TRABAJO'!$A$5:$CY$9142,14,FALSE)</f>
        <v>N/A</v>
      </c>
      <c r="D10" s="447" t="str">
        <f>VLOOKUP($A10, 'Matriz POA 2024-TRABAJO'!$A$5:$CY$9142,15,FALSE)</f>
        <v>N/A</v>
      </c>
      <c r="E10" s="447" t="str">
        <f>VLOOKUP($A10, 'Matriz POA 2024-TRABAJO'!$A$5:$CY$9142,18,FALSE)</f>
        <v>N/A</v>
      </c>
      <c r="F10" s="447" t="str">
        <f>VLOOKUP($A10, 'Matriz POA 2024-TRABAJO'!$A$5:$CY$9142,17,FALSE)</f>
        <v>N/A</v>
      </c>
      <c r="G10" s="447" t="str">
        <f>VLOOKUP($A10, 'Matriz POA 2024-TRABAJO'!$A$5:$CY$9142,20,FALSE)</f>
        <v>N/A</v>
      </c>
      <c r="H10" s="447" t="str">
        <f>VLOOKUP($A10, 'Matriz POA 2024-TRABAJO'!$A$5:$CY$9142,23,FALSE)</f>
        <v>NUEVA</v>
      </c>
      <c r="I10" s="447" t="str">
        <f>VLOOKUP($A10, 'Matriz POA 2024-TRABAJO'!$A$5:$CY$9142,24,FALSE)</f>
        <v>Pago de tasas y contribuciones a los predios urbanos y cuerpo de bomberos del Museo Portoviejo y Archivo Histórico</v>
      </c>
      <c r="J10" s="447" t="str">
        <f>VLOOKUP($A10,'Matriz POA 2024-TRABAJO'!$A$5:$CY$9142,25,FALSE)</f>
        <v>0035</v>
      </c>
      <c r="K10" s="448" t="str">
        <f>VLOOKUP($A10,'Matriz POA 2024-TRABAJO'!$A$5:$CY$9142,26,FALSE)</f>
        <v>80</v>
      </c>
      <c r="L10" s="448" t="str">
        <f>VLOOKUP($A10,'Matriz POA 2024-TRABAJO'!$A$5:$CY$9142,27,FALSE)</f>
        <v>000</v>
      </c>
      <c r="M10" s="448" t="str">
        <f>VLOOKUP($A10,'Matriz POA 2024-TRABAJO'!$A$5:$CY$9142,28,FALSE)</f>
        <v>002</v>
      </c>
      <c r="N10" s="448" t="str">
        <f>VLOOKUP($A10,'Matriz POA 2024-TRABAJO'!$A$5:$CY$9142,29,FALSE)</f>
        <v>57</v>
      </c>
      <c r="O10" s="448">
        <f>VLOOKUP($A10,'Matriz POA 2024-TRABAJO'!$A$5:$CY$9142,30,FALSE)</f>
        <v>570102</v>
      </c>
      <c r="P10" s="448" t="str">
        <f>VLOOKUP($A10,'Matriz POA 2024-TRABAJO'!$A$5:$CY$9142,31,FALSE)</f>
        <v>Tasas Generales, Impuestos, Contribuciones, Permisos, Licencias y Patentes.</v>
      </c>
      <c r="Q10" s="448">
        <f>VLOOKUP($A10,'Matriz POA 2024-TRABAJO'!$A$5:$CY$9142,32,FALSE)</f>
        <v>1301</v>
      </c>
      <c r="R10" s="448" t="str">
        <f>VLOOKUP($A10,'Matriz POA 2024-TRABAJO'!$A$5:$CY$9142,33,FALSE)</f>
        <v>001</v>
      </c>
      <c r="S10" s="448" t="str">
        <f>VLOOKUP($A10,'Matriz POA 2024-TRABAJO'!$A$5:$CY$9142,34,FALSE)</f>
        <v>0000</v>
      </c>
      <c r="T10" s="448" t="str">
        <f>VLOOKUP($A10,'Matriz POA 2024-TRABAJO'!$A$5:$CY$9142,35,FALSE)</f>
        <v>0000</v>
      </c>
      <c r="U10" s="449">
        <f>VLOOKUP($A10,'Matriz POA 2024-TRABAJO'!$A$5:$CY$9142,47,FALSE)</f>
        <v>1407.92</v>
      </c>
      <c r="V10" s="51"/>
      <c r="W10" s="51">
        <v>1407.92</v>
      </c>
      <c r="X10" s="51"/>
      <c r="Y10" s="51"/>
      <c r="Z10" s="51"/>
      <c r="AA10" s="51"/>
      <c r="AB10" s="51"/>
      <c r="AC10" s="51"/>
      <c r="AD10" s="51"/>
      <c r="AE10" s="51"/>
      <c r="AF10" s="51"/>
      <c r="AG10" s="51"/>
      <c r="AH10" s="3">
        <f>VLOOKUP($A10, 'Matriz POA 2024-TRABAJO'!$A$5:$CY$9142,61,FALSE)</f>
        <v>1407.92</v>
      </c>
      <c r="AI10" s="406">
        <f t="shared" si="0"/>
        <v>1407.92</v>
      </c>
      <c r="AJ10" s="407">
        <f t="shared" si="1"/>
        <v>0</v>
      </c>
    </row>
    <row r="11" spans="1:36" ht="15" hidden="1" customHeight="1">
      <c r="A11" s="341">
        <v>456</v>
      </c>
      <c r="B11" s="447" t="str">
        <f>VLOOKUP($A11, 'Matriz POA 2024-TRABAJO'!$A$5:$CY$9142,11,FALSE)</f>
        <v>Corporación Ciudad Alfaro</v>
      </c>
      <c r="C11" s="447" t="str">
        <f>VLOOKUP($A11, 'Matriz POA 2024-TRABAJO'!$A$5:$CY$9142,14,FALSE)</f>
        <v>N/A</v>
      </c>
      <c r="D11" s="447" t="str">
        <f>VLOOKUP($A11, 'Matriz POA 2024-TRABAJO'!$A$5:$CY$9142,15,FALSE)</f>
        <v>N/A</v>
      </c>
      <c r="E11" s="447" t="str">
        <f>VLOOKUP($A11, 'Matriz POA 2024-TRABAJO'!$A$5:$CY$9142,18,FALSE)</f>
        <v>N/A</v>
      </c>
      <c r="F11" s="447" t="str">
        <f>VLOOKUP($A11, 'Matriz POA 2024-TRABAJO'!$A$5:$CY$9142,17,FALSE)</f>
        <v>N/A</v>
      </c>
      <c r="G11" s="447" t="str">
        <f>VLOOKUP($A11, 'Matriz POA 2024-TRABAJO'!$A$5:$CY$9142,20,FALSE)</f>
        <v>N/A</v>
      </c>
      <c r="H11" s="447" t="str">
        <f>VLOOKUP($A11, 'Matriz POA 2024-TRABAJO'!$A$5:$CY$9142,23,FALSE)</f>
        <v>ARRASTRE</v>
      </c>
      <c r="I11" s="447" t="str">
        <f>VLOOKUP($A11, 'Matriz POA 2024-TRABAJO'!$A$5:$CY$9142,24,FALSE)</f>
        <v>Pago mensual del servicio de energía eléctrica de los meses de Noviembre y Diciembre del 2023 del Museo y Centro Cultural de Manta</v>
      </c>
      <c r="J11" s="447" t="str">
        <f>VLOOKUP($A11,'Matriz POA 2024-TRABAJO'!$A$5:$CY$9142,25,FALSE)</f>
        <v>0035</v>
      </c>
      <c r="K11" s="448" t="str">
        <f>VLOOKUP($A11,'Matriz POA 2024-TRABAJO'!$A$5:$CY$9142,26,FALSE)</f>
        <v>80</v>
      </c>
      <c r="L11" s="448" t="str">
        <f>VLOOKUP($A11,'Matriz POA 2024-TRABAJO'!$A$5:$CY$9142,27,FALSE)</f>
        <v>000</v>
      </c>
      <c r="M11" s="448" t="str">
        <f>VLOOKUP($A11,'Matriz POA 2024-TRABAJO'!$A$5:$CY$9142,28,FALSE)</f>
        <v>002</v>
      </c>
      <c r="N11" s="448" t="str">
        <f>VLOOKUP($A11,'Matriz POA 2024-TRABAJO'!$A$5:$CY$9142,29,FALSE)</f>
        <v>53</v>
      </c>
      <c r="O11" s="448">
        <f>VLOOKUP($A11,'Matriz POA 2024-TRABAJO'!$A$5:$CY$9142,30,FALSE)</f>
        <v>530104</v>
      </c>
      <c r="P11" s="448" t="str">
        <f>VLOOKUP($A11,'Matriz POA 2024-TRABAJO'!$A$5:$CY$9142,31,FALSE)</f>
        <v>Energía Eléctrica</v>
      </c>
      <c r="Q11" s="448">
        <f>VLOOKUP($A11,'Matriz POA 2024-TRABAJO'!$A$5:$CY$9142,32,FALSE)</f>
        <v>1308</v>
      </c>
      <c r="R11" s="448" t="str">
        <f>VLOOKUP($A11,'Matriz POA 2024-TRABAJO'!$A$5:$CY$9142,33,FALSE)</f>
        <v>001</v>
      </c>
      <c r="S11" s="448" t="str">
        <f>VLOOKUP($A11,'Matriz POA 2024-TRABAJO'!$A$5:$CY$9142,34,FALSE)</f>
        <v>0000</v>
      </c>
      <c r="T11" s="448" t="str">
        <f>VLOOKUP($A11,'Matriz POA 2024-TRABAJO'!$A$5:$CY$9142,35,FALSE)</f>
        <v>0000</v>
      </c>
      <c r="U11" s="449">
        <f>VLOOKUP($A11,'Matriz POA 2024-TRABAJO'!$A$5:$CY$9142,47,FALSE)</f>
        <v>2941.33</v>
      </c>
      <c r="V11" s="51"/>
      <c r="W11" s="51">
        <v>1186.46</v>
      </c>
      <c r="X11" s="51"/>
      <c r="Y11" s="51"/>
      <c r="Z11" s="51"/>
      <c r="AA11" s="51"/>
      <c r="AB11" s="51"/>
      <c r="AC11" s="51"/>
      <c r="AD11" s="51"/>
      <c r="AE11" s="51"/>
      <c r="AF11" s="51"/>
      <c r="AG11" s="51"/>
      <c r="AH11" s="3">
        <f>VLOOKUP($A11, 'Matriz POA 2024-TRABAJO'!$A$5:$CY$9142,61,FALSE)</f>
        <v>2941.33</v>
      </c>
      <c r="AI11" s="406">
        <f t="shared" si="0"/>
        <v>1186.46</v>
      </c>
      <c r="AJ11" s="407">
        <f t="shared" si="1"/>
        <v>1754.87</v>
      </c>
    </row>
    <row r="12" spans="1:36" ht="15" hidden="1" customHeight="1">
      <c r="A12" s="341">
        <v>447</v>
      </c>
      <c r="B12" s="447" t="str">
        <f>VLOOKUP($A12, 'Matriz POA 2024-TRABAJO'!$A$5:$CY$9142,11,FALSE)</f>
        <v>Corporación Ciudad Alfaro</v>
      </c>
      <c r="C12" s="447" t="str">
        <f>VLOOKUP($A12, 'Matriz POA 2024-TRABAJO'!$A$5:$CY$9142,14,FALSE)</f>
        <v>N/A</v>
      </c>
      <c r="D12" s="447" t="str">
        <f>VLOOKUP($A12, 'Matriz POA 2024-TRABAJO'!$A$5:$CY$9142,15,FALSE)</f>
        <v>N/A</v>
      </c>
      <c r="E12" s="447" t="str">
        <f>VLOOKUP($A12, 'Matriz POA 2024-TRABAJO'!$A$5:$CY$9142,18,FALSE)</f>
        <v>N/A</v>
      </c>
      <c r="F12" s="447" t="str">
        <f>VLOOKUP($A12, 'Matriz POA 2024-TRABAJO'!$A$5:$CY$9142,17,FALSE)</f>
        <v>N/A</v>
      </c>
      <c r="G12" s="447" t="str">
        <f>VLOOKUP($A12, 'Matriz POA 2024-TRABAJO'!$A$5:$CY$9142,20,FALSE)</f>
        <v>N/A</v>
      </c>
      <c r="H12" s="447" t="str">
        <f>VLOOKUP($A12, 'Matriz POA 2024-TRABAJO'!$A$5:$CY$9142,23,FALSE)</f>
        <v>ARRASTRE</v>
      </c>
      <c r="I12" s="447" t="str">
        <f>VLOOKUP($A12, 'Matriz POA 2024-TRABAJO'!$A$5:$CY$9142,24,FALSE)</f>
        <v>Pago del servicio de energía eléctrica de los meses de Noviembre y Diciembre del 2023 del Museo Portoviejo y Archivo Histórico</v>
      </c>
      <c r="J12" s="447" t="str">
        <f>VLOOKUP($A12,'Matriz POA 2024-TRABAJO'!$A$5:$CY$9142,25,FALSE)</f>
        <v>0035</v>
      </c>
      <c r="K12" s="448" t="str">
        <f>VLOOKUP($A12,'Matriz POA 2024-TRABAJO'!$A$5:$CY$9142,26,FALSE)</f>
        <v>80</v>
      </c>
      <c r="L12" s="448" t="str">
        <f>VLOOKUP($A12,'Matriz POA 2024-TRABAJO'!$A$5:$CY$9142,27,FALSE)</f>
        <v>000</v>
      </c>
      <c r="M12" s="448" t="str">
        <f>VLOOKUP($A12,'Matriz POA 2024-TRABAJO'!$A$5:$CY$9142,28,FALSE)</f>
        <v>002</v>
      </c>
      <c r="N12" s="448" t="str">
        <f>VLOOKUP($A12,'Matriz POA 2024-TRABAJO'!$A$5:$CY$9142,29,FALSE)</f>
        <v>53</v>
      </c>
      <c r="O12" s="448">
        <f>VLOOKUP($A12,'Matriz POA 2024-TRABAJO'!$A$5:$CY$9142,30,FALSE)</f>
        <v>530104</v>
      </c>
      <c r="P12" s="448" t="str">
        <f>VLOOKUP($A12,'Matriz POA 2024-TRABAJO'!$A$5:$CY$9142,31,FALSE)</f>
        <v>Energía Eléctrica</v>
      </c>
      <c r="Q12" s="448">
        <f>VLOOKUP($A12,'Matriz POA 2024-TRABAJO'!$A$5:$CY$9142,32,FALSE)</f>
        <v>1301</v>
      </c>
      <c r="R12" s="448" t="str">
        <f>VLOOKUP($A12,'Matriz POA 2024-TRABAJO'!$A$5:$CY$9142,33,FALSE)</f>
        <v>001</v>
      </c>
      <c r="S12" s="448" t="str">
        <f>VLOOKUP($A12,'Matriz POA 2024-TRABAJO'!$A$5:$CY$9142,34,FALSE)</f>
        <v>0000</v>
      </c>
      <c r="T12" s="448" t="str">
        <f>VLOOKUP($A12,'Matriz POA 2024-TRABAJO'!$A$5:$CY$9142,35,FALSE)</f>
        <v>0000</v>
      </c>
      <c r="U12" s="449">
        <f>VLOOKUP($A12,'Matriz POA 2024-TRABAJO'!$A$5:$CY$9142,47,FALSE)</f>
        <v>1579.49</v>
      </c>
      <c r="V12" s="51"/>
      <c r="W12" s="51">
        <v>1579.49</v>
      </c>
      <c r="X12" s="51"/>
      <c r="Y12" s="51"/>
      <c r="Z12" s="51"/>
      <c r="AA12" s="51"/>
      <c r="AB12" s="51"/>
      <c r="AC12" s="51"/>
      <c r="AD12" s="51"/>
      <c r="AE12" s="51"/>
      <c r="AF12" s="51"/>
      <c r="AG12" s="51"/>
      <c r="AH12" s="3">
        <f>VLOOKUP($A12, 'Matriz POA 2024-TRABAJO'!$A$5:$CY$9142,61,FALSE)</f>
        <v>1579.49</v>
      </c>
      <c r="AI12" s="406">
        <f t="shared" si="0"/>
        <v>1579.49</v>
      </c>
      <c r="AJ12" s="407">
        <f t="shared" si="1"/>
        <v>0</v>
      </c>
    </row>
    <row r="13" spans="1:36" ht="15" hidden="1" customHeight="1">
      <c r="A13" s="341">
        <v>455</v>
      </c>
      <c r="B13" s="447" t="str">
        <f>VLOOKUP($A13, 'Matriz POA 2024-TRABAJO'!$A$5:$CY$9142,11,FALSE)</f>
        <v>Corporación Ciudad Alfaro</v>
      </c>
      <c r="C13" s="447" t="str">
        <f>VLOOKUP($A13, 'Matriz POA 2024-TRABAJO'!$A$5:$CY$9142,14,FALSE)</f>
        <v>N/A</v>
      </c>
      <c r="D13" s="447" t="str">
        <f>VLOOKUP($A13, 'Matriz POA 2024-TRABAJO'!$A$5:$CY$9142,15,FALSE)</f>
        <v>N/A</v>
      </c>
      <c r="E13" s="447" t="str">
        <f>VLOOKUP($A13, 'Matriz POA 2024-TRABAJO'!$A$5:$CY$9142,18,FALSE)</f>
        <v>N/A</v>
      </c>
      <c r="F13" s="447" t="str">
        <f>VLOOKUP($A13, 'Matriz POA 2024-TRABAJO'!$A$5:$CY$9142,17,FALSE)</f>
        <v>N/A</v>
      </c>
      <c r="G13" s="447" t="str">
        <f>VLOOKUP($A13, 'Matriz POA 2024-TRABAJO'!$A$5:$CY$9142,20,FALSE)</f>
        <v>N/A</v>
      </c>
      <c r="H13" s="447" t="str">
        <f>VLOOKUP($A13, 'Matriz POA 2024-TRABAJO'!$A$5:$CY$9142,23,FALSE)</f>
        <v>NUEVA</v>
      </c>
      <c r="I13" s="447" t="str">
        <f>VLOOKUP($A13, 'Matriz POA 2024-TRABAJO'!$A$5:$CY$9142,24,FALSE)</f>
        <v>Pago Mensual del servicio de Agua Potable del Museo Centro Cultural de Manta</v>
      </c>
      <c r="J13" s="447" t="str">
        <f>VLOOKUP($A13,'Matriz POA 2024-TRABAJO'!$A$5:$CY$9142,25,FALSE)</f>
        <v>0035</v>
      </c>
      <c r="K13" s="448" t="str">
        <f>VLOOKUP($A13,'Matriz POA 2024-TRABAJO'!$A$5:$CY$9142,26,FALSE)</f>
        <v>80</v>
      </c>
      <c r="L13" s="448" t="str">
        <f>VLOOKUP($A13,'Matriz POA 2024-TRABAJO'!$A$5:$CY$9142,27,FALSE)</f>
        <v>000</v>
      </c>
      <c r="M13" s="448" t="str">
        <f>VLOOKUP($A13,'Matriz POA 2024-TRABAJO'!$A$5:$CY$9142,28,FALSE)</f>
        <v>002</v>
      </c>
      <c r="N13" s="448" t="str">
        <f>VLOOKUP($A13,'Matriz POA 2024-TRABAJO'!$A$5:$CY$9142,29,FALSE)</f>
        <v>53</v>
      </c>
      <c r="O13" s="448">
        <f>VLOOKUP($A13,'Matriz POA 2024-TRABAJO'!$A$5:$CY$9142,30,FALSE)</f>
        <v>530101</v>
      </c>
      <c r="P13" s="448" t="str">
        <f>VLOOKUP($A13,'Matriz POA 2024-TRABAJO'!$A$5:$CY$9142,31,FALSE)</f>
        <v>Agua Potable</v>
      </c>
      <c r="Q13" s="448">
        <f>VLOOKUP($A13,'Matriz POA 2024-TRABAJO'!$A$5:$CY$9142,32,FALSE)</f>
        <v>1308</v>
      </c>
      <c r="R13" s="448" t="str">
        <f>VLOOKUP($A13,'Matriz POA 2024-TRABAJO'!$A$5:$CY$9142,33,FALSE)</f>
        <v>001</v>
      </c>
      <c r="S13" s="448" t="str">
        <f>VLOOKUP($A13,'Matriz POA 2024-TRABAJO'!$A$5:$CY$9142,34,FALSE)</f>
        <v>0000</v>
      </c>
      <c r="T13" s="448" t="str">
        <f>VLOOKUP($A13,'Matriz POA 2024-TRABAJO'!$A$5:$CY$9142,35,FALSE)</f>
        <v>0000</v>
      </c>
      <c r="U13" s="449">
        <f>VLOOKUP($A13,'Matriz POA 2024-TRABAJO'!$A$5:$CY$9142,47,FALSE)</f>
        <v>135</v>
      </c>
      <c r="V13" s="51"/>
      <c r="W13" s="51">
        <v>29.619999999999997</v>
      </c>
      <c r="X13" s="51">
        <v>14.7</v>
      </c>
      <c r="Y13" s="51"/>
      <c r="Z13" s="51"/>
      <c r="AA13" s="51">
        <v>14.85</v>
      </c>
      <c r="AB13" s="51">
        <v>14.87</v>
      </c>
      <c r="AC13" s="51">
        <v>12.17</v>
      </c>
      <c r="AD13" s="51"/>
      <c r="AE13" s="51"/>
      <c r="AF13" s="51"/>
      <c r="AG13" s="51"/>
      <c r="AH13" s="3">
        <f>VLOOKUP($A13, 'Matriz POA 2024-TRABAJO'!$A$5:$CY$9142,61,FALSE)</f>
        <v>135</v>
      </c>
      <c r="AI13" s="406">
        <f t="shared" si="0"/>
        <v>86.21</v>
      </c>
      <c r="AJ13" s="407">
        <f t="shared" si="1"/>
        <v>48.790000000000006</v>
      </c>
    </row>
    <row r="14" spans="1:36" ht="15" hidden="1" customHeight="1">
      <c r="A14" s="341">
        <v>461</v>
      </c>
      <c r="B14" s="447" t="str">
        <f>VLOOKUP($A14, 'Matriz POA 2024-TRABAJO'!$A$5:$CY$9142,11,FALSE)</f>
        <v>Corporación Ciudad Alfaro</v>
      </c>
      <c r="C14" s="447" t="str">
        <f>VLOOKUP($A14, 'Matriz POA 2024-TRABAJO'!$A$5:$CY$9142,14,FALSE)</f>
        <v>N/A</v>
      </c>
      <c r="D14" s="447" t="str">
        <f>VLOOKUP($A14, 'Matriz POA 2024-TRABAJO'!$A$5:$CY$9142,15,FALSE)</f>
        <v>N/A</v>
      </c>
      <c r="E14" s="447" t="str">
        <f>VLOOKUP($A14, 'Matriz POA 2024-TRABAJO'!$A$5:$CY$9142,18,FALSE)</f>
        <v>N/A</v>
      </c>
      <c r="F14" s="447" t="str">
        <f>VLOOKUP($A14, 'Matriz POA 2024-TRABAJO'!$A$5:$CY$9142,17,FALSE)</f>
        <v>N/A</v>
      </c>
      <c r="G14" s="447" t="str">
        <f>VLOOKUP($A14, 'Matriz POA 2024-TRABAJO'!$A$5:$CY$9142,20,FALSE)</f>
        <v>N/A</v>
      </c>
      <c r="H14" s="447" t="str">
        <f>VLOOKUP($A14, 'Matriz POA 2024-TRABAJO'!$A$5:$CY$9142,23,FALSE)</f>
        <v>NUEVA</v>
      </c>
      <c r="I14" s="447" t="str">
        <f>VLOOKUP($A14, 'Matriz POA 2024-TRABAJO'!$A$5:$CY$9142,24,FALSE)</f>
        <v>Pago de contribución especial por mejoramiento vial rural de los vehículos de la Corporación Ciudad Alfaro</v>
      </c>
      <c r="J14" s="447" t="str">
        <f>VLOOKUP($A14,'Matriz POA 2024-TRABAJO'!$A$5:$CY$9142,25,FALSE)</f>
        <v>0035</v>
      </c>
      <c r="K14" s="448" t="str">
        <f>VLOOKUP($A14,'Matriz POA 2024-TRABAJO'!$A$5:$CY$9142,26,FALSE)</f>
        <v>80</v>
      </c>
      <c r="L14" s="448" t="str">
        <f>VLOOKUP($A14,'Matriz POA 2024-TRABAJO'!$A$5:$CY$9142,27,FALSE)</f>
        <v>000</v>
      </c>
      <c r="M14" s="448" t="str">
        <f>VLOOKUP($A14,'Matriz POA 2024-TRABAJO'!$A$5:$CY$9142,28,FALSE)</f>
        <v>002</v>
      </c>
      <c r="N14" s="448" t="str">
        <f>VLOOKUP($A14,'Matriz POA 2024-TRABAJO'!$A$5:$CY$9142,29,FALSE)</f>
        <v>57</v>
      </c>
      <c r="O14" s="448">
        <f>VLOOKUP($A14,'Matriz POA 2024-TRABAJO'!$A$5:$CY$9142,30,FALSE)</f>
        <v>570102</v>
      </c>
      <c r="P14" s="448" t="str">
        <f>VLOOKUP($A14,'Matriz POA 2024-TRABAJO'!$A$5:$CY$9142,31,FALSE)</f>
        <v>Tasas Generales, Impuestos, Contribuciones, Permisos, Licencias y Patentes.</v>
      </c>
      <c r="Q14" s="448">
        <f>VLOOKUP($A14,'Matriz POA 2024-TRABAJO'!$A$5:$CY$9142,32,FALSE)</f>
        <v>1309</v>
      </c>
      <c r="R14" s="448" t="str">
        <f>VLOOKUP($A14,'Matriz POA 2024-TRABAJO'!$A$5:$CY$9142,33,FALSE)</f>
        <v>001</v>
      </c>
      <c r="S14" s="448" t="str">
        <f>VLOOKUP($A14,'Matriz POA 2024-TRABAJO'!$A$5:$CY$9142,34,FALSE)</f>
        <v>0000</v>
      </c>
      <c r="T14" s="448" t="str">
        <f>VLOOKUP($A14,'Matriz POA 2024-TRABAJO'!$A$5:$CY$9142,35,FALSE)</f>
        <v>0000</v>
      </c>
      <c r="U14" s="449">
        <f>VLOOKUP($A14,'Matriz POA 2024-TRABAJO'!$A$5:$CY$9142,47,FALSE)</f>
        <v>65.16</v>
      </c>
      <c r="V14" s="51"/>
      <c r="W14" s="51">
        <v>65.16</v>
      </c>
      <c r="X14" s="51"/>
      <c r="Y14" s="51"/>
      <c r="Z14" s="51"/>
      <c r="AA14" s="51"/>
      <c r="AB14" s="51"/>
      <c r="AC14" s="51"/>
      <c r="AD14" s="51"/>
      <c r="AE14" s="51"/>
      <c r="AF14" s="51"/>
      <c r="AG14" s="51"/>
      <c r="AH14" s="3">
        <f>VLOOKUP($A14, 'Matriz POA 2024-TRABAJO'!$A$5:$CY$9142,61,FALSE)</f>
        <v>65.16</v>
      </c>
      <c r="AI14" s="406">
        <f t="shared" si="0"/>
        <v>65.16</v>
      </c>
      <c r="AJ14" s="407">
        <f t="shared" si="1"/>
        <v>0</v>
      </c>
    </row>
    <row r="15" spans="1:36" ht="15" hidden="1" customHeight="1">
      <c r="A15" s="341">
        <v>434</v>
      </c>
      <c r="B15" s="447" t="str">
        <f>VLOOKUP($A15, 'Matriz POA 2024-TRABAJO'!$A$5:$CY$9142,11,FALSE)</f>
        <v>Corporación Ciudad Alfaro</v>
      </c>
      <c r="C15" s="447" t="str">
        <f>VLOOKUP($A15, 'Matriz POA 2024-TRABAJO'!$A$5:$CY$9142,14,FALSE)</f>
        <v>N/A</v>
      </c>
      <c r="D15" s="447" t="str">
        <f>VLOOKUP($A15, 'Matriz POA 2024-TRABAJO'!$A$5:$CY$9142,15,FALSE)</f>
        <v>N/A</v>
      </c>
      <c r="E15" s="447" t="str">
        <f>VLOOKUP($A15, 'Matriz POA 2024-TRABAJO'!$A$5:$CY$9142,18,FALSE)</f>
        <v>N/A</v>
      </c>
      <c r="F15" s="447" t="str">
        <f>VLOOKUP($A15, 'Matriz POA 2024-TRABAJO'!$A$5:$CY$9142,17,FALSE)</f>
        <v>N/A</v>
      </c>
      <c r="G15" s="447" t="str">
        <f>VLOOKUP($A15, 'Matriz POA 2024-TRABAJO'!$A$5:$CY$9142,20,FALSE)</f>
        <v>N/A</v>
      </c>
      <c r="H15" s="447" t="str">
        <f>VLOOKUP($A15, 'Matriz POA 2024-TRABAJO'!$A$5:$CY$9142,23,FALSE)</f>
        <v>ARRASTRE</v>
      </c>
      <c r="I15" s="447" t="str">
        <f>VLOOKUP($A15, 'Matriz POA 2024-TRABAJO'!$A$5:$CY$9142,24,FALSE)</f>
        <v>Pago de expensas comunales del mes de Diciembre del 2023 de las instalaciones del Museo Portoviejo y Archivo Histórico</v>
      </c>
      <c r="J15" s="447" t="str">
        <f>VLOOKUP($A15,'Matriz POA 2024-TRABAJO'!$A$5:$CY$9142,25,FALSE)</f>
        <v>0035</v>
      </c>
      <c r="K15" s="448" t="str">
        <f>VLOOKUP($A15,'Matriz POA 2024-TRABAJO'!$A$5:$CY$9142,26,FALSE)</f>
        <v>80</v>
      </c>
      <c r="L15" s="448" t="str">
        <f>VLOOKUP($A15,'Matriz POA 2024-TRABAJO'!$A$5:$CY$9142,27,FALSE)</f>
        <v>000</v>
      </c>
      <c r="M15" s="448" t="str">
        <f>VLOOKUP($A15,'Matriz POA 2024-TRABAJO'!$A$5:$CY$9142,28,FALSE)</f>
        <v>002</v>
      </c>
      <c r="N15" s="448" t="str">
        <f>VLOOKUP($A15,'Matriz POA 2024-TRABAJO'!$A$5:$CY$9142,29,FALSE)</f>
        <v>53</v>
      </c>
      <c r="O15" s="448">
        <f>VLOOKUP($A15,'Matriz POA 2024-TRABAJO'!$A$5:$CY$9142,30,FALSE)</f>
        <v>530402</v>
      </c>
      <c r="P15" s="448" t="str">
        <f>VLOOKUP($A15,'Matriz POA 2024-TRABAJO'!$A$5:$CY$9142,31,FALSE)</f>
        <v>Edificios, Locales, Residencias y Cableado Estructurado (Instalación, Mantenimiento y Reparación)</v>
      </c>
      <c r="Q15" s="448">
        <f>VLOOKUP($A15,'Matriz POA 2024-TRABAJO'!$A$5:$CY$9142,32,FALSE)</f>
        <v>1301</v>
      </c>
      <c r="R15" s="448" t="str">
        <f>VLOOKUP($A15,'Matriz POA 2024-TRABAJO'!$A$5:$CY$9142,33,FALSE)</f>
        <v>001</v>
      </c>
      <c r="S15" s="448" t="str">
        <f>VLOOKUP($A15,'Matriz POA 2024-TRABAJO'!$A$5:$CY$9142,34,FALSE)</f>
        <v>0000</v>
      </c>
      <c r="T15" s="448" t="str">
        <f>VLOOKUP($A15,'Matriz POA 2024-TRABAJO'!$A$5:$CY$9142,35,FALSE)</f>
        <v>0000</v>
      </c>
      <c r="U15" s="449">
        <f>VLOOKUP($A15,'Matriz POA 2024-TRABAJO'!$A$5:$CY$9142,47,FALSE)</f>
        <v>6624</v>
      </c>
      <c r="V15" s="51"/>
      <c r="W15" s="51">
        <v>6624</v>
      </c>
      <c r="X15" s="51"/>
      <c r="Y15" s="51"/>
      <c r="Z15" s="51"/>
      <c r="AA15" s="51"/>
      <c r="AB15" s="51"/>
      <c r="AC15" s="51"/>
      <c r="AD15" s="51"/>
      <c r="AE15" s="51"/>
      <c r="AF15" s="51"/>
      <c r="AG15" s="51"/>
      <c r="AH15" s="3">
        <f>VLOOKUP($A15, 'Matriz POA 2024-TRABAJO'!$A$5:$CY$9142,61,FALSE)</f>
        <v>6624</v>
      </c>
      <c r="AI15" s="406">
        <f t="shared" si="0"/>
        <v>6624</v>
      </c>
      <c r="AJ15" s="407">
        <f t="shared" si="1"/>
        <v>0</v>
      </c>
    </row>
    <row r="16" spans="1:36" ht="15" hidden="1" customHeight="1">
      <c r="A16" s="341">
        <v>780</v>
      </c>
      <c r="B16" s="447" t="str">
        <f>VLOOKUP($A16, 'Matriz POA 2024-TRABAJO'!$A$5:$CY$9142,11,FALSE)</f>
        <v>Corporación Ciudad Alfaro</v>
      </c>
      <c r="C16" s="447" t="str">
        <f>VLOOKUP($A16, 'Matriz POA 2024-TRABAJO'!$A$5:$CY$9142,14,FALSE)</f>
        <v>N/A</v>
      </c>
      <c r="D16" s="447" t="str">
        <f>VLOOKUP($A16, 'Matriz POA 2024-TRABAJO'!$A$5:$CY$9142,15,FALSE)</f>
        <v>N/A</v>
      </c>
      <c r="E16" s="447" t="str">
        <f>VLOOKUP($A16, 'Matriz POA 2024-TRABAJO'!$A$5:$CY$9142,18,FALSE)</f>
        <v>N/A</v>
      </c>
      <c r="F16" s="447" t="str">
        <f>VLOOKUP($A16, 'Matriz POA 2024-TRABAJO'!$A$5:$CY$9142,17,FALSE)</f>
        <v>N/A</v>
      </c>
      <c r="G16" s="447" t="str">
        <f>VLOOKUP($A16, 'Matriz POA 2024-TRABAJO'!$A$5:$CY$9142,20,FALSE)</f>
        <v>N/A</v>
      </c>
      <c r="H16" s="447" t="str">
        <f>VLOOKUP($A16, 'Matriz POA 2024-TRABAJO'!$A$5:$CY$9142,23,FALSE)</f>
        <v>NUEVA</v>
      </c>
      <c r="I16" s="447" t="str">
        <f>VLOOKUP($A16, 'Matriz POA 2024-TRABAJO'!$A$5:$CY$9142,24,FALSE)</f>
        <v xml:space="preserve">Pago de impuesto predial 2024 del Museo Centro Cultural Manta </v>
      </c>
      <c r="J16" s="447" t="str">
        <f>VLOOKUP($A16,'Matriz POA 2024-TRABAJO'!$A$5:$CY$9142,25,FALSE)</f>
        <v>0035</v>
      </c>
      <c r="K16" s="448" t="str">
        <f>VLOOKUP($A16,'Matriz POA 2024-TRABAJO'!$A$5:$CY$9142,26,FALSE)</f>
        <v>80</v>
      </c>
      <c r="L16" s="448" t="str">
        <f>VLOOKUP($A16,'Matriz POA 2024-TRABAJO'!$A$5:$CY$9142,27,FALSE)</f>
        <v>000</v>
      </c>
      <c r="M16" s="448" t="str">
        <f>VLOOKUP($A16,'Matriz POA 2024-TRABAJO'!$A$5:$CY$9142,28,FALSE)</f>
        <v>002</v>
      </c>
      <c r="N16" s="448" t="str">
        <f>VLOOKUP($A16,'Matriz POA 2024-TRABAJO'!$A$5:$CY$9142,29,FALSE)</f>
        <v>57</v>
      </c>
      <c r="O16" s="448">
        <f>VLOOKUP($A16,'Matriz POA 2024-TRABAJO'!$A$5:$CY$9142,30,FALSE)</f>
        <v>570102</v>
      </c>
      <c r="P16" s="448" t="str">
        <f>VLOOKUP($A16,'Matriz POA 2024-TRABAJO'!$A$5:$CY$9142,31,FALSE)</f>
        <v>Tasas Generales, Impuestos, Contribuciones, Permisos, Licencias y Patentes.</v>
      </c>
      <c r="Q16" s="448">
        <f>VLOOKUP($A16,'Matriz POA 2024-TRABAJO'!$A$5:$CY$9142,32,FALSE)</f>
        <v>1308</v>
      </c>
      <c r="R16" s="448" t="str">
        <f>VLOOKUP($A16,'Matriz POA 2024-TRABAJO'!$A$5:$CY$9142,33,FALSE)</f>
        <v>001</v>
      </c>
      <c r="S16" s="448" t="str">
        <f>VLOOKUP($A16,'Matriz POA 2024-TRABAJO'!$A$5:$CY$9142,34,FALSE)</f>
        <v>0000</v>
      </c>
      <c r="T16" s="448" t="str">
        <f>VLOOKUP($A16,'Matriz POA 2024-TRABAJO'!$A$5:$CY$9142,35,FALSE)</f>
        <v>0000</v>
      </c>
      <c r="U16" s="449">
        <f>VLOOKUP($A16,'Matriz POA 2024-TRABAJO'!$A$5:$CY$9142,47,FALSE)</f>
        <v>6283.11</v>
      </c>
      <c r="V16" s="51"/>
      <c r="W16" s="338">
        <v>6283.11</v>
      </c>
      <c r="X16" s="51"/>
      <c r="Y16" s="51"/>
      <c r="Z16" s="51"/>
      <c r="AA16" s="51"/>
      <c r="AB16" s="51"/>
      <c r="AC16" s="51"/>
      <c r="AD16" s="51"/>
      <c r="AE16" s="51"/>
      <c r="AF16" s="51"/>
      <c r="AG16" s="51"/>
      <c r="AH16" s="3">
        <f>VLOOKUP($A16, 'Matriz POA 2024-TRABAJO'!$A$5:$CY$9142,61,FALSE)</f>
        <v>6283.11</v>
      </c>
      <c r="AI16" s="406">
        <f t="shared" si="0"/>
        <v>6283.11</v>
      </c>
      <c r="AJ16" s="407">
        <f t="shared" si="1"/>
        <v>0</v>
      </c>
    </row>
    <row r="17" spans="1:36" ht="15" hidden="1" customHeight="1">
      <c r="A17" s="341">
        <v>449</v>
      </c>
      <c r="B17" s="447" t="str">
        <f>VLOOKUP($A17, 'Matriz POA 2024-TRABAJO'!$A$5:$CY$9142,11,FALSE)</f>
        <v>Corporación Ciudad Alfaro</v>
      </c>
      <c r="C17" s="447" t="str">
        <f>VLOOKUP($A17, 'Matriz POA 2024-TRABAJO'!$A$5:$CY$9142,14,FALSE)</f>
        <v>N/A</v>
      </c>
      <c r="D17" s="447" t="str">
        <f>VLOOKUP($A17, 'Matriz POA 2024-TRABAJO'!$A$5:$CY$9142,15,FALSE)</f>
        <v>N/A</v>
      </c>
      <c r="E17" s="447" t="str">
        <f>VLOOKUP($A17, 'Matriz POA 2024-TRABAJO'!$A$5:$CY$9142,18,FALSE)</f>
        <v>N/A</v>
      </c>
      <c r="F17" s="447" t="str">
        <f>VLOOKUP($A17, 'Matriz POA 2024-TRABAJO'!$A$5:$CY$9142,17,FALSE)</f>
        <v>N/A</v>
      </c>
      <c r="G17" s="447" t="str">
        <f>VLOOKUP($A17, 'Matriz POA 2024-TRABAJO'!$A$5:$CY$9142,20,FALSE)</f>
        <v>N/A</v>
      </c>
      <c r="H17" s="447" t="str">
        <f>VLOOKUP($A17, 'Matriz POA 2024-TRABAJO'!$A$5:$CY$9142,23,FALSE)</f>
        <v>NUEVA</v>
      </c>
      <c r="I17" s="447" t="str">
        <f>VLOOKUP($A17, 'Matriz POA 2024-TRABAJO'!$A$5:$CY$9142,24,FALSE)</f>
        <v>Pago Mensual del servicio de Alcantarillado Bahía de Caráquez</v>
      </c>
      <c r="J17" s="447" t="str">
        <f>VLOOKUP($A17,'Matriz POA 2024-TRABAJO'!$A$5:$CY$9142,25,FALSE)</f>
        <v>0035</v>
      </c>
      <c r="K17" s="448" t="str">
        <f>VLOOKUP($A17,'Matriz POA 2024-TRABAJO'!$A$5:$CY$9142,26,FALSE)</f>
        <v>80</v>
      </c>
      <c r="L17" s="448" t="str">
        <f>VLOOKUP($A17,'Matriz POA 2024-TRABAJO'!$A$5:$CY$9142,27,FALSE)</f>
        <v>000</v>
      </c>
      <c r="M17" s="448" t="str">
        <f>VLOOKUP($A17,'Matriz POA 2024-TRABAJO'!$A$5:$CY$9142,28,FALSE)</f>
        <v>002</v>
      </c>
      <c r="N17" s="448" t="str">
        <f>VLOOKUP($A17,'Matriz POA 2024-TRABAJO'!$A$5:$CY$9142,29,FALSE)</f>
        <v>53</v>
      </c>
      <c r="O17" s="448">
        <f>VLOOKUP($A17,'Matriz POA 2024-TRABAJO'!$A$5:$CY$9142,30,FALSE)</f>
        <v>530101</v>
      </c>
      <c r="P17" s="448" t="str">
        <f>VLOOKUP($A17,'Matriz POA 2024-TRABAJO'!$A$5:$CY$9142,31,FALSE)</f>
        <v>Agua Potable</v>
      </c>
      <c r="Q17" s="448">
        <f>VLOOKUP($A17,'Matriz POA 2024-TRABAJO'!$A$5:$CY$9142,32,FALSE)</f>
        <v>1314</v>
      </c>
      <c r="R17" s="448" t="str">
        <f>VLOOKUP($A17,'Matriz POA 2024-TRABAJO'!$A$5:$CY$9142,33,FALSE)</f>
        <v>001</v>
      </c>
      <c r="S17" s="448" t="str">
        <f>VLOOKUP($A17,'Matriz POA 2024-TRABAJO'!$A$5:$CY$9142,34,FALSE)</f>
        <v>0000</v>
      </c>
      <c r="T17" s="448" t="str">
        <f>VLOOKUP($A17,'Matriz POA 2024-TRABAJO'!$A$5:$CY$9142,35,FALSE)</f>
        <v>0000</v>
      </c>
      <c r="U17" s="449">
        <f>VLOOKUP($A17,'Matriz POA 2024-TRABAJO'!$A$5:$CY$9142,47,FALSE)</f>
        <v>180</v>
      </c>
      <c r="V17" s="51"/>
      <c r="W17" s="51">
        <v>2</v>
      </c>
      <c r="X17" s="51">
        <v>2</v>
      </c>
      <c r="Y17" s="51">
        <v>2</v>
      </c>
      <c r="Z17" s="51">
        <v>2</v>
      </c>
      <c r="AA17" s="51">
        <v>2</v>
      </c>
      <c r="AB17" s="51">
        <v>2</v>
      </c>
      <c r="AC17" s="51">
        <v>2</v>
      </c>
      <c r="AD17" s="51">
        <v>2</v>
      </c>
      <c r="AE17" s="51">
        <v>2</v>
      </c>
      <c r="AF17" s="51">
        <v>2</v>
      </c>
      <c r="AG17" s="51">
        <v>2</v>
      </c>
      <c r="AH17" s="3">
        <f>VLOOKUP($A17, 'Matriz POA 2024-TRABAJO'!$A$5:$CY$9142,61,FALSE)</f>
        <v>180</v>
      </c>
      <c r="AI17" s="406">
        <f t="shared" si="0"/>
        <v>22</v>
      </c>
      <c r="AJ17" s="407">
        <f t="shared" si="1"/>
        <v>158</v>
      </c>
    </row>
    <row r="18" spans="1:36" ht="15" hidden="1" customHeight="1">
      <c r="A18" s="341">
        <v>462</v>
      </c>
      <c r="B18" s="447" t="str">
        <f>VLOOKUP($A18, 'Matriz POA 2024-TRABAJO'!$A$5:$CY$9142,11,FALSE)</f>
        <v>Corporación Ciudad Alfaro</v>
      </c>
      <c r="C18" s="447" t="str">
        <f>VLOOKUP($A18, 'Matriz POA 2024-TRABAJO'!$A$5:$CY$9142,14,FALSE)</f>
        <v>N/A</v>
      </c>
      <c r="D18" s="447" t="str">
        <f>VLOOKUP($A18, 'Matriz POA 2024-TRABAJO'!$A$5:$CY$9142,15,FALSE)</f>
        <v>N/A</v>
      </c>
      <c r="E18" s="447" t="str">
        <f>VLOOKUP($A18, 'Matriz POA 2024-TRABAJO'!$A$5:$CY$9142,18,FALSE)</f>
        <v>N/A</v>
      </c>
      <c r="F18" s="447" t="str">
        <f>VLOOKUP($A18, 'Matriz POA 2024-TRABAJO'!$A$5:$CY$9142,17,FALSE)</f>
        <v>N/A</v>
      </c>
      <c r="G18" s="447" t="str">
        <f>VLOOKUP($A18, 'Matriz POA 2024-TRABAJO'!$A$5:$CY$9142,20,FALSE)</f>
        <v>N/A</v>
      </c>
      <c r="H18" s="447" t="str">
        <f>VLOOKUP($A18, 'Matriz POA 2024-TRABAJO'!$A$5:$CY$9142,23,FALSE)</f>
        <v>NUEVA</v>
      </c>
      <c r="I18" s="447" t="str">
        <f>VLOOKUP($A18, 'Matriz POA 2024-TRABAJO'!$A$5:$CY$9142,24,FALSE)</f>
        <v>Pago de matriculación 2024 de los vehículos de la Corporación Ciudad Alfaro y sus sedes</v>
      </c>
      <c r="J18" s="447" t="str">
        <f>VLOOKUP($A18,'Matriz POA 2024-TRABAJO'!$A$5:$CY$9142,25,FALSE)</f>
        <v>0035</v>
      </c>
      <c r="K18" s="448" t="str">
        <f>VLOOKUP($A18,'Matriz POA 2024-TRABAJO'!$A$5:$CY$9142,26,FALSE)</f>
        <v>80</v>
      </c>
      <c r="L18" s="448" t="str">
        <f>VLOOKUP($A18,'Matriz POA 2024-TRABAJO'!$A$5:$CY$9142,27,FALSE)</f>
        <v>000</v>
      </c>
      <c r="M18" s="448" t="str">
        <f>VLOOKUP($A18,'Matriz POA 2024-TRABAJO'!$A$5:$CY$9142,28,FALSE)</f>
        <v>002</v>
      </c>
      <c r="N18" s="448" t="str">
        <f>VLOOKUP($A18,'Matriz POA 2024-TRABAJO'!$A$5:$CY$9142,29,FALSE)</f>
        <v>57</v>
      </c>
      <c r="O18" s="448">
        <f>VLOOKUP($A18,'Matriz POA 2024-TRABAJO'!$A$5:$CY$9142,30,FALSE)</f>
        <v>570102</v>
      </c>
      <c r="P18" s="448" t="str">
        <f>VLOOKUP($A18,'Matriz POA 2024-TRABAJO'!$A$5:$CY$9142,31,FALSE)</f>
        <v>Tasas Generales, Impuestos, Contribuciones, Permisos, Licencias y Patentes.</v>
      </c>
      <c r="Q18" s="448">
        <f>VLOOKUP($A18,'Matriz POA 2024-TRABAJO'!$A$5:$CY$9142,32,FALSE)</f>
        <v>1309</v>
      </c>
      <c r="R18" s="448" t="str">
        <f>VLOOKUP($A18,'Matriz POA 2024-TRABAJO'!$A$5:$CY$9142,33,FALSE)</f>
        <v>001</v>
      </c>
      <c r="S18" s="448" t="str">
        <f>VLOOKUP($A18,'Matriz POA 2024-TRABAJO'!$A$5:$CY$9142,34,FALSE)</f>
        <v>0000</v>
      </c>
      <c r="T18" s="448" t="str">
        <f>VLOOKUP($A18,'Matriz POA 2024-TRABAJO'!$A$5:$CY$9142,35,FALSE)</f>
        <v>0000</v>
      </c>
      <c r="U18" s="449">
        <f>VLOOKUP($A18,'Matriz POA 2024-TRABAJO'!$A$5:$CY$9142,47,FALSE)</f>
        <v>622.08000000000004</v>
      </c>
      <c r="V18" s="51"/>
      <c r="W18" s="51">
        <v>622.08000000000004</v>
      </c>
      <c r="X18" s="51"/>
      <c r="Y18" s="51"/>
      <c r="Z18" s="51"/>
      <c r="AA18" s="51"/>
      <c r="AB18" s="51"/>
      <c r="AC18" s="51"/>
      <c r="AD18" s="51"/>
      <c r="AE18" s="51"/>
      <c r="AF18" s="51"/>
      <c r="AG18" s="51"/>
      <c r="AH18" s="3">
        <f>VLOOKUP($A18, 'Matriz POA 2024-TRABAJO'!$A$5:$CY$9142,61,FALSE)</f>
        <v>622.08000000000004</v>
      </c>
      <c r="AI18" s="406">
        <f t="shared" si="0"/>
        <v>622.08000000000004</v>
      </c>
      <c r="AJ18" s="407">
        <f t="shared" si="1"/>
        <v>0</v>
      </c>
    </row>
    <row r="19" spans="1:36" ht="15" hidden="1" customHeight="1">
      <c r="A19" s="341">
        <v>436</v>
      </c>
      <c r="B19" s="447" t="str">
        <f>VLOOKUP($A19, 'Matriz POA 2024-TRABAJO'!$A$5:$CY$9142,11,FALSE)</f>
        <v>Corporación Ciudad Alfaro</v>
      </c>
      <c r="C19" s="447" t="str">
        <f>VLOOKUP($A19, 'Matriz POA 2024-TRABAJO'!$A$5:$CY$9142,14,FALSE)</f>
        <v>N/A</v>
      </c>
      <c r="D19" s="447" t="str">
        <f>VLOOKUP($A19, 'Matriz POA 2024-TRABAJO'!$A$5:$CY$9142,15,FALSE)</f>
        <v>N/A</v>
      </c>
      <c r="E19" s="447" t="str">
        <f>VLOOKUP($A19, 'Matriz POA 2024-TRABAJO'!$A$5:$CY$9142,18,FALSE)</f>
        <v>N/A</v>
      </c>
      <c r="F19" s="447" t="str">
        <f>VLOOKUP($A19, 'Matriz POA 2024-TRABAJO'!$A$5:$CY$9142,17,FALSE)</f>
        <v>N/A</v>
      </c>
      <c r="G19" s="447" t="str">
        <f>VLOOKUP($A19, 'Matriz POA 2024-TRABAJO'!$A$5:$CY$9142,20,FALSE)</f>
        <v>N/A</v>
      </c>
      <c r="H19" s="447" t="str">
        <f>VLOOKUP($A19, 'Matriz POA 2024-TRABAJO'!$A$5:$CY$9142,23,FALSE)</f>
        <v>PLURIANUAL 2023-2024</v>
      </c>
      <c r="I19" s="447" t="str">
        <f>VLOOKUP($A19, 'Matriz POA 2024-TRABAJO'!$A$5:$CY$9142,24,FALSE)</f>
        <v>Pago del Servicio de aseo y Limpieza del Museo Bahía de Caráquez por el período 2023-2024</v>
      </c>
      <c r="J19" s="447" t="str">
        <f>VLOOKUP($A19,'Matriz POA 2024-TRABAJO'!$A$5:$CY$9142,25,FALSE)</f>
        <v>0035</v>
      </c>
      <c r="K19" s="448" t="str">
        <f>VLOOKUP($A19,'Matriz POA 2024-TRABAJO'!$A$5:$CY$9142,26,FALSE)</f>
        <v>80</v>
      </c>
      <c r="L19" s="448" t="str">
        <f>VLOOKUP($A19,'Matriz POA 2024-TRABAJO'!$A$5:$CY$9142,27,FALSE)</f>
        <v>000</v>
      </c>
      <c r="M19" s="448" t="str">
        <f>VLOOKUP($A19,'Matriz POA 2024-TRABAJO'!$A$5:$CY$9142,28,FALSE)</f>
        <v>002</v>
      </c>
      <c r="N19" s="448" t="str">
        <f>VLOOKUP($A19,'Matriz POA 2024-TRABAJO'!$A$5:$CY$9142,29,FALSE)</f>
        <v>53</v>
      </c>
      <c r="O19" s="448">
        <f>VLOOKUP($A19,'Matriz POA 2024-TRABAJO'!$A$5:$CY$9142,30,FALSE)</f>
        <v>530209</v>
      </c>
      <c r="P19" s="448" t="str">
        <f>VLOOKUP($A19,'Matriz POA 2024-TRABAJO'!$A$5:$CY$9142,31,FALSE)</f>
        <v>Servicios de Aseo, Lavado de Vestimenta de Trabajo, Fumigación, Desinfección,  Limpieza de Instalaciones, manejo
de desechos contaminados, recuperación y clasificación de materiales reciclables.</v>
      </c>
      <c r="Q19" s="448">
        <f>VLOOKUP($A19,'Matriz POA 2024-TRABAJO'!$A$5:$CY$9142,32,FALSE)</f>
        <v>1314</v>
      </c>
      <c r="R19" s="448" t="str">
        <f>VLOOKUP($A19,'Matriz POA 2024-TRABAJO'!$A$5:$CY$9142,33,FALSE)</f>
        <v>001</v>
      </c>
      <c r="S19" s="448" t="str">
        <f>VLOOKUP($A19,'Matriz POA 2024-TRABAJO'!$A$5:$CY$9142,34,FALSE)</f>
        <v>0000</v>
      </c>
      <c r="T19" s="448" t="str">
        <f>VLOOKUP($A19,'Matriz POA 2024-TRABAJO'!$A$5:$CY$9142,35,FALSE)</f>
        <v>0000</v>
      </c>
      <c r="U19" s="449">
        <f>VLOOKUP($A19,'Matriz POA 2024-TRABAJO'!$A$5:$CY$9142,47,FALSE)</f>
        <v>22446</v>
      </c>
      <c r="V19" s="51"/>
      <c r="W19" s="51">
        <v>4644</v>
      </c>
      <c r="X19" s="51">
        <v>2322</v>
      </c>
      <c r="Y19" s="51">
        <v>2322</v>
      </c>
      <c r="Z19" s="51">
        <v>2322</v>
      </c>
      <c r="AA19" s="51">
        <v>2322</v>
      </c>
      <c r="AB19" s="51">
        <v>2322</v>
      </c>
      <c r="AC19" s="51">
        <v>2322</v>
      </c>
      <c r="AD19" s="51">
        <v>2322</v>
      </c>
      <c r="AE19" s="51">
        <v>1548</v>
      </c>
      <c r="AF19" s="51"/>
      <c r="AG19" s="51"/>
      <c r="AH19" s="3">
        <f>VLOOKUP($A19, 'Matriz POA 2024-TRABAJO'!$A$5:$CY$9142,61,FALSE)</f>
        <v>22446</v>
      </c>
      <c r="AI19" s="406">
        <f t="shared" si="0"/>
        <v>22446</v>
      </c>
      <c r="AJ19" s="407">
        <f t="shared" si="1"/>
        <v>0</v>
      </c>
    </row>
    <row r="20" spans="1:36" ht="15" hidden="1" customHeight="1">
      <c r="A20" s="341">
        <v>435</v>
      </c>
      <c r="B20" s="447" t="str">
        <f>VLOOKUP($A20, 'Matriz POA 2024-TRABAJO'!$A$5:$CY$9142,11,FALSE)</f>
        <v>Corporación Ciudad Alfaro</v>
      </c>
      <c r="C20" s="447" t="str">
        <f>VLOOKUP($A20, 'Matriz POA 2024-TRABAJO'!$A$5:$CY$9142,14,FALSE)</f>
        <v>N/A</v>
      </c>
      <c r="D20" s="447" t="str">
        <f>VLOOKUP($A20, 'Matriz POA 2024-TRABAJO'!$A$5:$CY$9142,15,FALSE)</f>
        <v>N/A</v>
      </c>
      <c r="E20" s="447" t="str">
        <f>VLOOKUP($A20, 'Matriz POA 2024-TRABAJO'!$A$5:$CY$9142,18,FALSE)</f>
        <v>N/A</v>
      </c>
      <c r="F20" s="447" t="str">
        <f>VLOOKUP($A20, 'Matriz POA 2024-TRABAJO'!$A$5:$CY$9142,17,FALSE)</f>
        <v>N/A</v>
      </c>
      <c r="G20" s="447" t="str">
        <f>VLOOKUP($A20, 'Matriz POA 2024-TRABAJO'!$A$5:$CY$9142,20,FALSE)</f>
        <v>N/A</v>
      </c>
      <c r="H20" s="447" t="str">
        <f>VLOOKUP($A20, 'Matriz POA 2024-TRABAJO'!$A$5:$CY$9142,23,FALSE)</f>
        <v>PLURIANUAL 2023-2024</v>
      </c>
      <c r="I20" s="447" t="str">
        <f>VLOOKUP($A20, 'Matriz POA 2024-TRABAJO'!$A$5:$CY$9142,24,FALSE)</f>
        <v>Pago del servicio de aseo y limpieza del Museo Centro Cultural Manta por el período 2023-2024</v>
      </c>
      <c r="J20" s="447" t="str">
        <f>VLOOKUP($A20,'Matriz POA 2024-TRABAJO'!$A$5:$CY$9142,25,FALSE)</f>
        <v>0035</v>
      </c>
      <c r="K20" s="448" t="str">
        <f>VLOOKUP($A20,'Matriz POA 2024-TRABAJO'!$A$5:$CY$9142,26,FALSE)</f>
        <v>80</v>
      </c>
      <c r="L20" s="448" t="str">
        <f>VLOOKUP($A20,'Matriz POA 2024-TRABAJO'!$A$5:$CY$9142,27,FALSE)</f>
        <v>000</v>
      </c>
      <c r="M20" s="448" t="str">
        <f>VLOOKUP($A20,'Matriz POA 2024-TRABAJO'!$A$5:$CY$9142,28,FALSE)</f>
        <v>002</v>
      </c>
      <c r="N20" s="448" t="str">
        <f>VLOOKUP($A20,'Matriz POA 2024-TRABAJO'!$A$5:$CY$9142,29,FALSE)</f>
        <v>53</v>
      </c>
      <c r="O20" s="448">
        <f>VLOOKUP($A20,'Matriz POA 2024-TRABAJO'!$A$5:$CY$9142,30,FALSE)</f>
        <v>530209</v>
      </c>
      <c r="P20" s="448" t="str">
        <f>VLOOKUP($A20,'Matriz POA 2024-TRABAJO'!$A$5:$CY$9142,31,FALSE)</f>
        <v>Servicios de Aseo, Lavado de Vestimenta de Trabajo, Fumigación, Desinfección,  Limpieza de Instalaciones, manejo
de desechos contaminados, recuperación y clasificación de materiales reciclables.</v>
      </c>
      <c r="Q20" s="448">
        <f>VLOOKUP($A20,'Matriz POA 2024-TRABAJO'!$A$5:$CY$9142,32,FALSE)</f>
        <v>1308</v>
      </c>
      <c r="R20" s="448" t="str">
        <f>VLOOKUP($A20,'Matriz POA 2024-TRABAJO'!$A$5:$CY$9142,33,FALSE)</f>
        <v>001</v>
      </c>
      <c r="S20" s="448" t="str">
        <f>VLOOKUP($A20,'Matriz POA 2024-TRABAJO'!$A$5:$CY$9142,34,FALSE)</f>
        <v>0000</v>
      </c>
      <c r="T20" s="448" t="str">
        <f>VLOOKUP($A20,'Matriz POA 2024-TRABAJO'!$A$5:$CY$9142,35,FALSE)</f>
        <v>0000</v>
      </c>
      <c r="U20" s="449">
        <f>VLOOKUP($A20,'Matriz POA 2024-TRABAJO'!$A$5:$CY$9142,47,FALSE)</f>
        <v>22446</v>
      </c>
      <c r="V20" s="51"/>
      <c r="W20" s="51">
        <v>4644</v>
      </c>
      <c r="X20" s="51">
        <v>2322</v>
      </c>
      <c r="Y20" s="51">
        <v>2322</v>
      </c>
      <c r="Z20" s="51"/>
      <c r="AA20" s="51">
        <f>2322+2322</f>
        <v>4644</v>
      </c>
      <c r="AB20" s="51">
        <v>2322</v>
      </c>
      <c r="AC20" s="51">
        <v>2322</v>
      </c>
      <c r="AD20" s="51">
        <v>2322</v>
      </c>
      <c r="AE20" s="51"/>
      <c r="AF20" s="51"/>
      <c r="AG20" s="51"/>
      <c r="AH20" s="3">
        <f>VLOOKUP($A20, 'Matriz POA 2024-TRABAJO'!$A$5:$CY$9142,61,FALSE)</f>
        <v>22446</v>
      </c>
      <c r="AI20" s="406">
        <f t="shared" ref="AI20:AI45" si="2">SUM(V20:AG20)</f>
        <v>20898</v>
      </c>
      <c r="AJ20" s="407">
        <f t="shared" ref="AJ20:AJ45" si="3">AH20-AI20</f>
        <v>1548</v>
      </c>
    </row>
    <row r="21" spans="1:36" ht="15" hidden="1" customHeight="1">
      <c r="A21" s="341">
        <v>438</v>
      </c>
      <c r="B21" s="447" t="str">
        <f>VLOOKUP($A21, 'Matriz POA 2024-TRABAJO'!$A$5:$CY$9142,11,FALSE)</f>
        <v>Corporación Ciudad Alfaro</v>
      </c>
      <c r="C21" s="447" t="str">
        <f>VLOOKUP($A21, 'Matriz POA 2024-TRABAJO'!$A$5:$CY$9142,14,FALSE)</f>
        <v>N/A</v>
      </c>
      <c r="D21" s="447" t="str">
        <f>VLOOKUP($A21, 'Matriz POA 2024-TRABAJO'!$A$5:$CY$9142,15,FALSE)</f>
        <v>N/A</v>
      </c>
      <c r="E21" s="447" t="str">
        <f>VLOOKUP($A21, 'Matriz POA 2024-TRABAJO'!$A$5:$CY$9142,18,FALSE)</f>
        <v>N/A</v>
      </c>
      <c r="F21" s="447" t="str">
        <f>VLOOKUP($A21, 'Matriz POA 2024-TRABAJO'!$A$5:$CY$9142,17,FALSE)</f>
        <v>N/A</v>
      </c>
      <c r="G21" s="447" t="str">
        <f>VLOOKUP($A21, 'Matriz POA 2024-TRABAJO'!$A$5:$CY$9142,20,FALSE)</f>
        <v>N/A</v>
      </c>
      <c r="H21" s="447" t="str">
        <f>VLOOKUP($A21, 'Matriz POA 2024-TRABAJO'!$A$5:$CY$9142,23,FALSE)</f>
        <v>PLURIANUAL 2023-2024</v>
      </c>
      <c r="I21" s="447" t="str">
        <f>VLOOKUP($A21, 'Matriz POA 2024-TRABAJO'!$A$5:$CY$9142,24,FALSE)</f>
        <v>Pago del Servicio de aseo y Limpieza de la Corporación Ciudad Alfaro</v>
      </c>
      <c r="J21" s="447" t="str">
        <f>VLOOKUP($A21,'Matriz POA 2024-TRABAJO'!$A$5:$CY$9142,25,FALSE)</f>
        <v>0035</v>
      </c>
      <c r="K21" s="448" t="str">
        <f>VLOOKUP($A21,'Matriz POA 2024-TRABAJO'!$A$5:$CY$9142,26,FALSE)</f>
        <v>80</v>
      </c>
      <c r="L21" s="448" t="str">
        <f>VLOOKUP($A21,'Matriz POA 2024-TRABAJO'!$A$5:$CY$9142,27,FALSE)</f>
        <v>000</v>
      </c>
      <c r="M21" s="448" t="str">
        <f>VLOOKUP($A21,'Matriz POA 2024-TRABAJO'!$A$5:$CY$9142,28,FALSE)</f>
        <v>002</v>
      </c>
      <c r="N21" s="448" t="str">
        <f>VLOOKUP($A21,'Matriz POA 2024-TRABAJO'!$A$5:$CY$9142,29,FALSE)</f>
        <v>53</v>
      </c>
      <c r="O21" s="448">
        <f>VLOOKUP($A21,'Matriz POA 2024-TRABAJO'!$A$5:$CY$9142,30,FALSE)</f>
        <v>530209</v>
      </c>
      <c r="P21" s="448" t="str">
        <f>VLOOKUP($A21,'Matriz POA 2024-TRABAJO'!$A$5:$CY$9142,31,FALSE)</f>
        <v>Servicios de Aseo, Lavado de Vestimenta de Trabajo, Fumigación, Desinfección,  Limpieza de Instalaciones, manejo
de desechos contaminados, recuperación y clasificación de materiales reciclables.</v>
      </c>
      <c r="Q21" s="448">
        <f>VLOOKUP($A21,'Matriz POA 2024-TRABAJO'!$A$5:$CY$9142,32,FALSE)</f>
        <v>1309</v>
      </c>
      <c r="R21" s="448" t="str">
        <f>VLOOKUP($A21,'Matriz POA 2024-TRABAJO'!$A$5:$CY$9142,33,FALSE)</f>
        <v>001</v>
      </c>
      <c r="S21" s="448" t="str">
        <f>VLOOKUP($A21,'Matriz POA 2024-TRABAJO'!$A$5:$CY$9142,34,FALSE)</f>
        <v>0000</v>
      </c>
      <c r="T21" s="448" t="str">
        <f>VLOOKUP($A21,'Matriz POA 2024-TRABAJO'!$A$5:$CY$9142,35,FALSE)</f>
        <v>0000</v>
      </c>
      <c r="U21" s="449">
        <f>VLOOKUP($A21,'Matriz POA 2024-TRABAJO'!$A$5:$CY$9142,47,FALSE)</f>
        <v>22523.4</v>
      </c>
      <c r="V21" s="51"/>
      <c r="W21" s="51">
        <v>4644</v>
      </c>
      <c r="X21" s="51">
        <v>2322</v>
      </c>
      <c r="Y21" s="51"/>
      <c r="Z21" s="51">
        <v>4644</v>
      </c>
      <c r="AA21" s="51"/>
      <c r="AB21" s="51">
        <f>2322+2322</f>
        <v>4644</v>
      </c>
      <c r="AC21" s="51"/>
      <c r="AD21" s="51">
        <f>2322+2322</f>
        <v>4644</v>
      </c>
      <c r="AE21" s="51"/>
      <c r="AF21" s="51">
        <f>1548</f>
        <v>1548</v>
      </c>
      <c r="AG21" s="51"/>
      <c r="AH21" s="3">
        <f>VLOOKUP($A21, 'Matriz POA 2024-TRABAJO'!$A$5:$CY$9142,61,FALSE)</f>
        <v>22523.4</v>
      </c>
      <c r="AI21" s="406">
        <f t="shared" si="2"/>
        <v>22446</v>
      </c>
      <c r="AJ21" s="407">
        <f t="shared" si="3"/>
        <v>77.400000000001455</v>
      </c>
    </row>
    <row r="22" spans="1:36" ht="15" hidden="1" customHeight="1">
      <c r="A22" s="341">
        <v>440</v>
      </c>
      <c r="B22" s="447" t="str">
        <f>VLOOKUP($A22, 'Matriz POA 2024-TRABAJO'!$A$5:$CY$9142,11,FALSE)</f>
        <v>Corporación Ciudad Alfaro</v>
      </c>
      <c r="C22" s="447" t="str">
        <f>VLOOKUP($A22, 'Matriz POA 2024-TRABAJO'!$A$5:$CY$9142,14,FALSE)</f>
        <v>N/A</v>
      </c>
      <c r="D22" s="447" t="str">
        <f>VLOOKUP($A22, 'Matriz POA 2024-TRABAJO'!$A$5:$CY$9142,15,FALSE)</f>
        <v>N/A</v>
      </c>
      <c r="E22" s="447" t="str">
        <f>VLOOKUP($A22, 'Matriz POA 2024-TRABAJO'!$A$5:$CY$9142,18,FALSE)</f>
        <v>N/A</v>
      </c>
      <c r="F22" s="447" t="str">
        <f>VLOOKUP($A22, 'Matriz POA 2024-TRABAJO'!$A$5:$CY$9142,17,FALSE)</f>
        <v>N/A</v>
      </c>
      <c r="G22" s="447" t="str">
        <f>VLOOKUP($A22, 'Matriz POA 2024-TRABAJO'!$A$5:$CY$9142,20,FALSE)</f>
        <v>N/A</v>
      </c>
      <c r="H22" s="447" t="str">
        <f>VLOOKUP($A22, 'Matriz POA 2024-TRABAJO'!$A$5:$CY$9142,23,FALSE)</f>
        <v>PLURIANUAL 2023-2024</v>
      </c>
      <c r="I22" s="447" t="str">
        <f>VLOOKUP($A22, 'Matriz POA 2024-TRABAJO'!$A$5:$CY$9142,24,FALSE)</f>
        <v>Pago del servicio de seguridad y vigilancia de la Corporación Alfaro y sus Sedes</v>
      </c>
      <c r="J22" s="447" t="str">
        <f>VLOOKUP($A22,'Matriz POA 2024-TRABAJO'!$A$5:$CY$9142,25,FALSE)</f>
        <v>0035</v>
      </c>
      <c r="K22" s="448" t="str">
        <f>VLOOKUP($A22,'Matriz POA 2024-TRABAJO'!$A$5:$CY$9142,26,FALSE)</f>
        <v>80</v>
      </c>
      <c r="L22" s="448" t="str">
        <f>VLOOKUP($A22,'Matriz POA 2024-TRABAJO'!$A$5:$CY$9142,27,FALSE)</f>
        <v>000</v>
      </c>
      <c r="M22" s="448" t="str">
        <f>VLOOKUP($A22,'Matriz POA 2024-TRABAJO'!$A$5:$CY$9142,28,FALSE)</f>
        <v>002</v>
      </c>
      <c r="N22" s="448" t="str">
        <f>VLOOKUP($A22,'Matriz POA 2024-TRABAJO'!$A$5:$CY$9142,29,FALSE)</f>
        <v>53</v>
      </c>
      <c r="O22" s="448">
        <f>VLOOKUP($A22,'Matriz POA 2024-TRABAJO'!$A$5:$CY$9142,30,FALSE)</f>
        <v>530208</v>
      </c>
      <c r="P22" s="448" t="str">
        <f>VLOOKUP($A22,'Matriz POA 2024-TRABAJO'!$A$5:$CY$9142,31,FALSE)</f>
        <v>Servicio de Seguridad y Vigilancia</v>
      </c>
      <c r="Q22" s="448">
        <f>VLOOKUP($A22,'Matriz POA 2024-TRABAJO'!$A$5:$CY$9142,32,FALSE)</f>
        <v>1309</v>
      </c>
      <c r="R22" s="448" t="str">
        <f>VLOOKUP($A22,'Matriz POA 2024-TRABAJO'!$A$5:$CY$9142,33,FALSE)</f>
        <v>001</v>
      </c>
      <c r="S22" s="448" t="str">
        <f>VLOOKUP($A22,'Matriz POA 2024-TRABAJO'!$A$5:$CY$9142,34,FALSE)</f>
        <v>0000</v>
      </c>
      <c r="T22" s="448" t="str">
        <f>VLOOKUP($A22,'Matriz POA 2024-TRABAJO'!$A$5:$CY$9142,35,FALSE)</f>
        <v>0000</v>
      </c>
      <c r="U22" s="449">
        <f>VLOOKUP($A22,'Matriz POA 2024-TRABAJO'!$A$5:$CY$9142,47,FALSE)</f>
        <v>171800</v>
      </c>
      <c r="V22" s="51"/>
      <c r="W22" s="51">
        <v>30128.48</v>
      </c>
      <c r="X22" s="51">
        <v>15064.24</v>
      </c>
      <c r="Y22" s="51">
        <v>15064.24</v>
      </c>
      <c r="Z22" s="51"/>
      <c r="AA22" s="51">
        <f>15064.24+15064.24</f>
        <v>30128.48</v>
      </c>
      <c r="AB22" s="51">
        <v>15064.24</v>
      </c>
      <c r="AC22" s="51">
        <v>15064.24</v>
      </c>
      <c r="AD22" s="51">
        <v>15064.24</v>
      </c>
      <c r="AE22" s="51"/>
      <c r="AF22" s="51">
        <f>15064.24+15064.24</f>
        <v>30128.48</v>
      </c>
      <c r="AG22" s="51">
        <v>6025.69</v>
      </c>
      <c r="AH22" s="3">
        <f>VLOOKUP($A22, 'Matriz POA 2024-TRABAJO'!$A$5:$CY$9142,61,FALSE)</f>
        <v>171799.99999999997</v>
      </c>
      <c r="AI22" s="406">
        <f t="shared" si="2"/>
        <v>171732.33000000002</v>
      </c>
      <c r="AJ22" s="407">
        <f t="shared" si="3"/>
        <v>67.669999999954598</v>
      </c>
    </row>
    <row r="23" spans="1:36" ht="15" hidden="1" customHeight="1">
      <c r="A23" s="341">
        <v>419</v>
      </c>
      <c r="B23" s="447" t="str">
        <f>VLOOKUP($A23, 'Matriz POA 2024-TRABAJO'!$A$5:$CY$9142,11,FALSE)</f>
        <v>Corporación Ciudad Alfaro</v>
      </c>
      <c r="C23" s="447" t="str">
        <f>VLOOKUP($A23, 'Matriz POA 2024-TRABAJO'!$A$5:$CY$9142,14,FALSE)</f>
        <v>N/A</v>
      </c>
      <c r="D23" s="447" t="str">
        <f>VLOOKUP($A23, 'Matriz POA 2024-TRABAJO'!$A$5:$CY$9142,15,FALSE)</f>
        <v>N/A</v>
      </c>
      <c r="E23" s="447" t="str">
        <f>VLOOKUP($A23, 'Matriz POA 2024-TRABAJO'!$A$5:$CY$9142,18,FALSE)</f>
        <v>N/A</v>
      </c>
      <c r="F23" s="447" t="str">
        <f>VLOOKUP($A23, 'Matriz POA 2024-TRABAJO'!$A$5:$CY$9142,17,FALSE)</f>
        <v>N/A</v>
      </c>
      <c r="G23" s="447" t="str">
        <f>VLOOKUP($A23, 'Matriz POA 2024-TRABAJO'!$A$5:$CY$9142,20,FALSE)</f>
        <v>N/A</v>
      </c>
      <c r="H23" s="447" t="str">
        <f>VLOOKUP($A23, 'Matriz POA 2024-TRABAJO'!$A$5:$CY$9142,23,FALSE)</f>
        <v>NUEVA</v>
      </c>
      <c r="I23" s="447" t="str">
        <f>VLOOKUP($A23, 'Matriz POA 2024-TRABAJO'!$A$5:$CY$9142,24,FALSE)</f>
        <v>Compensación por Transporte</v>
      </c>
      <c r="J23" s="447" t="str">
        <f>VLOOKUP($A23,'Matriz POA 2024-TRABAJO'!$A$5:$CY$9142,25,FALSE)</f>
        <v>0035</v>
      </c>
      <c r="K23" s="448" t="str">
        <f>VLOOKUP($A23,'Matriz POA 2024-TRABAJO'!$A$5:$CY$9142,26,FALSE)</f>
        <v>80</v>
      </c>
      <c r="L23" s="448" t="str">
        <f>VLOOKUP($A23,'Matriz POA 2024-TRABAJO'!$A$5:$CY$9142,27,FALSE)</f>
        <v>000</v>
      </c>
      <c r="M23" s="448" t="str">
        <f>VLOOKUP($A23,'Matriz POA 2024-TRABAJO'!$A$5:$CY$9142,28,FALSE)</f>
        <v>002</v>
      </c>
      <c r="N23" s="448" t="str">
        <f>VLOOKUP($A23,'Matriz POA 2024-TRABAJO'!$A$5:$CY$9142,29,FALSE)</f>
        <v>51</v>
      </c>
      <c r="O23" s="448">
        <f>VLOOKUP($A23,'Matriz POA 2024-TRABAJO'!$A$5:$CY$9142,30,FALSE)</f>
        <v>510304</v>
      </c>
      <c r="P23" s="448" t="str">
        <f>VLOOKUP($A23,'Matriz POA 2024-TRABAJO'!$A$5:$CY$9142,31,FALSE)</f>
        <v>Compensación por Transporte</v>
      </c>
      <c r="Q23" s="448">
        <f>VLOOKUP($A23,'Matriz POA 2024-TRABAJO'!$A$5:$CY$9142,32,FALSE)</f>
        <v>1300</v>
      </c>
      <c r="R23" s="448" t="str">
        <f>VLOOKUP($A23,'Matriz POA 2024-TRABAJO'!$A$5:$CY$9142,33,FALSE)</f>
        <v>001</v>
      </c>
      <c r="S23" s="448" t="str">
        <f>VLOOKUP($A23,'Matriz POA 2024-TRABAJO'!$A$5:$CY$9142,34,FALSE)</f>
        <v>0000</v>
      </c>
      <c r="T23" s="448" t="str">
        <f>VLOOKUP($A23,'Matriz POA 2024-TRABAJO'!$A$5:$CY$9142,35,FALSE)</f>
        <v>0000</v>
      </c>
      <c r="U23" s="449">
        <f>VLOOKUP($A23,'Matriz POA 2024-TRABAJO'!$A$5:$CY$9142,47,FALSE)</f>
        <v>1313.5</v>
      </c>
      <c r="V23" s="51"/>
      <c r="W23" s="51">
        <v>185</v>
      </c>
      <c r="X23" s="51">
        <v>92</v>
      </c>
      <c r="Y23" s="51">
        <v>90</v>
      </c>
      <c r="Z23" s="51">
        <v>80</v>
      </c>
      <c r="AA23" s="51">
        <v>96.5</v>
      </c>
      <c r="AB23" s="51">
        <v>85.5</v>
      </c>
      <c r="AC23" s="51">
        <v>93.5</v>
      </c>
      <c r="AD23" s="51">
        <f>81.5</f>
        <v>81.5</v>
      </c>
      <c r="AE23" s="51">
        <v>86.5</v>
      </c>
      <c r="AF23" s="51">
        <f>99.5</f>
        <v>99.5</v>
      </c>
      <c r="AG23" s="51">
        <f>91.5+104.5</f>
        <v>196</v>
      </c>
      <c r="AH23" s="3">
        <f>VLOOKUP($A23, 'Matriz POA 2024-TRABAJO'!$A$5:$CY$9142,61,FALSE)</f>
        <v>1313.5</v>
      </c>
      <c r="AI23" s="406">
        <f t="shared" si="2"/>
        <v>1186</v>
      </c>
      <c r="AJ23" s="407">
        <f t="shared" si="3"/>
        <v>127.5</v>
      </c>
    </row>
    <row r="24" spans="1:36" ht="15" hidden="1" customHeight="1">
      <c r="A24" s="341">
        <v>420</v>
      </c>
      <c r="B24" s="447" t="str">
        <f>VLOOKUP($A24, 'Matriz POA 2024-TRABAJO'!$A$5:$CY$9142,11,FALSE)</f>
        <v>Corporación Ciudad Alfaro</v>
      </c>
      <c r="C24" s="447" t="str">
        <f>VLOOKUP($A24, 'Matriz POA 2024-TRABAJO'!$A$5:$CY$9142,14,FALSE)</f>
        <v>N/A</v>
      </c>
      <c r="D24" s="447" t="str">
        <f>VLOOKUP($A24, 'Matriz POA 2024-TRABAJO'!$A$5:$CY$9142,15,FALSE)</f>
        <v>N/A</v>
      </c>
      <c r="E24" s="447" t="str">
        <f>VLOOKUP($A24, 'Matriz POA 2024-TRABAJO'!$A$5:$CY$9142,18,FALSE)</f>
        <v>N/A</v>
      </c>
      <c r="F24" s="447" t="str">
        <f>VLOOKUP($A24, 'Matriz POA 2024-TRABAJO'!$A$5:$CY$9142,17,FALSE)</f>
        <v>N/A</v>
      </c>
      <c r="G24" s="447" t="str">
        <f>VLOOKUP($A24, 'Matriz POA 2024-TRABAJO'!$A$5:$CY$9142,20,FALSE)</f>
        <v>N/A</v>
      </c>
      <c r="H24" s="447" t="str">
        <f>VLOOKUP($A24, 'Matriz POA 2024-TRABAJO'!$A$5:$CY$9142,23,FALSE)</f>
        <v>NUEVA</v>
      </c>
      <c r="I24" s="447" t="str">
        <f>VLOOKUP($A24, 'Matriz POA 2024-TRABAJO'!$A$5:$CY$9142,24,FALSE)</f>
        <v>Alimentación</v>
      </c>
      <c r="J24" s="447" t="str">
        <f>VLOOKUP($A24,'Matriz POA 2024-TRABAJO'!$A$5:$CY$9142,25,FALSE)</f>
        <v>0035</v>
      </c>
      <c r="K24" s="448" t="str">
        <f>VLOOKUP($A24,'Matriz POA 2024-TRABAJO'!$A$5:$CY$9142,26,FALSE)</f>
        <v>80</v>
      </c>
      <c r="L24" s="448" t="str">
        <f>VLOOKUP($A24,'Matriz POA 2024-TRABAJO'!$A$5:$CY$9142,27,FALSE)</f>
        <v>000</v>
      </c>
      <c r="M24" s="448" t="str">
        <f>VLOOKUP($A24,'Matriz POA 2024-TRABAJO'!$A$5:$CY$9142,28,FALSE)</f>
        <v>002</v>
      </c>
      <c r="N24" s="448" t="str">
        <f>VLOOKUP($A24,'Matriz POA 2024-TRABAJO'!$A$5:$CY$9142,29,FALSE)</f>
        <v>51</v>
      </c>
      <c r="O24" s="448">
        <f>VLOOKUP($A24,'Matriz POA 2024-TRABAJO'!$A$5:$CY$9142,30,FALSE)</f>
        <v>510306</v>
      </c>
      <c r="P24" s="448" t="str">
        <f>VLOOKUP($A24,'Matriz POA 2024-TRABAJO'!$A$5:$CY$9142,31,FALSE)</f>
        <v>Alimentación</v>
      </c>
      <c r="Q24" s="448">
        <f>VLOOKUP($A24,'Matriz POA 2024-TRABAJO'!$A$5:$CY$9142,32,FALSE)</f>
        <v>1300</v>
      </c>
      <c r="R24" s="448" t="str">
        <f>VLOOKUP($A24,'Matriz POA 2024-TRABAJO'!$A$5:$CY$9142,33,FALSE)</f>
        <v>001</v>
      </c>
      <c r="S24" s="448" t="str">
        <f>VLOOKUP($A24,'Matriz POA 2024-TRABAJO'!$A$5:$CY$9142,34,FALSE)</f>
        <v>0000</v>
      </c>
      <c r="T24" s="448" t="str">
        <f>VLOOKUP($A24,'Matriz POA 2024-TRABAJO'!$A$5:$CY$9142,35,FALSE)</f>
        <v>0000</v>
      </c>
      <c r="U24" s="449">
        <f>VLOOKUP($A24,'Matriz POA 2024-TRABAJO'!$A$5:$CY$9142,47,FALSE)</f>
        <v>9194.5</v>
      </c>
      <c r="V24" s="51"/>
      <c r="W24" s="51">
        <v>1295</v>
      </c>
      <c r="X24" s="51">
        <v>644</v>
      </c>
      <c r="Y24" s="51">
        <v>630</v>
      </c>
      <c r="Z24" s="51">
        <v>560</v>
      </c>
      <c r="AA24" s="51">
        <v>675.5</v>
      </c>
      <c r="AB24" s="51">
        <v>598.5</v>
      </c>
      <c r="AC24" s="51">
        <v>654.5</v>
      </c>
      <c r="AD24" s="51">
        <f>570.5</f>
        <v>570.5</v>
      </c>
      <c r="AE24" s="51">
        <v>605.5</v>
      </c>
      <c r="AF24" s="51">
        <f>696.5</f>
        <v>696.5</v>
      </c>
      <c r="AG24" s="51">
        <f>640.5+731.5</f>
        <v>1372</v>
      </c>
      <c r="AH24" s="3">
        <f>VLOOKUP($A24, 'Matriz POA 2024-TRABAJO'!$A$5:$CY$9142,61,FALSE)</f>
        <v>9194.5</v>
      </c>
      <c r="AI24" s="406">
        <f t="shared" si="2"/>
        <v>8302</v>
      </c>
      <c r="AJ24" s="407">
        <f t="shared" si="3"/>
        <v>892.5</v>
      </c>
    </row>
    <row r="25" spans="1:36" ht="15" hidden="1" customHeight="1">
      <c r="A25" s="341">
        <v>421</v>
      </c>
      <c r="B25" s="447" t="str">
        <f>VLOOKUP($A25, 'Matriz POA 2024-TRABAJO'!$A$5:$CY$9142,11,FALSE)</f>
        <v>Corporación Ciudad Alfaro</v>
      </c>
      <c r="C25" s="447" t="str">
        <f>VLOOKUP($A25, 'Matriz POA 2024-TRABAJO'!$A$5:$CY$9142,14,FALSE)</f>
        <v>N/A</v>
      </c>
      <c r="D25" s="447" t="str">
        <f>VLOOKUP($A25, 'Matriz POA 2024-TRABAJO'!$A$5:$CY$9142,15,FALSE)</f>
        <v>N/A</v>
      </c>
      <c r="E25" s="447" t="str">
        <f>VLOOKUP($A25, 'Matriz POA 2024-TRABAJO'!$A$5:$CY$9142,18,FALSE)</f>
        <v>N/A</v>
      </c>
      <c r="F25" s="447" t="str">
        <f>VLOOKUP($A25, 'Matriz POA 2024-TRABAJO'!$A$5:$CY$9142,17,FALSE)</f>
        <v>N/A</v>
      </c>
      <c r="G25" s="447" t="str">
        <f>VLOOKUP($A25, 'Matriz POA 2024-TRABAJO'!$A$5:$CY$9142,20,FALSE)</f>
        <v>N/A</v>
      </c>
      <c r="H25" s="447" t="str">
        <f>VLOOKUP($A25, 'Matriz POA 2024-TRABAJO'!$A$5:$CY$9142,23,FALSE)</f>
        <v>NUEVA</v>
      </c>
      <c r="I25" s="447" t="str">
        <f>VLOOKUP($A25, 'Matriz POA 2024-TRABAJO'!$A$5:$CY$9142,24,FALSE)</f>
        <v>Por Cargas Familiares</v>
      </c>
      <c r="J25" s="447" t="str">
        <f>VLOOKUP($A25,'Matriz POA 2024-TRABAJO'!$A$5:$CY$9142,25,FALSE)</f>
        <v>0035</v>
      </c>
      <c r="K25" s="448" t="str">
        <f>VLOOKUP($A25,'Matriz POA 2024-TRABAJO'!$A$5:$CY$9142,26,FALSE)</f>
        <v>80</v>
      </c>
      <c r="L25" s="448" t="str">
        <f>VLOOKUP($A25,'Matriz POA 2024-TRABAJO'!$A$5:$CY$9142,27,FALSE)</f>
        <v>000</v>
      </c>
      <c r="M25" s="448" t="str">
        <f>VLOOKUP($A25,'Matriz POA 2024-TRABAJO'!$A$5:$CY$9142,28,FALSE)</f>
        <v>002</v>
      </c>
      <c r="N25" s="448" t="str">
        <f>VLOOKUP($A25,'Matriz POA 2024-TRABAJO'!$A$5:$CY$9142,29,FALSE)</f>
        <v>51</v>
      </c>
      <c r="O25" s="448">
        <f>VLOOKUP($A25,'Matriz POA 2024-TRABAJO'!$A$5:$CY$9142,30,FALSE)</f>
        <v>510401</v>
      </c>
      <c r="P25" s="448" t="str">
        <f>VLOOKUP($A25,'Matriz POA 2024-TRABAJO'!$A$5:$CY$9142,31,FALSE)</f>
        <v>Por Cargas Familiares</v>
      </c>
      <c r="Q25" s="448">
        <f>VLOOKUP($A25,'Matriz POA 2024-TRABAJO'!$A$5:$CY$9142,32,FALSE)</f>
        <v>1300</v>
      </c>
      <c r="R25" s="448" t="str">
        <f>VLOOKUP($A25,'Matriz POA 2024-TRABAJO'!$A$5:$CY$9142,33,FALSE)</f>
        <v>001</v>
      </c>
      <c r="S25" s="448" t="str">
        <f>VLOOKUP($A25,'Matriz POA 2024-TRABAJO'!$A$5:$CY$9142,34,FALSE)</f>
        <v>0000</v>
      </c>
      <c r="T25" s="448" t="str">
        <f>VLOOKUP($A25,'Matriz POA 2024-TRABAJO'!$A$5:$CY$9142,35,FALSE)</f>
        <v>0000</v>
      </c>
      <c r="U25" s="449">
        <f>VLOOKUP($A25,'Matriz POA 2024-TRABAJO'!$A$5:$CY$9142,47,FALSE)</f>
        <v>417.72</v>
      </c>
      <c r="V25" s="51"/>
      <c r="W25" s="51">
        <v>67.259999999999991</v>
      </c>
      <c r="X25" s="51">
        <v>31.86</v>
      </c>
      <c r="Y25" s="51">
        <v>31.86</v>
      </c>
      <c r="Z25" s="51">
        <v>31.86</v>
      </c>
      <c r="AA25" s="51">
        <v>31.86</v>
      </c>
      <c r="AB25" s="51">
        <v>31.86</v>
      </c>
      <c r="AC25" s="51">
        <v>28.32</v>
      </c>
      <c r="AD25" s="51">
        <f>28.32</f>
        <v>28.32</v>
      </c>
      <c r="AE25" s="51">
        <v>28.32</v>
      </c>
      <c r="AF25" s="51">
        <f>28.32</f>
        <v>28.32</v>
      </c>
      <c r="AG25" s="51">
        <f>28.32+28.32</f>
        <v>56.64</v>
      </c>
      <c r="AH25" s="3">
        <f>VLOOKUP($A25, 'Matriz POA 2024-TRABAJO'!$A$5:$CY$9142,61,FALSE)</f>
        <v>417.72</v>
      </c>
      <c r="AI25" s="406">
        <f t="shared" si="2"/>
        <v>396.47999999999996</v>
      </c>
      <c r="AJ25" s="407">
        <f t="shared" si="3"/>
        <v>21.240000000000066</v>
      </c>
    </row>
    <row r="26" spans="1:36" ht="15" hidden="1" customHeight="1">
      <c r="A26" s="341">
        <v>422</v>
      </c>
      <c r="B26" s="447" t="str">
        <f>VLOOKUP($A26, 'Matriz POA 2024-TRABAJO'!$A$5:$CY$9142,11,FALSE)</f>
        <v>Corporación Ciudad Alfaro</v>
      </c>
      <c r="C26" s="447" t="str">
        <f>VLOOKUP($A26, 'Matriz POA 2024-TRABAJO'!$A$5:$CY$9142,14,FALSE)</f>
        <v>N/A</v>
      </c>
      <c r="D26" s="447" t="str">
        <f>VLOOKUP($A26, 'Matriz POA 2024-TRABAJO'!$A$5:$CY$9142,15,FALSE)</f>
        <v>N/A</v>
      </c>
      <c r="E26" s="447" t="str">
        <f>VLOOKUP($A26, 'Matriz POA 2024-TRABAJO'!$A$5:$CY$9142,18,FALSE)</f>
        <v>N/A</v>
      </c>
      <c r="F26" s="447" t="str">
        <f>VLOOKUP($A26, 'Matriz POA 2024-TRABAJO'!$A$5:$CY$9142,17,FALSE)</f>
        <v>N/A</v>
      </c>
      <c r="G26" s="447" t="str">
        <f>VLOOKUP($A26, 'Matriz POA 2024-TRABAJO'!$A$5:$CY$9142,20,FALSE)</f>
        <v>N/A</v>
      </c>
      <c r="H26" s="447" t="str">
        <f>VLOOKUP($A26, 'Matriz POA 2024-TRABAJO'!$A$5:$CY$9142,23,FALSE)</f>
        <v>NUEVA</v>
      </c>
      <c r="I26" s="447" t="str">
        <f>VLOOKUP($A26, 'Matriz POA 2024-TRABAJO'!$A$5:$CY$9142,24,FALSE)</f>
        <v>Subsidio de Antigüedad</v>
      </c>
      <c r="J26" s="447" t="str">
        <f>VLOOKUP($A26,'Matriz POA 2024-TRABAJO'!$A$5:$CY$9142,25,FALSE)</f>
        <v>0035</v>
      </c>
      <c r="K26" s="448" t="str">
        <f>VLOOKUP($A26,'Matriz POA 2024-TRABAJO'!$A$5:$CY$9142,26,FALSE)</f>
        <v>80</v>
      </c>
      <c r="L26" s="448" t="str">
        <f>VLOOKUP($A26,'Matriz POA 2024-TRABAJO'!$A$5:$CY$9142,27,FALSE)</f>
        <v>000</v>
      </c>
      <c r="M26" s="448" t="str">
        <f>VLOOKUP($A26,'Matriz POA 2024-TRABAJO'!$A$5:$CY$9142,28,FALSE)</f>
        <v>002</v>
      </c>
      <c r="N26" s="448" t="str">
        <f>VLOOKUP($A26,'Matriz POA 2024-TRABAJO'!$A$5:$CY$9142,29,FALSE)</f>
        <v>51</v>
      </c>
      <c r="O26" s="448">
        <f>VLOOKUP($A26,'Matriz POA 2024-TRABAJO'!$A$5:$CY$9142,30,FALSE)</f>
        <v>510408</v>
      </c>
      <c r="P26" s="448" t="str">
        <f>VLOOKUP($A26,'Matriz POA 2024-TRABAJO'!$A$5:$CY$9142,31,FALSE)</f>
        <v>Subsidio de Antigüedad</v>
      </c>
      <c r="Q26" s="448">
        <f>VLOOKUP($A26,'Matriz POA 2024-TRABAJO'!$A$5:$CY$9142,32,FALSE)</f>
        <v>1300</v>
      </c>
      <c r="R26" s="448" t="str">
        <f>VLOOKUP($A26,'Matriz POA 2024-TRABAJO'!$A$5:$CY$9142,33,FALSE)</f>
        <v>001</v>
      </c>
      <c r="S26" s="448" t="str">
        <f>VLOOKUP($A26,'Matriz POA 2024-TRABAJO'!$A$5:$CY$9142,34,FALSE)</f>
        <v>0000</v>
      </c>
      <c r="T26" s="448" t="str">
        <f>VLOOKUP($A26,'Matriz POA 2024-TRABAJO'!$A$5:$CY$9142,35,FALSE)</f>
        <v>0000</v>
      </c>
      <c r="U26" s="449">
        <f>VLOOKUP($A26,'Matriz POA 2024-TRABAJO'!$A$5:$CY$9142,47,FALSE)</f>
        <v>510</v>
      </c>
      <c r="V26" s="51"/>
      <c r="W26" s="51">
        <v>63.09</v>
      </c>
      <c r="X26" s="51">
        <v>34.380000000000003</v>
      </c>
      <c r="Y26" s="51">
        <v>34.380000000000003</v>
      </c>
      <c r="Z26" s="51">
        <v>34.380000000000003</v>
      </c>
      <c r="AA26" s="51">
        <v>34.380000000000003</v>
      </c>
      <c r="AB26" s="51">
        <v>34.380000000000003</v>
      </c>
      <c r="AC26" s="51">
        <v>34.380000000000003</v>
      </c>
      <c r="AD26" s="51">
        <f>34.38</f>
        <v>34.380000000000003</v>
      </c>
      <c r="AE26" s="51">
        <v>35.020000000000003</v>
      </c>
      <c r="AF26" s="51">
        <f>35.02</f>
        <v>35.020000000000003</v>
      </c>
      <c r="AG26" s="51">
        <f>35.02+35.02</f>
        <v>70.040000000000006</v>
      </c>
      <c r="AH26" s="3">
        <f>VLOOKUP($A26, 'Matriz POA 2024-TRABAJO'!$A$5:$CY$9142,61,FALSE)</f>
        <v>510.00000000000011</v>
      </c>
      <c r="AI26" s="406">
        <f t="shared" si="2"/>
        <v>443.83</v>
      </c>
      <c r="AJ26" s="407">
        <f t="shared" si="3"/>
        <v>66.17000000000013</v>
      </c>
    </row>
    <row r="27" spans="1:36" ht="15" hidden="1" customHeight="1">
      <c r="A27" s="341">
        <v>415</v>
      </c>
      <c r="B27" s="447" t="str">
        <f>VLOOKUP($A27, 'Matriz POA 2024-TRABAJO'!$A$5:$CY$9142,11,FALSE)</f>
        <v>Corporación Ciudad Alfaro</v>
      </c>
      <c r="C27" s="447" t="str">
        <f>VLOOKUP($A27, 'Matriz POA 2024-TRABAJO'!$A$5:$CY$9142,14,FALSE)</f>
        <v>N/A</v>
      </c>
      <c r="D27" s="447" t="str">
        <f>VLOOKUP($A27, 'Matriz POA 2024-TRABAJO'!$A$5:$CY$9142,15,FALSE)</f>
        <v>N/A</v>
      </c>
      <c r="E27" s="447" t="str">
        <f>VLOOKUP($A27, 'Matriz POA 2024-TRABAJO'!$A$5:$CY$9142,18,FALSE)</f>
        <v>N/A</v>
      </c>
      <c r="F27" s="447" t="str">
        <f>VLOOKUP($A27, 'Matriz POA 2024-TRABAJO'!$A$5:$CY$9142,17,FALSE)</f>
        <v>N/A</v>
      </c>
      <c r="G27" s="447" t="str">
        <f>VLOOKUP($A27, 'Matriz POA 2024-TRABAJO'!$A$5:$CY$9142,20,FALSE)</f>
        <v>N/A</v>
      </c>
      <c r="H27" s="447" t="str">
        <f>VLOOKUP($A27, 'Matriz POA 2024-TRABAJO'!$A$5:$CY$9142,23,FALSE)</f>
        <v>NUEVA</v>
      </c>
      <c r="I27" s="447" t="str">
        <f>VLOOKUP($A27, 'Matriz POA 2024-TRABAJO'!$A$5:$CY$9142,24,FALSE)</f>
        <v>REMUNERACIONES UNIFICADAS</v>
      </c>
      <c r="J27" s="447" t="str">
        <f>VLOOKUP($A27,'Matriz POA 2024-TRABAJO'!$A$5:$CY$9142,25,FALSE)</f>
        <v>0035</v>
      </c>
      <c r="K27" s="448" t="str">
        <f>VLOOKUP($A27,'Matriz POA 2024-TRABAJO'!$A$5:$CY$9142,26,FALSE)</f>
        <v>80</v>
      </c>
      <c r="L27" s="448" t="str">
        <f>VLOOKUP($A27,'Matriz POA 2024-TRABAJO'!$A$5:$CY$9142,27,FALSE)</f>
        <v>000</v>
      </c>
      <c r="M27" s="448" t="str">
        <f>VLOOKUP($A27,'Matriz POA 2024-TRABAJO'!$A$5:$CY$9142,28,FALSE)</f>
        <v>002</v>
      </c>
      <c r="N27" s="448" t="str">
        <f>VLOOKUP($A27,'Matriz POA 2024-TRABAJO'!$A$5:$CY$9142,29,FALSE)</f>
        <v>51</v>
      </c>
      <c r="O27" s="448">
        <f>VLOOKUP($A27,'Matriz POA 2024-TRABAJO'!$A$5:$CY$9142,30,FALSE)</f>
        <v>510105</v>
      </c>
      <c r="P27" s="448" t="str">
        <f>VLOOKUP($A27,'Matriz POA 2024-TRABAJO'!$A$5:$CY$9142,31,FALSE)</f>
        <v>Remuneraciones Unificadas</v>
      </c>
      <c r="Q27" s="448">
        <f>VLOOKUP($A27,'Matriz POA 2024-TRABAJO'!$A$5:$CY$9142,32,FALSE)</f>
        <v>1300</v>
      </c>
      <c r="R27" s="448" t="str">
        <f>VLOOKUP($A27,'Matriz POA 2024-TRABAJO'!$A$5:$CY$9142,33,FALSE)</f>
        <v>001</v>
      </c>
      <c r="S27" s="448" t="str">
        <f>VLOOKUP($A27,'Matriz POA 2024-TRABAJO'!$A$5:$CY$9142,34,FALSE)</f>
        <v>0000</v>
      </c>
      <c r="T27" s="448" t="str">
        <f>VLOOKUP($A27,'Matriz POA 2024-TRABAJO'!$A$5:$CY$9142,35,FALSE)</f>
        <v>0000</v>
      </c>
      <c r="U27" s="449">
        <f>VLOOKUP($A27,'Matriz POA 2024-TRABAJO'!$A$5:$CY$9142,47,FALSE)</f>
        <v>267752</v>
      </c>
      <c r="V27" s="51">
        <v>22767</v>
      </c>
      <c r="W27" s="51">
        <v>22767</v>
      </c>
      <c r="X27" s="51">
        <v>22767</v>
      </c>
      <c r="Y27" s="51">
        <v>22767</v>
      </c>
      <c r="Z27" s="51">
        <v>22767</v>
      </c>
      <c r="AA27" s="51">
        <v>22767</v>
      </c>
      <c r="AB27" s="51">
        <v>22767</v>
      </c>
      <c r="AC27" s="51">
        <f>40.4+21555</f>
        <v>21595.4</v>
      </c>
      <c r="AD27" s="51">
        <f>21555</f>
        <v>21555</v>
      </c>
      <c r="AE27" s="51">
        <v>21555</v>
      </c>
      <c r="AF27" s="51">
        <f>21156.8</f>
        <v>21156.799999999999</v>
      </c>
      <c r="AG27" s="51">
        <f>398.2+20.469+20448.53</f>
        <v>20867.199000000001</v>
      </c>
      <c r="AH27" s="3">
        <f>VLOOKUP($A27, 'Matriz POA 2024-TRABAJO'!$A$5:$CY$9142,61,FALSE)</f>
        <v>267752</v>
      </c>
      <c r="AI27" s="406">
        <f t="shared" si="2"/>
        <v>266098.39899999998</v>
      </c>
      <c r="AJ27" s="407">
        <f t="shared" si="3"/>
        <v>1653.6010000000242</v>
      </c>
    </row>
    <row r="28" spans="1:36" ht="15" hidden="1" customHeight="1">
      <c r="A28" s="341">
        <v>416</v>
      </c>
      <c r="B28" s="447" t="str">
        <f>VLOOKUP($A28, 'Matriz POA 2024-TRABAJO'!$A$5:$CY$9142,11,FALSE)</f>
        <v>Corporación Ciudad Alfaro</v>
      </c>
      <c r="C28" s="447" t="str">
        <f>VLOOKUP($A28, 'Matriz POA 2024-TRABAJO'!$A$5:$CY$9142,14,FALSE)</f>
        <v>N/A</v>
      </c>
      <c r="D28" s="447" t="str">
        <f>VLOOKUP($A28, 'Matriz POA 2024-TRABAJO'!$A$5:$CY$9142,15,FALSE)</f>
        <v>N/A</v>
      </c>
      <c r="E28" s="447" t="str">
        <f>VLOOKUP($A28, 'Matriz POA 2024-TRABAJO'!$A$5:$CY$9142,18,FALSE)</f>
        <v>N/A</v>
      </c>
      <c r="F28" s="447" t="str">
        <f>VLOOKUP($A28, 'Matriz POA 2024-TRABAJO'!$A$5:$CY$9142,17,FALSE)</f>
        <v>N/A</v>
      </c>
      <c r="G28" s="447" t="str">
        <f>VLOOKUP($A28, 'Matriz POA 2024-TRABAJO'!$A$5:$CY$9142,20,FALSE)</f>
        <v>N/A</v>
      </c>
      <c r="H28" s="447" t="str">
        <f>VLOOKUP($A28, 'Matriz POA 2024-TRABAJO'!$A$5:$CY$9142,23,FALSE)</f>
        <v>NUEVA</v>
      </c>
      <c r="I28" s="447" t="str">
        <f>VLOOKUP($A28, 'Matriz POA 2024-TRABAJO'!$A$5:$CY$9142,24,FALSE)</f>
        <v>Salarios Unificados</v>
      </c>
      <c r="J28" s="447" t="str">
        <f>VLOOKUP($A28,'Matriz POA 2024-TRABAJO'!$A$5:$CY$9142,25,FALSE)</f>
        <v>0035</v>
      </c>
      <c r="K28" s="448" t="str">
        <f>VLOOKUP($A28,'Matriz POA 2024-TRABAJO'!$A$5:$CY$9142,26,FALSE)</f>
        <v>80</v>
      </c>
      <c r="L28" s="448" t="str">
        <f>VLOOKUP($A28,'Matriz POA 2024-TRABAJO'!$A$5:$CY$9142,27,FALSE)</f>
        <v>000</v>
      </c>
      <c r="M28" s="448" t="str">
        <f>VLOOKUP($A28,'Matriz POA 2024-TRABAJO'!$A$5:$CY$9142,28,FALSE)</f>
        <v>002</v>
      </c>
      <c r="N28" s="448" t="str">
        <f>VLOOKUP($A28,'Matriz POA 2024-TRABAJO'!$A$5:$CY$9142,29,FALSE)</f>
        <v>51</v>
      </c>
      <c r="O28" s="448">
        <f>VLOOKUP($A28,'Matriz POA 2024-TRABAJO'!$A$5:$CY$9142,30,FALSE)</f>
        <v>510106</v>
      </c>
      <c r="P28" s="448" t="str">
        <f>VLOOKUP($A28,'Matriz POA 2024-TRABAJO'!$A$5:$CY$9142,31,FALSE)</f>
        <v>Salarios Unificados</v>
      </c>
      <c r="Q28" s="448">
        <f>VLOOKUP($A28,'Matriz POA 2024-TRABAJO'!$A$5:$CY$9142,32,FALSE)</f>
        <v>1300</v>
      </c>
      <c r="R28" s="448" t="str">
        <f>VLOOKUP($A28,'Matriz POA 2024-TRABAJO'!$A$5:$CY$9142,33,FALSE)</f>
        <v>001</v>
      </c>
      <c r="S28" s="448" t="str">
        <f>VLOOKUP($A28,'Matriz POA 2024-TRABAJO'!$A$5:$CY$9142,34,FALSE)</f>
        <v>0000</v>
      </c>
      <c r="T28" s="448" t="str">
        <f>VLOOKUP($A28,'Matriz POA 2024-TRABAJO'!$A$5:$CY$9142,35,FALSE)</f>
        <v>0000</v>
      </c>
      <c r="U28" s="449">
        <f>VLOOKUP($A28,'Matriz POA 2024-TRABAJO'!$A$5:$CY$9142,47,FALSE)</f>
        <v>68580</v>
      </c>
      <c r="V28" s="51">
        <v>5715</v>
      </c>
      <c r="W28" s="51">
        <v>5715</v>
      </c>
      <c r="X28" s="51">
        <v>5715</v>
      </c>
      <c r="Y28" s="51">
        <v>5715</v>
      </c>
      <c r="Z28" s="51">
        <v>5715</v>
      </c>
      <c r="AA28" s="51">
        <v>5715</v>
      </c>
      <c r="AB28" s="51">
        <v>5715</v>
      </c>
      <c r="AC28" s="51">
        <f>5715</f>
        <v>5715</v>
      </c>
      <c r="AD28" s="51">
        <f>5715</f>
        <v>5715</v>
      </c>
      <c r="AE28" s="51">
        <v>5715</v>
      </c>
      <c r="AF28" s="51">
        <f>5715</f>
        <v>5715</v>
      </c>
      <c r="AG28" s="51">
        <f>5715</f>
        <v>5715</v>
      </c>
      <c r="AH28" s="3">
        <f>VLOOKUP($A28, 'Matriz POA 2024-TRABAJO'!$A$5:$CY$9142,61,FALSE)</f>
        <v>68580</v>
      </c>
      <c r="AI28" s="406">
        <f t="shared" si="2"/>
        <v>68580</v>
      </c>
      <c r="AJ28" s="407">
        <f t="shared" si="3"/>
        <v>0</v>
      </c>
    </row>
    <row r="29" spans="1:36" ht="15" hidden="1" customHeight="1">
      <c r="A29" s="341">
        <v>423</v>
      </c>
      <c r="B29" s="447" t="str">
        <f>VLOOKUP($A29, 'Matriz POA 2024-TRABAJO'!$A$5:$CY$9142,11,FALSE)</f>
        <v>Corporación Ciudad Alfaro</v>
      </c>
      <c r="C29" s="447" t="str">
        <f>VLOOKUP($A29, 'Matriz POA 2024-TRABAJO'!$A$5:$CY$9142,14,FALSE)</f>
        <v>N/A</v>
      </c>
      <c r="D29" s="447" t="str">
        <f>VLOOKUP($A29, 'Matriz POA 2024-TRABAJO'!$A$5:$CY$9142,15,FALSE)</f>
        <v>N/A</v>
      </c>
      <c r="E29" s="447" t="str">
        <f>VLOOKUP($A29, 'Matriz POA 2024-TRABAJO'!$A$5:$CY$9142,18,FALSE)</f>
        <v>N/A</v>
      </c>
      <c r="F29" s="447" t="str">
        <f>VLOOKUP($A29, 'Matriz POA 2024-TRABAJO'!$A$5:$CY$9142,17,FALSE)</f>
        <v>N/A</v>
      </c>
      <c r="G29" s="447" t="str">
        <f>VLOOKUP($A29, 'Matriz POA 2024-TRABAJO'!$A$5:$CY$9142,20,FALSE)</f>
        <v>N/A</v>
      </c>
      <c r="H29" s="447" t="str">
        <f>VLOOKUP($A29, 'Matriz POA 2024-TRABAJO'!$A$5:$CY$9142,23,FALSE)</f>
        <v>NUEVA</v>
      </c>
      <c r="I29" s="447" t="str">
        <f>VLOOKUP($A29, 'Matriz POA 2024-TRABAJO'!$A$5:$CY$9142,24,FALSE)</f>
        <v>Servicios Personales por Contrato</v>
      </c>
      <c r="J29" s="447" t="str">
        <f>VLOOKUP($A29,'Matriz POA 2024-TRABAJO'!$A$5:$CY$9142,25,FALSE)</f>
        <v>0035</v>
      </c>
      <c r="K29" s="448" t="str">
        <f>VLOOKUP($A29,'Matriz POA 2024-TRABAJO'!$A$5:$CY$9142,26,FALSE)</f>
        <v>80</v>
      </c>
      <c r="L29" s="448" t="str">
        <f>VLOOKUP($A29,'Matriz POA 2024-TRABAJO'!$A$5:$CY$9142,27,FALSE)</f>
        <v>000</v>
      </c>
      <c r="M29" s="448" t="str">
        <f>VLOOKUP($A29,'Matriz POA 2024-TRABAJO'!$A$5:$CY$9142,28,FALSE)</f>
        <v>002</v>
      </c>
      <c r="N29" s="448" t="str">
        <f>VLOOKUP($A29,'Matriz POA 2024-TRABAJO'!$A$5:$CY$9142,29,FALSE)</f>
        <v>51</v>
      </c>
      <c r="O29" s="448">
        <f>VLOOKUP($A29,'Matriz POA 2024-TRABAJO'!$A$5:$CY$9142,30,FALSE)</f>
        <v>510510</v>
      </c>
      <c r="P29" s="448" t="str">
        <f>VLOOKUP($A29,'Matriz POA 2024-TRABAJO'!$A$5:$CY$9142,31,FALSE)</f>
        <v>Servicios Personales por Contrato</v>
      </c>
      <c r="Q29" s="448">
        <f>VLOOKUP($A29,'Matriz POA 2024-TRABAJO'!$A$5:$CY$9142,32,FALSE)</f>
        <v>1300</v>
      </c>
      <c r="R29" s="448" t="str">
        <f>VLOOKUP($A29,'Matriz POA 2024-TRABAJO'!$A$5:$CY$9142,33,FALSE)</f>
        <v>001</v>
      </c>
      <c r="S29" s="448" t="str">
        <f>VLOOKUP($A29,'Matriz POA 2024-TRABAJO'!$A$5:$CY$9142,34,FALSE)</f>
        <v>0000</v>
      </c>
      <c r="T29" s="448" t="str">
        <f>VLOOKUP($A29,'Matriz POA 2024-TRABAJO'!$A$5:$CY$9142,35,FALSE)</f>
        <v>0000</v>
      </c>
      <c r="U29" s="449">
        <f>VLOOKUP($A29,'Matriz POA 2024-TRABAJO'!$A$5:$CY$9142,47,FALSE)</f>
        <v>32136</v>
      </c>
      <c r="V29" s="51">
        <v>2678</v>
      </c>
      <c r="W29" s="51">
        <v>2678</v>
      </c>
      <c r="X29" s="51">
        <v>2678</v>
      </c>
      <c r="Y29" s="51">
        <v>2678</v>
      </c>
      <c r="Z29" s="51">
        <v>2678</v>
      </c>
      <c r="AA29" s="51">
        <v>2678</v>
      </c>
      <c r="AB29" s="51">
        <v>2678</v>
      </c>
      <c r="AC29" s="51">
        <f>2678</f>
        <v>2678</v>
      </c>
      <c r="AD29" s="51">
        <f>2678</f>
        <v>2678</v>
      </c>
      <c r="AE29" s="51">
        <v>2678</v>
      </c>
      <c r="AF29" s="51">
        <f>2678</f>
        <v>2678</v>
      </c>
      <c r="AG29" s="51">
        <f>2678</f>
        <v>2678</v>
      </c>
      <c r="AH29" s="3">
        <f>VLOOKUP($A29, 'Matriz POA 2024-TRABAJO'!$A$5:$CY$9142,61,FALSE)</f>
        <v>32136</v>
      </c>
      <c r="AI29" s="406">
        <f t="shared" si="2"/>
        <v>32136</v>
      </c>
      <c r="AJ29" s="407">
        <f t="shared" si="3"/>
        <v>0</v>
      </c>
    </row>
    <row r="30" spans="1:36" ht="15" hidden="1" customHeight="1">
      <c r="A30" s="341">
        <v>424</v>
      </c>
      <c r="B30" s="447" t="str">
        <f>VLOOKUP($A30, 'Matriz POA 2024-TRABAJO'!$A$5:$CY$9142,11,FALSE)</f>
        <v>Corporación Ciudad Alfaro</v>
      </c>
      <c r="C30" s="447" t="str">
        <f>VLOOKUP($A30, 'Matriz POA 2024-TRABAJO'!$A$5:$CY$9142,14,FALSE)</f>
        <v>N/A</v>
      </c>
      <c r="D30" s="447" t="str">
        <f>VLOOKUP($A30, 'Matriz POA 2024-TRABAJO'!$A$5:$CY$9142,15,FALSE)</f>
        <v>N/A</v>
      </c>
      <c r="E30" s="447" t="str">
        <f>VLOOKUP($A30, 'Matriz POA 2024-TRABAJO'!$A$5:$CY$9142,18,FALSE)</f>
        <v>N/A</v>
      </c>
      <c r="F30" s="447" t="str">
        <f>VLOOKUP($A30, 'Matriz POA 2024-TRABAJO'!$A$5:$CY$9142,17,FALSE)</f>
        <v>N/A</v>
      </c>
      <c r="G30" s="447" t="str">
        <f>VLOOKUP($A30, 'Matriz POA 2024-TRABAJO'!$A$5:$CY$9142,20,FALSE)</f>
        <v>N/A</v>
      </c>
      <c r="H30" s="447" t="str">
        <f>VLOOKUP($A30, 'Matriz POA 2024-TRABAJO'!$A$5:$CY$9142,23,FALSE)</f>
        <v>NUEVA</v>
      </c>
      <c r="I30" s="447" t="str">
        <f>VLOOKUP($A30, 'Matriz POA 2024-TRABAJO'!$A$5:$CY$9142,24,FALSE)</f>
        <v xml:space="preserve">Aporte Patronal </v>
      </c>
      <c r="J30" s="447" t="str">
        <f>VLOOKUP($A30,'Matriz POA 2024-TRABAJO'!$A$5:$CY$9142,25,FALSE)</f>
        <v>0035</v>
      </c>
      <c r="K30" s="448" t="str">
        <f>VLOOKUP($A30,'Matriz POA 2024-TRABAJO'!$A$5:$CY$9142,26,FALSE)</f>
        <v>80</v>
      </c>
      <c r="L30" s="448" t="str">
        <f>VLOOKUP($A30,'Matriz POA 2024-TRABAJO'!$A$5:$CY$9142,27,FALSE)</f>
        <v>000</v>
      </c>
      <c r="M30" s="448" t="str">
        <f>VLOOKUP($A30,'Matriz POA 2024-TRABAJO'!$A$5:$CY$9142,28,FALSE)</f>
        <v>002</v>
      </c>
      <c r="N30" s="448" t="str">
        <f>VLOOKUP($A30,'Matriz POA 2024-TRABAJO'!$A$5:$CY$9142,29,FALSE)</f>
        <v>51</v>
      </c>
      <c r="O30" s="448">
        <f>VLOOKUP($A30,'Matriz POA 2024-TRABAJO'!$A$5:$CY$9142,30,FALSE)</f>
        <v>510601</v>
      </c>
      <c r="P30" s="448" t="str">
        <f>VLOOKUP($A30,'Matriz POA 2024-TRABAJO'!$A$5:$CY$9142,31,FALSE)</f>
        <v>Aporte Patronal</v>
      </c>
      <c r="Q30" s="448">
        <f>VLOOKUP($A30,'Matriz POA 2024-TRABAJO'!$A$5:$CY$9142,32,FALSE)</f>
        <v>1300</v>
      </c>
      <c r="R30" s="448" t="str">
        <f>VLOOKUP($A30,'Matriz POA 2024-TRABAJO'!$A$5:$CY$9142,33,FALSE)</f>
        <v>001</v>
      </c>
      <c r="S30" s="448" t="str">
        <f>VLOOKUP($A30,'Matriz POA 2024-TRABAJO'!$A$5:$CY$9142,34,FALSE)</f>
        <v>0000</v>
      </c>
      <c r="T30" s="448" t="str">
        <f>VLOOKUP($A30,'Matriz POA 2024-TRABAJO'!$A$5:$CY$9142,35,FALSE)</f>
        <v>0000</v>
      </c>
      <c r="U30" s="449">
        <f>VLOOKUP($A30,'Matriz POA 2024-TRABAJO'!$A$5:$CY$9142,47,FALSE)</f>
        <v>37997.769999999997</v>
      </c>
      <c r="V30" s="51">
        <v>3149.96</v>
      </c>
      <c r="W30" s="51">
        <v>3149.96</v>
      </c>
      <c r="X30" s="51">
        <v>3149.96</v>
      </c>
      <c r="Y30" s="51">
        <v>3149.96</v>
      </c>
      <c r="Z30" s="51">
        <v>3149.96</v>
      </c>
      <c r="AA30" s="51">
        <v>3149.96</v>
      </c>
      <c r="AB30" s="51">
        <v>3149.96</v>
      </c>
      <c r="AC30" s="51">
        <f>57.26+3.9+62.98+3033</f>
        <v>3157.14</v>
      </c>
      <c r="AD30" s="51">
        <f>62.98+62.98+3033</f>
        <v>3158.96</v>
      </c>
      <c r="AE30" s="51">
        <v>3033</v>
      </c>
      <c r="AF30" s="51">
        <f>2994.57</f>
        <v>2994.57</v>
      </c>
      <c r="AG30" s="51">
        <f>38.43+2928.2+86.28</f>
        <v>3052.91</v>
      </c>
      <c r="AH30" s="3">
        <f>VLOOKUP($A30, 'Matriz POA 2024-TRABAJO'!$A$5:$CY$9142,61,FALSE)</f>
        <v>37997.769999999997</v>
      </c>
      <c r="AI30" s="406">
        <f t="shared" si="2"/>
        <v>37446.300000000003</v>
      </c>
      <c r="AJ30" s="407">
        <f t="shared" si="3"/>
        <v>551.46999999999389</v>
      </c>
    </row>
    <row r="31" spans="1:36" ht="15" hidden="1" customHeight="1">
      <c r="A31" s="341">
        <v>454</v>
      </c>
      <c r="B31" s="447" t="str">
        <f>VLOOKUP($A31, 'Matriz POA 2024-TRABAJO'!$A$5:$CY$9142,11,FALSE)</f>
        <v>Corporación Ciudad Alfaro</v>
      </c>
      <c r="C31" s="447" t="str">
        <f>VLOOKUP($A31, 'Matriz POA 2024-TRABAJO'!$A$5:$CY$9142,14,FALSE)</f>
        <v>N/A</v>
      </c>
      <c r="D31" s="447" t="str">
        <f>VLOOKUP($A31, 'Matriz POA 2024-TRABAJO'!$A$5:$CY$9142,15,FALSE)</f>
        <v>N/A</v>
      </c>
      <c r="E31" s="447" t="str">
        <f>VLOOKUP($A31, 'Matriz POA 2024-TRABAJO'!$A$5:$CY$9142,18,FALSE)</f>
        <v>N/A</v>
      </c>
      <c r="F31" s="447" t="str">
        <f>VLOOKUP($A31, 'Matriz POA 2024-TRABAJO'!$A$5:$CY$9142,17,FALSE)</f>
        <v>N/A</v>
      </c>
      <c r="G31" s="447" t="str">
        <f>VLOOKUP($A31, 'Matriz POA 2024-TRABAJO'!$A$5:$CY$9142,20,FALSE)</f>
        <v>N/A</v>
      </c>
      <c r="H31" s="447" t="str">
        <f>VLOOKUP($A31, 'Matriz POA 2024-TRABAJO'!$A$5:$CY$9142,23,FALSE)</f>
        <v>ARRASTRE</v>
      </c>
      <c r="I31" s="447" t="str">
        <f>VLOOKUP($A31, 'Matriz POA 2024-TRABAJO'!$A$5:$CY$9142,24,FALSE)</f>
        <v>Pago Mensual del servicio de Agua Potable del mes de Diciembre del 2023 del Museo Centro Cultural de Manta</v>
      </c>
      <c r="J31" s="447" t="str">
        <f>VLOOKUP($A31,'Matriz POA 2024-TRABAJO'!$A$5:$CY$9142,25,FALSE)</f>
        <v>0035</v>
      </c>
      <c r="K31" s="448" t="str">
        <f>VLOOKUP($A31,'Matriz POA 2024-TRABAJO'!$A$5:$CY$9142,26,FALSE)</f>
        <v>80</v>
      </c>
      <c r="L31" s="448" t="str">
        <f>VLOOKUP($A31,'Matriz POA 2024-TRABAJO'!$A$5:$CY$9142,27,FALSE)</f>
        <v>000</v>
      </c>
      <c r="M31" s="448" t="str">
        <f>VLOOKUP($A31,'Matriz POA 2024-TRABAJO'!$A$5:$CY$9142,28,FALSE)</f>
        <v>002</v>
      </c>
      <c r="N31" s="448" t="str">
        <f>VLOOKUP($A31,'Matriz POA 2024-TRABAJO'!$A$5:$CY$9142,29,FALSE)</f>
        <v>53</v>
      </c>
      <c r="O31" s="448">
        <f>VLOOKUP($A31,'Matriz POA 2024-TRABAJO'!$A$5:$CY$9142,30,FALSE)</f>
        <v>530101</v>
      </c>
      <c r="P31" s="448" t="str">
        <f>VLOOKUP($A31,'Matriz POA 2024-TRABAJO'!$A$5:$CY$9142,31,FALSE)</f>
        <v>Agua Potable</v>
      </c>
      <c r="Q31" s="448">
        <f>VLOOKUP($A31,'Matriz POA 2024-TRABAJO'!$A$5:$CY$9142,32,FALSE)</f>
        <v>1308</v>
      </c>
      <c r="R31" s="448" t="str">
        <f>VLOOKUP($A31,'Matriz POA 2024-TRABAJO'!$A$5:$CY$9142,33,FALSE)</f>
        <v>001</v>
      </c>
      <c r="S31" s="448" t="str">
        <f>VLOOKUP($A31,'Matriz POA 2024-TRABAJO'!$A$5:$CY$9142,34,FALSE)</f>
        <v>0000</v>
      </c>
      <c r="T31" s="448" t="str">
        <f>VLOOKUP($A31,'Matriz POA 2024-TRABAJO'!$A$5:$CY$9142,35,FALSE)</f>
        <v>0000</v>
      </c>
      <c r="U31" s="449">
        <f>VLOOKUP($A31,'Matriz POA 2024-TRABAJO'!$A$5:$CY$9142,47,FALSE)</f>
        <v>15</v>
      </c>
      <c r="V31" s="51"/>
      <c r="W31" s="51">
        <v>14.77</v>
      </c>
      <c r="X31" s="51"/>
      <c r="Y31" s="51"/>
      <c r="Z31" s="51"/>
      <c r="AA31" s="51"/>
      <c r="AB31" s="51"/>
      <c r="AC31" s="51"/>
      <c r="AD31" s="51"/>
      <c r="AE31" s="51"/>
      <c r="AF31" s="51"/>
      <c r="AG31" s="51"/>
      <c r="AH31" s="3">
        <f>VLOOKUP($A31, 'Matriz POA 2024-TRABAJO'!$A$5:$CY$9142,61,FALSE)</f>
        <v>15</v>
      </c>
      <c r="AI31" s="406">
        <f t="shared" si="2"/>
        <v>14.77</v>
      </c>
      <c r="AJ31" s="407">
        <f t="shared" si="3"/>
        <v>0.23000000000000043</v>
      </c>
    </row>
    <row r="32" spans="1:36" ht="15" hidden="1" customHeight="1">
      <c r="A32" s="341">
        <v>463</v>
      </c>
      <c r="B32" s="447" t="str">
        <f>VLOOKUP($A32, 'Matriz POA 2024-TRABAJO'!$A$5:$CY$9142,11,FALSE)</f>
        <v>Corporación Ciudad Alfaro</v>
      </c>
      <c r="C32" s="447" t="str">
        <f>VLOOKUP($A32, 'Matriz POA 2024-TRABAJO'!$A$5:$CY$9142,14,FALSE)</f>
        <v>N/A</v>
      </c>
      <c r="D32" s="447" t="str">
        <f>VLOOKUP($A32, 'Matriz POA 2024-TRABAJO'!$A$5:$CY$9142,15,FALSE)</f>
        <v>N/A</v>
      </c>
      <c r="E32" s="447" t="str">
        <f>VLOOKUP($A32, 'Matriz POA 2024-TRABAJO'!$A$5:$CY$9142,18,FALSE)</f>
        <v>N/A</v>
      </c>
      <c r="F32" s="447" t="str">
        <f>VLOOKUP($A32, 'Matriz POA 2024-TRABAJO'!$A$5:$CY$9142,17,FALSE)</f>
        <v>N/A</v>
      </c>
      <c r="G32" s="447" t="str">
        <f>VLOOKUP($A32, 'Matriz POA 2024-TRABAJO'!$A$5:$CY$9142,20,FALSE)</f>
        <v>N/A</v>
      </c>
      <c r="H32" s="447" t="str">
        <f>VLOOKUP($A32, 'Matriz POA 2024-TRABAJO'!$A$5:$CY$9142,23,FALSE)</f>
        <v>NUEVA</v>
      </c>
      <c r="I32" s="447" t="str">
        <f>VLOOKUP($A32, 'Matriz POA 2024-TRABAJO'!$A$5:$CY$9142,24,FALSE)</f>
        <v>Pago de tasas y contribuciones a los predios urbanos y cuerpo de bomberos del Museo Bahía de Caráquez</v>
      </c>
      <c r="J32" s="447" t="str">
        <f>VLOOKUP($A32,'Matriz POA 2024-TRABAJO'!$A$5:$CY$9142,25,FALSE)</f>
        <v>0035</v>
      </c>
      <c r="K32" s="448" t="str">
        <f>VLOOKUP($A32,'Matriz POA 2024-TRABAJO'!$A$5:$CY$9142,26,FALSE)</f>
        <v>80</v>
      </c>
      <c r="L32" s="448" t="str">
        <f>VLOOKUP($A32,'Matriz POA 2024-TRABAJO'!$A$5:$CY$9142,27,FALSE)</f>
        <v>000</v>
      </c>
      <c r="M32" s="448" t="str">
        <f>VLOOKUP($A32,'Matriz POA 2024-TRABAJO'!$A$5:$CY$9142,28,FALSE)</f>
        <v>002</v>
      </c>
      <c r="N32" s="448" t="str">
        <f>VLOOKUP($A32,'Matriz POA 2024-TRABAJO'!$A$5:$CY$9142,29,FALSE)</f>
        <v>57</v>
      </c>
      <c r="O32" s="448">
        <f>VLOOKUP($A32,'Matriz POA 2024-TRABAJO'!$A$5:$CY$9142,30,FALSE)</f>
        <v>570102</v>
      </c>
      <c r="P32" s="448" t="str">
        <f>VLOOKUP($A32,'Matriz POA 2024-TRABAJO'!$A$5:$CY$9142,31,FALSE)</f>
        <v>Tasas Generales, Impuestos, Contribuciones, Permisos, Licencias y Patentes.</v>
      </c>
      <c r="Q32" s="448">
        <f>VLOOKUP($A32,'Matriz POA 2024-TRABAJO'!$A$5:$CY$9142,32,FALSE)</f>
        <v>1314</v>
      </c>
      <c r="R32" s="448" t="str">
        <f>VLOOKUP($A32,'Matriz POA 2024-TRABAJO'!$A$5:$CY$9142,33,FALSE)</f>
        <v>001</v>
      </c>
      <c r="S32" s="448" t="str">
        <f>VLOOKUP($A32,'Matriz POA 2024-TRABAJO'!$A$5:$CY$9142,34,FALSE)</f>
        <v>0000</v>
      </c>
      <c r="T32" s="448" t="str">
        <f>VLOOKUP($A32,'Matriz POA 2024-TRABAJO'!$A$5:$CY$9142,35,FALSE)</f>
        <v>0000</v>
      </c>
      <c r="U32" s="449">
        <f>VLOOKUP($A32,'Matriz POA 2024-TRABAJO'!$A$5:$CY$9142,47,FALSE)</f>
        <v>2500</v>
      </c>
      <c r="V32" s="51"/>
      <c r="W32" s="51"/>
      <c r="X32" s="51">
        <v>1190.3699999999999</v>
      </c>
      <c r="Y32" s="51"/>
      <c r="Z32" s="51"/>
      <c r="AA32" s="51"/>
      <c r="AB32" s="51"/>
      <c r="AC32" s="51"/>
      <c r="AD32" s="51">
        <v>684.5</v>
      </c>
      <c r="AE32" s="51"/>
      <c r="AF32" s="51"/>
      <c r="AG32" s="51"/>
      <c r="AH32" s="3">
        <f>VLOOKUP($A32, 'Matriz POA 2024-TRABAJO'!$A$5:$CY$9142,61,FALSE)</f>
        <v>2500</v>
      </c>
      <c r="AI32" s="406">
        <f t="shared" si="2"/>
        <v>1874.87</v>
      </c>
      <c r="AJ32" s="407">
        <f t="shared" si="3"/>
        <v>625.13000000000011</v>
      </c>
    </row>
    <row r="33" spans="1:36" ht="15" hidden="1" customHeight="1">
      <c r="A33" s="341">
        <v>732</v>
      </c>
      <c r="B33" s="447" t="str">
        <f>VLOOKUP($A33, 'Matriz POA 2024-TRABAJO'!$A$5:$CY$9142,11,FALSE)</f>
        <v>Corporación Ciudad Alfaro</v>
      </c>
      <c r="C33" s="447" t="str">
        <f>VLOOKUP($A33, 'Matriz POA 2024-TRABAJO'!$A$5:$CY$9142,14,FALSE)</f>
        <v>N/A</v>
      </c>
      <c r="D33" s="447" t="str">
        <f>VLOOKUP($A33, 'Matriz POA 2024-TRABAJO'!$A$5:$CY$9142,15,FALSE)</f>
        <v>N/A</v>
      </c>
      <c r="E33" s="447" t="str">
        <f>VLOOKUP($A33, 'Matriz POA 2024-TRABAJO'!$A$5:$CY$9142,18,FALSE)</f>
        <v>N/A</v>
      </c>
      <c r="F33" s="447" t="str">
        <f>VLOOKUP($A33, 'Matriz POA 2024-TRABAJO'!$A$5:$CY$9142,17,FALSE)</f>
        <v>N/A</v>
      </c>
      <c r="G33" s="447" t="str">
        <f>VLOOKUP($A33, 'Matriz POA 2024-TRABAJO'!$A$5:$CY$9142,20,FALSE)</f>
        <v>N/A</v>
      </c>
      <c r="H33" s="447" t="str">
        <f>VLOOKUP($A33, 'Matriz POA 2024-TRABAJO'!$A$5:$CY$9142,23,FALSE)</f>
        <v>ARRASTRE</v>
      </c>
      <c r="I33" s="447" t="str">
        <f>VLOOKUP($A33, 'Matriz POA 2024-TRABAJO'!$A$5:$CY$9142,24,FALSE)</f>
        <v>Pago del servicio de telefonía fija e internet del mes de Diciembre del 2023 de la Corporación Ciudad Alfaro</v>
      </c>
      <c r="J33" s="447" t="str">
        <f>VLOOKUP($A33,'Matriz POA 2024-TRABAJO'!$A$5:$CY$9142,25,FALSE)</f>
        <v>0035</v>
      </c>
      <c r="K33" s="448" t="str">
        <f>VLOOKUP($A33,'Matriz POA 2024-TRABAJO'!$A$5:$CY$9142,26,FALSE)</f>
        <v>80</v>
      </c>
      <c r="L33" s="448" t="str">
        <f>VLOOKUP($A33,'Matriz POA 2024-TRABAJO'!$A$5:$CY$9142,27,FALSE)</f>
        <v>000</v>
      </c>
      <c r="M33" s="448" t="str">
        <f>VLOOKUP($A33,'Matriz POA 2024-TRABAJO'!$A$5:$CY$9142,28,FALSE)</f>
        <v>002</v>
      </c>
      <c r="N33" s="448" t="str">
        <f>VLOOKUP($A33,'Matriz POA 2024-TRABAJO'!$A$5:$CY$9142,29,FALSE)</f>
        <v>53</v>
      </c>
      <c r="O33" s="448">
        <f>VLOOKUP($A33,'Matriz POA 2024-TRABAJO'!$A$5:$CY$9142,30,FALSE)</f>
        <v>530105</v>
      </c>
      <c r="P33" s="448" t="str">
        <f>VLOOKUP($A33,'Matriz POA 2024-TRABAJO'!$A$5:$CY$9142,31,FALSE)</f>
        <v>Telecomunicaciones</v>
      </c>
      <c r="Q33" s="448">
        <f>VLOOKUP($A33,'Matriz POA 2024-TRABAJO'!$A$5:$CY$9142,32,FALSE)</f>
        <v>1309</v>
      </c>
      <c r="R33" s="448" t="str">
        <f>VLOOKUP($A33,'Matriz POA 2024-TRABAJO'!$A$5:$CY$9142,33,FALSE)</f>
        <v>001</v>
      </c>
      <c r="S33" s="448" t="str">
        <f>VLOOKUP($A33,'Matriz POA 2024-TRABAJO'!$A$5:$CY$9142,34,FALSE)</f>
        <v>0000</v>
      </c>
      <c r="T33" s="448" t="str">
        <f>VLOOKUP($A33,'Matriz POA 2024-TRABAJO'!$A$5:$CY$9142,35,FALSE)</f>
        <v>0000</v>
      </c>
      <c r="U33" s="449">
        <f>VLOOKUP($A33,'Matriz POA 2024-TRABAJO'!$A$5:$CY$9142,47,FALSE)</f>
        <v>1194.77</v>
      </c>
      <c r="V33" s="51"/>
      <c r="W33" s="51"/>
      <c r="X33" s="51">
        <v>1066.76</v>
      </c>
      <c r="Y33" s="51"/>
      <c r="Z33" s="51"/>
      <c r="AA33" s="51"/>
      <c r="AB33" s="51"/>
      <c r="AC33" s="51"/>
      <c r="AD33" s="51"/>
      <c r="AE33" s="51"/>
      <c r="AF33" s="51"/>
      <c r="AG33" s="51"/>
      <c r="AH33" s="3">
        <f>VLOOKUP($A33, 'Matriz POA 2024-TRABAJO'!$A$5:$CY$9142,61,FALSE)</f>
        <v>1194.77</v>
      </c>
      <c r="AI33" s="406">
        <f t="shared" si="2"/>
        <v>1066.76</v>
      </c>
      <c r="AJ33" s="407">
        <f t="shared" si="3"/>
        <v>128.01</v>
      </c>
    </row>
    <row r="34" spans="1:36" ht="15" hidden="1" customHeight="1">
      <c r="A34" s="341">
        <v>432</v>
      </c>
      <c r="B34" s="447" t="str">
        <f>VLOOKUP($A34, 'Matriz POA 2024-TRABAJO'!$A$5:$CY$9142,11,FALSE)</f>
        <v>Corporación Ciudad Alfaro</v>
      </c>
      <c r="C34" s="447" t="str">
        <f>VLOOKUP($A34, 'Matriz POA 2024-TRABAJO'!$A$5:$CY$9142,14,FALSE)</f>
        <v>N/A</v>
      </c>
      <c r="D34" s="447" t="str">
        <f>VLOOKUP($A34, 'Matriz POA 2024-TRABAJO'!$A$5:$CY$9142,15,FALSE)</f>
        <v>N/A</v>
      </c>
      <c r="E34" s="447" t="str">
        <f>VLOOKUP($A34, 'Matriz POA 2024-TRABAJO'!$A$5:$CY$9142,18,FALSE)</f>
        <v>N/A</v>
      </c>
      <c r="F34" s="447" t="str">
        <f>VLOOKUP($A34, 'Matriz POA 2024-TRABAJO'!$A$5:$CY$9142,17,FALSE)</f>
        <v>N/A</v>
      </c>
      <c r="G34" s="447" t="str">
        <f>VLOOKUP($A34, 'Matriz POA 2024-TRABAJO'!$A$5:$CY$9142,20,FALSE)</f>
        <v>N/A</v>
      </c>
      <c r="H34" s="447" t="str">
        <f>VLOOKUP($A34, 'Matriz POA 2024-TRABAJO'!$A$5:$CY$9142,23,FALSE)</f>
        <v>NUEVA</v>
      </c>
      <c r="I34" s="447" t="str">
        <f>VLOOKUP($A34, 'Matriz POA 2024-TRABAJO'!$A$5:$CY$9142,24,FALSE)</f>
        <v>Pago del servicio de telefonía fija e internet de la Corporación Ciudad Alfaro</v>
      </c>
      <c r="J34" s="447" t="str">
        <f>VLOOKUP($A34,'Matriz POA 2024-TRABAJO'!$A$5:$CY$9142,25,FALSE)</f>
        <v>0035</v>
      </c>
      <c r="K34" s="448" t="str">
        <f>VLOOKUP($A34,'Matriz POA 2024-TRABAJO'!$A$5:$CY$9142,26,FALSE)</f>
        <v>80</v>
      </c>
      <c r="L34" s="448" t="str">
        <f>VLOOKUP($A34,'Matriz POA 2024-TRABAJO'!$A$5:$CY$9142,27,FALSE)</f>
        <v>000</v>
      </c>
      <c r="M34" s="448" t="str">
        <f>VLOOKUP($A34,'Matriz POA 2024-TRABAJO'!$A$5:$CY$9142,28,FALSE)</f>
        <v>002</v>
      </c>
      <c r="N34" s="448" t="str">
        <f>VLOOKUP($A34,'Matriz POA 2024-TRABAJO'!$A$5:$CY$9142,29,FALSE)</f>
        <v>53</v>
      </c>
      <c r="O34" s="448">
        <f>VLOOKUP($A34,'Matriz POA 2024-TRABAJO'!$A$5:$CY$9142,30,FALSE)</f>
        <v>530105</v>
      </c>
      <c r="P34" s="448" t="str">
        <f>VLOOKUP($A34,'Matriz POA 2024-TRABAJO'!$A$5:$CY$9142,31,FALSE)</f>
        <v>Telecomunicaciones</v>
      </c>
      <c r="Q34" s="448">
        <f>VLOOKUP($A34,'Matriz POA 2024-TRABAJO'!$A$5:$CY$9142,32,FALSE)</f>
        <v>1309</v>
      </c>
      <c r="R34" s="448" t="str">
        <f>VLOOKUP($A34,'Matriz POA 2024-TRABAJO'!$A$5:$CY$9142,33,FALSE)</f>
        <v>001</v>
      </c>
      <c r="S34" s="448" t="str">
        <f>VLOOKUP($A34,'Matriz POA 2024-TRABAJO'!$A$5:$CY$9142,34,FALSE)</f>
        <v>0000</v>
      </c>
      <c r="T34" s="448" t="str">
        <f>VLOOKUP($A34,'Matriz POA 2024-TRABAJO'!$A$5:$CY$9142,35,FALSE)</f>
        <v>0000</v>
      </c>
      <c r="U34" s="449">
        <f>VLOOKUP($A34,'Matriz POA 2024-TRABAJO'!$A$5:$CY$9142,47,FALSE)</f>
        <v>7438.36</v>
      </c>
      <c r="V34" s="51"/>
      <c r="W34" s="51"/>
      <c r="X34" s="51">
        <v>1323.68</v>
      </c>
      <c r="Y34" s="51"/>
      <c r="Z34" s="51">
        <v>1323.68</v>
      </c>
      <c r="AA34" s="51">
        <v>661.84</v>
      </c>
      <c r="AB34" s="51">
        <v>506.92</v>
      </c>
      <c r="AC34" s="51"/>
      <c r="AD34" s="51">
        <f>661.84+661.84</f>
        <v>1323.68</v>
      </c>
      <c r="AE34" s="51">
        <v>661.84</v>
      </c>
      <c r="AF34" s="51"/>
      <c r="AG34" s="51"/>
      <c r="AH34" s="3">
        <f>VLOOKUP($A34, 'Matriz POA 2024-TRABAJO'!$A$5:$CY$9142,61,FALSE)</f>
        <v>7438.3600000000006</v>
      </c>
      <c r="AI34" s="406">
        <f t="shared" si="2"/>
        <v>5801.64</v>
      </c>
      <c r="AJ34" s="407">
        <f t="shared" si="3"/>
        <v>1636.7200000000003</v>
      </c>
    </row>
    <row r="35" spans="1:36" ht="15" hidden="1" customHeight="1">
      <c r="A35" s="341">
        <v>442</v>
      </c>
      <c r="B35" s="447" t="str">
        <f>VLOOKUP($A35, 'Matriz POA 2024-TRABAJO'!$A$5:$CY$9142,11,FALSE)</f>
        <v>Corporación Ciudad Alfaro</v>
      </c>
      <c r="C35" s="447" t="str">
        <f>VLOOKUP($A35, 'Matriz POA 2024-TRABAJO'!$A$5:$CY$9142,14,FALSE)</f>
        <v>N/A</v>
      </c>
      <c r="D35" s="447" t="str">
        <f>VLOOKUP($A35, 'Matriz POA 2024-TRABAJO'!$A$5:$CY$9142,15,FALSE)</f>
        <v>N/A</v>
      </c>
      <c r="E35" s="447" t="str">
        <f>VLOOKUP($A35, 'Matriz POA 2024-TRABAJO'!$A$5:$CY$9142,18,FALSE)</f>
        <v>N/A</v>
      </c>
      <c r="F35" s="447" t="str">
        <f>VLOOKUP($A35, 'Matriz POA 2024-TRABAJO'!$A$5:$CY$9142,17,FALSE)</f>
        <v>N/A</v>
      </c>
      <c r="G35" s="447" t="str">
        <f>VLOOKUP($A35, 'Matriz POA 2024-TRABAJO'!$A$5:$CY$9142,20,FALSE)</f>
        <v>N/A</v>
      </c>
      <c r="H35" s="447" t="str">
        <f>VLOOKUP($A35, 'Matriz POA 2024-TRABAJO'!$A$5:$CY$9142,23,FALSE)</f>
        <v>ARRASTRE</v>
      </c>
      <c r="I35" s="447" t="str">
        <f>VLOOKUP($A35, 'Matriz POA 2024-TRABAJO'!$A$5:$CY$9142,24,FALSE)</f>
        <v>Pago del servicio de agua potable de los meses de Octubre, Noviembre y Diciembre del 2023 de la Corporación Ciudad Alfaro</v>
      </c>
      <c r="J35" s="447" t="str">
        <f>VLOOKUP($A35,'Matriz POA 2024-TRABAJO'!$A$5:$CY$9142,25,FALSE)</f>
        <v>0035</v>
      </c>
      <c r="K35" s="448" t="str">
        <f>VLOOKUP($A35,'Matriz POA 2024-TRABAJO'!$A$5:$CY$9142,26,FALSE)</f>
        <v>80</v>
      </c>
      <c r="L35" s="448" t="str">
        <f>VLOOKUP($A35,'Matriz POA 2024-TRABAJO'!$A$5:$CY$9142,27,FALSE)</f>
        <v>000</v>
      </c>
      <c r="M35" s="448" t="str">
        <f>VLOOKUP($A35,'Matriz POA 2024-TRABAJO'!$A$5:$CY$9142,28,FALSE)</f>
        <v>002</v>
      </c>
      <c r="N35" s="448" t="str">
        <f>VLOOKUP($A35,'Matriz POA 2024-TRABAJO'!$A$5:$CY$9142,29,FALSE)</f>
        <v>53</v>
      </c>
      <c r="O35" s="448">
        <f>VLOOKUP($A35,'Matriz POA 2024-TRABAJO'!$A$5:$CY$9142,30,FALSE)</f>
        <v>530101</v>
      </c>
      <c r="P35" s="448" t="str">
        <f>VLOOKUP($A35,'Matriz POA 2024-TRABAJO'!$A$5:$CY$9142,31,FALSE)</f>
        <v>Agua Potable</v>
      </c>
      <c r="Q35" s="448">
        <f>VLOOKUP($A35,'Matriz POA 2024-TRABAJO'!$A$5:$CY$9142,32,FALSE)</f>
        <v>1309</v>
      </c>
      <c r="R35" s="448" t="str">
        <f>VLOOKUP($A35,'Matriz POA 2024-TRABAJO'!$A$5:$CY$9142,33,FALSE)</f>
        <v>001</v>
      </c>
      <c r="S35" s="448" t="str">
        <f>VLOOKUP($A35,'Matriz POA 2024-TRABAJO'!$A$5:$CY$9142,34,FALSE)</f>
        <v>0000</v>
      </c>
      <c r="T35" s="448" t="str">
        <f>VLOOKUP($A35,'Matriz POA 2024-TRABAJO'!$A$5:$CY$9142,35,FALSE)</f>
        <v>0000</v>
      </c>
      <c r="U35" s="449">
        <f>VLOOKUP($A35,'Matriz POA 2024-TRABAJO'!$A$5:$CY$9142,47,FALSE)</f>
        <v>3.7000000000000455</v>
      </c>
      <c r="V35" s="51"/>
      <c r="W35" s="51"/>
      <c r="X35" s="51">
        <v>3.7</v>
      </c>
      <c r="Y35" s="51"/>
      <c r="Z35" s="51"/>
      <c r="AA35" s="51"/>
      <c r="AB35" s="51"/>
      <c r="AC35" s="51"/>
      <c r="AD35" s="51"/>
      <c r="AE35" s="51"/>
      <c r="AF35" s="51"/>
      <c r="AG35" s="51"/>
      <c r="AH35" s="3">
        <f>VLOOKUP($A35, 'Matriz POA 2024-TRABAJO'!$A$5:$CY$9142,61,FALSE)</f>
        <v>3.7</v>
      </c>
      <c r="AI35" s="406">
        <f t="shared" si="2"/>
        <v>3.7</v>
      </c>
      <c r="AJ35" s="407">
        <f t="shared" si="3"/>
        <v>0</v>
      </c>
    </row>
    <row r="36" spans="1:36" ht="15" hidden="1" customHeight="1">
      <c r="A36" s="341">
        <v>453</v>
      </c>
      <c r="B36" s="447" t="str">
        <f>VLOOKUP($A36, 'Matriz POA 2024-TRABAJO'!$A$5:$CY$9142,11,FALSE)</f>
        <v>Corporación Ciudad Alfaro</v>
      </c>
      <c r="C36" s="447" t="str">
        <f>VLOOKUP($A36, 'Matriz POA 2024-TRABAJO'!$A$5:$CY$9142,14,FALSE)</f>
        <v>N/A</v>
      </c>
      <c r="D36" s="447" t="str">
        <f>VLOOKUP($A36, 'Matriz POA 2024-TRABAJO'!$A$5:$CY$9142,15,FALSE)</f>
        <v>N/A</v>
      </c>
      <c r="E36" s="447" t="str">
        <f>VLOOKUP($A36, 'Matriz POA 2024-TRABAJO'!$A$5:$CY$9142,18,FALSE)</f>
        <v>N/A</v>
      </c>
      <c r="F36" s="447" t="str">
        <f>VLOOKUP($A36, 'Matriz POA 2024-TRABAJO'!$A$5:$CY$9142,17,FALSE)</f>
        <v>N/A</v>
      </c>
      <c r="G36" s="447" t="str">
        <f>VLOOKUP($A36, 'Matriz POA 2024-TRABAJO'!$A$5:$CY$9142,20,FALSE)</f>
        <v>N/A</v>
      </c>
      <c r="H36" s="447" t="str">
        <f>VLOOKUP($A36, 'Matriz POA 2024-TRABAJO'!$A$5:$CY$9142,23,FALSE)</f>
        <v>NUEVA</v>
      </c>
      <c r="I36" s="447" t="str">
        <f>VLOOKUP($A36, 'Matriz POA 2024-TRABAJO'!$A$5:$CY$9142,24,FALSE)</f>
        <v>Pago Mensual del servicio de Energía Eléctrica del Museo Bahía de Caráquez</v>
      </c>
      <c r="J36" s="447" t="str">
        <f>VLOOKUP($A36,'Matriz POA 2024-TRABAJO'!$A$5:$CY$9142,25,FALSE)</f>
        <v>0035</v>
      </c>
      <c r="K36" s="448" t="str">
        <f>VLOOKUP($A36,'Matriz POA 2024-TRABAJO'!$A$5:$CY$9142,26,FALSE)</f>
        <v>80</v>
      </c>
      <c r="L36" s="448" t="str">
        <f>VLOOKUP($A36,'Matriz POA 2024-TRABAJO'!$A$5:$CY$9142,27,FALSE)</f>
        <v>000</v>
      </c>
      <c r="M36" s="448" t="str">
        <f>VLOOKUP($A36,'Matriz POA 2024-TRABAJO'!$A$5:$CY$9142,28,FALSE)</f>
        <v>002</v>
      </c>
      <c r="N36" s="448" t="str">
        <f>VLOOKUP($A36,'Matriz POA 2024-TRABAJO'!$A$5:$CY$9142,29,FALSE)</f>
        <v>53</v>
      </c>
      <c r="O36" s="448">
        <f>VLOOKUP($A36,'Matriz POA 2024-TRABAJO'!$A$5:$CY$9142,30,FALSE)</f>
        <v>530104</v>
      </c>
      <c r="P36" s="448" t="str">
        <f>VLOOKUP($A36,'Matriz POA 2024-TRABAJO'!$A$5:$CY$9142,31,FALSE)</f>
        <v>Energía Eléctrica</v>
      </c>
      <c r="Q36" s="448">
        <f>VLOOKUP($A36,'Matriz POA 2024-TRABAJO'!$A$5:$CY$9142,32,FALSE)</f>
        <v>1314</v>
      </c>
      <c r="R36" s="448" t="str">
        <f>VLOOKUP($A36,'Matriz POA 2024-TRABAJO'!$A$5:$CY$9142,33,FALSE)</f>
        <v>001</v>
      </c>
      <c r="S36" s="448" t="str">
        <f>VLOOKUP($A36,'Matriz POA 2024-TRABAJO'!$A$5:$CY$9142,34,FALSE)</f>
        <v>0000</v>
      </c>
      <c r="T36" s="448" t="str">
        <f>VLOOKUP($A36,'Matriz POA 2024-TRABAJO'!$A$5:$CY$9142,35,FALSE)</f>
        <v>0000</v>
      </c>
      <c r="U36" s="449">
        <f>VLOOKUP($A36,'Matriz POA 2024-TRABAJO'!$A$5:$CY$9142,47,FALSE)</f>
        <v>6402.17</v>
      </c>
      <c r="V36" s="51"/>
      <c r="W36" s="51"/>
      <c r="X36" s="505">
        <v>781.86</v>
      </c>
      <c r="Y36" s="505">
        <v>714.28</v>
      </c>
      <c r="Z36" s="505">
        <v>707.7</v>
      </c>
      <c r="AA36" s="505">
        <v>571.37</v>
      </c>
      <c r="AB36" s="506"/>
      <c r="AC36" s="505">
        <v>622.21</v>
      </c>
      <c r="AD36" s="505">
        <v>640.01</v>
      </c>
      <c r="AE36" s="51">
        <v>764.74</v>
      </c>
      <c r="AF36" s="51">
        <v>472.57</v>
      </c>
      <c r="AG36" s="51">
        <v>197.29</v>
      </c>
      <c r="AH36" s="3">
        <f>VLOOKUP($A36, 'Matriz POA 2024-TRABAJO'!$A$5:$CY$9142,61,FALSE)</f>
        <v>6402.17</v>
      </c>
      <c r="AI36" s="406">
        <f t="shared" si="2"/>
        <v>5472.03</v>
      </c>
      <c r="AJ36" s="407">
        <f t="shared" si="3"/>
        <v>930.14000000000033</v>
      </c>
    </row>
    <row r="37" spans="1:36" ht="15" hidden="1" customHeight="1">
      <c r="A37" s="341">
        <v>443</v>
      </c>
      <c r="B37" s="447" t="str">
        <f>VLOOKUP($A37, 'Matriz POA 2024-TRABAJO'!$A$5:$CY$9142,11,FALSE)</f>
        <v>Corporación Ciudad Alfaro</v>
      </c>
      <c r="C37" s="447" t="str">
        <f>VLOOKUP($A37, 'Matriz POA 2024-TRABAJO'!$A$5:$CY$9142,14,FALSE)</f>
        <v>N/A</v>
      </c>
      <c r="D37" s="447" t="str">
        <f>VLOOKUP($A37, 'Matriz POA 2024-TRABAJO'!$A$5:$CY$9142,15,FALSE)</f>
        <v>N/A</v>
      </c>
      <c r="E37" s="447" t="str">
        <f>VLOOKUP($A37, 'Matriz POA 2024-TRABAJO'!$A$5:$CY$9142,18,FALSE)</f>
        <v>N/A</v>
      </c>
      <c r="F37" s="447" t="str">
        <f>VLOOKUP($A37, 'Matriz POA 2024-TRABAJO'!$A$5:$CY$9142,17,FALSE)</f>
        <v>N/A</v>
      </c>
      <c r="G37" s="447" t="str">
        <f>VLOOKUP($A37, 'Matriz POA 2024-TRABAJO'!$A$5:$CY$9142,20,FALSE)</f>
        <v>N/A</v>
      </c>
      <c r="H37" s="447" t="str">
        <f>VLOOKUP($A37, 'Matriz POA 2024-TRABAJO'!$A$5:$CY$9142,23,FALSE)</f>
        <v>NUEVA</v>
      </c>
      <c r="I37" s="447" t="str">
        <f>VLOOKUP($A37, 'Matriz POA 2024-TRABAJO'!$A$5:$CY$9142,24,FALSE)</f>
        <v>Pago del servicio de agua potable de la Corporación Ciudad Alfaro</v>
      </c>
      <c r="J37" s="447" t="str">
        <f>VLOOKUP($A37,'Matriz POA 2024-TRABAJO'!$A$5:$CY$9142,25,FALSE)</f>
        <v>0035</v>
      </c>
      <c r="K37" s="448" t="str">
        <f>VLOOKUP($A37,'Matriz POA 2024-TRABAJO'!$A$5:$CY$9142,26,FALSE)</f>
        <v>80</v>
      </c>
      <c r="L37" s="448" t="str">
        <f>VLOOKUP($A37,'Matriz POA 2024-TRABAJO'!$A$5:$CY$9142,27,FALSE)</f>
        <v>000</v>
      </c>
      <c r="M37" s="448" t="str">
        <f>VLOOKUP($A37,'Matriz POA 2024-TRABAJO'!$A$5:$CY$9142,28,FALSE)</f>
        <v>002</v>
      </c>
      <c r="N37" s="448" t="str">
        <f>VLOOKUP($A37,'Matriz POA 2024-TRABAJO'!$A$5:$CY$9142,29,FALSE)</f>
        <v>53</v>
      </c>
      <c r="O37" s="448">
        <f>VLOOKUP($A37,'Matriz POA 2024-TRABAJO'!$A$5:$CY$9142,30,FALSE)</f>
        <v>530101</v>
      </c>
      <c r="P37" s="448" t="str">
        <f>VLOOKUP($A37,'Matriz POA 2024-TRABAJO'!$A$5:$CY$9142,31,FALSE)</f>
        <v>Agua Potable</v>
      </c>
      <c r="Q37" s="448">
        <f>VLOOKUP($A37,'Matriz POA 2024-TRABAJO'!$A$5:$CY$9142,32,FALSE)</f>
        <v>1309</v>
      </c>
      <c r="R37" s="448" t="str">
        <f>VLOOKUP($A37,'Matriz POA 2024-TRABAJO'!$A$5:$CY$9142,33,FALSE)</f>
        <v>001</v>
      </c>
      <c r="S37" s="448" t="str">
        <f>VLOOKUP($A37,'Matriz POA 2024-TRABAJO'!$A$5:$CY$9142,34,FALSE)</f>
        <v>0000</v>
      </c>
      <c r="T37" s="448" t="str">
        <f>VLOOKUP($A37,'Matriz POA 2024-TRABAJO'!$A$5:$CY$9142,35,FALSE)</f>
        <v>0000</v>
      </c>
      <c r="U37" s="449">
        <f>VLOOKUP($A37,'Matriz POA 2024-TRABAJO'!$A$5:$CY$9142,47,FALSE)</f>
        <v>2600</v>
      </c>
      <c r="V37" s="51"/>
      <c r="W37" s="51"/>
      <c r="X37" s="51">
        <v>3.7</v>
      </c>
      <c r="Y37" s="51"/>
      <c r="Z37" s="51"/>
      <c r="AA37" s="51">
        <v>11.55</v>
      </c>
      <c r="AB37" s="51">
        <v>86.65</v>
      </c>
      <c r="AC37" s="51">
        <v>498.98</v>
      </c>
      <c r="AD37" s="51"/>
      <c r="AE37" s="51">
        <v>970.02</v>
      </c>
      <c r="AF37" s="51">
        <v>342.41</v>
      </c>
      <c r="AG37" s="51">
        <v>167.61</v>
      </c>
      <c r="AH37" s="3">
        <f>VLOOKUP($A37, 'Matriz POA 2024-TRABAJO'!$A$5:$CY$9142,61,FALSE)</f>
        <v>2600</v>
      </c>
      <c r="AI37" s="406">
        <f t="shared" si="2"/>
        <v>2080.92</v>
      </c>
      <c r="AJ37" s="407">
        <f t="shared" si="3"/>
        <v>519.07999999999993</v>
      </c>
    </row>
    <row r="38" spans="1:36" ht="15" hidden="1" customHeight="1">
      <c r="A38" s="341">
        <v>446</v>
      </c>
      <c r="B38" s="447" t="str">
        <f>VLOOKUP($A38, 'Matriz POA 2024-TRABAJO'!$A$5:$CY$9142,11,FALSE)</f>
        <v>Corporación Ciudad Alfaro</v>
      </c>
      <c r="C38" s="447" t="str">
        <f>VLOOKUP($A38, 'Matriz POA 2024-TRABAJO'!$A$5:$CY$9142,14,FALSE)</f>
        <v>N/A</v>
      </c>
      <c r="D38" s="447" t="str">
        <f>VLOOKUP($A38, 'Matriz POA 2024-TRABAJO'!$A$5:$CY$9142,15,FALSE)</f>
        <v>N/A</v>
      </c>
      <c r="E38" s="447" t="str">
        <f>VLOOKUP($A38, 'Matriz POA 2024-TRABAJO'!$A$5:$CY$9142,18,FALSE)</f>
        <v>N/A</v>
      </c>
      <c r="F38" s="447" t="str">
        <f>VLOOKUP($A38, 'Matriz POA 2024-TRABAJO'!$A$5:$CY$9142,17,FALSE)</f>
        <v>N/A</v>
      </c>
      <c r="G38" s="447" t="str">
        <f>VLOOKUP($A38, 'Matriz POA 2024-TRABAJO'!$A$5:$CY$9142,20,FALSE)</f>
        <v>N/A</v>
      </c>
      <c r="H38" s="447" t="str">
        <f>VLOOKUP($A38, 'Matriz POA 2024-TRABAJO'!$A$5:$CY$9142,23,FALSE)</f>
        <v>NUEVA</v>
      </c>
      <c r="I38" s="447" t="str">
        <f>VLOOKUP($A38, 'Matriz POA 2024-TRABAJO'!$A$5:$CY$9142,24,FALSE)</f>
        <v>Pago del servicio de energía eléctrica del Museo Portoviejo y Archivo Histórico</v>
      </c>
      <c r="J38" s="447" t="str">
        <f>VLOOKUP($A38,'Matriz POA 2024-TRABAJO'!$A$5:$CY$9142,25,FALSE)</f>
        <v>0035</v>
      </c>
      <c r="K38" s="448" t="str">
        <f>VLOOKUP($A38,'Matriz POA 2024-TRABAJO'!$A$5:$CY$9142,26,FALSE)</f>
        <v>80</v>
      </c>
      <c r="L38" s="448" t="str">
        <f>VLOOKUP($A38,'Matriz POA 2024-TRABAJO'!$A$5:$CY$9142,27,FALSE)</f>
        <v>000</v>
      </c>
      <c r="M38" s="448" t="str">
        <f>VLOOKUP($A38,'Matriz POA 2024-TRABAJO'!$A$5:$CY$9142,28,FALSE)</f>
        <v>002</v>
      </c>
      <c r="N38" s="448" t="str">
        <f>VLOOKUP($A38,'Matriz POA 2024-TRABAJO'!$A$5:$CY$9142,29,FALSE)</f>
        <v>53</v>
      </c>
      <c r="O38" s="448">
        <f>VLOOKUP($A38,'Matriz POA 2024-TRABAJO'!$A$5:$CY$9142,30,FALSE)</f>
        <v>530104</v>
      </c>
      <c r="P38" s="448" t="str">
        <f>VLOOKUP($A38,'Matriz POA 2024-TRABAJO'!$A$5:$CY$9142,31,FALSE)</f>
        <v>Energía Eléctrica</v>
      </c>
      <c r="Q38" s="448">
        <f>VLOOKUP($A38,'Matriz POA 2024-TRABAJO'!$A$5:$CY$9142,32,FALSE)</f>
        <v>1301</v>
      </c>
      <c r="R38" s="448" t="str">
        <f>VLOOKUP($A38,'Matriz POA 2024-TRABAJO'!$A$5:$CY$9142,33,FALSE)</f>
        <v>001</v>
      </c>
      <c r="S38" s="448" t="str">
        <f>VLOOKUP($A38,'Matriz POA 2024-TRABAJO'!$A$5:$CY$9142,34,FALSE)</f>
        <v>0000</v>
      </c>
      <c r="T38" s="448" t="str">
        <f>VLOOKUP($A38,'Matriz POA 2024-TRABAJO'!$A$5:$CY$9142,35,FALSE)</f>
        <v>0000</v>
      </c>
      <c r="U38" s="449">
        <f>VLOOKUP($A38,'Matriz POA 2024-TRABAJO'!$A$5:$CY$9142,47,FALSE)</f>
        <v>9827.8799999999992</v>
      </c>
      <c r="V38" s="51"/>
      <c r="W38" s="51"/>
      <c r="X38" s="51">
        <v>872.64</v>
      </c>
      <c r="Y38" s="51">
        <v>886.55</v>
      </c>
      <c r="Z38" s="51">
        <v>947.99</v>
      </c>
      <c r="AA38" s="51">
        <v>933.36</v>
      </c>
      <c r="AB38" s="51">
        <f>685.07+887.13</f>
        <v>1572.2</v>
      </c>
      <c r="AC38" s="51">
        <v>869.27</v>
      </c>
      <c r="AD38" s="51"/>
      <c r="AE38" s="51"/>
      <c r="AF38" s="51">
        <v>2469.67</v>
      </c>
      <c r="AG38" s="51"/>
      <c r="AH38" s="3">
        <f>VLOOKUP($A38, 'Matriz POA 2024-TRABAJO'!$A$5:$CY$9142,61,FALSE)</f>
        <v>9827.880000000001</v>
      </c>
      <c r="AI38" s="406">
        <f t="shared" si="2"/>
        <v>8551.68</v>
      </c>
      <c r="AJ38" s="407">
        <f t="shared" si="3"/>
        <v>1276.2000000000007</v>
      </c>
    </row>
    <row r="39" spans="1:36" ht="15" hidden="1" customHeight="1">
      <c r="A39" s="341">
        <v>733</v>
      </c>
      <c r="B39" s="447" t="str">
        <f>VLOOKUP($A39, 'Matriz POA 2024-TRABAJO'!$A$5:$CY$9142,11,FALSE)</f>
        <v>Corporación Ciudad Alfaro</v>
      </c>
      <c r="C39" s="447" t="str">
        <f>VLOOKUP($A39, 'Matriz POA 2024-TRABAJO'!$A$5:$CY$9142,14,FALSE)</f>
        <v>N/A</v>
      </c>
      <c r="D39" s="447" t="str">
        <f>VLOOKUP($A39, 'Matriz POA 2024-TRABAJO'!$A$5:$CY$9142,15,FALSE)</f>
        <v>N/A</v>
      </c>
      <c r="E39" s="447" t="str">
        <f>VLOOKUP($A39, 'Matriz POA 2024-TRABAJO'!$A$5:$CY$9142,18,FALSE)</f>
        <v>N/A</v>
      </c>
      <c r="F39" s="447" t="str">
        <f>VLOOKUP($A39, 'Matriz POA 2024-TRABAJO'!$A$5:$CY$9142,17,FALSE)</f>
        <v>N/A</v>
      </c>
      <c r="G39" s="447" t="str">
        <f>VLOOKUP($A39, 'Matriz POA 2024-TRABAJO'!$A$5:$CY$9142,20,FALSE)</f>
        <v>N/A</v>
      </c>
      <c r="H39" s="447" t="str">
        <f>VLOOKUP($A39, 'Matriz POA 2024-TRABAJO'!$A$5:$CY$9142,23,FALSE)</f>
        <v>NUEVA</v>
      </c>
      <c r="I39" s="447" t="str">
        <f>VLOOKUP($A39, 'Matriz POA 2024-TRABAJO'!$A$5:$CY$9142,24,FALSE)</f>
        <v>Pago mensual del servicio de energía eléctrica del Museo y Centro Cultural de Manta por el período 2024</v>
      </c>
      <c r="J39" s="447" t="str">
        <f>VLOOKUP($A39,'Matriz POA 2024-TRABAJO'!$A$5:$CY$9142,25,FALSE)</f>
        <v>0035</v>
      </c>
      <c r="K39" s="448" t="str">
        <f>VLOOKUP($A39,'Matriz POA 2024-TRABAJO'!$A$5:$CY$9142,26,FALSE)</f>
        <v>80</v>
      </c>
      <c r="L39" s="448" t="str">
        <f>VLOOKUP($A39,'Matriz POA 2024-TRABAJO'!$A$5:$CY$9142,27,FALSE)</f>
        <v>000</v>
      </c>
      <c r="M39" s="448" t="str">
        <f>VLOOKUP($A39,'Matriz POA 2024-TRABAJO'!$A$5:$CY$9142,28,FALSE)</f>
        <v>002</v>
      </c>
      <c r="N39" s="448" t="str">
        <f>VLOOKUP($A39,'Matriz POA 2024-TRABAJO'!$A$5:$CY$9142,29,FALSE)</f>
        <v>53</v>
      </c>
      <c r="O39" s="448">
        <f>VLOOKUP($A39,'Matriz POA 2024-TRABAJO'!$A$5:$CY$9142,30,FALSE)</f>
        <v>530104</v>
      </c>
      <c r="P39" s="448" t="str">
        <f>VLOOKUP($A39,'Matriz POA 2024-TRABAJO'!$A$5:$CY$9142,31,FALSE)</f>
        <v>Energía Eléctrica</v>
      </c>
      <c r="Q39" s="448">
        <f>VLOOKUP($A39,'Matriz POA 2024-TRABAJO'!$A$5:$CY$9142,32,FALSE)</f>
        <v>1308</v>
      </c>
      <c r="R39" s="448" t="str">
        <f>VLOOKUP($A39,'Matriz POA 2024-TRABAJO'!$A$5:$CY$9142,33,FALSE)</f>
        <v>001</v>
      </c>
      <c r="S39" s="448" t="str">
        <f>VLOOKUP($A39,'Matriz POA 2024-TRABAJO'!$A$5:$CY$9142,34,FALSE)</f>
        <v>0000</v>
      </c>
      <c r="T39" s="448" t="str">
        <f>VLOOKUP($A39,'Matriz POA 2024-TRABAJO'!$A$5:$CY$9142,35,FALSE)</f>
        <v>0000</v>
      </c>
      <c r="U39" s="449">
        <f>VLOOKUP($A39,'Matriz POA 2024-TRABAJO'!$A$5:$CY$9142,47,FALSE)</f>
        <v>14999.67</v>
      </c>
      <c r="V39" s="51"/>
      <c r="W39" s="51"/>
      <c r="X39" s="51">
        <v>1062.32</v>
      </c>
      <c r="Y39" s="51"/>
      <c r="Z39" s="51">
        <v>2736.69</v>
      </c>
      <c r="AA39" s="51"/>
      <c r="AB39" s="51">
        <f>87.83+1391.96</f>
        <v>1479.79</v>
      </c>
      <c r="AC39" s="51">
        <f>782.11</f>
        <v>782.11</v>
      </c>
      <c r="AD39" s="51"/>
      <c r="AE39" s="51"/>
      <c r="AF39" s="51">
        <f>1103.05+1225.01</f>
        <v>2328.06</v>
      </c>
      <c r="AG39" s="51"/>
      <c r="AH39" s="3">
        <f>VLOOKUP($A39, 'Matriz POA 2024-TRABAJO'!$A$5:$CY$9142,61,FALSE)</f>
        <v>14999.669999999998</v>
      </c>
      <c r="AI39" s="406">
        <f t="shared" si="2"/>
        <v>8388.9699999999993</v>
      </c>
      <c r="AJ39" s="407">
        <f t="shared" si="3"/>
        <v>6610.6999999999989</v>
      </c>
    </row>
    <row r="40" spans="1:36" ht="15" hidden="1" customHeight="1">
      <c r="A40" s="341">
        <v>487</v>
      </c>
      <c r="B40" s="447" t="str">
        <f>VLOOKUP($A40, 'Matriz POA 2024-TRABAJO'!$A$5:$CY$9142,11,FALSE)</f>
        <v>Corporación Ciudad Alfaro</v>
      </c>
      <c r="C40" s="447" t="str">
        <f>VLOOKUP($A40, 'Matriz POA 2024-TRABAJO'!$A$5:$CY$9142,14,FALSE)</f>
        <v>N/A</v>
      </c>
      <c r="D40" s="447" t="str">
        <f>VLOOKUP($A40, 'Matriz POA 2024-TRABAJO'!$A$5:$CY$9142,15,FALSE)</f>
        <v>N/A</v>
      </c>
      <c r="E40" s="447" t="str">
        <f>VLOOKUP($A40, 'Matriz POA 2024-TRABAJO'!$A$5:$CY$9142,18,FALSE)</f>
        <v>N/A</v>
      </c>
      <c r="F40" s="447" t="str">
        <f>VLOOKUP($A40, 'Matriz POA 2024-TRABAJO'!$A$5:$CY$9142,17,FALSE)</f>
        <v>N/A</v>
      </c>
      <c r="G40" s="447" t="str">
        <f>VLOOKUP($A40, 'Matriz POA 2024-TRABAJO'!$A$5:$CY$9142,20,FALSE)</f>
        <v>N/A</v>
      </c>
      <c r="H40" s="447" t="str">
        <f>VLOOKUP($A40, 'Matriz POA 2024-TRABAJO'!$A$5:$CY$9142,23,FALSE)</f>
        <v>NUEVA</v>
      </c>
      <c r="I40" s="447" t="str">
        <f>VLOOKUP($A40, 'Matriz POA 2024-TRABAJO'!$A$5:$CY$9142,24,FALSE)</f>
        <v>Pago de viáticos para el personal de la Corporación Ciudad Alfaro y sus sedes</v>
      </c>
      <c r="J40" s="447" t="str">
        <f>VLOOKUP($A40,'Matriz POA 2024-TRABAJO'!$A$5:$CY$9142,25,FALSE)</f>
        <v>0035</v>
      </c>
      <c r="K40" s="448" t="str">
        <f>VLOOKUP($A40,'Matriz POA 2024-TRABAJO'!$A$5:$CY$9142,26,FALSE)</f>
        <v>80</v>
      </c>
      <c r="L40" s="448" t="str">
        <f>VLOOKUP($A40,'Matriz POA 2024-TRABAJO'!$A$5:$CY$9142,27,FALSE)</f>
        <v>000</v>
      </c>
      <c r="M40" s="448" t="str">
        <f>VLOOKUP($A40,'Matriz POA 2024-TRABAJO'!$A$5:$CY$9142,28,FALSE)</f>
        <v>002</v>
      </c>
      <c r="N40" s="448" t="str">
        <f>VLOOKUP($A40,'Matriz POA 2024-TRABAJO'!$A$5:$CY$9142,29,FALSE)</f>
        <v>53</v>
      </c>
      <c r="O40" s="448">
        <f>VLOOKUP($A40,'Matriz POA 2024-TRABAJO'!$A$5:$CY$9142,30,FALSE)</f>
        <v>530303</v>
      </c>
      <c r="P40" s="448" t="str">
        <f>VLOOKUP($A40,'Matriz POA 2024-TRABAJO'!$A$5:$CY$9142,31,FALSE)</f>
        <v>Viáticos y Subsistencias en el Interior</v>
      </c>
      <c r="Q40" s="448">
        <f>VLOOKUP($A40,'Matriz POA 2024-TRABAJO'!$A$5:$CY$9142,32,FALSE)</f>
        <v>1309</v>
      </c>
      <c r="R40" s="448" t="str">
        <f>VLOOKUP($A40,'Matriz POA 2024-TRABAJO'!$A$5:$CY$9142,33,FALSE)</f>
        <v>001</v>
      </c>
      <c r="S40" s="448" t="str">
        <f>VLOOKUP($A40,'Matriz POA 2024-TRABAJO'!$A$5:$CY$9142,34,FALSE)</f>
        <v>0000</v>
      </c>
      <c r="T40" s="448" t="str">
        <f>VLOOKUP($A40,'Matriz POA 2024-TRABAJO'!$A$5:$CY$9142,35,FALSE)</f>
        <v>0000</v>
      </c>
      <c r="U40" s="449">
        <f>VLOOKUP($A40,'Matriz POA 2024-TRABAJO'!$A$5:$CY$9142,47,FALSE)</f>
        <v>4770.26</v>
      </c>
      <c r="V40" s="51"/>
      <c r="W40" s="51"/>
      <c r="X40" s="51">
        <v>420</v>
      </c>
      <c r="Y40" s="51"/>
      <c r="Z40" s="51"/>
      <c r="AA40" s="51"/>
      <c r="AB40" s="51"/>
      <c r="AC40" s="51">
        <f>80+80+80</f>
        <v>240</v>
      </c>
      <c r="AD40" s="51">
        <f>80+77.5</f>
        <v>157.5</v>
      </c>
      <c r="AE40" s="51">
        <f>520+320+320+320</f>
        <v>1480</v>
      </c>
      <c r="AF40" s="51">
        <f>320+320</f>
        <v>640</v>
      </c>
      <c r="AG40" s="51">
        <f>320</f>
        <v>320</v>
      </c>
      <c r="AH40" s="3">
        <f>VLOOKUP($A40, 'Matriz POA 2024-TRABAJO'!$A$5:$CY$9142,61,FALSE)</f>
        <v>4770.26</v>
      </c>
      <c r="AI40" s="406">
        <f t="shared" si="2"/>
        <v>3257.5</v>
      </c>
      <c r="AJ40" s="407">
        <f t="shared" si="3"/>
        <v>1512.7600000000002</v>
      </c>
    </row>
    <row r="41" spans="1:36" ht="15" hidden="1" customHeight="1">
      <c r="A41" s="341">
        <v>445</v>
      </c>
      <c r="B41" s="447" t="str">
        <f>VLOOKUP($A41, 'Matriz POA 2024-TRABAJO'!$A$5:$CY$9142,11,FALSE)</f>
        <v>Corporación Ciudad Alfaro</v>
      </c>
      <c r="C41" s="447" t="str">
        <f>VLOOKUP($A41, 'Matriz POA 2024-TRABAJO'!$A$5:$CY$9142,14,FALSE)</f>
        <v>N/A</v>
      </c>
      <c r="D41" s="447" t="str">
        <f>VLOOKUP($A41, 'Matriz POA 2024-TRABAJO'!$A$5:$CY$9142,15,FALSE)</f>
        <v>N/A</v>
      </c>
      <c r="E41" s="447" t="str">
        <f>VLOOKUP($A41, 'Matriz POA 2024-TRABAJO'!$A$5:$CY$9142,18,FALSE)</f>
        <v>N/A</v>
      </c>
      <c r="F41" s="447" t="str">
        <f>VLOOKUP($A41, 'Matriz POA 2024-TRABAJO'!$A$5:$CY$9142,17,FALSE)</f>
        <v>N/A</v>
      </c>
      <c r="G41" s="447" t="str">
        <f>VLOOKUP($A41, 'Matriz POA 2024-TRABAJO'!$A$5:$CY$9142,20,FALSE)</f>
        <v>N/A</v>
      </c>
      <c r="H41" s="447" t="str">
        <f>VLOOKUP($A41, 'Matriz POA 2024-TRABAJO'!$A$5:$CY$9142,23,FALSE)</f>
        <v>NUEVA</v>
      </c>
      <c r="I41" s="447" t="str">
        <f>VLOOKUP($A41, 'Matriz POA 2024-TRABAJO'!$A$5:$CY$9142,24,FALSE)</f>
        <v>Pago del servicio de energía eléctrica de la Corporación Ciudad Alfaro</v>
      </c>
      <c r="J41" s="447" t="str">
        <f>VLOOKUP($A41,'Matriz POA 2024-TRABAJO'!$A$5:$CY$9142,25,FALSE)</f>
        <v>0035</v>
      </c>
      <c r="K41" s="448" t="str">
        <f>VLOOKUP($A41,'Matriz POA 2024-TRABAJO'!$A$5:$CY$9142,26,FALSE)</f>
        <v>80</v>
      </c>
      <c r="L41" s="448" t="str">
        <f>VLOOKUP($A41,'Matriz POA 2024-TRABAJO'!$A$5:$CY$9142,27,FALSE)</f>
        <v>000</v>
      </c>
      <c r="M41" s="448" t="str">
        <f>VLOOKUP($A41,'Matriz POA 2024-TRABAJO'!$A$5:$CY$9142,28,FALSE)</f>
        <v>002</v>
      </c>
      <c r="N41" s="448" t="str">
        <f>VLOOKUP($A41,'Matriz POA 2024-TRABAJO'!$A$5:$CY$9142,29,FALSE)</f>
        <v>53</v>
      </c>
      <c r="O41" s="448">
        <f>VLOOKUP($A41,'Matriz POA 2024-TRABAJO'!$A$5:$CY$9142,30,FALSE)</f>
        <v>530104</v>
      </c>
      <c r="P41" s="448" t="str">
        <f>VLOOKUP($A41,'Matriz POA 2024-TRABAJO'!$A$5:$CY$9142,31,FALSE)</f>
        <v>Energía Eléctrica</v>
      </c>
      <c r="Q41" s="448">
        <f>VLOOKUP($A41,'Matriz POA 2024-TRABAJO'!$A$5:$CY$9142,32,FALSE)</f>
        <v>1309</v>
      </c>
      <c r="R41" s="448" t="str">
        <f>VLOOKUP($A41,'Matriz POA 2024-TRABAJO'!$A$5:$CY$9142,33,FALSE)</f>
        <v>001</v>
      </c>
      <c r="S41" s="448" t="str">
        <f>VLOOKUP($A41,'Matriz POA 2024-TRABAJO'!$A$5:$CY$9142,34,FALSE)</f>
        <v>0000</v>
      </c>
      <c r="T41" s="448" t="str">
        <f>VLOOKUP($A41,'Matriz POA 2024-TRABAJO'!$A$5:$CY$9142,35,FALSE)</f>
        <v>0000</v>
      </c>
      <c r="U41" s="449">
        <f>VLOOKUP($A41,'Matriz POA 2024-TRABAJO'!$A$5:$CY$9142,47,FALSE)</f>
        <v>15500</v>
      </c>
      <c r="V41" s="51"/>
      <c r="W41" s="51"/>
      <c r="X41" s="505">
        <v>2029.47</v>
      </c>
      <c r="Y41" s="51"/>
      <c r="Z41" s="505">
        <f>1679.5+100.84</f>
        <v>1780.34</v>
      </c>
      <c r="AA41" s="505">
        <v>98.35</v>
      </c>
      <c r="AB41" s="505"/>
      <c r="AC41" s="505">
        <v>91.32</v>
      </c>
      <c r="AD41" s="505">
        <v>2574.5500000000002</v>
      </c>
      <c r="AE41" s="51">
        <v>2048.9299999999998</v>
      </c>
      <c r="AF41" s="51">
        <v>2026.68</v>
      </c>
      <c r="AG41" s="51">
        <v>1301.96</v>
      </c>
      <c r="AH41" s="3">
        <f>VLOOKUP($A41, 'Matriz POA 2024-TRABAJO'!$A$5:$CY$9142,61,FALSE)</f>
        <v>15500</v>
      </c>
      <c r="AI41" s="406">
        <f t="shared" si="2"/>
        <v>11951.600000000002</v>
      </c>
      <c r="AJ41" s="407">
        <f t="shared" si="3"/>
        <v>3548.3999999999978</v>
      </c>
    </row>
    <row r="42" spans="1:36" ht="15" hidden="1" customHeight="1">
      <c r="A42" s="341">
        <v>490</v>
      </c>
      <c r="B42" s="447" t="str">
        <f>VLOOKUP($A42, 'Matriz POA 2024-TRABAJO'!$A$5:$CY$9142,11,FALSE)</f>
        <v>Corporación Ciudad Alfaro</v>
      </c>
      <c r="C42" s="447" t="str">
        <f>VLOOKUP($A42, 'Matriz POA 2024-TRABAJO'!$A$5:$CY$9142,14,FALSE)</f>
        <v>N/A</v>
      </c>
      <c r="D42" s="447" t="str">
        <f>VLOOKUP($A42, 'Matriz POA 2024-TRABAJO'!$A$5:$CY$9142,15,FALSE)</f>
        <v>N/A</v>
      </c>
      <c r="E42" s="447" t="str">
        <f>VLOOKUP($A42, 'Matriz POA 2024-TRABAJO'!$A$5:$CY$9142,18,FALSE)</f>
        <v>N/A</v>
      </c>
      <c r="F42" s="447" t="str">
        <f>VLOOKUP($A42, 'Matriz POA 2024-TRABAJO'!$A$5:$CY$9142,17,FALSE)</f>
        <v>N/A</v>
      </c>
      <c r="G42" s="447" t="str">
        <f>VLOOKUP($A42, 'Matriz POA 2024-TRABAJO'!$A$5:$CY$9142,20,FALSE)</f>
        <v>N/A</v>
      </c>
      <c r="H42" s="447" t="str">
        <f>VLOOKUP($A42, 'Matriz POA 2024-TRABAJO'!$A$5:$CY$9142,23,FALSE)</f>
        <v>NUEVA</v>
      </c>
      <c r="I42" s="447" t="str">
        <f>VLOOKUP($A42, 'Matriz POA 2024-TRABAJO'!$A$5:$CY$9142,24,FALSE)</f>
        <v>Lavado de Menaje</v>
      </c>
      <c r="J42" s="447" t="str">
        <f>VLOOKUP($A42,'Matriz POA 2024-TRABAJO'!$A$5:$CY$9142,25,FALSE)</f>
        <v>0035</v>
      </c>
      <c r="K42" s="448" t="str">
        <f>VLOOKUP($A42,'Matriz POA 2024-TRABAJO'!$A$5:$CY$9142,26,FALSE)</f>
        <v>80</v>
      </c>
      <c r="L42" s="448" t="str">
        <f>VLOOKUP($A42,'Matriz POA 2024-TRABAJO'!$A$5:$CY$9142,27,FALSE)</f>
        <v>000</v>
      </c>
      <c r="M42" s="448" t="str">
        <f>VLOOKUP($A42,'Matriz POA 2024-TRABAJO'!$A$5:$CY$9142,28,FALSE)</f>
        <v>002</v>
      </c>
      <c r="N42" s="448" t="str">
        <f>VLOOKUP($A42,'Matriz POA 2024-TRABAJO'!$A$5:$CY$9142,29,FALSE)</f>
        <v>53</v>
      </c>
      <c r="O42" s="448">
        <f>VLOOKUP($A42,'Matriz POA 2024-TRABAJO'!$A$5:$CY$9142,30,FALSE)</f>
        <v>530209</v>
      </c>
      <c r="P42" s="448" t="str">
        <f>VLOOKUP($A42,'Matriz POA 2024-TRABAJO'!$A$5:$CY$9142,31,FALSE)</f>
        <v>Servicios de Aseo, Lavado de Vestimenta de Trabajo, Fumigación, Desinfección,  Limpieza de Instalaciones, manejo
de desechos contaminados, recuperación y clasificación de materiales reciclables.</v>
      </c>
      <c r="Q42" s="448">
        <f>VLOOKUP($A42,'Matriz POA 2024-TRABAJO'!$A$5:$CY$9142,32,FALSE)</f>
        <v>1309</v>
      </c>
      <c r="R42" s="448" t="str">
        <f>VLOOKUP($A42,'Matriz POA 2024-TRABAJO'!$A$5:$CY$9142,33,FALSE)</f>
        <v>001</v>
      </c>
      <c r="S42" s="448" t="str">
        <f>VLOOKUP($A42,'Matriz POA 2024-TRABAJO'!$A$5:$CY$9142,34,FALSE)</f>
        <v>0000</v>
      </c>
      <c r="T42" s="448" t="str">
        <f>VLOOKUP($A42,'Matriz POA 2024-TRABAJO'!$A$5:$CY$9142,35,FALSE)</f>
        <v>0000</v>
      </c>
      <c r="U42" s="449">
        <f>VLOOKUP($A42,'Matriz POA 2024-TRABAJO'!$A$5:$CY$9142,47,FALSE)</f>
        <v>1508.5</v>
      </c>
      <c r="V42" s="51"/>
      <c r="W42" s="51"/>
      <c r="X42" s="51">
        <v>1508.5</v>
      </c>
      <c r="Y42" s="51"/>
      <c r="Z42" s="51"/>
      <c r="AA42" s="51"/>
      <c r="AB42" s="51"/>
      <c r="AC42" s="51"/>
      <c r="AD42" s="51"/>
      <c r="AE42" s="51"/>
      <c r="AF42" s="51"/>
      <c r="AG42" s="51"/>
      <c r="AH42" s="3">
        <f>VLOOKUP($A42, 'Matriz POA 2024-TRABAJO'!$A$5:$CY$9142,61,FALSE)</f>
        <v>1508.5</v>
      </c>
      <c r="AI42" s="406">
        <f t="shared" si="2"/>
        <v>1508.5</v>
      </c>
      <c r="AJ42" s="407">
        <f t="shared" si="3"/>
        <v>0</v>
      </c>
    </row>
    <row r="43" spans="1:36" ht="15" hidden="1" customHeight="1">
      <c r="A43" s="341">
        <v>734</v>
      </c>
      <c r="B43" s="447" t="str">
        <f>VLOOKUP($A43, 'Matriz POA 2024-TRABAJO'!$A$5:$CY$9142,11,FALSE)</f>
        <v>Corporación Ciudad Alfaro</v>
      </c>
      <c r="C43" s="447" t="str">
        <f>VLOOKUP($A43, 'Matriz POA 2024-TRABAJO'!$A$5:$CY$9142,14,FALSE)</f>
        <v>N/A</v>
      </c>
      <c r="D43" s="447" t="str">
        <f>VLOOKUP($A43, 'Matriz POA 2024-TRABAJO'!$A$5:$CY$9142,15,FALSE)</f>
        <v>N/A</v>
      </c>
      <c r="E43" s="447" t="str">
        <f>VLOOKUP($A43, 'Matriz POA 2024-TRABAJO'!$A$5:$CY$9142,18,FALSE)</f>
        <v>N/A</v>
      </c>
      <c r="F43" s="447" t="str">
        <f>VLOOKUP($A43, 'Matriz POA 2024-TRABAJO'!$A$5:$CY$9142,17,FALSE)</f>
        <v>N/A</v>
      </c>
      <c r="G43" s="447" t="str">
        <f>VLOOKUP($A43, 'Matriz POA 2024-TRABAJO'!$A$5:$CY$9142,20,FALSE)</f>
        <v>N/A</v>
      </c>
      <c r="H43" s="447" t="str">
        <f>VLOOKUP($A43, 'Matriz POA 2024-TRABAJO'!$A$5:$CY$9142,23,FALSE)</f>
        <v>NUEVA</v>
      </c>
      <c r="I43" s="447" t="str">
        <f>VLOOKUP($A43, 'Matriz POA 2024-TRABAJO'!$A$5:$CY$9142,24,FALSE)</f>
        <v>Contratación del servicio de combustible para  los vehículos de la Corporación Ciudad Alfaro para el año 2024</v>
      </c>
      <c r="J43" s="447" t="str">
        <f>VLOOKUP($A43,'Matriz POA 2024-TRABAJO'!$A$5:$CY$9142,25,FALSE)</f>
        <v>0035</v>
      </c>
      <c r="K43" s="448" t="str">
        <f>VLOOKUP($A43,'Matriz POA 2024-TRABAJO'!$A$5:$CY$9142,26,FALSE)</f>
        <v>80</v>
      </c>
      <c r="L43" s="448" t="str">
        <f>VLOOKUP($A43,'Matriz POA 2024-TRABAJO'!$A$5:$CY$9142,27,FALSE)</f>
        <v>000</v>
      </c>
      <c r="M43" s="448" t="str">
        <f>VLOOKUP($A43,'Matriz POA 2024-TRABAJO'!$A$5:$CY$9142,28,FALSE)</f>
        <v>002</v>
      </c>
      <c r="N43" s="448" t="str">
        <f>VLOOKUP($A43,'Matriz POA 2024-TRABAJO'!$A$5:$CY$9142,29,FALSE)</f>
        <v>53</v>
      </c>
      <c r="O43" s="448">
        <f>VLOOKUP($A43,'Matriz POA 2024-TRABAJO'!$A$5:$CY$9142,30,FALSE)</f>
        <v>530255</v>
      </c>
      <c r="P43" s="448" t="str">
        <f>VLOOKUP($A43,'Matriz POA 2024-TRABAJO'!$A$5:$CY$9142,31,FALSE)</f>
        <v>Combustibles</v>
      </c>
      <c r="Q43" s="448">
        <f>VLOOKUP($A43,'Matriz POA 2024-TRABAJO'!$A$5:$CY$9142,32,FALSE)</f>
        <v>1309</v>
      </c>
      <c r="R43" s="448" t="str">
        <f>VLOOKUP($A43,'Matriz POA 2024-TRABAJO'!$A$5:$CY$9142,33,FALSE)</f>
        <v>001</v>
      </c>
      <c r="S43" s="448" t="str">
        <f>VLOOKUP($A43,'Matriz POA 2024-TRABAJO'!$A$5:$CY$9142,34,FALSE)</f>
        <v>0000</v>
      </c>
      <c r="T43" s="448" t="str">
        <f>VLOOKUP($A43,'Matriz POA 2024-TRABAJO'!$A$5:$CY$9142,35,FALSE)</f>
        <v>0000</v>
      </c>
      <c r="U43" s="449">
        <f>VLOOKUP($A43,'Matriz POA 2024-TRABAJO'!$A$5:$CY$9142,47,FALSE)</f>
        <v>6659.36</v>
      </c>
      <c r="V43" s="51"/>
      <c r="W43" s="51"/>
      <c r="X43" s="51">
        <v>550.28</v>
      </c>
      <c r="Y43" s="51"/>
      <c r="Z43" s="51">
        <v>218.45000000000002</v>
      </c>
      <c r="AA43" s="51">
        <v>280.48</v>
      </c>
      <c r="AB43" s="51">
        <v>235.59</v>
      </c>
      <c r="AC43" s="51">
        <v>378.23</v>
      </c>
      <c r="AD43" s="51"/>
      <c r="AE43" s="51"/>
      <c r="AF43" s="51">
        <v>433.18</v>
      </c>
      <c r="AG43" s="51">
        <f>332.35+405.16+444.81</f>
        <v>1182.32</v>
      </c>
      <c r="AH43" s="3">
        <f>VLOOKUP($A43, 'Matriz POA 2024-TRABAJO'!$A$5:$CY$9142,61,FALSE)</f>
        <v>6659.3600000000006</v>
      </c>
      <c r="AI43" s="406">
        <f t="shared" si="2"/>
        <v>3278.5299999999997</v>
      </c>
      <c r="AJ43" s="407">
        <f t="shared" si="3"/>
        <v>3380.8300000000008</v>
      </c>
    </row>
    <row r="44" spans="1:36" ht="15" hidden="1" customHeight="1">
      <c r="A44" s="341">
        <v>474</v>
      </c>
      <c r="B44" s="447" t="str">
        <f>VLOOKUP($A44, 'Matriz POA 2024-TRABAJO'!$A$5:$CY$9142,11,FALSE)</f>
        <v>Corporación Ciudad Alfaro</v>
      </c>
      <c r="C44" s="447" t="str">
        <f>VLOOKUP($A44, 'Matriz POA 2024-TRABAJO'!$A$5:$CY$9142,14,FALSE)</f>
        <v>N/A</v>
      </c>
      <c r="D44" s="447" t="str">
        <f>VLOOKUP($A44, 'Matriz POA 2024-TRABAJO'!$A$5:$CY$9142,15,FALSE)</f>
        <v>N/A</v>
      </c>
      <c r="E44" s="447" t="str">
        <f>VLOOKUP($A44, 'Matriz POA 2024-TRABAJO'!$A$5:$CY$9142,18,FALSE)</f>
        <v>N/A</v>
      </c>
      <c r="F44" s="447" t="str">
        <f>VLOOKUP($A44, 'Matriz POA 2024-TRABAJO'!$A$5:$CY$9142,17,FALSE)</f>
        <v>N/A</v>
      </c>
      <c r="G44" s="447" t="str">
        <f>VLOOKUP($A44, 'Matriz POA 2024-TRABAJO'!$A$5:$CY$9142,20,FALSE)</f>
        <v>N/A</v>
      </c>
      <c r="H44" s="447" t="str">
        <f>VLOOKUP($A44, 'Matriz POA 2024-TRABAJO'!$A$5:$CY$9142,23,FALSE)</f>
        <v>NUEVA</v>
      </c>
      <c r="I44" s="447" t="str">
        <f>VLOOKUP($A44, 'Matriz POA 2024-TRABAJO'!$A$5:$CY$9142,24,FALSE)</f>
        <v>Reintegro Por Renovación de Certificado digital</v>
      </c>
      <c r="J44" s="447" t="str">
        <f>VLOOKUP($A44,'Matriz POA 2024-TRABAJO'!$A$5:$CY$9142,25,FALSE)</f>
        <v>0035</v>
      </c>
      <c r="K44" s="448" t="str">
        <f>VLOOKUP($A44,'Matriz POA 2024-TRABAJO'!$A$5:$CY$9142,26,FALSE)</f>
        <v>80</v>
      </c>
      <c r="L44" s="448" t="str">
        <f>VLOOKUP($A44,'Matriz POA 2024-TRABAJO'!$A$5:$CY$9142,27,FALSE)</f>
        <v>000</v>
      </c>
      <c r="M44" s="448" t="str">
        <f>VLOOKUP($A44,'Matriz POA 2024-TRABAJO'!$A$5:$CY$9142,28,FALSE)</f>
        <v>002</v>
      </c>
      <c r="N44" s="448" t="str">
        <f>VLOOKUP($A44,'Matriz POA 2024-TRABAJO'!$A$5:$CY$9142,29,FALSE)</f>
        <v>53</v>
      </c>
      <c r="O44" s="448">
        <f>VLOOKUP($A44,'Matriz POA 2024-TRABAJO'!$A$5:$CY$9142,30,FALSE)</f>
        <v>530228</v>
      </c>
      <c r="P44" s="448" t="str">
        <f>VLOOKUP($A44,'Matriz POA 2024-TRABAJO'!$A$5:$CY$9142,31,FALSE)</f>
        <v>Servicios de Provisión de Dispositivos Electrónicos y Certificación para Registro de Firmas Digitales</v>
      </c>
      <c r="Q44" s="448">
        <f>VLOOKUP($A44,'Matriz POA 2024-TRABAJO'!$A$5:$CY$9142,32,FALSE)</f>
        <v>1309</v>
      </c>
      <c r="R44" s="448" t="str">
        <f>VLOOKUP($A44,'Matriz POA 2024-TRABAJO'!$A$5:$CY$9142,33,FALSE)</f>
        <v>001</v>
      </c>
      <c r="S44" s="448" t="str">
        <f>VLOOKUP($A44,'Matriz POA 2024-TRABAJO'!$A$5:$CY$9142,34,FALSE)</f>
        <v>0000</v>
      </c>
      <c r="T44" s="448" t="str">
        <f>VLOOKUP($A44,'Matriz POA 2024-TRABAJO'!$A$5:$CY$9142,35,FALSE)</f>
        <v>0000</v>
      </c>
      <c r="U44" s="449">
        <f>VLOOKUP($A44,'Matriz POA 2024-TRABAJO'!$A$5:$CY$9142,47,FALSE)</f>
        <v>20.16</v>
      </c>
      <c r="V44" s="51"/>
      <c r="W44" s="51"/>
      <c r="X44" s="51"/>
      <c r="Y44" s="51"/>
      <c r="Z44" s="51">
        <v>20.16</v>
      </c>
      <c r="AA44" s="51"/>
      <c r="AB44" s="51"/>
      <c r="AC44" s="51"/>
      <c r="AD44" s="51"/>
      <c r="AE44" s="51"/>
      <c r="AF44" s="51"/>
      <c r="AG44" s="51"/>
      <c r="AH44" s="3">
        <f>VLOOKUP($A44, 'Matriz POA 2024-TRABAJO'!$A$5:$CY$9142,61,FALSE)</f>
        <v>20.16</v>
      </c>
      <c r="AI44" s="406">
        <f t="shared" si="2"/>
        <v>20.16</v>
      </c>
      <c r="AJ44" s="407">
        <f t="shared" si="3"/>
        <v>0</v>
      </c>
    </row>
    <row r="45" spans="1:36" ht="15" hidden="1" customHeight="1">
      <c r="A45" s="341">
        <v>872</v>
      </c>
      <c r="B45" s="447" t="str">
        <f>VLOOKUP($A45, 'Matriz POA 2024-TRABAJO'!$A$5:$CY$9142,11,FALSE)</f>
        <v>Corporación Ciudad Alfaro</v>
      </c>
      <c r="C45" s="447" t="str">
        <f>VLOOKUP($A45, 'Matriz POA 2024-TRABAJO'!$A$5:$CY$9142,14,FALSE)</f>
        <v>N/A</v>
      </c>
      <c r="D45" s="447" t="str">
        <f>VLOOKUP($A45, 'Matriz POA 2024-TRABAJO'!$A$5:$CY$9142,15,FALSE)</f>
        <v>N/A</v>
      </c>
      <c r="E45" s="447" t="str">
        <f>VLOOKUP($A45, 'Matriz POA 2024-TRABAJO'!$A$5:$CY$9142,18,FALSE)</f>
        <v>N/A</v>
      </c>
      <c r="F45" s="447" t="str">
        <f>VLOOKUP($A45, 'Matriz POA 2024-TRABAJO'!$A$5:$CY$9142,17,FALSE)</f>
        <v>N/A</v>
      </c>
      <c r="G45" s="447" t="str">
        <f>VLOOKUP($A45, 'Matriz POA 2024-TRABAJO'!$A$5:$CY$9142,20,FALSE)</f>
        <v>N/A</v>
      </c>
      <c r="H45" s="447" t="str">
        <f>VLOOKUP($A45, 'Matriz POA 2024-TRABAJO'!$A$5:$CY$9142,23,FALSE)</f>
        <v>NUEVA</v>
      </c>
      <c r="I45" s="447" t="str">
        <f>VLOOKUP($A45, 'Matriz POA 2024-TRABAJO'!$A$5:$CY$9142,24,FALSE)</f>
        <v xml:space="preserve">Regularización del IVA - año 2023, para conciliación de saldos contables y administrativos </v>
      </c>
      <c r="J45" s="447" t="str">
        <f>VLOOKUP($A45,'Matriz POA 2024-TRABAJO'!$A$5:$CY$9142,25,FALSE)</f>
        <v>0035</v>
      </c>
      <c r="K45" s="448" t="str">
        <f>VLOOKUP($A45,'Matriz POA 2024-TRABAJO'!$A$5:$CY$9142,26,FALSE)</f>
        <v>80</v>
      </c>
      <c r="L45" s="448" t="str">
        <f>VLOOKUP($A45,'Matriz POA 2024-TRABAJO'!$A$5:$CY$9142,27,FALSE)</f>
        <v>000</v>
      </c>
      <c r="M45" s="448" t="str">
        <f>VLOOKUP($A45,'Matriz POA 2024-TRABAJO'!$A$5:$CY$9142,28,FALSE)</f>
        <v>002</v>
      </c>
      <c r="N45" s="448" t="str">
        <f>VLOOKUP($A45,'Matriz POA 2024-TRABAJO'!$A$5:$CY$9142,29,FALSE)</f>
        <v>53</v>
      </c>
      <c r="O45" s="448">
        <f>VLOOKUP($A45,'Matriz POA 2024-TRABAJO'!$A$5:$CY$9142,30,FALSE)</f>
        <v>530813</v>
      </c>
      <c r="P45" s="448" t="str">
        <f>VLOOKUP($A45,'Matriz POA 2024-TRABAJO'!$A$5:$CY$9142,31,FALSE)</f>
        <v>Repuestos y Accesorios</v>
      </c>
      <c r="Q45" s="448">
        <f>VLOOKUP($A45,'Matriz POA 2024-TRABAJO'!$A$5:$CY$9142,32,FALSE)</f>
        <v>1309</v>
      </c>
      <c r="R45" s="448" t="str">
        <f>VLOOKUP($A45,'Matriz POA 2024-TRABAJO'!$A$5:$CY$9142,33,FALSE)</f>
        <v>001</v>
      </c>
      <c r="S45" s="448" t="str">
        <f>VLOOKUP($A45,'Matriz POA 2024-TRABAJO'!$A$5:$CY$9142,34,FALSE)</f>
        <v>0000</v>
      </c>
      <c r="T45" s="448" t="str">
        <f>VLOOKUP($A45,'Matriz POA 2024-TRABAJO'!$A$5:$CY$9142,35,FALSE)</f>
        <v>0000</v>
      </c>
      <c r="U45" s="449">
        <f>VLOOKUP($A45,'Matriz POA 2024-TRABAJO'!$A$5:$CY$9142,47,FALSE)</f>
        <v>114.04</v>
      </c>
      <c r="V45" s="51"/>
      <c r="W45" s="51"/>
      <c r="X45" s="51"/>
      <c r="Y45" s="51"/>
      <c r="Z45" s="51">
        <v>114.04</v>
      </c>
      <c r="AA45" s="51"/>
      <c r="AB45" s="51"/>
      <c r="AC45" s="51"/>
      <c r="AD45" s="51"/>
      <c r="AE45" s="51"/>
      <c r="AF45" s="51"/>
      <c r="AG45" s="51"/>
      <c r="AH45" s="3">
        <f>VLOOKUP($A45, 'Matriz POA 2024-TRABAJO'!$A$5:$CY$9142,61,FALSE)</f>
        <v>114.04</v>
      </c>
      <c r="AI45" s="406">
        <f t="shared" si="2"/>
        <v>114.04</v>
      </c>
      <c r="AJ45" s="407">
        <f t="shared" si="3"/>
        <v>0</v>
      </c>
    </row>
    <row r="46" spans="1:36" ht="15" hidden="1" customHeight="1">
      <c r="A46" s="341">
        <v>464</v>
      </c>
      <c r="B46" s="447" t="str">
        <f>VLOOKUP($A46, 'Matriz POA 2024-TRABAJO'!$A$5:$CY$9142,11,FALSE)</f>
        <v>Corporación Ciudad Alfaro</v>
      </c>
      <c r="C46" s="447" t="str">
        <f>VLOOKUP($A46, 'Matriz POA 2024-TRABAJO'!$A$5:$CY$9142,14,FALSE)</f>
        <v>N/A</v>
      </c>
      <c r="D46" s="447" t="str">
        <f>VLOOKUP($A46, 'Matriz POA 2024-TRABAJO'!$A$5:$CY$9142,15,FALSE)</f>
        <v>N/A</v>
      </c>
      <c r="E46" s="447" t="str">
        <f>VLOOKUP($A46, 'Matriz POA 2024-TRABAJO'!$A$5:$CY$9142,18,FALSE)</f>
        <v>N/A</v>
      </c>
      <c r="F46" s="447" t="str">
        <f>VLOOKUP($A46, 'Matriz POA 2024-TRABAJO'!$A$5:$CY$9142,17,FALSE)</f>
        <v>N/A</v>
      </c>
      <c r="G46" s="447" t="str">
        <f>VLOOKUP($A46, 'Matriz POA 2024-TRABAJO'!$A$5:$CY$9142,20,FALSE)</f>
        <v>N/A</v>
      </c>
      <c r="H46" s="447" t="str">
        <f>VLOOKUP($A46, 'Matriz POA 2024-TRABAJO'!$A$5:$CY$9142,23,FALSE)</f>
        <v>NUEVA</v>
      </c>
      <c r="I46" s="447" t="str">
        <f>VLOOKUP($A46, 'Matriz POA 2024-TRABAJO'!$A$5:$CY$9142,24,FALSE)</f>
        <v>Pago de tasas y contribuciones a los predios urbanos y cuerpo de bomberos de la Corporación Ciudad Alfaro</v>
      </c>
      <c r="J46" s="447" t="str">
        <f>VLOOKUP($A46,'Matriz POA 2024-TRABAJO'!$A$5:$CY$9142,25,FALSE)</f>
        <v>0035</v>
      </c>
      <c r="K46" s="448" t="str">
        <f>VLOOKUP($A46,'Matriz POA 2024-TRABAJO'!$A$5:$CY$9142,26,FALSE)</f>
        <v>80</v>
      </c>
      <c r="L46" s="448" t="str">
        <f>VLOOKUP($A46,'Matriz POA 2024-TRABAJO'!$A$5:$CY$9142,27,FALSE)</f>
        <v>000</v>
      </c>
      <c r="M46" s="448" t="str">
        <f>VLOOKUP($A46,'Matriz POA 2024-TRABAJO'!$A$5:$CY$9142,28,FALSE)</f>
        <v>002</v>
      </c>
      <c r="N46" s="448" t="str">
        <f>VLOOKUP($A46,'Matriz POA 2024-TRABAJO'!$A$5:$CY$9142,29,FALSE)</f>
        <v>57</v>
      </c>
      <c r="O46" s="448">
        <f>VLOOKUP($A46,'Matriz POA 2024-TRABAJO'!$A$5:$CY$9142,30,FALSE)</f>
        <v>570102</v>
      </c>
      <c r="P46" s="448" t="str">
        <f>VLOOKUP($A46,'Matriz POA 2024-TRABAJO'!$A$5:$CY$9142,31,FALSE)</f>
        <v>Tasas Generales, Impuestos, Contribuciones, Permisos, Licencias y Patentes.</v>
      </c>
      <c r="Q46" s="448">
        <f>VLOOKUP($A46,'Matriz POA 2024-TRABAJO'!$A$5:$CY$9142,32,FALSE)</f>
        <v>1309</v>
      </c>
      <c r="R46" s="448" t="str">
        <f>VLOOKUP($A46,'Matriz POA 2024-TRABAJO'!$A$5:$CY$9142,33,FALSE)</f>
        <v>001</v>
      </c>
      <c r="S46" s="448" t="str">
        <f>VLOOKUP($A46,'Matriz POA 2024-TRABAJO'!$A$5:$CY$9142,34,FALSE)</f>
        <v>0000</v>
      </c>
      <c r="T46" s="448" t="str">
        <f>VLOOKUP($A46,'Matriz POA 2024-TRABAJO'!$A$5:$CY$9142,35,FALSE)</f>
        <v>0000</v>
      </c>
      <c r="U46" s="449">
        <f>VLOOKUP($A46,'Matriz POA 2024-TRABAJO'!$A$5:$CY$9142,47,FALSE)</f>
        <v>575.36000000000013</v>
      </c>
      <c r="V46" s="51">
        <v>0</v>
      </c>
      <c r="W46" s="51">
        <v>0</v>
      </c>
      <c r="X46" s="51"/>
      <c r="Y46" s="51"/>
      <c r="Z46" s="51"/>
      <c r="AA46" s="51">
        <v>69.67</v>
      </c>
      <c r="AB46" s="51"/>
      <c r="AC46" s="51"/>
      <c r="AD46" s="51">
        <v>505.69</v>
      </c>
      <c r="AE46" s="51"/>
      <c r="AF46" s="51"/>
      <c r="AG46" s="51"/>
      <c r="AH46" s="3">
        <f>VLOOKUP($A46, 'Matriz POA 2024-TRABAJO'!$A$5:$CY$9142,61,FALSE)</f>
        <v>575.36</v>
      </c>
      <c r="AI46" s="406">
        <f t="shared" ref="AI46:AI50" si="4">SUM(V46:AG46)</f>
        <v>575.36</v>
      </c>
      <c r="AJ46" s="407">
        <f t="shared" ref="AJ46" si="5">AH46-AI46</f>
        <v>0</v>
      </c>
    </row>
    <row r="47" spans="1:36" ht="15" hidden="1" customHeight="1">
      <c r="A47" s="341">
        <v>741</v>
      </c>
      <c r="B47" s="447" t="str">
        <f>VLOOKUP($A47, 'Matriz POA 2024-TRABAJO'!$A$5:$CY$9142,11,FALSE)</f>
        <v>Corporación Ciudad Alfaro</v>
      </c>
      <c r="C47" s="447" t="str">
        <f>VLOOKUP($A47, 'Matriz POA 2024-TRABAJO'!$A$5:$CY$9142,14,FALSE)</f>
        <v>N/A</v>
      </c>
      <c r="D47" s="447" t="str">
        <f>VLOOKUP($A47, 'Matriz POA 2024-TRABAJO'!$A$5:$CY$9142,15,FALSE)</f>
        <v>N/A</v>
      </c>
      <c r="E47" s="447" t="str">
        <f>VLOOKUP($A47, 'Matriz POA 2024-TRABAJO'!$A$5:$CY$9142,18,FALSE)</f>
        <v>N/A</v>
      </c>
      <c r="F47" s="447" t="str">
        <f>VLOOKUP($A47, 'Matriz POA 2024-TRABAJO'!$A$5:$CY$9142,17,FALSE)</f>
        <v>N/A</v>
      </c>
      <c r="G47" s="447" t="str">
        <f>VLOOKUP($A47, 'Matriz POA 2024-TRABAJO'!$A$5:$CY$9142,20,FALSE)</f>
        <v>N/A</v>
      </c>
      <c r="H47" s="447" t="str">
        <f>VLOOKUP($A47, 'Matriz POA 2024-TRABAJO'!$A$5:$CY$9142,23,FALSE)</f>
        <v>NUEVA</v>
      </c>
      <c r="I47" s="447" t="str">
        <f>VLOOKUP($A47, 'Matriz POA 2024-TRABAJO'!$A$5:$CY$9142,24,FALSE)</f>
        <v>Obligaciones de Ejercicios Anteriores por Egresos de Personal</v>
      </c>
      <c r="J47" s="447" t="str">
        <f>VLOOKUP($A47,'Matriz POA 2024-TRABAJO'!$A$5:$CY$9142,25,FALSE)</f>
        <v>0035</v>
      </c>
      <c r="K47" s="448" t="str">
        <f>VLOOKUP($A47,'Matriz POA 2024-TRABAJO'!$A$5:$CY$9142,26,FALSE)</f>
        <v>80</v>
      </c>
      <c r="L47" s="448" t="str">
        <f>VLOOKUP($A47,'Matriz POA 2024-TRABAJO'!$A$5:$CY$9142,27,FALSE)</f>
        <v>000</v>
      </c>
      <c r="M47" s="448" t="str">
        <f>VLOOKUP($A47,'Matriz POA 2024-TRABAJO'!$A$5:$CY$9142,28,FALSE)</f>
        <v>002</v>
      </c>
      <c r="N47" s="448" t="str">
        <f>VLOOKUP($A47,'Matriz POA 2024-TRABAJO'!$A$5:$CY$9142,29,FALSE)</f>
        <v>99</v>
      </c>
      <c r="O47" s="448">
        <f>VLOOKUP($A47,'Matriz POA 2024-TRABAJO'!$A$5:$CY$9142,30,FALSE)</f>
        <v>990101</v>
      </c>
      <c r="P47" s="448" t="str">
        <f>VLOOKUP($A47,'Matriz POA 2024-TRABAJO'!$A$5:$CY$9142,31,FALSE)</f>
        <v>Obligaciones de Ejercicios Anteriores por Egresos de Personal</v>
      </c>
      <c r="Q47" s="448">
        <f>VLOOKUP($A47,'Matriz POA 2024-TRABAJO'!$A$5:$CY$9142,32,FALSE)</f>
        <v>1309</v>
      </c>
      <c r="R47" s="448" t="str">
        <f>VLOOKUP($A47,'Matriz POA 2024-TRABAJO'!$A$5:$CY$9142,33,FALSE)</f>
        <v>001</v>
      </c>
      <c r="S47" s="448" t="str">
        <f>VLOOKUP($A47,'Matriz POA 2024-TRABAJO'!$A$5:$CY$9142,34,FALSE)</f>
        <v>0000</v>
      </c>
      <c r="T47" s="448" t="str">
        <f>VLOOKUP($A47,'Matriz POA 2024-TRABAJO'!$A$5:$CY$9142,35,FALSE)</f>
        <v>0000</v>
      </c>
      <c r="U47" s="449">
        <f>VLOOKUP($A47,'Matriz POA 2024-TRABAJO'!$A$5:$CY$9142,47,FALSE)</f>
        <v>5560.46</v>
      </c>
      <c r="V47" s="51">
        <v>0</v>
      </c>
      <c r="W47" s="51">
        <v>0</v>
      </c>
      <c r="X47" s="51"/>
      <c r="Y47" s="51"/>
      <c r="Z47" s="51"/>
      <c r="AA47" s="51">
        <v>5560.46</v>
      </c>
      <c r="AB47" s="51"/>
      <c r="AC47" s="51"/>
      <c r="AD47" s="51"/>
      <c r="AE47" s="51"/>
      <c r="AF47" s="51"/>
      <c r="AG47" s="51"/>
      <c r="AH47" s="3">
        <f>VLOOKUP($A47, 'Matriz POA 2024-TRABAJO'!$A$5:$CY$9142,61,FALSE)</f>
        <v>5560.46</v>
      </c>
      <c r="AI47" s="406">
        <f t="shared" si="4"/>
        <v>5560.46</v>
      </c>
      <c r="AJ47" s="407">
        <f t="shared" ref="AJ47" si="6">AH47-AI47</f>
        <v>0</v>
      </c>
    </row>
    <row r="48" spans="1:36" ht="15" hidden="1" customHeight="1">
      <c r="A48" s="341">
        <v>459</v>
      </c>
      <c r="B48" s="447" t="str">
        <f>VLOOKUP($A48, 'Matriz POA 2024-TRABAJO'!$A$5:$CY$9142,11,FALSE)</f>
        <v>Corporación Ciudad Alfaro</v>
      </c>
      <c r="C48" s="447" t="str">
        <f>VLOOKUP($A48, 'Matriz POA 2024-TRABAJO'!$A$5:$CY$9142,14,FALSE)</f>
        <v>N/A</v>
      </c>
      <c r="D48" s="447" t="str">
        <f>VLOOKUP($A48, 'Matriz POA 2024-TRABAJO'!$A$5:$CY$9142,15,FALSE)</f>
        <v>N/A</v>
      </c>
      <c r="E48" s="447" t="str">
        <f>VLOOKUP($A48, 'Matriz POA 2024-TRABAJO'!$A$5:$CY$9142,18,FALSE)</f>
        <v>N/A</v>
      </c>
      <c r="F48" s="447" t="str">
        <f>VLOOKUP($A48, 'Matriz POA 2024-TRABAJO'!$A$5:$CY$9142,17,FALSE)</f>
        <v>N/A</v>
      </c>
      <c r="G48" s="447" t="str">
        <f>VLOOKUP($A48, 'Matriz POA 2024-TRABAJO'!$A$5:$CY$9142,20,FALSE)</f>
        <v>N/A</v>
      </c>
      <c r="H48" s="447" t="str">
        <f>VLOOKUP($A48, 'Matriz POA 2024-TRABAJO'!$A$5:$CY$9142,23,FALSE)</f>
        <v>NUEVA</v>
      </c>
      <c r="I48" s="447" t="str">
        <f>VLOOKUP($A48, 'Matriz POA 2024-TRABAJO'!$A$5:$CY$9142,24,FALSE)</f>
        <v>Contratación del servicio de rastreo satelital para los vehículos de la Corporación Ciudad Alfaro</v>
      </c>
      <c r="J48" s="447" t="str">
        <f>VLOOKUP($A48,'Matriz POA 2024-TRABAJO'!$A$5:$CY$9142,25,FALSE)</f>
        <v>0035</v>
      </c>
      <c r="K48" s="448" t="str">
        <f>VLOOKUP($A48,'Matriz POA 2024-TRABAJO'!$A$5:$CY$9142,26,FALSE)</f>
        <v>80</v>
      </c>
      <c r="L48" s="448" t="str">
        <f>VLOOKUP($A48,'Matriz POA 2024-TRABAJO'!$A$5:$CY$9142,27,FALSE)</f>
        <v>000</v>
      </c>
      <c r="M48" s="448" t="str">
        <f>VLOOKUP($A48,'Matriz POA 2024-TRABAJO'!$A$5:$CY$9142,28,FALSE)</f>
        <v>002</v>
      </c>
      <c r="N48" s="448" t="str">
        <f>VLOOKUP($A48,'Matriz POA 2024-TRABAJO'!$A$5:$CY$9142,29,FALSE)</f>
        <v>53</v>
      </c>
      <c r="O48" s="448">
        <f>VLOOKUP($A48,'Matriz POA 2024-TRABAJO'!$A$5:$CY$9142,30,FALSE)</f>
        <v>530105</v>
      </c>
      <c r="P48" s="448" t="str">
        <f>VLOOKUP($A48,'Matriz POA 2024-TRABAJO'!$A$5:$CY$9142,31,FALSE)</f>
        <v>Telecomunicaciones</v>
      </c>
      <c r="Q48" s="448">
        <f>VLOOKUP($A48,'Matriz POA 2024-TRABAJO'!$A$5:$CY$9142,32,FALSE)</f>
        <v>1309</v>
      </c>
      <c r="R48" s="448" t="str">
        <f>VLOOKUP($A48,'Matriz POA 2024-TRABAJO'!$A$5:$CY$9142,33,FALSE)</f>
        <v>001</v>
      </c>
      <c r="S48" s="448" t="str">
        <f>VLOOKUP($A48,'Matriz POA 2024-TRABAJO'!$A$5:$CY$9142,34,FALSE)</f>
        <v>0000</v>
      </c>
      <c r="T48" s="448" t="str">
        <f>VLOOKUP($A48,'Matriz POA 2024-TRABAJO'!$A$5:$CY$9142,35,FALSE)</f>
        <v>0000</v>
      </c>
      <c r="U48" s="449">
        <f>VLOOKUP($A48,'Matriz POA 2024-TRABAJO'!$A$5:$CY$9142,47,FALSE)</f>
        <v>720</v>
      </c>
      <c r="V48" s="51">
        <v>0</v>
      </c>
      <c r="W48" s="51">
        <v>0</v>
      </c>
      <c r="X48" s="51"/>
      <c r="Y48" s="51"/>
      <c r="Z48" s="51"/>
      <c r="AA48" s="51"/>
      <c r="AB48" s="51">
        <v>720</v>
      </c>
      <c r="AC48" s="51"/>
      <c r="AD48" s="51"/>
      <c r="AE48" s="51"/>
      <c r="AF48" s="51"/>
      <c r="AG48" s="51"/>
      <c r="AH48" s="3">
        <f>VLOOKUP($A48, 'Matriz POA 2024-TRABAJO'!$A$5:$CY$9142,61,FALSE)</f>
        <v>720</v>
      </c>
      <c r="AI48" s="406">
        <f t="shared" si="4"/>
        <v>720</v>
      </c>
      <c r="AJ48" s="407">
        <f t="shared" ref="AJ48:AJ49" si="7">AH48-AI48</f>
        <v>0</v>
      </c>
    </row>
    <row r="49" spans="1:36" ht="15" hidden="1" customHeight="1">
      <c r="A49" s="341">
        <v>818</v>
      </c>
      <c r="B49" s="447" t="str">
        <f>VLOOKUP($A49, 'Matriz POA 2024-TRABAJO'!$A$5:$CY$9142,11,FALSE)</f>
        <v>Corporación Ciudad Alfaro</v>
      </c>
      <c r="C49" s="447" t="str">
        <f>VLOOKUP($A49, 'Matriz POA 2024-TRABAJO'!$A$5:$CY$9142,14,FALSE)</f>
        <v>N/A</v>
      </c>
      <c r="D49" s="447" t="str">
        <f>VLOOKUP($A49, 'Matriz POA 2024-TRABAJO'!$A$5:$CY$9142,15,FALSE)</f>
        <v>N/A</v>
      </c>
      <c r="E49" s="447" t="str">
        <f>VLOOKUP($A49, 'Matriz POA 2024-TRABAJO'!$A$5:$CY$9142,18,FALSE)</f>
        <v>N/A</v>
      </c>
      <c r="F49" s="447" t="str">
        <f>VLOOKUP($A49, 'Matriz POA 2024-TRABAJO'!$A$5:$CY$9142,17,FALSE)</f>
        <v>N/A</v>
      </c>
      <c r="G49" s="447" t="str">
        <f>VLOOKUP($A49, 'Matriz POA 2024-TRABAJO'!$A$5:$CY$9142,20,FALSE)</f>
        <v>N/A</v>
      </c>
      <c r="H49" s="447" t="str">
        <f>VLOOKUP($A49, 'Matriz POA 2024-TRABAJO'!$A$5:$CY$9142,23,FALSE)</f>
        <v>NUEVA</v>
      </c>
      <c r="I49" s="447" t="str">
        <f>VLOOKUP($A49, 'Matriz POA 2024-TRABAJO'!$A$5:$CY$9142,24,FALSE)</f>
        <v>Servicio de organización, producción y ejecución de los eventos enmarcados en el calendario patrimonial, cultural e histórico, para la difusión y fortalecimiento de la memoria social del Museo Nuclear Corporación Ciudad Alfaro, y sus sedes en Portoviejo, Manta y Bahía de Caráquez.</v>
      </c>
      <c r="J49" s="447" t="str">
        <f>VLOOKUP($A49,'Matriz POA 2024-TRABAJO'!$A$5:$CY$9142,25,FALSE)</f>
        <v>0035</v>
      </c>
      <c r="K49" s="448" t="str">
        <f>VLOOKUP($A49,'Matriz POA 2024-TRABAJO'!$A$5:$CY$9142,26,FALSE)</f>
        <v>80</v>
      </c>
      <c r="L49" s="448" t="str">
        <f>VLOOKUP($A49,'Matriz POA 2024-TRABAJO'!$A$5:$CY$9142,27,FALSE)</f>
        <v>000</v>
      </c>
      <c r="M49" s="448" t="str">
        <f>VLOOKUP($A49,'Matriz POA 2024-TRABAJO'!$A$5:$CY$9142,28,FALSE)</f>
        <v>002</v>
      </c>
      <c r="N49" s="448" t="str">
        <f>VLOOKUP($A49,'Matriz POA 2024-TRABAJO'!$A$5:$CY$9142,29,FALSE)</f>
        <v>53</v>
      </c>
      <c r="O49" s="448">
        <f>VLOOKUP($A49,'Matriz POA 2024-TRABAJO'!$A$5:$CY$9142,30,FALSE)</f>
        <v>530205</v>
      </c>
      <c r="P49" s="448" t="str">
        <f>VLOOKUP($A49,'Matriz POA 2024-TRABAJO'!$A$5:$CY$9142,31,FALSE)</f>
        <v>Espectáculos Culturales y Sociales</v>
      </c>
      <c r="Q49" s="448">
        <f>VLOOKUP($A49,'Matriz POA 2024-TRABAJO'!$A$5:$CY$9142,32,FALSE)</f>
        <v>1309</v>
      </c>
      <c r="R49" s="448" t="str">
        <f>VLOOKUP($A49,'Matriz POA 2024-TRABAJO'!$A$5:$CY$9142,33,FALSE)</f>
        <v>001</v>
      </c>
      <c r="S49" s="448" t="str">
        <f>VLOOKUP($A49,'Matriz POA 2024-TRABAJO'!$A$5:$CY$9142,34,FALSE)</f>
        <v>0000</v>
      </c>
      <c r="T49" s="448" t="str">
        <f>VLOOKUP($A49,'Matriz POA 2024-TRABAJO'!$A$5:$CY$9142,35,FALSE)</f>
        <v>0000</v>
      </c>
      <c r="U49" s="449">
        <f>VLOOKUP($A49,'Matriz POA 2024-TRABAJO'!$A$5:$CY$9142,47,FALSE)</f>
        <v>5991.5</v>
      </c>
      <c r="V49" s="51">
        <v>0</v>
      </c>
      <c r="W49" s="51">
        <v>0</v>
      </c>
      <c r="X49" s="51"/>
      <c r="Y49" s="51"/>
      <c r="Z49" s="51"/>
      <c r="AA49" s="51"/>
      <c r="AB49" s="51">
        <v>2396</v>
      </c>
      <c r="AC49" s="51"/>
      <c r="AD49" s="51">
        <v>1797</v>
      </c>
      <c r="AE49" s="51"/>
      <c r="AF49" s="51"/>
      <c r="AG49" s="51">
        <v>1797</v>
      </c>
      <c r="AH49" s="3">
        <f>VLOOKUP($A49, 'Matriz POA 2024-TRABAJO'!$A$5:$CY$9142,61,FALSE)</f>
        <v>5991.5</v>
      </c>
      <c r="AI49" s="406">
        <f t="shared" si="4"/>
        <v>5990</v>
      </c>
      <c r="AJ49" s="407">
        <f t="shared" si="7"/>
        <v>1.5</v>
      </c>
    </row>
    <row r="50" spans="1:36" ht="15" hidden="1" customHeight="1">
      <c r="A50" s="341">
        <v>819</v>
      </c>
      <c r="B50" s="447" t="str">
        <f>VLOOKUP($A50, 'Matriz POA 2024-TRABAJO'!$A$5:$CY$9142,11,FALSE)</f>
        <v>Corporación Ciudad Alfaro</v>
      </c>
      <c r="C50" s="447" t="str">
        <f>VLOOKUP($A50, 'Matriz POA 2024-TRABAJO'!$A$5:$CY$9142,14,FALSE)</f>
        <v>N/A</v>
      </c>
      <c r="D50" s="447" t="str">
        <f>VLOOKUP($A50, 'Matriz POA 2024-TRABAJO'!$A$5:$CY$9142,15,FALSE)</f>
        <v>N/A</v>
      </c>
      <c r="E50" s="447" t="str">
        <f>VLOOKUP($A50, 'Matriz POA 2024-TRABAJO'!$A$5:$CY$9142,18,FALSE)</f>
        <v>N/A</v>
      </c>
      <c r="F50" s="447" t="str">
        <f>VLOOKUP($A50, 'Matriz POA 2024-TRABAJO'!$A$5:$CY$9142,17,FALSE)</f>
        <v>N/A</v>
      </c>
      <c r="G50" s="447" t="str">
        <f>VLOOKUP($A50, 'Matriz POA 2024-TRABAJO'!$A$5:$CY$9142,20,FALSE)</f>
        <v>N/A</v>
      </c>
      <c r="H50" s="447" t="str">
        <f>VLOOKUP($A50, 'Matriz POA 2024-TRABAJO'!$A$5:$CY$9142,23,FALSE)</f>
        <v>NUEVA</v>
      </c>
      <c r="I50" s="447" t="str">
        <f>VLOOKUP($A50, 'Matriz POA 2024-TRABAJO'!$A$5:$CY$9142,24,FALSE)</f>
        <v>Contratación del servicio de mantenimiento correctivo de los tableros de distribución eléctrica TDE de los equipos de climatización en el museo centro cultural manta</v>
      </c>
      <c r="J50" s="447" t="str">
        <f>VLOOKUP($A50,'Matriz POA 2024-TRABAJO'!$A$5:$CY$9142,25,FALSE)</f>
        <v>0035</v>
      </c>
      <c r="K50" s="448" t="str">
        <f>VLOOKUP($A50,'Matriz POA 2024-TRABAJO'!$A$5:$CY$9142,26,FALSE)</f>
        <v>80</v>
      </c>
      <c r="L50" s="448" t="str">
        <f>VLOOKUP($A50,'Matriz POA 2024-TRABAJO'!$A$5:$CY$9142,27,FALSE)</f>
        <v>000</v>
      </c>
      <c r="M50" s="448" t="str">
        <f>VLOOKUP($A50,'Matriz POA 2024-TRABAJO'!$A$5:$CY$9142,28,FALSE)</f>
        <v>002</v>
      </c>
      <c r="N50" s="448" t="str">
        <f>VLOOKUP($A50,'Matriz POA 2024-TRABAJO'!$A$5:$CY$9142,29,FALSE)</f>
        <v>53</v>
      </c>
      <c r="O50" s="448">
        <f>VLOOKUP($A50,'Matriz POA 2024-TRABAJO'!$A$5:$CY$9142,30,FALSE)</f>
        <v>530402</v>
      </c>
      <c r="P50" s="448" t="str">
        <f>VLOOKUP($A50,'Matriz POA 2024-TRABAJO'!$A$5:$CY$9142,31,FALSE)</f>
        <v>Edificios, Locales, Residencias y Cableado Estructurado (Instalación, Mantenimiento y Reparación)</v>
      </c>
      <c r="Q50" s="448">
        <f>VLOOKUP($A50,'Matriz POA 2024-TRABAJO'!$A$5:$CY$9142,32,FALSE)</f>
        <v>1308</v>
      </c>
      <c r="R50" s="448" t="str">
        <f>VLOOKUP($A50,'Matriz POA 2024-TRABAJO'!$A$5:$CY$9142,33,FALSE)</f>
        <v>001</v>
      </c>
      <c r="S50" s="448" t="str">
        <f>VLOOKUP($A50,'Matriz POA 2024-TRABAJO'!$A$5:$CY$9142,34,FALSE)</f>
        <v>0000</v>
      </c>
      <c r="T50" s="448" t="str">
        <f>VLOOKUP($A50,'Matriz POA 2024-TRABAJO'!$A$5:$CY$9142,35,FALSE)</f>
        <v>0000</v>
      </c>
      <c r="U50" s="449">
        <f>VLOOKUP($A50,'Matriz POA 2024-TRABAJO'!$A$5:$CY$9142,47,FALSE)</f>
        <v>4830</v>
      </c>
      <c r="V50" s="51">
        <v>0</v>
      </c>
      <c r="W50" s="51">
        <v>0</v>
      </c>
      <c r="X50" s="51"/>
      <c r="Y50" s="51"/>
      <c r="Z50" s="51"/>
      <c r="AA50" s="51"/>
      <c r="AB50" s="51">
        <v>4830</v>
      </c>
      <c r="AC50" s="51"/>
      <c r="AD50" s="51"/>
      <c r="AE50" s="51"/>
      <c r="AF50" s="51"/>
      <c r="AG50" s="51"/>
      <c r="AH50" s="3">
        <f>VLOOKUP($A50, 'Matriz POA 2024-TRABAJO'!$A$5:$CY$9142,61,FALSE)</f>
        <v>4830</v>
      </c>
      <c r="AI50" s="406">
        <f t="shared" si="4"/>
        <v>4830</v>
      </c>
      <c r="AJ50" s="407">
        <f t="shared" ref="AJ50" si="8">AH50-AI50</f>
        <v>0</v>
      </c>
    </row>
    <row r="51" spans="1:36" ht="15" hidden="1" customHeight="1">
      <c r="A51" s="341">
        <v>731</v>
      </c>
      <c r="B51" s="144" t="str">
        <f>VLOOKUP($A51, 'Matriz POA 2024-TRABAJO'!$A$5:$CY$9142,11,FALSE)</f>
        <v>Corporación Ciudad Alfaro</v>
      </c>
      <c r="C51" s="144" t="str">
        <f>VLOOKUP($A51, 'Matriz POA 2024-TRABAJO'!$A$5:$CY$9142,14,FALSE)</f>
        <v>N/A</v>
      </c>
      <c r="D51" s="144" t="str">
        <f>VLOOKUP($A51, 'Matriz POA 2024-TRABAJO'!$A$5:$CY$9142,15,FALSE)</f>
        <v>N/A</v>
      </c>
      <c r="E51" s="144" t="str">
        <f>VLOOKUP($A51, 'Matriz POA 2024-TRABAJO'!$A$5:$CY$9142,18,FALSE)</f>
        <v>N/A</v>
      </c>
      <c r="F51" s="144" t="str">
        <f>VLOOKUP($A51, 'Matriz POA 2024-TRABAJO'!$A$5:$CY$9142,17,FALSE)</f>
        <v>N/A</v>
      </c>
      <c r="G51" s="144" t="str">
        <f>VLOOKUP($A51, 'Matriz POA 2024-TRABAJO'!$A$5:$CY$9142,20,FALSE)</f>
        <v>N/A</v>
      </c>
      <c r="H51" s="144" t="str">
        <f>VLOOKUP($A51, 'Matriz POA 2024-TRABAJO'!$A$5:$CY$9142,23,FALSE)</f>
        <v>NUEVA</v>
      </c>
      <c r="I51" s="144" t="str">
        <f>VLOOKUP($A51, 'Matriz POA 2024-TRABAJO'!$A$5:$CY$9142,24,FALSE)</f>
        <v>Subrogación</v>
      </c>
      <c r="J51" s="144" t="str">
        <f>VLOOKUP($A51,'Matriz POA 2024-TRABAJO'!$A$5:$CY$9142,25,FALSE)</f>
        <v>0035</v>
      </c>
      <c r="K51" s="49" t="str">
        <f>VLOOKUP($A51,'Matriz POA 2024-TRABAJO'!$A$5:$CY$9142,26,FALSE)</f>
        <v>80</v>
      </c>
      <c r="L51" s="49" t="str">
        <f>VLOOKUP($A51,'Matriz POA 2024-TRABAJO'!$A$5:$CY$9142,27,FALSE)</f>
        <v>000</v>
      </c>
      <c r="M51" s="49" t="str">
        <f>VLOOKUP($A51,'Matriz POA 2024-TRABAJO'!$A$5:$CY$9142,28,FALSE)</f>
        <v>002</v>
      </c>
      <c r="N51" s="49" t="str">
        <f>VLOOKUP($A51,'Matriz POA 2024-TRABAJO'!$A$5:$CY$9142,29,FALSE)</f>
        <v>51</v>
      </c>
      <c r="O51" s="49">
        <f>VLOOKUP($A51,'Matriz POA 2024-TRABAJO'!$A$5:$CY$9142,30,FALSE)</f>
        <v>510512</v>
      </c>
      <c r="P51" s="49" t="str">
        <f>VLOOKUP($A51,'Matriz POA 2024-TRABAJO'!$A$5:$CY$9142,31,FALSE)</f>
        <v>Subrogación</v>
      </c>
      <c r="Q51" s="49">
        <f>VLOOKUP($A51,'Matriz POA 2024-TRABAJO'!$A$5:$CY$9142,32,FALSE)</f>
        <v>1300</v>
      </c>
      <c r="R51" s="49" t="str">
        <f>VLOOKUP($A51,'Matriz POA 2024-TRABAJO'!$A$5:$CY$9142,33,FALSE)</f>
        <v>001</v>
      </c>
      <c r="S51" s="49" t="str">
        <f>VLOOKUP($A51,'Matriz POA 2024-TRABAJO'!$A$5:$CY$9142,34,FALSE)</f>
        <v>0000</v>
      </c>
      <c r="T51" s="49" t="str">
        <f>VLOOKUP($A51,'Matriz POA 2024-TRABAJO'!$A$5:$CY$9142,35,FALSE)</f>
        <v>0000</v>
      </c>
      <c r="U51" s="50">
        <f>VLOOKUP($A51,'Matriz POA 2024-TRABAJO'!$A$5:$CY$9142,47,FALSE)</f>
        <v>5200</v>
      </c>
      <c r="V51" s="51">
        <v>0</v>
      </c>
      <c r="W51" s="51">
        <v>0</v>
      </c>
      <c r="X51" s="51"/>
      <c r="Y51" s="51"/>
      <c r="Z51" s="51"/>
      <c r="AA51" s="51"/>
      <c r="AB51" s="51"/>
      <c r="AC51" s="51">
        <f>593.33+652.67</f>
        <v>1246</v>
      </c>
      <c r="AD51" s="51">
        <f>652.67+652.67</f>
        <v>1305.3399999999999</v>
      </c>
      <c r="AE51" s="51"/>
      <c r="AF51" s="51"/>
      <c r="AG51" s="51">
        <v>805.87</v>
      </c>
      <c r="AH51" s="3">
        <f>VLOOKUP($A51, 'Matriz POA 2024-TRABAJO'!$A$5:$CY$9142,61,FALSE)</f>
        <v>5200</v>
      </c>
      <c r="AI51" s="406">
        <f t="shared" ref="AI51:AI59" si="9">SUM(V51:AG51)</f>
        <v>3357.21</v>
      </c>
      <c r="AJ51" s="407">
        <f t="shared" ref="AJ51:AJ59" si="10">AH51-AI51</f>
        <v>1842.79</v>
      </c>
    </row>
    <row r="52" spans="1:36" ht="15" hidden="1" customHeight="1">
      <c r="A52" s="341">
        <v>481</v>
      </c>
      <c r="B52" s="144" t="str">
        <f>VLOOKUP($A52, 'Matriz POA 2024-TRABAJO'!$A$5:$CY$9142,11,FALSE)</f>
        <v>Corporación Ciudad Alfaro</v>
      </c>
      <c r="C52" s="144" t="str">
        <f>VLOOKUP($A52, 'Matriz POA 2024-TRABAJO'!$A$5:$CY$9142,14,FALSE)</f>
        <v>N/A</v>
      </c>
      <c r="D52" s="144" t="str">
        <f>VLOOKUP($A52, 'Matriz POA 2024-TRABAJO'!$A$5:$CY$9142,15,FALSE)</f>
        <v>N/A</v>
      </c>
      <c r="E52" s="144" t="str">
        <f>VLOOKUP($A52, 'Matriz POA 2024-TRABAJO'!$A$5:$CY$9142,18,FALSE)</f>
        <v>N/A</v>
      </c>
      <c r="F52" s="144" t="str">
        <f>VLOOKUP($A52, 'Matriz POA 2024-TRABAJO'!$A$5:$CY$9142,17,FALSE)</f>
        <v>N/A</v>
      </c>
      <c r="G52" s="144" t="str">
        <f>VLOOKUP($A52, 'Matriz POA 2024-TRABAJO'!$A$5:$CY$9142,20,FALSE)</f>
        <v>N/A</v>
      </c>
      <c r="H52" s="144" t="str">
        <f>VLOOKUP($A52, 'Matriz POA 2024-TRABAJO'!$A$5:$CY$9142,23,FALSE)</f>
        <v>NUEVA</v>
      </c>
      <c r="I52" s="144" t="str">
        <f>VLOOKUP($A52, 'Matriz POA 2024-TRABAJO'!$A$5:$CY$9142,24,FALSE)</f>
        <v>Adquisición de tonners y tintas para las impresoras de la corporación ciudad alfaro y sus sedes</v>
      </c>
      <c r="J52" s="144" t="str">
        <f>VLOOKUP($A52,'Matriz POA 2024-TRABAJO'!$A$5:$CY$9142,25,FALSE)</f>
        <v>0035</v>
      </c>
      <c r="K52" s="49" t="str">
        <f>VLOOKUP($A52,'Matriz POA 2024-TRABAJO'!$A$5:$CY$9142,26,FALSE)</f>
        <v>80</v>
      </c>
      <c r="L52" s="49" t="str">
        <f>VLOOKUP($A52,'Matriz POA 2024-TRABAJO'!$A$5:$CY$9142,27,FALSE)</f>
        <v>000</v>
      </c>
      <c r="M52" s="49" t="str">
        <f>VLOOKUP($A52,'Matriz POA 2024-TRABAJO'!$A$5:$CY$9142,28,FALSE)</f>
        <v>002</v>
      </c>
      <c r="N52" s="49" t="str">
        <f>VLOOKUP($A52,'Matriz POA 2024-TRABAJO'!$A$5:$CY$9142,29,FALSE)</f>
        <v>53</v>
      </c>
      <c r="O52" s="49">
        <f>VLOOKUP($A52,'Matriz POA 2024-TRABAJO'!$A$5:$CY$9142,30,FALSE)</f>
        <v>530807</v>
      </c>
      <c r="P52" s="49" t="str">
        <f>VLOOKUP($A52,'Matriz POA 2024-TRABAJO'!$A$5:$CY$9142,31,FALSE)</f>
        <v>Materiales de Impresión, Fotografía, Reproducción y Publicaciones</v>
      </c>
      <c r="Q52" s="49">
        <f>VLOOKUP($A52,'Matriz POA 2024-TRABAJO'!$A$5:$CY$9142,32,FALSE)</f>
        <v>1309</v>
      </c>
      <c r="R52" s="49" t="str">
        <f>VLOOKUP($A52,'Matriz POA 2024-TRABAJO'!$A$5:$CY$9142,33,FALSE)</f>
        <v>001</v>
      </c>
      <c r="S52" s="49" t="str">
        <f>VLOOKUP($A52,'Matriz POA 2024-TRABAJO'!$A$5:$CY$9142,34,FALSE)</f>
        <v>0000</v>
      </c>
      <c r="T52" s="49" t="str">
        <f>VLOOKUP($A52,'Matriz POA 2024-TRABAJO'!$A$5:$CY$9142,35,FALSE)</f>
        <v>0000</v>
      </c>
      <c r="U52" s="50">
        <f>VLOOKUP($A52,'Matriz POA 2024-TRABAJO'!$A$5:$CY$9142,47,FALSE)</f>
        <v>679</v>
      </c>
      <c r="V52" s="51">
        <v>0</v>
      </c>
      <c r="W52" s="51">
        <v>0</v>
      </c>
      <c r="X52" s="51"/>
      <c r="Y52" s="51"/>
      <c r="Z52" s="51"/>
      <c r="AA52" s="51"/>
      <c r="AB52" s="51"/>
      <c r="AC52" s="51"/>
      <c r="AD52" s="51">
        <v>679</v>
      </c>
      <c r="AE52" s="51"/>
      <c r="AF52" s="51"/>
      <c r="AG52" s="51"/>
      <c r="AH52" s="3">
        <f>VLOOKUP($A52, 'Matriz POA 2024-TRABAJO'!$A$5:$CY$9142,61,FALSE)</f>
        <v>679</v>
      </c>
      <c r="AI52" s="406">
        <f t="shared" si="9"/>
        <v>679</v>
      </c>
      <c r="AJ52" s="407">
        <f t="shared" si="10"/>
        <v>0</v>
      </c>
    </row>
    <row r="53" spans="1:36" ht="15" hidden="1" customHeight="1">
      <c r="A53" s="341">
        <v>479</v>
      </c>
      <c r="B53" s="144" t="str">
        <f>VLOOKUP($A53, 'Matriz POA 2024-TRABAJO'!$A$5:$CY$9142,11,FALSE)</f>
        <v>Corporación Ciudad Alfaro</v>
      </c>
      <c r="C53" s="144" t="str">
        <f>VLOOKUP($A53, 'Matriz POA 2024-TRABAJO'!$A$5:$CY$9142,14,FALSE)</f>
        <v>N/A</v>
      </c>
      <c r="D53" s="144" t="str">
        <f>VLOOKUP($A53, 'Matriz POA 2024-TRABAJO'!$A$5:$CY$9142,15,FALSE)</f>
        <v>N/A</v>
      </c>
      <c r="E53" s="144" t="str">
        <f>VLOOKUP($A53, 'Matriz POA 2024-TRABAJO'!$A$5:$CY$9142,18,FALSE)</f>
        <v>N/A</v>
      </c>
      <c r="F53" s="144" t="str">
        <f>VLOOKUP($A53, 'Matriz POA 2024-TRABAJO'!$A$5:$CY$9142,17,FALSE)</f>
        <v>N/A</v>
      </c>
      <c r="G53" s="144" t="str">
        <f>VLOOKUP($A53, 'Matriz POA 2024-TRABAJO'!$A$5:$CY$9142,20,FALSE)</f>
        <v>N/A</v>
      </c>
      <c r="H53" s="144" t="str">
        <f>VLOOKUP($A53, 'Matriz POA 2024-TRABAJO'!$A$5:$CY$9142,23,FALSE)</f>
        <v>NUEVA</v>
      </c>
      <c r="I53" s="144" t="str">
        <f>VLOOKUP($A53, 'Matriz POA 2024-TRABAJO'!$A$5:$CY$9142,24,FALSE)</f>
        <v>Mantenimiento, Reparación preventivo y correctivo de los vehículos de la corporación ciudad alfaro</v>
      </c>
      <c r="J53" s="144" t="str">
        <f>VLOOKUP($A53,'Matriz POA 2024-TRABAJO'!$A$5:$CY$9142,25,FALSE)</f>
        <v>0035</v>
      </c>
      <c r="K53" s="49" t="str">
        <f>VLOOKUP($A53,'Matriz POA 2024-TRABAJO'!$A$5:$CY$9142,26,FALSE)</f>
        <v>80</v>
      </c>
      <c r="L53" s="49" t="str">
        <f>VLOOKUP($A53,'Matriz POA 2024-TRABAJO'!$A$5:$CY$9142,27,FALSE)</f>
        <v>000</v>
      </c>
      <c r="M53" s="49" t="str">
        <f>VLOOKUP($A53,'Matriz POA 2024-TRABAJO'!$A$5:$CY$9142,28,FALSE)</f>
        <v>002</v>
      </c>
      <c r="N53" s="49" t="str">
        <f>VLOOKUP($A53,'Matriz POA 2024-TRABAJO'!$A$5:$CY$9142,29,FALSE)</f>
        <v>53</v>
      </c>
      <c r="O53" s="49">
        <f>VLOOKUP($A53,'Matriz POA 2024-TRABAJO'!$A$5:$CY$9142,30,FALSE)</f>
        <v>530405</v>
      </c>
      <c r="P53" s="49" t="str">
        <f>VLOOKUP($A53,'Matriz POA 2024-TRABAJO'!$A$5:$CY$9142,31,FALSE)</f>
        <v>Vehículos (Servicio para Mantenimiento y Reparación)</v>
      </c>
      <c r="Q53" s="49">
        <f>VLOOKUP($A53,'Matriz POA 2024-TRABAJO'!$A$5:$CY$9142,32,FALSE)</f>
        <v>1309</v>
      </c>
      <c r="R53" s="49" t="str">
        <f>VLOOKUP($A53,'Matriz POA 2024-TRABAJO'!$A$5:$CY$9142,33,FALSE)</f>
        <v>001</v>
      </c>
      <c r="S53" s="49" t="str">
        <f>VLOOKUP($A53,'Matriz POA 2024-TRABAJO'!$A$5:$CY$9142,34,FALSE)</f>
        <v>0000</v>
      </c>
      <c r="T53" s="49" t="str">
        <f>VLOOKUP($A53,'Matriz POA 2024-TRABAJO'!$A$5:$CY$9142,35,FALSE)</f>
        <v>0000</v>
      </c>
      <c r="U53" s="50">
        <f>VLOOKUP($A53,'Matriz POA 2024-TRABAJO'!$A$5:$CY$9142,47,FALSE)</f>
        <v>6579.9999999999991</v>
      </c>
      <c r="V53" s="51">
        <v>0</v>
      </c>
      <c r="W53" s="51">
        <v>0</v>
      </c>
      <c r="X53" s="51"/>
      <c r="Y53" s="51"/>
      <c r="Z53" s="51"/>
      <c r="AA53" s="51"/>
      <c r="AB53" s="51"/>
      <c r="AC53" s="51">
        <v>3572</v>
      </c>
      <c r="AD53" s="51">
        <v>3008</v>
      </c>
      <c r="AE53" s="51"/>
      <c r="AF53" s="51"/>
      <c r="AG53" s="51"/>
      <c r="AH53" s="3">
        <f>VLOOKUP($A53, 'Matriz POA 2024-TRABAJO'!$A$5:$CY$9142,61,FALSE)</f>
        <v>6580</v>
      </c>
      <c r="AI53" s="406">
        <f t="shared" si="9"/>
        <v>6580</v>
      </c>
      <c r="AJ53" s="407">
        <f t="shared" si="10"/>
        <v>0</v>
      </c>
    </row>
    <row r="54" spans="1:36" ht="15" hidden="1" customHeight="1">
      <c r="A54" s="341">
        <v>472</v>
      </c>
      <c r="B54" s="144" t="str">
        <f>VLOOKUP($A54, 'Matriz POA 2024-TRABAJO'!$A$5:$CY$9142,11,FALSE)</f>
        <v>Corporación Ciudad Alfaro</v>
      </c>
      <c r="C54" s="144" t="str">
        <f>VLOOKUP($A54, 'Matriz POA 2024-TRABAJO'!$A$5:$CY$9142,14,FALSE)</f>
        <v>N/A</v>
      </c>
      <c r="D54" s="144" t="str">
        <f>VLOOKUP($A54, 'Matriz POA 2024-TRABAJO'!$A$5:$CY$9142,15,FALSE)</f>
        <v>N/A</v>
      </c>
      <c r="E54" s="144" t="str">
        <f>VLOOKUP($A54, 'Matriz POA 2024-TRABAJO'!$A$5:$CY$9142,18,FALSE)</f>
        <v>N/A</v>
      </c>
      <c r="F54" s="144" t="str">
        <f>VLOOKUP($A54, 'Matriz POA 2024-TRABAJO'!$A$5:$CY$9142,17,FALSE)</f>
        <v>N/A</v>
      </c>
      <c r="G54" s="144" t="str">
        <f>VLOOKUP($A54, 'Matriz POA 2024-TRABAJO'!$A$5:$CY$9142,20,FALSE)</f>
        <v>N/A</v>
      </c>
      <c r="H54" s="144" t="str">
        <f>VLOOKUP($A54, 'Matriz POA 2024-TRABAJO'!$A$5:$CY$9142,23,FALSE)</f>
        <v>NUEVA</v>
      </c>
      <c r="I54" s="144" t="str">
        <f>VLOOKUP($A54, 'Matriz POA 2024-TRABAJO'!$A$5:$CY$9142,24,FALSE)</f>
        <v>Pago de peaje para los vehículos de la Corporación Ciudad Alfaro</v>
      </c>
      <c r="J54" s="144" t="str">
        <f>VLOOKUP($A54,'Matriz POA 2024-TRABAJO'!$A$5:$CY$9142,25,FALSE)</f>
        <v>0035</v>
      </c>
      <c r="K54" s="49" t="str">
        <f>VLOOKUP($A54,'Matriz POA 2024-TRABAJO'!$A$5:$CY$9142,26,FALSE)</f>
        <v>80</v>
      </c>
      <c r="L54" s="49" t="str">
        <f>VLOOKUP($A54,'Matriz POA 2024-TRABAJO'!$A$5:$CY$9142,27,FALSE)</f>
        <v>000</v>
      </c>
      <c r="M54" s="49" t="str">
        <f>VLOOKUP($A54,'Matriz POA 2024-TRABAJO'!$A$5:$CY$9142,28,FALSE)</f>
        <v>002</v>
      </c>
      <c r="N54" s="49" t="str">
        <f>VLOOKUP($A54,'Matriz POA 2024-TRABAJO'!$A$5:$CY$9142,29,FALSE)</f>
        <v>57</v>
      </c>
      <c r="O54" s="49">
        <f>VLOOKUP($A54,'Matriz POA 2024-TRABAJO'!$A$5:$CY$9142,30,FALSE)</f>
        <v>570102</v>
      </c>
      <c r="P54" s="49" t="str">
        <f>VLOOKUP($A54,'Matriz POA 2024-TRABAJO'!$A$5:$CY$9142,31,FALSE)</f>
        <v>Tasas Generales, Impuestos, Contribuciones, Permisos, Licencias y Patentes.</v>
      </c>
      <c r="Q54" s="49">
        <f>VLOOKUP($A54,'Matriz POA 2024-TRABAJO'!$A$5:$CY$9142,32,FALSE)</f>
        <v>1309</v>
      </c>
      <c r="R54" s="49" t="str">
        <f>VLOOKUP($A54,'Matriz POA 2024-TRABAJO'!$A$5:$CY$9142,33,FALSE)</f>
        <v>001</v>
      </c>
      <c r="S54" s="49" t="str">
        <f>VLOOKUP($A54,'Matriz POA 2024-TRABAJO'!$A$5:$CY$9142,34,FALSE)</f>
        <v>0000</v>
      </c>
      <c r="T54" s="49" t="str">
        <f>VLOOKUP($A54,'Matriz POA 2024-TRABAJO'!$A$5:$CY$9142,35,FALSE)</f>
        <v>0000</v>
      </c>
      <c r="U54" s="50">
        <f>VLOOKUP($A54,'Matriz POA 2024-TRABAJO'!$A$5:$CY$9142,47,FALSE)</f>
        <v>447.83000000000004</v>
      </c>
      <c r="V54" s="51">
        <v>0</v>
      </c>
      <c r="W54" s="51">
        <v>0</v>
      </c>
      <c r="X54" s="51"/>
      <c r="Y54" s="51"/>
      <c r="Z54" s="51"/>
      <c r="AA54" s="51"/>
      <c r="AB54" s="51"/>
      <c r="AC54" s="51"/>
      <c r="AD54" s="505">
        <v>300</v>
      </c>
      <c r="AE54" s="51"/>
      <c r="AF54" s="51">
        <f>147.83</f>
        <v>147.83000000000001</v>
      </c>
      <c r="AG54" s="51"/>
      <c r="AH54" s="3">
        <f>VLOOKUP($A54, 'Matriz POA 2024-TRABAJO'!$A$5:$CY$9142,61,FALSE)</f>
        <v>447.83000000000004</v>
      </c>
      <c r="AI54" s="406">
        <f t="shared" si="9"/>
        <v>447.83000000000004</v>
      </c>
      <c r="AJ54" s="407">
        <f t="shared" si="10"/>
        <v>0</v>
      </c>
    </row>
    <row r="55" spans="1:36" ht="15" hidden="1" customHeight="1">
      <c r="A55" s="3">
        <v>458</v>
      </c>
      <c r="B55" s="144" t="str">
        <f>VLOOKUP($A55, 'Matriz POA 2024-TRABAJO'!$A$5:$CY$9142,11,FALSE)</f>
        <v>Corporación Ciudad Alfaro</v>
      </c>
      <c r="C55" s="144" t="str">
        <f>VLOOKUP($A55, 'Matriz POA 2024-TRABAJO'!$A$5:$CY$9142,14,FALSE)</f>
        <v>N/A</v>
      </c>
      <c r="D55" s="144" t="str">
        <f>VLOOKUP($A55, 'Matriz POA 2024-TRABAJO'!$A$5:$CY$9142,15,FALSE)</f>
        <v>N/A</v>
      </c>
      <c r="E55" s="144" t="str">
        <f>VLOOKUP($A55, 'Matriz POA 2024-TRABAJO'!$A$5:$CY$9142,18,FALSE)</f>
        <v>N/A</v>
      </c>
      <c r="F55" s="144" t="str">
        <f>VLOOKUP($A55, 'Matriz POA 2024-TRABAJO'!$A$5:$CY$9142,17,FALSE)</f>
        <v>N/A</v>
      </c>
      <c r="G55" s="144" t="str">
        <f>VLOOKUP($A55, 'Matriz POA 2024-TRABAJO'!$A$5:$CY$9142,20,FALSE)</f>
        <v>N/A</v>
      </c>
      <c r="H55" s="144" t="str">
        <f>VLOOKUP($A55, 'Matriz POA 2024-TRABAJO'!$A$5:$CY$9142,23,FALSE)</f>
        <v>NUEVA</v>
      </c>
      <c r="I55" s="144" t="str">
        <f>VLOOKUP($A55, 'Matriz POA 2024-TRABAJO'!$A$5:$CY$9142,24,FALSE)</f>
        <v>Reintegro de gastos por peajes para los Servidores y Trabajadores de la Corporación Ciudad Alfaro y sus Sedes en comisión de servicios institucionales</v>
      </c>
      <c r="J55" s="144" t="str">
        <f>VLOOKUP($A55,'Matriz POA 2024-TRABAJO'!$A$5:$CY$9142,25,FALSE)</f>
        <v>0035</v>
      </c>
      <c r="K55" s="49" t="str">
        <f>VLOOKUP($A55,'Matriz POA 2024-TRABAJO'!$A$5:$CY$9142,26,FALSE)</f>
        <v>80</v>
      </c>
      <c r="L55" s="49" t="str">
        <f>VLOOKUP($A55,'Matriz POA 2024-TRABAJO'!$A$5:$CY$9142,27,FALSE)</f>
        <v>000</v>
      </c>
      <c r="M55" s="49" t="str">
        <f>VLOOKUP($A55,'Matriz POA 2024-TRABAJO'!$A$5:$CY$9142,28,FALSE)</f>
        <v>002</v>
      </c>
      <c r="N55" s="49" t="str">
        <f>VLOOKUP($A55,'Matriz POA 2024-TRABAJO'!$A$5:$CY$9142,29,FALSE)</f>
        <v>57</v>
      </c>
      <c r="O55" s="49">
        <f>VLOOKUP($A55,'Matriz POA 2024-TRABAJO'!$A$5:$CY$9142,30,FALSE)</f>
        <v>570102</v>
      </c>
      <c r="P55" s="49" t="str">
        <f>VLOOKUP($A55,'Matriz POA 2024-TRABAJO'!$A$5:$CY$9142,31,FALSE)</f>
        <v>Tasas Generales, Impuestos, Contribuciones, Permisos, Licencias y Patentes.</v>
      </c>
      <c r="Q55" s="49">
        <f>VLOOKUP($A55,'Matriz POA 2024-TRABAJO'!$A$5:$CY$9142,32,FALSE)</f>
        <v>1309</v>
      </c>
      <c r="R55" s="49" t="str">
        <f>VLOOKUP($A55,'Matriz POA 2024-TRABAJO'!$A$5:$CY$9142,33,FALSE)</f>
        <v>001</v>
      </c>
      <c r="S55" s="49" t="str">
        <f>VLOOKUP($A55,'Matriz POA 2024-TRABAJO'!$A$5:$CY$9142,34,FALSE)</f>
        <v>0000</v>
      </c>
      <c r="T55" s="49" t="str">
        <f>VLOOKUP($A55,'Matriz POA 2024-TRABAJO'!$A$5:$CY$9142,35,FALSE)</f>
        <v>0000</v>
      </c>
      <c r="U55" s="50">
        <f>VLOOKUP($A55,'Matriz POA 2024-TRABAJO'!$A$5:$CY$9142,47,FALSE)</f>
        <v>150</v>
      </c>
      <c r="V55" s="51">
        <v>0</v>
      </c>
      <c r="W55" s="51">
        <v>0</v>
      </c>
      <c r="X55" s="51"/>
      <c r="Y55" s="51"/>
      <c r="Z55" s="51"/>
      <c r="AA55" s="51"/>
      <c r="AB55" s="51"/>
      <c r="AC55" s="51"/>
      <c r="AD55" s="505">
        <f>4+8+4</f>
        <v>16</v>
      </c>
      <c r="AE55" s="51"/>
      <c r="AF55" s="51">
        <f>7+4</f>
        <v>11</v>
      </c>
      <c r="AG55" s="51"/>
      <c r="AH55" s="3">
        <f>VLOOKUP($A55, 'Matriz POA 2024-TRABAJO'!$A$5:$CY$9142,61,FALSE)</f>
        <v>150</v>
      </c>
      <c r="AI55" s="406">
        <f t="shared" si="9"/>
        <v>27</v>
      </c>
      <c r="AJ55" s="407">
        <f t="shared" si="10"/>
        <v>123</v>
      </c>
    </row>
    <row r="56" spans="1:36" ht="15" customHeight="1">
      <c r="A56" s="3">
        <v>480</v>
      </c>
      <c r="B56" s="144" t="str">
        <f>VLOOKUP($A56, 'Matriz POA 2024-TRABAJO'!$A$5:$CY$9142,11,FALSE)</f>
        <v>Corporación Ciudad Alfaro</v>
      </c>
      <c r="C56" s="144" t="str">
        <f>VLOOKUP($A56, 'Matriz POA 2024-TRABAJO'!$A$5:$CY$9142,14,FALSE)</f>
        <v>N/A</v>
      </c>
      <c r="D56" s="144" t="str">
        <f>VLOOKUP($A56, 'Matriz POA 2024-TRABAJO'!$A$5:$CY$9142,15,FALSE)</f>
        <v>N/A</v>
      </c>
      <c r="E56" s="144" t="str">
        <f>VLOOKUP($A56, 'Matriz POA 2024-TRABAJO'!$A$5:$CY$9142,18,FALSE)</f>
        <v>N/A</v>
      </c>
      <c r="F56" s="144" t="str">
        <f>VLOOKUP($A56, 'Matriz POA 2024-TRABAJO'!$A$5:$CY$9142,17,FALSE)</f>
        <v>N/A</v>
      </c>
      <c r="G56" s="144" t="str">
        <f>VLOOKUP($A56, 'Matriz POA 2024-TRABAJO'!$A$5:$CY$9142,20,FALSE)</f>
        <v>N/A</v>
      </c>
      <c r="H56" s="144" t="str">
        <f>VLOOKUP($A56, 'Matriz POA 2024-TRABAJO'!$A$5:$CY$9142,23,FALSE)</f>
        <v>NUEVA</v>
      </c>
      <c r="I56" s="144" t="str">
        <f>VLOOKUP($A56, 'Matriz POA 2024-TRABAJO'!$A$5:$CY$9142,24,FALSE)</f>
        <v>Adquisición  de suministros y materiales de oficina para la corporación ciudad alfaro y sus sedes</v>
      </c>
      <c r="J56" s="144" t="str">
        <f>VLOOKUP($A56,'Matriz POA 2024-TRABAJO'!$A$5:$CY$9142,25,FALSE)</f>
        <v>0035</v>
      </c>
      <c r="K56" s="49" t="str">
        <f>VLOOKUP($A56,'Matriz POA 2024-TRABAJO'!$A$5:$CY$9142,26,FALSE)</f>
        <v>80</v>
      </c>
      <c r="L56" s="49" t="str">
        <f>VLOOKUP($A56,'Matriz POA 2024-TRABAJO'!$A$5:$CY$9142,27,FALSE)</f>
        <v>000</v>
      </c>
      <c r="M56" s="49" t="str">
        <f>VLOOKUP($A56,'Matriz POA 2024-TRABAJO'!$A$5:$CY$9142,28,FALSE)</f>
        <v>002</v>
      </c>
      <c r="N56" s="49" t="str">
        <f>VLOOKUP($A56,'Matriz POA 2024-TRABAJO'!$A$5:$CY$9142,29,FALSE)</f>
        <v>53</v>
      </c>
      <c r="O56" s="49">
        <f>VLOOKUP($A56,'Matriz POA 2024-TRABAJO'!$A$5:$CY$9142,30,FALSE)</f>
        <v>530804</v>
      </c>
      <c r="P56" s="49" t="str">
        <f>VLOOKUP($A56,'Matriz POA 2024-TRABAJO'!$A$5:$CY$9142,31,FALSE)</f>
        <v>Materiales de Oficina</v>
      </c>
      <c r="Q56" s="49">
        <f>VLOOKUP($A56,'Matriz POA 2024-TRABAJO'!$A$5:$CY$9142,32,FALSE)</f>
        <v>1309</v>
      </c>
      <c r="R56" s="49" t="str">
        <f>VLOOKUP($A56,'Matriz POA 2024-TRABAJO'!$A$5:$CY$9142,33,FALSE)</f>
        <v>001</v>
      </c>
      <c r="S56" s="49" t="str">
        <f>VLOOKUP($A56,'Matriz POA 2024-TRABAJO'!$A$5:$CY$9142,34,FALSE)</f>
        <v>0000</v>
      </c>
      <c r="T56" s="49" t="str">
        <f>VLOOKUP($A56,'Matriz POA 2024-TRABAJO'!$A$5:$CY$9142,35,FALSE)</f>
        <v>0000</v>
      </c>
      <c r="U56" s="50">
        <f>VLOOKUP($A56,'Matriz POA 2024-TRABAJO'!$A$5:$CY$9142,47,FALSE)</f>
        <v>4000</v>
      </c>
      <c r="V56" s="51">
        <v>0</v>
      </c>
      <c r="W56" s="51">
        <v>0</v>
      </c>
      <c r="X56" s="51"/>
      <c r="Y56" s="51"/>
      <c r="Z56" s="51"/>
      <c r="AA56" s="51"/>
      <c r="AB56" s="51"/>
      <c r="AC56" s="51"/>
      <c r="AD56" s="505">
        <f>205.5+256.9</f>
        <v>462.4</v>
      </c>
      <c r="AE56" s="51"/>
      <c r="AF56" s="51"/>
      <c r="AG56" s="51">
        <v>275</v>
      </c>
      <c r="AH56" s="3">
        <f>VLOOKUP($A56, 'Matriz POA 2024-TRABAJO'!$A$5:$CY$9142,61,FALSE)</f>
        <v>4000</v>
      </c>
      <c r="AI56" s="406">
        <f t="shared" si="9"/>
        <v>737.4</v>
      </c>
      <c r="AJ56" s="407">
        <f t="shared" si="10"/>
        <v>3262.6</v>
      </c>
    </row>
    <row r="57" spans="1:36" ht="15" hidden="1" customHeight="1">
      <c r="A57" s="3">
        <v>932</v>
      </c>
      <c r="B57" s="144" t="str">
        <f>VLOOKUP($A57, 'Matriz POA 2024-TRABAJO'!$A$5:$CY$9142,11,FALSE)</f>
        <v>Corporación Ciudad Alfaro</v>
      </c>
      <c r="C57" s="144" t="str">
        <f>VLOOKUP($A57, 'Matriz POA 2024-TRABAJO'!$A$5:$CY$9142,14,FALSE)</f>
        <v>N/A</v>
      </c>
      <c r="D57" s="144" t="str">
        <f>VLOOKUP($A57, 'Matriz POA 2024-TRABAJO'!$A$5:$CY$9142,15,FALSE)</f>
        <v>N/A</v>
      </c>
      <c r="E57" s="144" t="str">
        <f>VLOOKUP($A57, 'Matriz POA 2024-TRABAJO'!$A$5:$CY$9142,18,FALSE)</f>
        <v>N/A</v>
      </c>
      <c r="F57" s="144" t="str">
        <f>VLOOKUP($A57, 'Matriz POA 2024-TRABAJO'!$A$5:$CY$9142,17,FALSE)</f>
        <v>N/A</v>
      </c>
      <c r="G57" s="144" t="str">
        <f>VLOOKUP($A57, 'Matriz POA 2024-TRABAJO'!$A$5:$CY$9142,20,FALSE)</f>
        <v>N/A</v>
      </c>
      <c r="H57" s="144" t="str">
        <f>VLOOKUP($A57, 'Matriz POA 2024-TRABAJO'!$A$5:$CY$9142,23,FALSE)</f>
        <v>NUEVA</v>
      </c>
      <c r="I57" s="144" t="str">
        <f>VLOOKUP($A57, 'Matriz POA 2024-TRABAJO'!$A$5:$CY$9142,24,FALSE)</f>
        <v>Reintegro de gastos para los Servidores y Trabajadores de la Corporación Ciudad Alfaro y sus Sedes por concepto de combustible utilizado en comisión de servicios institucionales</v>
      </c>
      <c r="J57" s="144" t="str">
        <f>VLOOKUP($A57,'Matriz POA 2024-TRABAJO'!$A$5:$CY$9142,25,FALSE)</f>
        <v>0035</v>
      </c>
      <c r="K57" s="49" t="str">
        <f>VLOOKUP($A57,'Matriz POA 2024-TRABAJO'!$A$5:$CY$9142,26,FALSE)</f>
        <v>80</v>
      </c>
      <c r="L57" s="49" t="str">
        <f>VLOOKUP($A57,'Matriz POA 2024-TRABAJO'!$A$5:$CY$9142,27,FALSE)</f>
        <v>000</v>
      </c>
      <c r="M57" s="49" t="str">
        <f>VLOOKUP($A57,'Matriz POA 2024-TRABAJO'!$A$5:$CY$9142,28,FALSE)</f>
        <v>002</v>
      </c>
      <c r="N57" s="49">
        <f>VLOOKUP($A57,'Matriz POA 2024-TRABAJO'!$A$5:$CY$9142,29,FALSE)</f>
        <v>53</v>
      </c>
      <c r="O57" s="49">
        <f>VLOOKUP($A57,'Matriz POA 2024-TRABAJO'!$A$5:$CY$9142,30,FALSE)</f>
        <v>530255</v>
      </c>
      <c r="P57" s="49" t="str">
        <f>VLOOKUP($A57,'Matriz POA 2024-TRABAJO'!$A$5:$CY$9142,31,FALSE)</f>
        <v>Combustibles</v>
      </c>
      <c r="Q57" s="49">
        <f>VLOOKUP($A57,'Matriz POA 2024-TRABAJO'!$A$5:$CY$9142,32,FALSE)</f>
        <v>1309</v>
      </c>
      <c r="R57" s="49" t="str">
        <f>VLOOKUP($A57,'Matriz POA 2024-TRABAJO'!$A$5:$CY$9142,33,FALSE)</f>
        <v>001</v>
      </c>
      <c r="S57" s="49" t="str">
        <f>VLOOKUP($A57,'Matriz POA 2024-TRABAJO'!$A$5:$CY$9142,34,FALSE)</f>
        <v>0000</v>
      </c>
      <c r="T57" s="49" t="str">
        <f>VLOOKUP($A57,'Matriz POA 2024-TRABAJO'!$A$5:$CY$9142,35,FALSE)</f>
        <v>0000</v>
      </c>
      <c r="U57" s="50">
        <f>VLOOKUP($A57,'Matriz POA 2024-TRABAJO'!$A$5:$CY$9142,47,FALSE)</f>
        <v>1000</v>
      </c>
      <c r="V57" s="51">
        <v>0</v>
      </c>
      <c r="W57" s="51">
        <v>0</v>
      </c>
      <c r="X57" s="51"/>
      <c r="Y57" s="51"/>
      <c r="Z57" s="51"/>
      <c r="AA57" s="51"/>
      <c r="AB57" s="51"/>
      <c r="AC57" s="51"/>
      <c r="AD57" s="51"/>
      <c r="AE57" s="51"/>
      <c r="AF57" s="51">
        <f>40+15</f>
        <v>55</v>
      </c>
      <c r="AG57" s="51"/>
      <c r="AH57" s="3">
        <f>VLOOKUP($A57, 'Matriz POA 2024-TRABAJO'!$A$5:$CY$9142,61,FALSE)</f>
        <v>999.99999999999989</v>
      </c>
      <c r="AI57" s="406">
        <f t="shared" si="9"/>
        <v>55</v>
      </c>
      <c r="AJ57" s="407">
        <f t="shared" si="10"/>
        <v>944.99999999999989</v>
      </c>
    </row>
    <row r="58" spans="1:36" ht="15" hidden="1" customHeight="1">
      <c r="A58" s="3">
        <v>876</v>
      </c>
      <c r="B58" s="144" t="str">
        <f>VLOOKUP($A58, 'Matriz POA 2024-TRABAJO'!$A$5:$CY$9142,11,FALSE)</f>
        <v>Corporación Ciudad Alfaro</v>
      </c>
      <c r="C58" s="144" t="str">
        <f>VLOOKUP($A58, 'Matriz POA 2024-TRABAJO'!$A$5:$CY$9142,14,FALSE)</f>
        <v>N/A</v>
      </c>
      <c r="D58" s="144" t="str">
        <f>VLOOKUP($A58, 'Matriz POA 2024-TRABAJO'!$A$5:$CY$9142,15,FALSE)</f>
        <v>N/A</v>
      </c>
      <c r="E58" s="144" t="str">
        <f>VLOOKUP($A58, 'Matriz POA 2024-TRABAJO'!$A$5:$CY$9142,18,FALSE)</f>
        <v>N/A</v>
      </c>
      <c r="F58" s="144" t="str">
        <f>VLOOKUP($A58, 'Matriz POA 2024-TRABAJO'!$A$5:$CY$9142,17,FALSE)</f>
        <v>N/A</v>
      </c>
      <c r="G58" s="144" t="str">
        <f>VLOOKUP($A58, 'Matriz POA 2024-TRABAJO'!$A$5:$CY$9142,20,FALSE)</f>
        <v>N/A</v>
      </c>
      <c r="H58" s="144" t="str">
        <f>VLOOKUP($A58, 'Matriz POA 2024-TRABAJO'!$A$5:$CY$9142,23,FALSE)</f>
        <v>PLURIANUAL 2024 - 2025</v>
      </c>
      <c r="I58" s="144" t="str">
        <f>VLOOKUP($A58, 'Matriz POA 2024-TRABAJO'!$A$5:$CY$9142,24,FALSE)</f>
        <v>Contratación del servicio de Aseo y limpieza para el Museo Bahía de Caráquez, durante el período 2024-2025</v>
      </c>
      <c r="J58" s="144" t="str">
        <f>VLOOKUP($A58,'Matriz POA 2024-TRABAJO'!$A$5:$CY$9142,25,FALSE)</f>
        <v>0035</v>
      </c>
      <c r="K58" s="49" t="str">
        <f>VLOOKUP($A58,'Matriz POA 2024-TRABAJO'!$A$5:$CY$9142,26,FALSE)</f>
        <v>80</v>
      </c>
      <c r="L58" s="49" t="str">
        <f>VLOOKUP($A58,'Matriz POA 2024-TRABAJO'!$A$5:$CY$9142,27,FALSE)</f>
        <v>000</v>
      </c>
      <c r="M58" s="49" t="str">
        <f>VLOOKUP($A58,'Matriz POA 2024-TRABAJO'!$A$5:$CY$9142,28,FALSE)</f>
        <v>002</v>
      </c>
      <c r="N58" s="49" t="str">
        <f>VLOOKUP($A58,'Matriz POA 2024-TRABAJO'!$A$5:$CY$9142,29,FALSE)</f>
        <v>53</v>
      </c>
      <c r="O58" s="49">
        <f>VLOOKUP($A58,'Matriz POA 2024-TRABAJO'!$A$5:$CY$9142,30,FALSE)</f>
        <v>530209</v>
      </c>
      <c r="P58" s="49" t="str">
        <f>VLOOKUP($A58,'Matriz POA 2024-TRABAJO'!$A$5:$CY$9142,31,FALSE)</f>
        <v>Servicios de Aseo, Lavado de Vestimenta de Trabajo, Fumigación, Desinfección,  Limpieza de Instalaciones, manejo
de desechos contaminados, recuperación y clasificación de materiales reciclables.</v>
      </c>
      <c r="Q58" s="49">
        <f>VLOOKUP($A58,'Matriz POA 2024-TRABAJO'!$A$5:$CY$9142,32,FALSE)</f>
        <v>1314</v>
      </c>
      <c r="R58" s="49" t="str">
        <f>VLOOKUP($A58,'Matriz POA 2024-TRABAJO'!$A$5:$CY$9142,33,FALSE)</f>
        <v>001</v>
      </c>
      <c r="S58" s="49" t="str">
        <f>VLOOKUP($A58,'Matriz POA 2024-TRABAJO'!$A$5:$CY$9142,34,FALSE)</f>
        <v>0000</v>
      </c>
      <c r="T58" s="49" t="str">
        <f>VLOOKUP($A58,'Matriz POA 2024-TRABAJO'!$A$5:$CY$9142,35,FALSE)</f>
        <v>0000</v>
      </c>
      <c r="U58" s="50">
        <f>VLOOKUP($A58,'Matriz POA 2024-TRABAJO'!$A$5:$CY$9142,47,FALSE)</f>
        <v>5340.6</v>
      </c>
      <c r="V58" s="51">
        <v>0</v>
      </c>
      <c r="W58" s="51">
        <v>0</v>
      </c>
      <c r="X58" s="51"/>
      <c r="Y58" s="51"/>
      <c r="Z58" s="51"/>
      <c r="AA58" s="51"/>
      <c r="AB58" s="51"/>
      <c r="AC58" s="51"/>
      <c r="AD58" s="51"/>
      <c r="AE58" s="51"/>
      <c r="AF58" s="51">
        <f>541.8+2322</f>
        <v>2863.8</v>
      </c>
      <c r="AG58" s="51">
        <v>2322</v>
      </c>
      <c r="AH58" s="3">
        <f>VLOOKUP($A58, 'Matriz POA 2024-TRABAJO'!$A$5:$CY$9142,61,FALSE)</f>
        <v>5340.6</v>
      </c>
      <c r="AI58" s="406">
        <f t="shared" si="9"/>
        <v>5185.8</v>
      </c>
      <c r="AJ58" s="407">
        <f t="shared" si="10"/>
        <v>154.80000000000018</v>
      </c>
    </row>
    <row r="59" spans="1:36" ht="15" hidden="1" customHeight="1">
      <c r="A59" s="3">
        <v>875</v>
      </c>
      <c r="B59" s="144" t="str">
        <f>VLOOKUP($A59, 'Matriz POA 2024-TRABAJO'!$A$5:$CY$9142,11,FALSE)</f>
        <v>Corporación Ciudad Alfaro</v>
      </c>
      <c r="C59" s="144" t="str">
        <f>VLOOKUP($A59, 'Matriz POA 2024-TRABAJO'!$A$5:$CY$9142,14,FALSE)</f>
        <v>N/A</v>
      </c>
      <c r="D59" s="144" t="str">
        <f>VLOOKUP($A59, 'Matriz POA 2024-TRABAJO'!$A$5:$CY$9142,15,FALSE)</f>
        <v>N/A</v>
      </c>
      <c r="E59" s="144" t="str">
        <f>VLOOKUP($A59, 'Matriz POA 2024-TRABAJO'!$A$5:$CY$9142,18,FALSE)</f>
        <v>N/A</v>
      </c>
      <c r="F59" s="144" t="str">
        <f>VLOOKUP($A59, 'Matriz POA 2024-TRABAJO'!$A$5:$CY$9142,17,FALSE)</f>
        <v>N/A</v>
      </c>
      <c r="G59" s="144" t="str">
        <f>VLOOKUP($A59, 'Matriz POA 2024-TRABAJO'!$A$5:$CY$9142,20,FALSE)</f>
        <v>N/A</v>
      </c>
      <c r="H59" s="144" t="str">
        <f>VLOOKUP($A59, 'Matriz POA 2024-TRABAJO'!$A$5:$CY$9142,23,FALSE)</f>
        <v>PLURIANUAL 2024 - 2025</v>
      </c>
      <c r="I59" s="144" t="str">
        <f>VLOOKUP($A59, 'Matriz POA 2024-TRABAJO'!$A$5:$CY$9142,24,FALSE)</f>
        <v>Contratación del servicio de Aseo y limpieza para el Museo Centro Cultural Manta, durante el período 2024-2025</v>
      </c>
      <c r="J59" s="144" t="str">
        <f>VLOOKUP($A59,'Matriz POA 2024-TRABAJO'!$A$5:$CY$9142,25,FALSE)</f>
        <v>0035</v>
      </c>
      <c r="K59" s="49" t="str">
        <f>VLOOKUP($A59,'Matriz POA 2024-TRABAJO'!$A$5:$CY$9142,26,FALSE)</f>
        <v>80</v>
      </c>
      <c r="L59" s="49" t="str">
        <f>VLOOKUP($A59,'Matriz POA 2024-TRABAJO'!$A$5:$CY$9142,27,FALSE)</f>
        <v>000</v>
      </c>
      <c r="M59" s="49" t="str">
        <f>VLOOKUP($A59,'Matriz POA 2024-TRABAJO'!$A$5:$CY$9142,28,FALSE)</f>
        <v>002</v>
      </c>
      <c r="N59" s="49" t="str">
        <f>VLOOKUP($A59,'Matriz POA 2024-TRABAJO'!$A$5:$CY$9142,29,FALSE)</f>
        <v>53</v>
      </c>
      <c r="O59" s="49">
        <f>VLOOKUP($A59,'Matriz POA 2024-TRABAJO'!$A$5:$CY$9142,30,FALSE)</f>
        <v>530209</v>
      </c>
      <c r="P59" s="49" t="str">
        <f>VLOOKUP($A59,'Matriz POA 2024-TRABAJO'!$A$5:$CY$9142,31,FALSE)</f>
        <v>Servicios de Aseo, Lavado de Vestimenta de Trabajo, Fumigación, Desinfección,  Limpieza de Instalaciones, manejo
de desechos contaminados, recuperación y clasificación de materiales reciclables.</v>
      </c>
      <c r="Q59" s="49">
        <f>VLOOKUP($A59,'Matriz POA 2024-TRABAJO'!$A$5:$CY$9142,32,FALSE)</f>
        <v>1308</v>
      </c>
      <c r="R59" s="49" t="str">
        <f>VLOOKUP($A59,'Matriz POA 2024-TRABAJO'!$A$5:$CY$9142,33,FALSE)</f>
        <v>001</v>
      </c>
      <c r="S59" s="49" t="str">
        <f>VLOOKUP($A59,'Matriz POA 2024-TRABAJO'!$A$5:$CY$9142,34,FALSE)</f>
        <v>0000</v>
      </c>
      <c r="T59" s="49" t="str">
        <f>VLOOKUP($A59,'Matriz POA 2024-TRABAJO'!$A$5:$CY$9142,35,FALSE)</f>
        <v>0000</v>
      </c>
      <c r="U59" s="50">
        <f>VLOOKUP($A59,'Matriz POA 2024-TRABAJO'!$A$5:$CY$9142,47,FALSE)</f>
        <v>5340.6</v>
      </c>
      <c r="V59" s="51">
        <v>0</v>
      </c>
      <c r="W59" s="51">
        <v>0</v>
      </c>
      <c r="X59" s="51"/>
      <c r="Y59" s="51"/>
      <c r="Z59" s="51"/>
      <c r="AA59" s="51"/>
      <c r="AB59" s="51"/>
      <c r="AC59" s="51"/>
      <c r="AD59" s="51"/>
      <c r="AE59" s="51">
        <v>1548</v>
      </c>
      <c r="AF59" s="51">
        <f>541.8+2322</f>
        <v>2863.8</v>
      </c>
      <c r="AG59" s="51">
        <v>2322</v>
      </c>
      <c r="AH59" s="3">
        <f>VLOOKUP($A59, 'Matriz POA 2024-TRABAJO'!$A$5:$CY$9142,61,FALSE)</f>
        <v>5340.6</v>
      </c>
      <c r="AI59" s="406">
        <f t="shared" si="9"/>
        <v>6733.8</v>
      </c>
      <c r="AJ59" s="407">
        <f t="shared" si="10"/>
        <v>-1393.1999999999998</v>
      </c>
    </row>
    <row r="60" spans="1:36" ht="15" hidden="1" customHeight="1">
      <c r="A60" s="3">
        <v>1083</v>
      </c>
      <c r="B60" s="144" t="str">
        <f>VLOOKUP($A60, 'Matriz POA 2024-TRABAJO'!$A$5:$CY$9142,11,FALSE)</f>
        <v>Corporación Ciudad Alfaro</v>
      </c>
      <c r="C60" s="144" t="str">
        <f>VLOOKUP($A60, 'Matriz POA 2024-TRABAJO'!$A$5:$CY$9142,14,FALSE)</f>
        <v>N/A</v>
      </c>
      <c r="D60" s="144" t="str">
        <f>VLOOKUP($A60, 'Matriz POA 2024-TRABAJO'!$A$5:$CY$9142,15,FALSE)</f>
        <v>N/A</v>
      </c>
      <c r="E60" s="144" t="str">
        <f>VLOOKUP($A60, 'Matriz POA 2024-TRABAJO'!$A$5:$CY$9142,18,FALSE)</f>
        <v>N/A</v>
      </c>
      <c r="F60" s="144">
        <f>VLOOKUP($A60, 'Matriz POA 2024-TRABAJO'!$A$5:$CY$9142,17,FALSE)</f>
        <v>0</v>
      </c>
      <c r="G60" s="144" t="str">
        <f>VLOOKUP($A60, 'Matriz POA 2024-TRABAJO'!$A$5:$CY$9142,20,FALSE)</f>
        <v>N/A</v>
      </c>
      <c r="H60" s="144" t="str">
        <f>VLOOKUP($A60, 'Matriz POA 2024-TRABAJO'!$A$5:$CY$9142,23,FALSE)</f>
        <v>NUEVA</v>
      </c>
      <c r="I60" s="144" t="str">
        <f>VLOOKUP($A60, 'Matriz POA 2024-TRABAJO'!$A$5:$CY$9142,24,FALSE)</f>
        <v>Obligaciones con el IESS por responsabilidad patronal</v>
      </c>
      <c r="J60" s="144" t="str">
        <f>VLOOKUP($A60,'Matriz POA 2024-TRABAJO'!$A$5:$CY$9142,25,FALSE)</f>
        <v>0035</v>
      </c>
      <c r="K60" s="49" t="str">
        <f>VLOOKUP($A60,'Matriz POA 2024-TRABAJO'!$A$5:$CY$9142,26,FALSE)</f>
        <v>80</v>
      </c>
      <c r="L60" s="49" t="str">
        <f>VLOOKUP($A60,'Matriz POA 2024-TRABAJO'!$A$5:$CY$9142,27,FALSE)</f>
        <v>000</v>
      </c>
      <c r="M60" s="49" t="str">
        <f>VLOOKUP($A60,'Matriz POA 2024-TRABAJO'!$A$5:$CY$9142,28,FALSE)</f>
        <v>002</v>
      </c>
      <c r="N60" s="49">
        <f>VLOOKUP($A60,'Matriz POA 2024-TRABAJO'!$A$5:$CY$9142,29,FALSE)</f>
        <v>57</v>
      </c>
      <c r="O60" s="49">
        <f>VLOOKUP($A60,'Matriz POA 2024-TRABAJO'!$A$5:$CY$9142,30,FALSE)</f>
        <v>570216</v>
      </c>
      <c r="P60" s="49" t="str">
        <f>VLOOKUP($A60,'Matriz POA 2024-TRABAJO'!$A$5:$CY$9142,31,FALSE)</f>
        <v>Obligaciones con el IESS por Responsabilidad Patronal</v>
      </c>
      <c r="Q60" s="49">
        <f>VLOOKUP($A60,'Matriz POA 2024-TRABAJO'!$A$5:$CY$9142,32,FALSE)</f>
        <v>1309</v>
      </c>
      <c r="R60" s="49" t="str">
        <f>VLOOKUP($A60,'Matriz POA 2024-TRABAJO'!$A$5:$CY$9142,33,FALSE)</f>
        <v>001</v>
      </c>
      <c r="S60" s="49" t="str">
        <f>VLOOKUP($A60,'Matriz POA 2024-TRABAJO'!$A$5:$CY$9142,34,FALSE)</f>
        <v>0000</v>
      </c>
      <c r="T60" s="49" t="str">
        <f>VLOOKUP($A60,'Matriz POA 2024-TRABAJO'!$A$5:$CY$9142,35,FALSE)</f>
        <v>0000</v>
      </c>
      <c r="U60" s="50">
        <f>VLOOKUP($A60,'Matriz POA 2024-TRABAJO'!$A$5:$CY$9142,47,FALSE)</f>
        <v>1000</v>
      </c>
      <c r="V60" s="51">
        <v>0</v>
      </c>
      <c r="W60" s="51">
        <v>0</v>
      </c>
      <c r="X60" s="51"/>
      <c r="Y60" s="51"/>
      <c r="Z60" s="51"/>
      <c r="AA60" s="51"/>
      <c r="AB60" s="51"/>
      <c r="AC60" s="51"/>
      <c r="AD60" s="51"/>
      <c r="AE60" s="51"/>
      <c r="AF60" s="51">
        <v>936.25</v>
      </c>
      <c r="AG60" s="51"/>
      <c r="AH60" s="3">
        <f>VLOOKUP($A60, 'Matriz POA 2024-TRABAJO'!$A$5:$CY$9142,61,FALSE)</f>
        <v>1000</v>
      </c>
      <c r="AI60" s="406">
        <f t="shared" ref="AI60:AI61" si="11">SUM(V60:AG60)</f>
        <v>936.25</v>
      </c>
      <c r="AJ60" s="407">
        <f t="shared" ref="AJ60:AJ61" si="12">AH60-AI60</f>
        <v>63.75</v>
      </c>
    </row>
    <row r="61" spans="1:36" ht="15" hidden="1" customHeight="1">
      <c r="A61" s="3">
        <v>1084</v>
      </c>
      <c r="B61" s="144" t="str">
        <f>VLOOKUP($A61, 'Matriz POA 2024-TRABAJO'!$A$5:$CY$9142,11,FALSE)</f>
        <v>Corporación Ciudad Alfaro</v>
      </c>
      <c r="C61" s="144" t="str">
        <f>VLOOKUP($A61, 'Matriz POA 2024-TRABAJO'!$A$5:$CY$9142,14,FALSE)</f>
        <v>N/A</v>
      </c>
      <c r="D61" s="144" t="str">
        <f>VLOOKUP($A61, 'Matriz POA 2024-TRABAJO'!$A$5:$CY$9142,15,FALSE)</f>
        <v>N/A</v>
      </c>
      <c r="E61" s="144" t="str">
        <f>VLOOKUP($A61, 'Matriz POA 2024-TRABAJO'!$A$5:$CY$9142,18,FALSE)</f>
        <v>N/A</v>
      </c>
      <c r="F61" s="144">
        <f>VLOOKUP($A61, 'Matriz POA 2024-TRABAJO'!$A$5:$CY$9142,17,FALSE)</f>
        <v>0</v>
      </c>
      <c r="G61" s="144" t="str">
        <f>VLOOKUP($A61, 'Matriz POA 2024-TRABAJO'!$A$5:$CY$9142,20,FALSE)</f>
        <v>N/A</v>
      </c>
      <c r="H61" s="144" t="str">
        <f>VLOOKUP($A61, 'Matriz POA 2024-TRABAJO'!$A$5:$CY$9142,23,FALSE)</f>
        <v>NUEVA</v>
      </c>
      <c r="I61" s="144" t="str">
        <f>VLOOKUP($A61, 'Matriz POA 2024-TRABAJO'!$A$5:$CY$9142,24,FALSE)</f>
        <v xml:space="preserve">Intereses patronal al IESS </v>
      </c>
      <c r="J61" s="144" t="str">
        <f>VLOOKUP($A61,'Matriz POA 2024-TRABAJO'!$A$5:$CY$9142,25,FALSE)</f>
        <v>0035</v>
      </c>
      <c r="K61" s="49" t="str">
        <f>VLOOKUP($A61,'Matriz POA 2024-TRABAJO'!$A$5:$CY$9142,26,FALSE)</f>
        <v>80</v>
      </c>
      <c r="L61" s="49" t="str">
        <f>VLOOKUP($A61,'Matriz POA 2024-TRABAJO'!$A$5:$CY$9142,27,FALSE)</f>
        <v>000</v>
      </c>
      <c r="M61" s="49" t="str">
        <f>VLOOKUP($A61,'Matriz POA 2024-TRABAJO'!$A$5:$CY$9142,28,FALSE)</f>
        <v>002</v>
      </c>
      <c r="N61" s="49">
        <f>VLOOKUP($A61,'Matriz POA 2024-TRABAJO'!$A$5:$CY$9142,29,FALSE)</f>
        <v>57</v>
      </c>
      <c r="O61" s="49">
        <f>VLOOKUP($A61,'Matriz POA 2024-TRABAJO'!$A$5:$CY$9142,30,FALSE)</f>
        <v>570218</v>
      </c>
      <c r="P61" s="49" t="str">
        <f>VLOOKUP($A61,'Matriz POA 2024-TRABAJO'!$A$5:$CY$9142,31,FALSE)</f>
        <v>Intereses por Mora Patronal al IESS</v>
      </c>
      <c r="Q61" s="49">
        <f>VLOOKUP($A61,'Matriz POA 2024-TRABAJO'!$A$5:$CY$9142,32,FALSE)</f>
        <v>1309</v>
      </c>
      <c r="R61" s="49" t="str">
        <f>VLOOKUP($A61,'Matriz POA 2024-TRABAJO'!$A$5:$CY$9142,33,FALSE)</f>
        <v>001</v>
      </c>
      <c r="S61" s="49" t="str">
        <f>VLOOKUP($A61,'Matriz POA 2024-TRABAJO'!$A$5:$CY$9142,34,FALSE)</f>
        <v>0000</v>
      </c>
      <c r="T61" s="49" t="str">
        <f>VLOOKUP($A61,'Matriz POA 2024-TRABAJO'!$A$5:$CY$9142,35,FALSE)</f>
        <v>0000</v>
      </c>
      <c r="U61" s="50">
        <f>VLOOKUP($A61,'Matriz POA 2024-TRABAJO'!$A$5:$CY$9142,47,FALSE)</f>
        <v>1200</v>
      </c>
      <c r="V61" s="51">
        <v>0</v>
      </c>
      <c r="W61" s="51">
        <v>0</v>
      </c>
      <c r="X61" s="51"/>
      <c r="Y61" s="51"/>
      <c r="Z61" s="51"/>
      <c r="AA61" s="51"/>
      <c r="AB61" s="51"/>
      <c r="AC61" s="51"/>
      <c r="AD61" s="51"/>
      <c r="AE61" s="51"/>
      <c r="AF61" s="51">
        <v>959.7</v>
      </c>
      <c r="AG61" s="51"/>
      <c r="AH61" s="3">
        <f>VLOOKUP($A61, 'Matriz POA 2024-TRABAJO'!$A$5:$CY$9142,61,FALSE)</f>
        <v>1200</v>
      </c>
      <c r="AI61" s="406">
        <f t="shared" si="11"/>
        <v>959.7</v>
      </c>
      <c r="AJ61" s="407">
        <f t="shared" si="12"/>
        <v>240.29999999999995</v>
      </c>
    </row>
    <row r="62" spans="1:36" ht="15" hidden="1" customHeight="1">
      <c r="A62" s="3">
        <v>1107</v>
      </c>
      <c r="B62" s="144" t="str">
        <f>VLOOKUP($A62, 'Matriz POA 2024-TRABAJO'!$A$5:$CY$9142,11,FALSE)</f>
        <v>Corporación Ciudad Alfaro</v>
      </c>
      <c r="C62" s="144" t="str">
        <f>VLOOKUP($A62, 'Matriz POA 2024-TRABAJO'!$A$5:$CY$9142,14,FALSE)</f>
        <v>N/A</v>
      </c>
      <c r="D62" s="144" t="str">
        <f>VLOOKUP($A62, 'Matriz POA 2024-TRABAJO'!$A$5:$CY$9142,15,FALSE)</f>
        <v>N/A</v>
      </c>
      <c r="E62" s="144">
        <f>VLOOKUP($A62, 'Matriz POA 2024-TRABAJO'!$A$5:$CY$9142,18,FALSE)</f>
        <v>0</v>
      </c>
      <c r="F62" s="144">
        <f>VLOOKUP($A62, 'Matriz POA 2024-TRABAJO'!$A$5:$CY$9142,17,FALSE)</f>
        <v>0</v>
      </c>
      <c r="G62" s="144">
        <f>VLOOKUP($A62, 'Matriz POA 2024-TRABAJO'!$A$5:$CY$9142,20,FALSE)</f>
        <v>0</v>
      </c>
      <c r="H62" s="144" t="str">
        <f>VLOOKUP($A62, 'Matriz POA 2024-TRABAJO'!$A$5:$CY$9142,23,FALSE)</f>
        <v>NUEVA</v>
      </c>
      <c r="I62" s="144" t="str">
        <f>VLOOKUP($A62, 'Matriz POA 2024-TRABAJO'!$A$5:$CY$9142,24,FALSE)</f>
        <v>Reembolso beneficio adquisición de ropa de trabajo</v>
      </c>
      <c r="J62" s="144" t="str">
        <f>VLOOKUP($A62,'Matriz POA 2024-TRABAJO'!$A$5:$CY$9142,25,FALSE)</f>
        <v>0035</v>
      </c>
      <c r="K62" s="49" t="str">
        <f>VLOOKUP($A62,'Matriz POA 2024-TRABAJO'!$A$5:$CY$9142,26,FALSE)</f>
        <v>80</v>
      </c>
      <c r="L62" s="49" t="str">
        <f>VLOOKUP($A62,'Matriz POA 2024-TRABAJO'!$A$5:$CY$9142,27,FALSE)</f>
        <v>000</v>
      </c>
      <c r="M62" s="49" t="str">
        <f>VLOOKUP($A62,'Matriz POA 2024-TRABAJO'!$A$5:$CY$9142,28,FALSE)</f>
        <v>002</v>
      </c>
      <c r="N62" s="49">
        <f>VLOOKUP($A62,'Matriz POA 2024-TRABAJO'!$A$5:$CY$9142,29,FALSE)</f>
        <v>99</v>
      </c>
      <c r="O62" s="49">
        <f>VLOOKUP($A62,'Matriz POA 2024-TRABAJO'!$A$5:$CY$9142,30,FALSE)</f>
        <v>990101</v>
      </c>
      <c r="P62" s="49" t="str">
        <f>VLOOKUP($A62,'Matriz POA 2024-TRABAJO'!$A$5:$CY$9142,31,FALSE)</f>
        <v>Obligaciones de Ejercicios Anteriores por Egresos de Personal</v>
      </c>
      <c r="Q62" s="49">
        <f>VLOOKUP($A62,'Matriz POA 2024-TRABAJO'!$A$5:$CY$9142,32,FALSE)</f>
        <v>1309</v>
      </c>
      <c r="R62" s="49" t="str">
        <f>VLOOKUP($A62,'Matriz POA 2024-TRABAJO'!$A$5:$CY$9142,33,FALSE)</f>
        <v>001</v>
      </c>
      <c r="S62" s="49" t="str">
        <f>VLOOKUP($A62,'Matriz POA 2024-TRABAJO'!$A$5:$CY$9142,34,FALSE)</f>
        <v>0000</v>
      </c>
      <c r="T62" s="49" t="str">
        <f>VLOOKUP($A62,'Matriz POA 2024-TRABAJO'!$A$5:$CY$9142,35,FALSE)</f>
        <v>0000</v>
      </c>
      <c r="U62" s="50">
        <f>VLOOKUP($A62,'Matriz POA 2024-TRABAJO'!$A$5:$CY$9142,47,FALSE)</f>
        <v>1350</v>
      </c>
      <c r="V62" s="51">
        <v>0</v>
      </c>
      <c r="W62" s="51">
        <v>0</v>
      </c>
      <c r="X62" s="51"/>
      <c r="Y62" s="51"/>
      <c r="Z62" s="51"/>
      <c r="AA62" s="51"/>
      <c r="AB62" s="51"/>
      <c r="AC62" s="51"/>
      <c r="AD62" s="51"/>
      <c r="AE62" s="51"/>
      <c r="AF62" s="51">
        <v>1350</v>
      </c>
      <c r="AG62" s="51"/>
      <c r="AH62" s="3">
        <f>VLOOKUP($A62, 'Matriz POA 2024-TRABAJO'!$A$5:$CY$9142,61,FALSE)</f>
        <v>1350</v>
      </c>
      <c r="AI62" s="406">
        <f t="shared" ref="AI62:AI74" si="13">SUM(V62:AG62)</f>
        <v>1350</v>
      </c>
      <c r="AJ62" s="407">
        <f t="shared" ref="AJ62:AJ74" si="14">AH62-AI62</f>
        <v>0</v>
      </c>
    </row>
    <row r="63" spans="1:36" ht="15" hidden="1" customHeight="1">
      <c r="A63" s="3">
        <v>874</v>
      </c>
      <c r="B63" s="144" t="str">
        <f>VLOOKUP($A63, 'Matriz POA 2024-TRABAJO'!$A$5:$CY$9142,11,FALSE)</f>
        <v>Corporación Ciudad Alfaro</v>
      </c>
      <c r="C63" s="144" t="str">
        <f>VLOOKUP($A63, 'Matriz POA 2024-TRABAJO'!$A$5:$CY$9142,14,FALSE)</f>
        <v>N/A</v>
      </c>
      <c r="D63" s="144" t="str">
        <f>VLOOKUP($A63, 'Matriz POA 2024-TRABAJO'!$A$5:$CY$9142,15,FALSE)</f>
        <v>N/A</v>
      </c>
      <c r="E63" s="144" t="str">
        <f>VLOOKUP($A63, 'Matriz POA 2024-TRABAJO'!$A$5:$CY$9142,18,FALSE)</f>
        <v>N/A</v>
      </c>
      <c r="F63" s="144" t="str">
        <f>VLOOKUP($A63, 'Matriz POA 2024-TRABAJO'!$A$5:$CY$9142,17,FALSE)</f>
        <v>N/A</v>
      </c>
      <c r="G63" s="144" t="str">
        <f>VLOOKUP($A63, 'Matriz POA 2024-TRABAJO'!$A$5:$CY$9142,20,FALSE)</f>
        <v>N/A</v>
      </c>
      <c r="H63" s="144" t="str">
        <f>VLOOKUP($A63, 'Matriz POA 2024-TRABAJO'!$A$5:$CY$9142,23,FALSE)</f>
        <v>PLURIANUAL 2024 - 2025</v>
      </c>
      <c r="I63" s="144" t="str">
        <f>VLOOKUP($A63, 'Matriz POA 2024-TRABAJO'!$A$5:$CY$9142,24,FALSE)</f>
        <v>Contratación del servicio de Aseo y limpieza para el Museo Nuclear Corporación Ciudad Alfaro, durante el período 2024-2025</v>
      </c>
      <c r="J63" s="144" t="str">
        <f>VLOOKUP($A63,'Matriz POA 2024-TRABAJO'!$A$5:$CY$9142,25,FALSE)</f>
        <v>0035</v>
      </c>
      <c r="K63" s="49" t="str">
        <f>VLOOKUP($A63,'Matriz POA 2024-TRABAJO'!$A$5:$CY$9142,26,FALSE)</f>
        <v>80</v>
      </c>
      <c r="L63" s="49" t="str">
        <f>VLOOKUP($A63,'Matriz POA 2024-TRABAJO'!$A$5:$CY$9142,27,FALSE)</f>
        <v>000</v>
      </c>
      <c r="M63" s="49" t="str">
        <f>VLOOKUP($A63,'Matriz POA 2024-TRABAJO'!$A$5:$CY$9142,28,FALSE)</f>
        <v>002</v>
      </c>
      <c r="N63" s="49" t="str">
        <f>VLOOKUP($A63,'Matriz POA 2024-TRABAJO'!$A$5:$CY$9142,29,FALSE)</f>
        <v>53</v>
      </c>
      <c r="O63" s="49">
        <f>VLOOKUP($A63,'Matriz POA 2024-TRABAJO'!$A$5:$CY$9142,30,FALSE)</f>
        <v>530209</v>
      </c>
      <c r="P63" s="49" t="str">
        <f>VLOOKUP($A63,'Matriz POA 2024-TRABAJO'!$A$5:$CY$9142,31,FALSE)</f>
        <v>Servicios de Aseo, Lavado de Vestimenta de Trabajo, Fumigación, Desinfección,  Limpieza de Instalaciones, manejo
de desechos contaminados, recuperación y clasificación de materiales reciclables.</v>
      </c>
      <c r="Q63" s="49">
        <f>VLOOKUP($A63,'Matriz POA 2024-TRABAJO'!$A$5:$CY$9142,32,FALSE)</f>
        <v>1309</v>
      </c>
      <c r="R63" s="49" t="str">
        <f>VLOOKUP($A63,'Matriz POA 2024-TRABAJO'!$A$5:$CY$9142,33,FALSE)</f>
        <v>001</v>
      </c>
      <c r="S63" s="49" t="str">
        <f>VLOOKUP($A63,'Matriz POA 2024-TRABAJO'!$A$5:$CY$9142,34,FALSE)</f>
        <v>0000</v>
      </c>
      <c r="T63" s="49" t="str">
        <f>VLOOKUP($A63,'Matriz POA 2024-TRABAJO'!$A$5:$CY$9142,35,FALSE)</f>
        <v>0000</v>
      </c>
      <c r="U63" s="50">
        <f>VLOOKUP($A63,'Matriz POA 2024-TRABAJO'!$A$5:$CY$9142,47,FALSE)</f>
        <v>5340.6</v>
      </c>
      <c r="V63" s="51">
        <v>0</v>
      </c>
      <c r="W63" s="51">
        <v>0</v>
      </c>
      <c r="X63" s="51"/>
      <c r="Y63" s="51"/>
      <c r="Z63" s="51"/>
      <c r="AA63" s="51"/>
      <c r="AB63" s="51"/>
      <c r="AC63" s="51"/>
      <c r="AD63" s="51"/>
      <c r="AE63" s="51"/>
      <c r="AF63" s="51">
        <f>541.8+2322</f>
        <v>2863.8</v>
      </c>
      <c r="AG63" s="51">
        <v>2322</v>
      </c>
      <c r="AH63" s="3">
        <f>VLOOKUP($A63, 'Matriz POA 2024-TRABAJO'!$A$5:$CY$9142,61,FALSE)</f>
        <v>5340.6</v>
      </c>
      <c r="AI63" s="406">
        <f t="shared" si="13"/>
        <v>5185.8</v>
      </c>
      <c r="AJ63" s="407">
        <f t="shared" si="14"/>
        <v>154.80000000000018</v>
      </c>
    </row>
    <row r="64" spans="1:36" ht="15" hidden="1" customHeight="1">
      <c r="A64" s="3">
        <v>1106</v>
      </c>
      <c r="B64" s="144" t="str">
        <f>VLOOKUP($A64, 'Matriz POA 2024-TRABAJO'!$A$5:$CY$9142,11,FALSE)</f>
        <v>Corporación Ciudad Alfaro</v>
      </c>
      <c r="C64" s="144" t="str">
        <f>VLOOKUP($A64, 'Matriz POA 2024-TRABAJO'!$A$5:$CY$9142,14,FALSE)</f>
        <v>N/A</v>
      </c>
      <c r="D64" s="144" t="str">
        <f>VLOOKUP($A64, 'Matriz POA 2024-TRABAJO'!$A$5:$CY$9142,15,FALSE)</f>
        <v>N/A</v>
      </c>
      <c r="E64" s="144">
        <f>VLOOKUP($A64, 'Matriz POA 2024-TRABAJO'!$A$5:$CY$9142,18,FALSE)</f>
        <v>0</v>
      </c>
      <c r="F64" s="144">
        <f>VLOOKUP($A64, 'Matriz POA 2024-TRABAJO'!$A$5:$CY$9142,17,FALSE)</f>
        <v>0</v>
      </c>
      <c r="G64" s="144">
        <f>VLOOKUP($A64, 'Matriz POA 2024-TRABAJO'!$A$5:$CY$9142,20,FALSE)</f>
        <v>0</v>
      </c>
      <c r="H64" s="144" t="str">
        <f>VLOOKUP($A64, 'Matriz POA 2024-TRABAJO'!$A$5:$CY$9142,23,FALSE)</f>
        <v>NUEVA</v>
      </c>
      <c r="I64" s="144" t="str">
        <f>VLOOKUP($A64, 'Matriz POA 2024-TRABAJO'!$A$5:$CY$9142,24,FALSE)</f>
        <v>Pago de expensas comunales de las instalaciones del Museo Portoviejo y Archivo Histórico</v>
      </c>
      <c r="J64" s="144" t="str">
        <f>VLOOKUP($A64,'Matriz POA 2024-TRABAJO'!$A$5:$CY$9142,25,FALSE)</f>
        <v>0035</v>
      </c>
      <c r="K64" s="49" t="str">
        <f>VLOOKUP($A64,'Matriz POA 2024-TRABAJO'!$A$5:$CY$9142,26,FALSE)</f>
        <v>80</v>
      </c>
      <c r="L64" s="49" t="str">
        <f>VLOOKUP($A64,'Matriz POA 2024-TRABAJO'!$A$5:$CY$9142,27,FALSE)</f>
        <v>000</v>
      </c>
      <c r="M64" s="49" t="str">
        <f>VLOOKUP($A64,'Matriz POA 2024-TRABAJO'!$A$5:$CY$9142,28,FALSE)</f>
        <v>002</v>
      </c>
      <c r="N64" s="49">
        <f>VLOOKUP($A64,'Matriz POA 2024-TRABAJO'!$A$5:$CY$9142,29,FALSE)</f>
        <v>53</v>
      </c>
      <c r="O64" s="49">
        <f>VLOOKUP($A64,'Matriz POA 2024-TRABAJO'!$A$5:$CY$9142,30,FALSE)</f>
        <v>530402</v>
      </c>
      <c r="P64" s="49" t="str">
        <f>VLOOKUP($A64,'Matriz POA 2024-TRABAJO'!$A$5:$CY$9142,31,FALSE)</f>
        <v>Edificios, Locales, Residencias y Cableado Estructurado (Instalación, Mantenimiento y Reparación)</v>
      </c>
      <c r="Q64" s="49">
        <f>VLOOKUP($A64,'Matriz POA 2024-TRABAJO'!$A$5:$CY$9142,32,FALSE)</f>
        <v>1301</v>
      </c>
      <c r="R64" s="49" t="str">
        <f>VLOOKUP($A64,'Matriz POA 2024-TRABAJO'!$A$5:$CY$9142,33,FALSE)</f>
        <v>002</v>
      </c>
      <c r="S64" s="49" t="str">
        <f>VLOOKUP($A64,'Matriz POA 2024-TRABAJO'!$A$5:$CY$9142,34,FALSE)</f>
        <v>0000</v>
      </c>
      <c r="T64" s="49" t="str">
        <f>VLOOKUP($A64,'Matriz POA 2024-TRABAJO'!$A$5:$CY$9142,35,FALSE)</f>
        <v>0000</v>
      </c>
      <c r="U64" s="50">
        <f>VLOOKUP($A64,'Matriz POA 2024-TRABAJO'!$A$5:$CY$9142,47,FALSE)</f>
        <v>6829.9199999999983</v>
      </c>
      <c r="V64" s="51">
        <v>0</v>
      </c>
      <c r="W64" s="51">
        <v>0</v>
      </c>
      <c r="X64" s="51"/>
      <c r="Y64" s="51"/>
      <c r="Z64" s="51"/>
      <c r="AA64" s="51"/>
      <c r="AB64" s="51"/>
      <c r="AC64" s="51"/>
      <c r="AD64" s="51"/>
      <c r="AE64" s="51"/>
      <c r="AF64" s="51"/>
      <c r="AG64" s="51">
        <v>6624</v>
      </c>
      <c r="AH64" s="3">
        <f>VLOOKUP($A64, 'Matriz POA 2024-TRABAJO'!$A$5:$CY$9142,61,FALSE)</f>
        <v>6829.92</v>
      </c>
      <c r="AI64" s="406">
        <f t="shared" si="13"/>
        <v>6624</v>
      </c>
      <c r="AJ64" s="407">
        <f t="shared" si="14"/>
        <v>205.92000000000007</v>
      </c>
    </row>
    <row r="65" spans="1:36" ht="15" hidden="1" customHeight="1">
      <c r="A65" s="3">
        <v>433</v>
      </c>
      <c r="B65" s="144" t="str">
        <f>VLOOKUP($A65, 'Matriz POA 2024-TRABAJO'!$A$5:$CY$9142,11,FALSE)</f>
        <v>Corporación Ciudad Alfaro</v>
      </c>
      <c r="C65" s="144" t="str">
        <f>VLOOKUP($A65, 'Matriz POA 2024-TRABAJO'!$A$5:$CY$9142,14,FALSE)</f>
        <v>N/A</v>
      </c>
      <c r="D65" s="144" t="str">
        <f>VLOOKUP($A65, 'Matriz POA 2024-TRABAJO'!$A$5:$CY$9142,15,FALSE)</f>
        <v>N/A</v>
      </c>
      <c r="E65" s="144" t="str">
        <f>VLOOKUP($A65, 'Matriz POA 2024-TRABAJO'!$A$5:$CY$9142,18,FALSE)</f>
        <v>N/A</v>
      </c>
      <c r="F65" s="144" t="str">
        <f>VLOOKUP($A65, 'Matriz POA 2024-TRABAJO'!$A$5:$CY$9142,17,FALSE)</f>
        <v>N/A</v>
      </c>
      <c r="G65" s="144" t="str">
        <f>VLOOKUP($A65, 'Matriz POA 2024-TRABAJO'!$A$5:$CY$9142,20,FALSE)</f>
        <v>N/A</v>
      </c>
      <c r="H65" s="144" t="str">
        <f>VLOOKUP($A65, 'Matriz POA 2024-TRABAJO'!$A$5:$CY$9142,23,FALSE)</f>
        <v>NUEVA</v>
      </c>
      <c r="I65" s="144" t="str">
        <f>VLOOKUP($A65, 'Matriz POA 2024-TRABAJO'!$A$5:$CY$9142,24,FALSE)</f>
        <v>Pago de expensas comunales de las instalaciones del Museo Portoviejo y Archivo Histórico</v>
      </c>
      <c r="J65" s="144" t="str">
        <f>VLOOKUP($A65,'Matriz POA 2024-TRABAJO'!$A$5:$CY$9142,25,FALSE)</f>
        <v>0035</v>
      </c>
      <c r="K65" s="49" t="str">
        <f>VLOOKUP($A65,'Matriz POA 2024-TRABAJO'!$A$5:$CY$9142,26,FALSE)</f>
        <v>80</v>
      </c>
      <c r="L65" s="49" t="str">
        <f>VLOOKUP($A65,'Matriz POA 2024-TRABAJO'!$A$5:$CY$9142,27,FALSE)</f>
        <v>000</v>
      </c>
      <c r="M65" s="49" t="str">
        <f>VLOOKUP($A65,'Matriz POA 2024-TRABAJO'!$A$5:$CY$9142,28,FALSE)</f>
        <v>002</v>
      </c>
      <c r="N65" s="49" t="str">
        <f>VLOOKUP($A65,'Matriz POA 2024-TRABAJO'!$A$5:$CY$9142,29,FALSE)</f>
        <v>53</v>
      </c>
      <c r="O65" s="49">
        <f>VLOOKUP($A65,'Matriz POA 2024-TRABAJO'!$A$5:$CY$9142,30,FALSE)</f>
        <v>530402</v>
      </c>
      <c r="P65" s="49" t="str">
        <f>VLOOKUP($A65,'Matriz POA 2024-TRABAJO'!$A$5:$CY$9142,31,FALSE)</f>
        <v>Edificios, Locales, Residencias y Cableado Estructurado (Instalación, Mantenimiento y Reparación)</v>
      </c>
      <c r="Q65" s="49">
        <f>VLOOKUP($A65,'Matriz POA 2024-TRABAJO'!$A$5:$CY$9142,32,FALSE)</f>
        <v>1301</v>
      </c>
      <c r="R65" s="49" t="str">
        <f>VLOOKUP($A65,'Matriz POA 2024-TRABAJO'!$A$5:$CY$9142,33,FALSE)</f>
        <v>001</v>
      </c>
      <c r="S65" s="49" t="str">
        <f>VLOOKUP($A65,'Matriz POA 2024-TRABAJO'!$A$5:$CY$9142,34,FALSE)</f>
        <v>0000</v>
      </c>
      <c r="T65" s="49" t="str">
        <f>VLOOKUP($A65,'Matriz POA 2024-TRABAJO'!$A$5:$CY$9142,35,FALSE)</f>
        <v>0000</v>
      </c>
      <c r="U65" s="50">
        <f>VLOOKUP($A65,'Matriz POA 2024-TRABAJO'!$A$5:$CY$9142,47,FALSE)</f>
        <v>66034.080000000002</v>
      </c>
      <c r="V65" s="51">
        <v>0</v>
      </c>
      <c r="W65" s="51">
        <v>0</v>
      </c>
      <c r="X65" s="51"/>
      <c r="Y65" s="51"/>
      <c r="Z65" s="51"/>
      <c r="AA65" s="51"/>
      <c r="AB65" s="51"/>
      <c r="AC65" s="51"/>
      <c r="AD65" s="51"/>
      <c r="AE65" s="51"/>
      <c r="AF65" s="51"/>
      <c r="AG65" s="51">
        <v>66034.080000000002</v>
      </c>
      <c r="AH65" s="3">
        <f>VLOOKUP($A65, 'Matriz POA 2024-TRABAJO'!$A$5:$CY$9142,61,FALSE)</f>
        <v>66034.080000000002</v>
      </c>
      <c r="AI65" s="406">
        <f t="shared" ref="AI65:AI67" si="15">SUM(V65:AG65)</f>
        <v>66034.080000000002</v>
      </c>
      <c r="AJ65" s="407">
        <f t="shared" ref="AJ65:AJ67" si="16">AH65-AI65</f>
        <v>0</v>
      </c>
    </row>
    <row r="66" spans="1:36" ht="15" hidden="1" customHeight="1">
      <c r="A66" s="3">
        <v>1088</v>
      </c>
      <c r="B66" s="144" t="str">
        <f>VLOOKUP($A66, 'Matriz POA 2024-TRABAJO'!$A$5:$CY$9142,11,FALSE)</f>
        <v>Corporación Ciudad Alfaro</v>
      </c>
      <c r="C66" s="144" t="str">
        <f>VLOOKUP($A66, 'Matriz POA 2024-TRABAJO'!$A$5:$CY$9142,14,FALSE)</f>
        <v>N/A</v>
      </c>
      <c r="D66" s="144" t="str">
        <f>VLOOKUP($A66, 'Matriz POA 2024-TRABAJO'!$A$5:$CY$9142,15,FALSE)</f>
        <v>N/A</v>
      </c>
      <c r="E66" s="144" t="str">
        <f>VLOOKUP($A66, 'Matriz POA 2024-TRABAJO'!$A$5:$CY$9142,18,FALSE)</f>
        <v>N/A</v>
      </c>
      <c r="F66" s="144">
        <f>VLOOKUP($A66, 'Matriz POA 2024-TRABAJO'!$A$5:$CY$9142,17,FALSE)</f>
        <v>0</v>
      </c>
      <c r="G66" s="144" t="str">
        <f>VLOOKUP($A66, 'Matriz POA 2024-TRABAJO'!$A$5:$CY$9142,20,FALSE)</f>
        <v>N/A</v>
      </c>
      <c r="H66" s="144" t="str">
        <f>VLOOKUP($A66, 'Matriz POA 2024-TRABAJO'!$A$5:$CY$9142,23,FALSE)</f>
        <v>NUEVA</v>
      </c>
      <c r="I66" s="144" t="str">
        <f>VLOOKUP($A66, 'Matriz POA 2024-TRABAJO'!$A$5:$CY$9142,24,FALSE)</f>
        <v>Servicio de diseño, edición e impresión para el montaje de exposición temporal Hadatty en el Museo Centro Cultural Manta</v>
      </c>
      <c r="J66" s="144" t="str">
        <f>VLOOKUP($A66,'Matriz POA 2024-TRABAJO'!$A$5:$CY$9142,25,FALSE)</f>
        <v>0035</v>
      </c>
      <c r="K66" s="49" t="str">
        <f>VLOOKUP($A66,'Matriz POA 2024-TRABAJO'!$A$5:$CY$9142,26,FALSE)</f>
        <v>80</v>
      </c>
      <c r="L66" s="49" t="str">
        <f>VLOOKUP($A66,'Matriz POA 2024-TRABAJO'!$A$5:$CY$9142,27,FALSE)</f>
        <v>000</v>
      </c>
      <c r="M66" s="49" t="str">
        <f>VLOOKUP($A66,'Matriz POA 2024-TRABAJO'!$A$5:$CY$9142,28,FALSE)</f>
        <v>002</v>
      </c>
      <c r="N66" s="49">
        <f>VLOOKUP($A66,'Matriz POA 2024-TRABAJO'!$A$5:$CY$9142,29,FALSE)</f>
        <v>53</v>
      </c>
      <c r="O66" s="49">
        <f>VLOOKUP($A66,'Matriz POA 2024-TRABAJO'!$A$5:$CY$9142,30,FALSE)</f>
        <v>530204</v>
      </c>
      <c r="P66" s="49" t="str">
        <f>VLOOKUP($A66,'Matriz POA 2024-TRABAJO'!$A$5:$CY$9142,31,FALSE)</f>
        <v>Edición, Impresión, Reproducción, Publicaciones, Suscripciones, Fotocopiado, Traducción, Empastado, Enmarcación,
Serigrafía, Fotografía, Carnetización, Filmación e Imágenes Satelitales.</v>
      </c>
      <c r="Q66" s="49">
        <f>VLOOKUP($A66,'Matriz POA 2024-TRABAJO'!$A$5:$CY$9142,32,FALSE)</f>
        <v>1308</v>
      </c>
      <c r="R66" s="49" t="str">
        <f>VLOOKUP($A66,'Matriz POA 2024-TRABAJO'!$A$5:$CY$9142,33,FALSE)</f>
        <v>002</v>
      </c>
      <c r="S66" s="49" t="str">
        <f>VLOOKUP($A66,'Matriz POA 2024-TRABAJO'!$A$5:$CY$9142,34,FALSE)</f>
        <v>0000</v>
      </c>
      <c r="T66" s="49" t="str">
        <f>VLOOKUP($A66,'Matriz POA 2024-TRABAJO'!$A$5:$CY$9142,35,FALSE)</f>
        <v>0000</v>
      </c>
      <c r="U66" s="50">
        <f>VLOOKUP($A66,'Matriz POA 2024-TRABAJO'!$A$5:$CY$9142,47,FALSE)</f>
        <v>1000</v>
      </c>
      <c r="V66" s="51">
        <v>0</v>
      </c>
      <c r="W66" s="51">
        <v>0</v>
      </c>
      <c r="X66" s="51"/>
      <c r="Y66" s="51"/>
      <c r="Z66" s="51"/>
      <c r="AA66" s="51"/>
      <c r="AB66" s="51"/>
      <c r="AC66" s="51"/>
      <c r="AD66" s="51"/>
      <c r="AE66" s="51"/>
      <c r="AF66" s="51"/>
      <c r="AG66" s="51">
        <v>1000</v>
      </c>
      <c r="AH66" s="3">
        <f>VLOOKUP($A66, 'Matriz POA 2024-TRABAJO'!$A$5:$CY$9142,61,FALSE)</f>
        <v>1000</v>
      </c>
      <c r="AI66" s="406">
        <f t="shared" si="15"/>
        <v>1000</v>
      </c>
      <c r="AJ66" s="407">
        <f t="shared" si="16"/>
        <v>0</v>
      </c>
    </row>
    <row r="67" spans="1:36" ht="15" hidden="1" customHeight="1">
      <c r="A67" s="3">
        <v>1085</v>
      </c>
      <c r="B67" s="144" t="str">
        <f>VLOOKUP($A67, 'Matriz POA 2024-TRABAJO'!$A$5:$CY$9142,11,FALSE)</f>
        <v>Corporación Ciudad Alfaro</v>
      </c>
      <c r="C67" s="144" t="str">
        <f>VLOOKUP($A67, 'Matriz POA 2024-TRABAJO'!$A$5:$CY$9142,14,FALSE)</f>
        <v>N/A</v>
      </c>
      <c r="D67" s="144" t="str">
        <f>VLOOKUP($A67, 'Matriz POA 2024-TRABAJO'!$A$5:$CY$9142,15,FALSE)</f>
        <v>N/A</v>
      </c>
      <c r="E67" s="144" t="str">
        <f>VLOOKUP($A67, 'Matriz POA 2024-TRABAJO'!$A$5:$CY$9142,18,FALSE)</f>
        <v>N/A</v>
      </c>
      <c r="F67" s="144">
        <f>VLOOKUP($A67, 'Matriz POA 2024-TRABAJO'!$A$5:$CY$9142,17,FALSE)</f>
        <v>0</v>
      </c>
      <c r="G67" s="144" t="str">
        <f>VLOOKUP($A67, 'Matriz POA 2024-TRABAJO'!$A$5:$CY$9142,20,FALSE)</f>
        <v>N/A</v>
      </c>
      <c r="H67" s="144" t="str">
        <f>VLOOKUP($A67, 'Matriz POA 2024-TRABAJO'!$A$5:$CY$9142,23,FALSE)</f>
        <v>NUEVA</v>
      </c>
      <c r="I67" s="144" t="str">
        <f>VLOOKUP($A67, 'Matriz POA 2024-TRABAJO'!$A$5:$CY$9142,24,FALSE)</f>
        <v>Elaboración e Instalación de rótulo institucional del Museo Manta</v>
      </c>
      <c r="J67" s="144" t="str">
        <f>VLOOKUP($A67,'Matriz POA 2024-TRABAJO'!$A$5:$CY$9142,25,FALSE)</f>
        <v>0035</v>
      </c>
      <c r="K67" s="49" t="str">
        <f>VLOOKUP($A67,'Matriz POA 2024-TRABAJO'!$A$5:$CY$9142,26,FALSE)</f>
        <v>80</v>
      </c>
      <c r="L67" s="49" t="str">
        <f>VLOOKUP($A67,'Matriz POA 2024-TRABAJO'!$A$5:$CY$9142,27,FALSE)</f>
        <v>000</v>
      </c>
      <c r="M67" s="49" t="str">
        <f>VLOOKUP($A67,'Matriz POA 2024-TRABAJO'!$A$5:$CY$9142,28,FALSE)</f>
        <v>002</v>
      </c>
      <c r="N67" s="49">
        <f>VLOOKUP($A67,'Matriz POA 2024-TRABAJO'!$A$5:$CY$9142,29,FALSE)</f>
        <v>53</v>
      </c>
      <c r="O67" s="49">
        <f>VLOOKUP($A67,'Matriz POA 2024-TRABAJO'!$A$5:$CY$9142,30,FALSE)</f>
        <v>530402</v>
      </c>
      <c r="P67" s="49" t="str">
        <f>VLOOKUP($A67,'Matriz POA 2024-TRABAJO'!$A$5:$CY$9142,31,FALSE)</f>
        <v>Edificios, Locales, Residencias y Cableado Estructurado (Instalación, Mantenimiento y Reparación)</v>
      </c>
      <c r="Q67" s="49">
        <f>VLOOKUP($A67,'Matriz POA 2024-TRABAJO'!$A$5:$CY$9142,32,FALSE)</f>
        <v>1308</v>
      </c>
      <c r="R67" s="49" t="str">
        <f>VLOOKUP($A67,'Matriz POA 2024-TRABAJO'!$A$5:$CY$9142,33,FALSE)</f>
        <v>001</v>
      </c>
      <c r="S67" s="49" t="str">
        <f>VLOOKUP($A67,'Matriz POA 2024-TRABAJO'!$A$5:$CY$9142,34,FALSE)</f>
        <v>0000</v>
      </c>
      <c r="T67" s="49" t="str">
        <f>VLOOKUP($A67,'Matriz POA 2024-TRABAJO'!$A$5:$CY$9142,35,FALSE)</f>
        <v>0000</v>
      </c>
      <c r="U67" s="50">
        <f>VLOOKUP($A67,'Matriz POA 2024-TRABAJO'!$A$5:$CY$9142,47,FALSE)</f>
        <v>2393</v>
      </c>
      <c r="V67" s="51">
        <v>0</v>
      </c>
      <c r="W67" s="51">
        <v>0</v>
      </c>
      <c r="X67" s="51"/>
      <c r="Y67" s="51"/>
      <c r="Z67" s="51"/>
      <c r="AA67" s="51"/>
      <c r="AB67" s="51"/>
      <c r="AC67" s="51"/>
      <c r="AD67" s="51"/>
      <c r="AE67" s="51"/>
      <c r="AF67" s="51"/>
      <c r="AG67" s="51">
        <v>1350</v>
      </c>
      <c r="AH67" s="3">
        <f>VLOOKUP($A67, 'Matriz POA 2024-TRABAJO'!$A$5:$CY$9142,61,FALSE)</f>
        <v>2393</v>
      </c>
      <c r="AI67" s="406">
        <f t="shared" si="15"/>
        <v>1350</v>
      </c>
      <c r="AJ67" s="407">
        <f t="shared" si="16"/>
        <v>1043</v>
      </c>
    </row>
    <row r="68" spans="1:36" ht="15" hidden="1" customHeight="1">
      <c r="A68" s="3">
        <v>473</v>
      </c>
      <c r="B68" s="144" t="str">
        <f>VLOOKUP($A68, 'Matriz POA 2024-TRABAJO'!$A$5:$CY$9142,11,FALSE)</f>
        <v>Corporación Ciudad Alfaro</v>
      </c>
      <c r="C68" s="144" t="str">
        <f>VLOOKUP($A68, 'Matriz POA 2024-TRABAJO'!$A$5:$CY$9142,14,FALSE)</f>
        <v>N/A</v>
      </c>
      <c r="D68" s="144" t="str">
        <f>VLOOKUP($A68, 'Matriz POA 2024-TRABAJO'!$A$5:$CY$9142,15,FALSE)</f>
        <v>N/A</v>
      </c>
      <c r="E68" s="144" t="str">
        <f>VLOOKUP($A68, 'Matriz POA 2024-TRABAJO'!$A$5:$CY$9142,18,FALSE)</f>
        <v>N/A</v>
      </c>
      <c r="F68" s="144" t="str">
        <f>VLOOKUP($A68, 'Matriz POA 2024-TRABAJO'!$A$5:$CY$9142,17,FALSE)</f>
        <v>N/A</v>
      </c>
      <c r="G68" s="144" t="str">
        <f>VLOOKUP($A68, 'Matriz POA 2024-TRABAJO'!$A$5:$CY$9142,20,FALSE)</f>
        <v>N/A</v>
      </c>
      <c r="H68" s="144" t="str">
        <f>VLOOKUP($A68, 'Matriz POA 2024-TRABAJO'!$A$5:$CY$9142,23,FALSE)</f>
        <v>NUEVA</v>
      </c>
      <c r="I68" s="144" t="str">
        <f>VLOOKUP($A68, 'Matriz POA 2024-TRABAJO'!$A$5:$CY$9142,24,FALSE)</f>
        <v>Recarga de extintores contra incendios de la Corporación Ciudad Alfaro y sus Sedes</v>
      </c>
      <c r="J68" s="144" t="str">
        <f>VLOOKUP($A68,'Matriz POA 2024-TRABAJO'!$A$5:$CY$9142,25,FALSE)</f>
        <v>0035</v>
      </c>
      <c r="K68" s="49" t="str">
        <f>VLOOKUP($A68,'Matriz POA 2024-TRABAJO'!$A$5:$CY$9142,26,FALSE)</f>
        <v>80</v>
      </c>
      <c r="L68" s="49" t="str">
        <f>VLOOKUP($A68,'Matriz POA 2024-TRABAJO'!$A$5:$CY$9142,27,FALSE)</f>
        <v>000</v>
      </c>
      <c r="M68" s="49" t="str">
        <f>VLOOKUP($A68,'Matriz POA 2024-TRABAJO'!$A$5:$CY$9142,28,FALSE)</f>
        <v>002</v>
      </c>
      <c r="N68" s="49" t="str">
        <f>VLOOKUP($A68,'Matriz POA 2024-TRABAJO'!$A$5:$CY$9142,29,FALSE)</f>
        <v>53</v>
      </c>
      <c r="O68" s="49">
        <f>VLOOKUP($A68,'Matriz POA 2024-TRABAJO'!$A$5:$CY$9142,30,FALSE)</f>
        <v>530203</v>
      </c>
      <c r="P68" s="49" t="str">
        <f>VLOOKUP($A68,'Matriz POA 2024-TRABAJO'!$A$5:$CY$9142,31,FALSE)</f>
        <v>Almacenamiento, Embalaje, Desembalaje, Envase, Desenvase y Recarga de Extintores</v>
      </c>
      <c r="Q68" s="49">
        <f>VLOOKUP($A68,'Matriz POA 2024-TRABAJO'!$A$5:$CY$9142,32,FALSE)</f>
        <v>1309</v>
      </c>
      <c r="R68" s="49" t="str">
        <f>VLOOKUP($A68,'Matriz POA 2024-TRABAJO'!$A$5:$CY$9142,33,FALSE)</f>
        <v>001</v>
      </c>
      <c r="S68" s="49" t="str">
        <f>VLOOKUP($A68,'Matriz POA 2024-TRABAJO'!$A$5:$CY$9142,34,FALSE)</f>
        <v>0000</v>
      </c>
      <c r="T68" s="49" t="str">
        <f>VLOOKUP($A68,'Matriz POA 2024-TRABAJO'!$A$5:$CY$9142,35,FALSE)</f>
        <v>0000</v>
      </c>
      <c r="U68" s="50">
        <f>VLOOKUP($A68,'Matriz POA 2024-TRABAJO'!$A$5:$CY$9142,47,FALSE)</f>
        <v>1600</v>
      </c>
      <c r="V68" s="51">
        <v>0</v>
      </c>
      <c r="W68" s="51">
        <v>0</v>
      </c>
      <c r="X68" s="51"/>
      <c r="Y68" s="51"/>
      <c r="Z68" s="51"/>
      <c r="AA68" s="51"/>
      <c r="AB68" s="51"/>
      <c r="AC68" s="51"/>
      <c r="AD68" s="51"/>
      <c r="AE68" s="51"/>
      <c r="AF68" s="51"/>
      <c r="AG68" s="51">
        <v>1549</v>
      </c>
      <c r="AH68" s="3">
        <f>VLOOKUP($A68, 'Matriz POA 2024-TRABAJO'!$A$5:$CY$9142,61,FALSE)</f>
        <v>1600</v>
      </c>
      <c r="AI68" s="406">
        <f t="shared" si="13"/>
        <v>1549</v>
      </c>
      <c r="AJ68" s="407">
        <f t="shared" si="14"/>
        <v>51</v>
      </c>
    </row>
    <row r="69" spans="1:36" ht="15" hidden="1" customHeight="1">
      <c r="A69" s="3">
        <v>957</v>
      </c>
      <c r="B69" s="144" t="str">
        <f>VLOOKUP($A69, 'Matriz POA 2024-TRABAJO'!$A$5:$CY$9142,11,FALSE)</f>
        <v>Corporación Ciudad Alfaro</v>
      </c>
      <c r="C69" s="144" t="str">
        <f>VLOOKUP($A69, 'Matriz POA 2024-TRABAJO'!$A$5:$CY$9142,14,FALSE)</f>
        <v>N/A</v>
      </c>
      <c r="D69" s="144" t="str">
        <f>VLOOKUP($A69, 'Matriz POA 2024-TRABAJO'!$A$5:$CY$9142,15,FALSE)</f>
        <v>N/A</v>
      </c>
      <c r="E69" s="144" t="str">
        <f>VLOOKUP($A69, 'Matriz POA 2024-TRABAJO'!$A$5:$CY$9142,18,FALSE)</f>
        <v>N/A</v>
      </c>
      <c r="F69" s="144" t="str">
        <f>VLOOKUP($A69, 'Matriz POA 2024-TRABAJO'!$A$5:$CY$9142,17,FALSE)</f>
        <v>N/A</v>
      </c>
      <c r="G69" s="144" t="str">
        <f>VLOOKUP($A69, 'Matriz POA 2024-TRABAJO'!$A$5:$CY$9142,20,FALSE)</f>
        <v>N/A</v>
      </c>
      <c r="H69" s="144" t="str">
        <f>VLOOKUP($A69, 'Matriz POA 2024-TRABAJO'!$A$5:$CY$9142,23,FALSE)</f>
        <v>NUEVA</v>
      </c>
      <c r="I69" s="144" t="str">
        <f>VLOOKUP($A69, 'Matriz POA 2024-TRABAJO'!$A$5:$CY$9142,24,FALSE)</f>
        <v>Contratación del servicio de mantenimiento de la fachada frontal y laterales del edificio Museo Centro Cultural Manta.</v>
      </c>
      <c r="J69" s="144" t="str">
        <f>VLOOKUP($A69,'Matriz POA 2024-TRABAJO'!$A$5:$CY$9142,25,FALSE)</f>
        <v>0035</v>
      </c>
      <c r="K69" s="49" t="str">
        <f>VLOOKUP($A69,'Matriz POA 2024-TRABAJO'!$A$5:$CY$9142,26,FALSE)</f>
        <v>80</v>
      </c>
      <c r="L69" s="49" t="str">
        <f>VLOOKUP($A69,'Matriz POA 2024-TRABAJO'!$A$5:$CY$9142,27,FALSE)</f>
        <v>000</v>
      </c>
      <c r="M69" s="49" t="str">
        <f>VLOOKUP($A69,'Matriz POA 2024-TRABAJO'!$A$5:$CY$9142,28,FALSE)</f>
        <v>002</v>
      </c>
      <c r="N69" s="49">
        <f>VLOOKUP($A69,'Matriz POA 2024-TRABAJO'!$A$5:$CY$9142,29,FALSE)</f>
        <v>53</v>
      </c>
      <c r="O69" s="49">
        <f>VLOOKUP($A69,'Matriz POA 2024-TRABAJO'!$A$5:$CY$9142,30,FALSE)</f>
        <v>530402</v>
      </c>
      <c r="P69" s="49" t="str">
        <f>VLOOKUP($A69,'Matriz POA 2024-TRABAJO'!$A$5:$CY$9142,31,FALSE)</f>
        <v>Edificios, Locales, Residencias y Cableado Estructurado (Instalación, Mantenimiento y Reparación)</v>
      </c>
      <c r="Q69" s="49">
        <f>VLOOKUP($A69,'Matriz POA 2024-TRABAJO'!$A$5:$CY$9142,32,FALSE)</f>
        <v>1308</v>
      </c>
      <c r="R69" s="49" t="str">
        <f>VLOOKUP($A69,'Matriz POA 2024-TRABAJO'!$A$5:$CY$9142,33,FALSE)</f>
        <v>001</v>
      </c>
      <c r="S69" s="49" t="str">
        <f>VLOOKUP($A69,'Matriz POA 2024-TRABAJO'!$A$5:$CY$9142,34,FALSE)</f>
        <v>0000</v>
      </c>
      <c r="T69" s="49" t="str">
        <f>VLOOKUP($A69,'Matriz POA 2024-TRABAJO'!$A$5:$CY$9142,35,FALSE)</f>
        <v>0000</v>
      </c>
      <c r="U69" s="50">
        <f>VLOOKUP($A69,'Matriz POA 2024-TRABAJO'!$A$5:$CY$9142,47,FALSE)</f>
        <v>20113.25</v>
      </c>
      <c r="V69" s="51">
        <v>0</v>
      </c>
      <c r="W69" s="51">
        <v>0</v>
      </c>
      <c r="X69" s="51"/>
      <c r="Y69" s="51"/>
      <c r="Z69" s="51"/>
      <c r="AA69" s="51"/>
      <c r="AB69" s="51"/>
      <c r="AC69" s="51"/>
      <c r="AD69" s="51"/>
      <c r="AE69" s="51"/>
      <c r="AF69" s="51"/>
      <c r="AG69" s="51">
        <v>19107.580000000002</v>
      </c>
      <c r="AH69" s="3">
        <f>VLOOKUP($A69, 'Matriz POA 2024-TRABAJO'!$A$5:$CY$9142,61,FALSE)</f>
        <v>20113.25</v>
      </c>
      <c r="AI69" s="406">
        <f t="shared" ref="AI69:AI72" si="17">SUM(V69:AG69)</f>
        <v>19107.580000000002</v>
      </c>
      <c r="AJ69" s="407">
        <f t="shared" ref="AJ69:AJ72" si="18">AH69-AI69</f>
        <v>1005.6699999999983</v>
      </c>
    </row>
    <row r="70" spans="1:36" ht="15" hidden="1" customHeight="1">
      <c r="A70" s="3">
        <v>877</v>
      </c>
      <c r="B70" s="144" t="str">
        <f>VLOOKUP($A70, 'Matriz POA 2024-TRABAJO'!$A$5:$CY$9142,11,FALSE)</f>
        <v>Corporación Ciudad Alfaro</v>
      </c>
      <c r="C70" s="144" t="str">
        <f>VLOOKUP($A70, 'Matriz POA 2024-TRABAJO'!$A$5:$CY$9142,14,FALSE)</f>
        <v>N/A</v>
      </c>
      <c r="D70" s="144" t="str">
        <f>VLOOKUP($A70, 'Matriz POA 2024-TRABAJO'!$A$5:$CY$9142,15,FALSE)</f>
        <v>N/A</v>
      </c>
      <c r="E70" s="144" t="str">
        <f>VLOOKUP($A70, 'Matriz POA 2024-TRABAJO'!$A$5:$CY$9142,18,FALSE)</f>
        <v>N/A</v>
      </c>
      <c r="F70" s="144" t="str">
        <f>VLOOKUP($A70, 'Matriz POA 2024-TRABAJO'!$A$5:$CY$9142,17,FALSE)</f>
        <v>N/A</v>
      </c>
      <c r="G70" s="144" t="str">
        <f>VLOOKUP($A70, 'Matriz POA 2024-TRABAJO'!$A$5:$CY$9142,20,FALSE)</f>
        <v>N/A</v>
      </c>
      <c r="H70" s="144" t="str">
        <f>VLOOKUP($A70, 'Matriz POA 2024-TRABAJO'!$A$5:$CY$9142,23,FALSE)</f>
        <v>PLURIANUAL 2024 - 2025</v>
      </c>
      <c r="I70" s="144" t="str">
        <f>VLOOKUP($A70, 'Matriz POA 2024-TRABAJO'!$A$5:$CY$9142,24,FALSE)</f>
        <v>Contratación del servicio de vigilancia y seguridad privada para el Museo Nuclear Corporación Ciudad Alfaro y sus Sedes, durante el período 2024-2025</v>
      </c>
      <c r="J70" s="144" t="str">
        <f>VLOOKUP($A70,'Matriz POA 2024-TRABAJO'!$A$5:$CY$9142,25,FALSE)</f>
        <v>0035</v>
      </c>
      <c r="K70" s="49" t="str">
        <f>VLOOKUP($A70,'Matriz POA 2024-TRABAJO'!$A$5:$CY$9142,26,FALSE)</f>
        <v>80</v>
      </c>
      <c r="L70" s="49" t="str">
        <f>VLOOKUP($A70,'Matriz POA 2024-TRABAJO'!$A$5:$CY$9142,27,FALSE)</f>
        <v>000</v>
      </c>
      <c r="M70" s="49" t="str">
        <f>VLOOKUP($A70,'Matriz POA 2024-TRABAJO'!$A$5:$CY$9142,28,FALSE)</f>
        <v>002</v>
      </c>
      <c r="N70" s="49" t="str">
        <f>VLOOKUP($A70,'Matriz POA 2024-TRABAJO'!$A$5:$CY$9142,29,FALSE)</f>
        <v>53</v>
      </c>
      <c r="O70" s="49">
        <f>VLOOKUP($A70,'Matriz POA 2024-TRABAJO'!$A$5:$CY$9142,30,FALSE)</f>
        <v>530208</v>
      </c>
      <c r="P70" s="49" t="str">
        <f>VLOOKUP($A70,'Matriz POA 2024-TRABAJO'!$A$5:$CY$9142,31,FALSE)</f>
        <v>Servicio de Seguridad y Vigilancia</v>
      </c>
      <c r="Q70" s="49">
        <f>VLOOKUP($A70,'Matriz POA 2024-TRABAJO'!$A$5:$CY$9142,32,FALSE)</f>
        <v>1309</v>
      </c>
      <c r="R70" s="49" t="str">
        <f>VLOOKUP($A70,'Matriz POA 2024-TRABAJO'!$A$5:$CY$9142,33,FALSE)</f>
        <v>001</v>
      </c>
      <c r="S70" s="49" t="str">
        <f>VLOOKUP($A70,'Matriz POA 2024-TRABAJO'!$A$5:$CY$9142,34,FALSE)</f>
        <v>0000</v>
      </c>
      <c r="T70" s="49" t="str">
        <f>VLOOKUP($A70,'Matriz POA 2024-TRABAJO'!$A$5:$CY$9142,35,FALSE)</f>
        <v>0000</v>
      </c>
      <c r="U70" s="50">
        <f>VLOOKUP($A70,'Matriz POA 2024-TRABAJO'!$A$5:$CY$9142,47,FALSE)</f>
        <v>9069.33</v>
      </c>
      <c r="V70" s="51">
        <v>0</v>
      </c>
      <c r="W70" s="51">
        <v>0</v>
      </c>
      <c r="X70" s="51"/>
      <c r="Y70" s="51"/>
      <c r="Z70" s="51"/>
      <c r="AA70" s="51"/>
      <c r="AB70" s="51"/>
      <c r="AC70" s="51"/>
      <c r="AD70" s="51"/>
      <c r="AE70" s="51"/>
      <c r="AF70" s="51"/>
      <c r="AG70" s="51">
        <v>8053.57</v>
      </c>
      <c r="AH70" s="3">
        <f>VLOOKUP($A70, 'Matriz POA 2024-TRABAJO'!$A$5:$CY$9142,61,FALSE)</f>
        <v>9069.33</v>
      </c>
      <c r="AI70" s="406">
        <f t="shared" si="17"/>
        <v>8053.57</v>
      </c>
      <c r="AJ70" s="407">
        <f t="shared" si="18"/>
        <v>1015.7600000000002</v>
      </c>
    </row>
    <row r="71" spans="1:36" ht="15" hidden="1" customHeight="1">
      <c r="A71" s="3">
        <v>1076</v>
      </c>
      <c r="B71" s="144" t="str">
        <f>VLOOKUP($A71, 'Matriz POA 2024-TRABAJO'!$A$5:$CY$9142,11,FALSE)</f>
        <v>Corporación Ciudad Alfaro</v>
      </c>
      <c r="C71" s="144" t="str">
        <f>VLOOKUP($A71, 'Matriz POA 2024-TRABAJO'!$A$5:$CY$9142,14,FALSE)</f>
        <v>N/A</v>
      </c>
      <c r="D71" s="144" t="str">
        <f>VLOOKUP($A71, 'Matriz POA 2024-TRABAJO'!$A$5:$CY$9142,15,FALSE)</f>
        <v>N/A</v>
      </c>
      <c r="E71" s="144" t="str">
        <f>VLOOKUP($A71, 'Matriz POA 2024-TRABAJO'!$A$5:$CY$9142,18,FALSE)</f>
        <v>N/A</v>
      </c>
      <c r="F71" s="144">
        <f>VLOOKUP($A71, 'Matriz POA 2024-TRABAJO'!$A$5:$CY$9142,17,FALSE)</f>
        <v>0</v>
      </c>
      <c r="G71" s="144" t="str">
        <f>VLOOKUP($A71, 'Matriz POA 2024-TRABAJO'!$A$5:$CY$9142,20,FALSE)</f>
        <v>N/A</v>
      </c>
      <c r="H71" s="144" t="str">
        <f>VLOOKUP($A71, 'Matriz POA 2024-TRABAJO'!$A$5:$CY$9142,23,FALSE)</f>
        <v>NUEVA</v>
      </c>
      <c r="I71" s="144" t="str">
        <f>VLOOKUP($A71, 'Matriz POA 2024-TRABAJO'!$A$5:$CY$9142,24,FALSE)</f>
        <v>Beneficio centro de cuidado infantil para los hijos e hijas de servidores y trabajadores del Ministerio de Cultura y Patrimonio-Museo Nuclear Corporaciòn Ciudad Alfaro</v>
      </c>
      <c r="J71" s="144" t="str">
        <f>VLOOKUP($A71,'Matriz POA 2024-TRABAJO'!$A$5:$CY$9142,25,FALSE)</f>
        <v>0035</v>
      </c>
      <c r="K71" s="49" t="str">
        <f>VLOOKUP($A71,'Matriz POA 2024-TRABAJO'!$A$5:$CY$9142,26,FALSE)</f>
        <v>80</v>
      </c>
      <c r="L71" s="49" t="str">
        <f>VLOOKUP($A71,'Matriz POA 2024-TRABAJO'!$A$5:$CY$9142,27,FALSE)</f>
        <v>000</v>
      </c>
      <c r="M71" s="49" t="str">
        <f>VLOOKUP($A71,'Matriz POA 2024-TRABAJO'!$A$5:$CY$9142,28,FALSE)</f>
        <v>002</v>
      </c>
      <c r="N71" s="49">
        <f>VLOOKUP($A71,'Matriz POA 2024-TRABAJO'!$A$5:$CY$9142,29,FALSE)</f>
        <v>53</v>
      </c>
      <c r="O71" s="49">
        <f>VLOOKUP($A71,'Matriz POA 2024-TRABAJO'!$A$5:$CY$9142,30,FALSE)</f>
        <v>530210</v>
      </c>
      <c r="P71" s="49" t="str">
        <f>VLOOKUP($A71,'Matriz POA 2024-TRABAJO'!$A$5:$CY$9142,31,FALSE)</f>
        <v>Servicio de Guardería</v>
      </c>
      <c r="Q71" s="49">
        <f>VLOOKUP($A71,'Matriz POA 2024-TRABAJO'!$A$5:$CY$9142,32,FALSE)</f>
        <v>1309</v>
      </c>
      <c r="R71" s="49" t="str">
        <f>VLOOKUP($A71,'Matriz POA 2024-TRABAJO'!$A$5:$CY$9142,33,FALSE)</f>
        <v>001</v>
      </c>
      <c r="S71" s="49" t="str">
        <f>VLOOKUP($A71,'Matriz POA 2024-TRABAJO'!$A$5:$CY$9142,34,FALSE)</f>
        <v>0000</v>
      </c>
      <c r="T71" s="49" t="str">
        <f>VLOOKUP($A71,'Matriz POA 2024-TRABAJO'!$A$5:$CY$9142,35,FALSE)</f>
        <v>0000</v>
      </c>
      <c r="U71" s="50">
        <f>VLOOKUP($A71,'Matriz POA 2024-TRABAJO'!$A$5:$CY$9142,47,FALSE)</f>
        <v>1860</v>
      </c>
      <c r="V71" s="51">
        <v>0</v>
      </c>
      <c r="W71" s="51">
        <v>0</v>
      </c>
      <c r="X71" s="51"/>
      <c r="Y71" s="51"/>
      <c r="Z71" s="51"/>
      <c r="AA71" s="51"/>
      <c r="AB71" s="51"/>
      <c r="AC71" s="51"/>
      <c r="AD71" s="51"/>
      <c r="AE71" s="51"/>
      <c r="AF71" s="51"/>
      <c r="AG71" s="51">
        <f>651+651</f>
        <v>1302</v>
      </c>
      <c r="AH71" s="3">
        <f>VLOOKUP($A71, 'Matriz POA 2024-TRABAJO'!$A$5:$CY$9142,61,FALSE)</f>
        <v>1860</v>
      </c>
      <c r="AI71" s="406">
        <f t="shared" si="17"/>
        <v>1302</v>
      </c>
      <c r="AJ71" s="407">
        <f t="shared" si="18"/>
        <v>558</v>
      </c>
    </row>
    <row r="72" spans="1:36" ht="15" hidden="1" customHeight="1">
      <c r="A72" s="3">
        <v>1001</v>
      </c>
      <c r="B72" s="144" t="str">
        <f>VLOOKUP($A72, 'Matriz POA 2024-TRABAJO'!$A$5:$CY$9142,11,FALSE)</f>
        <v>Corporación Ciudad Alfaro</v>
      </c>
      <c r="C72" s="144" t="str">
        <f>VLOOKUP($A72, 'Matriz POA 2024-TRABAJO'!$A$5:$CY$9142,14,FALSE)</f>
        <v>N/A</v>
      </c>
      <c r="D72" s="144" t="str">
        <f>VLOOKUP($A72, 'Matriz POA 2024-TRABAJO'!$A$5:$CY$9142,15,FALSE)</f>
        <v>N/A</v>
      </c>
      <c r="E72" s="144" t="str">
        <f>VLOOKUP($A72, 'Matriz POA 2024-TRABAJO'!$A$5:$CY$9142,18,FALSE)</f>
        <v>N/A</v>
      </c>
      <c r="F72" s="144">
        <f>VLOOKUP($A72, 'Matriz POA 2024-TRABAJO'!$A$5:$CY$9142,17,FALSE)</f>
        <v>0</v>
      </c>
      <c r="G72" s="144" t="str">
        <f>VLOOKUP($A72, 'Matriz POA 2024-TRABAJO'!$A$5:$CY$9142,20,FALSE)</f>
        <v>N/A</v>
      </c>
      <c r="H72" s="144" t="str">
        <f>VLOOKUP($A72, 'Matriz POA 2024-TRABAJO'!$A$5:$CY$9142,23,FALSE)</f>
        <v>NUEVA</v>
      </c>
      <c r="I72" s="144" t="str">
        <f>VLOOKUP($A72, 'Matriz POA 2024-TRABAJO'!$A$5:$CY$9142,24,FALSE)</f>
        <v>Horas extraordinarias y suplementarias</v>
      </c>
      <c r="J72" s="144" t="str">
        <f>VLOOKUP($A72,'Matriz POA 2024-TRABAJO'!$A$5:$CY$9142,25,FALSE)</f>
        <v>0035</v>
      </c>
      <c r="K72" s="49" t="str">
        <f>VLOOKUP($A72,'Matriz POA 2024-TRABAJO'!$A$5:$CY$9142,26,FALSE)</f>
        <v>80</v>
      </c>
      <c r="L72" s="49" t="str">
        <f>VLOOKUP($A72,'Matriz POA 2024-TRABAJO'!$A$5:$CY$9142,27,FALSE)</f>
        <v>000</v>
      </c>
      <c r="M72" s="49" t="str">
        <f>VLOOKUP($A72,'Matriz POA 2024-TRABAJO'!$A$5:$CY$9142,28,FALSE)</f>
        <v>002</v>
      </c>
      <c r="N72" s="49">
        <f>VLOOKUP($A72,'Matriz POA 2024-TRABAJO'!$A$5:$CY$9142,29,FALSE)</f>
        <v>51</v>
      </c>
      <c r="O72" s="49">
        <f>VLOOKUP($A72,'Matriz POA 2024-TRABAJO'!$A$5:$CY$9142,30,FALSE)</f>
        <v>510509</v>
      </c>
      <c r="P72" s="49" t="str">
        <f>VLOOKUP($A72,'Matriz POA 2024-TRABAJO'!$A$5:$CY$9142,31,FALSE)</f>
        <v>Horas Extraordinarias y Suplementarias</v>
      </c>
      <c r="Q72" s="49">
        <f>VLOOKUP($A72,'Matriz POA 2024-TRABAJO'!$A$5:$CY$9142,32,FALSE)</f>
        <v>1309</v>
      </c>
      <c r="R72" s="49" t="str">
        <f>VLOOKUP($A72,'Matriz POA 2024-TRABAJO'!$A$5:$CY$9142,33,FALSE)</f>
        <v>001</v>
      </c>
      <c r="S72" s="49" t="str">
        <f>VLOOKUP($A72,'Matriz POA 2024-TRABAJO'!$A$5:$CY$9142,34,FALSE)</f>
        <v>0000</v>
      </c>
      <c r="T72" s="49" t="str">
        <f>VLOOKUP($A72,'Matriz POA 2024-TRABAJO'!$A$5:$CY$9142,35,FALSE)</f>
        <v>0000</v>
      </c>
      <c r="U72" s="50">
        <f>VLOOKUP($A72,'Matriz POA 2024-TRABAJO'!$A$5:$CY$9142,47,FALSE)</f>
        <v>1000</v>
      </c>
      <c r="V72" s="51">
        <v>0</v>
      </c>
      <c r="W72" s="51">
        <v>0</v>
      </c>
      <c r="X72" s="51"/>
      <c r="Y72" s="51"/>
      <c r="Z72" s="51"/>
      <c r="AA72" s="51"/>
      <c r="AB72" s="51"/>
      <c r="AC72" s="51"/>
      <c r="AD72" s="51"/>
      <c r="AE72" s="51"/>
      <c r="AF72" s="51"/>
      <c r="AG72" s="51">
        <v>70.05</v>
      </c>
      <c r="AH72" s="3">
        <f>VLOOKUP($A72, 'Matriz POA 2024-TRABAJO'!$A$5:$CY$9142,61,FALSE)</f>
        <v>1000</v>
      </c>
      <c r="AI72" s="406">
        <f t="shared" si="17"/>
        <v>70.05</v>
      </c>
      <c r="AJ72" s="407">
        <f t="shared" si="18"/>
        <v>929.95</v>
      </c>
    </row>
    <row r="73" spans="1:36" ht="15" hidden="1" customHeight="1">
      <c r="A73" s="3">
        <v>870</v>
      </c>
      <c r="B73" s="144" t="str">
        <f>VLOOKUP($A73, 'Matriz POA 2024-TRABAJO'!$A$5:$CY$9142,11,FALSE)</f>
        <v>Corporación Ciudad Alfaro</v>
      </c>
      <c r="C73" s="144" t="str">
        <f>VLOOKUP($A73, 'Matriz POA 2024-TRABAJO'!$A$5:$CY$9142,14,FALSE)</f>
        <v>N/A</v>
      </c>
      <c r="D73" s="144" t="str">
        <f>VLOOKUP($A73, 'Matriz POA 2024-TRABAJO'!$A$5:$CY$9142,15,FALSE)</f>
        <v>N/A</v>
      </c>
      <c r="E73" s="144" t="str">
        <f>VLOOKUP($A73, 'Matriz POA 2024-TRABAJO'!$A$5:$CY$9142,18,FALSE)</f>
        <v>N/A</v>
      </c>
      <c r="F73" s="144" t="str">
        <f>VLOOKUP($A73, 'Matriz POA 2024-TRABAJO'!$A$5:$CY$9142,17,FALSE)</f>
        <v>N/A</v>
      </c>
      <c r="G73" s="144" t="str">
        <f>VLOOKUP($A73, 'Matriz POA 2024-TRABAJO'!$A$5:$CY$9142,20,FALSE)</f>
        <v>N/A</v>
      </c>
      <c r="H73" s="144" t="str">
        <f>VLOOKUP($A73, 'Matriz POA 2024-TRABAJO'!$A$5:$CY$9142,23,FALSE)</f>
        <v>NUEVA</v>
      </c>
      <c r="I73" s="144" t="str">
        <f>VLOOKUP($A73, 'Matriz POA 2024-TRABAJO'!$A$5:$CY$9142,24,FALSE)</f>
        <v>Contratación del servicio de mantenimiento preventivo y correctivo del sistema de climatización del piso 5 en el museo intermedio Manta, sede de la Corporación Ciudad Alfaro</v>
      </c>
      <c r="J73" s="144" t="str">
        <f>VLOOKUP($A73,'Matriz POA 2024-TRABAJO'!$A$5:$CY$9142,25,FALSE)</f>
        <v>0035</v>
      </c>
      <c r="K73" s="49" t="str">
        <f>VLOOKUP($A73,'Matriz POA 2024-TRABAJO'!$A$5:$CY$9142,26,FALSE)</f>
        <v>80</v>
      </c>
      <c r="L73" s="49" t="str">
        <f>VLOOKUP($A73,'Matriz POA 2024-TRABAJO'!$A$5:$CY$9142,27,FALSE)</f>
        <v>000</v>
      </c>
      <c r="M73" s="49" t="str">
        <f>VLOOKUP($A73,'Matriz POA 2024-TRABAJO'!$A$5:$CY$9142,28,FALSE)</f>
        <v>002</v>
      </c>
      <c r="N73" s="49" t="str">
        <f>VLOOKUP($A73,'Matriz POA 2024-TRABAJO'!$A$5:$CY$9142,29,FALSE)</f>
        <v>53</v>
      </c>
      <c r="O73" s="49">
        <f>VLOOKUP($A73,'Matriz POA 2024-TRABAJO'!$A$5:$CY$9142,30,FALSE)</f>
        <v>530404</v>
      </c>
      <c r="P73" s="49" t="str">
        <f>VLOOKUP($A73,'Matriz POA 2024-TRABAJO'!$A$5:$CY$9142,31,FALSE)</f>
        <v>Maquinarias y Equipos (Instalación, Mantenimiento y Reparación)</v>
      </c>
      <c r="Q73" s="49">
        <f>VLOOKUP($A73,'Matriz POA 2024-TRABAJO'!$A$5:$CY$9142,32,FALSE)</f>
        <v>1308</v>
      </c>
      <c r="R73" s="49" t="str">
        <f>VLOOKUP($A73,'Matriz POA 2024-TRABAJO'!$A$5:$CY$9142,33,FALSE)</f>
        <v>001</v>
      </c>
      <c r="S73" s="49" t="str">
        <f>VLOOKUP($A73,'Matriz POA 2024-TRABAJO'!$A$5:$CY$9142,34,FALSE)</f>
        <v>0000</v>
      </c>
      <c r="T73" s="49" t="str">
        <f>VLOOKUP($A73,'Matriz POA 2024-TRABAJO'!$A$5:$CY$9142,35,FALSE)</f>
        <v>0000</v>
      </c>
      <c r="U73" s="50">
        <f>VLOOKUP($A73,'Matriz POA 2024-TRABAJO'!$A$5:$CY$9142,47,FALSE)</f>
        <v>4875</v>
      </c>
      <c r="V73" s="51">
        <v>0</v>
      </c>
      <c r="W73" s="51">
        <v>0</v>
      </c>
      <c r="X73" s="51"/>
      <c r="Y73" s="51"/>
      <c r="Z73" s="51"/>
      <c r="AA73" s="51"/>
      <c r="AB73" s="51"/>
      <c r="AC73" s="51"/>
      <c r="AD73" s="51"/>
      <c r="AE73" s="51"/>
      <c r="AF73" s="51"/>
      <c r="AG73" s="51">
        <v>4875</v>
      </c>
      <c r="AH73" s="3">
        <f>VLOOKUP($A73, 'Matriz POA 2024-TRABAJO'!$A$5:$CY$9142,61,FALSE)</f>
        <v>4875</v>
      </c>
      <c r="AI73" s="406">
        <f t="shared" si="13"/>
        <v>4875</v>
      </c>
      <c r="AJ73" s="407">
        <f t="shared" si="14"/>
        <v>0</v>
      </c>
    </row>
    <row r="74" spans="1:36" ht="15" hidden="1" customHeight="1">
      <c r="B74" s="144" t="e">
        <f>VLOOKUP($A74, 'Matriz POA 2024-TRABAJO'!$A$5:$CY$9142,11,FALSE)</f>
        <v>#N/A</v>
      </c>
      <c r="C74" s="144" t="e">
        <f>VLOOKUP($A74, 'Matriz POA 2024-TRABAJO'!$A$5:$CY$9142,14,FALSE)</f>
        <v>#N/A</v>
      </c>
      <c r="D74" s="144" t="e">
        <f>VLOOKUP($A74, 'Matriz POA 2024-TRABAJO'!$A$5:$CY$9142,15,FALSE)</f>
        <v>#N/A</v>
      </c>
      <c r="E74" s="144" t="e">
        <f>VLOOKUP($A74, 'Matriz POA 2024-TRABAJO'!$A$5:$CY$9142,18,FALSE)</f>
        <v>#N/A</v>
      </c>
      <c r="F74" s="144" t="e">
        <f>VLOOKUP($A74, 'Matriz POA 2024-TRABAJO'!$A$5:$CY$9142,17,FALSE)</f>
        <v>#N/A</v>
      </c>
      <c r="G74" s="144" t="e">
        <f>VLOOKUP($A74, 'Matriz POA 2024-TRABAJO'!$A$5:$CY$9142,20,FALSE)</f>
        <v>#N/A</v>
      </c>
      <c r="H74" s="144" t="e">
        <f>VLOOKUP($A74, 'Matriz POA 2024-TRABAJO'!$A$5:$CY$9142,23,FALSE)</f>
        <v>#N/A</v>
      </c>
      <c r="I74" s="144" t="e">
        <f>VLOOKUP($A74, 'Matriz POA 2024-TRABAJO'!$A$5:$CY$9142,24,FALSE)</f>
        <v>#N/A</v>
      </c>
      <c r="J74" s="144" t="e">
        <f>VLOOKUP($A74,'Matriz POA 2024-TRABAJO'!$A$5:$CY$9142,25,FALSE)</f>
        <v>#N/A</v>
      </c>
      <c r="K74" s="49" t="e">
        <f>VLOOKUP($A74,'Matriz POA 2024-TRABAJO'!$A$5:$CY$9142,26,FALSE)</f>
        <v>#N/A</v>
      </c>
      <c r="L74" s="49" t="e">
        <f>VLOOKUP($A74,'Matriz POA 2024-TRABAJO'!$A$5:$CY$9142,27,FALSE)</f>
        <v>#N/A</v>
      </c>
      <c r="M74" s="49" t="e">
        <f>VLOOKUP($A74,'Matriz POA 2024-TRABAJO'!$A$5:$CY$9142,28,FALSE)</f>
        <v>#N/A</v>
      </c>
      <c r="N74" s="49" t="e">
        <f>VLOOKUP($A74,'Matriz POA 2024-TRABAJO'!$A$5:$CY$9142,29,FALSE)</f>
        <v>#N/A</v>
      </c>
      <c r="O74" s="49" t="e">
        <f>VLOOKUP($A74,'Matriz POA 2024-TRABAJO'!$A$5:$CY$9142,30,FALSE)</f>
        <v>#N/A</v>
      </c>
      <c r="P74" s="49" t="e">
        <f>VLOOKUP($A74,'Matriz POA 2024-TRABAJO'!$A$5:$CY$9142,31,FALSE)</f>
        <v>#N/A</v>
      </c>
      <c r="Q74" s="49" t="e">
        <f>VLOOKUP($A74,'Matriz POA 2024-TRABAJO'!$A$5:$CY$9142,32,FALSE)</f>
        <v>#N/A</v>
      </c>
      <c r="R74" s="49" t="e">
        <f>VLOOKUP($A74,'Matriz POA 2024-TRABAJO'!$A$5:$CY$9142,33,FALSE)</f>
        <v>#N/A</v>
      </c>
      <c r="S74" s="49" t="e">
        <f>VLOOKUP($A74,'Matriz POA 2024-TRABAJO'!$A$5:$CY$9142,34,FALSE)</f>
        <v>#N/A</v>
      </c>
      <c r="T74" s="49" t="e">
        <f>VLOOKUP($A74,'Matriz POA 2024-TRABAJO'!$A$5:$CY$9142,35,FALSE)</f>
        <v>#N/A</v>
      </c>
      <c r="U74" s="50" t="e">
        <f>VLOOKUP($A74,'Matriz POA 2024-TRABAJO'!$A$5:$CY$9142,47,FALSE)</f>
        <v>#N/A</v>
      </c>
      <c r="V74" s="51">
        <v>0</v>
      </c>
      <c r="W74" s="51">
        <v>0</v>
      </c>
      <c r="X74" s="51"/>
      <c r="Y74" s="51"/>
      <c r="Z74" s="51"/>
      <c r="AA74" s="51"/>
      <c r="AB74" s="51"/>
      <c r="AC74" s="51"/>
      <c r="AD74" s="51"/>
      <c r="AE74" s="51"/>
      <c r="AF74" s="51"/>
      <c r="AG74" s="51"/>
      <c r="AH74" s="3" t="e">
        <f>VLOOKUP($A74, 'Matriz POA 2024-TRABAJO'!$A$5:$CY$9142,61,FALSE)</f>
        <v>#N/A</v>
      </c>
      <c r="AI74" s="406">
        <f t="shared" si="13"/>
        <v>0</v>
      </c>
      <c r="AJ74" s="407" t="e">
        <f t="shared" si="14"/>
        <v>#N/A</v>
      </c>
    </row>
    <row r="75" spans="1:36" ht="15" hidden="1" customHeight="1">
      <c r="B75" s="144" t="e">
        <f>VLOOKUP($A75, 'Matriz POA 2024-TRABAJO'!$A$5:$CY$9142,11,FALSE)</f>
        <v>#N/A</v>
      </c>
      <c r="C75" s="144" t="e">
        <f>VLOOKUP($A75, 'Matriz POA 2024-TRABAJO'!$A$5:$CY$9142,14,FALSE)</f>
        <v>#N/A</v>
      </c>
      <c r="D75" s="144" t="e">
        <f>VLOOKUP($A75, 'Matriz POA 2024-TRABAJO'!$A$5:$CY$9142,15,FALSE)</f>
        <v>#N/A</v>
      </c>
      <c r="E75" s="144" t="e">
        <f>VLOOKUP($A75, 'Matriz POA 2024-TRABAJO'!$A$5:$CY$9142,18,FALSE)</f>
        <v>#N/A</v>
      </c>
      <c r="F75" s="144" t="e">
        <f>VLOOKUP($A75, 'Matriz POA 2024-TRABAJO'!$A$5:$CY$9142,17,FALSE)</f>
        <v>#N/A</v>
      </c>
      <c r="G75" s="144" t="e">
        <f>VLOOKUP($A75, 'Matriz POA 2024-TRABAJO'!$A$5:$CY$9142,20,FALSE)</f>
        <v>#N/A</v>
      </c>
      <c r="H75" s="144" t="e">
        <f>VLOOKUP($A75, 'Matriz POA 2024-TRABAJO'!$A$5:$CY$9142,23,FALSE)</f>
        <v>#N/A</v>
      </c>
      <c r="I75" s="144" t="e">
        <f>VLOOKUP($A75, 'Matriz POA 2024-TRABAJO'!$A$5:$CY$9142,24,FALSE)</f>
        <v>#N/A</v>
      </c>
      <c r="J75" s="144" t="e">
        <f>VLOOKUP($A75,'Matriz POA 2024-TRABAJO'!$A$5:$CY$9142,25,FALSE)</f>
        <v>#N/A</v>
      </c>
      <c r="K75" s="49" t="e">
        <f>VLOOKUP($A75,'Matriz POA 2024-TRABAJO'!$A$5:$CY$9142,26,FALSE)</f>
        <v>#N/A</v>
      </c>
      <c r="L75" s="49" t="e">
        <f>VLOOKUP($A75,'Matriz POA 2024-TRABAJO'!$A$5:$CY$9142,27,FALSE)</f>
        <v>#N/A</v>
      </c>
      <c r="M75" s="49" t="e">
        <f>VLOOKUP($A75,'Matriz POA 2024-TRABAJO'!$A$5:$CY$9142,28,FALSE)</f>
        <v>#N/A</v>
      </c>
      <c r="N75" s="49" t="e">
        <f>VLOOKUP($A75,'Matriz POA 2024-TRABAJO'!$A$5:$CY$9142,29,FALSE)</f>
        <v>#N/A</v>
      </c>
      <c r="O75" s="49" t="e">
        <f>VLOOKUP($A75,'Matriz POA 2024-TRABAJO'!$A$5:$CY$9142,30,FALSE)</f>
        <v>#N/A</v>
      </c>
      <c r="P75" s="49" t="e">
        <f>VLOOKUP($A75,'Matriz POA 2024-TRABAJO'!$A$5:$CY$9142,31,FALSE)</f>
        <v>#N/A</v>
      </c>
      <c r="Q75" s="49" t="e">
        <f>VLOOKUP($A75,'Matriz POA 2024-TRABAJO'!$A$5:$CY$9142,32,FALSE)</f>
        <v>#N/A</v>
      </c>
      <c r="R75" s="49" t="e">
        <f>VLOOKUP($A75,'Matriz POA 2024-TRABAJO'!$A$5:$CY$9142,33,FALSE)</f>
        <v>#N/A</v>
      </c>
      <c r="S75" s="49" t="e">
        <f>VLOOKUP($A75,'Matriz POA 2024-TRABAJO'!$A$5:$CY$9142,34,FALSE)</f>
        <v>#N/A</v>
      </c>
      <c r="T75" s="49" t="e">
        <f>VLOOKUP($A75,'Matriz POA 2024-TRABAJO'!$A$5:$CY$9142,35,FALSE)</f>
        <v>#N/A</v>
      </c>
      <c r="U75" s="50" t="e">
        <f>VLOOKUP($A75,'Matriz POA 2024-TRABAJO'!$A$5:$CY$9142,47,FALSE)</f>
        <v>#N/A</v>
      </c>
      <c r="V75" s="51">
        <v>0</v>
      </c>
      <c r="W75" s="51">
        <v>0</v>
      </c>
      <c r="X75" s="51"/>
      <c r="Y75" s="51"/>
      <c r="Z75" s="51"/>
      <c r="AA75" s="51"/>
      <c r="AB75" s="51"/>
      <c r="AC75" s="51"/>
      <c r="AD75" s="51"/>
      <c r="AE75" s="51"/>
      <c r="AF75" s="51"/>
      <c r="AG75" s="51"/>
      <c r="AH75" s="3" t="e">
        <f>VLOOKUP($A75, 'Matriz POA 2024-TRABAJO'!$A$5:$CY$9142,61,FALSE)</f>
        <v>#N/A</v>
      </c>
      <c r="AI75" s="406">
        <f t="shared" ref="AI75:AI76" si="19">SUM(V75:AG75)</f>
        <v>0</v>
      </c>
      <c r="AJ75" s="407" t="e">
        <f t="shared" ref="AJ75:AJ76" si="20">AH75-AI75</f>
        <v>#N/A</v>
      </c>
    </row>
    <row r="76" spans="1:36" ht="15" hidden="1" customHeight="1">
      <c r="B76" s="144" t="e">
        <f>VLOOKUP($A76, 'Matriz POA 2024-TRABAJO'!$A$5:$CY$9142,11,FALSE)</f>
        <v>#N/A</v>
      </c>
      <c r="C76" s="144" t="e">
        <f>VLOOKUP($A76, 'Matriz POA 2024-TRABAJO'!$A$5:$CY$9142,14,FALSE)</f>
        <v>#N/A</v>
      </c>
      <c r="D76" s="144" t="e">
        <f>VLOOKUP($A76, 'Matriz POA 2024-TRABAJO'!$A$5:$CY$9142,15,FALSE)</f>
        <v>#N/A</v>
      </c>
      <c r="E76" s="144" t="e">
        <f>VLOOKUP($A76, 'Matriz POA 2024-TRABAJO'!$A$5:$CY$9142,18,FALSE)</f>
        <v>#N/A</v>
      </c>
      <c r="F76" s="144" t="e">
        <f>VLOOKUP($A76, 'Matriz POA 2024-TRABAJO'!$A$5:$CY$9142,17,FALSE)</f>
        <v>#N/A</v>
      </c>
      <c r="G76" s="144" t="e">
        <f>VLOOKUP($A76, 'Matriz POA 2024-TRABAJO'!$A$5:$CY$9142,20,FALSE)</f>
        <v>#N/A</v>
      </c>
      <c r="H76" s="144" t="e">
        <f>VLOOKUP($A76, 'Matriz POA 2024-TRABAJO'!$A$5:$CY$9142,23,FALSE)</f>
        <v>#N/A</v>
      </c>
      <c r="I76" s="144" t="e">
        <f>VLOOKUP($A76, 'Matriz POA 2024-TRABAJO'!$A$5:$CY$9142,24,FALSE)</f>
        <v>#N/A</v>
      </c>
      <c r="J76" s="144" t="e">
        <f>VLOOKUP($A76,'Matriz POA 2024-TRABAJO'!$A$5:$CY$9142,25,FALSE)</f>
        <v>#N/A</v>
      </c>
      <c r="K76" s="49" t="e">
        <f>VLOOKUP($A76,'Matriz POA 2024-TRABAJO'!$A$5:$CY$9142,26,FALSE)</f>
        <v>#N/A</v>
      </c>
      <c r="L76" s="49" t="e">
        <f>VLOOKUP($A76,'Matriz POA 2024-TRABAJO'!$A$5:$CY$9142,27,FALSE)</f>
        <v>#N/A</v>
      </c>
      <c r="M76" s="49" t="e">
        <f>VLOOKUP($A76,'Matriz POA 2024-TRABAJO'!$A$5:$CY$9142,28,FALSE)</f>
        <v>#N/A</v>
      </c>
      <c r="N76" s="49" t="e">
        <f>VLOOKUP($A76,'Matriz POA 2024-TRABAJO'!$A$5:$CY$9142,29,FALSE)</f>
        <v>#N/A</v>
      </c>
      <c r="O76" s="49" t="e">
        <f>VLOOKUP($A76,'Matriz POA 2024-TRABAJO'!$A$5:$CY$9142,30,FALSE)</f>
        <v>#N/A</v>
      </c>
      <c r="P76" s="49" t="e">
        <f>VLOOKUP($A76,'Matriz POA 2024-TRABAJO'!$A$5:$CY$9142,31,FALSE)</f>
        <v>#N/A</v>
      </c>
      <c r="Q76" s="49" t="e">
        <f>VLOOKUP($A76,'Matriz POA 2024-TRABAJO'!$A$5:$CY$9142,32,FALSE)</f>
        <v>#N/A</v>
      </c>
      <c r="R76" s="49" t="e">
        <f>VLOOKUP($A76,'Matriz POA 2024-TRABAJO'!$A$5:$CY$9142,33,FALSE)</f>
        <v>#N/A</v>
      </c>
      <c r="S76" s="49" t="e">
        <f>VLOOKUP($A76,'Matriz POA 2024-TRABAJO'!$A$5:$CY$9142,34,FALSE)</f>
        <v>#N/A</v>
      </c>
      <c r="T76" s="49" t="e">
        <f>VLOOKUP($A76,'Matriz POA 2024-TRABAJO'!$A$5:$CY$9142,35,FALSE)</f>
        <v>#N/A</v>
      </c>
      <c r="U76" s="50" t="e">
        <f>VLOOKUP($A76,'Matriz POA 2024-TRABAJO'!$A$5:$CY$9142,47,FALSE)</f>
        <v>#N/A</v>
      </c>
      <c r="V76" s="51">
        <v>0</v>
      </c>
      <c r="W76" s="51">
        <v>0</v>
      </c>
      <c r="X76" s="51"/>
      <c r="Y76" s="51"/>
      <c r="Z76" s="51"/>
      <c r="AA76" s="51"/>
      <c r="AB76" s="51"/>
      <c r="AC76" s="51"/>
      <c r="AD76" s="51"/>
      <c r="AE76" s="51"/>
      <c r="AF76" s="51"/>
      <c r="AG76" s="51"/>
      <c r="AH76" s="3" t="e">
        <f>VLOOKUP($A76, 'Matriz POA 2024-TRABAJO'!$A$5:$CY$9142,61,FALSE)</f>
        <v>#N/A</v>
      </c>
      <c r="AI76" s="406">
        <f t="shared" si="19"/>
        <v>0</v>
      </c>
      <c r="AJ76" s="407" t="e">
        <f t="shared" si="20"/>
        <v>#N/A</v>
      </c>
    </row>
  </sheetData>
  <autoFilter ref="A1:AL76">
    <filterColumn colId="0">
      <filters>
        <filter val="480"/>
      </filters>
    </filterColumn>
  </autoFilter>
  <conditionalFormatting sqref="A2:A50">
    <cfRule type="duplicateValues" dxfId="1" priority="1904"/>
  </conditionalFormatting>
  <conditionalFormatting sqref="A51:A54">
    <cfRule type="duplicateValues" dxfId="0" priority="1"/>
  </conditionalFormatting>
  <pageMargins left="0.7" right="0.7" top="0.75" bottom="0.75" header="0.3" footer="0.3"/>
  <pageSetup paperSize="9" scale="9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D694"/>
  <sheetViews>
    <sheetView topLeftCell="A79" workbookViewId="0">
      <selection sqref="A1:B65536"/>
    </sheetView>
  </sheetViews>
  <sheetFormatPr baseColWidth="10" defaultColWidth="11.42578125" defaultRowHeight="15" customHeight="1"/>
  <cols>
    <col min="1" max="2" width="5.5703125" customWidth="1"/>
    <col min="3" max="3" width="11.42578125" customWidth="1"/>
    <col min="4" max="4" width="34.7109375" customWidth="1"/>
    <col min="5" max="7" width="11.42578125" customWidth="1"/>
    <col min="8" max="8" width="34.5703125" customWidth="1"/>
    <col min="9" max="9" width="11.42578125" customWidth="1"/>
  </cols>
  <sheetData>
    <row r="1" spans="1:4">
      <c r="A1" s="6"/>
      <c r="B1" s="6"/>
      <c r="C1" s="6" t="s">
        <v>1323</v>
      </c>
      <c r="D1" s="5" t="s">
        <v>1324</v>
      </c>
    </row>
    <row r="2" spans="1:4">
      <c r="A2" s="6"/>
      <c r="B2" s="6"/>
      <c r="C2" s="374">
        <v>1</v>
      </c>
      <c r="D2" s="374" t="s">
        <v>1325</v>
      </c>
    </row>
    <row r="3" spans="1:4">
      <c r="A3" s="6"/>
      <c r="B3" s="6"/>
      <c r="C3" s="376">
        <v>5</v>
      </c>
      <c r="D3" s="375" t="s">
        <v>1326</v>
      </c>
    </row>
    <row r="4" spans="1:4">
      <c r="A4" s="6"/>
      <c r="B4" s="6"/>
      <c r="C4" s="376">
        <v>51</v>
      </c>
      <c r="D4" s="375" t="s">
        <v>1327</v>
      </c>
    </row>
    <row r="5" spans="1:4">
      <c r="A5" s="6"/>
      <c r="B5" s="6"/>
      <c r="C5" s="376">
        <v>511</v>
      </c>
      <c r="D5" s="375" t="s">
        <v>1328</v>
      </c>
    </row>
    <row r="6" spans="1:4">
      <c r="A6" s="6"/>
      <c r="B6" s="6"/>
      <c r="C6" s="376">
        <v>510105</v>
      </c>
      <c r="D6" s="375" t="s">
        <v>351</v>
      </c>
    </row>
    <row r="7" spans="1:4">
      <c r="A7" s="6"/>
      <c r="B7" s="6"/>
      <c r="C7" s="376">
        <v>510106</v>
      </c>
      <c r="D7" s="375" t="s">
        <v>353</v>
      </c>
    </row>
    <row r="8" spans="1:4">
      <c r="A8" s="6"/>
      <c r="B8" s="6"/>
      <c r="C8" s="376">
        <v>510107</v>
      </c>
      <c r="D8" s="375" t="s">
        <v>1329</v>
      </c>
    </row>
    <row r="9" spans="1:4">
      <c r="A9" s="6"/>
      <c r="B9" s="6"/>
      <c r="C9" s="376">
        <v>510108</v>
      </c>
      <c r="D9" s="375" t="s">
        <v>1330</v>
      </c>
    </row>
    <row r="10" spans="1:4">
      <c r="A10" s="6"/>
      <c r="B10" s="6"/>
      <c r="C10" s="376">
        <v>510110</v>
      </c>
      <c r="D10" s="375" t="s">
        <v>1331</v>
      </c>
    </row>
    <row r="11" spans="1:4">
      <c r="A11" s="6"/>
      <c r="B11" s="6"/>
      <c r="C11" s="376">
        <v>510111</v>
      </c>
      <c r="D11" s="375" t="s">
        <v>1332</v>
      </c>
    </row>
    <row r="12" spans="1:4">
      <c r="A12" s="6"/>
      <c r="B12" s="6"/>
      <c r="C12" s="376">
        <v>512</v>
      </c>
      <c r="D12" s="375" t="s">
        <v>1333</v>
      </c>
    </row>
    <row r="13" spans="1:4">
      <c r="A13" s="6"/>
      <c r="B13" s="6"/>
      <c r="C13" s="376">
        <v>510203</v>
      </c>
      <c r="D13" s="375" t="s">
        <v>354</v>
      </c>
    </row>
    <row r="14" spans="1:4">
      <c r="A14" s="6"/>
      <c r="B14" s="6"/>
      <c r="C14" s="376">
        <v>510204</v>
      </c>
      <c r="D14" s="375" t="s">
        <v>355</v>
      </c>
    </row>
    <row r="15" spans="1:4">
      <c r="A15" s="6"/>
      <c r="B15" s="6"/>
      <c r="C15" s="376">
        <v>510209</v>
      </c>
      <c r="D15" s="375" t="s">
        <v>1334</v>
      </c>
    </row>
    <row r="16" spans="1:4">
      <c r="A16" s="6"/>
      <c r="B16" s="6"/>
      <c r="C16" s="376">
        <v>510232</v>
      </c>
      <c r="D16" s="375" t="s">
        <v>1335</v>
      </c>
    </row>
    <row r="17" spans="1:4">
      <c r="A17" s="6"/>
      <c r="B17" s="6"/>
      <c r="C17" s="376">
        <v>510236</v>
      </c>
      <c r="D17" s="375" t="s">
        <v>1336</v>
      </c>
    </row>
    <row r="18" spans="1:4">
      <c r="A18" s="6"/>
      <c r="B18" s="6"/>
      <c r="C18" s="376">
        <v>513</v>
      </c>
      <c r="D18" s="375" t="s">
        <v>1337</v>
      </c>
    </row>
    <row r="19" spans="1:4">
      <c r="A19" s="6"/>
      <c r="B19" s="6"/>
      <c r="C19" s="376">
        <v>510301</v>
      </c>
      <c r="D19" s="375" t="s">
        <v>1338</v>
      </c>
    </row>
    <row r="20" spans="1:4">
      <c r="A20" s="6"/>
      <c r="B20" s="6"/>
      <c r="C20" s="376">
        <v>510302</v>
      </c>
      <c r="D20" s="375" t="s">
        <v>1339</v>
      </c>
    </row>
    <row r="21" spans="1:4">
      <c r="A21" s="6"/>
      <c r="B21" s="6"/>
      <c r="C21" s="376">
        <v>510304</v>
      </c>
      <c r="D21" s="375" t="s">
        <v>357</v>
      </c>
    </row>
    <row r="22" spans="1:4">
      <c r="A22" s="6"/>
      <c r="B22" s="6"/>
      <c r="C22" s="376">
        <v>510305</v>
      </c>
      <c r="D22" s="375" t="s">
        <v>1340</v>
      </c>
    </row>
    <row r="23" spans="1:4">
      <c r="A23" s="6"/>
      <c r="B23" s="6"/>
      <c r="C23" s="376">
        <v>510306</v>
      </c>
      <c r="D23" s="375" t="s">
        <v>359</v>
      </c>
    </row>
    <row r="24" spans="1:4">
      <c r="A24" s="6"/>
      <c r="B24" s="6"/>
      <c r="C24" s="376">
        <v>510307</v>
      </c>
      <c r="D24" s="375" t="s">
        <v>1341</v>
      </c>
    </row>
    <row r="25" spans="1:4">
      <c r="A25" s="6"/>
      <c r="B25" s="6"/>
      <c r="C25" s="376">
        <v>510312</v>
      </c>
      <c r="D25" s="375" t="s">
        <v>1342</v>
      </c>
    </row>
    <row r="26" spans="1:4">
      <c r="A26" s="6"/>
      <c r="B26" s="6"/>
      <c r="C26" s="376">
        <v>510313</v>
      </c>
      <c r="D26" s="375" t="s">
        <v>1343</v>
      </c>
    </row>
    <row r="27" spans="1:4">
      <c r="A27" s="6"/>
      <c r="B27" s="6"/>
      <c r="C27" s="376">
        <v>514</v>
      </c>
      <c r="D27" s="375" t="s">
        <v>1344</v>
      </c>
    </row>
    <row r="28" spans="1:4">
      <c r="A28" s="6"/>
      <c r="B28" s="6"/>
      <c r="C28" s="376">
        <v>510401</v>
      </c>
      <c r="D28" s="375" t="s">
        <v>433</v>
      </c>
    </row>
    <row r="29" spans="1:4">
      <c r="A29" s="6"/>
      <c r="B29" s="6"/>
      <c r="C29" s="376">
        <v>510408</v>
      </c>
      <c r="D29" s="375" t="s">
        <v>362</v>
      </c>
    </row>
    <row r="30" spans="1:4">
      <c r="A30" s="6"/>
      <c r="B30" s="6"/>
      <c r="C30" s="376">
        <v>510409</v>
      </c>
      <c r="D30" s="375" t="s">
        <v>1345</v>
      </c>
    </row>
    <row r="31" spans="1:4">
      <c r="A31" s="6"/>
      <c r="B31" s="6"/>
      <c r="C31" s="376">
        <v>515</v>
      </c>
      <c r="D31" s="375" t="s">
        <v>1346</v>
      </c>
    </row>
    <row r="32" spans="1:4">
      <c r="A32" s="6"/>
      <c r="B32" s="6"/>
      <c r="C32" s="376">
        <v>510502</v>
      </c>
      <c r="D32" s="375" t="s">
        <v>1347</v>
      </c>
    </row>
    <row r="33" spans="1:4">
      <c r="A33" s="6"/>
      <c r="B33" s="6"/>
      <c r="C33" s="376">
        <v>510506</v>
      </c>
      <c r="D33" s="375" t="s">
        <v>1348</v>
      </c>
    </row>
    <row r="34" spans="1:4">
      <c r="A34" s="6"/>
      <c r="B34" s="6"/>
      <c r="C34" s="376">
        <v>510507</v>
      </c>
      <c r="D34" s="375" t="s">
        <v>1349</v>
      </c>
    </row>
    <row r="35" spans="1:4">
      <c r="A35" s="6"/>
      <c r="B35" s="6"/>
      <c r="C35" s="376">
        <v>510509</v>
      </c>
      <c r="D35" s="375" t="s">
        <v>1350</v>
      </c>
    </row>
    <row r="36" spans="1:4">
      <c r="A36" s="6"/>
      <c r="B36" s="6"/>
      <c r="C36" s="376">
        <v>510510</v>
      </c>
      <c r="D36" s="375" t="s">
        <v>363</v>
      </c>
    </row>
    <row r="37" spans="1:4">
      <c r="A37" s="6"/>
      <c r="B37" s="6"/>
      <c r="C37" s="376">
        <v>510512</v>
      </c>
      <c r="D37" s="375" t="s">
        <v>252</v>
      </c>
    </row>
    <row r="38" spans="1:4">
      <c r="A38" s="6"/>
      <c r="B38" s="6"/>
      <c r="C38" s="376">
        <v>510513</v>
      </c>
      <c r="D38" s="375" t="s">
        <v>707</v>
      </c>
    </row>
    <row r="39" spans="1:4">
      <c r="A39" s="6"/>
      <c r="B39" s="6"/>
      <c r="C39" s="376">
        <v>510514</v>
      </c>
      <c r="D39" s="375" t="s">
        <v>1351</v>
      </c>
    </row>
    <row r="40" spans="1:4">
      <c r="A40" s="6"/>
      <c r="B40" s="6"/>
      <c r="C40" s="376">
        <v>510515</v>
      </c>
      <c r="D40" s="375" t="s">
        <v>1352</v>
      </c>
    </row>
    <row r="41" spans="1:4">
      <c r="A41" s="6"/>
      <c r="B41" s="6"/>
      <c r="C41" s="376">
        <v>510516</v>
      </c>
      <c r="D41" s="375" t="s">
        <v>1353</v>
      </c>
    </row>
    <row r="42" spans="1:4">
      <c r="A42" s="6"/>
      <c r="B42" s="6"/>
      <c r="C42" s="376">
        <v>510517</v>
      </c>
      <c r="D42" s="375" t="s">
        <v>1354</v>
      </c>
    </row>
    <row r="43" spans="1:4">
      <c r="A43" s="6"/>
      <c r="B43" s="6"/>
      <c r="C43" s="376">
        <v>510518</v>
      </c>
      <c r="D43" s="375" t="s">
        <v>1355</v>
      </c>
    </row>
    <row r="44" spans="1:4">
      <c r="A44" s="6"/>
      <c r="B44" s="6"/>
      <c r="C44" s="376">
        <v>516</v>
      </c>
      <c r="D44" s="375" t="s">
        <v>1356</v>
      </c>
    </row>
    <row r="45" spans="1:4">
      <c r="A45" s="6"/>
      <c r="B45" s="6"/>
      <c r="C45" s="376">
        <v>510601</v>
      </c>
      <c r="D45" s="375" t="s">
        <v>364</v>
      </c>
    </row>
    <row r="46" spans="1:4">
      <c r="A46" s="6"/>
      <c r="B46" s="6"/>
      <c r="C46" s="376">
        <v>510602</v>
      </c>
      <c r="D46" s="375" t="s">
        <v>365</v>
      </c>
    </row>
    <row r="47" spans="1:4">
      <c r="A47" s="6"/>
      <c r="B47" s="6"/>
      <c r="C47" s="376">
        <v>510606</v>
      </c>
      <c r="D47" s="375" t="s">
        <v>1357</v>
      </c>
    </row>
    <row r="48" spans="1:4">
      <c r="A48" s="6"/>
      <c r="B48" s="6"/>
      <c r="C48" s="376">
        <v>517</v>
      </c>
      <c r="D48" s="375" t="s">
        <v>1358</v>
      </c>
    </row>
    <row r="49" spans="1:4">
      <c r="A49" s="6"/>
      <c r="B49" s="6"/>
      <c r="C49" s="376">
        <v>510702</v>
      </c>
      <c r="D49" s="375" t="s">
        <v>1359</v>
      </c>
    </row>
    <row r="50" spans="1:4">
      <c r="A50" s="6"/>
      <c r="B50" s="6"/>
      <c r="C50" s="376">
        <v>510703</v>
      </c>
      <c r="D50" s="375" t="s">
        <v>1360</v>
      </c>
    </row>
    <row r="51" spans="1:4">
      <c r="A51" s="6"/>
      <c r="B51" s="6"/>
      <c r="C51" s="376">
        <v>510704</v>
      </c>
      <c r="D51" s="375" t="s">
        <v>1361</v>
      </c>
    </row>
    <row r="52" spans="1:4">
      <c r="A52" s="6"/>
      <c r="B52" s="6"/>
      <c r="C52" s="376">
        <v>510705</v>
      </c>
      <c r="D52" s="375" t="s">
        <v>1362</v>
      </c>
    </row>
    <row r="53" spans="1:4">
      <c r="A53" s="6"/>
      <c r="B53" s="6"/>
      <c r="C53" s="376">
        <v>510706</v>
      </c>
      <c r="D53" s="375" t="s">
        <v>1363</v>
      </c>
    </row>
    <row r="54" spans="1:4">
      <c r="A54" s="6"/>
      <c r="B54" s="6"/>
      <c r="C54" s="376">
        <v>510707</v>
      </c>
      <c r="D54" s="375" t="s">
        <v>435</v>
      </c>
    </row>
    <row r="55" spans="1:4">
      <c r="A55" s="6"/>
      <c r="B55" s="6"/>
      <c r="C55" s="376">
        <v>510708</v>
      </c>
      <c r="D55" s="375" t="s">
        <v>1364</v>
      </c>
    </row>
    <row r="56" spans="1:4">
      <c r="A56" s="6"/>
      <c r="B56" s="6"/>
      <c r="C56" s="376">
        <v>510709</v>
      </c>
      <c r="D56" s="375" t="s">
        <v>1365</v>
      </c>
    </row>
    <row r="57" spans="1:4">
      <c r="A57" s="6"/>
      <c r="B57" s="6"/>
      <c r="C57" s="376">
        <v>510710</v>
      </c>
      <c r="D57" s="375" t="s">
        <v>1366</v>
      </c>
    </row>
    <row r="58" spans="1:4">
      <c r="A58" s="6"/>
      <c r="B58" s="6"/>
      <c r="C58" s="376">
        <v>510711</v>
      </c>
      <c r="D58" s="375" t="s">
        <v>1367</v>
      </c>
    </row>
    <row r="59" spans="1:4">
      <c r="A59" s="6"/>
      <c r="B59" s="6"/>
      <c r="C59" s="376">
        <v>510712</v>
      </c>
      <c r="D59" s="375" t="s">
        <v>1368</v>
      </c>
    </row>
    <row r="60" spans="1:4">
      <c r="A60" s="6"/>
      <c r="B60" s="6"/>
      <c r="C60" s="376">
        <v>53</v>
      </c>
      <c r="D60" s="375" t="s">
        <v>1369</v>
      </c>
    </row>
    <row r="61" spans="1:4">
      <c r="A61" s="6"/>
      <c r="B61" s="6"/>
      <c r="C61" s="376">
        <v>531</v>
      </c>
      <c r="D61" s="375" t="s">
        <v>1370</v>
      </c>
    </row>
    <row r="62" spans="1:4">
      <c r="A62" s="6"/>
      <c r="B62" s="6"/>
      <c r="C62" s="376">
        <v>530101</v>
      </c>
      <c r="D62" s="375" t="s">
        <v>417</v>
      </c>
    </row>
    <row r="63" spans="1:4">
      <c r="A63" s="6"/>
      <c r="B63" s="6"/>
      <c r="C63" s="376">
        <v>530102</v>
      </c>
      <c r="D63" s="375" t="s">
        <v>1371</v>
      </c>
    </row>
    <row r="64" spans="1:4">
      <c r="A64" s="6"/>
      <c r="B64" s="6"/>
      <c r="C64" s="376">
        <v>530104</v>
      </c>
      <c r="D64" s="375" t="s">
        <v>418</v>
      </c>
    </row>
    <row r="65" spans="1:4">
      <c r="A65" s="6"/>
      <c r="B65" s="6"/>
      <c r="C65" s="376">
        <v>530105</v>
      </c>
      <c r="D65" s="375" t="s">
        <v>1372</v>
      </c>
    </row>
    <row r="66" spans="1:4">
      <c r="A66" s="6"/>
      <c r="B66" s="6"/>
      <c r="C66" s="376">
        <v>530106</v>
      </c>
      <c r="D66" s="375" t="s">
        <v>216</v>
      </c>
    </row>
    <row r="67" spans="1:4">
      <c r="A67" s="6"/>
      <c r="B67" s="6"/>
      <c r="C67" s="376">
        <v>532</v>
      </c>
      <c r="D67" s="375" t="s">
        <v>1373</v>
      </c>
    </row>
    <row r="68" spans="1:4">
      <c r="A68" s="6"/>
      <c r="B68" s="6"/>
      <c r="C68" s="376">
        <v>530201</v>
      </c>
      <c r="D68" s="375" t="s">
        <v>217</v>
      </c>
    </row>
    <row r="69" spans="1:4">
      <c r="A69" s="6"/>
      <c r="B69" s="6"/>
      <c r="C69" s="376">
        <v>530202</v>
      </c>
      <c r="D69" s="375" t="s">
        <v>1374</v>
      </c>
    </row>
    <row r="70" spans="1:4">
      <c r="A70" s="6"/>
      <c r="B70" s="6"/>
      <c r="C70" s="376">
        <v>530203</v>
      </c>
      <c r="D70" s="375" t="s">
        <v>424</v>
      </c>
    </row>
    <row r="71" spans="1:4">
      <c r="A71" s="6"/>
      <c r="B71" s="6"/>
      <c r="C71" s="376">
        <v>530204</v>
      </c>
      <c r="D71" s="375" t="s">
        <v>1375</v>
      </c>
    </row>
    <row r="72" spans="1:4">
      <c r="A72" s="6"/>
      <c r="B72" s="6"/>
      <c r="C72" s="376">
        <v>530205</v>
      </c>
      <c r="D72" s="375" t="s">
        <v>1376</v>
      </c>
    </row>
    <row r="73" spans="1:4">
      <c r="A73" s="6"/>
      <c r="B73" s="6"/>
      <c r="C73" s="376">
        <v>530207</v>
      </c>
      <c r="D73" s="375" t="s">
        <v>1377</v>
      </c>
    </row>
    <row r="74" spans="1:4">
      <c r="A74" s="6"/>
      <c r="B74" s="6"/>
      <c r="C74" s="376">
        <v>530208</v>
      </c>
      <c r="D74" s="375" t="s">
        <v>419</v>
      </c>
    </row>
    <row r="75" spans="1:4">
      <c r="A75" s="6"/>
      <c r="B75" s="6"/>
      <c r="C75" s="376">
        <v>530209</v>
      </c>
      <c r="D75" s="375" t="s">
        <v>1378</v>
      </c>
    </row>
    <row r="76" spans="1:4">
      <c r="A76" s="6"/>
      <c r="B76" s="6"/>
      <c r="C76" s="376">
        <v>530210</v>
      </c>
      <c r="D76" s="375" t="s">
        <v>1379</v>
      </c>
    </row>
    <row r="77" spans="1:4">
      <c r="A77" s="6"/>
      <c r="B77" s="6"/>
      <c r="C77" s="376">
        <v>530215</v>
      </c>
      <c r="D77" s="375" t="s">
        <v>1380</v>
      </c>
    </row>
    <row r="78" spans="1:4">
      <c r="A78" s="6"/>
      <c r="B78" s="6"/>
      <c r="C78" s="376">
        <v>530216</v>
      </c>
      <c r="D78" s="375" t="s">
        <v>1381</v>
      </c>
    </row>
    <row r="79" spans="1:4">
      <c r="A79" s="6"/>
      <c r="B79" s="6"/>
      <c r="C79" s="376">
        <v>530220</v>
      </c>
      <c r="D79" s="375" t="s">
        <v>1382</v>
      </c>
    </row>
    <row r="80" spans="1:4">
      <c r="A80" s="6"/>
      <c r="B80" s="6"/>
      <c r="C80" s="376">
        <v>530221</v>
      </c>
      <c r="D80" s="375" t="s">
        <v>1383</v>
      </c>
    </row>
    <row r="81" spans="1:4">
      <c r="A81" s="6"/>
      <c r="B81" s="6"/>
      <c r="C81" s="376">
        <v>530222</v>
      </c>
      <c r="D81" s="375" t="s">
        <v>1384</v>
      </c>
    </row>
    <row r="82" spans="1:4">
      <c r="A82" s="6"/>
      <c r="B82" s="6"/>
      <c r="C82" s="376">
        <v>530224</v>
      </c>
      <c r="D82" s="375" t="s">
        <v>1385</v>
      </c>
    </row>
    <row r="83" spans="1:4">
      <c r="A83" s="6"/>
      <c r="B83" s="6"/>
      <c r="C83" s="376">
        <v>530225</v>
      </c>
      <c r="D83" s="375" t="s">
        <v>1386</v>
      </c>
    </row>
    <row r="84" spans="1:4">
      <c r="A84" s="6"/>
      <c r="B84" s="6"/>
      <c r="C84" s="376">
        <v>530226</v>
      </c>
      <c r="D84" s="375" t="s">
        <v>1387</v>
      </c>
    </row>
    <row r="85" spans="1:4">
      <c r="A85" s="6"/>
      <c r="B85" s="6"/>
      <c r="C85" s="376">
        <v>530227</v>
      </c>
      <c r="D85" s="375" t="s">
        <v>1388</v>
      </c>
    </row>
    <row r="86" spans="1:4">
      <c r="A86" s="6"/>
      <c r="B86" s="6"/>
      <c r="C86" s="376">
        <v>530228</v>
      </c>
      <c r="D86" s="375" t="s">
        <v>1389</v>
      </c>
    </row>
    <row r="87" spans="1:4">
      <c r="A87" s="6"/>
      <c r="B87" s="6"/>
      <c r="C87" s="376">
        <v>530229</v>
      </c>
      <c r="D87" s="375" t="s">
        <v>1390</v>
      </c>
    </row>
    <row r="88" spans="1:4">
      <c r="A88" s="6"/>
      <c r="B88" s="6"/>
      <c r="C88" s="376">
        <v>530230</v>
      </c>
      <c r="D88" s="375" t="s">
        <v>1391</v>
      </c>
    </row>
    <row r="89" spans="1:4">
      <c r="A89" s="6"/>
      <c r="B89" s="6"/>
      <c r="C89" s="376">
        <v>530231</v>
      </c>
      <c r="D89" s="375" t="s">
        <v>1392</v>
      </c>
    </row>
    <row r="90" spans="1:4">
      <c r="A90" s="6"/>
      <c r="B90" s="6"/>
      <c r="C90" s="376">
        <v>530232</v>
      </c>
      <c r="D90" s="375" t="s">
        <v>1393</v>
      </c>
    </row>
    <row r="91" spans="1:4">
      <c r="A91" s="6"/>
      <c r="B91" s="6"/>
      <c r="C91" s="376">
        <v>530233</v>
      </c>
      <c r="D91" s="375" t="s">
        <v>1394</v>
      </c>
    </row>
    <row r="92" spans="1:4">
      <c r="A92" s="6"/>
      <c r="B92" s="6"/>
      <c r="C92" s="376">
        <v>530234</v>
      </c>
      <c r="D92" s="375" t="s">
        <v>1395</v>
      </c>
    </row>
    <row r="93" spans="1:4">
      <c r="A93" s="6"/>
      <c r="B93" s="6"/>
      <c r="C93" s="376">
        <v>530235</v>
      </c>
      <c r="D93" s="375" t="s">
        <v>1396</v>
      </c>
    </row>
    <row r="94" spans="1:4">
      <c r="A94" s="6"/>
      <c r="B94" s="6"/>
      <c r="C94" s="376">
        <v>530236</v>
      </c>
      <c r="D94" s="375" t="s">
        <v>1397</v>
      </c>
    </row>
    <row r="95" spans="1:4">
      <c r="A95" s="6"/>
      <c r="B95" s="6"/>
      <c r="C95" s="376">
        <v>530237</v>
      </c>
      <c r="D95" s="375" t="s">
        <v>1398</v>
      </c>
    </row>
    <row r="96" spans="1:4">
      <c r="A96" s="6"/>
      <c r="B96" s="6"/>
      <c r="C96" s="376">
        <v>530238</v>
      </c>
      <c r="D96" s="375" t="s">
        <v>1399</v>
      </c>
    </row>
    <row r="97" spans="1:4">
      <c r="A97" s="6"/>
      <c r="B97" s="6"/>
      <c r="C97" s="376">
        <v>530239</v>
      </c>
      <c r="D97" s="375" t="s">
        <v>1400</v>
      </c>
    </row>
    <row r="98" spans="1:4">
      <c r="A98" s="6"/>
      <c r="B98" s="6"/>
      <c r="C98" s="376">
        <v>530240</v>
      </c>
      <c r="D98" s="375" t="s">
        <v>1401</v>
      </c>
    </row>
    <row r="99" spans="1:4">
      <c r="A99" s="6"/>
      <c r="B99" s="6"/>
      <c r="C99" s="376">
        <v>530241</v>
      </c>
      <c r="D99" s="375" t="s">
        <v>1402</v>
      </c>
    </row>
    <row r="100" spans="1:4">
      <c r="A100" s="6"/>
      <c r="B100" s="6"/>
      <c r="C100" s="376">
        <v>530242</v>
      </c>
      <c r="D100" s="375" t="s">
        <v>1403</v>
      </c>
    </row>
    <row r="101" spans="1:4">
      <c r="A101" s="6"/>
      <c r="B101" s="6"/>
      <c r="C101" s="376">
        <v>530243</v>
      </c>
      <c r="D101" s="375" t="s">
        <v>1404</v>
      </c>
    </row>
    <row r="102" spans="1:4">
      <c r="A102" s="6"/>
      <c r="B102" s="6"/>
      <c r="C102" s="376">
        <v>530244</v>
      </c>
      <c r="D102" s="375" t="s">
        <v>1405</v>
      </c>
    </row>
    <row r="103" spans="1:4">
      <c r="A103" s="6"/>
      <c r="B103" s="6"/>
      <c r="C103" s="376">
        <v>530245</v>
      </c>
      <c r="D103" s="375" t="s">
        <v>1406</v>
      </c>
    </row>
    <row r="104" spans="1:4">
      <c r="A104" s="6"/>
      <c r="B104" s="6"/>
      <c r="C104" s="376">
        <v>530246</v>
      </c>
      <c r="D104" s="375" t="s">
        <v>1407</v>
      </c>
    </row>
    <row r="105" spans="1:4">
      <c r="A105" s="6"/>
      <c r="B105" s="6"/>
      <c r="C105" s="376">
        <v>530247</v>
      </c>
      <c r="D105" s="375" t="s">
        <v>1408</v>
      </c>
    </row>
    <row r="106" spans="1:4">
      <c r="A106" s="6"/>
      <c r="B106" s="6"/>
      <c r="C106" s="376">
        <v>530248</v>
      </c>
      <c r="D106" s="375" t="s">
        <v>1409</v>
      </c>
    </row>
    <row r="107" spans="1:4">
      <c r="A107" s="6"/>
      <c r="B107" s="6"/>
      <c r="C107" s="376">
        <v>530249</v>
      </c>
      <c r="D107" s="375" t="s">
        <v>1410</v>
      </c>
    </row>
    <row r="108" spans="1:4">
      <c r="A108" s="6"/>
      <c r="B108" s="6"/>
      <c r="C108" s="376">
        <v>530250</v>
      </c>
      <c r="D108" s="375" t="s">
        <v>1411</v>
      </c>
    </row>
    <row r="109" spans="1:4">
      <c r="A109" s="6"/>
      <c r="B109" s="6"/>
      <c r="C109" s="376">
        <v>530251</v>
      </c>
      <c r="D109" s="375" t="s">
        <v>1412</v>
      </c>
    </row>
    <row r="110" spans="1:4">
      <c r="A110" s="6"/>
      <c r="B110" s="6"/>
      <c r="C110" s="376">
        <v>530252</v>
      </c>
      <c r="D110" s="375" t="s">
        <v>1413</v>
      </c>
    </row>
    <row r="111" spans="1:4">
      <c r="A111" s="6"/>
      <c r="B111" s="6"/>
      <c r="C111" s="376">
        <v>530253</v>
      </c>
      <c r="D111" s="375" t="s">
        <v>1414</v>
      </c>
    </row>
    <row r="112" spans="1:4">
      <c r="A112" s="6"/>
      <c r="B112" s="6"/>
      <c r="C112" s="376">
        <v>530254</v>
      </c>
      <c r="D112" s="375" t="s">
        <v>1415</v>
      </c>
    </row>
    <row r="113" spans="1:4">
      <c r="A113" s="6"/>
      <c r="B113" s="6"/>
      <c r="C113" s="376">
        <v>530255</v>
      </c>
      <c r="D113" s="375" t="s">
        <v>423</v>
      </c>
    </row>
    <row r="114" spans="1:4">
      <c r="A114" s="6"/>
      <c r="B114" s="6"/>
      <c r="C114" s="376">
        <v>533</v>
      </c>
      <c r="D114" s="375" t="s">
        <v>1416</v>
      </c>
    </row>
    <row r="115" spans="1:4">
      <c r="A115" s="6"/>
      <c r="B115" s="6"/>
      <c r="C115" s="376">
        <v>530301</v>
      </c>
      <c r="D115" s="375" t="s">
        <v>599</v>
      </c>
    </row>
    <row r="116" spans="1:4">
      <c r="A116" s="6"/>
      <c r="B116" s="6"/>
      <c r="C116" s="376">
        <v>530302</v>
      </c>
      <c r="D116" s="375" t="s">
        <v>1417</v>
      </c>
    </row>
    <row r="117" spans="1:4">
      <c r="A117" s="6"/>
      <c r="B117" s="6"/>
      <c r="C117" s="376">
        <v>530303</v>
      </c>
      <c r="D117" s="375" t="s">
        <v>598</v>
      </c>
    </row>
    <row r="118" spans="1:4">
      <c r="A118" s="6"/>
      <c r="B118" s="6"/>
      <c r="C118" s="376">
        <v>530304</v>
      </c>
      <c r="D118" s="375" t="s">
        <v>1418</v>
      </c>
    </row>
    <row r="119" spans="1:4">
      <c r="A119" s="6"/>
      <c r="B119" s="6"/>
      <c r="C119" s="376">
        <v>530305</v>
      </c>
      <c r="D119" s="375" t="s">
        <v>1419</v>
      </c>
    </row>
    <row r="120" spans="1:4">
      <c r="A120" s="6"/>
      <c r="B120" s="6"/>
      <c r="C120" s="376">
        <v>530306</v>
      </c>
      <c r="D120" s="375" t="s">
        <v>1420</v>
      </c>
    </row>
    <row r="121" spans="1:4">
      <c r="A121" s="6"/>
      <c r="B121" s="6"/>
      <c r="C121" s="376">
        <v>530307</v>
      </c>
      <c r="D121" s="375" t="s">
        <v>1421</v>
      </c>
    </row>
    <row r="122" spans="1:4">
      <c r="A122" s="6"/>
      <c r="B122" s="91"/>
      <c r="C122" s="376">
        <v>530308</v>
      </c>
      <c r="D122" s="375" t="s">
        <v>1422</v>
      </c>
    </row>
    <row r="123" spans="1:4">
      <c r="A123" s="6"/>
      <c r="B123" s="6"/>
      <c r="C123" s="376">
        <v>530309</v>
      </c>
      <c r="D123" s="375" t="s">
        <v>1423</v>
      </c>
    </row>
    <row r="124" spans="1:4">
      <c r="A124" s="6"/>
      <c r="B124" s="6"/>
      <c r="C124" s="376">
        <v>534</v>
      </c>
      <c r="D124" s="375" t="s">
        <v>1424</v>
      </c>
    </row>
    <row r="125" spans="1:4">
      <c r="A125" s="6"/>
      <c r="B125" s="6"/>
      <c r="C125" s="376">
        <v>530401</v>
      </c>
      <c r="D125" s="375" t="s">
        <v>1425</v>
      </c>
    </row>
    <row r="126" spans="1:4">
      <c r="A126" s="6"/>
      <c r="B126" s="6"/>
      <c r="C126" s="376">
        <v>530402</v>
      </c>
      <c r="D126" s="375" t="s">
        <v>425</v>
      </c>
    </row>
    <row r="127" spans="1:4">
      <c r="A127" s="6"/>
      <c r="B127" s="6"/>
      <c r="C127" s="376">
        <v>530403</v>
      </c>
      <c r="D127" s="375" t="s">
        <v>1426</v>
      </c>
    </row>
    <row r="128" spans="1:4">
      <c r="A128" s="6"/>
      <c r="B128" s="6"/>
      <c r="C128" s="376">
        <v>530404</v>
      </c>
      <c r="D128" s="375" t="s">
        <v>427</v>
      </c>
    </row>
    <row r="129" spans="1:4">
      <c r="A129" s="6"/>
      <c r="B129" s="6"/>
      <c r="C129" s="376">
        <v>530405</v>
      </c>
      <c r="D129" s="375" t="s">
        <v>1427</v>
      </c>
    </row>
    <row r="130" spans="1:4">
      <c r="A130" s="6"/>
      <c r="B130" s="6"/>
      <c r="C130" s="376">
        <v>530406</v>
      </c>
      <c r="D130" s="375" t="s">
        <v>1428</v>
      </c>
    </row>
    <row r="131" spans="1:4">
      <c r="A131" s="6"/>
      <c r="B131" s="6"/>
      <c r="C131" s="376">
        <v>530408</v>
      </c>
      <c r="D131" s="375" t="s">
        <v>1429</v>
      </c>
    </row>
    <row r="132" spans="1:4">
      <c r="A132" s="6"/>
      <c r="B132" s="6"/>
      <c r="C132" s="376">
        <v>530409</v>
      </c>
      <c r="D132" s="375" t="s">
        <v>1430</v>
      </c>
    </row>
    <row r="133" spans="1:4">
      <c r="A133" s="6"/>
      <c r="B133" s="6"/>
      <c r="C133" s="376">
        <v>530410</v>
      </c>
      <c r="D133" s="375" t="s">
        <v>1431</v>
      </c>
    </row>
    <row r="134" spans="1:4">
      <c r="A134" s="6"/>
      <c r="B134" s="6"/>
      <c r="C134" s="376">
        <v>530415</v>
      </c>
      <c r="D134" s="375" t="s">
        <v>1432</v>
      </c>
    </row>
    <row r="135" spans="1:4">
      <c r="A135" s="6"/>
      <c r="B135" s="6"/>
      <c r="C135" s="376">
        <v>530417</v>
      </c>
      <c r="D135" s="375" t="s">
        <v>1433</v>
      </c>
    </row>
    <row r="136" spans="1:4">
      <c r="A136" s="6"/>
      <c r="B136" s="6"/>
      <c r="C136" s="376">
        <v>530418</v>
      </c>
      <c r="D136" s="375" t="s">
        <v>1434</v>
      </c>
    </row>
    <row r="137" spans="1:4">
      <c r="A137" s="6"/>
      <c r="B137" s="6"/>
      <c r="C137" s="376">
        <v>530419</v>
      </c>
      <c r="D137" s="375" t="s">
        <v>1435</v>
      </c>
    </row>
    <row r="138" spans="1:4">
      <c r="A138" s="6"/>
      <c r="B138" s="6"/>
      <c r="C138" s="376">
        <v>530425</v>
      </c>
      <c r="D138" s="375" t="s">
        <v>1436</v>
      </c>
    </row>
    <row r="139" spans="1:4">
      <c r="A139" s="6"/>
      <c r="B139" s="6"/>
      <c r="C139" s="376">
        <v>530426</v>
      </c>
      <c r="D139" s="375" t="s">
        <v>1437</v>
      </c>
    </row>
    <row r="140" spans="1:4">
      <c r="A140" s="6"/>
      <c r="B140" s="6"/>
      <c r="C140" s="376">
        <v>535</v>
      </c>
      <c r="D140" s="375" t="s">
        <v>1438</v>
      </c>
    </row>
    <row r="141" spans="1:4">
      <c r="A141" s="6"/>
      <c r="B141" s="6"/>
      <c r="C141" s="376">
        <v>530501</v>
      </c>
      <c r="D141" s="375" t="s">
        <v>1439</v>
      </c>
    </row>
    <row r="142" spans="1:4">
      <c r="A142" s="6"/>
      <c r="B142" s="6"/>
      <c r="C142" s="376">
        <v>530502</v>
      </c>
      <c r="D142" s="375" t="s">
        <v>1440</v>
      </c>
    </row>
    <row r="143" spans="1:4">
      <c r="A143" s="6"/>
      <c r="B143" s="6"/>
      <c r="C143" s="376">
        <v>530503</v>
      </c>
      <c r="D143" s="375" t="s">
        <v>1441</v>
      </c>
    </row>
    <row r="144" spans="1:4">
      <c r="A144" s="6"/>
      <c r="B144" s="6"/>
      <c r="C144" s="376">
        <v>530504</v>
      </c>
      <c r="D144" s="375" t="s">
        <v>1442</v>
      </c>
    </row>
    <row r="145" spans="1:4">
      <c r="A145" s="6"/>
      <c r="B145" s="6"/>
      <c r="C145" s="376">
        <v>530505</v>
      </c>
      <c r="D145" s="375" t="s">
        <v>1443</v>
      </c>
    </row>
    <row r="146" spans="1:4">
      <c r="A146" s="6"/>
      <c r="B146" s="6"/>
      <c r="C146" s="376">
        <v>530506</v>
      </c>
      <c r="D146" s="375" t="s">
        <v>1444</v>
      </c>
    </row>
    <row r="147" spans="1:4">
      <c r="A147" s="6"/>
      <c r="B147" s="6"/>
      <c r="C147" s="376">
        <v>530515</v>
      </c>
      <c r="D147" s="375" t="s">
        <v>1445</v>
      </c>
    </row>
    <row r="148" spans="1:4">
      <c r="A148" s="6"/>
      <c r="B148" s="6"/>
      <c r="C148" s="376">
        <v>530516</v>
      </c>
      <c r="D148" s="375" t="s">
        <v>1446</v>
      </c>
    </row>
    <row r="149" spans="1:4">
      <c r="A149" s="6"/>
      <c r="B149" s="6"/>
      <c r="C149" s="376">
        <v>536</v>
      </c>
      <c r="D149" s="375" t="s">
        <v>1447</v>
      </c>
    </row>
    <row r="150" spans="1:4">
      <c r="A150" s="6"/>
      <c r="B150" s="6"/>
      <c r="C150" s="376">
        <v>530601</v>
      </c>
      <c r="D150" s="375" t="s">
        <v>1448</v>
      </c>
    </row>
    <row r="151" spans="1:4">
      <c r="A151" s="6"/>
      <c r="B151" s="6"/>
      <c r="C151" s="376">
        <v>530602</v>
      </c>
      <c r="D151" s="375" t="s">
        <v>1449</v>
      </c>
    </row>
    <row r="152" spans="1:4">
      <c r="A152" s="6"/>
      <c r="B152" s="6"/>
      <c r="C152" s="376">
        <v>530604</v>
      </c>
      <c r="D152" s="375" t="s">
        <v>1450</v>
      </c>
    </row>
    <row r="153" spans="1:4">
      <c r="A153" s="6"/>
      <c r="B153" s="6"/>
      <c r="C153" s="376">
        <v>530605</v>
      </c>
      <c r="D153" s="375" t="s">
        <v>1451</v>
      </c>
    </row>
    <row r="154" spans="1:4">
      <c r="A154" s="6"/>
      <c r="B154" s="6"/>
      <c r="C154" s="376">
        <v>530606</v>
      </c>
      <c r="D154" s="375" t="s">
        <v>230</v>
      </c>
    </row>
    <row r="155" spans="1:4">
      <c r="A155" s="6"/>
      <c r="B155" s="6"/>
      <c r="C155" s="376">
        <v>530607</v>
      </c>
      <c r="D155" s="375" t="s">
        <v>1452</v>
      </c>
    </row>
    <row r="156" spans="1:4">
      <c r="A156" s="6"/>
      <c r="B156" s="6"/>
      <c r="C156" s="376">
        <v>530608</v>
      </c>
      <c r="D156" s="375" t="s">
        <v>1453</v>
      </c>
    </row>
    <row r="157" spans="1:4" ht="15" customHeight="1">
      <c r="C157" s="376">
        <v>530609</v>
      </c>
      <c r="D157" s="375" t="s">
        <v>1454</v>
      </c>
    </row>
    <row r="158" spans="1:4" ht="15" customHeight="1">
      <c r="C158" s="376">
        <v>530610</v>
      </c>
      <c r="D158" s="375" t="s">
        <v>1455</v>
      </c>
    </row>
    <row r="159" spans="1:4" ht="15" customHeight="1">
      <c r="C159" s="376">
        <v>530611</v>
      </c>
      <c r="D159" s="375" t="s">
        <v>1456</v>
      </c>
    </row>
    <row r="160" spans="1:4" ht="15" customHeight="1">
      <c r="C160" s="376">
        <v>530612</v>
      </c>
      <c r="D160" s="375" t="s">
        <v>1457</v>
      </c>
    </row>
    <row r="161" spans="3:4" ht="15" customHeight="1">
      <c r="C161" s="376">
        <v>530613</v>
      </c>
      <c r="D161" s="375" t="s">
        <v>1458</v>
      </c>
    </row>
    <row r="162" spans="3:4" ht="15" customHeight="1">
      <c r="C162" s="376">
        <v>537</v>
      </c>
      <c r="D162" s="375" t="s">
        <v>1459</v>
      </c>
    </row>
    <row r="163" spans="3:4" ht="15" customHeight="1">
      <c r="C163" s="376">
        <v>530701</v>
      </c>
      <c r="D163" s="375" t="s">
        <v>1460</v>
      </c>
    </row>
    <row r="164" spans="3:4" ht="15" customHeight="1">
      <c r="C164" s="376">
        <v>530702</v>
      </c>
      <c r="D164" s="375" t="s">
        <v>1461</v>
      </c>
    </row>
    <row r="165" spans="3:4" ht="15" customHeight="1">
      <c r="C165" s="376">
        <v>530703</v>
      </c>
      <c r="D165" s="375" t="s">
        <v>1462</v>
      </c>
    </row>
    <row r="166" spans="3:4" ht="15" customHeight="1">
      <c r="C166" s="376">
        <v>530704</v>
      </c>
      <c r="D166" s="375" t="s">
        <v>233</v>
      </c>
    </row>
    <row r="167" spans="3:4" ht="15" customHeight="1">
      <c r="C167" s="376">
        <v>538</v>
      </c>
      <c r="D167" s="375" t="s">
        <v>1463</v>
      </c>
    </row>
    <row r="168" spans="3:4" ht="15" customHeight="1">
      <c r="C168" s="376">
        <v>530801</v>
      </c>
      <c r="D168" s="375" t="s">
        <v>1464</v>
      </c>
    </row>
    <row r="169" spans="3:4" ht="15" customHeight="1">
      <c r="C169" s="376">
        <v>530802</v>
      </c>
      <c r="D169" s="375" t="s">
        <v>1465</v>
      </c>
    </row>
    <row r="170" spans="3:4" ht="15" customHeight="1">
      <c r="C170" s="376">
        <v>530803</v>
      </c>
      <c r="D170" s="375" t="s">
        <v>1466</v>
      </c>
    </row>
    <row r="171" spans="3:4" ht="15" customHeight="1">
      <c r="C171" s="376">
        <v>530804</v>
      </c>
      <c r="D171" s="375" t="s">
        <v>1467</v>
      </c>
    </row>
    <row r="172" spans="3:4" ht="15" customHeight="1">
      <c r="C172" s="376">
        <v>530805</v>
      </c>
      <c r="D172" s="375" t="s">
        <v>1468</v>
      </c>
    </row>
    <row r="173" spans="3:4" ht="15" customHeight="1">
      <c r="C173" s="376">
        <v>530807</v>
      </c>
      <c r="D173" s="375" t="s">
        <v>1469</v>
      </c>
    </row>
    <row r="174" spans="3:4" ht="15" customHeight="1">
      <c r="C174" s="376">
        <v>530808</v>
      </c>
      <c r="D174" s="375" t="s">
        <v>1470</v>
      </c>
    </row>
    <row r="175" spans="3:4" ht="15" customHeight="1">
      <c r="C175" s="376">
        <v>530809</v>
      </c>
      <c r="D175" s="375" t="s">
        <v>1471</v>
      </c>
    </row>
    <row r="176" spans="3:4" ht="15" customHeight="1">
      <c r="C176" s="376">
        <v>530810</v>
      </c>
      <c r="D176" s="375" t="s">
        <v>1472</v>
      </c>
    </row>
    <row r="177" spans="3:4" ht="15" customHeight="1">
      <c r="C177" s="376">
        <v>530811</v>
      </c>
      <c r="D177" s="375" t="s">
        <v>1473</v>
      </c>
    </row>
    <row r="178" spans="3:4" ht="15" customHeight="1">
      <c r="C178" s="376">
        <v>530812</v>
      </c>
      <c r="D178" s="375" t="s">
        <v>1474</v>
      </c>
    </row>
    <row r="179" spans="3:4" ht="15" customHeight="1">
      <c r="C179" s="376">
        <v>530813</v>
      </c>
      <c r="D179" s="375" t="s">
        <v>1475</v>
      </c>
    </row>
    <row r="180" spans="3:4" ht="15" customHeight="1">
      <c r="C180" s="376">
        <v>530814</v>
      </c>
      <c r="D180" s="375" t="s">
        <v>1476</v>
      </c>
    </row>
    <row r="181" spans="3:4" ht="15" customHeight="1">
      <c r="C181" s="376">
        <v>530815</v>
      </c>
      <c r="D181" s="375" t="s">
        <v>1477</v>
      </c>
    </row>
    <row r="182" spans="3:4" ht="15" customHeight="1">
      <c r="C182" s="376">
        <v>530816</v>
      </c>
      <c r="D182" s="375" t="s">
        <v>1478</v>
      </c>
    </row>
    <row r="183" spans="3:4" ht="15" customHeight="1">
      <c r="C183" s="376">
        <v>530817</v>
      </c>
      <c r="D183" s="375" t="s">
        <v>1479</v>
      </c>
    </row>
    <row r="184" spans="3:4" ht="15" customHeight="1">
      <c r="C184" s="376">
        <v>530819</v>
      </c>
      <c r="D184" s="375" t="s">
        <v>1480</v>
      </c>
    </row>
    <row r="185" spans="3:4" ht="15" customHeight="1">
      <c r="C185" s="376">
        <v>530820</v>
      </c>
      <c r="D185" s="375" t="s">
        <v>1481</v>
      </c>
    </row>
    <row r="186" spans="3:4" ht="15" customHeight="1">
      <c r="C186" s="376">
        <v>530821</v>
      </c>
      <c r="D186" s="375" t="s">
        <v>1482</v>
      </c>
    </row>
    <row r="187" spans="3:4" ht="15" customHeight="1">
      <c r="C187" s="376">
        <v>530822</v>
      </c>
      <c r="D187" s="375" t="s">
        <v>1483</v>
      </c>
    </row>
    <row r="188" spans="3:4" ht="15" customHeight="1">
      <c r="C188" s="376">
        <v>530823</v>
      </c>
      <c r="D188" s="375" t="s">
        <v>1484</v>
      </c>
    </row>
    <row r="189" spans="3:4" ht="15" customHeight="1">
      <c r="C189" s="376">
        <v>530824</v>
      </c>
      <c r="D189" s="375" t="s">
        <v>1485</v>
      </c>
    </row>
    <row r="190" spans="3:4" ht="15" customHeight="1">
      <c r="C190" s="376">
        <v>530825</v>
      </c>
      <c r="D190" s="375" t="s">
        <v>1486</v>
      </c>
    </row>
    <row r="191" spans="3:4" ht="15" customHeight="1">
      <c r="C191" s="376">
        <v>530826</v>
      </c>
      <c r="D191" s="375" t="s">
        <v>1487</v>
      </c>
    </row>
    <row r="192" spans="3:4" ht="15" customHeight="1">
      <c r="C192" s="376">
        <v>530827</v>
      </c>
      <c r="D192" s="375" t="s">
        <v>1488</v>
      </c>
    </row>
    <row r="193" spans="3:4" ht="15" customHeight="1">
      <c r="C193" s="376">
        <v>530828</v>
      </c>
      <c r="D193" s="375" t="s">
        <v>1489</v>
      </c>
    </row>
    <row r="194" spans="3:4" ht="15" customHeight="1">
      <c r="C194" s="376">
        <v>530829</v>
      </c>
      <c r="D194" s="375" t="s">
        <v>1490</v>
      </c>
    </row>
    <row r="195" spans="3:4" ht="15" customHeight="1">
      <c r="C195" s="376">
        <v>530832</v>
      </c>
      <c r="D195" s="375" t="s">
        <v>1491</v>
      </c>
    </row>
    <row r="196" spans="3:4" ht="15" customHeight="1">
      <c r="C196" s="376">
        <v>530833</v>
      </c>
      <c r="D196" s="375" t="s">
        <v>1492</v>
      </c>
    </row>
    <row r="197" spans="3:4" ht="15" customHeight="1">
      <c r="C197" s="376">
        <v>530834</v>
      </c>
      <c r="D197" s="375" t="s">
        <v>1493</v>
      </c>
    </row>
    <row r="198" spans="3:4" ht="15" customHeight="1">
      <c r="C198" s="376">
        <v>530836</v>
      </c>
      <c r="D198" s="375" t="s">
        <v>1494</v>
      </c>
    </row>
    <row r="199" spans="3:4" ht="15" customHeight="1">
      <c r="C199" s="376">
        <v>530845</v>
      </c>
      <c r="D199" s="375" t="s">
        <v>1495</v>
      </c>
    </row>
    <row r="200" spans="3:4" ht="15" customHeight="1">
      <c r="C200" s="376">
        <v>530846</v>
      </c>
      <c r="D200" s="375" t="s">
        <v>1496</v>
      </c>
    </row>
    <row r="201" spans="3:4" ht="15" customHeight="1">
      <c r="C201" s="376">
        <v>5310</v>
      </c>
      <c r="D201" s="375" t="s">
        <v>1497</v>
      </c>
    </row>
    <row r="202" spans="3:4" ht="15" customHeight="1">
      <c r="C202" s="376">
        <v>531001</v>
      </c>
      <c r="D202" s="375" t="s">
        <v>1498</v>
      </c>
    </row>
    <row r="203" spans="3:4" ht="15" customHeight="1">
      <c r="C203" s="376">
        <v>531002</v>
      </c>
      <c r="D203" s="375" t="s">
        <v>1499</v>
      </c>
    </row>
    <row r="204" spans="3:4" ht="15" customHeight="1">
      <c r="C204" s="376">
        <v>5311</v>
      </c>
      <c r="D204" s="375" t="s">
        <v>1500</v>
      </c>
    </row>
    <row r="205" spans="3:4" ht="15" customHeight="1">
      <c r="C205" s="376">
        <v>531101</v>
      </c>
      <c r="D205" s="375" t="s">
        <v>1501</v>
      </c>
    </row>
    <row r="206" spans="3:4" ht="15" customHeight="1">
      <c r="C206" s="376">
        <v>5314</v>
      </c>
      <c r="D206" s="375" t="s">
        <v>1502</v>
      </c>
    </row>
    <row r="207" spans="3:4" ht="15" customHeight="1">
      <c r="C207" s="376">
        <v>531403</v>
      </c>
      <c r="D207" s="375" t="s">
        <v>1503</v>
      </c>
    </row>
    <row r="208" spans="3:4" ht="15" customHeight="1">
      <c r="C208" s="376">
        <v>531404</v>
      </c>
      <c r="D208" s="375" t="s">
        <v>1504</v>
      </c>
    </row>
    <row r="209" spans="3:4" ht="15" customHeight="1">
      <c r="C209" s="376">
        <v>531406</v>
      </c>
      <c r="D209" s="375" t="s">
        <v>1505</v>
      </c>
    </row>
    <row r="210" spans="3:4" ht="15" customHeight="1">
      <c r="C210" s="376">
        <v>531407</v>
      </c>
      <c r="D210" s="375" t="s">
        <v>1506</v>
      </c>
    </row>
    <row r="211" spans="3:4" ht="15" customHeight="1">
      <c r="C211" s="376">
        <v>531408</v>
      </c>
      <c r="D211" s="375" t="s">
        <v>1507</v>
      </c>
    </row>
    <row r="212" spans="3:4" ht="15" customHeight="1">
      <c r="C212" s="376">
        <v>531409</v>
      </c>
      <c r="D212" s="375" t="s">
        <v>1430</v>
      </c>
    </row>
    <row r="213" spans="3:4" ht="15" customHeight="1">
      <c r="C213" s="376">
        <v>531411</v>
      </c>
      <c r="D213" s="375" t="s">
        <v>1508</v>
      </c>
    </row>
    <row r="214" spans="3:4" ht="15" customHeight="1">
      <c r="C214" s="376">
        <v>5315</v>
      </c>
      <c r="D214" s="375" t="s">
        <v>1509</v>
      </c>
    </row>
    <row r="215" spans="3:4" ht="15" customHeight="1">
      <c r="C215" s="376">
        <v>531512</v>
      </c>
      <c r="D215" s="375" t="s">
        <v>1510</v>
      </c>
    </row>
    <row r="216" spans="3:4" ht="15" customHeight="1">
      <c r="C216" s="376">
        <v>531514</v>
      </c>
      <c r="D216" s="375" t="s">
        <v>1511</v>
      </c>
    </row>
    <row r="217" spans="3:4" ht="15" customHeight="1">
      <c r="C217" s="376">
        <v>531515</v>
      </c>
      <c r="D217" s="375" t="s">
        <v>1512</v>
      </c>
    </row>
    <row r="218" spans="3:4" ht="15" customHeight="1">
      <c r="C218" s="376">
        <v>5316</v>
      </c>
      <c r="D218" s="375" t="s">
        <v>1513</v>
      </c>
    </row>
    <row r="219" spans="3:4" ht="15" customHeight="1">
      <c r="C219" s="376">
        <v>531601</v>
      </c>
      <c r="D219" s="375" t="s">
        <v>1514</v>
      </c>
    </row>
    <row r="220" spans="3:4" ht="15" customHeight="1">
      <c r="C220" s="376">
        <v>531602</v>
      </c>
      <c r="D220" s="375" t="s">
        <v>1515</v>
      </c>
    </row>
    <row r="221" spans="3:4" ht="15" customHeight="1">
      <c r="C221" s="376">
        <v>57</v>
      </c>
      <c r="D221" s="375" t="s">
        <v>1516</v>
      </c>
    </row>
    <row r="222" spans="3:4" ht="15" customHeight="1">
      <c r="C222" s="376">
        <v>571</v>
      </c>
      <c r="D222" s="375" t="s">
        <v>1517</v>
      </c>
    </row>
    <row r="223" spans="3:4" ht="15" customHeight="1">
      <c r="C223" s="376">
        <v>570102</v>
      </c>
      <c r="D223" s="375" t="s">
        <v>1518</v>
      </c>
    </row>
    <row r="224" spans="3:4" ht="15" customHeight="1">
      <c r="C224" s="376">
        <v>570103</v>
      </c>
      <c r="D224" s="375" t="s">
        <v>1519</v>
      </c>
    </row>
    <row r="225" spans="3:4" ht="15" customHeight="1">
      <c r="C225" s="376">
        <v>570104</v>
      </c>
      <c r="D225" s="375" t="s">
        <v>1520</v>
      </c>
    </row>
    <row r="226" spans="3:4" ht="15" customHeight="1">
      <c r="C226" s="376">
        <v>570199</v>
      </c>
      <c r="D226" s="375" t="s">
        <v>1521</v>
      </c>
    </row>
    <row r="227" spans="3:4" ht="15" customHeight="1">
      <c r="C227" s="376">
        <v>572</v>
      </c>
      <c r="D227" s="375" t="s">
        <v>1522</v>
      </c>
    </row>
    <row r="228" spans="3:4" ht="15" customHeight="1">
      <c r="C228" s="376">
        <v>570201</v>
      </c>
      <c r="D228" s="375" t="s">
        <v>1523</v>
      </c>
    </row>
    <row r="229" spans="3:4" ht="15" customHeight="1">
      <c r="C229" s="376">
        <v>570203</v>
      </c>
      <c r="D229" s="375" t="s">
        <v>1524</v>
      </c>
    </row>
    <row r="230" spans="3:4" ht="15" customHeight="1">
      <c r="C230" s="376">
        <v>570204</v>
      </c>
      <c r="D230" s="375" t="s">
        <v>1525</v>
      </c>
    </row>
    <row r="231" spans="3:4" ht="15" customHeight="1">
      <c r="C231" s="376">
        <v>570205</v>
      </c>
      <c r="D231" s="375" t="s">
        <v>1526</v>
      </c>
    </row>
    <row r="232" spans="3:4" ht="15" customHeight="1">
      <c r="C232" s="376">
        <v>570206</v>
      </c>
      <c r="D232" s="375" t="s">
        <v>1527</v>
      </c>
    </row>
    <row r="233" spans="3:4" ht="15" customHeight="1">
      <c r="C233" s="376">
        <v>570207</v>
      </c>
      <c r="D233" s="375" t="s">
        <v>1528</v>
      </c>
    </row>
    <row r="234" spans="3:4" ht="15" customHeight="1">
      <c r="C234" s="376">
        <v>570211</v>
      </c>
      <c r="D234" s="375" t="s">
        <v>1529</v>
      </c>
    </row>
    <row r="235" spans="3:4" ht="15" customHeight="1">
      <c r="C235" s="376">
        <v>570215</v>
      </c>
      <c r="D235" s="375" t="s">
        <v>1530</v>
      </c>
    </row>
    <row r="236" spans="3:4" ht="15" customHeight="1">
      <c r="C236" s="376">
        <v>570216</v>
      </c>
      <c r="D236" s="375" t="s">
        <v>1531</v>
      </c>
    </row>
    <row r="237" spans="3:4" ht="15" customHeight="1">
      <c r="C237" s="376">
        <v>570217</v>
      </c>
      <c r="D237" s="375" t="s">
        <v>1532</v>
      </c>
    </row>
    <row r="238" spans="3:4" ht="15" customHeight="1">
      <c r="C238" s="376">
        <v>570218</v>
      </c>
      <c r="D238" s="375" t="s">
        <v>1533</v>
      </c>
    </row>
    <row r="239" spans="3:4" ht="15" customHeight="1">
      <c r="C239" s="376">
        <v>570219</v>
      </c>
      <c r="D239" s="375" t="s">
        <v>1534</v>
      </c>
    </row>
    <row r="240" spans="3:4" ht="15" customHeight="1">
      <c r="C240" s="376">
        <v>573</v>
      </c>
      <c r="D240" s="375" t="s">
        <v>1535</v>
      </c>
    </row>
    <row r="241" spans="3:4" ht="15" customHeight="1">
      <c r="C241" s="376">
        <v>570301</v>
      </c>
      <c r="D241" s="375" t="s">
        <v>1535</v>
      </c>
    </row>
    <row r="242" spans="3:4" ht="15" customHeight="1">
      <c r="C242" s="376">
        <v>58</v>
      </c>
      <c r="D242" s="375" t="s">
        <v>1536</v>
      </c>
    </row>
    <row r="243" spans="3:4" ht="15" customHeight="1">
      <c r="C243" s="376">
        <v>581</v>
      </c>
      <c r="D243" s="375" t="s">
        <v>1537</v>
      </c>
    </row>
    <row r="244" spans="3:4" ht="15" customHeight="1">
      <c r="C244" s="376">
        <v>580101</v>
      </c>
      <c r="D244" s="375" t="s">
        <v>1538</v>
      </c>
    </row>
    <row r="245" spans="3:4" ht="15" customHeight="1">
      <c r="C245" s="376">
        <v>580102</v>
      </c>
      <c r="D245" s="375" t="s">
        <v>1539</v>
      </c>
    </row>
    <row r="246" spans="3:4" ht="15" customHeight="1">
      <c r="C246" s="376">
        <v>580103</v>
      </c>
      <c r="D246" s="375" t="s">
        <v>1540</v>
      </c>
    </row>
    <row r="247" spans="3:4" ht="15" customHeight="1">
      <c r="C247" s="376">
        <v>580104</v>
      </c>
      <c r="D247" s="375" t="s">
        <v>1541</v>
      </c>
    </row>
    <row r="248" spans="3:4" ht="15" customHeight="1">
      <c r="C248" s="376">
        <v>580106</v>
      </c>
      <c r="D248" s="375" t="s">
        <v>1542</v>
      </c>
    </row>
    <row r="249" spans="3:4" ht="15" customHeight="1">
      <c r="C249" s="376">
        <v>580108</v>
      </c>
      <c r="D249" s="375" t="s">
        <v>1543</v>
      </c>
    </row>
    <row r="250" spans="3:4" ht="15" customHeight="1">
      <c r="C250" s="376">
        <v>580112</v>
      </c>
      <c r="D250" s="375" t="s">
        <v>1544</v>
      </c>
    </row>
    <row r="251" spans="3:4" ht="15" customHeight="1">
      <c r="C251" s="376">
        <v>582</v>
      </c>
      <c r="D251" s="375" t="s">
        <v>1545</v>
      </c>
    </row>
    <row r="252" spans="3:4" ht="15" customHeight="1">
      <c r="C252" s="376">
        <v>580203</v>
      </c>
      <c r="D252" s="375" t="s">
        <v>1546</v>
      </c>
    </row>
    <row r="253" spans="3:4" ht="15" customHeight="1">
      <c r="C253" s="376">
        <v>580204</v>
      </c>
      <c r="D253" s="375" t="s">
        <v>1547</v>
      </c>
    </row>
    <row r="254" spans="3:4" ht="15" customHeight="1">
      <c r="C254" s="376">
        <v>580205</v>
      </c>
      <c r="D254" s="375" t="s">
        <v>1548</v>
      </c>
    </row>
    <row r="255" spans="3:4" ht="15" customHeight="1">
      <c r="C255" s="376">
        <v>580208</v>
      </c>
      <c r="D255" s="375" t="s">
        <v>1549</v>
      </c>
    </row>
    <row r="256" spans="3:4" ht="15" customHeight="1">
      <c r="C256" s="376">
        <v>580209</v>
      </c>
      <c r="D256" s="375" t="s">
        <v>1550</v>
      </c>
    </row>
    <row r="257" spans="3:4" ht="15" customHeight="1">
      <c r="C257" s="376">
        <v>580211</v>
      </c>
      <c r="D257" s="375" t="s">
        <v>1551</v>
      </c>
    </row>
    <row r="258" spans="3:4" ht="15" customHeight="1">
      <c r="C258" s="376">
        <v>583</v>
      </c>
      <c r="D258" s="375" t="s">
        <v>1552</v>
      </c>
    </row>
    <row r="259" spans="3:4" ht="15" customHeight="1">
      <c r="C259" s="376">
        <v>580301</v>
      </c>
      <c r="D259" s="375" t="s">
        <v>1553</v>
      </c>
    </row>
    <row r="260" spans="3:4" ht="15" customHeight="1">
      <c r="C260" s="376">
        <v>580302</v>
      </c>
      <c r="D260" s="375" t="s">
        <v>1554</v>
      </c>
    </row>
    <row r="261" spans="3:4" ht="15" customHeight="1">
      <c r="C261" s="376">
        <v>580304</v>
      </c>
      <c r="D261" s="375" t="s">
        <v>1547</v>
      </c>
    </row>
    <row r="262" spans="3:4" ht="15" customHeight="1">
      <c r="C262" s="376">
        <v>584</v>
      </c>
      <c r="D262" s="375" t="s">
        <v>1555</v>
      </c>
    </row>
    <row r="263" spans="3:4" ht="15" customHeight="1">
      <c r="C263" s="376">
        <v>580406</v>
      </c>
      <c r="D263" s="375" t="s">
        <v>1556</v>
      </c>
    </row>
    <row r="264" spans="3:4" ht="15" customHeight="1">
      <c r="C264" s="376">
        <v>580407</v>
      </c>
      <c r="D264" s="375" t="s">
        <v>1557</v>
      </c>
    </row>
    <row r="265" spans="3:4" ht="15" customHeight="1">
      <c r="C265" s="376">
        <v>580408</v>
      </c>
      <c r="D265" s="375" t="s">
        <v>1558</v>
      </c>
    </row>
    <row r="266" spans="3:4" ht="15" customHeight="1">
      <c r="C266" s="376">
        <v>580415</v>
      </c>
      <c r="D266" s="375" t="s">
        <v>1559</v>
      </c>
    </row>
    <row r="267" spans="3:4" ht="15" customHeight="1">
      <c r="C267" s="376">
        <v>585</v>
      </c>
      <c r="D267" s="375" t="s">
        <v>1344</v>
      </c>
    </row>
    <row r="268" spans="3:4" ht="15" customHeight="1">
      <c r="C268" s="376">
        <v>580501</v>
      </c>
      <c r="D268" s="375" t="s">
        <v>1560</v>
      </c>
    </row>
    <row r="269" spans="3:4" ht="15" customHeight="1">
      <c r="C269" s="376">
        <v>580502</v>
      </c>
      <c r="D269" s="375" t="s">
        <v>1561</v>
      </c>
    </row>
    <row r="270" spans="3:4" ht="15" customHeight="1">
      <c r="C270" s="376">
        <v>580504</v>
      </c>
      <c r="D270" s="375" t="s">
        <v>1562</v>
      </c>
    </row>
    <row r="271" spans="3:4" ht="15" customHeight="1">
      <c r="C271" s="376">
        <v>580505</v>
      </c>
      <c r="D271" s="375" t="s">
        <v>1563</v>
      </c>
    </row>
    <row r="272" spans="3:4" ht="15" customHeight="1">
      <c r="C272" s="376">
        <v>580506</v>
      </c>
      <c r="D272" s="375" t="s">
        <v>1564</v>
      </c>
    </row>
    <row r="273" spans="3:4" ht="15" customHeight="1">
      <c r="C273" s="376">
        <v>580507</v>
      </c>
      <c r="D273" s="375" t="s">
        <v>1565</v>
      </c>
    </row>
    <row r="274" spans="3:4" ht="15" customHeight="1">
      <c r="C274" s="376">
        <v>580508</v>
      </c>
      <c r="D274" s="375" t="s">
        <v>1566</v>
      </c>
    </row>
    <row r="275" spans="3:4" ht="15" customHeight="1">
      <c r="C275" s="376">
        <v>580509</v>
      </c>
      <c r="D275" s="375" t="s">
        <v>1567</v>
      </c>
    </row>
    <row r="276" spans="3:4" ht="15" customHeight="1">
      <c r="C276" s="376">
        <v>580510</v>
      </c>
      <c r="D276" s="375" t="s">
        <v>1568</v>
      </c>
    </row>
    <row r="277" spans="3:4" ht="15" customHeight="1">
      <c r="C277" s="376">
        <v>580511</v>
      </c>
      <c r="D277" s="375" t="s">
        <v>1569</v>
      </c>
    </row>
    <row r="278" spans="3:4" ht="15" customHeight="1">
      <c r="C278" s="376">
        <v>580512</v>
      </c>
      <c r="D278" s="375" t="s">
        <v>1570</v>
      </c>
    </row>
    <row r="279" spans="3:4" ht="15" customHeight="1">
      <c r="C279" s="376">
        <v>580513</v>
      </c>
      <c r="D279" s="375" t="s">
        <v>1571</v>
      </c>
    </row>
    <row r="280" spans="3:4" ht="15" customHeight="1">
      <c r="C280" s="376">
        <v>580514</v>
      </c>
      <c r="D280" s="375" t="s">
        <v>1572</v>
      </c>
    </row>
    <row r="281" spans="3:4" ht="15" customHeight="1">
      <c r="C281" s="376">
        <v>580515</v>
      </c>
      <c r="D281" s="375" t="s">
        <v>1573</v>
      </c>
    </row>
    <row r="282" spans="3:4" ht="15" customHeight="1">
      <c r="C282" s="376">
        <v>580516</v>
      </c>
      <c r="D282" s="375" t="s">
        <v>1574</v>
      </c>
    </row>
    <row r="283" spans="3:4" ht="15" customHeight="1">
      <c r="C283" s="376">
        <v>580517</v>
      </c>
      <c r="D283" s="375" t="s">
        <v>1575</v>
      </c>
    </row>
    <row r="284" spans="3:4" ht="15" customHeight="1">
      <c r="C284" s="376">
        <v>580518</v>
      </c>
      <c r="D284" s="375" t="s">
        <v>1576</v>
      </c>
    </row>
    <row r="285" spans="3:4" ht="15" customHeight="1">
      <c r="C285" s="376">
        <v>580519</v>
      </c>
      <c r="D285" s="375" t="s">
        <v>1577</v>
      </c>
    </row>
    <row r="286" spans="3:4" ht="15" customHeight="1">
      <c r="C286" s="376">
        <v>580520</v>
      </c>
      <c r="D286" s="375" t="s">
        <v>1578</v>
      </c>
    </row>
    <row r="287" spans="3:4" ht="15" customHeight="1">
      <c r="C287" s="376">
        <v>586</v>
      </c>
      <c r="D287" s="375" t="s">
        <v>1579</v>
      </c>
    </row>
    <row r="288" spans="3:4" ht="15" customHeight="1">
      <c r="C288" s="376">
        <v>580635</v>
      </c>
      <c r="D288" s="375" t="s">
        <v>1580</v>
      </c>
    </row>
    <row r="289" spans="3:4" ht="15" customHeight="1">
      <c r="C289" s="376">
        <v>580636</v>
      </c>
      <c r="D289" s="375" t="s">
        <v>1581</v>
      </c>
    </row>
    <row r="290" spans="3:4" ht="15" customHeight="1">
      <c r="C290" s="376">
        <v>580637</v>
      </c>
      <c r="D290" s="375" t="s">
        <v>1582</v>
      </c>
    </row>
    <row r="291" spans="3:4" ht="15" customHeight="1">
      <c r="C291" s="376">
        <v>580642</v>
      </c>
      <c r="D291" s="375" t="s">
        <v>1583</v>
      </c>
    </row>
    <row r="292" spans="3:4" ht="15" customHeight="1">
      <c r="C292" s="376">
        <v>580643</v>
      </c>
      <c r="D292" s="375" t="s">
        <v>1584</v>
      </c>
    </row>
    <row r="293" spans="3:4" ht="15" customHeight="1">
      <c r="C293" s="376">
        <v>580654</v>
      </c>
      <c r="D293" s="375" t="s">
        <v>1585</v>
      </c>
    </row>
    <row r="294" spans="3:4" ht="15" customHeight="1">
      <c r="C294" s="376">
        <v>5810</v>
      </c>
      <c r="D294" s="375" t="s">
        <v>1586</v>
      </c>
    </row>
    <row r="295" spans="3:4" ht="15" customHeight="1">
      <c r="C295" s="376">
        <v>581001</v>
      </c>
      <c r="D295" s="375" t="s">
        <v>1587</v>
      </c>
    </row>
    <row r="296" spans="3:4" ht="15" customHeight="1">
      <c r="C296" s="376">
        <v>581002</v>
      </c>
      <c r="D296" s="375" t="s">
        <v>1588</v>
      </c>
    </row>
    <row r="297" spans="3:4" ht="15" customHeight="1">
      <c r="C297" s="376">
        <v>581003</v>
      </c>
      <c r="D297" s="375" t="s">
        <v>1589</v>
      </c>
    </row>
    <row r="298" spans="3:4" ht="15" customHeight="1">
      <c r="C298" s="376">
        <v>581004</v>
      </c>
      <c r="D298" s="375" t="s">
        <v>1590</v>
      </c>
    </row>
    <row r="299" spans="3:4" ht="15" customHeight="1">
      <c r="C299" s="376">
        <v>581005</v>
      </c>
      <c r="D299" s="375" t="s">
        <v>1591</v>
      </c>
    </row>
    <row r="300" spans="3:4" ht="15" customHeight="1">
      <c r="C300" s="376">
        <v>581006</v>
      </c>
      <c r="D300" s="375" t="s">
        <v>1592</v>
      </c>
    </row>
    <row r="301" spans="3:4" ht="15" customHeight="1">
      <c r="C301" s="376">
        <v>581011</v>
      </c>
      <c r="D301" s="375" t="s">
        <v>1593</v>
      </c>
    </row>
    <row r="302" spans="3:4" ht="15" customHeight="1">
      <c r="C302" s="376">
        <v>581012</v>
      </c>
      <c r="D302" s="375" t="s">
        <v>1594</v>
      </c>
    </row>
    <row r="303" spans="3:4" ht="15" customHeight="1">
      <c r="C303" s="376">
        <v>581016</v>
      </c>
      <c r="D303" s="375" t="s">
        <v>1595</v>
      </c>
    </row>
    <row r="304" spans="3:4" ht="15" customHeight="1">
      <c r="C304" s="376">
        <v>581017</v>
      </c>
      <c r="D304" s="375" t="s">
        <v>1596</v>
      </c>
    </row>
    <row r="305" spans="3:4" ht="15" customHeight="1">
      <c r="C305" s="376">
        <v>581018</v>
      </c>
      <c r="D305" s="375" t="s">
        <v>1597</v>
      </c>
    </row>
    <row r="306" spans="3:4" ht="15" customHeight="1">
      <c r="C306" s="376">
        <v>581019</v>
      </c>
      <c r="D306" s="375" t="s">
        <v>1598</v>
      </c>
    </row>
    <row r="307" spans="3:4" ht="15" customHeight="1">
      <c r="C307" s="376">
        <v>581020</v>
      </c>
      <c r="D307" s="375" t="s">
        <v>1599</v>
      </c>
    </row>
    <row r="308" spans="3:4" ht="15" customHeight="1">
      <c r="C308" s="376">
        <v>581021</v>
      </c>
      <c r="D308" s="375" t="s">
        <v>1600</v>
      </c>
    </row>
    <row r="309" spans="3:4" ht="15" customHeight="1">
      <c r="C309" s="376">
        <v>581022</v>
      </c>
      <c r="D309" s="375" t="s">
        <v>1601</v>
      </c>
    </row>
    <row r="310" spans="3:4" ht="15" customHeight="1">
      <c r="C310" s="376">
        <v>581023</v>
      </c>
      <c r="D310" s="375" t="s">
        <v>1602</v>
      </c>
    </row>
    <row r="311" spans="3:4" ht="15" customHeight="1">
      <c r="C311" s="376">
        <v>5811</v>
      </c>
      <c r="D311" s="375" t="s">
        <v>1603</v>
      </c>
    </row>
    <row r="312" spans="3:4" ht="15" customHeight="1">
      <c r="C312" s="376">
        <v>581101</v>
      </c>
      <c r="D312" s="375" t="s">
        <v>1604</v>
      </c>
    </row>
    <row r="313" spans="3:4" ht="15" customHeight="1">
      <c r="C313" s="376">
        <v>5812</v>
      </c>
      <c r="D313" s="375" t="s">
        <v>1605</v>
      </c>
    </row>
    <row r="314" spans="3:4" ht="15" customHeight="1">
      <c r="C314" s="376">
        <v>581201</v>
      </c>
      <c r="D314" s="375" t="s">
        <v>1606</v>
      </c>
    </row>
    <row r="315" spans="3:4" ht="15" customHeight="1">
      <c r="C315" s="376">
        <v>581202</v>
      </c>
      <c r="D315" s="375" t="s">
        <v>1607</v>
      </c>
    </row>
    <row r="316" spans="3:4" ht="15" customHeight="1">
      <c r="C316" s="376">
        <v>5899</v>
      </c>
      <c r="D316" s="375" t="s">
        <v>1608</v>
      </c>
    </row>
    <row r="317" spans="3:4" ht="15" customHeight="1">
      <c r="C317" s="376">
        <v>589901</v>
      </c>
      <c r="D317" s="375" t="s">
        <v>1609</v>
      </c>
    </row>
    <row r="318" spans="3:4" ht="15" customHeight="1">
      <c r="C318" s="374">
        <v>7</v>
      </c>
      <c r="D318" s="374" t="s">
        <v>1610</v>
      </c>
    </row>
    <row r="319" spans="3:4" ht="15" customHeight="1">
      <c r="C319" s="374">
        <v>71</v>
      </c>
      <c r="D319" s="374" t="s">
        <v>1611</v>
      </c>
    </row>
    <row r="320" spans="3:4" ht="15" customHeight="1">
      <c r="C320" s="374">
        <v>711</v>
      </c>
      <c r="D320" s="374" t="s">
        <v>1328</v>
      </c>
    </row>
    <row r="321" spans="3:4" ht="15" customHeight="1">
      <c r="C321" s="376">
        <v>710105</v>
      </c>
      <c r="D321" s="375" t="s">
        <v>351</v>
      </c>
    </row>
    <row r="322" spans="3:4" ht="15" customHeight="1">
      <c r="C322" s="374">
        <v>710106</v>
      </c>
      <c r="D322" s="374" t="s">
        <v>353</v>
      </c>
    </row>
    <row r="323" spans="3:4" ht="15" customHeight="1">
      <c r="C323" s="374">
        <v>712</v>
      </c>
      <c r="D323" s="374" t="s">
        <v>1333</v>
      </c>
    </row>
    <row r="324" spans="3:4" ht="15" customHeight="1">
      <c r="C324" s="374">
        <v>710203</v>
      </c>
      <c r="D324" s="374" t="s">
        <v>354</v>
      </c>
    </row>
    <row r="325" spans="3:4" ht="15" customHeight="1">
      <c r="C325" s="374">
        <v>710204</v>
      </c>
      <c r="D325" s="374" t="s">
        <v>355</v>
      </c>
    </row>
    <row r="326" spans="3:4" ht="15" customHeight="1">
      <c r="C326" s="374">
        <v>710236</v>
      </c>
      <c r="D326" s="374" t="s">
        <v>1336</v>
      </c>
    </row>
    <row r="327" spans="3:4" ht="15" customHeight="1">
      <c r="C327" s="374">
        <v>713</v>
      </c>
      <c r="D327" s="374" t="s">
        <v>1337</v>
      </c>
    </row>
    <row r="328" spans="3:4" ht="15" customHeight="1">
      <c r="C328" s="374">
        <v>710302</v>
      </c>
      <c r="D328" s="374" t="s">
        <v>1339</v>
      </c>
    </row>
    <row r="329" spans="3:4" ht="15" customHeight="1">
      <c r="C329" s="374">
        <v>710304</v>
      </c>
      <c r="D329" s="374" t="s">
        <v>357</v>
      </c>
    </row>
    <row r="330" spans="3:4" ht="15" customHeight="1">
      <c r="C330" s="374">
        <v>710306</v>
      </c>
      <c r="D330" s="374" t="s">
        <v>359</v>
      </c>
    </row>
    <row r="331" spans="3:4" ht="15" customHeight="1">
      <c r="C331" s="374">
        <v>714</v>
      </c>
      <c r="D331" s="374" t="s">
        <v>1344</v>
      </c>
    </row>
    <row r="332" spans="3:4" ht="15" customHeight="1">
      <c r="C332" s="374">
        <v>710401</v>
      </c>
      <c r="D332" s="374" t="s">
        <v>433</v>
      </c>
    </row>
    <row r="333" spans="3:4" ht="15" customHeight="1">
      <c r="C333" s="374">
        <v>710408</v>
      </c>
      <c r="D333" s="374" t="s">
        <v>1612</v>
      </c>
    </row>
    <row r="334" spans="3:4" ht="15" customHeight="1">
      <c r="C334" s="376">
        <v>715</v>
      </c>
      <c r="D334" s="375" t="s">
        <v>1346</v>
      </c>
    </row>
    <row r="335" spans="3:4" ht="15" customHeight="1">
      <c r="C335" s="376">
        <v>710502</v>
      </c>
      <c r="D335" s="375" t="s">
        <v>1613</v>
      </c>
    </row>
    <row r="336" spans="3:4" ht="15" customHeight="1">
      <c r="C336" s="376">
        <v>710507</v>
      </c>
      <c r="D336" s="375" t="s">
        <v>1349</v>
      </c>
    </row>
    <row r="337" spans="3:4" ht="15" customHeight="1">
      <c r="C337" s="376">
        <v>710509</v>
      </c>
      <c r="D337" s="375" t="s">
        <v>1350</v>
      </c>
    </row>
    <row r="338" spans="3:4" ht="15" customHeight="1">
      <c r="C338" s="376">
        <v>710510</v>
      </c>
      <c r="D338" s="375" t="s">
        <v>363</v>
      </c>
    </row>
    <row r="339" spans="3:4" ht="15" customHeight="1">
      <c r="C339" s="376">
        <v>710512</v>
      </c>
      <c r="D339" s="375" t="s">
        <v>252</v>
      </c>
    </row>
    <row r="340" spans="3:4" ht="15" customHeight="1">
      <c r="C340" s="376">
        <v>710513</v>
      </c>
      <c r="D340" s="375" t="s">
        <v>707</v>
      </c>
    </row>
    <row r="341" spans="3:4" ht="15" customHeight="1">
      <c r="C341" s="376">
        <v>710515</v>
      </c>
      <c r="D341" s="375" t="s">
        <v>1352</v>
      </c>
    </row>
    <row r="342" spans="3:4" ht="15" customHeight="1">
      <c r="C342" s="376">
        <v>710516</v>
      </c>
      <c r="D342" s="375" t="s">
        <v>1353</v>
      </c>
    </row>
    <row r="343" spans="3:4" ht="15" customHeight="1">
      <c r="C343" s="376">
        <v>710517</v>
      </c>
      <c r="D343" s="375" t="s">
        <v>1354</v>
      </c>
    </row>
    <row r="344" spans="3:4" ht="15" customHeight="1">
      <c r="C344" s="376">
        <v>710518</v>
      </c>
      <c r="D344" s="375" t="s">
        <v>1355</v>
      </c>
    </row>
    <row r="345" spans="3:4" ht="15" customHeight="1">
      <c r="C345" s="374">
        <v>716</v>
      </c>
      <c r="D345" s="374" t="s">
        <v>1356</v>
      </c>
    </row>
    <row r="346" spans="3:4" ht="15" customHeight="1">
      <c r="C346" s="374">
        <v>710601</v>
      </c>
      <c r="D346" s="374" t="s">
        <v>364</v>
      </c>
    </row>
    <row r="347" spans="3:4" ht="15" customHeight="1">
      <c r="C347" s="374">
        <v>710602</v>
      </c>
      <c r="D347" s="374" t="s">
        <v>365</v>
      </c>
    </row>
    <row r="348" spans="3:4" ht="15" customHeight="1">
      <c r="C348" s="374">
        <v>717</v>
      </c>
      <c r="D348" s="374" t="s">
        <v>1358</v>
      </c>
    </row>
    <row r="349" spans="3:4" ht="15" customHeight="1">
      <c r="C349" s="374">
        <v>710702</v>
      </c>
      <c r="D349" s="374" t="s">
        <v>1359</v>
      </c>
    </row>
    <row r="350" spans="3:4" ht="15" customHeight="1">
      <c r="C350" s="374">
        <v>710703</v>
      </c>
      <c r="D350" s="374" t="s">
        <v>1360</v>
      </c>
    </row>
    <row r="351" spans="3:4" ht="15" customHeight="1">
      <c r="C351" s="374">
        <v>710704</v>
      </c>
      <c r="D351" s="374" t="s">
        <v>1361</v>
      </c>
    </row>
    <row r="352" spans="3:4" ht="15" customHeight="1">
      <c r="C352" s="374">
        <v>710706</v>
      </c>
      <c r="D352" s="374" t="s">
        <v>1363</v>
      </c>
    </row>
    <row r="353" spans="3:4" ht="15" customHeight="1">
      <c r="C353" s="374">
        <v>710707</v>
      </c>
      <c r="D353" s="374" t="s">
        <v>435</v>
      </c>
    </row>
    <row r="354" spans="3:4" ht="15" customHeight="1">
      <c r="C354" s="374">
        <v>710708</v>
      </c>
      <c r="D354" s="374" t="s">
        <v>1364</v>
      </c>
    </row>
    <row r="355" spans="3:4" ht="15" customHeight="1">
      <c r="C355" s="374">
        <v>710709</v>
      </c>
      <c r="D355" s="374" t="s">
        <v>1365</v>
      </c>
    </row>
    <row r="356" spans="3:4" ht="15" customHeight="1">
      <c r="C356" s="374">
        <v>710710</v>
      </c>
      <c r="D356" s="374" t="s">
        <v>1366</v>
      </c>
    </row>
    <row r="357" spans="3:4" ht="15" customHeight="1">
      <c r="C357" s="374">
        <v>710711</v>
      </c>
      <c r="D357" s="374" t="s">
        <v>1367</v>
      </c>
    </row>
    <row r="358" spans="3:4" ht="15" customHeight="1">
      <c r="C358" s="374">
        <v>73</v>
      </c>
      <c r="D358" s="374" t="s">
        <v>1614</v>
      </c>
    </row>
    <row r="359" spans="3:4" ht="15" customHeight="1">
      <c r="C359" s="374">
        <v>731</v>
      </c>
      <c r="D359" s="374" t="s">
        <v>1370</v>
      </c>
    </row>
    <row r="360" spans="3:4" ht="15" customHeight="1">
      <c r="C360" s="374">
        <v>730101</v>
      </c>
      <c r="D360" s="374" t="s">
        <v>417</v>
      </c>
    </row>
    <row r="361" spans="3:4" ht="15" customHeight="1">
      <c r="C361" s="374">
        <v>730102</v>
      </c>
      <c r="D361" s="374" t="s">
        <v>1371</v>
      </c>
    </row>
    <row r="362" spans="3:4" ht="15" customHeight="1">
      <c r="C362" s="374">
        <v>730104</v>
      </c>
      <c r="D362" s="374" t="s">
        <v>418</v>
      </c>
    </row>
    <row r="363" spans="3:4" ht="15" customHeight="1">
      <c r="C363" s="376">
        <v>730105</v>
      </c>
      <c r="D363" s="375" t="s">
        <v>1372</v>
      </c>
    </row>
    <row r="364" spans="3:4" ht="15" customHeight="1">
      <c r="C364" s="374">
        <v>730106</v>
      </c>
      <c r="D364" s="374" t="s">
        <v>216</v>
      </c>
    </row>
    <row r="365" spans="3:4" ht="15" customHeight="1">
      <c r="C365" s="374">
        <v>732</v>
      </c>
      <c r="D365" s="374" t="s">
        <v>1373</v>
      </c>
    </row>
    <row r="366" spans="3:4" ht="15" customHeight="1">
      <c r="C366" s="374">
        <v>730201</v>
      </c>
      <c r="D366" s="374" t="s">
        <v>217</v>
      </c>
    </row>
    <row r="367" spans="3:4" ht="15" customHeight="1">
      <c r="C367" s="374">
        <v>730202</v>
      </c>
      <c r="D367" s="374" t="s">
        <v>1374</v>
      </c>
    </row>
    <row r="368" spans="3:4" ht="15" customHeight="1">
      <c r="C368" s="374">
        <v>730203</v>
      </c>
      <c r="D368" s="374" t="s">
        <v>424</v>
      </c>
    </row>
    <row r="369" spans="3:4" ht="15" customHeight="1">
      <c r="C369" s="374">
        <v>730204</v>
      </c>
      <c r="D369" s="374" t="s">
        <v>1615</v>
      </c>
    </row>
    <row r="370" spans="3:4" ht="15" customHeight="1">
      <c r="C370" s="376">
        <v>730205</v>
      </c>
      <c r="D370" s="375" t="s">
        <v>1376</v>
      </c>
    </row>
    <row r="371" spans="3:4" ht="15" customHeight="1">
      <c r="C371" s="374">
        <v>730207</v>
      </c>
      <c r="D371" s="374" t="s">
        <v>1377</v>
      </c>
    </row>
    <row r="372" spans="3:4" ht="15" customHeight="1">
      <c r="C372" s="374">
        <v>730208</v>
      </c>
      <c r="D372" s="374" t="s">
        <v>419</v>
      </c>
    </row>
    <row r="373" spans="3:4" ht="15" customHeight="1">
      <c r="C373" s="374">
        <v>730209</v>
      </c>
      <c r="D373" s="374" t="s">
        <v>1378</v>
      </c>
    </row>
    <row r="374" spans="3:4" ht="15" customHeight="1">
      <c r="C374" s="374">
        <v>730210</v>
      </c>
      <c r="D374" s="374" t="s">
        <v>1379</v>
      </c>
    </row>
    <row r="375" spans="3:4" ht="15" customHeight="1">
      <c r="C375" s="374">
        <v>730216</v>
      </c>
      <c r="D375" s="374" t="s">
        <v>1381</v>
      </c>
    </row>
    <row r="376" spans="3:4" ht="15" customHeight="1">
      <c r="C376" s="374">
        <v>730220</v>
      </c>
      <c r="D376" s="374" t="s">
        <v>1382</v>
      </c>
    </row>
    <row r="377" spans="3:4" ht="15" customHeight="1">
      <c r="C377" s="374">
        <v>730221</v>
      </c>
      <c r="D377" s="374" t="s">
        <v>1383</v>
      </c>
    </row>
    <row r="378" spans="3:4" ht="15" customHeight="1">
      <c r="C378" s="374">
        <v>730222</v>
      </c>
      <c r="D378" s="374" t="s">
        <v>1384</v>
      </c>
    </row>
    <row r="379" spans="3:4" ht="15" customHeight="1">
      <c r="C379" s="374">
        <v>730224</v>
      </c>
      <c r="D379" s="374" t="s">
        <v>1616</v>
      </c>
    </row>
    <row r="380" spans="3:4" ht="15" customHeight="1">
      <c r="C380" s="376">
        <v>730225</v>
      </c>
      <c r="D380" s="375" t="s">
        <v>1617</v>
      </c>
    </row>
    <row r="381" spans="3:4" ht="15" customHeight="1">
      <c r="C381" s="374">
        <v>730226</v>
      </c>
      <c r="D381" s="374" t="s">
        <v>1387</v>
      </c>
    </row>
    <row r="382" spans="3:4" ht="15" customHeight="1">
      <c r="C382" s="374">
        <v>730228</v>
      </c>
      <c r="D382" s="374" t="s">
        <v>1389</v>
      </c>
    </row>
    <row r="383" spans="3:4" ht="15" customHeight="1">
      <c r="C383" s="374">
        <v>730230</v>
      </c>
      <c r="D383" s="374" t="s">
        <v>1391</v>
      </c>
    </row>
    <row r="384" spans="3:4" ht="15" customHeight="1">
      <c r="C384" s="374">
        <v>730232</v>
      </c>
      <c r="D384" s="374" t="s">
        <v>1393</v>
      </c>
    </row>
    <row r="385" spans="3:4" ht="15" customHeight="1">
      <c r="C385" s="374">
        <v>730233</v>
      </c>
      <c r="D385" s="374" t="s">
        <v>1394</v>
      </c>
    </row>
    <row r="386" spans="3:4" ht="15" customHeight="1">
      <c r="C386" s="376">
        <v>730235</v>
      </c>
      <c r="D386" s="375" t="s">
        <v>1396</v>
      </c>
    </row>
    <row r="387" spans="3:4" ht="15" customHeight="1">
      <c r="C387" s="374">
        <v>730236</v>
      </c>
      <c r="D387" s="374" t="s">
        <v>1397</v>
      </c>
    </row>
    <row r="388" spans="3:4" ht="15" customHeight="1">
      <c r="C388" s="374">
        <v>730237</v>
      </c>
      <c r="D388" s="374" t="s">
        <v>1398</v>
      </c>
    </row>
    <row r="389" spans="3:4" ht="15" customHeight="1">
      <c r="C389" s="374">
        <v>730239</v>
      </c>
      <c r="D389" s="374" t="s">
        <v>1400</v>
      </c>
    </row>
    <row r="390" spans="3:4" ht="15" customHeight="1">
      <c r="C390" s="374">
        <v>730241</v>
      </c>
      <c r="D390" s="374" t="s">
        <v>1402</v>
      </c>
    </row>
    <row r="391" spans="3:4" ht="15" customHeight="1">
      <c r="C391" s="374">
        <v>730242</v>
      </c>
      <c r="D391" s="374" t="s">
        <v>1403</v>
      </c>
    </row>
    <row r="392" spans="3:4" ht="15" customHeight="1">
      <c r="C392" s="374">
        <v>730243</v>
      </c>
      <c r="D392" s="374" t="s">
        <v>1404</v>
      </c>
    </row>
    <row r="393" spans="3:4" ht="15" customHeight="1">
      <c r="C393" s="376">
        <v>730245</v>
      </c>
      <c r="D393" s="375" t="s">
        <v>1406</v>
      </c>
    </row>
    <row r="394" spans="3:4" ht="15" customHeight="1">
      <c r="C394" s="374">
        <v>730248</v>
      </c>
      <c r="D394" s="374" t="s">
        <v>1409</v>
      </c>
    </row>
    <row r="395" spans="3:4" ht="15" customHeight="1">
      <c r="C395" s="374">
        <v>730249</v>
      </c>
      <c r="D395" s="374" t="s">
        <v>1410</v>
      </c>
    </row>
    <row r="396" spans="3:4" ht="15" customHeight="1">
      <c r="C396" s="376">
        <v>730253</v>
      </c>
      <c r="D396" s="375" t="s">
        <v>1414</v>
      </c>
    </row>
    <row r="397" spans="3:4" ht="15" customHeight="1">
      <c r="C397" s="376">
        <v>730255</v>
      </c>
      <c r="D397" s="375" t="s">
        <v>423</v>
      </c>
    </row>
    <row r="398" spans="3:4" ht="15" customHeight="1">
      <c r="C398" s="374">
        <v>733</v>
      </c>
      <c r="D398" s="374" t="s">
        <v>1416</v>
      </c>
    </row>
    <row r="399" spans="3:4" ht="15" customHeight="1">
      <c r="C399" s="374">
        <v>730301</v>
      </c>
      <c r="D399" s="374" t="s">
        <v>599</v>
      </c>
    </row>
    <row r="400" spans="3:4" ht="15" customHeight="1">
      <c r="C400" s="374">
        <v>730302</v>
      </c>
      <c r="D400" s="374" t="s">
        <v>1417</v>
      </c>
    </row>
    <row r="401" spans="3:4" ht="15" customHeight="1">
      <c r="C401" s="374">
        <v>730303</v>
      </c>
      <c r="D401" s="374" t="s">
        <v>598</v>
      </c>
    </row>
    <row r="402" spans="3:4" ht="15" customHeight="1">
      <c r="C402" s="374">
        <v>730304</v>
      </c>
      <c r="D402" s="374" t="s">
        <v>1418</v>
      </c>
    </row>
    <row r="403" spans="3:4" ht="15" customHeight="1">
      <c r="C403" s="374">
        <v>730306</v>
      </c>
      <c r="D403" s="374" t="s">
        <v>1420</v>
      </c>
    </row>
    <row r="404" spans="3:4" ht="15" customHeight="1">
      <c r="C404" s="374">
        <v>730307</v>
      </c>
      <c r="D404" s="374" t="s">
        <v>1618</v>
      </c>
    </row>
    <row r="405" spans="3:4" ht="15" customHeight="1">
      <c r="C405" s="374">
        <v>730308</v>
      </c>
      <c r="D405" s="374" t="s">
        <v>1422</v>
      </c>
    </row>
    <row r="406" spans="3:4" ht="15" customHeight="1">
      <c r="C406" s="374">
        <v>734</v>
      </c>
      <c r="D406" s="374" t="s">
        <v>1619</v>
      </c>
    </row>
    <row r="407" spans="3:4" ht="15" customHeight="1">
      <c r="C407" s="374">
        <v>730401</v>
      </c>
      <c r="D407" s="374" t="s">
        <v>1425</v>
      </c>
    </row>
    <row r="408" spans="3:4" ht="15" customHeight="1">
      <c r="C408" s="374">
        <v>730402</v>
      </c>
      <c r="D408" s="374" t="s">
        <v>1620</v>
      </c>
    </row>
    <row r="409" spans="3:4" ht="15" customHeight="1">
      <c r="C409" s="374">
        <v>730403</v>
      </c>
      <c r="D409" s="374" t="s">
        <v>1621</v>
      </c>
    </row>
    <row r="410" spans="3:4" ht="15" customHeight="1">
      <c r="C410" s="374">
        <v>730404</v>
      </c>
      <c r="D410" s="374" t="s">
        <v>427</v>
      </c>
    </row>
    <row r="411" spans="3:4" ht="15" customHeight="1">
      <c r="C411" s="376">
        <v>730405</v>
      </c>
      <c r="D411" s="375" t="s">
        <v>1427</v>
      </c>
    </row>
    <row r="412" spans="3:4" ht="15" customHeight="1">
      <c r="C412" s="374">
        <v>730406</v>
      </c>
      <c r="D412" s="374" t="s">
        <v>1428</v>
      </c>
    </row>
    <row r="413" spans="3:4" ht="15" customHeight="1">
      <c r="C413" s="376">
        <v>730415</v>
      </c>
      <c r="D413" s="375" t="s">
        <v>1432</v>
      </c>
    </row>
    <row r="414" spans="3:4" ht="15" customHeight="1">
      <c r="C414" s="374">
        <v>730417</v>
      </c>
      <c r="D414" s="374" t="s">
        <v>1433</v>
      </c>
    </row>
    <row r="415" spans="3:4" ht="15" customHeight="1">
      <c r="C415" s="374">
        <v>730418</v>
      </c>
      <c r="D415" s="374" t="s">
        <v>1434</v>
      </c>
    </row>
    <row r="416" spans="3:4" ht="15" customHeight="1">
      <c r="C416" s="374">
        <v>730419</v>
      </c>
      <c r="D416" s="374" t="s">
        <v>1622</v>
      </c>
    </row>
    <row r="417" spans="3:4" ht="15" customHeight="1">
      <c r="C417" s="376">
        <v>730425</v>
      </c>
      <c r="D417" s="375" t="s">
        <v>1436</v>
      </c>
    </row>
    <row r="418" spans="3:4" ht="15" customHeight="1">
      <c r="C418" s="374">
        <v>730426</v>
      </c>
      <c r="D418" s="374" t="s">
        <v>1437</v>
      </c>
    </row>
    <row r="419" spans="3:4" ht="15" customHeight="1">
      <c r="C419" s="376">
        <v>735</v>
      </c>
      <c r="D419" s="375" t="s">
        <v>1438</v>
      </c>
    </row>
    <row r="420" spans="3:4" ht="15" customHeight="1">
      <c r="C420" s="376">
        <v>730501</v>
      </c>
      <c r="D420" s="375" t="s">
        <v>1439</v>
      </c>
    </row>
    <row r="421" spans="3:4" ht="15" customHeight="1">
      <c r="C421" s="376">
        <v>730502</v>
      </c>
      <c r="D421" s="375" t="s">
        <v>1623</v>
      </c>
    </row>
    <row r="422" spans="3:4" ht="15" customHeight="1">
      <c r="C422" s="376">
        <v>730503</v>
      </c>
      <c r="D422" s="375" t="s">
        <v>1441</v>
      </c>
    </row>
    <row r="423" spans="3:4" ht="15" customHeight="1">
      <c r="C423" s="376">
        <v>730504</v>
      </c>
      <c r="D423" s="375" t="s">
        <v>1442</v>
      </c>
    </row>
    <row r="424" spans="3:4" ht="15" customHeight="1">
      <c r="C424" s="376">
        <v>730505</v>
      </c>
      <c r="D424" s="375" t="s">
        <v>1443</v>
      </c>
    </row>
    <row r="425" spans="3:4" ht="15" customHeight="1">
      <c r="C425" s="376">
        <v>730506</v>
      </c>
      <c r="D425" s="375" t="s">
        <v>1444</v>
      </c>
    </row>
    <row r="426" spans="3:4" ht="15" customHeight="1">
      <c r="C426" s="376">
        <v>730515</v>
      </c>
      <c r="D426" s="375" t="s">
        <v>1624</v>
      </c>
    </row>
    <row r="427" spans="3:4" ht="15" customHeight="1">
      <c r="C427" s="374">
        <v>736</v>
      </c>
      <c r="D427" s="374" t="s">
        <v>1447</v>
      </c>
    </row>
    <row r="428" spans="3:4" ht="15" customHeight="1">
      <c r="C428" s="374">
        <v>730601</v>
      </c>
      <c r="D428" s="374" t="s">
        <v>1448</v>
      </c>
    </row>
    <row r="429" spans="3:4" ht="15" customHeight="1">
      <c r="C429" s="374">
        <v>730602</v>
      </c>
      <c r="D429" s="374" t="s">
        <v>1449</v>
      </c>
    </row>
    <row r="430" spans="3:4" ht="15" customHeight="1">
      <c r="C430" s="374">
        <v>730604</v>
      </c>
      <c r="D430" s="374" t="s">
        <v>1450</v>
      </c>
    </row>
    <row r="431" spans="3:4" ht="15" customHeight="1">
      <c r="C431" s="376">
        <v>730605</v>
      </c>
      <c r="D431" s="375" t="s">
        <v>1451</v>
      </c>
    </row>
    <row r="432" spans="3:4" ht="15" customHeight="1">
      <c r="C432" s="374">
        <v>730606</v>
      </c>
      <c r="D432" s="374" t="s">
        <v>230</v>
      </c>
    </row>
    <row r="433" spans="3:4" ht="15" customHeight="1">
      <c r="C433" s="374">
        <v>730607</v>
      </c>
      <c r="D433" s="374" t="s">
        <v>1452</v>
      </c>
    </row>
    <row r="434" spans="3:4" ht="15" customHeight="1">
      <c r="C434" s="374">
        <v>730608</v>
      </c>
      <c r="D434" s="374" t="s">
        <v>1625</v>
      </c>
    </row>
    <row r="435" spans="3:4" ht="15" customHeight="1">
      <c r="C435" s="374">
        <v>730609</v>
      </c>
      <c r="D435" s="374" t="s">
        <v>1454</v>
      </c>
    </row>
    <row r="436" spans="3:4" ht="15" customHeight="1">
      <c r="C436" s="374">
        <v>730610</v>
      </c>
      <c r="D436" s="374" t="s">
        <v>1455</v>
      </c>
    </row>
    <row r="437" spans="3:4" ht="15" customHeight="1">
      <c r="C437" s="374">
        <v>730612</v>
      </c>
      <c r="D437" s="374" t="s">
        <v>1457</v>
      </c>
    </row>
    <row r="438" spans="3:4" ht="15" customHeight="1">
      <c r="C438" s="374">
        <v>730613</v>
      </c>
      <c r="D438" s="374" t="s">
        <v>1458</v>
      </c>
    </row>
    <row r="439" spans="3:4" ht="15" customHeight="1">
      <c r="C439" s="374">
        <v>737</v>
      </c>
      <c r="D439" s="374" t="s">
        <v>1459</v>
      </c>
    </row>
    <row r="440" spans="3:4" ht="15" customHeight="1">
      <c r="C440" s="374">
        <v>730701</v>
      </c>
      <c r="D440" s="374" t="s">
        <v>1460</v>
      </c>
    </row>
    <row r="441" spans="3:4" ht="15" customHeight="1">
      <c r="C441" s="374">
        <v>730702</v>
      </c>
      <c r="D441" s="374" t="s">
        <v>1461</v>
      </c>
    </row>
    <row r="442" spans="3:4" ht="15" customHeight="1">
      <c r="C442" s="374">
        <v>730703</v>
      </c>
      <c r="D442" s="374" t="s">
        <v>1462</v>
      </c>
    </row>
    <row r="443" spans="3:4" ht="15" customHeight="1">
      <c r="C443" s="374">
        <v>730704</v>
      </c>
      <c r="D443" s="374" t="s">
        <v>233</v>
      </c>
    </row>
    <row r="444" spans="3:4" ht="15" customHeight="1">
      <c r="C444" s="374">
        <v>738</v>
      </c>
      <c r="D444" s="374" t="s">
        <v>1626</v>
      </c>
    </row>
    <row r="445" spans="3:4" ht="15" customHeight="1">
      <c r="C445" s="374">
        <v>730801</v>
      </c>
      <c r="D445" s="374" t="s">
        <v>1464</v>
      </c>
    </row>
    <row r="446" spans="3:4" ht="15" customHeight="1">
      <c r="C446" s="374">
        <v>730802</v>
      </c>
      <c r="D446" s="374" t="s">
        <v>1465</v>
      </c>
    </row>
    <row r="447" spans="3:4" ht="15" customHeight="1">
      <c r="C447" s="374">
        <v>730803</v>
      </c>
      <c r="D447" s="374" t="s">
        <v>1466</v>
      </c>
    </row>
    <row r="448" spans="3:4" ht="15" customHeight="1">
      <c r="C448" s="374">
        <v>730804</v>
      </c>
      <c r="D448" s="374" t="s">
        <v>1467</v>
      </c>
    </row>
    <row r="449" spans="3:4" ht="15" customHeight="1">
      <c r="C449" s="376">
        <v>730805</v>
      </c>
      <c r="D449" s="375" t="s">
        <v>1468</v>
      </c>
    </row>
    <row r="450" spans="3:4" ht="15" customHeight="1">
      <c r="C450" s="374">
        <v>730807</v>
      </c>
      <c r="D450" s="374" t="s">
        <v>1469</v>
      </c>
    </row>
    <row r="451" spans="3:4" ht="15" customHeight="1">
      <c r="C451" s="374">
        <v>730808</v>
      </c>
      <c r="D451" s="374" t="s">
        <v>1470</v>
      </c>
    </row>
    <row r="452" spans="3:4" ht="15" customHeight="1">
      <c r="C452" s="374">
        <v>730809</v>
      </c>
      <c r="D452" s="374" t="s">
        <v>1471</v>
      </c>
    </row>
    <row r="453" spans="3:4" ht="15" customHeight="1">
      <c r="C453" s="374">
        <v>730810</v>
      </c>
      <c r="D453" s="374" t="s">
        <v>1472</v>
      </c>
    </row>
    <row r="454" spans="3:4" ht="15" customHeight="1">
      <c r="C454" s="374">
        <v>730811</v>
      </c>
      <c r="D454" s="374" t="s">
        <v>1473</v>
      </c>
    </row>
    <row r="455" spans="3:4" ht="15" customHeight="1">
      <c r="C455" s="374">
        <v>730812</v>
      </c>
      <c r="D455" s="374" t="s">
        <v>1474</v>
      </c>
    </row>
    <row r="456" spans="3:4" ht="15" customHeight="1">
      <c r="C456" s="374">
        <v>730813</v>
      </c>
      <c r="D456" s="374" t="s">
        <v>1475</v>
      </c>
    </row>
    <row r="457" spans="3:4" ht="15" customHeight="1">
      <c r="C457" s="374">
        <v>730814</v>
      </c>
      <c r="D457" s="374" t="s">
        <v>1476</v>
      </c>
    </row>
    <row r="458" spans="3:4" ht="15" customHeight="1">
      <c r="C458" s="374">
        <v>730817</v>
      </c>
      <c r="D458" s="374" t="s">
        <v>1479</v>
      </c>
    </row>
    <row r="459" spans="3:4" ht="15" customHeight="1">
      <c r="C459" s="374">
        <v>730819</v>
      </c>
      <c r="D459" s="374" t="s">
        <v>1480</v>
      </c>
    </row>
    <row r="460" spans="3:4" ht="15" customHeight="1">
      <c r="C460" s="374">
        <v>730820</v>
      </c>
      <c r="D460" s="374" t="s">
        <v>1481</v>
      </c>
    </row>
    <row r="461" spans="3:4" ht="15" customHeight="1">
      <c r="C461" s="374">
        <v>730821</v>
      </c>
      <c r="D461" s="374" t="s">
        <v>1482</v>
      </c>
    </row>
    <row r="462" spans="3:4" ht="15" customHeight="1">
      <c r="C462" s="374">
        <v>730823</v>
      </c>
      <c r="D462" s="374" t="s">
        <v>1484</v>
      </c>
    </row>
    <row r="463" spans="3:4" ht="15" customHeight="1">
      <c r="C463" s="374">
        <v>730824</v>
      </c>
      <c r="D463" s="374" t="s">
        <v>1627</v>
      </c>
    </row>
    <row r="464" spans="3:4" ht="15" customHeight="1">
      <c r="C464" s="376">
        <v>730825</v>
      </c>
      <c r="D464" s="375" t="s">
        <v>1628</v>
      </c>
    </row>
    <row r="465" spans="3:4" ht="15" customHeight="1">
      <c r="C465" s="374">
        <v>730826</v>
      </c>
      <c r="D465" s="374" t="s">
        <v>1487</v>
      </c>
    </row>
    <row r="466" spans="3:4" ht="15" customHeight="1">
      <c r="C466" s="374">
        <v>730827</v>
      </c>
      <c r="D466" s="374" t="s">
        <v>1488</v>
      </c>
    </row>
    <row r="467" spans="3:4" ht="15" customHeight="1">
      <c r="C467" s="374">
        <v>730829</v>
      </c>
      <c r="D467" s="374" t="s">
        <v>1490</v>
      </c>
    </row>
    <row r="468" spans="3:4" ht="15" customHeight="1">
      <c r="C468" s="374">
        <v>730832</v>
      </c>
      <c r="D468" s="374" t="s">
        <v>1491</v>
      </c>
    </row>
    <row r="469" spans="3:4" ht="15" customHeight="1">
      <c r="C469" s="374">
        <v>730833</v>
      </c>
      <c r="D469" s="374" t="s">
        <v>1492</v>
      </c>
    </row>
    <row r="470" spans="3:4" ht="15" customHeight="1">
      <c r="C470" s="374">
        <v>730834</v>
      </c>
      <c r="D470" s="374" t="s">
        <v>1493</v>
      </c>
    </row>
    <row r="471" spans="3:4" ht="15" customHeight="1">
      <c r="C471" s="374">
        <v>730836</v>
      </c>
      <c r="D471" s="374" t="s">
        <v>1494</v>
      </c>
    </row>
    <row r="472" spans="3:4" ht="15" customHeight="1">
      <c r="C472" s="376">
        <v>730845</v>
      </c>
      <c r="D472" s="375" t="s">
        <v>1495</v>
      </c>
    </row>
    <row r="473" spans="3:4" ht="15" customHeight="1">
      <c r="C473" s="374">
        <v>730846</v>
      </c>
      <c r="D473" s="374" t="s">
        <v>1496</v>
      </c>
    </row>
    <row r="474" spans="3:4" ht="15" customHeight="1">
      <c r="C474" s="374">
        <v>7310</v>
      </c>
      <c r="D474" s="374" t="s">
        <v>1497</v>
      </c>
    </row>
    <row r="475" spans="3:4" ht="15" customHeight="1">
      <c r="C475" s="374">
        <v>731002</v>
      </c>
      <c r="D475" s="374" t="s">
        <v>1629</v>
      </c>
    </row>
    <row r="476" spans="3:4" ht="15" customHeight="1">
      <c r="C476" s="374">
        <v>7311</v>
      </c>
      <c r="D476" s="374" t="s">
        <v>1500</v>
      </c>
    </row>
    <row r="477" spans="3:4" ht="15" customHeight="1">
      <c r="C477" s="374">
        <v>731101</v>
      </c>
      <c r="D477" s="374" t="s">
        <v>1501</v>
      </c>
    </row>
    <row r="478" spans="3:4" ht="15" customHeight="1">
      <c r="C478" s="374">
        <v>7314</v>
      </c>
      <c r="D478" s="374" t="s">
        <v>1502</v>
      </c>
    </row>
    <row r="479" spans="3:4" ht="15" customHeight="1">
      <c r="C479" s="374">
        <v>731403</v>
      </c>
      <c r="D479" s="374" t="s">
        <v>1630</v>
      </c>
    </row>
    <row r="480" spans="3:4" ht="15" customHeight="1">
      <c r="C480" s="374">
        <v>731404</v>
      </c>
      <c r="D480" s="374" t="s">
        <v>1504</v>
      </c>
    </row>
    <row r="481" spans="3:4" ht="15" customHeight="1">
      <c r="C481" s="374">
        <v>731406</v>
      </c>
      <c r="D481" s="374" t="s">
        <v>1631</v>
      </c>
    </row>
    <row r="482" spans="3:4" ht="15" customHeight="1">
      <c r="C482" s="374">
        <v>731407</v>
      </c>
      <c r="D482" s="374" t="s">
        <v>1506</v>
      </c>
    </row>
    <row r="483" spans="3:4" ht="15" customHeight="1">
      <c r="C483" s="374">
        <v>731408</v>
      </c>
      <c r="D483" s="374" t="s">
        <v>1632</v>
      </c>
    </row>
    <row r="484" spans="3:4" ht="15" customHeight="1">
      <c r="C484" s="374">
        <v>731409</v>
      </c>
      <c r="D484" s="374" t="s">
        <v>1430</v>
      </c>
    </row>
    <row r="485" spans="3:4" ht="15" customHeight="1">
      <c r="C485" s="374">
        <v>731411</v>
      </c>
      <c r="D485" s="374" t="s">
        <v>1508</v>
      </c>
    </row>
    <row r="486" spans="3:4" ht="15" customHeight="1">
      <c r="C486" s="376">
        <v>7315</v>
      </c>
      <c r="D486" s="375" t="s">
        <v>1509</v>
      </c>
    </row>
    <row r="487" spans="3:4" ht="15" customHeight="1">
      <c r="C487" s="376">
        <v>731512</v>
      </c>
      <c r="D487" s="375" t="s">
        <v>1510</v>
      </c>
    </row>
    <row r="488" spans="3:4" ht="15" customHeight="1">
      <c r="C488" s="376">
        <v>731514</v>
      </c>
      <c r="D488" s="375" t="s">
        <v>1511</v>
      </c>
    </row>
    <row r="489" spans="3:4" ht="15" customHeight="1">
      <c r="C489" s="376">
        <v>731515</v>
      </c>
      <c r="D489" s="375" t="s">
        <v>1512</v>
      </c>
    </row>
    <row r="490" spans="3:4" ht="15" customHeight="1">
      <c r="C490" s="374">
        <v>7316</v>
      </c>
      <c r="D490" s="374" t="s">
        <v>1633</v>
      </c>
    </row>
    <row r="491" spans="3:4" ht="15" customHeight="1">
      <c r="C491" s="374">
        <v>731601</v>
      </c>
      <c r="D491" s="374" t="s">
        <v>1634</v>
      </c>
    </row>
    <row r="492" spans="3:4" ht="15" customHeight="1">
      <c r="C492" s="374">
        <v>731602</v>
      </c>
      <c r="D492" s="374" t="s">
        <v>1635</v>
      </c>
    </row>
    <row r="493" spans="3:4" ht="15" customHeight="1">
      <c r="C493" s="376">
        <v>75</v>
      </c>
      <c r="D493" s="375" t="s">
        <v>1636</v>
      </c>
    </row>
    <row r="494" spans="3:4" ht="15" customHeight="1">
      <c r="C494" s="376">
        <v>751</v>
      </c>
      <c r="D494" s="375" t="s">
        <v>1637</v>
      </c>
    </row>
    <row r="495" spans="3:4" ht="15" customHeight="1">
      <c r="C495" s="376">
        <v>750101</v>
      </c>
      <c r="D495" s="375" t="s">
        <v>417</v>
      </c>
    </row>
    <row r="496" spans="3:4" ht="15" customHeight="1">
      <c r="C496" s="376">
        <v>750102</v>
      </c>
      <c r="D496" s="375" t="s">
        <v>1638</v>
      </c>
    </row>
    <row r="497" spans="3:4" ht="15" customHeight="1">
      <c r="C497" s="376">
        <v>750103</v>
      </c>
      <c r="D497" s="375" t="s">
        <v>1639</v>
      </c>
    </row>
    <row r="498" spans="3:4" ht="15" customHeight="1">
      <c r="C498" s="376">
        <v>750104</v>
      </c>
      <c r="D498" s="375" t="s">
        <v>1640</v>
      </c>
    </row>
    <row r="499" spans="3:4" ht="15" customHeight="1">
      <c r="C499" s="376">
        <v>750105</v>
      </c>
      <c r="D499" s="375" t="s">
        <v>1641</v>
      </c>
    </row>
    <row r="500" spans="3:4" ht="15" customHeight="1">
      <c r="C500" s="376">
        <v>750106</v>
      </c>
      <c r="D500" s="375" t="s">
        <v>1372</v>
      </c>
    </row>
    <row r="501" spans="3:4" ht="15" customHeight="1">
      <c r="C501" s="376">
        <v>750107</v>
      </c>
      <c r="D501" s="375" t="s">
        <v>1642</v>
      </c>
    </row>
    <row r="502" spans="3:4" ht="15" customHeight="1">
      <c r="C502" s="376">
        <v>750108</v>
      </c>
      <c r="D502" s="375" t="s">
        <v>1643</v>
      </c>
    </row>
    <row r="503" spans="3:4" ht="15" customHeight="1">
      <c r="C503" s="376">
        <v>750109</v>
      </c>
      <c r="D503" s="375" t="s">
        <v>1644</v>
      </c>
    </row>
    <row r="504" spans="3:4" ht="15" customHeight="1">
      <c r="C504" s="376">
        <v>750110</v>
      </c>
      <c r="D504" s="375" t="s">
        <v>1645</v>
      </c>
    </row>
    <row r="505" spans="3:4" ht="15" customHeight="1">
      <c r="C505" s="376">
        <v>750111</v>
      </c>
      <c r="D505" s="375" t="s">
        <v>1646</v>
      </c>
    </row>
    <row r="506" spans="3:4" ht="15" customHeight="1">
      <c r="C506" s="376">
        <v>750112</v>
      </c>
      <c r="D506" s="375" t="s">
        <v>1647</v>
      </c>
    </row>
    <row r="507" spans="3:4" ht="15" customHeight="1">
      <c r="C507" s="376">
        <v>750113</v>
      </c>
      <c r="D507" s="375" t="s">
        <v>1648</v>
      </c>
    </row>
    <row r="508" spans="3:4" ht="15" customHeight="1">
      <c r="C508" s="376">
        <v>750114</v>
      </c>
      <c r="D508" s="375" t="s">
        <v>1649</v>
      </c>
    </row>
    <row r="509" spans="3:4" ht="15" customHeight="1">
      <c r="C509" s="376">
        <v>750199</v>
      </c>
      <c r="D509" s="375" t="s">
        <v>1650</v>
      </c>
    </row>
    <row r="510" spans="3:4" ht="15" customHeight="1">
      <c r="C510" s="376">
        <v>752</v>
      </c>
      <c r="D510" s="375" t="s">
        <v>1651</v>
      </c>
    </row>
    <row r="511" spans="3:4" ht="15" customHeight="1">
      <c r="C511" s="376">
        <v>750201</v>
      </c>
      <c r="D511" s="375" t="s">
        <v>1652</v>
      </c>
    </row>
    <row r="512" spans="3:4" ht="15" customHeight="1">
      <c r="C512" s="376">
        <v>750202</v>
      </c>
      <c r="D512" s="375" t="s">
        <v>1653</v>
      </c>
    </row>
    <row r="513" spans="3:4" ht="15" customHeight="1">
      <c r="C513" s="376">
        <v>750203</v>
      </c>
      <c r="D513" s="375" t="s">
        <v>1654</v>
      </c>
    </row>
    <row r="514" spans="3:4" ht="15" customHeight="1">
      <c r="C514" s="376">
        <v>753</v>
      </c>
      <c r="D514" s="375" t="s">
        <v>1655</v>
      </c>
    </row>
    <row r="515" spans="3:4" ht="15" customHeight="1">
      <c r="C515" s="376">
        <v>750301</v>
      </c>
      <c r="D515" s="375" t="s">
        <v>1656</v>
      </c>
    </row>
    <row r="516" spans="3:4" ht="15" customHeight="1">
      <c r="C516" s="376">
        <v>750302</v>
      </c>
      <c r="D516" s="375" t="s">
        <v>1657</v>
      </c>
    </row>
    <row r="517" spans="3:4" ht="15" customHeight="1">
      <c r="C517" s="376">
        <v>750303</v>
      </c>
      <c r="D517" s="375" t="s">
        <v>1658</v>
      </c>
    </row>
    <row r="518" spans="3:4" ht="15" customHeight="1">
      <c r="C518" s="376">
        <v>750304</v>
      </c>
      <c r="D518" s="375" t="s">
        <v>1659</v>
      </c>
    </row>
    <row r="519" spans="3:4" ht="15" customHeight="1">
      <c r="C519" s="376">
        <v>750305</v>
      </c>
      <c r="D519" s="375" t="s">
        <v>1660</v>
      </c>
    </row>
    <row r="520" spans="3:4" ht="15" customHeight="1">
      <c r="C520" s="376">
        <v>750306</v>
      </c>
      <c r="D520" s="375" t="s">
        <v>1661</v>
      </c>
    </row>
    <row r="521" spans="3:4" ht="15" customHeight="1">
      <c r="C521" s="376">
        <v>754</v>
      </c>
      <c r="D521" s="375" t="s">
        <v>1662</v>
      </c>
    </row>
    <row r="522" spans="3:4" ht="15" customHeight="1">
      <c r="C522" s="376">
        <v>750401</v>
      </c>
      <c r="D522" s="375" t="s">
        <v>1663</v>
      </c>
    </row>
    <row r="523" spans="3:4" ht="15" customHeight="1">
      <c r="C523" s="376">
        <v>750402</v>
      </c>
      <c r="D523" s="375" t="s">
        <v>1664</v>
      </c>
    </row>
    <row r="524" spans="3:4" ht="15" customHeight="1">
      <c r="C524" s="376">
        <v>755</v>
      </c>
      <c r="D524" s="375" t="s">
        <v>1665</v>
      </c>
    </row>
    <row r="525" spans="3:4" ht="15" customHeight="1">
      <c r="C525" s="376">
        <v>750501</v>
      </c>
      <c r="D525" s="375" t="s">
        <v>1637</v>
      </c>
    </row>
    <row r="526" spans="3:4" ht="15" customHeight="1">
      <c r="C526" s="376">
        <v>750502</v>
      </c>
      <c r="D526" s="375" t="s">
        <v>1666</v>
      </c>
    </row>
    <row r="527" spans="3:4" ht="15" customHeight="1">
      <c r="C527" s="376">
        <v>750503</v>
      </c>
      <c r="D527" s="375" t="s">
        <v>1655</v>
      </c>
    </row>
    <row r="528" spans="3:4" ht="15" customHeight="1">
      <c r="C528" s="376">
        <v>750504</v>
      </c>
      <c r="D528" s="375" t="s">
        <v>1667</v>
      </c>
    </row>
    <row r="529" spans="3:4" ht="15" customHeight="1">
      <c r="C529" s="376">
        <v>750505</v>
      </c>
      <c r="D529" s="375" t="s">
        <v>1645</v>
      </c>
    </row>
    <row r="530" spans="3:4" ht="15" customHeight="1">
      <c r="C530" s="374">
        <v>77</v>
      </c>
      <c r="D530" s="374" t="s">
        <v>1668</v>
      </c>
    </row>
    <row r="531" spans="3:4" ht="15" customHeight="1">
      <c r="C531" s="374">
        <v>771</v>
      </c>
      <c r="D531" s="374" t="s">
        <v>1517</v>
      </c>
    </row>
    <row r="532" spans="3:4" ht="15" customHeight="1">
      <c r="C532" s="374">
        <v>770102</v>
      </c>
      <c r="D532" s="374" t="s">
        <v>1669</v>
      </c>
    </row>
    <row r="533" spans="3:4" ht="15" customHeight="1">
      <c r="C533" s="374">
        <v>770103</v>
      </c>
      <c r="D533" s="374" t="s">
        <v>1519</v>
      </c>
    </row>
    <row r="534" spans="3:4" ht="15" customHeight="1">
      <c r="C534" s="374">
        <v>770104</v>
      </c>
      <c r="D534" s="374" t="s">
        <v>1520</v>
      </c>
    </row>
    <row r="535" spans="3:4" ht="15" customHeight="1">
      <c r="C535" s="374">
        <v>770199</v>
      </c>
      <c r="D535" s="374" t="s">
        <v>1521</v>
      </c>
    </row>
    <row r="536" spans="3:4" ht="15" customHeight="1">
      <c r="C536" s="374">
        <v>772</v>
      </c>
      <c r="D536" s="374" t="s">
        <v>1522</v>
      </c>
    </row>
    <row r="537" spans="3:4" ht="15" customHeight="1">
      <c r="C537" s="374">
        <v>770201</v>
      </c>
      <c r="D537" s="374" t="s">
        <v>1523</v>
      </c>
    </row>
    <row r="538" spans="3:4" ht="15" customHeight="1">
      <c r="C538" s="374">
        <v>770203</v>
      </c>
      <c r="D538" s="374" t="s">
        <v>1524</v>
      </c>
    </row>
    <row r="539" spans="3:4" ht="15" customHeight="1">
      <c r="C539" s="374">
        <v>770206</v>
      </c>
      <c r="D539" s="374" t="s">
        <v>1527</v>
      </c>
    </row>
    <row r="540" spans="3:4" ht="15" customHeight="1">
      <c r="C540" s="374">
        <v>770216</v>
      </c>
      <c r="D540" s="374" t="s">
        <v>1531</v>
      </c>
    </row>
    <row r="541" spans="3:4" ht="15" customHeight="1">
      <c r="C541" s="374">
        <v>770217</v>
      </c>
      <c r="D541" s="374" t="s">
        <v>1532</v>
      </c>
    </row>
    <row r="542" spans="3:4" ht="15" customHeight="1">
      <c r="C542" s="374">
        <v>770218</v>
      </c>
      <c r="D542" s="374" t="s">
        <v>1670</v>
      </c>
    </row>
    <row r="543" spans="3:4" ht="15" customHeight="1">
      <c r="C543" s="374">
        <v>773</v>
      </c>
      <c r="D543" s="374" t="s">
        <v>1535</v>
      </c>
    </row>
    <row r="544" spans="3:4" ht="15" customHeight="1">
      <c r="C544" s="374">
        <v>770301</v>
      </c>
      <c r="D544" s="374" t="s">
        <v>1535</v>
      </c>
    </row>
    <row r="545" spans="3:4" ht="15" customHeight="1">
      <c r="C545" s="374">
        <v>78</v>
      </c>
      <c r="D545" s="374" t="s">
        <v>1671</v>
      </c>
    </row>
    <row r="546" spans="3:4" ht="15" customHeight="1">
      <c r="C546" s="374">
        <v>781</v>
      </c>
      <c r="D546" s="374" t="s">
        <v>1672</v>
      </c>
    </row>
    <row r="547" spans="3:4" ht="15" customHeight="1">
      <c r="C547" s="374">
        <v>780101</v>
      </c>
      <c r="D547" s="374" t="s">
        <v>1538</v>
      </c>
    </row>
    <row r="548" spans="3:4" ht="15" customHeight="1">
      <c r="C548" s="374">
        <v>780102</v>
      </c>
      <c r="D548" s="374" t="s">
        <v>1673</v>
      </c>
    </row>
    <row r="549" spans="3:4" ht="15" customHeight="1">
      <c r="C549" s="374">
        <v>780103</v>
      </c>
      <c r="D549" s="374" t="s">
        <v>1540</v>
      </c>
    </row>
    <row r="550" spans="3:4" ht="15" customHeight="1">
      <c r="C550" s="374">
        <v>780104</v>
      </c>
      <c r="D550" s="374" t="s">
        <v>1541</v>
      </c>
    </row>
    <row r="551" spans="3:4" ht="15" customHeight="1">
      <c r="C551" s="374">
        <v>780106</v>
      </c>
      <c r="D551" s="374" t="s">
        <v>1542</v>
      </c>
    </row>
    <row r="552" spans="3:4" ht="15" customHeight="1">
      <c r="C552" s="374">
        <v>780108</v>
      </c>
      <c r="D552" s="374" t="s">
        <v>1543</v>
      </c>
    </row>
    <row r="553" spans="3:4" ht="15" customHeight="1">
      <c r="C553" s="374">
        <v>782</v>
      </c>
      <c r="D553" s="374" t="s">
        <v>1674</v>
      </c>
    </row>
    <row r="554" spans="3:4" ht="15" customHeight="1">
      <c r="C554" s="374">
        <v>780203</v>
      </c>
      <c r="D554" s="374" t="s">
        <v>1675</v>
      </c>
    </row>
    <row r="555" spans="3:4" ht="15" customHeight="1">
      <c r="C555" s="374">
        <v>780204</v>
      </c>
      <c r="D555" s="374" t="s">
        <v>1676</v>
      </c>
    </row>
    <row r="556" spans="3:4" ht="15" customHeight="1">
      <c r="C556" s="374">
        <v>780206</v>
      </c>
      <c r="D556" s="374" t="s">
        <v>1677</v>
      </c>
    </row>
    <row r="557" spans="3:4" ht="15" customHeight="1">
      <c r="C557" s="374">
        <v>780208</v>
      </c>
      <c r="D557" s="374" t="s">
        <v>1678</v>
      </c>
    </row>
    <row r="558" spans="3:4" ht="15" customHeight="1">
      <c r="C558" s="374">
        <v>780209</v>
      </c>
      <c r="D558" s="374" t="s">
        <v>1550</v>
      </c>
    </row>
    <row r="559" spans="3:4" ht="15" customHeight="1">
      <c r="C559" s="374">
        <v>780210</v>
      </c>
      <c r="D559" s="374" t="s">
        <v>1679</v>
      </c>
    </row>
    <row r="560" spans="3:4" ht="15" customHeight="1">
      <c r="C560" s="374">
        <v>783</v>
      </c>
      <c r="D560" s="374" t="s">
        <v>1680</v>
      </c>
    </row>
    <row r="561" spans="3:4" ht="15" customHeight="1">
      <c r="C561" s="374">
        <v>780301</v>
      </c>
      <c r="D561" s="374" t="s">
        <v>1681</v>
      </c>
    </row>
    <row r="562" spans="3:4" ht="15" customHeight="1">
      <c r="C562" s="374">
        <v>780302</v>
      </c>
      <c r="D562" s="374" t="s">
        <v>1682</v>
      </c>
    </row>
    <row r="563" spans="3:4" ht="15" customHeight="1">
      <c r="C563" s="374">
        <v>780304</v>
      </c>
      <c r="D563" s="374" t="s">
        <v>1683</v>
      </c>
    </row>
    <row r="564" spans="3:4" ht="15" customHeight="1">
      <c r="C564" s="376">
        <v>785</v>
      </c>
      <c r="D564" s="375" t="s">
        <v>1684</v>
      </c>
    </row>
    <row r="565" spans="3:4" ht="15" customHeight="1">
      <c r="C565" s="376">
        <v>780506</v>
      </c>
      <c r="D565" s="375" t="s">
        <v>1564</v>
      </c>
    </row>
    <row r="566" spans="3:4" ht="15" customHeight="1">
      <c r="C566" s="376">
        <v>780509</v>
      </c>
      <c r="D566" s="375" t="s">
        <v>1567</v>
      </c>
    </row>
    <row r="567" spans="3:4" ht="15" customHeight="1">
      <c r="C567" s="376">
        <v>780510</v>
      </c>
      <c r="D567" s="375" t="s">
        <v>1568</v>
      </c>
    </row>
    <row r="568" spans="3:4" ht="15" customHeight="1">
      <c r="C568" s="376">
        <v>780511</v>
      </c>
      <c r="D568" s="375" t="s">
        <v>1569</v>
      </c>
    </row>
    <row r="569" spans="3:4" ht="15" customHeight="1">
      <c r="C569" s="376">
        <v>780514</v>
      </c>
      <c r="D569" s="375" t="s">
        <v>1572</v>
      </c>
    </row>
    <row r="570" spans="3:4" ht="15" customHeight="1">
      <c r="C570" s="376">
        <v>780515</v>
      </c>
      <c r="D570" s="375" t="s">
        <v>1573</v>
      </c>
    </row>
    <row r="571" spans="3:4" ht="15" customHeight="1">
      <c r="C571" s="376">
        <v>780516</v>
      </c>
      <c r="D571" s="375" t="s">
        <v>1685</v>
      </c>
    </row>
    <row r="572" spans="3:4" ht="15" customHeight="1">
      <c r="C572" s="376">
        <v>780518</v>
      </c>
      <c r="D572" s="375" t="s">
        <v>1576</v>
      </c>
    </row>
    <row r="573" spans="3:4" ht="15" customHeight="1">
      <c r="C573" s="376">
        <v>780519</v>
      </c>
      <c r="D573" s="375" t="s">
        <v>1577</v>
      </c>
    </row>
    <row r="574" spans="3:4" ht="15" customHeight="1">
      <c r="C574" s="376">
        <v>780520</v>
      </c>
      <c r="D574" s="375" t="s">
        <v>1578</v>
      </c>
    </row>
    <row r="575" spans="3:4" ht="15" customHeight="1">
      <c r="C575" s="376">
        <v>780521</v>
      </c>
      <c r="D575" s="375" t="s">
        <v>1686</v>
      </c>
    </row>
    <row r="576" spans="3:4" ht="15" customHeight="1">
      <c r="C576" s="374">
        <v>786</v>
      </c>
      <c r="D576" s="374" t="s">
        <v>1687</v>
      </c>
    </row>
    <row r="577" spans="3:4" ht="15" customHeight="1">
      <c r="C577" s="374">
        <v>780642</v>
      </c>
      <c r="D577" s="374" t="s">
        <v>1688</v>
      </c>
    </row>
    <row r="578" spans="3:4" ht="15" customHeight="1">
      <c r="C578" s="374">
        <v>7812</v>
      </c>
      <c r="D578" s="374" t="s">
        <v>1689</v>
      </c>
    </row>
    <row r="579" spans="3:4" ht="15" customHeight="1">
      <c r="C579" s="374">
        <v>781202</v>
      </c>
      <c r="D579" s="374" t="s">
        <v>1607</v>
      </c>
    </row>
    <row r="580" spans="3:4" ht="15" customHeight="1">
      <c r="C580" s="374">
        <v>8</v>
      </c>
      <c r="D580" s="374" t="s">
        <v>1690</v>
      </c>
    </row>
    <row r="581" spans="3:4" ht="15" customHeight="1">
      <c r="C581" s="374">
        <v>84</v>
      </c>
      <c r="D581" s="374" t="s">
        <v>1691</v>
      </c>
    </row>
    <row r="582" spans="3:4" ht="15" customHeight="1">
      <c r="C582" s="374">
        <v>841</v>
      </c>
      <c r="D582" s="374" t="s">
        <v>1692</v>
      </c>
    </row>
    <row r="583" spans="3:4" ht="15" customHeight="1">
      <c r="C583" s="374">
        <v>840103</v>
      </c>
      <c r="D583" s="374" t="s">
        <v>1630</v>
      </c>
    </row>
    <row r="584" spans="3:4" ht="15" customHeight="1">
      <c r="C584" s="374">
        <v>840104</v>
      </c>
      <c r="D584" s="374" t="s">
        <v>1504</v>
      </c>
    </row>
    <row r="585" spans="3:4" ht="15" customHeight="1">
      <c r="C585" s="376">
        <v>840105</v>
      </c>
      <c r="D585" s="375" t="s">
        <v>1693</v>
      </c>
    </row>
    <row r="586" spans="3:4" ht="15" customHeight="1">
      <c r="C586" s="374">
        <v>840106</v>
      </c>
      <c r="D586" s="374" t="s">
        <v>1694</v>
      </c>
    </row>
    <row r="587" spans="3:4" ht="15" customHeight="1">
      <c r="C587" s="374">
        <v>840107</v>
      </c>
      <c r="D587" s="374" t="s">
        <v>1506</v>
      </c>
    </row>
    <row r="588" spans="3:4" ht="15" customHeight="1">
      <c r="C588" s="374">
        <v>840108</v>
      </c>
      <c r="D588" s="374" t="s">
        <v>1429</v>
      </c>
    </row>
    <row r="589" spans="3:4" ht="15" customHeight="1">
      <c r="C589" s="374">
        <v>840109</v>
      </c>
      <c r="D589" s="374" t="s">
        <v>1430</v>
      </c>
    </row>
    <row r="590" spans="3:4" ht="15" customHeight="1">
      <c r="C590" s="374">
        <v>840111</v>
      </c>
      <c r="D590" s="374" t="s">
        <v>1508</v>
      </c>
    </row>
    <row r="591" spans="3:4" ht="15" customHeight="1">
      <c r="C591" s="374">
        <v>840112</v>
      </c>
      <c r="D591" s="374" t="s">
        <v>1695</v>
      </c>
    </row>
    <row r="592" spans="3:4" ht="15" customHeight="1">
      <c r="C592" s="374">
        <v>840113</v>
      </c>
      <c r="D592" s="374" t="s">
        <v>1696</v>
      </c>
    </row>
    <row r="593" spans="3:4" ht="15" customHeight="1">
      <c r="C593" s="376">
        <v>840115</v>
      </c>
      <c r="D593" s="375" t="s">
        <v>1697</v>
      </c>
    </row>
    <row r="594" spans="3:4" ht="15" customHeight="1">
      <c r="C594" s="374">
        <v>842</v>
      </c>
      <c r="D594" s="374" t="s">
        <v>1698</v>
      </c>
    </row>
    <row r="595" spans="3:4" ht="15" customHeight="1">
      <c r="C595" s="374">
        <v>840201</v>
      </c>
      <c r="D595" s="374" t="s">
        <v>1699</v>
      </c>
    </row>
    <row r="596" spans="3:4" ht="15" customHeight="1">
      <c r="C596" s="374">
        <v>840202</v>
      </c>
      <c r="D596" s="374" t="s">
        <v>1700</v>
      </c>
    </row>
    <row r="597" spans="3:4" ht="15" customHeight="1">
      <c r="C597" s="374">
        <v>840203</v>
      </c>
      <c r="D597" s="374" t="s">
        <v>1701</v>
      </c>
    </row>
    <row r="598" spans="3:4" ht="15" customHeight="1">
      <c r="C598" s="374">
        <v>843</v>
      </c>
      <c r="D598" s="374" t="s">
        <v>1702</v>
      </c>
    </row>
    <row r="599" spans="3:4" ht="15" customHeight="1">
      <c r="C599" s="374">
        <v>840301</v>
      </c>
      <c r="D599" s="374" t="s">
        <v>1703</v>
      </c>
    </row>
    <row r="600" spans="3:4" ht="15" customHeight="1">
      <c r="C600" s="374">
        <v>840302</v>
      </c>
      <c r="D600" s="374" t="s">
        <v>1704</v>
      </c>
    </row>
    <row r="601" spans="3:4" ht="15" customHeight="1">
      <c r="C601" s="374">
        <v>844</v>
      </c>
      <c r="D601" s="374" t="s">
        <v>1705</v>
      </c>
    </row>
    <row r="602" spans="3:4" ht="15" customHeight="1">
      <c r="C602" s="374">
        <v>840401</v>
      </c>
      <c r="D602" s="374" t="s">
        <v>1706</v>
      </c>
    </row>
    <row r="603" spans="3:4" ht="15" customHeight="1">
      <c r="C603" s="374">
        <v>840402</v>
      </c>
      <c r="D603" s="374" t="s">
        <v>1707</v>
      </c>
    </row>
    <row r="604" spans="3:4" ht="15" customHeight="1">
      <c r="C604" s="374">
        <v>840403</v>
      </c>
      <c r="D604" s="374" t="s">
        <v>1708</v>
      </c>
    </row>
    <row r="605" spans="3:4" ht="15" customHeight="1">
      <c r="C605" s="374">
        <v>840404</v>
      </c>
      <c r="D605" s="374" t="s">
        <v>1709</v>
      </c>
    </row>
    <row r="606" spans="3:4" ht="15" customHeight="1">
      <c r="C606" s="376">
        <v>845</v>
      </c>
      <c r="D606" s="375" t="s">
        <v>1432</v>
      </c>
    </row>
    <row r="607" spans="3:4" ht="15" customHeight="1">
      <c r="C607" s="376">
        <v>840512</v>
      </c>
      <c r="D607" s="375" t="s">
        <v>1510</v>
      </c>
    </row>
    <row r="608" spans="3:4" ht="15" customHeight="1">
      <c r="C608" s="376">
        <v>840513</v>
      </c>
      <c r="D608" s="375" t="s">
        <v>1710</v>
      </c>
    </row>
    <row r="609" spans="3:4" ht="15" customHeight="1">
      <c r="C609" s="376">
        <v>840514</v>
      </c>
      <c r="D609" s="375" t="s">
        <v>1511</v>
      </c>
    </row>
    <row r="610" spans="3:4" ht="15" customHeight="1">
      <c r="C610" s="376">
        <v>840515</v>
      </c>
      <c r="D610" s="375" t="s">
        <v>1512</v>
      </c>
    </row>
    <row r="611" spans="3:4" ht="15" customHeight="1">
      <c r="C611" s="374">
        <v>87</v>
      </c>
      <c r="D611" s="374" t="s">
        <v>1711</v>
      </c>
    </row>
    <row r="612" spans="3:4" ht="15" customHeight="1">
      <c r="C612" s="374">
        <v>871</v>
      </c>
      <c r="D612" s="374" t="s">
        <v>1712</v>
      </c>
    </row>
    <row r="613" spans="3:4" ht="15" customHeight="1">
      <c r="C613" s="374">
        <v>870101</v>
      </c>
      <c r="D613" s="374" t="s">
        <v>1713</v>
      </c>
    </row>
    <row r="614" spans="3:4" ht="15" customHeight="1">
      <c r="C614" s="374">
        <v>870102</v>
      </c>
      <c r="D614" s="374" t="s">
        <v>1714</v>
      </c>
    </row>
    <row r="615" spans="3:4" ht="15" customHeight="1">
      <c r="C615" s="374">
        <v>870103</v>
      </c>
      <c r="D615" s="374" t="s">
        <v>1715</v>
      </c>
    </row>
    <row r="616" spans="3:4" ht="15" customHeight="1">
      <c r="C616" s="374">
        <v>870104</v>
      </c>
      <c r="D616" s="374" t="s">
        <v>1716</v>
      </c>
    </row>
    <row r="617" spans="3:4" ht="15" customHeight="1">
      <c r="C617" s="374">
        <v>870106</v>
      </c>
      <c r="D617" s="374" t="s">
        <v>1717</v>
      </c>
    </row>
    <row r="618" spans="3:4" ht="15" customHeight="1">
      <c r="C618" s="374">
        <v>870107</v>
      </c>
      <c r="D618" s="374" t="s">
        <v>1718</v>
      </c>
    </row>
    <row r="619" spans="3:4" ht="15" customHeight="1">
      <c r="C619" s="374">
        <v>870108</v>
      </c>
      <c r="D619" s="374" t="s">
        <v>1719</v>
      </c>
    </row>
    <row r="620" spans="3:4" ht="15" customHeight="1">
      <c r="C620" s="374">
        <v>870198</v>
      </c>
      <c r="D620" s="374" t="s">
        <v>1720</v>
      </c>
    </row>
    <row r="621" spans="3:4" ht="15" customHeight="1">
      <c r="C621" s="374">
        <v>872</v>
      </c>
      <c r="D621" s="374" t="s">
        <v>1721</v>
      </c>
    </row>
    <row r="622" spans="3:4" ht="15" customHeight="1">
      <c r="C622" s="374">
        <v>870201</v>
      </c>
      <c r="D622" s="374" t="s">
        <v>1722</v>
      </c>
    </row>
    <row r="623" spans="3:4" ht="15" customHeight="1">
      <c r="C623" s="374">
        <v>870202</v>
      </c>
      <c r="D623" s="374" t="s">
        <v>1539</v>
      </c>
    </row>
    <row r="624" spans="3:4" ht="15" customHeight="1">
      <c r="C624" s="374">
        <v>870203</v>
      </c>
      <c r="D624" s="374" t="s">
        <v>1540</v>
      </c>
    </row>
    <row r="625" spans="3:4" ht="15" customHeight="1">
      <c r="C625" s="374">
        <v>870204</v>
      </c>
      <c r="D625" s="374" t="s">
        <v>1723</v>
      </c>
    </row>
    <row r="626" spans="3:4" ht="15" customHeight="1">
      <c r="C626" s="376">
        <v>870205</v>
      </c>
      <c r="D626" s="375" t="s">
        <v>1724</v>
      </c>
    </row>
    <row r="627" spans="3:4" ht="15" customHeight="1">
      <c r="C627" s="374">
        <v>870206</v>
      </c>
      <c r="D627" s="374" t="s">
        <v>1542</v>
      </c>
    </row>
    <row r="628" spans="3:4" ht="15" customHeight="1">
      <c r="C628" s="374">
        <v>870207</v>
      </c>
      <c r="D628" s="374" t="s">
        <v>1725</v>
      </c>
    </row>
    <row r="629" spans="3:4" ht="15" customHeight="1">
      <c r="C629" s="376">
        <v>870215</v>
      </c>
      <c r="D629" s="375" t="s">
        <v>1726</v>
      </c>
    </row>
    <row r="630" spans="3:4" ht="15" customHeight="1">
      <c r="C630" s="374">
        <v>873</v>
      </c>
      <c r="D630" s="374" t="s">
        <v>1727</v>
      </c>
    </row>
    <row r="631" spans="3:4" ht="15" customHeight="1">
      <c r="C631" s="374">
        <v>870301</v>
      </c>
      <c r="D631" s="374" t="s">
        <v>1713</v>
      </c>
    </row>
    <row r="632" spans="3:4" ht="15" customHeight="1">
      <c r="C632" s="374">
        <v>870302</v>
      </c>
      <c r="D632" s="374" t="s">
        <v>1714</v>
      </c>
    </row>
    <row r="633" spans="3:4" ht="15" customHeight="1">
      <c r="C633" s="374">
        <v>870304</v>
      </c>
      <c r="D633" s="374" t="s">
        <v>1716</v>
      </c>
    </row>
    <row r="634" spans="3:4" ht="15" customHeight="1">
      <c r="C634" s="374">
        <v>870306</v>
      </c>
      <c r="D634" s="374" t="s">
        <v>1728</v>
      </c>
    </row>
    <row r="635" spans="3:4" ht="15" customHeight="1">
      <c r="C635" s="374">
        <v>870307</v>
      </c>
      <c r="D635" s="374" t="s">
        <v>1718</v>
      </c>
    </row>
    <row r="636" spans="3:4" ht="15" customHeight="1">
      <c r="C636" s="374">
        <v>88</v>
      </c>
      <c r="D636" s="374" t="s">
        <v>1729</v>
      </c>
    </row>
    <row r="637" spans="3:4" ht="15" customHeight="1">
      <c r="C637" s="374">
        <v>881</v>
      </c>
      <c r="D637" s="374" t="s">
        <v>1730</v>
      </c>
    </row>
    <row r="638" spans="3:4" ht="15" customHeight="1">
      <c r="C638" s="374">
        <v>880101</v>
      </c>
      <c r="D638" s="374" t="s">
        <v>1538</v>
      </c>
    </row>
    <row r="639" spans="3:4" ht="15" customHeight="1">
      <c r="C639" s="374">
        <v>880102</v>
      </c>
      <c r="D639" s="374" t="s">
        <v>1539</v>
      </c>
    </row>
    <row r="640" spans="3:4" ht="15" customHeight="1">
      <c r="C640" s="374">
        <v>880103</v>
      </c>
      <c r="D640" s="374" t="s">
        <v>1540</v>
      </c>
    </row>
    <row r="641" spans="3:4" ht="15" customHeight="1">
      <c r="C641" s="374">
        <v>880104</v>
      </c>
      <c r="D641" s="374" t="s">
        <v>1541</v>
      </c>
    </row>
    <row r="642" spans="3:4" ht="15" customHeight="1">
      <c r="C642" s="374">
        <v>880106</v>
      </c>
      <c r="D642" s="374" t="s">
        <v>1542</v>
      </c>
    </row>
    <row r="643" spans="3:4" ht="15" customHeight="1">
      <c r="C643" s="374">
        <v>880112</v>
      </c>
      <c r="D643" s="374" t="s">
        <v>1731</v>
      </c>
    </row>
    <row r="644" spans="3:4" ht="15" customHeight="1">
      <c r="C644" s="374">
        <v>880113</v>
      </c>
      <c r="D644" s="374" t="s">
        <v>1732</v>
      </c>
    </row>
    <row r="645" spans="3:4" ht="15" customHeight="1">
      <c r="C645" s="374">
        <v>882</v>
      </c>
      <c r="D645" s="374" t="s">
        <v>1733</v>
      </c>
    </row>
    <row r="646" spans="3:4" ht="15" customHeight="1">
      <c r="C646" s="374">
        <v>880204</v>
      </c>
      <c r="D646" s="374" t="s">
        <v>1547</v>
      </c>
    </row>
    <row r="647" spans="3:4" ht="15" customHeight="1">
      <c r="C647" s="376">
        <v>880205</v>
      </c>
      <c r="D647" s="375" t="s">
        <v>1734</v>
      </c>
    </row>
    <row r="648" spans="3:4" ht="15" customHeight="1">
      <c r="C648" s="374">
        <v>884</v>
      </c>
      <c r="D648" s="374" t="s">
        <v>1555</v>
      </c>
    </row>
    <row r="649" spans="3:4" ht="15" customHeight="1">
      <c r="C649" s="374">
        <v>880408</v>
      </c>
      <c r="D649" s="374" t="s">
        <v>1735</v>
      </c>
    </row>
    <row r="650" spans="3:4" ht="15" customHeight="1">
      <c r="C650" s="374">
        <v>886</v>
      </c>
      <c r="D650" s="374" t="s">
        <v>1736</v>
      </c>
    </row>
    <row r="651" spans="3:4" ht="15" customHeight="1">
      <c r="C651" s="374">
        <v>880624</v>
      </c>
      <c r="D651" s="374" t="s">
        <v>1737</v>
      </c>
    </row>
    <row r="652" spans="3:4" ht="15" customHeight="1">
      <c r="C652" s="376">
        <v>880625</v>
      </c>
      <c r="D652" s="375" t="s">
        <v>1738</v>
      </c>
    </row>
    <row r="653" spans="3:4" ht="15" customHeight="1">
      <c r="C653" s="374">
        <v>880626</v>
      </c>
      <c r="D653" s="374" t="s">
        <v>1739</v>
      </c>
    </row>
    <row r="654" spans="3:4" ht="15" customHeight="1">
      <c r="C654" s="374">
        <v>880627</v>
      </c>
      <c r="D654" s="374" t="s">
        <v>1740</v>
      </c>
    </row>
    <row r="655" spans="3:4" ht="15" customHeight="1">
      <c r="C655" s="376">
        <v>880635</v>
      </c>
      <c r="D655" s="375" t="s">
        <v>1580</v>
      </c>
    </row>
    <row r="656" spans="3:4" ht="15" customHeight="1">
      <c r="C656" s="374">
        <v>880636</v>
      </c>
      <c r="D656" s="374" t="s">
        <v>1581</v>
      </c>
    </row>
    <row r="657" spans="3:4" ht="15" customHeight="1">
      <c r="C657" s="374">
        <v>880637</v>
      </c>
      <c r="D657" s="374" t="s">
        <v>1582</v>
      </c>
    </row>
    <row r="658" spans="3:4" ht="15" customHeight="1">
      <c r="C658" s="374">
        <v>880639</v>
      </c>
      <c r="D658" s="374" t="s">
        <v>1741</v>
      </c>
    </row>
    <row r="659" spans="3:4" ht="15" customHeight="1">
      <c r="C659" s="374">
        <v>880640</v>
      </c>
      <c r="D659" s="374" t="s">
        <v>1742</v>
      </c>
    </row>
    <row r="660" spans="3:4" ht="15" customHeight="1">
      <c r="C660" s="374">
        <v>880641</v>
      </c>
      <c r="D660" s="374" t="s">
        <v>1743</v>
      </c>
    </row>
    <row r="661" spans="3:4" ht="15" customHeight="1">
      <c r="C661" s="374">
        <v>880642</v>
      </c>
      <c r="D661" s="374" t="s">
        <v>1583</v>
      </c>
    </row>
    <row r="662" spans="3:4" ht="15" customHeight="1">
      <c r="C662" s="374">
        <v>880643</v>
      </c>
      <c r="D662" s="374" t="s">
        <v>1744</v>
      </c>
    </row>
    <row r="663" spans="3:4" ht="15" customHeight="1">
      <c r="C663" s="374">
        <v>880644</v>
      </c>
      <c r="D663" s="374" t="s">
        <v>1745</v>
      </c>
    </row>
    <row r="664" spans="3:4" ht="15" customHeight="1">
      <c r="C664" s="376">
        <v>880645</v>
      </c>
      <c r="D664" s="375" t="s">
        <v>1746</v>
      </c>
    </row>
    <row r="665" spans="3:4" ht="15" customHeight="1">
      <c r="C665" s="376">
        <v>880654</v>
      </c>
      <c r="D665" s="375" t="s">
        <v>1585</v>
      </c>
    </row>
    <row r="666" spans="3:4" ht="15" customHeight="1">
      <c r="C666" s="376">
        <v>880655</v>
      </c>
      <c r="D666" s="375" t="s">
        <v>1747</v>
      </c>
    </row>
    <row r="667" spans="3:4" ht="15" customHeight="1">
      <c r="C667" s="374">
        <v>8810</v>
      </c>
      <c r="D667" s="374" t="s">
        <v>1748</v>
      </c>
    </row>
    <row r="668" spans="3:4" ht="15" customHeight="1">
      <c r="C668" s="374">
        <v>881001</v>
      </c>
      <c r="D668" s="374" t="s">
        <v>1749</v>
      </c>
    </row>
    <row r="669" spans="3:4" ht="15" customHeight="1">
      <c r="C669" s="374">
        <v>881002</v>
      </c>
      <c r="D669" s="374" t="s">
        <v>1750</v>
      </c>
    </row>
    <row r="670" spans="3:4" ht="15" customHeight="1">
      <c r="C670" s="374">
        <v>881003</v>
      </c>
      <c r="D670" s="374" t="s">
        <v>1751</v>
      </c>
    </row>
    <row r="671" spans="3:4" ht="15" customHeight="1">
      <c r="C671" s="374">
        <v>881004</v>
      </c>
      <c r="D671" s="374" t="s">
        <v>1752</v>
      </c>
    </row>
    <row r="672" spans="3:4" ht="15" customHeight="1">
      <c r="C672" s="376">
        <v>881005</v>
      </c>
      <c r="D672" s="375" t="s">
        <v>1753</v>
      </c>
    </row>
    <row r="673" spans="3:4" ht="15" customHeight="1">
      <c r="C673" s="374">
        <v>881006</v>
      </c>
      <c r="D673" s="374" t="s">
        <v>1542</v>
      </c>
    </row>
    <row r="674" spans="3:4" ht="15" customHeight="1">
      <c r="C674" s="374">
        <v>881007</v>
      </c>
      <c r="D674" s="374" t="s">
        <v>1724</v>
      </c>
    </row>
    <row r="675" spans="3:4" ht="15" customHeight="1">
      <c r="C675" s="374">
        <v>881008</v>
      </c>
      <c r="D675" s="374" t="s">
        <v>1754</v>
      </c>
    </row>
    <row r="676" spans="3:4" ht="15" customHeight="1">
      <c r="C676" s="374">
        <v>881011</v>
      </c>
      <c r="D676" s="374" t="s">
        <v>1725</v>
      </c>
    </row>
    <row r="677" spans="3:4" ht="15" customHeight="1">
      <c r="C677" s="374">
        <v>8899</v>
      </c>
      <c r="D677" s="374" t="s">
        <v>1608</v>
      </c>
    </row>
    <row r="678" spans="3:4" ht="15" customHeight="1">
      <c r="C678" s="374">
        <v>889901</v>
      </c>
      <c r="D678" s="374" t="s">
        <v>1755</v>
      </c>
    </row>
    <row r="679" spans="3:4" ht="15" customHeight="1">
      <c r="C679" s="374">
        <v>9</v>
      </c>
      <c r="D679" s="374" t="s">
        <v>1756</v>
      </c>
    </row>
    <row r="680" spans="3:4" ht="15" customHeight="1">
      <c r="C680" s="374">
        <v>98</v>
      </c>
      <c r="D680" s="374" t="s">
        <v>1757</v>
      </c>
    </row>
    <row r="681" spans="3:4" ht="15" customHeight="1">
      <c r="C681" s="374">
        <v>981</v>
      </c>
      <c r="D681" s="374" t="s">
        <v>1758</v>
      </c>
    </row>
    <row r="682" spans="3:4" ht="15" customHeight="1">
      <c r="C682" s="374">
        <v>980101</v>
      </c>
      <c r="D682" s="374" t="s">
        <v>1759</v>
      </c>
    </row>
    <row r="683" spans="3:4" ht="15" customHeight="1">
      <c r="C683" s="374">
        <v>980102</v>
      </c>
      <c r="D683" s="374" t="s">
        <v>1760</v>
      </c>
    </row>
    <row r="684" spans="3:4" ht="15" customHeight="1">
      <c r="C684" s="374">
        <v>982</v>
      </c>
      <c r="D684" s="374" t="s">
        <v>1761</v>
      </c>
    </row>
    <row r="685" spans="3:4" ht="15" customHeight="1">
      <c r="C685" s="374">
        <v>980201</v>
      </c>
      <c r="D685" s="374" t="s">
        <v>1762</v>
      </c>
    </row>
    <row r="686" spans="3:4" ht="15" customHeight="1">
      <c r="C686" s="374">
        <v>99</v>
      </c>
      <c r="D686" s="374" t="s">
        <v>1763</v>
      </c>
    </row>
    <row r="687" spans="3:4" ht="15" customHeight="1">
      <c r="C687" s="374">
        <v>991</v>
      </c>
      <c r="D687" s="374" t="s">
        <v>1764</v>
      </c>
    </row>
    <row r="688" spans="3:4" ht="15" customHeight="1">
      <c r="C688" s="374">
        <v>990101</v>
      </c>
      <c r="D688" s="374" t="s">
        <v>391</v>
      </c>
    </row>
    <row r="689" spans="3:4" ht="15" customHeight="1">
      <c r="C689" s="374">
        <v>990102</v>
      </c>
      <c r="D689" s="374" t="s">
        <v>1765</v>
      </c>
    </row>
    <row r="690" spans="3:4" ht="15" customHeight="1">
      <c r="C690" s="374">
        <v>990103</v>
      </c>
      <c r="D690" s="374" t="s">
        <v>1766</v>
      </c>
    </row>
    <row r="691" spans="3:4" ht="15" customHeight="1">
      <c r="C691" s="374">
        <v>990104</v>
      </c>
      <c r="D691" s="374" t="s">
        <v>1767</v>
      </c>
    </row>
    <row r="692" spans="3:4" ht="15" customHeight="1">
      <c r="C692" s="376">
        <v>990105</v>
      </c>
      <c r="D692" s="375" t="s">
        <v>1768</v>
      </c>
    </row>
    <row r="693" spans="3:4" ht="15" customHeight="1">
      <c r="C693" s="374">
        <v>990106</v>
      </c>
      <c r="D693" s="374" t="s">
        <v>1769</v>
      </c>
    </row>
    <row r="694" spans="3:4" ht="15" customHeight="1">
      <c r="C694" s="374">
        <v>990107</v>
      </c>
      <c r="D694" s="374" t="s">
        <v>1770</v>
      </c>
    </row>
  </sheetData>
  <pageMargins left="0.7" right="0.7" top="0.75" bottom="0.75" header="0.3" footer="0.3"/>
  <pageSetup paperSize="9" scale="9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W176"/>
  <sheetViews>
    <sheetView topLeftCell="C146" zoomScale="69" zoomScaleNormal="69" workbookViewId="0">
      <selection activeCell="I177" sqref="I177"/>
    </sheetView>
  </sheetViews>
  <sheetFormatPr baseColWidth="10" defaultColWidth="11.42578125" defaultRowHeight="15"/>
  <cols>
    <col min="1" max="5" width="15" customWidth="1"/>
    <col min="6" max="6" width="15.42578125" customWidth="1"/>
    <col min="11" max="11" width="12.5703125" bestFit="1" customWidth="1"/>
    <col min="12" max="12" width="11.5703125" bestFit="1" customWidth="1"/>
    <col min="13" max="13" width="11.7109375" bestFit="1" customWidth="1"/>
    <col min="14" max="14" width="11.5703125" bestFit="1" customWidth="1"/>
    <col min="20" max="22" width="12.85546875" customWidth="1"/>
  </cols>
  <sheetData>
    <row r="1" spans="1:23">
      <c r="A1" s="342" t="s">
        <v>16</v>
      </c>
      <c r="B1" t="s">
        <v>803</v>
      </c>
    </row>
    <row r="3" spans="1:23">
      <c r="F3" s="342" t="s">
        <v>804</v>
      </c>
    </row>
    <row r="4" spans="1:23">
      <c r="A4" s="342" t="s">
        <v>17</v>
      </c>
      <c r="B4" s="342" t="s">
        <v>18</v>
      </c>
      <c r="C4" s="342" t="s">
        <v>19</v>
      </c>
      <c r="D4" s="342" t="s">
        <v>20</v>
      </c>
      <c r="E4" s="342" t="s">
        <v>21</v>
      </c>
      <c r="F4" t="s">
        <v>805</v>
      </c>
      <c r="G4" t="s">
        <v>806</v>
      </c>
      <c r="H4" t="s">
        <v>807</v>
      </c>
      <c r="I4" t="s">
        <v>808</v>
      </c>
      <c r="K4" t="s">
        <v>809</v>
      </c>
      <c r="L4" t="s">
        <v>810</v>
      </c>
      <c r="M4" t="s">
        <v>811</v>
      </c>
      <c r="N4" t="s">
        <v>812</v>
      </c>
      <c r="O4" s="148" t="s">
        <v>813</v>
      </c>
      <c r="P4" s="148" t="s">
        <v>814</v>
      </c>
      <c r="Q4" s="148" t="s">
        <v>815</v>
      </c>
      <c r="R4" s="148" t="s">
        <v>816</v>
      </c>
      <c r="S4" s="148" t="s">
        <v>817</v>
      </c>
      <c r="T4" s="148" t="s">
        <v>818</v>
      </c>
      <c r="U4" s="148" t="s">
        <v>819</v>
      </c>
      <c r="V4" s="148" t="s">
        <v>820</v>
      </c>
      <c r="W4" s="148" t="s">
        <v>821</v>
      </c>
    </row>
    <row r="5" spans="1:23">
      <c r="A5" t="s">
        <v>80</v>
      </c>
      <c r="B5" t="s">
        <v>81</v>
      </c>
      <c r="C5" t="s">
        <v>82</v>
      </c>
      <c r="D5" t="s">
        <v>822</v>
      </c>
      <c r="E5">
        <v>510105</v>
      </c>
      <c r="F5">
        <v>1066408.9400000002</v>
      </c>
      <c r="G5">
        <v>0</v>
      </c>
      <c r="H5">
        <v>265320.19</v>
      </c>
      <c r="I5">
        <v>265320.19</v>
      </c>
      <c r="J5">
        <f>+E5-S5</f>
        <v>0</v>
      </c>
      <c r="K5">
        <f>+F5-T5</f>
        <v>-9999.9999999997672</v>
      </c>
      <c r="L5">
        <f>+G5-U5</f>
        <v>0</v>
      </c>
      <c r="M5">
        <f>+H5-V5</f>
        <v>0</v>
      </c>
      <c r="N5">
        <f>+I5-W5</f>
        <v>0</v>
      </c>
      <c r="O5" s="171">
        <v>1</v>
      </c>
      <c r="P5" s="171" t="s">
        <v>823</v>
      </c>
      <c r="Q5" s="6" t="s">
        <v>824</v>
      </c>
      <c r="R5" s="171">
        <v>510000</v>
      </c>
      <c r="S5" s="6">
        <v>510105</v>
      </c>
      <c r="T5" s="6">
        <v>1076408.94</v>
      </c>
      <c r="U5" s="6">
        <v>0</v>
      </c>
      <c r="V5" s="6">
        <v>265320.19</v>
      </c>
      <c r="W5" s="6">
        <v>265320.19</v>
      </c>
    </row>
    <row r="6" spans="1:23">
      <c r="E6">
        <v>510106</v>
      </c>
      <c r="F6">
        <v>243161.5</v>
      </c>
      <c r="G6">
        <v>0</v>
      </c>
      <c r="H6">
        <v>60393</v>
      </c>
      <c r="I6">
        <v>60393</v>
      </c>
      <c r="J6">
        <f t="shared" ref="J6:J47" si="0">+E6-S6</f>
        <v>0</v>
      </c>
      <c r="K6">
        <f t="shared" ref="K6:K47" si="1">+F6-T6</f>
        <v>0</v>
      </c>
      <c r="L6">
        <f t="shared" ref="L6:L47" si="2">+G6-U6</f>
        <v>0</v>
      </c>
      <c r="M6">
        <f t="shared" ref="M6:M47" si="3">+H6-V6</f>
        <v>0</v>
      </c>
      <c r="N6">
        <f t="shared" ref="N6:N47" si="4">+I6-W6</f>
        <v>0</v>
      </c>
      <c r="O6" s="171"/>
      <c r="P6" s="171"/>
      <c r="Q6" s="6"/>
      <c r="R6" s="171"/>
      <c r="S6" s="6">
        <v>510106</v>
      </c>
      <c r="T6" s="6">
        <v>243161.5</v>
      </c>
      <c r="U6" s="6">
        <v>0</v>
      </c>
      <c r="V6" s="6">
        <v>60393</v>
      </c>
      <c r="W6" s="6">
        <v>60393</v>
      </c>
    </row>
    <row r="7" spans="1:23">
      <c r="E7">
        <v>510203</v>
      </c>
      <c r="F7">
        <v>143666.10999999999</v>
      </c>
      <c r="G7">
        <v>0</v>
      </c>
      <c r="H7">
        <v>13818.71</v>
      </c>
      <c r="I7">
        <v>13818.71</v>
      </c>
      <c r="J7">
        <f t="shared" si="0"/>
        <v>0</v>
      </c>
      <c r="K7">
        <f t="shared" si="1"/>
        <v>0</v>
      </c>
      <c r="L7">
        <f t="shared" si="2"/>
        <v>0</v>
      </c>
      <c r="M7">
        <f t="shared" si="3"/>
        <v>0</v>
      </c>
      <c r="N7">
        <f t="shared" si="4"/>
        <v>0</v>
      </c>
      <c r="O7" s="171"/>
      <c r="P7" s="171"/>
      <c r="Q7" s="6"/>
      <c r="R7" s="171"/>
      <c r="S7" s="6">
        <v>510203</v>
      </c>
      <c r="T7" s="6">
        <v>143666.10999999999</v>
      </c>
      <c r="U7" s="6">
        <v>0</v>
      </c>
      <c r="V7" s="6">
        <v>13818.71</v>
      </c>
      <c r="W7" s="6">
        <v>13818.71</v>
      </c>
    </row>
    <row r="8" spans="1:23">
      <c r="E8">
        <v>510204</v>
      </c>
      <c r="F8">
        <v>56476.75</v>
      </c>
      <c r="G8">
        <v>0</v>
      </c>
      <c r="H8">
        <v>4424.58</v>
      </c>
      <c r="I8">
        <v>4424.58</v>
      </c>
      <c r="J8">
        <f t="shared" si="0"/>
        <v>0</v>
      </c>
      <c r="K8">
        <f t="shared" si="1"/>
        <v>0</v>
      </c>
      <c r="L8">
        <f t="shared" si="2"/>
        <v>0</v>
      </c>
      <c r="M8">
        <f t="shared" si="3"/>
        <v>0</v>
      </c>
      <c r="N8">
        <f t="shared" si="4"/>
        <v>0</v>
      </c>
      <c r="O8" s="171"/>
      <c r="P8" s="171"/>
      <c r="Q8" s="6"/>
      <c r="R8" s="171"/>
      <c r="S8" s="6">
        <v>510204</v>
      </c>
      <c r="T8" s="6">
        <v>56476.75</v>
      </c>
      <c r="U8" s="6">
        <v>0</v>
      </c>
      <c r="V8" s="6">
        <v>4424.58</v>
      </c>
      <c r="W8" s="6">
        <v>4424.58</v>
      </c>
    </row>
    <row r="9" spans="1:23">
      <c r="E9">
        <v>510304</v>
      </c>
      <c r="F9">
        <v>3675</v>
      </c>
      <c r="G9">
        <v>0</v>
      </c>
      <c r="H9">
        <v>880</v>
      </c>
      <c r="I9">
        <v>880</v>
      </c>
      <c r="J9">
        <f t="shared" si="0"/>
        <v>0</v>
      </c>
      <c r="K9">
        <f t="shared" si="1"/>
        <v>0</v>
      </c>
      <c r="L9">
        <f t="shared" si="2"/>
        <v>0</v>
      </c>
      <c r="M9">
        <f t="shared" si="3"/>
        <v>0</v>
      </c>
      <c r="N9">
        <f t="shared" si="4"/>
        <v>0</v>
      </c>
      <c r="O9" s="171"/>
      <c r="P9" s="171"/>
      <c r="Q9" s="6"/>
      <c r="R9" s="171"/>
      <c r="S9" s="6">
        <v>510304</v>
      </c>
      <c r="T9" s="6">
        <v>3675</v>
      </c>
      <c r="U9" s="6">
        <v>0</v>
      </c>
      <c r="V9" s="6">
        <v>880</v>
      </c>
      <c r="W9" s="6">
        <v>880</v>
      </c>
    </row>
    <row r="10" spans="1:23">
      <c r="E10">
        <v>510306</v>
      </c>
      <c r="F10">
        <v>25725</v>
      </c>
      <c r="G10">
        <v>0</v>
      </c>
      <c r="H10">
        <v>6160</v>
      </c>
      <c r="I10">
        <v>6160</v>
      </c>
      <c r="J10">
        <f t="shared" si="0"/>
        <v>0</v>
      </c>
      <c r="K10">
        <f t="shared" si="1"/>
        <v>0</v>
      </c>
      <c r="L10">
        <f t="shared" si="2"/>
        <v>0</v>
      </c>
      <c r="M10">
        <f t="shared" si="3"/>
        <v>0</v>
      </c>
      <c r="N10">
        <f t="shared" si="4"/>
        <v>0</v>
      </c>
      <c r="O10" s="171"/>
      <c r="P10" s="171"/>
      <c r="Q10" s="6"/>
      <c r="R10" s="171"/>
      <c r="S10" s="6">
        <v>510306</v>
      </c>
      <c r="T10" s="6">
        <v>25725</v>
      </c>
      <c r="U10" s="6">
        <v>0</v>
      </c>
      <c r="V10" s="6">
        <v>6160</v>
      </c>
      <c r="W10" s="6">
        <v>6160</v>
      </c>
    </row>
    <row r="11" spans="1:23">
      <c r="E11">
        <v>510401</v>
      </c>
      <c r="F11">
        <v>1235.46</v>
      </c>
      <c r="G11">
        <v>0</v>
      </c>
      <c r="H11">
        <v>297.34000000000003</v>
      </c>
      <c r="I11">
        <v>297.34000000000003</v>
      </c>
      <c r="J11">
        <f t="shared" si="0"/>
        <v>0</v>
      </c>
      <c r="K11">
        <f t="shared" si="1"/>
        <v>0</v>
      </c>
      <c r="L11">
        <f t="shared" si="2"/>
        <v>0</v>
      </c>
      <c r="M11">
        <f t="shared" si="3"/>
        <v>0</v>
      </c>
      <c r="N11">
        <f t="shared" si="4"/>
        <v>0</v>
      </c>
      <c r="O11" s="171"/>
      <c r="P11" s="171"/>
      <c r="Q11" s="6"/>
      <c r="R11" s="171"/>
      <c r="S11" s="6">
        <v>510401</v>
      </c>
      <c r="T11" s="6">
        <v>1235.46</v>
      </c>
      <c r="U11" s="6">
        <v>0</v>
      </c>
      <c r="V11" s="6">
        <v>297.33999999999997</v>
      </c>
      <c r="W11" s="6">
        <v>297.33999999999997</v>
      </c>
    </row>
    <row r="12" spans="1:23">
      <c r="E12">
        <v>510408</v>
      </c>
      <c r="F12">
        <v>1210.27</v>
      </c>
      <c r="G12">
        <v>0</v>
      </c>
      <c r="H12">
        <v>329.18</v>
      </c>
      <c r="I12">
        <v>329.18</v>
      </c>
      <c r="J12">
        <f t="shared" si="0"/>
        <v>0</v>
      </c>
      <c r="K12">
        <f t="shared" si="1"/>
        <v>0</v>
      </c>
      <c r="L12">
        <f t="shared" si="2"/>
        <v>0</v>
      </c>
      <c r="M12">
        <f t="shared" si="3"/>
        <v>0</v>
      </c>
      <c r="N12">
        <f t="shared" si="4"/>
        <v>0</v>
      </c>
      <c r="O12" s="171"/>
      <c r="P12" s="171"/>
      <c r="Q12" s="6"/>
      <c r="R12" s="171"/>
      <c r="S12" s="6">
        <v>510408</v>
      </c>
      <c r="T12" s="6">
        <v>1210.27</v>
      </c>
      <c r="U12" s="6">
        <v>0</v>
      </c>
      <c r="V12" s="6">
        <v>329.18</v>
      </c>
      <c r="W12" s="6">
        <v>329.18</v>
      </c>
    </row>
    <row r="13" spans="1:23">
      <c r="E13">
        <v>510509</v>
      </c>
      <c r="F13">
        <v>5699.04</v>
      </c>
      <c r="G13">
        <v>0</v>
      </c>
      <c r="H13">
        <v>2064.6</v>
      </c>
      <c r="I13">
        <v>2064.6</v>
      </c>
      <c r="J13">
        <f t="shared" si="0"/>
        <v>0</v>
      </c>
      <c r="K13">
        <f t="shared" si="1"/>
        <v>0</v>
      </c>
      <c r="L13">
        <f t="shared" si="2"/>
        <v>0</v>
      </c>
      <c r="M13">
        <f t="shared" si="3"/>
        <v>0</v>
      </c>
      <c r="N13">
        <f t="shared" si="4"/>
        <v>0</v>
      </c>
      <c r="O13" s="171"/>
      <c r="P13" s="171"/>
      <c r="Q13" s="6"/>
      <c r="R13" s="171"/>
      <c r="S13" s="6">
        <v>510509</v>
      </c>
      <c r="T13" s="6">
        <v>5699.04</v>
      </c>
      <c r="U13" s="6">
        <v>0</v>
      </c>
      <c r="V13" s="6">
        <v>2064.6</v>
      </c>
      <c r="W13" s="6">
        <v>2064.6</v>
      </c>
    </row>
    <row r="14" spans="1:23">
      <c r="E14">
        <v>510510</v>
      </c>
      <c r="F14">
        <v>383592.44</v>
      </c>
      <c r="G14">
        <v>0</v>
      </c>
      <c r="H14">
        <v>101544.09999999999</v>
      </c>
      <c r="I14">
        <v>101544.09999999999</v>
      </c>
      <c r="J14">
        <f t="shared" si="0"/>
        <v>0</v>
      </c>
      <c r="K14">
        <f t="shared" si="1"/>
        <v>10000</v>
      </c>
      <c r="L14">
        <f t="shared" si="2"/>
        <v>0</v>
      </c>
      <c r="M14">
        <f t="shared" si="3"/>
        <v>0</v>
      </c>
      <c r="N14">
        <f t="shared" si="4"/>
        <v>0</v>
      </c>
      <c r="O14" s="171"/>
      <c r="P14" s="171"/>
      <c r="Q14" s="6"/>
      <c r="R14" s="171"/>
      <c r="S14" s="6">
        <v>510510</v>
      </c>
      <c r="T14" s="6">
        <v>373592.44</v>
      </c>
      <c r="U14" s="6">
        <v>0</v>
      </c>
      <c r="V14" s="6">
        <v>101544.1</v>
      </c>
      <c r="W14" s="6">
        <v>101544.1</v>
      </c>
    </row>
    <row r="15" spans="1:23">
      <c r="E15">
        <v>510512</v>
      </c>
      <c r="F15">
        <v>7042.87</v>
      </c>
      <c r="G15">
        <v>0</v>
      </c>
      <c r="H15">
        <v>0</v>
      </c>
      <c r="I15">
        <v>0</v>
      </c>
      <c r="J15">
        <f t="shared" si="0"/>
        <v>0</v>
      </c>
      <c r="K15">
        <f t="shared" si="1"/>
        <v>0</v>
      </c>
      <c r="L15">
        <f t="shared" si="2"/>
        <v>0</v>
      </c>
      <c r="M15">
        <f t="shared" si="3"/>
        <v>0</v>
      </c>
      <c r="N15">
        <f t="shared" si="4"/>
        <v>0</v>
      </c>
      <c r="O15" s="171"/>
      <c r="P15" s="171"/>
      <c r="Q15" s="6"/>
      <c r="R15" s="171"/>
      <c r="S15" s="6">
        <v>510512</v>
      </c>
      <c r="T15" s="6">
        <v>7042.87</v>
      </c>
      <c r="U15" s="6">
        <v>0</v>
      </c>
      <c r="V15" s="6">
        <v>0</v>
      </c>
      <c r="W15" s="6">
        <v>0</v>
      </c>
    </row>
    <row r="16" spans="1:23">
      <c r="E16">
        <v>510513</v>
      </c>
      <c r="F16">
        <v>2561</v>
      </c>
      <c r="G16">
        <v>0</v>
      </c>
      <c r="H16">
        <v>0</v>
      </c>
      <c r="I16">
        <v>0</v>
      </c>
      <c r="J16">
        <f t="shared" si="0"/>
        <v>0</v>
      </c>
      <c r="K16">
        <f t="shared" si="1"/>
        <v>0</v>
      </c>
      <c r="L16">
        <f t="shared" si="2"/>
        <v>0</v>
      </c>
      <c r="M16">
        <f t="shared" si="3"/>
        <v>0</v>
      </c>
      <c r="N16">
        <f t="shared" si="4"/>
        <v>0</v>
      </c>
      <c r="O16" s="171"/>
      <c r="P16" s="171"/>
      <c r="Q16" s="6"/>
      <c r="R16" s="171"/>
      <c r="S16" s="6">
        <v>510513</v>
      </c>
      <c r="T16" s="6">
        <v>2561</v>
      </c>
      <c r="U16" s="6">
        <v>0</v>
      </c>
      <c r="V16" s="6">
        <v>0</v>
      </c>
      <c r="W16" s="6">
        <v>0</v>
      </c>
    </row>
    <row r="17" spans="4:23">
      <c r="E17">
        <v>510601</v>
      </c>
      <c r="F17">
        <v>173787.63999999998</v>
      </c>
      <c r="G17">
        <v>0</v>
      </c>
      <c r="H17">
        <v>42991.82</v>
      </c>
      <c r="I17">
        <v>42991.82</v>
      </c>
      <c r="J17">
        <f t="shared" si="0"/>
        <v>0</v>
      </c>
      <c r="K17">
        <f t="shared" si="1"/>
        <v>0</v>
      </c>
      <c r="L17">
        <f t="shared" si="2"/>
        <v>0</v>
      </c>
      <c r="M17">
        <f t="shared" si="3"/>
        <v>0</v>
      </c>
      <c r="N17">
        <f t="shared" si="4"/>
        <v>0</v>
      </c>
      <c r="O17" s="171"/>
      <c r="P17" s="171"/>
      <c r="Q17" s="6"/>
      <c r="R17" s="171"/>
      <c r="S17" s="6">
        <v>510601</v>
      </c>
      <c r="T17" s="6">
        <v>173787.64</v>
      </c>
      <c r="U17" s="6">
        <v>0</v>
      </c>
      <c r="V17" s="6">
        <v>42991.82</v>
      </c>
      <c r="W17" s="6">
        <v>42991.82</v>
      </c>
    </row>
    <row r="18" spans="4:23">
      <c r="E18">
        <v>510602</v>
      </c>
      <c r="F18">
        <v>124305.09</v>
      </c>
      <c r="G18">
        <v>0</v>
      </c>
      <c r="H18">
        <v>19231.47</v>
      </c>
      <c r="I18">
        <v>19231.47</v>
      </c>
      <c r="J18">
        <f t="shared" si="0"/>
        <v>0</v>
      </c>
      <c r="K18">
        <f t="shared" si="1"/>
        <v>0</v>
      </c>
      <c r="L18">
        <f t="shared" si="2"/>
        <v>0</v>
      </c>
      <c r="M18">
        <f t="shared" si="3"/>
        <v>0</v>
      </c>
      <c r="N18">
        <f t="shared" si="4"/>
        <v>0</v>
      </c>
      <c r="O18" s="171"/>
      <c r="P18" s="171"/>
      <c r="Q18" s="6"/>
      <c r="R18" s="171"/>
      <c r="S18" s="6">
        <v>510602</v>
      </c>
      <c r="T18" s="6">
        <v>124305.09</v>
      </c>
      <c r="U18" s="6">
        <v>0</v>
      </c>
      <c r="V18" s="6">
        <v>19231.47</v>
      </c>
      <c r="W18" s="6">
        <v>19231.47</v>
      </c>
    </row>
    <row r="19" spans="4:23">
      <c r="E19">
        <v>510707</v>
      </c>
      <c r="F19">
        <v>0</v>
      </c>
      <c r="G19">
        <v>0</v>
      </c>
      <c r="H19">
        <v>0</v>
      </c>
      <c r="I19">
        <v>0</v>
      </c>
      <c r="J19">
        <f t="shared" si="0"/>
        <v>510707</v>
      </c>
      <c r="K19">
        <f t="shared" si="1"/>
        <v>0</v>
      </c>
      <c r="L19">
        <f t="shared" si="2"/>
        <v>0</v>
      </c>
      <c r="M19">
        <f t="shared" si="3"/>
        <v>0</v>
      </c>
      <c r="N19">
        <f t="shared" si="4"/>
        <v>0</v>
      </c>
    </row>
    <row r="20" spans="4:23">
      <c r="D20" t="s">
        <v>825</v>
      </c>
      <c r="E20">
        <v>530101</v>
      </c>
      <c r="F20">
        <v>70723.360000000001</v>
      </c>
      <c r="G20">
        <v>37754.009999999995</v>
      </c>
      <c r="H20">
        <v>32969.35</v>
      </c>
      <c r="I20">
        <v>32969.35</v>
      </c>
      <c r="J20">
        <f t="shared" si="0"/>
        <v>0</v>
      </c>
      <c r="K20">
        <f t="shared" si="1"/>
        <v>0</v>
      </c>
      <c r="L20">
        <f t="shared" si="2"/>
        <v>0</v>
      </c>
      <c r="M20">
        <f t="shared" si="3"/>
        <v>0</v>
      </c>
      <c r="N20">
        <f t="shared" si="4"/>
        <v>0</v>
      </c>
      <c r="R20">
        <v>530000</v>
      </c>
      <c r="S20">
        <v>530101</v>
      </c>
      <c r="T20">
        <v>70723.360000000001</v>
      </c>
      <c r="U20">
        <v>37754.01</v>
      </c>
      <c r="V20">
        <v>32969.35</v>
      </c>
      <c r="W20">
        <v>32969.35</v>
      </c>
    </row>
    <row r="21" spans="4:23">
      <c r="E21">
        <v>530104</v>
      </c>
      <c r="F21">
        <v>72000</v>
      </c>
      <c r="G21">
        <v>37585.660000000003</v>
      </c>
      <c r="H21">
        <v>34414.339999999997</v>
      </c>
      <c r="I21">
        <v>34414.340000000004</v>
      </c>
      <c r="J21">
        <f t="shared" si="0"/>
        <v>0</v>
      </c>
      <c r="K21">
        <f t="shared" si="1"/>
        <v>0</v>
      </c>
      <c r="L21">
        <f t="shared" si="2"/>
        <v>0</v>
      </c>
      <c r="M21">
        <f t="shared" si="3"/>
        <v>0</v>
      </c>
      <c r="N21">
        <f t="shared" si="4"/>
        <v>0</v>
      </c>
      <c r="O21" s="171"/>
      <c r="P21" s="171"/>
      <c r="Q21" s="6"/>
      <c r="R21" s="171"/>
      <c r="S21" s="6">
        <v>530104</v>
      </c>
      <c r="T21" s="6">
        <v>72000</v>
      </c>
      <c r="U21" s="6">
        <v>37585.660000000003</v>
      </c>
      <c r="V21" s="6">
        <v>34414.339999999997</v>
      </c>
      <c r="W21" s="6">
        <v>34414.339999999997</v>
      </c>
    </row>
    <row r="22" spans="4:23">
      <c r="E22">
        <v>530105</v>
      </c>
      <c r="F22">
        <v>256356.00000000003</v>
      </c>
      <c r="G22">
        <v>7109.55</v>
      </c>
      <c r="H22">
        <v>249246.44999999998</v>
      </c>
      <c r="I22">
        <v>42276.86</v>
      </c>
      <c r="J22">
        <f t="shared" si="0"/>
        <v>0</v>
      </c>
      <c r="K22">
        <f t="shared" si="1"/>
        <v>0</v>
      </c>
      <c r="L22">
        <f t="shared" si="2"/>
        <v>0</v>
      </c>
      <c r="M22">
        <f t="shared" si="3"/>
        <v>0</v>
      </c>
      <c r="N22">
        <f t="shared" si="4"/>
        <v>0</v>
      </c>
      <c r="O22" s="171"/>
      <c r="P22" s="171"/>
      <c r="Q22" s="6"/>
      <c r="R22" s="171"/>
      <c r="S22" s="6">
        <v>530105</v>
      </c>
      <c r="T22" s="6">
        <v>256356</v>
      </c>
      <c r="U22" s="6">
        <v>7109.55</v>
      </c>
      <c r="V22" s="6">
        <v>249246.45</v>
      </c>
      <c r="W22" s="6">
        <v>42276.86</v>
      </c>
    </row>
    <row r="23" spans="4:23">
      <c r="E23">
        <v>530106</v>
      </c>
      <c r="F23">
        <v>175</v>
      </c>
      <c r="G23">
        <v>175</v>
      </c>
      <c r="H23">
        <v>0</v>
      </c>
      <c r="I23">
        <v>0</v>
      </c>
      <c r="J23">
        <f t="shared" si="0"/>
        <v>0</v>
      </c>
      <c r="K23">
        <f t="shared" si="1"/>
        <v>0</v>
      </c>
      <c r="L23">
        <f t="shared" si="2"/>
        <v>0</v>
      </c>
      <c r="M23">
        <f t="shared" si="3"/>
        <v>0</v>
      </c>
      <c r="N23">
        <f t="shared" si="4"/>
        <v>0</v>
      </c>
      <c r="O23" s="171"/>
      <c r="P23" s="171"/>
      <c r="Q23" s="6"/>
      <c r="R23" s="171"/>
      <c r="S23" s="6">
        <v>530106</v>
      </c>
      <c r="T23" s="6">
        <v>175</v>
      </c>
      <c r="U23" s="6">
        <v>175</v>
      </c>
      <c r="V23" s="6">
        <v>0</v>
      </c>
      <c r="W23" s="6">
        <v>0</v>
      </c>
    </row>
    <row r="24" spans="4:23">
      <c r="E24">
        <v>530201</v>
      </c>
      <c r="F24">
        <v>102673.66</v>
      </c>
      <c r="G24">
        <v>0</v>
      </c>
      <c r="H24">
        <v>0</v>
      </c>
      <c r="I24">
        <v>0</v>
      </c>
      <c r="J24">
        <f t="shared" si="0"/>
        <v>0</v>
      </c>
      <c r="K24">
        <f t="shared" si="1"/>
        <v>-4667.3399999999965</v>
      </c>
      <c r="L24">
        <f t="shared" si="2"/>
        <v>0</v>
      </c>
      <c r="M24">
        <f t="shared" si="3"/>
        <v>0</v>
      </c>
      <c r="N24">
        <f t="shared" si="4"/>
        <v>0</v>
      </c>
      <c r="O24" s="171"/>
      <c r="P24" s="171"/>
      <c r="Q24" s="6"/>
      <c r="R24" s="171"/>
      <c r="S24" s="6">
        <v>530201</v>
      </c>
      <c r="T24" s="6">
        <v>107341</v>
      </c>
      <c r="U24" s="6">
        <v>0</v>
      </c>
      <c r="V24" s="6">
        <v>0</v>
      </c>
      <c r="W24" s="6">
        <v>0</v>
      </c>
    </row>
    <row r="25" spans="4:23">
      <c r="E25">
        <v>530203</v>
      </c>
      <c r="F25">
        <v>0</v>
      </c>
      <c r="G25">
        <v>0</v>
      </c>
      <c r="H25">
        <v>0</v>
      </c>
      <c r="I25">
        <v>0</v>
      </c>
      <c r="J25">
        <f t="shared" si="0"/>
        <v>0</v>
      </c>
      <c r="K25">
        <f t="shared" si="1"/>
        <v>0</v>
      </c>
      <c r="L25">
        <f t="shared" si="2"/>
        <v>0</v>
      </c>
      <c r="M25">
        <f t="shared" si="3"/>
        <v>0</v>
      </c>
      <c r="N25">
        <f t="shared" si="4"/>
        <v>0</v>
      </c>
      <c r="O25" s="171"/>
      <c r="P25" s="171"/>
      <c r="Q25" s="6"/>
      <c r="R25" s="171"/>
      <c r="S25" s="6">
        <v>530203</v>
      </c>
      <c r="T25" s="6">
        <v>0</v>
      </c>
      <c r="U25" s="6">
        <v>0</v>
      </c>
      <c r="V25" s="6">
        <v>0</v>
      </c>
      <c r="W25" s="6">
        <v>0</v>
      </c>
    </row>
    <row r="26" spans="4:23">
      <c r="E26">
        <v>530204</v>
      </c>
      <c r="F26">
        <v>34562.959999999999</v>
      </c>
      <c r="G26">
        <v>1300</v>
      </c>
      <c r="H26">
        <v>9194.56</v>
      </c>
      <c r="I26">
        <v>0</v>
      </c>
      <c r="J26">
        <f t="shared" si="0"/>
        <v>0</v>
      </c>
      <c r="K26">
        <f t="shared" si="1"/>
        <v>0</v>
      </c>
      <c r="L26">
        <f t="shared" si="2"/>
        <v>0</v>
      </c>
      <c r="M26">
        <f t="shared" si="3"/>
        <v>0</v>
      </c>
      <c r="N26">
        <f t="shared" si="4"/>
        <v>0</v>
      </c>
      <c r="O26" s="171"/>
      <c r="P26" s="171"/>
      <c r="Q26" s="6"/>
      <c r="R26" s="171"/>
      <c r="S26" s="6">
        <v>530204</v>
      </c>
      <c r="T26" s="6">
        <v>34562.959999999999</v>
      </c>
      <c r="U26" s="6">
        <v>1300</v>
      </c>
      <c r="V26" s="6">
        <v>9194.56</v>
      </c>
      <c r="W26" s="6">
        <v>0</v>
      </c>
    </row>
    <row r="27" spans="4:23">
      <c r="E27">
        <v>530205</v>
      </c>
      <c r="F27">
        <v>63165.79</v>
      </c>
      <c r="G27">
        <v>0</v>
      </c>
      <c r="H27">
        <v>0</v>
      </c>
      <c r="I27">
        <v>0</v>
      </c>
      <c r="J27">
        <f t="shared" si="0"/>
        <v>0</v>
      </c>
      <c r="K27">
        <f t="shared" si="1"/>
        <v>0</v>
      </c>
      <c r="L27">
        <f t="shared" si="2"/>
        <v>0</v>
      </c>
      <c r="M27">
        <f t="shared" si="3"/>
        <v>0</v>
      </c>
      <c r="N27">
        <f t="shared" si="4"/>
        <v>0</v>
      </c>
      <c r="O27" s="171"/>
      <c r="P27" s="171"/>
      <c r="Q27" s="6"/>
      <c r="R27" s="171"/>
      <c r="S27" s="6">
        <v>530205</v>
      </c>
      <c r="T27" s="6">
        <v>63165.79</v>
      </c>
      <c r="U27" s="6">
        <v>0</v>
      </c>
      <c r="V27" s="6">
        <v>0</v>
      </c>
      <c r="W27" s="6">
        <v>0</v>
      </c>
    </row>
    <row r="28" spans="4:23">
      <c r="E28">
        <v>530207</v>
      </c>
      <c r="F28">
        <v>6600</v>
      </c>
      <c r="G28">
        <v>0</v>
      </c>
      <c r="H28">
        <v>0</v>
      </c>
      <c r="I28">
        <v>0</v>
      </c>
      <c r="J28">
        <f t="shared" si="0"/>
        <v>0</v>
      </c>
      <c r="K28">
        <f t="shared" si="1"/>
        <v>0</v>
      </c>
      <c r="L28">
        <f t="shared" si="2"/>
        <v>0</v>
      </c>
      <c r="M28">
        <f t="shared" si="3"/>
        <v>0</v>
      </c>
      <c r="N28">
        <f t="shared" si="4"/>
        <v>0</v>
      </c>
      <c r="O28" s="171"/>
      <c r="P28" s="171"/>
      <c r="Q28" s="6"/>
      <c r="R28" s="171"/>
      <c r="S28" s="6">
        <v>530207</v>
      </c>
      <c r="T28" s="6">
        <v>6600</v>
      </c>
      <c r="U28" s="6">
        <v>0</v>
      </c>
      <c r="V28" s="6">
        <v>0</v>
      </c>
      <c r="W28" s="6">
        <v>0</v>
      </c>
    </row>
    <row r="29" spans="4:23">
      <c r="E29">
        <v>530208</v>
      </c>
      <c r="F29">
        <v>614096.57000000007</v>
      </c>
      <c r="G29">
        <v>0</v>
      </c>
      <c r="H29">
        <v>614096.56000000006</v>
      </c>
      <c r="I29">
        <v>167480.88</v>
      </c>
      <c r="J29">
        <f t="shared" si="0"/>
        <v>0</v>
      </c>
      <c r="K29">
        <f t="shared" si="1"/>
        <v>-27236.529999999912</v>
      </c>
      <c r="L29">
        <f t="shared" si="2"/>
        <v>0</v>
      </c>
      <c r="M29">
        <f t="shared" si="3"/>
        <v>0</v>
      </c>
      <c r="N29">
        <f t="shared" si="4"/>
        <v>0</v>
      </c>
      <c r="O29" s="171"/>
      <c r="P29" s="171"/>
      <c r="Q29" s="6"/>
      <c r="R29" s="171"/>
      <c r="S29" s="6">
        <v>530208</v>
      </c>
      <c r="T29" s="6">
        <v>641333.1</v>
      </c>
      <c r="U29" s="6">
        <v>0</v>
      </c>
      <c r="V29" s="6">
        <v>614096.56000000006</v>
      </c>
      <c r="W29" s="6">
        <v>167480.88</v>
      </c>
    </row>
    <row r="30" spans="4:23">
      <c r="E30">
        <v>530209</v>
      </c>
      <c r="F30">
        <v>244821.36</v>
      </c>
      <c r="G30">
        <v>0</v>
      </c>
      <c r="H30">
        <v>244821.36</v>
      </c>
      <c r="I30">
        <v>18576</v>
      </c>
      <c r="J30">
        <f t="shared" si="0"/>
        <v>0</v>
      </c>
      <c r="K30">
        <f t="shared" si="1"/>
        <v>0</v>
      </c>
      <c r="L30">
        <f t="shared" si="2"/>
        <v>0</v>
      </c>
      <c r="M30">
        <f t="shared" si="3"/>
        <v>0</v>
      </c>
      <c r="N30">
        <f t="shared" si="4"/>
        <v>0</v>
      </c>
      <c r="O30" s="171"/>
      <c r="P30" s="171"/>
      <c r="Q30" s="6"/>
      <c r="R30" s="171"/>
      <c r="S30" s="6">
        <v>530209</v>
      </c>
      <c r="T30" s="6">
        <v>244821.36</v>
      </c>
      <c r="U30" s="6">
        <v>0</v>
      </c>
      <c r="V30" s="6">
        <v>244821.36</v>
      </c>
      <c r="W30" s="6">
        <v>18576</v>
      </c>
    </row>
    <row r="31" spans="4:23">
      <c r="E31">
        <v>530210</v>
      </c>
      <c r="F31">
        <v>70000</v>
      </c>
      <c r="G31">
        <v>0</v>
      </c>
      <c r="H31">
        <v>0</v>
      </c>
      <c r="I31">
        <v>0</v>
      </c>
      <c r="J31">
        <f t="shared" si="0"/>
        <v>0</v>
      </c>
      <c r="K31">
        <f t="shared" si="1"/>
        <v>0</v>
      </c>
      <c r="L31">
        <f t="shared" si="2"/>
        <v>0</v>
      </c>
      <c r="M31">
        <f t="shared" si="3"/>
        <v>0</v>
      </c>
      <c r="N31">
        <f t="shared" si="4"/>
        <v>0</v>
      </c>
      <c r="O31" s="171"/>
      <c r="P31" s="171"/>
      <c r="Q31" s="6"/>
      <c r="R31" s="171"/>
      <c r="S31" s="6">
        <v>530210</v>
      </c>
      <c r="T31" s="6">
        <v>70000</v>
      </c>
      <c r="U31" s="6">
        <v>0</v>
      </c>
      <c r="V31" s="6">
        <v>0</v>
      </c>
      <c r="W31" s="6">
        <v>0</v>
      </c>
    </row>
    <row r="32" spans="4:23">
      <c r="E32">
        <v>530244</v>
      </c>
      <c r="F32">
        <v>0</v>
      </c>
      <c r="G32">
        <v>0</v>
      </c>
      <c r="H32">
        <v>0</v>
      </c>
      <c r="I32">
        <v>0</v>
      </c>
      <c r="J32">
        <f t="shared" si="0"/>
        <v>530244</v>
      </c>
      <c r="K32">
        <f t="shared" si="1"/>
        <v>0</v>
      </c>
      <c r="L32">
        <f t="shared" si="2"/>
        <v>0</v>
      </c>
      <c r="M32">
        <f t="shared" si="3"/>
        <v>0</v>
      </c>
      <c r="N32">
        <f t="shared" si="4"/>
        <v>0</v>
      </c>
    </row>
    <row r="33" spans="5:23">
      <c r="E33">
        <v>530246</v>
      </c>
      <c r="F33">
        <v>5952</v>
      </c>
      <c r="G33">
        <v>0</v>
      </c>
      <c r="H33">
        <v>0</v>
      </c>
      <c r="I33">
        <v>0</v>
      </c>
      <c r="J33">
        <f t="shared" si="0"/>
        <v>0</v>
      </c>
      <c r="K33">
        <f t="shared" si="1"/>
        <v>0</v>
      </c>
      <c r="L33">
        <f t="shared" si="2"/>
        <v>0</v>
      </c>
      <c r="M33">
        <f t="shared" si="3"/>
        <v>0</v>
      </c>
      <c r="N33">
        <f t="shared" si="4"/>
        <v>0</v>
      </c>
      <c r="S33">
        <v>530246</v>
      </c>
      <c r="T33">
        <v>5952</v>
      </c>
      <c r="U33">
        <v>0</v>
      </c>
      <c r="V33">
        <v>0</v>
      </c>
      <c r="W33">
        <v>0</v>
      </c>
    </row>
    <row r="34" spans="5:23">
      <c r="E34">
        <v>530255</v>
      </c>
      <c r="F34">
        <v>985.18000000000006</v>
      </c>
      <c r="G34">
        <v>145</v>
      </c>
      <c r="H34">
        <v>447.59</v>
      </c>
      <c r="I34">
        <v>447.59000000000003</v>
      </c>
      <c r="J34">
        <f t="shared" si="0"/>
        <v>0</v>
      </c>
      <c r="K34">
        <f t="shared" si="1"/>
        <v>285.18000000000006</v>
      </c>
      <c r="L34">
        <f t="shared" si="2"/>
        <v>0</v>
      </c>
      <c r="M34">
        <f t="shared" si="3"/>
        <v>0</v>
      </c>
      <c r="N34">
        <f t="shared" si="4"/>
        <v>0</v>
      </c>
      <c r="O34" s="171"/>
      <c r="P34" s="171"/>
      <c r="Q34" s="6"/>
      <c r="R34" s="171"/>
      <c r="S34" s="6">
        <v>530255</v>
      </c>
      <c r="T34" s="6">
        <v>700</v>
      </c>
      <c r="U34" s="6">
        <v>145</v>
      </c>
      <c r="V34" s="6">
        <v>447.59</v>
      </c>
      <c r="W34" s="6">
        <v>447.59</v>
      </c>
    </row>
    <row r="35" spans="5:23">
      <c r="E35">
        <v>530301</v>
      </c>
      <c r="F35">
        <v>18554.830000000002</v>
      </c>
      <c r="G35">
        <v>0</v>
      </c>
      <c r="H35">
        <v>18054.830000000002</v>
      </c>
      <c r="I35">
        <v>0</v>
      </c>
      <c r="J35">
        <f t="shared" si="0"/>
        <v>0</v>
      </c>
      <c r="K35">
        <f t="shared" si="1"/>
        <v>-15000</v>
      </c>
      <c r="L35">
        <f t="shared" si="2"/>
        <v>0</v>
      </c>
      <c r="M35">
        <f t="shared" si="3"/>
        <v>0</v>
      </c>
      <c r="N35">
        <f t="shared" si="4"/>
        <v>0</v>
      </c>
      <c r="O35" s="171"/>
      <c r="P35" s="171"/>
      <c r="Q35" s="6"/>
      <c r="R35" s="171"/>
      <c r="S35" s="6">
        <v>530301</v>
      </c>
      <c r="T35" s="6">
        <v>33554.83</v>
      </c>
      <c r="U35" s="6">
        <v>0</v>
      </c>
      <c r="V35" s="6">
        <v>18054.830000000002</v>
      </c>
      <c r="W35" s="6">
        <v>0</v>
      </c>
    </row>
    <row r="36" spans="5:23">
      <c r="E36">
        <v>530302</v>
      </c>
      <c r="F36">
        <v>1679.7600000000002</v>
      </c>
      <c r="G36">
        <v>0</v>
      </c>
      <c r="H36">
        <v>1679.76</v>
      </c>
      <c r="I36">
        <v>0</v>
      </c>
      <c r="J36">
        <f t="shared" si="0"/>
        <v>0</v>
      </c>
      <c r="K36">
        <f t="shared" si="1"/>
        <v>-5000</v>
      </c>
      <c r="L36">
        <f t="shared" si="2"/>
        <v>0</v>
      </c>
      <c r="M36">
        <f t="shared" si="3"/>
        <v>0</v>
      </c>
      <c r="N36">
        <f t="shared" si="4"/>
        <v>0</v>
      </c>
      <c r="O36" s="171"/>
      <c r="P36" s="171"/>
      <c r="Q36" s="6"/>
      <c r="R36" s="171"/>
      <c r="S36" s="6">
        <v>530302</v>
      </c>
      <c r="T36" s="6">
        <v>6679.76</v>
      </c>
      <c r="U36" s="6">
        <v>0</v>
      </c>
      <c r="V36" s="6">
        <v>1679.76</v>
      </c>
      <c r="W36" s="6">
        <v>0</v>
      </c>
    </row>
    <row r="37" spans="5:23">
      <c r="E37">
        <v>530304</v>
      </c>
      <c r="F37">
        <v>4500</v>
      </c>
      <c r="G37">
        <v>2000</v>
      </c>
      <c r="H37">
        <v>0</v>
      </c>
      <c r="I37">
        <v>0</v>
      </c>
      <c r="J37">
        <f t="shared" si="0"/>
        <v>1</v>
      </c>
      <c r="K37">
        <f t="shared" si="1"/>
        <v>-3450</v>
      </c>
      <c r="L37">
        <f t="shared" si="2"/>
        <v>-1815.6</v>
      </c>
      <c r="M37">
        <f t="shared" si="3"/>
        <v>-4131.5600000000004</v>
      </c>
      <c r="N37">
        <f t="shared" si="4"/>
        <v>-4131.5600000000004</v>
      </c>
      <c r="O37" s="171"/>
      <c r="P37" s="171"/>
      <c r="Q37" s="6"/>
      <c r="R37" s="171"/>
      <c r="S37" s="6">
        <v>530303</v>
      </c>
      <c r="T37" s="6">
        <v>7950</v>
      </c>
      <c r="U37" s="6">
        <v>3815.6</v>
      </c>
      <c r="V37" s="6">
        <v>4131.5600000000004</v>
      </c>
      <c r="W37" s="6">
        <v>4131.5600000000004</v>
      </c>
    </row>
    <row r="38" spans="5:23">
      <c r="E38">
        <v>530307</v>
      </c>
      <c r="F38">
        <v>1100</v>
      </c>
      <c r="G38">
        <v>1100</v>
      </c>
      <c r="H38">
        <v>0</v>
      </c>
      <c r="I38">
        <v>0</v>
      </c>
      <c r="J38">
        <f t="shared" si="0"/>
        <v>3</v>
      </c>
      <c r="K38">
        <f t="shared" si="1"/>
        <v>-3400</v>
      </c>
      <c r="L38">
        <f t="shared" si="2"/>
        <v>-900</v>
      </c>
      <c r="M38">
        <f t="shared" si="3"/>
        <v>0</v>
      </c>
      <c r="N38">
        <f t="shared" si="4"/>
        <v>0</v>
      </c>
      <c r="O38" s="171"/>
      <c r="P38" s="171"/>
      <c r="Q38" s="6"/>
      <c r="R38" s="171"/>
      <c r="S38" s="6">
        <v>530304</v>
      </c>
      <c r="T38" s="6">
        <v>4500</v>
      </c>
      <c r="U38" s="6">
        <v>2000</v>
      </c>
      <c r="V38" s="6">
        <v>0</v>
      </c>
      <c r="W38" s="6">
        <v>0</v>
      </c>
    </row>
    <row r="39" spans="5:23">
      <c r="E39">
        <v>530402</v>
      </c>
      <c r="F39">
        <v>11159</v>
      </c>
      <c r="G39">
        <v>1365.6</v>
      </c>
      <c r="H39">
        <v>134.4</v>
      </c>
      <c r="I39">
        <v>134.4</v>
      </c>
      <c r="J39">
        <f t="shared" si="0"/>
        <v>95</v>
      </c>
      <c r="K39">
        <f t="shared" si="1"/>
        <v>10059</v>
      </c>
      <c r="L39">
        <f t="shared" si="2"/>
        <v>265.59999999999991</v>
      </c>
      <c r="M39">
        <f t="shared" si="3"/>
        <v>134.4</v>
      </c>
      <c r="N39">
        <f t="shared" si="4"/>
        <v>134.4</v>
      </c>
      <c r="O39" s="171"/>
      <c r="P39" s="171"/>
      <c r="Q39" s="6"/>
      <c r="R39" s="171"/>
      <c r="S39" s="6">
        <v>530307</v>
      </c>
      <c r="T39" s="6">
        <v>1100</v>
      </c>
      <c r="U39" s="6">
        <v>1100</v>
      </c>
      <c r="V39" s="6">
        <v>0</v>
      </c>
      <c r="W39" s="6">
        <v>0</v>
      </c>
    </row>
    <row r="40" spans="5:23">
      <c r="E40">
        <v>530404</v>
      </c>
      <c r="F40">
        <v>0</v>
      </c>
      <c r="G40">
        <v>0</v>
      </c>
      <c r="H40">
        <v>0</v>
      </c>
      <c r="I40">
        <v>0</v>
      </c>
      <c r="J40">
        <f t="shared" si="0"/>
        <v>2</v>
      </c>
      <c r="K40">
        <f t="shared" si="1"/>
        <v>-11159</v>
      </c>
      <c r="L40">
        <f t="shared" si="2"/>
        <v>-1365.6</v>
      </c>
      <c r="M40">
        <f t="shared" si="3"/>
        <v>-134.4</v>
      </c>
      <c r="N40">
        <f t="shared" si="4"/>
        <v>-134.4</v>
      </c>
      <c r="O40" s="171"/>
      <c r="P40" s="171"/>
      <c r="Q40" s="6"/>
      <c r="R40" s="171"/>
      <c r="S40" s="6">
        <v>530402</v>
      </c>
      <c r="T40" s="6">
        <v>11159</v>
      </c>
      <c r="U40" s="6">
        <v>1365.6</v>
      </c>
      <c r="V40" s="6">
        <v>134.4</v>
      </c>
      <c r="W40" s="6">
        <v>134.4</v>
      </c>
    </row>
    <row r="41" spans="5:23">
      <c r="E41">
        <v>530405</v>
      </c>
      <c r="F41">
        <v>848.68</v>
      </c>
      <c r="G41">
        <v>165.56</v>
      </c>
      <c r="H41">
        <v>34.44</v>
      </c>
      <c r="I41">
        <v>34.44</v>
      </c>
      <c r="J41">
        <f t="shared" si="0"/>
        <v>1</v>
      </c>
      <c r="K41">
        <f t="shared" si="1"/>
        <v>848.68</v>
      </c>
      <c r="L41">
        <f t="shared" si="2"/>
        <v>165.56</v>
      </c>
      <c r="M41">
        <f t="shared" si="3"/>
        <v>34.44</v>
      </c>
      <c r="N41">
        <f t="shared" si="4"/>
        <v>34.44</v>
      </c>
      <c r="O41" s="171"/>
      <c r="P41" s="171"/>
      <c r="Q41" s="6"/>
      <c r="R41" s="171"/>
      <c r="S41" s="6">
        <v>530404</v>
      </c>
      <c r="T41" s="6">
        <v>0</v>
      </c>
      <c r="U41" s="6">
        <v>0</v>
      </c>
      <c r="V41" s="6">
        <v>0</v>
      </c>
      <c r="W41" s="6">
        <v>0</v>
      </c>
    </row>
    <row r="42" spans="5:23">
      <c r="E42">
        <v>530303</v>
      </c>
      <c r="F42">
        <v>12332.16</v>
      </c>
      <c r="G42">
        <v>3815.6</v>
      </c>
      <c r="H42">
        <v>4131.5599999999995</v>
      </c>
      <c r="I42">
        <v>4131.5599999999995</v>
      </c>
      <c r="J42">
        <f t="shared" si="0"/>
        <v>-102</v>
      </c>
      <c r="K42">
        <f t="shared" si="1"/>
        <v>6698.98</v>
      </c>
      <c r="L42">
        <f t="shared" si="2"/>
        <v>3650.04</v>
      </c>
      <c r="M42">
        <f t="shared" si="3"/>
        <v>4097.12</v>
      </c>
      <c r="N42">
        <f t="shared" si="4"/>
        <v>4097.12</v>
      </c>
      <c r="O42" s="171"/>
      <c r="P42" s="171"/>
      <c r="Q42" s="6"/>
      <c r="R42" s="171"/>
      <c r="S42" s="6">
        <v>530405</v>
      </c>
      <c r="T42" s="6">
        <v>5633.18</v>
      </c>
      <c r="U42" s="6">
        <v>165.56</v>
      </c>
      <c r="V42" s="6">
        <v>34.44</v>
      </c>
      <c r="W42" s="6">
        <v>34.44</v>
      </c>
    </row>
    <row r="43" spans="5:23">
      <c r="E43">
        <v>530425</v>
      </c>
      <c r="F43">
        <v>0</v>
      </c>
      <c r="G43">
        <v>0</v>
      </c>
      <c r="H43">
        <v>0</v>
      </c>
      <c r="I43">
        <v>0</v>
      </c>
      <c r="J43">
        <f t="shared" si="0"/>
        <v>530425</v>
      </c>
      <c r="K43">
        <f t="shared" si="1"/>
        <v>0</v>
      </c>
      <c r="L43">
        <f t="shared" si="2"/>
        <v>0</v>
      </c>
      <c r="M43">
        <f t="shared" si="3"/>
        <v>0</v>
      </c>
      <c r="N43">
        <f t="shared" si="4"/>
        <v>0</v>
      </c>
    </row>
    <row r="44" spans="5:23">
      <c r="E44">
        <v>530502</v>
      </c>
      <c r="F44">
        <v>50</v>
      </c>
      <c r="G44">
        <v>50</v>
      </c>
      <c r="H44">
        <v>0</v>
      </c>
      <c r="I44">
        <v>0</v>
      </c>
      <c r="J44">
        <f t="shared" si="0"/>
        <v>0</v>
      </c>
      <c r="K44">
        <f t="shared" si="1"/>
        <v>0</v>
      </c>
      <c r="L44">
        <f t="shared" si="2"/>
        <v>0</v>
      </c>
      <c r="M44">
        <f t="shared" si="3"/>
        <v>0</v>
      </c>
      <c r="N44">
        <f t="shared" si="4"/>
        <v>0</v>
      </c>
      <c r="O44" s="171"/>
      <c r="P44" s="171"/>
      <c r="Q44" s="6"/>
      <c r="R44" s="171"/>
      <c r="S44" s="6">
        <v>530502</v>
      </c>
      <c r="T44" s="6">
        <v>50</v>
      </c>
      <c r="U44" s="6">
        <v>50</v>
      </c>
      <c r="V44" s="6">
        <v>0</v>
      </c>
      <c r="W44" s="6">
        <v>0</v>
      </c>
    </row>
    <row r="45" spans="5:23">
      <c r="E45">
        <v>530606</v>
      </c>
      <c r="F45">
        <v>0</v>
      </c>
      <c r="G45">
        <v>0</v>
      </c>
      <c r="H45">
        <v>0</v>
      </c>
      <c r="I45">
        <v>0</v>
      </c>
      <c r="J45">
        <f t="shared" si="0"/>
        <v>530606</v>
      </c>
      <c r="K45">
        <f t="shared" si="1"/>
        <v>0</v>
      </c>
      <c r="L45">
        <f t="shared" si="2"/>
        <v>0</v>
      </c>
      <c r="M45">
        <f t="shared" si="3"/>
        <v>0</v>
      </c>
      <c r="N45">
        <f t="shared" si="4"/>
        <v>0</v>
      </c>
    </row>
    <row r="46" spans="5:23">
      <c r="E46">
        <v>530701</v>
      </c>
      <c r="F46">
        <v>12860.999999999998</v>
      </c>
      <c r="G46">
        <v>689.1</v>
      </c>
      <c r="H46">
        <v>12171.9</v>
      </c>
      <c r="I46">
        <v>1008.9</v>
      </c>
      <c r="J46">
        <f t="shared" si="0"/>
        <v>0</v>
      </c>
      <c r="K46">
        <f t="shared" si="1"/>
        <v>0</v>
      </c>
      <c r="L46">
        <f t="shared" si="2"/>
        <v>0</v>
      </c>
      <c r="M46">
        <f t="shared" si="3"/>
        <v>0</v>
      </c>
      <c r="N46">
        <f t="shared" si="4"/>
        <v>0</v>
      </c>
      <c r="S46">
        <v>530701</v>
      </c>
      <c r="T46">
        <v>12861</v>
      </c>
      <c r="U46">
        <v>689.1</v>
      </c>
      <c r="V46">
        <v>12171.9</v>
      </c>
      <c r="W46">
        <v>1008.9</v>
      </c>
    </row>
    <row r="47" spans="5:23">
      <c r="E47">
        <v>530702</v>
      </c>
      <c r="F47">
        <v>41453</v>
      </c>
      <c r="G47">
        <v>200</v>
      </c>
      <c r="H47">
        <v>37613</v>
      </c>
      <c r="I47">
        <v>34536.400000000001</v>
      </c>
      <c r="J47">
        <f t="shared" si="0"/>
        <v>0</v>
      </c>
      <c r="K47">
        <f t="shared" si="1"/>
        <v>0</v>
      </c>
      <c r="L47">
        <f t="shared" si="2"/>
        <v>0</v>
      </c>
      <c r="M47">
        <f t="shared" si="3"/>
        <v>0</v>
      </c>
      <c r="N47">
        <f t="shared" si="4"/>
        <v>0</v>
      </c>
      <c r="S47">
        <v>530702</v>
      </c>
      <c r="T47">
        <v>41453</v>
      </c>
      <c r="U47">
        <v>200</v>
      </c>
      <c r="V47">
        <v>37613</v>
      </c>
      <c r="W47">
        <v>34536.400000000001</v>
      </c>
    </row>
    <row r="48" spans="5:23">
      <c r="E48">
        <v>530704</v>
      </c>
      <c r="F48">
        <v>2360</v>
      </c>
      <c r="G48">
        <v>0</v>
      </c>
      <c r="H48">
        <v>0</v>
      </c>
      <c r="I48">
        <v>0</v>
      </c>
      <c r="J48">
        <f t="shared" ref="J48:J57" si="5">+E48-S48</f>
        <v>0</v>
      </c>
      <c r="K48">
        <f t="shared" ref="K48:K57" si="6">+F48-T48</f>
        <v>-1521.35</v>
      </c>
      <c r="L48">
        <f t="shared" ref="L48:L57" si="7">+G48-U48</f>
        <v>0</v>
      </c>
      <c r="M48">
        <f t="shared" ref="M48:M57" si="8">+H48-V48</f>
        <v>0</v>
      </c>
      <c r="N48">
        <f t="shared" ref="N48:N57" si="9">+I48-W48</f>
        <v>0</v>
      </c>
      <c r="O48" s="171"/>
      <c r="P48" s="171"/>
      <c r="Q48" s="6"/>
      <c r="R48" s="171"/>
      <c r="S48" s="6">
        <v>530704</v>
      </c>
      <c r="T48" s="6">
        <v>3881.35</v>
      </c>
      <c r="U48" s="6">
        <v>0</v>
      </c>
      <c r="V48" s="6">
        <v>0</v>
      </c>
      <c r="W48" s="6">
        <v>0</v>
      </c>
    </row>
    <row r="49" spans="4:23">
      <c r="E49">
        <v>530802</v>
      </c>
      <c r="F49">
        <v>41218.71</v>
      </c>
      <c r="G49">
        <v>0</v>
      </c>
      <c r="H49">
        <v>0</v>
      </c>
      <c r="I49">
        <v>0</v>
      </c>
      <c r="J49">
        <f t="shared" si="5"/>
        <v>0</v>
      </c>
      <c r="K49">
        <f t="shared" si="6"/>
        <v>0</v>
      </c>
      <c r="L49">
        <f t="shared" si="7"/>
        <v>-11918.71</v>
      </c>
      <c r="M49">
        <f t="shared" si="8"/>
        <v>0</v>
      </c>
      <c r="N49">
        <f t="shared" si="9"/>
        <v>0</v>
      </c>
      <c r="O49" s="171"/>
      <c r="P49" s="171"/>
      <c r="Q49" s="6"/>
      <c r="R49" s="171"/>
      <c r="S49" s="6">
        <v>530802</v>
      </c>
      <c r="T49" s="6">
        <v>41218.71</v>
      </c>
      <c r="U49" s="6">
        <v>11918.71</v>
      </c>
      <c r="V49" s="6">
        <v>0</v>
      </c>
      <c r="W49" s="6">
        <v>0</v>
      </c>
    </row>
    <row r="50" spans="4:23">
      <c r="E50">
        <v>530803</v>
      </c>
      <c r="F50">
        <v>313.52999999999997</v>
      </c>
      <c r="G50">
        <v>56.64</v>
      </c>
      <c r="H50">
        <v>143.36000000000001</v>
      </c>
      <c r="I50">
        <v>143.36000000000001</v>
      </c>
      <c r="J50">
        <f t="shared" si="5"/>
        <v>0</v>
      </c>
      <c r="K50">
        <f t="shared" si="6"/>
        <v>-2354.9800000000005</v>
      </c>
      <c r="L50">
        <f t="shared" si="7"/>
        <v>0</v>
      </c>
      <c r="M50">
        <f t="shared" si="8"/>
        <v>0</v>
      </c>
      <c r="N50">
        <f t="shared" si="9"/>
        <v>0</v>
      </c>
      <c r="O50" s="171"/>
      <c r="P50" s="171"/>
      <c r="Q50" s="6"/>
      <c r="R50" s="171"/>
      <c r="S50" s="6">
        <v>530803</v>
      </c>
      <c r="T50" s="6">
        <v>2668.51</v>
      </c>
      <c r="U50" s="6">
        <v>56.64</v>
      </c>
      <c r="V50" s="6">
        <v>143.36000000000001</v>
      </c>
      <c r="W50" s="6">
        <v>143.36000000000001</v>
      </c>
    </row>
    <row r="51" spans="4:23">
      <c r="E51">
        <v>530804</v>
      </c>
      <c r="F51">
        <v>3600</v>
      </c>
      <c r="G51">
        <v>86.56</v>
      </c>
      <c r="H51">
        <v>13.44</v>
      </c>
      <c r="I51">
        <v>13.44</v>
      </c>
      <c r="J51">
        <f t="shared" si="5"/>
        <v>0</v>
      </c>
      <c r="K51">
        <f t="shared" si="6"/>
        <v>0</v>
      </c>
      <c r="L51">
        <f t="shared" si="7"/>
        <v>0</v>
      </c>
      <c r="M51">
        <f t="shared" si="8"/>
        <v>0</v>
      </c>
      <c r="N51">
        <f t="shared" si="9"/>
        <v>0</v>
      </c>
      <c r="O51" s="171"/>
      <c r="P51" s="171"/>
      <c r="Q51" s="6"/>
      <c r="R51" s="171"/>
      <c r="S51" s="6">
        <v>530804</v>
      </c>
      <c r="T51" s="6">
        <v>3600</v>
      </c>
      <c r="U51" s="6">
        <v>86.56</v>
      </c>
      <c r="V51" s="6">
        <v>13.44</v>
      </c>
      <c r="W51" s="6">
        <v>13.44</v>
      </c>
    </row>
    <row r="52" spans="4:23">
      <c r="E52">
        <v>530805</v>
      </c>
      <c r="F52">
        <v>0</v>
      </c>
      <c r="G52">
        <v>0</v>
      </c>
      <c r="H52">
        <v>0</v>
      </c>
      <c r="I52">
        <v>0</v>
      </c>
      <c r="J52">
        <f t="shared" si="5"/>
        <v>530805</v>
      </c>
      <c r="K52">
        <f t="shared" si="6"/>
        <v>0</v>
      </c>
      <c r="L52">
        <f t="shared" si="7"/>
        <v>0</v>
      </c>
      <c r="M52">
        <f t="shared" si="8"/>
        <v>0</v>
      </c>
      <c r="N52">
        <f t="shared" si="9"/>
        <v>0</v>
      </c>
    </row>
    <row r="53" spans="4:23">
      <c r="E53">
        <v>530807</v>
      </c>
      <c r="F53">
        <v>100</v>
      </c>
      <c r="G53">
        <v>100</v>
      </c>
      <c r="H53">
        <v>0</v>
      </c>
      <c r="I53">
        <v>0</v>
      </c>
      <c r="J53">
        <f t="shared" si="5"/>
        <v>0</v>
      </c>
      <c r="K53">
        <f t="shared" si="6"/>
        <v>0</v>
      </c>
      <c r="L53">
        <f t="shared" si="7"/>
        <v>0</v>
      </c>
      <c r="M53">
        <f t="shared" si="8"/>
        <v>0</v>
      </c>
      <c r="N53">
        <f t="shared" si="9"/>
        <v>0</v>
      </c>
      <c r="O53" s="171"/>
      <c r="P53" s="171"/>
      <c r="Q53" s="6"/>
      <c r="R53" s="171"/>
      <c r="S53" s="6">
        <v>530807</v>
      </c>
      <c r="T53" s="6">
        <v>100</v>
      </c>
      <c r="U53" s="6">
        <v>100</v>
      </c>
      <c r="V53" s="6">
        <v>0</v>
      </c>
      <c r="W53" s="6">
        <v>0</v>
      </c>
    </row>
    <row r="54" spans="4:23">
      <c r="E54">
        <v>530811</v>
      </c>
      <c r="F54">
        <v>500</v>
      </c>
      <c r="G54">
        <v>90.8</v>
      </c>
      <c r="H54">
        <v>409.2</v>
      </c>
      <c r="I54">
        <v>409.2</v>
      </c>
      <c r="J54">
        <f t="shared" si="5"/>
        <v>0</v>
      </c>
      <c r="K54">
        <f t="shared" si="6"/>
        <v>-6300</v>
      </c>
      <c r="L54">
        <f t="shared" si="7"/>
        <v>0</v>
      </c>
      <c r="M54">
        <f t="shared" si="8"/>
        <v>0</v>
      </c>
      <c r="N54">
        <f t="shared" si="9"/>
        <v>0</v>
      </c>
      <c r="O54" s="171"/>
      <c r="P54" s="171"/>
      <c r="Q54" s="6"/>
      <c r="R54" s="171"/>
      <c r="S54" s="6">
        <v>530811</v>
      </c>
      <c r="T54" s="6">
        <v>6800</v>
      </c>
      <c r="U54" s="6">
        <v>90.8</v>
      </c>
      <c r="V54" s="6">
        <v>409.2</v>
      </c>
      <c r="W54" s="6">
        <v>409.2</v>
      </c>
    </row>
    <row r="55" spans="4:23">
      <c r="E55">
        <v>530813</v>
      </c>
      <c r="F55">
        <v>14831.730000000001</v>
      </c>
      <c r="G55">
        <v>132.96</v>
      </c>
      <c r="H55">
        <v>67.040000000000006</v>
      </c>
      <c r="I55">
        <v>67.040000000000006</v>
      </c>
      <c r="J55">
        <f t="shared" si="5"/>
        <v>0</v>
      </c>
      <c r="K55">
        <f t="shared" si="6"/>
        <v>-2519.4899999999998</v>
      </c>
      <c r="L55">
        <f t="shared" si="7"/>
        <v>0</v>
      </c>
      <c r="M55">
        <f t="shared" si="8"/>
        <v>0</v>
      </c>
      <c r="N55">
        <f t="shared" si="9"/>
        <v>0</v>
      </c>
      <c r="S55">
        <v>530813</v>
      </c>
      <c r="T55">
        <v>17351.22</v>
      </c>
      <c r="U55">
        <v>132.96</v>
      </c>
      <c r="V55">
        <v>67.040000000000006</v>
      </c>
      <c r="W55">
        <v>67.040000000000006</v>
      </c>
    </row>
    <row r="56" spans="4:23">
      <c r="E56">
        <v>531406</v>
      </c>
      <c r="F56">
        <v>0</v>
      </c>
      <c r="G56">
        <v>0</v>
      </c>
      <c r="H56">
        <v>0</v>
      </c>
      <c r="I56">
        <v>0</v>
      </c>
      <c r="J56">
        <f t="shared" si="5"/>
        <v>531406</v>
      </c>
      <c r="K56">
        <f t="shared" si="6"/>
        <v>0</v>
      </c>
      <c r="L56">
        <f t="shared" si="7"/>
        <v>0</v>
      </c>
      <c r="M56">
        <f t="shared" si="8"/>
        <v>0</v>
      </c>
      <c r="N56">
        <f t="shared" si="9"/>
        <v>0</v>
      </c>
      <c r="O56" s="171"/>
      <c r="P56" s="171"/>
      <c r="Q56" s="6"/>
      <c r="R56" s="171"/>
      <c r="S56" s="6"/>
      <c r="T56" s="6"/>
      <c r="U56" s="6"/>
      <c r="V56" s="6"/>
      <c r="W56" s="6"/>
    </row>
    <row r="57" spans="4:23">
      <c r="E57">
        <v>531407</v>
      </c>
      <c r="F57">
        <v>0</v>
      </c>
      <c r="G57">
        <v>0</v>
      </c>
      <c r="H57">
        <v>0</v>
      </c>
      <c r="I57">
        <v>0</v>
      </c>
      <c r="J57">
        <f t="shared" si="5"/>
        <v>531407</v>
      </c>
      <c r="K57">
        <f t="shared" si="6"/>
        <v>0</v>
      </c>
      <c r="L57">
        <f t="shared" si="7"/>
        <v>0</v>
      </c>
      <c r="M57">
        <f t="shared" si="8"/>
        <v>0</v>
      </c>
      <c r="N57">
        <f t="shared" si="9"/>
        <v>0</v>
      </c>
      <c r="O57" s="171"/>
      <c r="P57" s="171"/>
      <c r="Q57" s="6"/>
      <c r="R57" s="171"/>
      <c r="S57" s="6"/>
      <c r="T57" s="6"/>
      <c r="U57" s="6"/>
      <c r="V57" s="6"/>
      <c r="W57" s="6"/>
    </row>
    <row r="58" spans="4:23">
      <c r="D58" t="s">
        <v>826</v>
      </c>
      <c r="E58">
        <v>570102</v>
      </c>
      <c r="F58">
        <v>40000</v>
      </c>
      <c r="G58">
        <v>18770.57</v>
      </c>
      <c r="H58">
        <v>20745.43</v>
      </c>
      <c r="I58">
        <v>20745.43</v>
      </c>
      <c r="J58">
        <f t="shared" ref="J58:J100" si="10">+E58-S58</f>
        <v>0</v>
      </c>
      <c r="K58">
        <f t="shared" ref="K58:K100" si="11">+F58-T58</f>
        <v>0</v>
      </c>
      <c r="L58">
        <f t="shared" ref="L58:L100" si="12">+G58-U58</f>
        <v>0</v>
      </c>
      <c r="M58">
        <f t="shared" ref="M58:M100" si="13">+H58-V58</f>
        <v>0</v>
      </c>
      <c r="N58">
        <f t="shared" ref="N58:N100" si="14">+I58-W58</f>
        <v>0</v>
      </c>
      <c r="O58" s="171"/>
      <c r="P58" s="171"/>
      <c r="Q58" s="6"/>
      <c r="R58" s="171">
        <v>570000</v>
      </c>
      <c r="S58" s="6">
        <v>570102</v>
      </c>
      <c r="T58" s="6">
        <v>40000</v>
      </c>
      <c r="U58" s="6">
        <v>18770.57</v>
      </c>
      <c r="V58" s="6">
        <v>20745.43</v>
      </c>
      <c r="W58" s="6">
        <v>20745.43</v>
      </c>
    </row>
    <row r="59" spans="4:23">
      <c r="E59">
        <v>570201</v>
      </c>
      <c r="F59">
        <v>197993.14999999997</v>
      </c>
      <c r="G59">
        <v>191264.49</v>
      </c>
      <c r="H59">
        <v>0</v>
      </c>
      <c r="I59">
        <v>0</v>
      </c>
      <c r="J59">
        <f t="shared" si="10"/>
        <v>0</v>
      </c>
      <c r="K59">
        <f t="shared" si="11"/>
        <v>-54597.490000000049</v>
      </c>
      <c r="L59">
        <f t="shared" si="12"/>
        <v>0</v>
      </c>
      <c r="M59">
        <f t="shared" si="13"/>
        <v>0</v>
      </c>
      <c r="N59">
        <f t="shared" si="14"/>
        <v>0</v>
      </c>
      <c r="O59" s="171"/>
      <c r="P59" s="171"/>
      <c r="Q59" s="6"/>
      <c r="R59" s="171"/>
      <c r="S59" s="6">
        <v>570201</v>
      </c>
      <c r="T59" s="6">
        <v>252590.64</v>
      </c>
      <c r="U59" s="6">
        <v>191264.49</v>
      </c>
      <c r="V59" s="6">
        <v>0</v>
      </c>
      <c r="W59" s="6">
        <v>0</v>
      </c>
    </row>
    <row r="60" spans="4:23">
      <c r="E60">
        <v>570206</v>
      </c>
      <c r="F60">
        <v>750</v>
      </c>
      <c r="G60">
        <v>750</v>
      </c>
      <c r="H60">
        <v>0</v>
      </c>
      <c r="I60">
        <v>0</v>
      </c>
      <c r="J60">
        <f t="shared" si="10"/>
        <v>0</v>
      </c>
      <c r="K60">
        <f t="shared" si="11"/>
        <v>0</v>
      </c>
      <c r="L60">
        <f t="shared" si="12"/>
        <v>0</v>
      </c>
      <c r="M60">
        <f t="shared" si="13"/>
        <v>0</v>
      </c>
      <c r="N60">
        <f t="shared" si="14"/>
        <v>0</v>
      </c>
      <c r="O60" s="171"/>
      <c r="P60" s="171"/>
      <c r="Q60" s="6"/>
      <c r="R60" s="171"/>
      <c r="S60" s="6">
        <v>570206</v>
      </c>
      <c r="T60" s="6">
        <v>750</v>
      </c>
      <c r="U60" s="6">
        <v>750</v>
      </c>
      <c r="V60" s="6">
        <v>0</v>
      </c>
      <c r="W60" s="6">
        <v>0</v>
      </c>
    </row>
    <row r="61" spans="4:23">
      <c r="E61">
        <v>570216</v>
      </c>
      <c r="F61">
        <v>26406.18</v>
      </c>
      <c r="G61">
        <v>0</v>
      </c>
      <c r="H61">
        <v>26406.18</v>
      </c>
      <c r="I61">
        <v>26406.18</v>
      </c>
      <c r="J61">
        <f t="shared" si="10"/>
        <v>0</v>
      </c>
      <c r="K61">
        <f t="shared" si="11"/>
        <v>0</v>
      </c>
      <c r="L61">
        <f t="shared" si="12"/>
        <v>0</v>
      </c>
      <c r="M61">
        <f t="shared" si="13"/>
        <v>0</v>
      </c>
      <c r="N61">
        <f t="shared" si="14"/>
        <v>0</v>
      </c>
      <c r="O61" s="171"/>
      <c r="P61" s="171"/>
      <c r="Q61" s="6"/>
      <c r="R61" s="171"/>
      <c r="S61" s="6">
        <v>570216</v>
      </c>
      <c r="T61" s="6">
        <v>26406.18</v>
      </c>
      <c r="U61" s="6">
        <v>0</v>
      </c>
      <c r="V61" s="6">
        <v>26406.18</v>
      </c>
      <c r="W61" s="6">
        <v>26406.18</v>
      </c>
    </row>
    <row r="62" spans="4:23">
      <c r="E62">
        <v>570217</v>
      </c>
      <c r="F62">
        <v>225.89</v>
      </c>
      <c r="G62">
        <v>0</v>
      </c>
      <c r="H62">
        <v>225.89</v>
      </c>
      <c r="I62">
        <v>225.89</v>
      </c>
      <c r="J62">
        <f t="shared" si="10"/>
        <v>0</v>
      </c>
      <c r="K62">
        <f t="shared" si="11"/>
        <v>0</v>
      </c>
      <c r="L62">
        <f t="shared" si="12"/>
        <v>0</v>
      </c>
      <c r="M62">
        <f t="shared" si="13"/>
        <v>0</v>
      </c>
      <c r="N62">
        <f t="shared" si="14"/>
        <v>0</v>
      </c>
      <c r="O62" s="171"/>
      <c r="P62" s="171"/>
      <c r="Q62" s="6"/>
      <c r="R62" s="171"/>
      <c r="S62" s="6">
        <v>570217</v>
      </c>
      <c r="T62" s="6">
        <v>225.89</v>
      </c>
      <c r="U62" s="6">
        <v>0</v>
      </c>
      <c r="V62" s="6">
        <v>225.89</v>
      </c>
      <c r="W62" s="6">
        <v>225.89</v>
      </c>
    </row>
    <row r="63" spans="4:23">
      <c r="D63" t="s">
        <v>827</v>
      </c>
      <c r="E63">
        <v>580204</v>
      </c>
      <c r="F63">
        <v>235460</v>
      </c>
      <c r="G63">
        <v>96500</v>
      </c>
      <c r="H63">
        <v>138960</v>
      </c>
      <c r="I63">
        <v>32810</v>
      </c>
      <c r="J63">
        <f t="shared" si="10"/>
        <v>0</v>
      </c>
      <c r="K63">
        <f t="shared" si="11"/>
        <v>0</v>
      </c>
      <c r="L63">
        <f t="shared" si="12"/>
        <v>0</v>
      </c>
      <c r="M63">
        <f t="shared" si="13"/>
        <v>0</v>
      </c>
      <c r="N63">
        <f t="shared" si="14"/>
        <v>0</v>
      </c>
      <c r="O63" s="171"/>
      <c r="P63" s="171"/>
      <c r="Q63" s="6"/>
      <c r="R63" s="171">
        <v>580000</v>
      </c>
      <c r="S63" s="6">
        <v>580204</v>
      </c>
      <c r="T63" s="6">
        <v>235460</v>
      </c>
      <c r="U63" s="6">
        <v>96500</v>
      </c>
      <c r="V63" s="6">
        <v>138960</v>
      </c>
      <c r="W63" s="6">
        <v>32810</v>
      </c>
    </row>
    <row r="64" spans="4:23">
      <c r="E64">
        <v>580209</v>
      </c>
      <c r="F64">
        <v>7374.6500000000015</v>
      </c>
      <c r="G64">
        <v>0</v>
      </c>
      <c r="H64">
        <v>1954.15</v>
      </c>
      <c r="I64">
        <v>1954.15</v>
      </c>
      <c r="J64">
        <f t="shared" si="10"/>
        <v>0</v>
      </c>
      <c r="K64">
        <f t="shared" si="11"/>
        <v>0</v>
      </c>
      <c r="L64">
        <f t="shared" si="12"/>
        <v>0</v>
      </c>
      <c r="M64">
        <f t="shared" si="13"/>
        <v>0</v>
      </c>
      <c r="N64">
        <f t="shared" si="14"/>
        <v>0</v>
      </c>
      <c r="O64" s="171"/>
      <c r="P64" s="171"/>
      <c r="Q64" s="6"/>
      <c r="R64" s="171"/>
      <c r="S64" s="6">
        <v>580209</v>
      </c>
      <c r="T64" s="6">
        <v>7374.65</v>
      </c>
      <c r="U64" s="6">
        <v>0</v>
      </c>
      <c r="V64" s="6">
        <v>1954.15</v>
      </c>
      <c r="W64" s="6">
        <v>1954.15</v>
      </c>
    </row>
    <row r="65" spans="1:23">
      <c r="E65">
        <v>580211</v>
      </c>
      <c r="F65">
        <v>1516110</v>
      </c>
      <c r="G65">
        <v>0</v>
      </c>
      <c r="H65">
        <v>247110</v>
      </c>
      <c r="I65">
        <v>247110</v>
      </c>
      <c r="J65">
        <f t="shared" si="10"/>
        <v>0</v>
      </c>
      <c r="K65">
        <f t="shared" si="11"/>
        <v>0</v>
      </c>
      <c r="L65">
        <f t="shared" si="12"/>
        <v>0</v>
      </c>
      <c r="M65">
        <f t="shared" si="13"/>
        <v>0</v>
      </c>
      <c r="N65">
        <f t="shared" si="14"/>
        <v>0</v>
      </c>
      <c r="O65" s="171"/>
      <c r="P65" s="171"/>
      <c r="Q65" s="6"/>
      <c r="R65" s="171"/>
      <c r="S65" s="6">
        <v>580211</v>
      </c>
      <c r="T65" s="6">
        <v>1516110</v>
      </c>
      <c r="U65" s="6">
        <v>0</v>
      </c>
      <c r="V65" s="6">
        <v>247110</v>
      </c>
      <c r="W65" s="6">
        <v>247110</v>
      </c>
    </row>
    <row r="66" spans="1:23">
      <c r="D66" t="s">
        <v>828</v>
      </c>
      <c r="E66">
        <v>840104</v>
      </c>
      <c r="F66">
        <v>0</v>
      </c>
      <c r="G66">
        <v>0</v>
      </c>
      <c r="H66">
        <v>0</v>
      </c>
      <c r="I66">
        <v>0</v>
      </c>
      <c r="J66">
        <f t="shared" si="10"/>
        <v>840104</v>
      </c>
      <c r="K66">
        <f t="shared" si="11"/>
        <v>0</v>
      </c>
      <c r="L66">
        <f t="shared" si="12"/>
        <v>0</v>
      </c>
      <c r="M66">
        <f t="shared" si="13"/>
        <v>0</v>
      </c>
      <c r="N66">
        <f t="shared" si="14"/>
        <v>0</v>
      </c>
    </row>
    <row r="67" spans="1:23">
      <c r="E67">
        <v>840106</v>
      </c>
      <c r="F67">
        <v>0</v>
      </c>
      <c r="G67">
        <v>0</v>
      </c>
      <c r="H67">
        <v>0</v>
      </c>
      <c r="I67">
        <v>0</v>
      </c>
      <c r="J67">
        <f t="shared" si="10"/>
        <v>840106</v>
      </c>
      <c r="K67">
        <f t="shared" si="11"/>
        <v>0</v>
      </c>
      <c r="L67">
        <f t="shared" si="12"/>
        <v>0</v>
      </c>
      <c r="M67">
        <f t="shared" si="13"/>
        <v>0</v>
      </c>
      <c r="N67">
        <f t="shared" si="14"/>
        <v>0</v>
      </c>
    </row>
    <row r="68" spans="1:23">
      <c r="E68">
        <v>840107</v>
      </c>
      <c r="F68">
        <v>0</v>
      </c>
      <c r="G68">
        <v>0</v>
      </c>
      <c r="H68">
        <v>0</v>
      </c>
      <c r="I68">
        <v>0</v>
      </c>
      <c r="J68">
        <f t="shared" si="10"/>
        <v>840107</v>
      </c>
      <c r="K68">
        <f t="shared" si="11"/>
        <v>0</v>
      </c>
      <c r="L68">
        <f t="shared" si="12"/>
        <v>0</v>
      </c>
      <c r="M68">
        <f t="shared" si="13"/>
        <v>0</v>
      </c>
      <c r="N68">
        <f t="shared" si="14"/>
        <v>0</v>
      </c>
    </row>
    <row r="69" spans="1:23">
      <c r="D69" t="s">
        <v>829</v>
      </c>
      <c r="E69">
        <v>990102</v>
      </c>
      <c r="F69">
        <v>119314.34</v>
      </c>
      <c r="G69">
        <v>0</v>
      </c>
      <c r="H69">
        <v>0</v>
      </c>
      <c r="I69">
        <v>0</v>
      </c>
      <c r="J69">
        <f t="shared" si="10"/>
        <v>990102</v>
      </c>
      <c r="K69">
        <f t="shared" si="11"/>
        <v>119314.34</v>
      </c>
      <c r="L69">
        <f t="shared" si="12"/>
        <v>0</v>
      </c>
      <c r="M69">
        <f t="shared" si="13"/>
        <v>0</v>
      </c>
      <c r="N69">
        <f t="shared" si="14"/>
        <v>0</v>
      </c>
    </row>
    <row r="70" spans="1:23">
      <c r="A70" t="s">
        <v>132</v>
      </c>
      <c r="B70" t="s">
        <v>81</v>
      </c>
      <c r="C70" t="s">
        <v>82</v>
      </c>
      <c r="D70" t="s">
        <v>822</v>
      </c>
      <c r="E70">
        <v>510105</v>
      </c>
      <c r="F70">
        <v>48303.06</v>
      </c>
      <c r="G70">
        <v>0</v>
      </c>
      <c r="H70">
        <v>12561</v>
      </c>
      <c r="I70">
        <v>12561</v>
      </c>
      <c r="J70">
        <f t="shared" si="10"/>
        <v>0</v>
      </c>
      <c r="K70">
        <f t="shared" si="11"/>
        <v>0</v>
      </c>
      <c r="L70">
        <f t="shared" si="12"/>
        <v>0</v>
      </c>
      <c r="M70">
        <f t="shared" si="13"/>
        <v>0</v>
      </c>
      <c r="N70">
        <f t="shared" si="14"/>
        <v>0</v>
      </c>
      <c r="O70">
        <v>79</v>
      </c>
      <c r="P70" t="s">
        <v>830</v>
      </c>
      <c r="Q70" t="s">
        <v>831</v>
      </c>
      <c r="R70">
        <v>510000</v>
      </c>
      <c r="S70">
        <v>510105</v>
      </c>
      <c r="T70">
        <v>48303.06</v>
      </c>
      <c r="U70">
        <v>0</v>
      </c>
      <c r="V70">
        <v>12561</v>
      </c>
      <c r="W70">
        <v>12561</v>
      </c>
    </row>
    <row r="71" spans="1:23">
      <c r="E71">
        <v>510203</v>
      </c>
      <c r="F71">
        <v>8219.08</v>
      </c>
      <c r="G71">
        <v>0</v>
      </c>
      <c r="H71">
        <v>789.24</v>
      </c>
      <c r="I71">
        <v>789.24</v>
      </c>
      <c r="J71">
        <f t="shared" si="10"/>
        <v>0</v>
      </c>
      <c r="K71">
        <f t="shared" si="11"/>
        <v>0</v>
      </c>
      <c r="L71">
        <f t="shared" si="12"/>
        <v>0</v>
      </c>
      <c r="M71">
        <f t="shared" si="13"/>
        <v>0</v>
      </c>
      <c r="N71">
        <f t="shared" si="14"/>
        <v>0</v>
      </c>
      <c r="S71">
        <v>510203</v>
      </c>
      <c r="T71">
        <v>8219.08</v>
      </c>
      <c r="U71">
        <v>0</v>
      </c>
      <c r="V71">
        <v>789.24</v>
      </c>
      <c r="W71">
        <v>789.24</v>
      </c>
    </row>
    <row r="72" spans="1:23">
      <c r="E72">
        <v>510204</v>
      </c>
      <c r="F72">
        <v>2668.7099999999991</v>
      </c>
      <c r="G72">
        <v>0</v>
      </c>
      <c r="H72">
        <v>344.96999999999997</v>
      </c>
      <c r="I72">
        <v>344.96999999999997</v>
      </c>
      <c r="J72">
        <f t="shared" si="10"/>
        <v>0</v>
      </c>
      <c r="K72">
        <f t="shared" si="11"/>
        <v>0</v>
      </c>
      <c r="L72">
        <f t="shared" si="12"/>
        <v>0</v>
      </c>
      <c r="M72">
        <f t="shared" si="13"/>
        <v>0</v>
      </c>
      <c r="N72">
        <f t="shared" si="14"/>
        <v>0</v>
      </c>
      <c r="S72">
        <v>510204</v>
      </c>
      <c r="T72">
        <v>2668.71</v>
      </c>
      <c r="U72">
        <v>0</v>
      </c>
      <c r="V72">
        <v>344.97</v>
      </c>
      <c r="W72">
        <v>344.97</v>
      </c>
    </row>
    <row r="73" spans="1:23">
      <c r="E73">
        <v>510510</v>
      </c>
      <c r="F73">
        <v>49200</v>
      </c>
      <c r="G73">
        <v>0</v>
      </c>
      <c r="H73">
        <v>12300</v>
      </c>
      <c r="I73">
        <v>12300</v>
      </c>
      <c r="J73">
        <f t="shared" si="10"/>
        <v>0</v>
      </c>
      <c r="K73">
        <f t="shared" si="11"/>
        <v>0</v>
      </c>
      <c r="L73">
        <f t="shared" si="12"/>
        <v>0</v>
      </c>
      <c r="M73">
        <f t="shared" si="13"/>
        <v>0</v>
      </c>
      <c r="N73">
        <f t="shared" si="14"/>
        <v>0</v>
      </c>
      <c r="S73">
        <v>510510</v>
      </c>
      <c r="T73">
        <v>49200</v>
      </c>
      <c r="U73">
        <v>0</v>
      </c>
      <c r="V73">
        <v>12300</v>
      </c>
      <c r="W73">
        <v>12300</v>
      </c>
    </row>
    <row r="74" spans="1:23">
      <c r="E74">
        <v>510512</v>
      </c>
      <c r="F74">
        <v>69.2</v>
      </c>
      <c r="G74">
        <v>0</v>
      </c>
      <c r="H74">
        <v>0</v>
      </c>
      <c r="I74">
        <v>0</v>
      </c>
      <c r="J74">
        <f t="shared" si="10"/>
        <v>0</v>
      </c>
      <c r="K74">
        <f t="shared" si="11"/>
        <v>0</v>
      </c>
      <c r="L74">
        <f t="shared" si="12"/>
        <v>0</v>
      </c>
      <c r="M74">
        <f t="shared" si="13"/>
        <v>0</v>
      </c>
      <c r="N74">
        <f t="shared" si="14"/>
        <v>0</v>
      </c>
      <c r="O74" s="171"/>
      <c r="P74" s="171"/>
      <c r="Q74" s="6"/>
      <c r="R74" s="171"/>
      <c r="S74" s="6">
        <v>510512</v>
      </c>
      <c r="T74" s="6">
        <v>69.2</v>
      </c>
      <c r="U74" s="6">
        <v>0</v>
      </c>
      <c r="V74" s="6">
        <v>0</v>
      </c>
      <c r="W74" s="6">
        <v>0</v>
      </c>
    </row>
    <row r="75" spans="1:23">
      <c r="E75">
        <v>510513</v>
      </c>
      <c r="F75">
        <v>299.87</v>
      </c>
      <c r="G75">
        <v>0</v>
      </c>
      <c r="H75">
        <v>0</v>
      </c>
      <c r="I75">
        <v>0</v>
      </c>
      <c r="J75">
        <f t="shared" si="10"/>
        <v>0</v>
      </c>
      <c r="K75">
        <f t="shared" si="11"/>
        <v>0</v>
      </c>
      <c r="L75">
        <f t="shared" si="12"/>
        <v>0</v>
      </c>
      <c r="M75">
        <f t="shared" si="13"/>
        <v>0</v>
      </c>
      <c r="N75">
        <f t="shared" si="14"/>
        <v>0</v>
      </c>
      <c r="O75" s="171"/>
      <c r="P75" s="171"/>
      <c r="Q75" s="6"/>
      <c r="R75" s="171"/>
      <c r="S75" s="6">
        <v>510513</v>
      </c>
      <c r="T75" s="6">
        <v>299.87</v>
      </c>
      <c r="U75" s="6">
        <v>0</v>
      </c>
      <c r="V75" s="6">
        <v>0</v>
      </c>
      <c r="W75" s="6">
        <v>0</v>
      </c>
    </row>
    <row r="76" spans="1:23">
      <c r="E76">
        <v>510601</v>
      </c>
      <c r="F76">
        <v>9431.7799999999988</v>
      </c>
      <c r="G76">
        <v>0</v>
      </c>
      <c r="H76">
        <v>2399.1000000000004</v>
      </c>
      <c r="I76">
        <v>2399.1000000000004</v>
      </c>
      <c r="J76">
        <f t="shared" si="10"/>
        <v>0</v>
      </c>
      <c r="K76">
        <f t="shared" si="11"/>
        <v>0</v>
      </c>
      <c r="L76">
        <f t="shared" si="12"/>
        <v>0</v>
      </c>
      <c r="M76">
        <f t="shared" si="13"/>
        <v>0</v>
      </c>
      <c r="N76">
        <f t="shared" si="14"/>
        <v>0</v>
      </c>
      <c r="O76" s="171"/>
      <c r="P76" s="171"/>
      <c r="Q76" s="6"/>
      <c r="R76" s="171"/>
      <c r="S76" s="6">
        <v>510601</v>
      </c>
      <c r="T76" s="6">
        <v>9431.7800000000007</v>
      </c>
      <c r="U76" s="6">
        <v>0</v>
      </c>
      <c r="V76" s="6">
        <v>2399.1</v>
      </c>
      <c r="W76" s="6">
        <v>2399.1</v>
      </c>
    </row>
    <row r="77" spans="1:23">
      <c r="E77">
        <v>510602</v>
      </c>
      <c r="F77">
        <v>5529.51</v>
      </c>
      <c r="G77">
        <v>0</v>
      </c>
      <c r="H77">
        <v>1380.6</v>
      </c>
      <c r="I77">
        <v>1380.6</v>
      </c>
      <c r="J77">
        <f t="shared" si="10"/>
        <v>0</v>
      </c>
      <c r="K77">
        <f t="shared" si="11"/>
        <v>0</v>
      </c>
      <c r="L77">
        <f t="shared" si="12"/>
        <v>0</v>
      </c>
      <c r="M77">
        <f t="shared" si="13"/>
        <v>0</v>
      </c>
      <c r="N77">
        <f t="shared" si="14"/>
        <v>0</v>
      </c>
      <c r="O77" s="171"/>
      <c r="P77" s="171"/>
      <c r="Q77" s="6"/>
      <c r="R77" s="171"/>
      <c r="S77" s="6">
        <v>510602</v>
      </c>
      <c r="T77" s="6">
        <v>5529.51</v>
      </c>
      <c r="U77" s="6">
        <v>0</v>
      </c>
      <c r="V77" s="6">
        <v>1380.6</v>
      </c>
      <c r="W77" s="6">
        <v>1380.6</v>
      </c>
    </row>
    <row r="78" spans="1:23">
      <c r="E78">
        <v>510707</v>
      </c>
      <c r="F78">
        <v>0</v>
      </c>
      <c r="G78">
        <v>0</v>
      </c>
      <c r="H78">
        <v>0</v>
      </c>
      <c r="I78">
        <v>0</v>
      </c>
      <c r="J78">
        <f t="shared" si="10"/>
        <v>0</v>
      </c>
      <c r="K78">
        <f t="shared" si="11"/>
        <v>0</v>
      </c>
      <c r="L78">
        <f t="shared" si="12"/>
        <v>0</v>
      </c>
      <c r="M78">
        <f t="shared" si="13"/>
        <v>0</v>
      </c>
      <c r="N78">
        <f t="shared" si="14"/>
        <v>0</v>
      </c>
      <c r="O78" s="171"/>
      <c r="P78" s="171"/>
      <c r="Q78" s="6"/>
      <c r="R78" s="171"/>
      <c r="S78" s="6">
        <v>510707</v>
      </c>
      <c r="T78" s="6">
        <v>0</v>
      </c>
      <c r="U78" s="6">
        <v>0</v>
      </c>
      <c r="V78" s="6">
        <v>0</v>
      </c>
      <c r="W78" s="6">
        <v>0</v>
      </c>
    </row>
    <row r="79" spans="1:23">
      <c r="D79" t="s">
        <v>825</v>
      </c>
      <c r="E79">
        <v>530301</v>
      </c>
      <c r="F79">
        <v>0</v>
      </c>
      <c r="G79">
        <v>0</v>
      </c>
      <c r="H79">
        <v>0</v>
      </c>
      <c r="I79">
        <v>0</v>
      </c>
      <c r="J79">
        <f t="shared" si="10"/>
        <v>530301</v>
      </c>
      <c r="K79">
        <f t="shared" si="11"/>
        <v>0</v>
      </c>
      <c r="L79">
        <f t="shared" si="12"/>
        <v>0</v>
      </c>
      <c r="M79">
        <f t="shared" si="13"/>
        <v>0</v>
      </c>
      <c r="N79">
        <f t="shared" si="14"/>
        <v>0</v>
      </c>
    </row>
    <row r="80" spans="1:23">
      <c r="E80">
        <v>530303</v>
      </c>
      <c r="F80">
        <v>1669.33</v>
      </c>
      <c r="G80">
        <v>0</v>
      </c>
      <c r="H80">
        <v>0</v>
      </c>
      <c r="I80">
        <v>0</v>
      </c>
      <c r="J80">
        <f t="shared" si="10"/>
        <v>0</v>
      </c>
      <c r="K80">
        <f t="shared" si="11"/>
        <v>0</v>
      </c>
      <c r="L80">
        <f t="shared" si="12"/>
        <v>0</v>
      </c>
      <c r="M80">
        <f t="shared" si="13"/>
        <v>0</v>
      </c>
      <c r="N80">
        <f t="shared" si="14"/>
        <v>0</v>
      </c>
      <c r="O80" s="171"/>
      <c r="P80" s="171"/>
      <c r="Q80" s="6"/>
      <c r="R80" s="171">
        <v>530000</v>
      </c>
      <c r="S80" s="6">
        <v>530303</v>
      </c>
      <c r="T80" s="6">
        <v>1669.33</v>
      </c>
      <c r="U80" s="6">
        <v>0</v>
      </c>
      <c r="V80" s="6">
        <v>0</v>
      </c>
      <c r="W80" s="6">
        <v>0</v>
      </c>
    </row>
    <row r="81" spans="3:23">
      <c r="E81">
        <v>530601</v>
      </c>
      <c r="F81">
        <v>0</v>
      </c>
      <c r="G81">
        <v>0</v>
      </c>
      <c r="H81">
        <v>0</v>
      </c>
      <c r="I81">
        <v>0</v>
      </c>
      <c r="J81">
        <f t="shared" si="10"/>
        <v>530601</v>
      </c>
      <c r="K81">
        <f t="shared" si="11"/>
        <v>0</v>
      </c>
      <c r="L81">
        <f t="shared" si="12"/>
        <v>0</v>
      </c>
      <c r="M81">
        <f t="shared" si="13"/>
        <v>0</v>
      </c>
      <c r="N81">
        <f t="shared" si="14"/>
        <v>0</v>
      </c>
    </row>
    <row r="82" spans="3:23">
      <c r="E82">
        <v>530704</v>
      </c>
      <c r="F82">
        <v>1330.67</v>
      </c>
      <c r="G82">
        <v>1330.67</v>
      </c>
      <c r="H82">
        <v>0</v>
      </c>
      <c r="I82">
        <v>0</v>
      </c>
      <c r="J82">
        <f t="shared" si="10"/>
        <v>0</v>
      </c>
      <c r="K82">
        <f t="shared" si="11"/>
        <v>0</v>
      </c>
      <c r="L82">
        <f t="shared" si="12"/>
        <v>0</v>
      </c>
      <c r="M82">
        <f t="shared" si="13"/>
        <v>0</v>
      </c>
      <c r="N82">
        <f t="shared" si="14"/>
        <v>0</v>
      </c>
      <c r="O82" s="171"/>
      <c r="P82" s="171"/>
      <c r="Q82" s="6"/>
      <c r="R82" s="171"/>
      <c r="S82" s="6">
        <v>530704</v>
      </c>
      <c r="T82" s="6">
        <v>1330.67</v>
      </c>
      <c r="U82" s="6">
        <v>1330.67</v>
      </c>
      <c r="V82" s="6">
        <v>0</v>
      </c>
      <c r="W82" s="6">
        <v>0</v>
      </c>
    </row>
    <row r="83" spans="3:23">
      <c r="C83" t="s">
        <v>112</v>
      </c>
      <c r="D83" t="s">
        <v>822</v>
      </c>
      <c r="E83">
        <v>510105</v>
      </c>
      <c r="F83">
        <v>317287.40000000002</v>
      </c>
      <c r="G83">
        <v>0</v>
      </c>
      <c r="H83">
        <v>75971</v>
      </c>
      <c r="I83">
        <v>75971</v>
      </c>
      <c r="J83">
        <f t="shared" si="10"/>
        <v>0</v>
      </c>
      <c r="K83">
        <f t="shared" si="11"/>
        <v>0</v>
      </c>
      <c r="L83">
        <f t="shared" si="12"/>
        <v>0</v>
      </c>
      <c r="M83">
        <f t="shared" si="13"/>
        <v>0</v>
      </c>
      <c r="N83">
        <f t="shared" si="14"/>
        <v>0</v>
      </c>
      <c r="O83" s="171"/>
      <c r="P83" s="171"/>
      <c r="Q83" s="6" t="s">
        <v>832</v>
      </c>
      <c r="R83" s="171">
        <v>510000</v>
      </c>
      <c r="S83" s="6">
        <v>510105</v>
      </c>
      <c r="T83" s="6">
        <v>317287.40000000002</v>
      </c>
      <c r="U83" s="6">
        <v>0</v>
      </c>
      <c r="V83" s="6">
        <v>75971</v>
      </c>
      <c r="W83" s="6">
        <v>75971</v>
      </c>
    </row>
    <row r="84" spans="3:23">
      <c r="E84">
        <v>510106</v>
      </c>
      <c r="F84">
        <v>6732</v>
      </c>
      <c r="G84">
        <v>0</v>
      </c>
      <c r="H84">
        <v>1683</v>
      </c>
      <c r="I84">
        <v>1683</v>
      </c>
      <c r="J84">
        <f t="shared" si="10"/>
        <v>0</v>
      </c>
      <c r="K84">
        <f t="shared" si="11"/>
        <v>0</v>
      </c>
      <c r="L84">
        <f t="shared" si="12"/>
        <v>0</v>
      </c>
      <c r="M84">
        <f t="shared" si="13"/>
        <v>0</v>
      </c>
      <c r="N84">
        <f t="shared" si="14"/>
        <v>0</v>
      </c>
      <c r="S84">
        <v>510106</v>
      </c>
      <c r="T84">
        <v>6732</v>
      </c>
      <c r="U84">
        <v>0</v>
      </c>
      <c r="V84">
        <v>1683</v>
      </c>
      <c r="W84">
        <v>1683</v>
      </c>
    </row>
    <row r="85" spans="3:23">
      <c r="E85">
        <v>510203</v>
      </c>
      <c r="F85">
        <v>44278.600000000006</v>
      </c>
      <c r="G85">
        <v>0</v>
      </c>
      <c r="H85">
        <v>5366.1900000000005</v>
      </c>
      <c r="I85">
        <v>5366.1900000000005</v>
      </c>
      <c r="J85">
        <f t="shared" si="10"/>
        <v>0</v>
      </c>
      <c r="K85">
        <f t="shared" si="11"/>
        <v>0</v>
      </c>
      <c r="L85">
        <f t="shared" si="12"/>
        <v>0</v>
      </c>
      <c r="M85">
        <f t="shared" si="13"/>
        <v>0</v>
      </c>
      <c r="N85">
        <f t="shared" si="14"/>
        <v>0</v>
      </c>
      <c r="O85" s="171"/>
      <c r="P85" s="171"/>
      <c r="Q85" s="6"/>
      <c r="R85" s="171"/>
      <c r="S85" s="6">
        <v>510203</v>
      </c>
      <c r="T85" s="6">
        <v>44278.6</v>
      </c>
      <c r="U85" s="6">
        <v>0</v>
      </c>
      <c r="V85" s="6">
        <v>5366.1900000000005</v>
      </c>
      <c r="W85" s="6">
        <v>5366.1900000000005</v>
      </c>
    </row>
    <row r="86" spans="3:23">
      <c r="E86">
        <v>510204</v>
      </c>
      <c r="F86">
        <v>15964.750000000004</v>
      </c>
      <c r="G86">
        <v>0</v>
      </c>
      <c r="H86">
        <v>1839.8400000000001</v>
      </c>
      <c r="I86">
        <v>1839.8400000000001</v>
      </c>
      <c r="J86">
        <f t="shared" si="10"/>
        <v>0</v>
      </c>
      <c r="K86">
        <f t="shared" si="11"/>
        <v>0</v>
      </c>
      <c r="L86">
        <f t="shared" si="12"/>
        <v>0</v>
      </c>
      <c r="M86">
        <f t="shared" si="13"/>
        <v>0</v>
      </c>
      <c r="N86">
        <f t="shared" si="14"/>
        <v>0</v>
      </c>
      <c r="S86">
        <v>510204</v>
      </c>
      <c r="T86">
        <v>15964.75</v>
      </c>
      <c r="U86">
        <v>0</v>
      </c>
      <c r="V86">
        <v>1839.84</v>
      </c>
      <c r="W86">
        <v>1839.84</v>
      </c>
    </row>
    <row r="87" spans="3:23">
      <c r="E87">
        <v>510304</v>
      </c>
      <c r="F87">
        <v>127.00000000000001</v>
      </c>
      <c r="G87">
        <v>0</v>
      </c>
      <c r="H87">
        <v>19.5</v>
      </c>
      <c r="I87">
        <v>19.5</v>
      </c>
      <c r="J87">
        <f t="shared" si="10"/>
        <v>0</v>
      </c>
      <c r="K87">
        <f t="shared" si="11"/>
        <v>0</v>
      </c>
      <c r="L87">
        <f t="shared" si="12"/>
        <v>0</v>
      </c>
      <c r="M87">
        <f t="shared" si="13"/>
        <v>0</v>
      </c>
      <c r="N87">
        <f t="shared" si="14"/>
        <v>0</v>
      </c>
      <c r="O87" s="171"/>
      <c r="P87" s="171"/>
      <c r="Q87" s="6"/>
      <c r="R87" s="171"/>
      <c r="S87" s="6">
        <v>510304</v>
      </c>
      <c r="T87" s="6">
        <v>127</v>
      </c>
      <c r="U87" s="6">
        <v>0</v>
      </c>
      <c r="V87" s="6">
        <v>19.5</v>
      </c>
      <c r="W87" s="6">
        <v>19.5</v>
      </c>
    </row>
    <row r="88" spans="3:23">
      <c r="E88">
        <v>510306</v>
      </c>
      <c r="F88">
        <v>889.00000000000011</v>
      </c>
      <c r="G88">
        <v>0</v>
      </c>
      <c r="H88">
        <v>136.5</v>
      </c>
      <c r="I88">
        <v>136.5</v>
      </c>
      <c r="J88">
        <f t="shared" si="10"/>
        <v>0</v>
      </c>
      <c r="K88">
        <f t="shared" si="11"/>
        <v>0</v>
      </c>
      <c r="L88">
        <f t="shared" si="12"/>
        <v>0</v>
      </c>
      <c r="M88">
        <f t="shared" si="13"/>
        <v>0</v>
      </c>
      <c r="N88">
        <f t="shared" si="14"/>
        <v>0</v>
      </c>
      <c r="O88" s="171"/>
      <c r="P88" s="171"/>
      <c r="Q88" s="6"/>
      <c r="R88" s="171"/>
      <c r="S88" s="6">
        <v>510306</v>
      </c>
      <c r="T88" s="6">
        <v>889</v>
      </c>
      <c r="U88" s="6">
        <v>0</v>
      </c>
      <c r="V88" s="6">
        <v>136.5</v>
      </c>
      <c r="W88" s="6">
        <v>136.5</v>
      </c>
    </row>
    <row r="89" spans="3:23">
      <c r="E89">
        <v>510401</v>
      </c>
      <c r="F89">
        <v>184.08</v>
      </c>
      <c r="G89">
        <v>0</v>
      </c>
      <c r="H89">
        <v>28.32</v>
      </c>
      <c r="I89">
        <v>28.32</v>
      </c>
      <c r="J89">
        <f t="shared" si="10"/>
        <v>0</v>
      </c>
      <c r="K89">
        <f t="shared" si="11"/>
        <v>0</v>
      </c>
      <c r="L89">
        <f t="shared" si="12"/>
        <v>0</v>
      </c>
      <c r="M89">
        <f t="shared" si="13"/>
        <v>0</v>
      </c>
      <c r="N89">
        <f t="shared" si="14"/>
        <v>0</v>
      </c>
      <c r="O89" s="171"/>
      <c r="P89" s="171"/>
      <c r="Q89" s="6"/>
      <c r="R89" s="171"/>
      <c r="S89" s="6">
        <v>510401</v>
      </c>
      <c r="T89" s="6">
        <v>184.08</v>
      </c>
      <c r="U89" s="6">
        <v>0</v>
      </c>
      <c r="V89" s="6">
        <v>28.32</v>
      </c>
      <c r="W89" s="6">
        <v>28.32</v>
      </c>
    </row>
    <row r="90" spans="3:23">
      <c r="E90">
        <v>510408</v>
      </c>
      <c r="F90">
        <v>24.189999999999998</v>
      </c>
      <c r="G90">
        <v>0</v>
      </c>
      <c r="H90">
        <v>5.0999999999999996</v>
      </c>
      <c r="I90">
        <v>5.0999999999999996</v>
      </c>
      <c r="J90">
        <f t="shared" si="10"/>
        <v>0</v>
      </c>
      <c r="K90">
        <f t="shared" si="11"/>
        <v>0</v>
      </c>
      <c r="L90">
        <f t="shared" si="12"/>
        <v>0</v>
      </c>
      <c r="M90">
        <f t="shared" si="13"/>
        <v>0</v>
      </c>
      <c r="N90">
        <f t="shared" si="14"/>
        <v>0</v>
      </c>
      <c r="O90" s="171"/>
      <c r="P90" s="171"/>
      <c r="Q90" s="6"/>
      <c r="R90" s="171"/>
      <c r="S90" s="6">
        <v>510408</v>
      </c>
      <c r="T90" s="6">
        <v>24.19</v>
      </c>
      <c r="U90" s="6">
        <v>0</v>
      </c>
      <c r="V90" s="6">
        <v>5.0999999999999996</v>
      </c>
      <c r="W90" s="6">
        <v>5.0999999999999996</v>
      </c>
    </row>
    <row r="91" spans="3:23">
      <c r="E91">
        <v>510509</v>
      </c>
      <c r="F91">
        <v>269.94000000000005</v>
      </c>
      <c r="G91">
        <v>0</v>
      </c>
      <c r="H91">
        <v>0</v>
      </c>
      <c r="I91">
        <v>0</v>
      </c>
      <c r="J91">
        <f t="shared" si="10"/>
        <v>0</v>
      </c>
      <c r="K91">
        <f t="shared" si="11"/>
        <v>0</v>
      </c>
      <c r="L91">
        <f t="shared" si="12"/>
        <v>0</v>
      </c>
      <c r="M91">
        <f t="shared" si="13"/>
        <v>0</v>
      </c>
      <c r="N91">
        <f t="shared" si="14"/>
        <v>0</v>
      </c>
      <c r="O91" s="171"/>
      <c r="P91" s="171"/>
      <c r="Q91" s="6"/>
      <c r="R91" s="171"/>
      <c r="S91" s="6">
        <v>510509</v>
      </c>
      <c r="T91" s="6">
        <v>269.94</v>
      </c>
      <c r="U91" s="6">
        <v>0</v>
      </c>
      <c r="V91" s="6">
        <v>0</v>
      </c>
      <c r="W91" s="6">
        <v>0</v>
      </c>
    </row>
    <row r="92" spans="3:23">
      <c r="E92">
        <v>510510</v>
      </c>
      <c r="F92">
        <v>203014</v>
      </c>
      <c r="G92">
        <v>0</v>
      </c>
      <c r="H92">
        <v>50421</v>
      </c>
      <c r="I92">
        <v>50421</v>
      </c>
      <c r="J92">
        <f t="shared" si="10"/>
        <v>0</v>
      </c>
      <c r="K92">
        <f t="shared" si="11"/>
        <v>0</v>
      </c>
      <c r="L92">
        <f t="shared" si="12"/>
        <v>0</v>
      </c>
      <c r="M92">
        <f t="shared" si="13"/>
        <v>0</v>
      </c>
      <c r="N92">
        <f t="shared" si="14"/>
        <v>0</v>
      </c>
      <c r="O92" s="171"/>
      <c r="P92" s="171"/>
      <c r="Q92" s="6"/>
      <c r="R92" s="171"/>
      <c r="S92" s="6">
        <v>510510</v>
      </c>
      <c r="T92" s="6">
        <v>203014</v>
      </c>
      <c r="U92" s="6">
        <v>0</v>
      </c>
      <c r="V92" s="6">
        <v>50421</v>
      </c>
      <c r="W92" s="6">
        <v>50421</v>
      </c>
    </row>
    <row r="93" spans="3:23">
      <c r="E93">
        <v>510512</v>
      </c>
      <c r="F93">
        <v>3777.08</v>
      </c>
      <c r="G93">
        <v>0</v>
      </c>
      <c r="H93">
        <v>0</v>
      </c>
      <c r="I93">
        <v>0</v>
      </c>
      <c r="J93">
        <f t="shared" si="10"/>
        <v>0</v>
      </c>
      <c r="K93">
        <f t="shared" si="11"/>
        <v>0</v>
      </c>
      <c r="L93">
        <f t="shared" si="12"/>
        <v>0</v>
      </c>
      <c r="M93">
        <f t="shared" si="13"/>
        <v>0</v>
      </c>
      <c r="N93">
        <f t="shared" si="14"/>
        <v>0</v>
      </c>
      <c r="O93" s="171"/>
      <c r="P93" s="171"/>
      <c r="Q93" s="6"/>
      <c r="R93" s="171"/>
      <c r="S93" s="6">
        <v>510512</v>
      </c>
      <c r="T93" s="6">
        <v>3777.08</v>
      </c>
      <c r="U93" s="6">
        <v>0</v>
      </c>
      <c r="V93" s="6">
        <v>0</v>
      </c>
      <c r="W93" s="6">
        <v>0</v>
      </c>
    </row>
    <row r="94" spans="3:23">
      <c r="E94">
        <v>510513</v>
      </c>
      <c r="F94">
        <v>19851.029999999995</v>
      </c>
      <c r="G94">
        <v>0</v>
      </c>
      <c r="H94">
        <v>2412</v>
      </c>
      <c r="I94">
        <v>2412</v>
      </c>
      <c r="J94">
        <f t="shared" si="10"/>
        <v>0</v>
      </c>
      <c r="K94">
        <f t="shared" si="11"/>
        <v>0</v>
      </c>
      <c r="L94">
        <f t="shared" si="12"/>
        <v>0</v>
      </c>
      <c r="M94">
        <f t="shared" si="13"/>
        <v>0</v>
      </c>
      <c r="N94">
        <f t="shared" si="14"/>
        <v>0</v>
      </c>
      <c r="O94" s="171"/>
      <c r="P94" s="171"/>
      <c r="Q94" s="6"/>
      <c r="R94" s="171"/>
      <c r="S94" s="6">
        <v>510513</v>
      </c>
      <c r="T94" s="6">
        <v>19851.03</v>
      </c>
      <c r="U94" s="6">
        <v>0</v>
      </c>
      <c r="V94" s="6">
        <v>2412</v>
      </c>
      <c r="W94" s="6">
        <v>2412</v>
      </c>
    </row>
    <row r="95" spans="3:23">
      <c r="E95">
        <v>510601</v>
      </c>
      <c r="F95">
        <v>53307.990000000005</v>
      </c>
      <c r="G95">
        <v>0</v>
      </c>
      <c r="H95">
        <v>12634.28</v>
      </c>
      <c r="I95">
        <v>12634.279999999999</v>
      </c>
      <c r="J95">
        <f t="shared" si="10"/>
        <v>0</v>
      </c>
      <c r="K95">
        <f t="shared" si="11"/>
        <v>0</v>
      </c>
      <c r="L95">
        <f t="shared" si="12"/>
        <v>0</v>
      </c>
      <c r="M95">
        <f t="shared" si="13"/>
        <v>0</v>
      </c>
      <c r="N95">
        <f t="shared" si="14"/>
        <v>0</v>
      </c>
      <c r="O95" s="171"/>
      <c r="P95" s="171"/>
      <c r="Q95" s="6"/>
      <c r="R95" s="171"/>
      <c r="S95" s="6">
        <v>510601</v>
      </c>
      <c r="T95" s="6">
        <v>53307.990000000005</v>
      </c>
      <c r="U95" s="6">
        <v>0</v>
      </c>
      <c r="V95" s="6">
        <v>12634.28</v>
      </c>
      <c r="W95" s="6">
        <v>12634.28</v>
      </c>
    </row>
    <row r="96" spans="3:23">
      <c r="E96">
        <v>510602</v>
      </c>
      <c r="F96">
        <v>38594.639999999999</v>
      </c>
      <c r="G96">
        <v>0</v>
      </c>
      <c r="H96">
        <v>6371.93</v>
      </c>
      <c r="I96">
        <v>6371.93</v>
      </c>
      <c r="J96">
        <f t="shared" si="10"/>
        <v>0</v>
      </c>
      <c r="K96">
        <f t="shared" si="11"/>
        <v>0</v>
      </c>
      <c r="L96">
        <f t="shared" si="12"/>
        <v>0</v>
      </c>
      <c r="M96">
        <f t="shared" si="13"/>
        <v>0</v>
      </c>
      <c r="N96">
        <f t="shared" si="14"/>
        <v>0</v>
      </c>
      <c r="O96" s="171"/>
      <c r="P96" s="171"/>
      <c r="Q96" s="6"/>
      <c r="R96" s="171"/>
      <c r="S96" s="6">
        <v>510602</v>
      </c>
      <c r="T96" s="6">
        <v>38594.639999999999</v>
      </c>
      <c r="U96" s="6">
        <v>0</v>
      </c>
      <c r="V96" s="6">
        <v>6371.93</v>
      </c>
      <c r="W96" s="6">
        <v>6371.93</v>
      </c>
    </row>
    <row r="97" spans="4:23">
      <c r="E97">
        <v>510707</v>
      </c>
      <c r="F97">
        <v>0</v>
      </c>
      <c r="G97">
        <v>0</v>
      </c>
      <c r="H97">
        <v>0</v>
      </c>
      <c r="I97">
        <v>0</v>
      </c>
      <c r="J97">
        <f t="shared" si="10"/>
        <v>0</v>
      </c>
      <c r="K97">
        <f t="shared" si="11"/>
        <v>0</v>
      </c>
      <c r="L97">
        <f t="shared" si="12"/>
        <v>0</v>
      </c>
      <c r="M97">
        <f t="shared" si="13"/>
        <v>0</v>
      </c>
      <c r="N97">
        <f t="shared" si="14"/>
        <v>0</v>
      </c>
      <c r="O97" s="171"/>
      <c r="P97" s="171"/>
      <c r="Q97" s="6"/>
      <c r="R97" s="171"/>
      <c r="S97" s="6">
        <v>510707</v>
      </c>
      <c r="T97" s="6">
        <v>0</v>
      </c>
      <c r="U97" s="6">
        <v>0</v>
      </c>
      <c r="V97" s="6">
        <v>0</v>
      </c>
      <c r="W97" s="6">
        <v>0</v>
      </c>
    </row>
    <row r="98" spans="4:23">
      <c r="D98" t="s">
        <v>825</v>
      </c>
      <c r="E98">
        <v>530101</v>
      </c>
      <c r="F98">
        <v>270.25</v>
      </c>
      <c r="G98">
        <v>0</v>
      </c>
      <c r="H98">
        <v>0</v>
      </c>
      <c r="I98">
        <v>0</v>
      </c>
      <c r="J98">
        <f t="shared" si="10"/>
        <v>0</v>
      </c>
      <c r="K98">
        <f t="shared" si="11"/>
        <v>0</v>
      </c>
      <c r="L98">
        <f t="shared" si="12"/>
        <v>0</v>
      </c>
      <c r="M98">
        <f t="shared" si="13"/>
        <v>0</v>
      </c>
      <c r="N98">
        <f t="shared" si="14"/>
        <v>0</v>
      </c>
      <c r="O98" s="171"/>
      <c r="P98" s="171"/>
      <c r="Q98" s="6"/>
      <c r="R98" s="171">
        <v>530000</v>
      </c>
      <c r="S98" s="6">
        <v>530101</v>
      </c>
      <c r="T98" s="6">
        <v>270.25</v>
      </c>
      <c r="U98" s="6">
        <v>0</v>
      </c>
      <c r="V98" s="6">
        <v>0</v>
      </c>
      <c r="W98" s="6">
        <v>0</v>
      </c>
    </row>
    <row r="99" spans="4:23">
      <c r="E99">
        <v>530104</v>
      </c>
      <c r="F99">
        <v>5000</v>
      </c>
      <c r="G99">
        <v>0</v>
      </c>
      <c r="H99">
        <v>0</v>
      </c>
      <c r="I99">
        <v>0</v>
      </c>
      <c r="J99">
        <f t="shared" si="10"/>
        <v>0</v>
      </c>
      <c r="K99">
        <f t="shared" si="11"/>
        <v>0</v>
      </c>
      <c r="L99">
        <f t="shared" si="12"/>
        <v>0</v>
      </c>
      <c r="M99">
        <f t="shared" si="13"/>
        <v>0</v>
      </c>
      <c r="N99">
        <f t="shared" si="14"/>
        <v>0</v>
      </c>
      <c r="O99" s="171"/>
      <c r="P99" s="171"/>
      <c r="Q99" s="6"/>
      <c r="R99" s="171"/>
      <c r="S99" s="6">
        <v>530104</v>
      </c>
      <c r="T99" s="6">
        <v>5000</v>
      </c>
      <c r="U99" s="6">
        <v>0</v>
      </c>
      <c r="V99" s="6">
        <v>0</v>
      </c>
      <c r="W99" s="6">
        <v>0</v>
      </c>
    </row>
    <row r="100" spans="4:23">
      <c r="E100">
        <v>530203</v>
      </c>
      <c r="F100">
        <v>0</v>
      </c>
      <c r="G100">
        <v>0</v>
      </c>
      <c r="H100">
        <v>0</v>
      </c>
      <c r="I100">
        <v>0</v>
      </c>
      <c r="J100">
        <f t="shared" si="10"/>
        <v>530203</v>
      </c>
      <c r="K100">
        <f t="shared" si="11"/>
        <v>0</v>
      </c>
      <c r="L100">
        <f t="shared" si="12"/>
        <v>0</v>
      </c>
      <c r="M100">
        <f t="shared" si="13"/>
        <v>0</v>
      </c>
      <c r="N100">
        <f t="shared" si="14"/>
        <v>0</v>
      </c>
    </row>
    <row r="101" spans="4:23">
      <c r="E101">
        <v>530205</v>
      </c>
      <c r="F101">
        <v>387541.01</v>
      </c>
      <c r="G101">
        <v>0</v>
      </c>
      <c r="H101">
        <v>0</v>
      </c>
      <c r="I101">
        <v>0</v>
      </c>
      <c r="J101">
        <f t="shared" ref="J101:J106" si="15">+E101-S101</f>
        <v>0</v>
      </c>
      <c r="K101">
        <f t="shared" ref="K101:K106" si="16">+F101-T101</f>
        <v>0</v>
      </c>
      <c r="L101">
        <f t="shared" ref="L101:L106" si="17">+G101-U101</f>
        <v>0</v>
      </c>
      <c r="M101">
        <f t="shared" ref="M101:M106" si="18">+H101-V101</f>
        <v>0</v>
      </c>
      <c r="N101">
        <f t="shared" ref="N101:N106" si="19">+I101-W101</f>
        <v>0</v>
      </c>
      <c r="O101" s="171"/>
      <c r="P101" s="171"/>
      <c r="Q101" s="6"/>
      <c r="R101" s="171"/>
      <c r="S101" s="6">
        <v>530205</v>
      </c>
      <c r="T101" s="6">
        <v>387541.01</v>
      </c>
      <c r="U101" s="6">
        <v>0</v>
      </c>
      <c r="V101" s="6">
        <v>0</v>
      </c>
      <c r="W101" s="6">
        <v>0</v>
      </c>
    </row>
    <row r="102" spans="4:23">
      <c r="E102">
        <v>530208</v>
      </c>
      <c r="F102">
        <v>82284.83</v>
      </c>
      <c r="G102">
        <v>0</v>
      </c>
      <c r="H102">
        <v>0</v>
      </c>
      <c r="I102">
        <v>0</v>
      </c>
      <c r="J102">
        <f t="shared" si="15"/>
        <v>0</v>
      </c>
      <c r="K102">
        <f t="shared" si="16"/>
        <v>0</v>
      </c>
      <c r="L102">
        <f t="shared" si="17"/>
        <v>0</v>
      </c>
      <c r="M102">
        <f t="shared" si="18"/>
        <v>0</v>
      </c>
      <c r="N102">
        <f t="shared" si="19"/>
        <v>0</v>
      </c>
      <c r="O102" s="171"/>
      <c r="P102" s="171"/>
      <c r="Q102" s="6"/>
      <c r="R102" s="171"/>
      <c r="S102" s="6">
        <v>530208</v>
      </c>
      <c r="T102" s="6">
        <v>82284.83</v>
      </c>
      <c r="U102" s="6">
        <v>0</v>
      </c>
      <c r="V102" s="6">
        <v>0</v>
      </c>
      <c r="W102" s="6">
        <v>0</v>
      </c>
    </row>
    <row r="103" spans="4:23">
      <c r="E103">
        <v>530209</v>
      </c>
      <c r="F103">
        <v>0</v>
      </c>
      <c r="G103">
        <v>0</v>
      </c>
      <c r="H103">
        <v>0</v>
      </c>
      <c r="I103">
        <v>0</v>
      </c>
      <c r="J103">
        <f t="shared" si="15"/>
        <v>530209</v>
      </c>
      <c r="K103">
        <f t="shared" si="16"/>
        <v>0</v>
      </c>
      <c r="L103">
        <f t="shared" si="17"/>
        <v>0</v>
      </c>
      <c r="M103">
        <f t="shared" si="18"/>
        <v>0</v>
      </c>
      <c r="N103">
        <f t="shared" si="19"/>
        <v>0</v>
      </c>
    </row>
    <row r="104" spans="4:23">
      <c r="E104">
        <v>530255</v>
      </c>
      <c r="F104">
        <v>0</v>
      </c>
      <c r="G104">
        <v>0</v>
      </c>
      <c r="H104">
        <v>0</v>
      </c>
      <c r="I104">
        <v>0</v>
      </c>
      <c r="J104">
        <f t="shared" si="15"/>
        <v>530255</v>
      </c>
      <c r="K104">
        <f t="shared" si="16"/>
        <v>0</v>
      </c>
      <c r="L104">
        <f t="shared" si="17"/>
        <v>0</v>
      </c>
      <c r="M104">
        <f t="shared" si="18"/>
        <v>0</v>
      </c>
      <c r="N104">
        <f t="shared" si="19"/>
        <v>0</v>
      </c>
    </row>
    <row r="105" spans="4:23">
      <c r="E105">
        <v>530301</v>
      </c>
      <c r="F105">
        <v>0</v>
      </c>
      <c r="G105">
        <v>0</v>
      </c>
      <c r="H105">
        <v>0</v>
      </c>
      <c r="I105">
        <v>0</v>
      </c>
      <c r="J105">
        <f t="shared" si="15"/>
        <v>0</v>
      </c>
      <c r="K105">
        <f t="shared" si="16"/>
        <v>0</v>
      </c>
      <c r="L105">
        <f t="shared" si="17"/>
        <v>0</v>
      </c>
      <c r="M105">
        <f t="shared" si="18"/>
        <v>0</v>
      </c>
      <c r="N105">
        <f t="shared" si="19"/>
        <v>0</v>
      </c>
      <c r="O105" s="171"/>
      <c r="P105" s="171"/>
      <c r="Q105" s="6"/>
      <c r="R105" s="171"/>
      <c r="S105" s="6">
        <v>530301</v>
      </c>
      <c r="T105" s="6">
        <v>0</v>
      </c>
      <c r="U105" s="6">
        <v>0</v>
      </c>
      <c r="V105" s="6">
        <v>0</v>
      </c>
      <c r="W105" s="6">
        <v>0</v>
      </c>
    </row>
    <row r="106" spans="4:23">
      <c r="E106">
        <v>530304</v>
      </c>
      <c r="F106">
        <v>5500</v>
      </c>
      <c r="G106">
        <v>5500</v>
      </c>
      <c r="H106">
        <v>0</v>
      </c>
      <c r="I106">
        <v>0</v>
      </c>
      <c r="J106">
        <f t="shared" si="15"/>
        <v>0</v>
      </c>
      <c r="K106">
        <f t="shared" si="16"/>
        <v>-5360</v>
      </c>
      <c r="L106">
        <f t="shared" si="17"/>
        <v>0</v>
      </c>
      <c r="M106">
        <f t="shared" si="18"/>
        <v>0</v>
      </c>
      <c r="N106">
        <f t="shared" si="19"/>
        <v>0</v>
      </c>
      <c r="O106" s="171"/>
      <c r="P106" s="171"/>
      <c r="Q106" s="6"/>
      <c r="R106" s="171"/>
      <c r="S106" s="6">
        <v>530304</v>
      </c>
      <c r="T106" s="6">
        <v>10860</v>
      </c>
      <c r="U106" s="6">
        <v>5500</v>
      </c>
      <c r="V106" s="6">
        <v>0</v>
      </c>
      <c r="W106" s="6">
        <v>0</v>
      </c>
    </row>
    <row r="107" spans="4:23">
      <c r="E107">
        <v>530402</v>
      </c>
      <c r="F107">
        <v>0</v>
      </c>
      <c r="G107">
        <v>0</v>
      </c>
      <c r="H107">
        <v>0</v>
      </c>
      <c r="I107">
        <v>0</v>
      </c>
      <c r="J107">
        <f t="shared" ref="J107:J166" si="20">+E107-S107</f>
        <v>530402</v>
      </c>
      <c r="K107">
        <f t="shared" ref="K107:K166" si="21">+F107-T107</f>
        <v>0</v>
      </c>
      <c r="L107">
        <f t="shared" ref="L107:L166" si="22">+G107-U107</f>
        <v>0</v>
      </c>
      <c r="M107">
        <f t="shared" ref="M107:M166" si="23">+H107-V107</f>
        <v>0</v>
      </c>
      <c r="N107">
        <f t="shared" ref="N107:N166" si="24">+I107-W107</f>
        <v>0</v>
      </c>
    </row>
    <row r="108" spans="4:23">
      <c r="E108">
        <v>530404</v>
      </c>
      <c r="F108">
        <v>0</v>
      </c>
      <c r="G108">
        <v>0</v>
      </c>
      <c r="H108">
        <v>0</v>
      </c>
      <c r="I108">
        <v>0</v>
      </c>
      <c r="J108">
        <f t="shared" si="20"/>
        <v>530404</v>
      </c>
      <c r="K108">
        <f t="shared" si="21"/>
        <v>0</v>
      </c>
      <c r="L108">
        <f t="shared" si="22"/>
        <v>0</v>
      </c>
      <c r="M108">
        <f t="shared" si="23"/>
        <v>0</v>
      </c>
      <c r="N108">
        <f t="shared" si="24"/>
        <v>0</v>
      </c>
    </row>
    <row r="109" spans="4:23">
      <c r="E109">
        <v>530303</v>
      </c>
      <c r="F109">
        <v>4820</v>
      </c>
      <c r="G109">
        <v>2790</v>
      </c>
      <c r="H109">
        <v>210</v>
      </c>
      <c r="I109">
        <v>210</v>
      </c>
      <c r="J109">
        <f t="shared" si="20"/>
        <v>0</v>
      </c>
      <c r="K109">
        <f t="shared" si="21"/>
        <v>-1200</v>
      </c>
      <c r="L109">
        <f t="shared" si="22"/>
        <v>-1200</v>
      </c>
      <c r="M109">
        <f t="shared" si="23"/>
        <v>0</v>
      </c>
      <c r="N109">
        <f t="shared" si="24"/>
        <v>0</v>
      </c>
      <c r="O109" s="171"/>
      <c r="P109" s="171"/>
      <c r="Q109" s="6"/>
      <c r="R109" s="171"/>
      <c r="S109" s="6">
        <v>530303</v>
      </c>
      <c r="T109" s="6">
        <v>6020</v>
      </c>
      <c r="U109" s="6">
        <v>3990</v>
      </c>
      <c r="V109" s="6">
        <v>210</v>
      </c>
      <c r="W109" s="6">
        <v>210</v>
      </c>
    </row>
    <row r="110" spans="4:23">
      <c r="E110">
        <v>530606</v>
      </c>
      <c r="F110">
        <v>0</v>
      </c>
      <c r="G110">
        <v>0</v>
      </c>
      <c r="H110">
        <v>0</v>
      </c>
      <c r="I110">
        <v>0</v>
      </c>
      <c r="J110">
        <f t="shared" si="20"/>
        <v>0</v>
      </c>
      <c r="K110">
        <f t="shared" si="21"/>
        <v>0</v>
      </c>
      <c r="L110">
        <f t="shared" si="22"/>
        <v>0</v>
      </c>
      <c r="M110">
        <f t="shared" si="23"/>
        <v>0</v>
      </c>
      <c r="N110">
        <f t="shared" si="24"/>
        <v>0</v>
      </c>
      <c r="S110">
        <v>530606</v>
      </c>
      <c r="T110">
        <v>0</v>
      </c>
      <c r="U110">
        <v>0</v>
      </c>
      <c r="V110">
        <v>0</v>
      </c>
      <c r="W110">
        <v>0</v>
      </c>
    </row>
    <row r="111" spans="4:23">
      <c r="E111">
        <v>530704</v>
      </c>
      <c r="F111">
        <v>0</v>
      </c>
      <c r="G111">
        <v>0</v>
      </c>
      <c r="H111">
        <v>0</v>
      </c>
      <c r="I111">
        <v>0</v>
      </c>
      <c r="J111">
        <f t="shared" si="20"/>
        <v>530704</v>
      </c>
      <c r="K111">
        <f t="shared" si="21"/>
        <v>0</v>
      </c>
      <c r="L111">
        <f t="shared" si="22"/>
        <v>0</v>
      </c>
      <c r="M111">
        <f t="shared" si="23"/>
        <v>0</v>
      </c>
      <c r="N111">
        <f t="shared" si="24"/>
        <v>0</v>
      </c>
      <c r="O111" s="171"/>
      <c r="P111" s="171"/>
      <c r="Q111" s="6"/>
      <c r="R111" s="171"/>
      <c r="S111" s="6"/>
      <c r="T111" s="6"/>
      <c r="U111" s="6"/>
      <c r="V111" s="6"/>
      <c r="W111" s="6"/>
    </row>
    <row r="112" spans="4:23">
      <c r="E112">
        <v>530802</v>
      </c>
      <c r="F112">
        <v>0</v>
      </c>
      <c r="G112">
        <v>0</v>
      </c>
      <c r="H112">
        <v>0</v>
      </c>
      <c r="I112">
        <v>0</v>
      </c>
      <c r="J112">
        <f t="shared" si="20"/>
        <v>530802</v>
      </c>
      <c r="K112">
        <f t="shared" si="21"/>
        <v>0</v>
      </c>
      <c r="L112">
        <f t="shared" si="22"/>
        <v>0</v>
      </c>
      <c r="M112">
        <f t="shared" si="23"/>
        <v>0</v>
      </c>
      <c r="N112">
        <f t="shared" si="24"/>
        <v>0</v>
      </c>
      <c r="O112" s="171"/>
      <c r="P112" s="171"/>
      <c r="Q112" s="6"/>
      <c r="R112" s="171"/>
      <c r="S112" s="6"/>
      <c r="T112" s="6"/>
      <c r="U112" s="6"/>
      <c r="V112" s="6"/>
      <c r="W112" s="6"/>
    </row>
    <row r="113" spans="2:23">
      <c r="D113" t="s">
        <v>826</v>
      </c>
      <c r="E113">
        <v>570102</v>
      </c>
      <c r="F113">
        <v>134.79</v>
      </c>
      <c r="G113">
        <v>0</v>
      </c>
      <c r="H113">
        <v>134.79</v>
      </c>
      <c r="I113">
        <v>134.79</v>
      </c>
      <c r="J113">
        <f t="shared" si="20"/>
        <v>0</v>
      </c>
      <c r="K113">
        <f t="shared" si="21"/>
        <v>0</v>
      </c>
      <c r="L113">
        <f t="shared" si="22"/>
        <v>0</v>
      </c>
      <c r="M113">
        <f t="shared" si="23"/>
        <v>0</v>
      </c>
      <c r="N113">
        <f t="shared" si="24"/>
        <v>0</v>
      </c>
      <c r="R113">
        <v>570000</v>
      </c>
      <c r="S113">
        <v>570102</v>
      </c>
      <c r="T113">
        <v>134.79</v>
      </c>
      <c r="U113">
        <v>0</v>
      </c>
      <c r="V113">
        <v>134.79</v>
      </c>
      <c r="W113">
        <v>134.79</v>
      </c>
    </row>
    <row r="114" spans="2:23">
      <c r="D114" t="s">
        <v>827</v>
      </c>
      <c r="E114">
        <v>580204</v>
      </c>
      <c r="F114">
        <v>45000</v>
      </c>
      <c r="G114">
        <v>45000</v>
      </c>
      <c r="H114">
        <v>0</v>
      </c>
      <c r="I114">
        <v>0</v>
      </c>
      <c r="J114">
        <f t="shared" si="20"/>
        <v>0</v>
      </c>
      <c r="K114">
        <f t="shared" si="21"/>
        <v>0</v>
      </c>
      <c r="L114">
        <f t="shared" si="22"/>
        <v>0</v>
      </c>
      <c r="M114">
        <f t="shared" si="23"/>
        <v>0</v>
      </c>
      <c r="N114">
        <f t="shared" si="24"/>
        <v>0</v>
      </c>
      <c r="R114">
        <v>580000</v>
      </c>
      <c r="S114">
        <v>580204</v>
      </c>
      <c r="T114">
        <v>45000</v>
      </c>
      <c r="U114">
        <v>45000</v>
      </c>
      <c r="V114">
        <v>0</v>
      </c>
      <c r="W114">
        <v>0</v>
      </c>
    </row>
    <row r="115" spans="2:23">
      <c r="E115">
        <v>580301</v>
      </c>
      <c r="F115">
        <v>15191.73</v>
      </c>
      <c r="G115">
        <v>15191.73</v>
      </c>
      <c r="H115">
        <v>0</v>
      </c>
      <c r="I115">
        <v>0</v>
      </c>
      <c r="J115">
        <f t="shared" si="20"/>
        <v>0</v>
      </c>
      <c r="K115">
        <f t="shared" si="21"/>
        <v>0</v>
      </c>
      <c r="L115">
        <f t="shared" si="22"/>
        <v>0</v>
      </c>
      <c r="M115">
        <f t="shared" si="23"/>
        <v>0</v>
      </c>
      <c r="N115">
        <f t="shared" si="24"/>
        <v>0</v>
      </c>
      <c r="O115" s="171"/>
      <c r="P115" s="171"/>
      <c r="Q115" s="6"/>
      <c r="R115" s="171"/>
      <c r="S115" s="6">
        <v>580301</v>
      </c>
      <c r="T115" s="6">
        <v>15191.73</v>
      </c>
      <c r="U115" s="6">
        <v>15191.73</v>
      </c>
      <c r="V115" s="6">
        <v>0</v>
      </c>
      <c r="W115" s="6">
        <v>0</v>
      </c>
    </row>
    <row r="116" spans="2:23">
      <c r="B116" t="s">
        <v>582</v>
      </c>
      <c r="C116" t="s">
        <v>82</v>
      </c>
      <c r="D116" t="s">
        <v>833</v>
      </c>
      <c r="E116">
        <v>710203</v>
      </c>
      <c r="F116">
        <v>5675.04</v>
      </c>
      <c r="G116">
        <v>0</v>
      </c>
      <c r="H116">
        <v>0</v>
      </c>
      <c r="I116">
        <v>0</v>
      </c>
      <c r="J116">
        <f t="shared" si="20"/>
        <v>0</v>
      </c>
      <c r="K116">
        <f t="shared" si="21"/>
        <v>1111</v>
      </c>
      <c r="L116">
        <f t="shared" si="22"/>
        <v>0</v>
      </c>
      <c r="M116">
        <f t="shared" si="23"/>
        <v>0</v>
      </c>
      <c r="N116">
        <f t="shared" si="24"/>
        <v>0</v>
      </c>
      <c r="O116" s="171"/>
      <c r="P116" s="171" t="s">
        <v>834</v>
      </c>
      <c r="Q116" s="6" t="s">
        <v>835</v>
      </c>
      <c r="R116" s="171">
        <v>710000</v>
      </c>
      <c r="S116" s="6">
        <v>710203</v>
      </c>
      <c r="T116" s="6">
        <v>4564.04</v>
      </c>
      <c r="U116" s="6">
        <v>0</v>
      </c>
      <c r="V116" s="6">
        <v>0</v>
      </c>
      <c r="W116" s="6">
        <v>0</v>
      </c>
    </row>
    <row r="117" spans="2:23">
      <c r="E117">
        <v>710204</v>
      </c>
      <c r="F117">
        <v>1792.5</v>
      </c>
      <c r="G117">
        <v>0</v>
      </c>
      <c r="H117">
        <v>0</v>
      </c>
      <c r="I117">
        <v>0</v>
      </c>
      <c r="J117">
        <f t="shared" si="20"/>
        <v>0</v>
      </c>
      <c r="K117">
        <f t="shared" si="21"/>
        <v>412.5</v>
      </c>
      <c r="L117">
        <f t="shared" si="22"/>
        <v>0</v>
      </c>
      <c r="M117">
        <f t="shared" si="23"/>
        <v>0</v>
      </c>
      <c r="N117">
        <f t="shared" si="24"/>
        <v>0</v>
      </c>
      <c r="O117" s="171"/>
      <c r="P117" s="171"/>
      <c r="Q117" s="6"/>
      <c r="R117" s="171"/>
      <c r="S117" s="6">
        <v>710204</v>
      </c>
      <c r="T117" s="6">
        <v>1380</v>
      </c>
      <c r="U117" s="6">
        <v>0</v>
      </c>
      <c r="V117" s="6">
        <v>0</v>
      </c>
      <c r="W117" s="6">
        <v>0</v>
      </c>
    </row>
    <row r="118" spans="2:23">
      <c r="E118">
        <v>710510</v>
      </c>
      <c r="F118">
        <v>68070.040000000008</v>
      </c>
      <c r="G118">
        <v>0</v>
      </c>
      <c r="H118">
        <v>13692</v>
      </c>
      <c r="I118">
        <v>13692</v>
      </c>
      <c r="J118">
        <f t="shared" si="20"/>
        <v>0</v>
      </c>
      <c r="K118">
        <f t="shared" si="21"/>
        <v>17591.210000000006</v>
      </c>
      <c r="L118">
        <f t="shared" si="22"/>
        <v>0</v>
      </c>
      <c r="M118">
        <f t="shared" si="23"/>
        <v>0</v>
      </c>
      <c r="N118">
        <f t="shared" si="24"/>
        <v>0</v>
      </c>
      <c r="S118">
        <v>710510</v>
      </c>
      <c r="T118">
        <v>50478.83</v>
      </c>
      <c r="U118">
        <v>0</v>
      </c>
      <c r="V118">
        <v>13692</v>
      </c>
      <c r="W118">
        <v>13692</v>
      </c>
    </row>
    <row r="119" spans="2:23">
      <c r="E119">
        <v>710601</v>
      </c>
      <c r="F119">
        <v>6571.5999999999985</v>
      </c>
      <c r="G119">
        <v>0</v>
      </c>
      <c r="H119">
        <v>1321.2599999999998</v>
      </c>
      <c r="I119">
        <v>1321.2599999999998</v>
      </c>
      <c r="J119">
        <f t="shared" si="20"/>
        <v>0</v>
      </c>
      <c r="K119">
        <f t="shared" si="21"/>
        <v>1726.9799999999987</v>
      </c>
      <c r="L119">
        <f t="shared" si="22"/>
        <v>0</v>
      </c>
      <c r="M119">
        <f t="shared" si="23"/>
        <v>0</v>
      </c>
      <c r="N119">
        <f t="shared" si="24"/>
        <v>0</v>
      </c>
      <c r="S119">
        <v>710601</v>
      </c>
      <c r="T119">
        <v>4844.62</v>
      </c>
      <c r="U119">
        <v>0</v>
      </c>
      <c r="V119">
        <v>1321.26</v>
      </c>
      <c r="W119">
        <v>1321.26</v>
      </c>
    </row>
    <row r="120" spans="2:23">
      <c r="E120">
        <v>710602</v>
      </c>
      <c r="F120">
        <v>5672.7199999999993</v>
      </c>
      <c r="G120">
        <v>0</v>
      </c>
      <c r="H120">
        <v>558.44000000000005</v>
      </c>
      <c r="I120">
        <v>558.44000000000005</v>
      </c>
      <c r="J120">
        <f t="shared" si="20"/>
        <v>0</v>
      </c>
      <c r="K120">
        <f t="shared" si="21"/>
        <v>1490.7399999999998</v>
      </c>
      <c r="L120">
        <f t="shared" si="22"/>
        <v>0</v>
      </c>
      <c r="M120">
        <f t="shared" si="23"/>
        <v>0</v>
      </c>
      <c r="N120">
        <f t="shared" si="24"/>
        <v>0</v>
      </c>
      <c r="O120" s="171"/>
      <c r="P120" s="171"/>
      <c r="Q120" s="6"/>
      <c r="R120" s="171"/>
      <c r="S120" s="6">
        <v>710602</v>
      </c>
      <c r="T120" s="6">
        <v>4181.9799999999996</v>
      </c>
      <c r="U120" s="6">
        <v>0</v>
      </c>
      <c r="V120" s="6">
        <v>558.44000000000005</v>
      </c>
      <c r="W120" s="6">
        <v>558.44000000000005</v>
      </c>
    </row>
    <row r="121" spans="2:23">
      <c r="E121">
        <v>710707</v>
      </c>
      <c r="F121">
        <v>0</v>
      </c>
      <c r="G121">
        <v>0</v>
      </c>
      <c r="H121">
        <v>0</v>
      </c>
      <c r="I121">
        <v>0</v>
      </c>
      <c r="J121">
        <f t="shared" si="20"/>
        <v>710707</v>
      </c>
      <c r="K121">
        <f t="shared" si="21"/>
        <v>0</v>
      </c>
      <c r="L121">
        <f t="shared" si="22"/>
        <v>0</v>
      </c>
      <c r="M121">
        <f t="shared" si="23"/>
        <v>0</v>
      </c>
      <c r="N121">
        <f t="shared" si="24"/>
        <v>0</v>
      </c>
    </row>
    <row r="122" spans="2:23">
      <c r="D122" t="s">
        <v>836</v>
      </c>
      <c r="E122">
        <v>730204</v>
      </c>
      <c r="F122">
        <v>1</v>
      </c>
      <c r="G122">
        <v>0</v>
      </c>
      <c r="H122">
        <v>0</v>
      </c>
      <c r="I122">
        <v>0</v>
      </c>
      <c r="J122">
        <f t="shared" si="20"/>
        <v>-200</v>
      </c>
      <c r="K122">
        <f t="shared" si="21"/>
        <v>-36499.85</v>
      </c>
      <c r="L122">
        <f t="shared" si="22"/>
        <v>0</v>
      </c>
      <c r="M122">
        <f t="shared" si="23"/>
        <v>0</v>
      </c>
      <c r="N122">
        <f t="shared" si="24"/>
        <v>0</v>
      </c>
      <c r="O122" s="171"/>
      <c r="P122" s="171"/>
      <c r="Q122" s="6"/>
      <c r="R122" s="171">
        <v>730000</v>
      </c>
      <c r="S122" s="6">
        <v>730404</v>
      </c>
      <c r="T122" s="6">
        <v>36500.85</v>
      </c>
      <c r="U122" s="6">
        <v>0</v>
      </c>
      <c r="V122" s="6">
        <v>0</v>
      </c>
      <c r="W122" s="6">
        <v>0</v>
      </c>
    </row>
    <row r="123" spans="2:23">
      <c r="E123">
        <v>730301</v>
      </c>
      <c r="F123">
        <v>2083.9299999999998</v>
      </c>
      <c r="G123">
        <v>0</v>
      </c>
      <c r="H123">
        <v>0</v>
      </c>
      <c r="I123">
        <v>0</v>
      </c>
      <c r="J123">
        <f t="shared" si="20"/>
        <v>730301</v>
      </c>
      <c r="K123">
        <f t="shared" si="21"/>
        <v>2083.9299999999998</v>
      </c>
      <c r="L123">
        <f t="shared" si="22"/>
        <v>0</v>
      </c>
      <c r="M123">
        <f t="shared" si="23"/>
        <v>0</v>
      </c>
      <c r="N123">
        <f t="shared" si="24"/>
        <v>0</v>
      </c>
    </row>
    <row r="124" spans="2:23">
      <c r="E124">
        <v>730303</v>
      </c>
      <c r="F124">
        <v>4800</v>
      </c>
      <c r="G124">
        <v>0</v>
      </c>
      <c r="H124">
        <v>0</v>
      </c>
      <c r="I124">
        <v>0</v>
      </c>
      <c r="J124">
        <f t="shared" si="20"/>
        <v>730303</v>
      </c>
      <c r="K124">
        <f t="shared" si="21"/>
        <v>4800</v>
      </c>
      <c r="L124">
        <f t="shared" si="22"/>
        <v>0</v>
      </c>
      <c r="M124">
        <f t="shared" si="23"/>
        <v>0</v>
      </c>
      <c r="N124">
        <f t="shared" si="24"/>
        <v>0</v>
      </c>
    </row>
    <row r="125" spans="2:23">
      <c r="E125">
        <v>730601</v>
      </c>
      <c r="F125">
        <v>0</v>
      </c>
      <c r="G125">
        <v>0</v>
      </c>
      <c r="H125">
        <v>0</v>
      </c>
      <c r="I125">
        <v>0</v>
      </c>
      <c r="J125">
        <f t="shared" si="20"/>
        <v>730601</v>
      </c>
      <c r="K125">
        <f t="shared" si="21"/>
        <v>0</v>
      </c>
      <c r="L125">
        <f t="shared" si="22"/>
        <v>0</v>
      </c>
      <c r="M125">
        <f t="shared" si="23"/>
        <v>0</v>
      </c>
      <c r="N125">
        <f t="shared" si="24"/>
        <v>0</v>
      </c>
    </row>
    <row r="126" spans="2:23">
      <c r="E126">
        <v>730606</v>
      </c>
      <c r="F126">
        <v>72511.56</v>
      </c>
      <c r="G126">
        <v>0</v>
      </c>
      <c r="H126">
        <v>0</v>
      </c>
      <c r="I126">
        <v>0</v>
      </c>
      <c r="J126">
        <f t="shared" si="20"/>
        <v>730606</v>
      </c>
      <c r="K126">
        <f t="shared" si="21"/>
        <v>72511.56</v>
      </c>
      <c r="L126">
        <f t="shared" si="22"/>
        <v>0</v>
      </c>
      <c r="M126">
        <f t="shared" si="23"/>
        <v>0</v>
      </c>
      <c r="N126">
        <f t="shared" si="24"/>
        <v>0</v>
      </c>
    </row>
    <row r="127" spans="2:23">
      <c r="E127">
        <v>730701</v>
      </c>
      <c r="F127">
        <v>0</v>
      </c>
      <c r="G127">
        <v>0</v>
      </c>
      <c r="H127">
        <v>0</v>
      </c>
      <c r="I127">
        <v>0</v>
      </c>
      <c r="J127">
        <f t="shared" si="20"/>
        <v>730701</v>
      </c>
      <c r="K127">
        <f t="shared" si="21"/>
        <v>0</v>
      </c>
      <c r="L127">
        <f t="shared" si="22"/>
        <v>0</v>
      </c>
      <c r="M127">
        <f t="shared" si="23"/>
        <v>0</v>
      </c>
      <c r="N127">
        <f t="shared" si="24"/>
        <v>0</v>
      </c>
    </row>
    <row r="128" spans="2:23">
      <c r="D128" t="s">
        <v>829</v>
      </c>
      <c r="E128">
        <v>990101</v>
      </c>
      <c r="F128">
        <v>2821.61</v>
      </c>
      <c r="G128">
        <v>0</v>
      </c>
      <c r="H128">
        <v>0</v>
      </c>
      <c r="I128">
        <v>0</v>
      </c>
      <c r="J128">
        <f t="shared" si="20"/>
        <v>990101</v>
      </c>
      <c r="K128">
        <f t="shared" si="21"/>
        <v>2821.61</v>
      </c>
      <c r="L128">
        <f t="shared" si="22"/>
        <v>0</v>
      </c>
      <c r="M128">
        <f t="shared" si="23"/>
        <v>0</v>
      </c>
      <c r="N128">
        <f t="shared" si="24"/>
        <v>0</v>
      </c>
    </row>
    <row r="129" spans="1:23">
      <c r="B129" t="s">
        <v>574</v>
      </c>
      <c r="C129" t="s">
        <v>112</v>
      </c>
      <c r="D129" t="s">
        <v>833</v>
      </c>
      <c r="E129">
        <v>710203</v>
      </c>
      <c r="F129">
        <v>23360.33</v>
      </c>
      <c r="G129">
        <v>0</v>
      </c>
      <c r="H129">
        <v>2259.79</v>
      </c>
      <c r="I129">
        <v>2259.79</v>
      </c>
      <c r="J129">
        <f t="shared" si="20"/>
        <v>0</v>
      </c>
      <c r="K129">
        <f t="shared" si="21"/>
        <v>0</v>
      </c>
      <c r="L129">
        <f t="shared" si="22"/>
        <v>0</v>
      </c>
      <c r="M129">
        <f t="shared" si="23"/>
        <v>0</v>
      </c>
      <c r="N129">
        <f t="shared" si="24"/>
        <v>0</v>
      </c>
      <c r="P129" t="s">
        <v>837</v>
      </c>
      <c r="Q129" t="s">
        <v>838</v>
      </c>
      <c r="R129">
        <v>710000</v>
      </c>
      <c r="S129">
        <v>710203</v>
      </c>
      <c r="T129">
        <v>23360.33</v>
      </c>
      <c r="U129">
        <v>0</v>
      </c>
      <c r="V129">
        <v>2259.79</v>
      </c>
      <c r="W129">
        <v>2259.79</v>
      </c>
    </row>
    <row r="130" spans="1:23">
      <c r="E130">
        <v>710204</v>
      </c>
      <c r="F130">
        <v>7475.0000000000009</v>
      </c>
      <c r="G130">
        <v>0</v>
      </c>
      <c r="H130">
        <v>772.99</v>
      </c>
      <c r="I130">
        <v>772.99</v>
      </c>
      <c r="J130">
        <f t="shared" si="20"/>
        <v>0</v>
      </c>
      <c r="K130">
        <f t="shared" si="21"/>
        <v>0</v>
      </c>
      <c r="L130">
        <f t="shared" si="22"/>
        <v>0</v>
      </c>
      <c r="M130">
        <f t="shared" si="23"/>
        <v>0</v>
      </c>
      <c r="N130">
        <f t="shared" si="24"/>
        <v>0</v>
      </c>
      <c r="O130" s="171"/>
      <c r="P130" s="171"/>
      <c r="Q130" s="6"/>
      <c r="R130" s="171"/>
      <c r="S130" s="6">
        <v>710204</v>
      </c>
      <c r="T130" s="6">
        <v>7475</v>
      </c>
      <c r="U130" s="6">
        <v>0</v>
      </c>
      <c r="V130" s="6">
        <v>772.99</v>
      </c>
      <c r="W130" s="6">
        <v>772.99</v>
      </c>
    </row>
    <row r="131" spans="1:23">
      <c r="E131">
        <v>710509</v>
      </c>
      <c r="F131">
        <v>0</v>
      </c>
      <c r="G131">
        <v>0</v>
      </c>
      <c r="H131">
        <v>0</v>
      </c>
      <c r="I131">
        <v>0</v>
      </c>
      <c r="J131">
        <f t="shared" si="20"/>
        <v>710509</v>
      </c>
      <c r="K131">
        <f t="shared" si="21"/>
        <v>0</v>
      </c>
      <c r="L131">
        <f t="shared" si="22"/>
        <v>0</v>
      </c>
      <c r="M131">
        <f t="shared" si="23"/>
        <v>0</v>
      </c>
      <c r="N131">
        <f t="shared" si="24"/>
        <v>0</v>
      </c>
    </row>
    <row r="132" spans="1:23">
      <c r="E132">
        <v>710510</v>
      </c>
      <c r="F132">
        <v>280324</v>
      </c>
      <c r="G132">
        <v>0</v>
      </c>
      <c r="H132">
        <v>71595.53</v>
      </c>
      <c r="I132">
        <v>71595.53</v>
      </c>
      <c r="J132">
        <f t="shared" si="20"/>
        <v>0</v>
      </c>
      <c r="K132">
        <f t="shared" si="21"/>
        <v>0</v>
      </c>
      <c r="L132">
        <f t="shared" si="22"/>
        <v>0</v>
      </c>
      <c r="M132">
        <f t="shared" si="23"/>
        <v>0</v>
      </c>
      <c r="N132">
        <f t="shared" si="24"/>
        <v>0</v>
      </c>
      <c r="O132" s="171"/>
      <c r="P132" s="171"/>
      <c r="Q132" s="6"/>
      <c r="R132" s="171"/>
      <c r="S132" s="6">
        <v>710510</v>
      </c>
      <c r="T132" s="6">
        <v>280324</v>
      </c>
      <c r="U132" s="6">
        <v>0</v>
      </c>
      <c r="V132" s="6">
        <v>71595.53</v>
      </c>
      <c r="W132" s="6">
        <v>71595.53</v>
      </c>
    </row>
    <row r="133" spans="1:23">
      <c r="E133">
        <v>710601</v>
      </c>
      <c r="F133">
        <v>27051.27</v>
      </c>
      <c r="G133">
        <v>0</v>
      </c>
      <c r="H133">
        <v>6908.96</v>
      </c>
      <c r="I133">
        <v>6908.96</v>
      </c>
      <c r="J133">
        <f t="shared" si="20"/>
        <v>0</v>
      </c>
      <c r="K133">
        <f t="shared" si="21"/>
        <v>0</v>
      </c>
      <c r="L133">
        <f t="shared" si="22"/>
        <v>0</v>
      </c>
      <c r="M133">
        <f t="shared" si="23"/>
        <v>0</v>
      </c>
      <c r="N133">
        <f t="shared" si="24"/>
        <v>0</v>
      </c>
      <c r="O133" s="171"/>
      <c r="P133" s="171"/>
      <c r="Q133" s="6"/>
      <c r="R133" s="171"/>
      <c r="S133" s="6">
        <v>710601</v>
      </c>
      <c r="T133" s="6">
        <v>27051.27</v>
      </c>
      <c r="U133" s="6">
        <v>0</v>
      </c>
      <c r="V133" s="6">
        <v>6908.96</v>
      </c>
      <c r="W133" s="6">
        <v>6908.96</v>
      </c>
    </row>
    <row r="134" spans="1:23">
      <c r="E134">
        <v>710602</v>
      </c>
      <c r="F134">
        <v>22233.43</v>
      </c>
      <c r="G134">
        <v>0</v>
      </c>
      <c r="H134">
        <v>1280.1500000000001</v>
      </c>
      <c r="I134">
        <v>1280.1500000000001</v>
      </c>
      <c r="J134">
        <f t="shared" si="20"/>
        <v>0</v>
      </c>
      <c r="K134">
        <f t="shared" si="21"/>
        <v>452.34000000000015</v>
      </c>
      <c r="L134">
        <f t="shared" si="22"/>
        <v>0</v>
      </c>
      <c r="M134">
        <f t="shared" si="23"/>
        <v>0</v>
      </c>
      <c r="N134">
        <f t="shared" si="24"/>
        <v>0</v>
      </c>
      <c r="O134" s="171"/>
      <c r="P134" s="171"/>
      <c r="Q134" s="6"/>
      <c r="R134" s="171"/>
      <c r="S134" s="6">
        <v>710602</v>
      </c>
      <c r="T134" s="6">
        <v>21781.09</v>
      </c>
      <c r="U134" s="6">
        <v>0</v>
      </c>
      <c r="V134" s="6">
        <v>1280.1500000000001</v>
      </c>
      <c r="W134" s="6">
        <v>1280.1500000000001</v>
      </c>
    </row>
    <row r="135" spans="1:23">
      <c r="E135">
        <v>710707</v>
      </c>
      <c r="F135">
        <v>0</v>
      </c>
      <c r="G135">
        <v>0</v>
      </c>
      <c r="H135">
        <v>0</v>
      </c>
      <c r="I135">
        <v>0</v>
      </c>
      <c r="J135">
        <f t="shared" si="20"/>
        <v>710707</v>
      </c>
      <c r="K135">
        <f t="shared" si="21"/>
        <v>0</v>
      </c>
      <c r="L135">
        <f t="shared" si="22"/>
        <v>0</v>
      </c>
      <c r="M135">
        <f t="shared" si="23"/>
        <v>0</v>
      </c>
      <c r="N135">
        <f t="shared" si="24"/>
        <v>0</v>
      </c>
    </row>
    <row r="136" spans="1:23">
      <c r="D136" t="s">
        <v>836</v>
      </c>
      <c r="E136">
        <v>730205</v>
      </c>
      <c r="F136">
        <v>109342.71</v>
      </c>
      <c r="G136">
        <v>0</v>
      </c>
      <c r="H136">
        <v>0</v>
      </c>
      <c r="I136">
        <v>0</v>
      </c>
      <c r="J136">
        <f t="shared" si="20"/>
        <v>730205</v>
      </c>
      <c r="K136">
        <f t="shared" si="21"/>
        <v>109342.71</v>
      </c>
      <c r="L136">
        <f t="shared" si="22"/>
        <v>0</v>
      </c>
      <c r="M136">
        <f t="shared" si="23"/>
        <v>0</v>
      </c>
      <c r="N136">
        <f t="shared" si="24"/>
        <v>0</v>
      </c>
    </row>
    <row r="137" spans="1:23">
      <c r="E137">
        <v>730207</v>
      </c>
      <c r="F137">
        <v>424473.06000000006</v>
      </c>
      <c r="G137">
        <v>0</v>
      </c>
      <c r="H137">
        <v>0</v>
      </c>
      <c r="I137">
        <v>0</v>
      </c>
      <c r="J137">
        <f t="shared" si="20"/>
        <v>0</v>
      </c>
      <c r="K137">
        <f t="shared" si="21"/>
        <v>404424.41000000003</v>
      </c>
      <c r="L137">
        <f t="shared" si="22"/>
        <v>0</v>
      </c>
      <c r="M137">
        <f t="shared" si="23"/>
        <v>0</v>
      </c>
      <c r="N137">
        <f t="shared" si="24"/>
        <v>0</v>
      </c>
      <c r="O137" s="171"/>
      <c r="P137" s="171"/>
      <c r="Q137" s="6"/>
      <c r="R137" s="171">
        <v>730000</v>
      </c>
      <c r="S137" s="6">
        <v>730207</v>
      </c>
      <c r="T137" s="6">
        <v>20048.650000000001</v>
      </c>
      <c r="U137" s="6">
        <v>0</v>
      </c>
      <c r="V137" s="6">
        <v>0</v>
      </c>
      <c r="W137" s="6">
        <v>0</v>
      </c>
    </row>
    <row r="138" spans="1:23">
      <c r="E138">
        <v>730301</v>
      </c>
      <c r="F138">
        <v>28458</v>
      </c>
      <c r="G138">
        <v>0</v>
      </c>
      <c r="H138">
        <v>0</v>
      </c>
      <c r="I138">
        <v>0</v>
      </c>
      <c r="J138">
        <f t="shared" si="20"/>
        <v>730301</v>
      </c>
      <c r="K138">
        <f t="shared" si="21"/>
        <v>28458</v>
      </c>
      <c r="L138">
        <f t="shared" si="22"/>
        <v>0</v>
      </c>
      <c r="M138">
        <f t="shared" si="23"/>
        <v>0</v>
      </c>
      <c r="N138">
        <f t="shared" si="24"/>
        <v>0</v>
      </c>
    </row>
    <row r="139" spans="1:23">
      <c r="E139">
        <v>730303</v>
      </c>
      <c r="F139">
        <v>18400</v>
      </c>
      <c r="G139">
        <v>0</v>
      </c>
      <c r="H139">
        <v>0</v>
      </c>
      <c r="I139">
        <v>0</v>
      </c>
      <c r="J139">
        <f t="shared" si="20"/>
        <v>730303</v>
      </c>
      <c r="K139">
        <f t="shared" si="21"/>
        <v>18400</v>
      </c>
      <c r="L139">
        <f t="shared" si="22"/>
        <v>0</v>
      </c>
      <c r="M139">
        <f t="shared" si="23"/>
        <v>0</v>
      </c>
      <c r="N139">
        <f t="shared" si="24"/>
        <v>0</v>
      </c>
    </row>
    <row r="140" spans="1:23">
      <c r="E140">
        <v>730606</v>
      </c>
      <c r="F140">
        <v>404679.49999999994</v>
      </c>
      <c r="G140">
        <v>65201</v>
      </c>
      <c r="H140">
        <v>42282</v>
      </c>
      <c r="I140">
        <v>40337</v>
      </c>
      <c r="J140">
        <f t="shared" si="20"/>
        <v>0</v>
      </c>
      <c r="K140">
        <f t="shared" si="21"/>
        <v>297196.49999999994</v>
      </c>
      <c r="L140">
        <f t="shared" si="22"/>
        <v>0</v>
      </c>
      <c r="M140">
        <f t="shared" si="23"/>
        <v>0</v>
      </c>
      <c r="N140">
        <f t="shared" si="24"/>
        <v>0</v>
      </c>
      <c r="O140" s="171"/>
      <c r="P140" s="171"/>
      <c r="Q140" s="6"/>
      <c r="R140" s="171"/>
      <c r="S140" s="6">
        <v>730606</v>
      </c>
      <c r="T140" s="6">
        <v>107483</v>
      </c>
      <c r="U140" s="6">
        <v>65201</v>
      </c>
      <c r="V140" s="6">
        <v>42282</v>
      </c>
      <c r="W140" s="6">
        <v>40337</v>
      </c>
    </row>
    <row r="141" spans="1:23">
      <c r="D141" t="s">
        <v>839</v>
      </c>
      <c r="E141">
        <v>780204</v>
      </c>
      <c r="F141">
        <v>500000</v>
      </c>
      <c r="G141">
        <v>0</v>
      </c>
      <c r="H141">
        <v>0</v>
      </c>
      <c r="I141">
        <v>0</v>
      </c>
      <c r="J141">
        <f t="shared" si="20"/>
        <v>0</v>
      </c>
      <c r="K141">
        <f t="shared" si="21"/>
        <v>500000</v>
      </c>
      <c r="L141">
        <f t="shared" si="22"/>
        <v>0</v>
      </c>
      <c r="M141">
        <f t="shared" si="23"/>
        <v>0</v>
      </c>
      <c r="N141">
        <f t="shared" si="24"/>
        <v>0</v>
      </c>
      <c r="O141" s="171"/>
      <c r="P141" s="171"/>
      <c r="Q141" s="6"/>
      <c r="R141" s="171">
        <v>780000</v>
      </c>
      <c r="S141" s="6">
        <v>780204</v>
      </c>
      <c r="T141" s="6">
        <v>0</v>
      </c>
      <c r="U141" s="6">
        <v>0</v>
      </c>
      <c r="V141" s="6">
        <v>0</v>
      </c>
      <c r="W141" s="6">
        <v>0</v>
      </c>
    </row>
    <row r="142" spans="1:23">
      <c r="A142" t="s">
        <v>111</v>
      </c>
      <c r="B142" t="s">
        <v>81</v>
      </c>
      <c r="C142" t="s">
        <v>82</v>
      </c>
      <c r="D142" t="s">
        <v>822</v>
      </c>
      <c r="E142">
        <v>510105</v>
      </c>
      <c r="F142">
        <v>210578.39000000004</v>
      </c>
      <c r="G142">
        <v>0</v>
      </c>
      <c r="H142">
        <v>52582.83</v>
      </c>
      <c r="I142">
        <v>52582.83</v>
      </c>
      <c r="J142">
        <f t="shared" si="20"/>
        <v>0</v>
      </c>
      <c r="K142">
        <f t="shared" si="21"/>
        <v>0</v>
      </c>
      <c r="L142">
        <f t="shared" si="22"/>
        <v>0</v>
      </c>
      <c r="M142">
        <f t="shared" si="23"/>
        <v>0</v>
      </c>
      <c r="N142">
        <f t="shared" si="24"/>
        <v>0</v>
      </c>
      <c r="O142" s="171">
        <v>80</v>
      </c>
      <c r="P142" s="171" t="s">
        <v>840</v>
      </c>
      <c r="Q142" s="6" t="s">
        <v>841</v>
      </c>
      <c r="R142" s="171">
        <v>510000</v>
      </c>
      <c r="S142" s="6">
        <v>510105</v>
      </c>
      <c r="T142" s="6">
        <v>210578.39</v>
      </c>
      <c r="U142" s="6">
        <v>0</v>
      </c>
      <c r="V142" s="6">
        <v>52582.83</v>
      </c>
      <c r="W142" s="6">
        <v>52582.83</v>
      </c>
    </row>
    <row r="143" spans="1:23">
      <c r="E143">
        <v>510203</v>
      </c>
      <c r="F143">
        <v>19448.749999999996</v>
      </c>
      <c r="G143">
        <v>0</v>
      </c>
      <c r="H143">
        <v>2493.39</v>
      </c>
      <c r="I143">
        <v>2493.39</v>
      </c>
      <c r="J143">
        <f t="shared" si="20"/>
        <v>0</v>
      </c>
      <c r="K143">
        <f t="shared" si="21"/>
        <v>0</v>
      </c>
      <c r="L143">
        <f t="shared" si="22"/>
        <v>0</v>
      </c>
      <c r="M143">
        <f t="shared" si="23"/>
        <v>0</v>
      </c>
      <c r="N143">
        <f t="shared" si="24"/>
        <v>0</v>
      </c>
      <c r="S143">
        <v>510203</v>
      </c>
      <c r="T143">
        <v>19448.75</v>
      </c>
      <c r="U143">
        <v>0</v>
      </c>
      <c r="V143">
        <v>2493.39</v>
      </c>
      <c r="W143">
        <v>2493.39</v>
      </c>
    </row>
    <row r="144" spans="1:23">
      <c r="E144">
        <v>510204</v>
      </c>
      <c r="F144">
        <v>5175.3500000000013</v>
      </c>
      <c r="G144">
        <v>0</v>
      </c>
      <c r="H144">
        <v>574.95000000000005</v>
      </c>
      <c r="I144">
        <v>574.95000000000005</v>
      </c>
      <c r="J144">
        <f t="shared" si="20"/>
        <v>0</v>
      </c>
      <c r="K144">
        <f t="shared" si="21"/>
        <v>0</v>
      </c>
      <c r="L144">
        <f t="shared" si="22"/>
        <v>0</v>
      </c>
      <c r="M144">
        <f t="shared" si="23"/>
        <v>0</v>
      </c>
      <c r="N144">
        <f t="shared" si="24"/>
        <v>0</v>
      </c>
      <c r="S144">
        <v>510204</v>
      </c>
      <c r="T144">
        <v>5175.3500000000004</v>
      </c>
      <c r="U144">
        <v>0</v>
      </c>
      <c r="V144">
        <v>574.95000000000005</v>
      </c>
      <c r="W144">
        <v>574.95000000000005</v>
      </c>
    </row>
    <row r="145" spans="3:23">
      <c r="E145">
        <v>510510</v>
      </c>
      <c r="F145">
        <v>20112</v>
      </c>
      <c r="G145">
        <v>0</v>
      </c>
      <c r="H145">
        <v>0</v>
      </c>
      <c r="I145">
        <v>0</v>
      </c>
      <c r="J145">
        <f t="shared" si="20"/>
        <v>0</v>
      </c>
      <c r="K145">
        <f t="shared" si="21"/>
        <v>0</v>
      </c>
      <c r="L145">
        <f t="shared" si="22"/>
        <v>0</v>
      </c>
      <c r="M145">
        <f t="shared" si="23"/>
        <v>0</v>
      </c>
      <c r="N145">
        <f t="shared" si="24"/>
        <v>0</v>
      </c>
      <c r="S145">
        <v>510510</v>
      </c>
      <c r="T145">
        <v>20112</v>
      </c>
      <c r="U145">
        <v>0</v>
      </c>
      <c r="V145">
        <v>0</v>
      </c>
      <c r="W145">
        <v>0</v>
      </c>
    </row>
    <row r="146" spans="3:23">
      <c r="E146">
        <v>510512</v>
      </c>
      <c r="F146">
        <v>2694.29</v>
      </c>
      <c r="G146">
        <v>0</v>
      </c>
      <c r="H146">
        <v>0</v>
      </c>
      <c r="I146">
        <v>0</v>
      </c>
      <c r="J146">
        <f t="shared" si="20"/>
        <v>0</v>
      </c>
      <c r="K146">
        <f t="shared" si="21"/>
        <v>0</v>
      </c>
      <c r="L146">
        <f t="shared" si="22"/>
        <v>0</v>
      </c>
      <c r="M146">
        <f t="shared" si="23"/>
        <v>0</v>
      </c>
      <c r="N146">
        <f t="shared" si="24"/>
        <v>0</v>
      </c>
      <c r="S146">
        <v>510512</v>
      </c>
      <c r="T146">
        <v>2694.29</v>
      </c>
      <c r="U146">
        <v>0</v>
      </c>
      <c r="V146">
        <v>0</v>
      </c>
      <c r="W146">
        <v>0</v>
      </c>
    </row>
    <row r="147" spans="3:23">
      <c r="E147">
        <v>510513</v>
      </c>
      <c r="F147">
        <v>0</v>
      </c>
      <c r="G147">
        <v>0</v>
      </c>
      <c r="H147">
        <v>0</v>
      </c>
      <c r="I147">
        <v>0</v>
      </c>
      <c r="J147">
        <f t="shared" si="20"/>
        <v>0</v>
      </c>
      <c r="K147">
        <f t="shared" si="21"/>
        <v>0</v>
      </c>
      <c r="L147">
        <f t="shared" si="22"/>
        <v>0</v>
      </c>
      <c r="M147">
        <f t="shared" si="23"/>
        <v>0</v>
      </c>
      <c r="N147">
        <f t="shared" si="24"/>
        <v>0</v>
      </c>
      <c r="S147">
        <v>510513</v>
      </c>
      <c r="T147">
        <v>0</v>
      </c>
      <c r="U147">
        <v>0</v>
      </c>
      <c r="V147">
        <v>0</v>
      </c>
      <c r="W147">
        <v>0</v>
      </c>
    </row>
    <row r="148" spans="3:23">
      <c r="E148">
        <v>510601</v>
      </c>
      <c r="F148">
        <v>22521.530000000006</v>
      </c>
      <c r="G148">
        <v>0</v>
      </c>
      <c r="H148">
        <v>5074.2300000000005</v>
      </c>
      <c r="I148">
        <v>5074.2300000000005</v>
      </c>
      <c r="J148">
        <f t="shared" si="20"/>
        <v>0</v>
      </c>
      <c r="K148">
        <f t="shared" si="21"/>
        <v>0</v>
      </c>
      <c r="L148">
        <f t="shared" si="22"/>
        <v>0</v>
      </c>
      <c r="M148">
        <f t="shared" si="23"/>
        <v>0</v>
      </c>
      <c r="N148">
        <f t="shared" si="24"/>
        <v>0</v>
      </c>
      <c r="S148">
        <v>510601</v>
      </c>
      <c r="T148">
        <v>22521.53</v>
      </c>
      <c r="U148">
        <v>0</v>
      </c>
      <c r="V148">
        <v>5074.2299999999996</v>
      </c>
      <c r="W148">
        <v>5074.2299999999996</v>
      </c>
    </row>
    <row r="149" spans="3:23">
      <c r="E149">
        <v>510602</v>
      </c>
      <c r="F149">
        <v>18726.569999999996</v>
      </c>
      <c r="G149">
        <v>0</v>
      </c>
      <c r="H149">
        <v>2920.08</v>
      </c>
      <c r="I149">
        <v>2920.08</v>
      </c>
      <c r="J149">
        <f t="shared" si="20"/>
        <v>0</v>
      </c>
      <c r="K149">
        <f t="shared" si="21"/>
        <v>0</v>
      </c>
      <c r="L149">
        <f t="shared" si="22"/>
        <v>0</v>
      </c>
      <c r="M149">
        <f t="shared" si="23"/>
        <v>0</v>
      </c>
      <c r="N149">
        <f t="shared" si="24"/>
        <v>0</v>
      </c>
      <c r="O149" s="171"/>
      <c r="P149" s="171"/>
      <c r="Q149" s="6"/>
      <c r="R149" s="171"/>
      <c r="S149" s="6">
        <v>510602</v>
      </c>
      <c r="T149" s="6">
        <v>18726.57</v>
      </c>
      <c r="U149" s="6">
        <v>0</v>
      </c>
      <c r="V149" s="6">
        <v>2920.08</v>
      </c>
      <c r="W149" s="6">
        <v>2920.08</v>
      </c>
    </row>
    <row r="150" spans="3:23">
      <c r="E150">
        <v>510707</v>
      </c>
      <c r="F150">
        <v>0</v>
      </c>
      <c r="G150">
        <v>0</v>
      </c>
      <c r="H150">
        <v>0</v>
      </c>
      <c r="I150">
        <v>0</v>
      </c>
      <c r="J150">
        <f t="shared" si="20"/>
        <v>510707</v>
      </c>
      <c r="K150">
        <f t="shared" si="21"/>
        <v>0</v>
      </c>
      <c r="L150">
        <f t="shared" si="22"/>
        <v>0</v>
      </c>
      <c r="M150">
        <f t="shared" si="23"/>
        <v>0</v>
      </c>
      <c r="N150">
        <f t="shared" si="24"/>
        <v>0</v>
      </c>
    </row>
    <row r="151" spans="3:23">
      <c r="D151" t="s">
        <v>825</v>
      </c>
      <c r="E151">
        <v>530202</v>
      </c>
      <c r="F151">
        <v>0</v>
      </c>
      <c r="G151">
        <v>0</v>
      </c>
      <c r="H151">
        <v>0</v>
      </c>
      <c r="I151">
        <v>0</v>
      </c>
      <c r="J151">
        <f t="shared" si="20"/>
        <v>530202</v>
      </c>
      <c r="K151">
        <f t="shared" si="21"/>
        <v>0</v>
      </c>
      <c r="L151">
        <f t="shared" si="22"/>
        <v>0</v>
      </c>
      <c r="M151">
        <f t="shared" si="23"/>
        <v>0</v>
      </c>
      <c r="N151">
        <f t="shared" si="24"/>
        <v>0</v>
      </c>
    </row>
    <row r="152" spans="3:23">
      <c r="E152">
        <v>530205</v>
      </c>
      <c r="F152">
        <v>12000</v>
      </c>
      <c r="G152">
        <v>0</v>
      </c>
      <c r="H152">
        <v>0</v>
      </c>
      <c r="I152">
        <v>0</v>
      </c>
      <c r="J152">
        <f t="shared" si="20"/>
        <v>0</v>
      </c>
      <c r="K152">
        <f t="shared" si="21"/>
        <v>0</v>
      </c>
      <c r="L152">
        <f t="shared" si="22"/>
        <v>0</v>
      </c>
      <c r="M152">
        <f t="shared" si="23"/>
        <v>0</v>
      </c>
      <c r="N152">
        <f t="shared" si="24"/>
        <v>0</v>
      </c>
      <c r="O152" s="171"/>
      <c r="P152" s="171"/>
      <c r="Q152" s="6"/>
      <c r="R152" s="171">
        <v>530000</v>
      </c>
      <c r="S152" s="6">
        <v>530205</v>
      </c>
      <c r="T152" s="6">
        <v>12000</v>
      </c>
      <c r="U152" s="6">
        <v>0</v>
      </c>
      <c r="V152" s="6">
        <v>0</v>
      </c>
      <c r="W152" s="6">
        <v>0</v>
      </c>
    </row>
    <row r="153" spans="3:23">
      <c r="E153">
        <v>530606</v>
      </c>
      <c r="F153">
        <v>6329.92</v>
      </c>
      <c r="G153">
        <v>6060</v>
      </c>
      <c r="H153">
        <v>0</v>
      </c>
      <c r="I153">
        <v>0</v>
      </c>
      <c r="J153">
        <f t="shared" si="20"/>
        <v>0</v>
      </c>
      <c r="K153">
        <f t="shared" si="21"/>
        <v>0</v>
      </c>
      <c r="L153">
        <f t="shared" si="22"/>
        <v>0</v>
      </c>
      <c r="M153">
        <f t="shared" si="23"/>
        <v>0</v>
      </c>
      <c r="N153">
        <f t="shared" si="24"/>
        <v>0</v>
      </c>
      <c r="R153" s="171">
        <v>530000</v>
      </c>
      <c r="S153">
        <v>530606</v>
      </c>
      <c r="T153">
        <v>6329.92</v>
      </c>
      <c r="U153">
        <v>6060</v>
      </c>
      <c r="V153">
        <v>0</v>
      </c>
      <c r="W153">
        <v>0</v>
      </c>
    </row>
    <row r="154" spans="3:23">
      <c r="E154">
        <v>530807</v>
      </c>
      <c r="F154">
        <v>0</v>
      </c>
      <c r="G154">
        <v>0</v>
      </c>
      <c r="H154">
        <v>0</v>
      </c>
      <c r="I154">
        <v>0</v>
      </c>
      <c r="J154">
        <f t="shared" si="20"/>
        <v>530807</v>
      </c>
      <c r="K154">
        <f t="shared" si="21"/>
        <v>0</v>
      </c>
      <c r="L154">
        <f t="shared" si="22"/>
        <v>0</v>
      </c>
      <c r="M154">
        <f t="shared" si="23"/>
        <v>0</v>
      </c>
      <c r="N154">
        <f t="shared" si="24"/>
        <v>0</v>
      </c>
    </row>
    <row r="155" spans="3:23">
      <c r="C155" t="s">
        <v>112</v>
      </c>
      <c r="D155" t="s">
        <v>822</v>
      </c>
      <c r="E155">
        <v>510105</v>
      </c>
      <c r="F155">
        <v>126702.32</v>
      </c>
      <c r="G155">
        <v>0</v>
      </c>
      <c r="H155">
        <v>31339.4</v>
      </c>
      <c r="I155">
        <v>31339.4</v>
      </c>
      <c r="J155">
        <f t="shared" si="20"/>
        <v>0</v>
      </c>
      <c r="K155">
        <f t="shared" si="21"/>
        <v>0</v>
      </c>
      <c r="L155">
        <f t="shared" si="22"/>
        <v>0</v>
      </c>
      <c r="M155">
        <f t="shared" si="23"/>
        <v>0</v>
      </c>
      <c r="N155">
        <f t="shared" si="24"/>
        <v>0</v>
      </c>
      <c r="O155" s="171"/>
      <c r="P155" s="171"/>
      <c r="Q155" s="6" t="s">
        <v>842</v>
      </c>
      <c r="R155" s="171">
        <v>510000</v>
      </c>
      <c r="S155" s="6">
        <v>510105</v>
      </c>
      <c r="T155" s="6">
        <v>126702.32</v>
      </c>
      <c r="U155" s="6">
        <v>0</v>
      </c>
      <c r="V155" s="6">
        <v>31339.4</v>
      </c>
      <c r="W155" s="6">
        <v>31339.4</v>
      </c>
    </row>
    <row r="156" spans="3:23">
      <c r="E156">
        <v>510203</v>
      </c>
      <c r="F156">
        <v>15356.07</v>
      </c>
      <c r="G156">
        <v>0</v>
      </c>
      <c r="H156">
        <v>2157.75</v>
      </c>
      <c r="I156">
        <v>2157.75</v>
      </c>
      <c r="J156">
        <f t="shared" si="20"/>
        <v>0</v>
      </c>
      <c r="K156">
        <f t="shared" si="21"/>
        <v>0</v>
      </c>
      <c r="L156">
        <f t="shared" si="22"/>
        <v>0</v>
      </c>
      <c r="M156">
        <f t="shared" si="23"/>
        <v>0</v>
      </c>
      <c r="N156">
        <f t="shared" si="24"/>
        <v>0</v>
      </c>
      <c r="O156" s="171"/>
      <c r="P156" s="171"/>
      <c r="Q156" s="6"/>
      <c r="R156" s="171"/>
      <c r="S156" s="6">
        <v>510203</v>
      </c>
      <c r="T156" s="6">
        <v>15356.07</v>
      </c>
      <c r="U156" s="6">
        <v>0</v>
      </c>
      <c r="V156" s="6">
        <v>2157.75</v>
      </c>
      <c r="W156" s="6">
        <v>2157.75</v>
      </c>
    </row>
    <row r="157" spans="3:23">
      <c r="E157">
        <v>510204</v>
      </c>
      <c r="F157">
        <v>4329.9399999999996</v>
      </c>
      <c r="G157">
        <v>0</v>
      </c>
      <c r="H157">
        <v>1379.96</v>
      </c>
      <c r="I157">
        <v>1379.96</v>
      </c>
      <c r="J157">
        <f t="shared" si="20"/>
        <v>0</v>
      </c>
      <c r="K157">
        <f t="shared" si="21"/>
        <v>0</v>
      </c>
      <c r="L157">
        <f t="shared" si="22"/>
        <v>0</v>
      </c>
      <c r="M157">
        <f t="shared" si="23"/>
        <v>0</v>
      </c>
      <c r="N157">
        <f t="shared" si="24"/>
        <v>0</v>
      </c>
      <c r="O157" s="171"/>
      <c r="P157" s="171"/>
      <c r="Q157" s="6"/>
      <c r="R157" s="171"/>
      <c r="S157" s="6">
        <v>510204</v>
      </c>
      <c r="T157" s="6">
        <v>4329.9399999999996</v>
      </c>
      <c r="U157" s="6">
        <v>0</v>
      </c>
      <c r="V157" s="6">
        <v>1379.96</v>
      </c>
      <c r="W157" s="6">
        <v>1379.96</v>
      </c>
    </row>
    <row r="158" spans="3:23">
      <c r="E158">
        <v>510510</v>
      </c>
      <c r="F158">
        <v>78328.66</v>
      </c>
      <c r="G158">
        <v>0</v>
      </c>
      <c r="H158">
        <v>10434</v>
      </c>
      <c r="I158">
        <v>10434</v>
      </c>
      <c r="J158">
        <f t="shared" si="20"/>
        <v>0</v>
      </c>
      <c r="K158">
        <f t="shared" si="21"/>
        <v>0</v>
      </c>
      <c r="L158">
        <f t="shared" si="22"/>
        <v>0</v>
      </c>
      <c r="M158">
        <f t="shared" si="23"/>
        <v>0</v>
      </c>
      <c r="N158">
        <f t="shared" si="24"/>
        <v>0</v>
      </c>
      <c r="S158">
        <v>510510</v>
      </c>
      <c r="T158">
        <v>78328.66</v>
      </c>
      <c r="U158">
        <v>0</v>
      </c>
      <c r="V158">
        <v>10434</v>
      </c>
      <c r="W158">
        <v>10434</v>
      </c>
    </row>
    <row r="159" spans="3:23">
      <c r="E159">
        <v>510512</v>
      </c>
      <c r="F159">
        <v>346</v>
      </c>
      <c r="G159">
        <v>0</v>
      </c>
      <c r="H159">
        <v>0</v>
      </c>
      <c r="I159">
        <v>0</v>
      </c>
      <c r="J159">
        <f t="shared" si="20"/>
        <v>0</v>
      </c>
      <c r="K159">
        <f t="shared" si="21"/>
        <v>0</v>
      </c>
      <c r="L159">
        <f t="shared" si="22"/>
        <v>0</v>
      </c>
      <c r="M159">
        <f t="shared" si="23"/>
        <v>0</v>
      </c>
      <c r="N159">
        <f t="shared" si="24"/>
        <v>0</v>
      </c>
      <c r="S159">
        <v>510512</v>
      </c>
      <c r="T159">
        <v>346</v>
      </c>
      <c r="U159">
        <v>0</v>
      </c>
      <c r="V159">
        <v>0</v>
      </c>
      <c r="W159">
        <v>0</v>
      </c>
    </row>
    <row r="160" spans="3:23">
      <c r="E160">
        <v>510513</v>
      </c>
      <c r="F160">
        <v>1003.53</v>
      </c>
      <c r="G160">
        <v>0</v>
      </c>
      <c r="H160">
        <v>0</v>
      </c>
      <c r="I160">
        <v>0</v>
      </c>
      <c r="J160">
        <f t="shared" si="20"/>
        <v>0</v>
      </c>
      <c r="K160">
        <f t="shared" si="21"/>
        <v>0</v>
      </c>
      <c r="L160">
        <f t="shared" si="22"/>
        <v>0</v>
      </c>
      <c r="M160">
        <f t="shared" si="23"/>
        <v>0</v>
      </c>
      <c r="N160">
        <f t="shared" si="24"/>
        <v>0</v>
      </c>
      <c r="O160" s="171"/>
      <c r="P160" s="171"/>
      <c r="Q160" s="6"/>
      <c r="R160" s="171"/>
      <c r="S160" s="6">
        <v>510513</v>
      </c>
      <c r="T160" s="6">
        <v>1003.53</v>
      </c>
      <c r="U160" s="6">
        <v>0</v>
      </c>
      <c r="V160" s="6">
        <v>0</v>
      </c>
      <c r="W160" s="6">
        <v>0</v>
      </c>
    </row>
    <row r="161" spans="1:23">
      <c r="E161">
        <v>510601</v>
      </c>
      <c r="F161">
        <v>19915.650000000001</v>
      </c>
      <c r="G161">
        <v>0</v>
      </c>
      <c r="H161">
        <v>4031.13</v>
      </c>
      <c r="I161">
        <v>4031.13</v>
      </c>
      <c r="J161">
        <f t="shared" si="20"/>
        <v>0</v>
      </c>
      <c r="K161">
        <f t="shared" si="21"/>
        <v>0</v>
      </c>
      <c r="L161">
        <f t="shared" si="22"/>
        <v>0</v>
      </c>
      <c r="M161">
        <f t="shared" si="23"/>
        <v>0</v>
      </c>
      <c r="N161">
        <f t="shared" si="24"/>
        <v>0</v>
      </c>
      <c r="S161">
        <v>510601</v>
      </c>
      <c r="T161">
        <v>19915.650000000001</v>
      </c>
      <c r="U161">
        <v>0</v>
      </c>
      <c r="V161">
        <v>4031.13</v>
      </c>
      <c r="W161">
        <v>4031.13</v>
      </c>
    </row>
    <row r="162" spans="1:23">
      <c r="E162">
        <v>510602</v>
      </c>
      <c r="F162">
        <v>10844.97</v>
      </c>
      <c r="G162">
        <v>0</v>
      </c>
      <c r="H162">
        <v>2017.34</v>
      </c>
      <c r="I162">
        <v>2017.34</v>
      </c>
      <c r="J162">
        <f t="shared" si="20"/>
        <v>0</v>
      </c>
      <c r="K162">
        <f t="shared" si="21"/>
        <v>0</v>
      </c>
      <c r="L162">
        <f t="shared" si="22"/>
        <v>0</v>
      </c>
      <c r="M162">
        <f t="shared" si="23"/>
        <v>0</v>
      </c>
      <c r="N162">
        <f t="shared" si="24"/>
        <v>0</v>
      </c>
      <c r="S162">
        <v>510602</v>
      </c>
      <c r="T162">
        <v>10844.97</v>
      </c>
      <c r="U162">
        <v>0</v>
      </c>
      <c r="V162">
        <v>2017.34</v>
      </c>
      <c r="W162">
        <v>2017.34</v>
      </c>
    </row>
    <row r="163" spans="1:23">
      <c r="E163">
        <v>510707</v>
      </c>
      <c r="F163">
        <v>0</v>
      </c>
      <c r="G163">
        <v>0</v>
      </c>
      <c r="H163">
        <v>0</v>
      </c>
      <c r="I163">
        <v>0</v>
      </c>
      <c r="J163">
        <f t="shared" si="20"/>
        <v>510707</v>
      </c>
      <c r="K163">
        <f t="shared" si="21"/>
        <v>0</v>
      </c>
      <c r="L163">
        <f t="shared" si="22"/>
        <v>0</v>
      </c>
      <c r="M163">
        <f t="shared" si="23"/>
        <v>0</v>
      </c>
      <c r="N163">
        <f t="shared" si="24"/>
        <v>0</v>
      </c>
    </row>
    <row r="164" spans="1:23">
      <c r="D164" t="s">
        <v>825</v>
      </c>
      <c r="E164">
        <v>530204</v>
      </c>
      <c r="F164">
        <v>0</v>
      </c>
      <c r="G164">
        <v>0</v>
      </c>
      <c r="H164">
        <v>0</v>
      </c>
      <c r="I164">
        <v>0</v>
      </c>
      <c r="J164">
        <f t="shared" si="20"/>
        <v>0</v>
      </c>
      <c r="K164">
        <f t="shared" si="21"/>
        <v>0</v>
      </c>
      <c r="L164">
        <f t="shared" si="22"/>
        <v>0</v>
      </c>
      <c r="M164">
        <f t="shared" si="23"/>
        <v>0</v>
      </c>
      <c r="N164">
        <f t="shared" si="24"/>
        <v>0</v>
      </c>
      <c r="O164" s="171"/>
      <c r="P164" s="171"/>
      <c r="Q164" s="6"/>
      <c r="R164" s="171">
        <v>530000</v>
      </c>
      <c r="S164" s="6">
        <v>530204</v>
      </c>
      <c r="T164" s="6">
        <v>0</v>
      </c>
      <c r="U164" s="6">
        <v>0</v>
      </c>
      <c r="V164" s="6">
        <v>0</v>
      </c>
      <c r="W164" s="6">
        <v>0</v>
      </c>
    </row>
    <row r="165" spans="1:23">
      <c r="E165">
        <v>530205</v>
      </c>
      <c r="F165">
        <v>10731</v>
      </c>
      <c r="G165">
        <v>0</v>
      </c>
      <c r="H165">
        <v>0</v>
      </c>
      <c r="I165">
        <v>0</v>
      </c>
      <c r="J165">
        <f t="shared" si="20"/>
        <v>0</v>
      </c>
      <c r="K165">
        <f t="shared" si="21"/>
        <v>0</v>
      </c>
      <c r="L165">
        <f t="shared" si="22"/>
        <v>-10377.1</v>
      </c>
      <c r="M165">
        <f t="shared" si="23"/>
        <v>0</v>
      </c>
      <c r="N165">
        <f t="shared" si="24"/>
        <v>0</v>
      </c>
      <c r="O165" s="171"/>
      <c r="P165" s="171"/>
      <c r="Q165" s="6"/>
      <c r="R165" s="171"/>
      <c r="S165" s="6">
        <v>530205</v>
      </c>
      <c r="T165" s="6">
        <v>10731</v>
      </c>
      <c r="U165" s="6">
        <v>10377.1</v>
      </c>
      <c r="V165" s="6">
        <v>0</v>
      </c>
      <c r="W165" s="6">
        <v>0</v>
      </c>
    </row>
    <row r="166" spans="1:23">
      <c r="E166">
        <v>530303</v>
      </c>
      <c r="F166">
        <v>0</v>
      </c>
      <c r="G166">
        <v>0</v>
      </c>
      <c r="H166">
        <v>0</v>
      </c>
      <c r="I166">
        <v>0</v>
      </c>
      <c r="J166">
        <f t="shared" si="20"/>
        <v>530303</v>
      </c>
      <c r="K166">
        <f t="shared" si="21"/>
        <v>0</v>
      </c>
      <c r="L166">
        <f t="shared" si="22"/>
        <v>0</v>
      </c>
      <c r="M166">
        <f t="shared" si="23"/>
        <v>0</v>
      </c>
      <c r="N166">
        <f t="shared" si="24"/>
        <v>0</v>
      </c>
    </row>
    <row r="167" spans="1:23">
      <c r="E167">
        <v>530425</v>
      </c>
      <c r="F167">
        <v>0</v>
      </c>
      <c r="G167">
        <v>0</v>
      </c>
      <c r="H167">
        <v>0</v>
      </c>
      <c r="I167">
        <v>0</v>
      </c>
      <c r="J167">
        <f t="shared" ref="J167:J176" si="25">+E167-S167</f>
        <v>0</v>
      </c>
      <c r="K167">
        <f t="shared" ref="K167:K176" si="26">+F167-T167</f>
        <v>0</v>
      </c>
      <c r="L167">
        <f t="shared" ref="L167:L176" si="27">+G167-U167</f>
        <v>0</v>
      </c>
      <c r="M167">
        <f t="shared" ref="M167:M176" si="28">+H167-V167</f>
        <v>0</v>
      </c>
      <c r="N167">
        <f t="shared" ref="N167:N176" si="29">+I167-W167</f>
        <v>0</v>
      </c>
      <c r="O167" s="171"/>
      <c r="P167" s="171"/>
      <c r="Q167" s="6"/>
      <c r="R167" s="171"/>
      <c r="S167" s="6">
        <v>530425</v>
      </c>
      <c r="T167" s="6">
        <v>0</v>
      </c>
      <c r="U167" s="6">
        <v>0</v>
      </c>
      <c r="V167" s="6">
        <v>0</v>
      </c>
      <c r="W167" s="6">
        <v>0</v>
      </c>
    </row>
    <row r="168" spans="1:23">
      <c r="E168">
        <v>530601</v>
      </c>
      <c r="F168">
        <v>0.4</v>
      </c>
      <c r="G168">
        <v>0</v>
      </c>
      <c r="H168">
        <v>0</v>
      </c>
      <c r="I168">
        <v>0</v>
      </c>
      <c r="J168">
        <f t="shared" si="25"/>
        <v>0</v>
      </c>
      <c r="K168">
        <f t="shared" si="26"/>
        <v>0</v>
      </c>
      <c r="L168">
        <f t="shared" si="27"/>
        <v>0</v>
      </c>
      <c r="M168">
        <f t="shared" si="28"/>
        <v>0</v>
      </c>
      <c r="N168">
        <f t="shared" si="29"/>
        <v>0</v>
      </c>
      <c r="O168" s="171"/>
      <c r="P168" s="171"/>
      <c r="Q168" s="6"/>
      <c r="R168" s="171"/>
      <c r="S168" s="6">
        <v>530601</v>
      </c>
      <c r="T168" s="6">
        <v>0.4</v>
      </c>
      <c r="U168" s="6">
        <v>0</v>
      </c>
      <c r="V168" s="6">
        <v>0</v>
      </c>
      <c r="W168" s="6">
        <v>0</v>
      </c>
    </row>
    <row r="169" spans="1:23">
      <c r="E169">
        <v>530606</v>
      </c>
      <c r="F169">
        <v>12957</v>
      </c>
      <c r="G169">
        <v>0</v>
      </c>
      <c r="H169">
        <v>0</v>
      </c>
      <c r="I169">
        <v>0</v>
      </c>
      <c r="J169">
        <f t="shared" si="25"/>
        <v>0</v>
      </c>
      <c r="K169">
        <f t="shared" si="26"/>
        <v>0</v>
      </c>
      <c r="L169">
        <f t="shared" si="27"/>
        <v>-7658.5</v>
      </c>
      <c r="M169">
        <f t="shared" si="28"/>
        <v>0</v>
      </c>
      <c r="N169">
        <f t="shared" si="29"/>
        <v>0</v>
      </c>
      <c r="O169" s="171"/>
      <c r="P169" s="171"/>
      <c r="Q169" s="6"/>
      <c r="R169" s="171"/>
      <c r="S169" s="6">
        <v>530606</v>
      </c>
      <c r="T169" s="6">
        <v>12957</v>
      </c>
      <c r="U169" s="6">
        <v>7658.5</v>
      </c>
      <c r="V169" s="6">
        <v>0</v>
      </c>
      <c r="W169" s="6">
        <v>0</v>
      </c>
    </row>
    <row r="170" spans="1:23">
      <c r="D170" t="s">
        <v>826</v>
      </c>
      <c r="E170">
        <v>570203</v>
      </c>
      <c r="F170">
        <v>1600</v>
      </c>
      <c r="G170">
        <v>991.81</v>
      </c>
      <c r="H170">
        <v>608.19000000000005</v>
      </c>
      <c r="I170">
        <v>600.42999999999995</v>
      </c>
      <c r="J170">
        <f t="shared" si="25"/>
        <v>0</v>
      </c>
      <c r="K170">
        <f t="shared" si="26"/>
        <v>0</v>
      </c>
      <c r="L170">
        <f t="shared" si="27"/>
        <v>0</v>
      </c>
      <c r="M170">
        <f t="shared" si="28"/>
        <v>0</v>
      </c>
      <c r="N170">
        <f t="shared" si="29"/>
        <v>0</v>
      </c>
      <c r="O170" s="171"/>
      <c r="P170" s="171"/>
      <c r="Q170" s="6"/>
      <c r="R170" s="171">
        <v>570000</v>
      </c>
      <c r="S170" s="6">
        <v>570203</v>
      </c>
      <c r="T170" s="6">
        <v>1600</v>
      </c>
      <c r="U170" s="6">
        <v>991.81</v>
      </c>
      <c r="V170" s="6">
        <v>608.19000000000005</v>
      </c>
      <c r="W170" s="6">
        <v>600.42999999999995</v>
      </c>
    </row>
    <row r="171" spans="1:23">
      <c r="D171" t="s">
        <v>827</v>
      </c>
      <c r="E171">
        <v>580204</v>
      </c>
      <c r="F171">
        <v>150000</v>
      </c>
      <c r="G171">
        <v>0</v>
      </c>
      <c r="H171">
        <v>0</v>
      </c>
      <c r="I171">
        <v>0</v>
      </c>
      <c r="J171">
        <f t="shared" si="25"/>
        <v>0</v>
      </c>
      <c r="K171">
        <f t="shared" si="26"/>
        <v>0</v>
      </c>
      <c r="L171">
        <f t="shared" si="27"/>
        <v>0</v>
      </c>
      <c r="M171">
        <f t="shared" si="28"/>
        <v>0</v>
      </c>
      <c r="N171">
        <f t="shared" si="29"/>
        <v>0</v>
      </c>
      <c r="O171" s="171"/>
      <c r="P171" s="171"/>
      <c r="Q171" s="6"/>
      <c r="R171" s="171">
        <v>580000</v>
      </c>
      <c r="S171" s="6">
        <v>580204</v>
      </c>
      <c r="T171" s="6">
        <v>150000</v>
      </c>
      <c r="U171" s="6">
        <v>0</v>
      </c>
      <c r="V171" s="6">
        <v>0</v>
      </c>
      <c r="W171" s="6">
        <v>0</v>
      </c>
    </row>
    <row r="172" spans="1:23">
      <c r="E172">
        <v>580301</v>
      </c>
      <c r="F172">
        <v>82280</v>
      </c>
      <c r="G172">
        <v>75000</v>
      </c>
      <c r="H172">
        <v>0</v>
      </c>
      <c r="I172">
        <v>0</v>
      </c>
      <c r="J172">
        <f t="shared" si="25"/>
        <v>0</v>
      </c>
      <c r="K172">
        <f t="shared" si="26"/>
        <v>0</v>
      </c>
      <c r="L172">
        <f t="shared" si="27"/>
        <v>0</v>
      </c>
      <c r="M172">
        <f t="shared" si="28"/>
        <v>0</v>
      </c>
      <c r="N172">
        <f t="shared" si="29"/>
        <v>0</v>
      </c>
      <c r="O172" s="171"/>
      <c r="P172" s="171"/>
      <c r="Q172" s="6"/>
      <c r="R172" s="171"/>
      <c r="S172" s="6">
        <v>580301</v>
      </c>
      <c r="T172" s="6">
        <v>82280</v>
      </c>
      <c r="U172" s="6">
        <v>75000</v>
      </c>
      <c r="V172" s="6">
        <v>0</v>
      </c>
      <c r="W172" s="6">
        <v>0</v>
      </c>
    </row>
    <row r="173" spans="1:23">
      <c r="D173" t="s">
        <v>828</v>
      </c>
      <c r="E173">
        <v>840103</v>
      </c>
      <c r="F173">
        <v>0</v>
      </c>
      <c r="G173">
        <v>0</v>
      </c>
      <c r="H173">
        <v>0</v>
      </c>
      <c r="I173">
        <v>0</v>
      </c>
      <c r="J173">
        <f t="shared" si="25"/>
        <v>840103</v>
      </c>
      <c r="K173">
        <f t="shared" si="26"/>
        <v>0</v>
      </c>
      <c r="L173">
        <f t="shared" si="27"/>
        <v>0</v>
      </c>
      <c r="M173">
        <f t="shared" si="28"/>
        <v>0</v>
      </c>
      <c r="N173">
        <f t="shared" si="29"/>
        <v>0</v>
      </c>
    </row>
    <row r="174" spans="1:23">
      <c r="E174">
        <v>840104</v>
      </c>
      <c r="F174">
        <v>0</v>
      </c>
      <c r="G174">
        <v>0</v>
      </c>
      <c r="H174">
        <v>0</v>
      </c>
      <c r="I174">
        <v>0</v>
      </c>
      <c r="J174">
        <f t="shared" si="25"/>
        <v>840104</v>
      </c>
      <c r="K174">
        <f t="shared" si="26"/>
        <v>0</v>
      </c>
      <c r="L174">
        <f t="shared" si="27"/>
        <v>0</v>
      </c>
      <c r="M174">
        <f t="shared" si="28"/>
        <v>0</v>
      </c>
      <c r="N174">
        <f t="shared" si="29"/>
        <v>0</v>
      </c>
    </row>
    <row r="175" spans="1:23">
      <c r="E175">
        <v>840107</v>
      </c>
      <c r="F175">
        <v>0</v>
      </c>
      <c r="G175">
        <v>0</v>
      </c>
      <c r="H175">
        <v>0</v>
      </c>
      <c r="I175">
        <v>0</v>
      </c>
      <c r="J175">
        <f t="shared" si="25"/>
        <v>840107</v>
      </c>
      <c r="K175">
        <f t="shared" si="26"/>
        <v>0</v>
      </c>
      <c r="L175">
        <f t="shared" si="27"/>
        <v>0</v>
      </c>
      <c r="M175">
        <f t="shared" si="28"/>
        <v>0</v>
      </c>
      <c r="N175">
        <f t="shared" si="29"/>
        <v>0</v>
      </c>
    </row>
    <row r="176" spans="1:23">
      <c r="A176" t="s">
        <v>843</v>
      </c>
      <c r="F176">
        <v>10316300.76</v>
      </c>
      <c r="G176">
        <v>618272.31000000006</v>
      </c>
      <c r="H176">
        <v>2655792.5099999993</v>
      </c>
      <c r="I176">
        <v>1624690.3699999999</v>
      </c>
      <c r="J176">
        <f t="shared" si="25"/>
        <v>0</v>
      </c>
      <c r="K176">
        <f t="shared" si="26"/>
        <v>1417763.6399999987</v>
      </c>
      <c r="L176">
        <f t="shared" si="27"/>
        <v>-31154.309999999939</v>
      </c>
      <c r="M176">
        <f t="shared" si="28"/>
        <v>0</v>
      </c>
      <c r="N176">
        <f t="shared" si="29"/>
        <v>0</v>
      </c>
      <c r="O176" s="171" t="s">
        <v>843</v>
      </c>
      <c r="P176" s="171"/>
      <c r="Q176" s="6"/>
      <c r="R176" s="171"/>
      <c r="S176" s="6"/>
      <c r="T176" s="6">
        <v>8898537.120000001</v>
      </c>
      <c r="U176" s="6">
        <v>649426.62</v>
      </c>
      <c r="V176" s="6">
        <v>2655792.5100000002</v>
      </c>
      <c r="W176" s="6">
        <v>1624690.37</v>
      </c>
    </row>
  </sheetData>
  <autoFilter ref="J4:N17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L37"/>
  <sheetViews>
    <sheetView topLeftCell="A18" workbookViewId="0">
      <selection activeCell="E37" sqref="E37"/>
    </sheetView>
  </sheetViews>
  <sheetFormatPr baseColWidth="10" defaultRowHeight="15"/>
  <cols>
    <col min="1" max="1" width="17.5703125" bestFit="1" customWidth="1"/>
    <col min="2" max="2" width="34.28515625" bestFit="1" customWidth="1"/>
    <col min="3" max="3" width="31" bestFit="1" customWidth="1"/>
    <col min="4" max="4" width="30.7109375" bestFit="1" customWidth="1"/>
    <col min="5" max="5" width="26.85546875" bestFit="1" customWidth="1"/>
    <col min="6" max="6" width="24.140625" customWidth="1"/>
    <col min="7" max="9" width="14.42578125" customWidth="1"/>
    <col min="12" max="12" width="11.42578125" style="2"/>
  </cols>
  <sheetData>
    <row r="1" spans="1:5">
      <c r="A1" s="342" t="s">
        <v>7</v>
      </c>
      <c r="B1" t="s">
        <v>844</v>
      </c>
    </row>
    <row r="3" spans="1:5">
      <c r="A3" s="342" t="s">
        <v>845</v>
      </c>
      <c r="B3" t="s">
        <v>846</v>
      </c>
      <c r="C3" t="s">
        <v>805</v>
      </c>
      <c r="D3" t="s">
        <v>807</v>
      </c>
      <c r="E3" t="s">
        <v>847</v>
      </c>
    </row>
    <row r="4" spans="1:5">
      <c r="A4" s="3" t="s">
        <v>848</v>
      </c>
      <c r="B4" s="173">
        <v>299594.88000000006</v>
      </c>
      <c r="C4" s="173">
        <v>299594.88000000006</v>
      </c>
      <c r="D4" s="173">
        <v>105848.65</v>
      </c>
      <c r="E4" s="173">
        <v>53070.759999999995</v>
      </c>
    </row>
    <row r="5" spans="1:5">
      <c r="A5" s="3" t="s">
        <v>849</v>
      </c>
      <c r="B5" s="173">
        <v>530509.38000000012</v>
      </c>
      <c r="C5" s="173">
        <v>530509.38000000012</v>
      </c>
      <c r="D5" s="173">
        <v>295597.5</v>
      </c>
      <c r="E5" s="173">
        <v>123033.76999999999</v>
      </c>
    </row>
    <row r="6" spans="1:5">
      <c r="A6" s="3" t="s">
        <v>850</v>
      </c>
      <c r="B6" s="173">
        <v>1002221.25</v>
      </c>
      <c r="C6" s="173">
        <v>1002221.25</v>
      </c>
      <c r="D6" s="173">
        <v>448455.19999999995</v>
      </c>
      <c r="E6" s="173">
        <v>223763.68</v>
      </c>
    </row>
    <row r="7" spans="1:5">
      <c r="A7" s="3" t="s">
        <v>851</v>
      </c>
      <c r="B7" s="173">
        <v>2518962.06</v>
      </c>
      <c r="C7" s="173">
        <v>2518962.06</v>
      </c>
      <c r="D7" s="173">
        <v>729609.59999999986</v>
      </c>
      <c r="E7" s="173">
        <v>436441</v>
      </c>
    </row>
    <row r="8" spans="1:5">
      <c r="A8" s="3" t="s">
        <v>852</v>
      </c>
      <c r="B8" s="173">
        <v>1101473.5100000002</v>
      </c>
      <c r="C8" s="173">
        <v>1101473.5100000002</v>
      </c>
      <c r="D8" s="173">
        <v>398870.56</v>
      </c>
      <c r="E8" s="173">
        <v>219781.6</v>
      </c>
    </row>
    <row r="9" spans="1:5">
      <c r="A9" s="3" t="s">
        <v>853</v>
      </c>
      <c r="B9" s="173">
        <v>1516994.9799999997</v>
      </c>
      <c r="C9" s="173">
        <v>1516994.98</v>
      </c>
      <c r="D9" s="173">
        <v>613023.90000000026</v>
      </c>
      <c r="E9" s="173">
        <v>320339.15999999986</v>
      </c>
    </row>
    <row r="10" spans="1:5">
      <c r="A10" s="3" t="s">
        <v>854</v>
      </c>
      <c r="B10" s="173">
        <v>10099323.210000001</v>
      </c>
      <c r="C10" s="173">
        <v>10099323.210000001</v>
      </c>
      <c r="D10" s="173">
        <v>2625687.5699999998</v>
      </c>
      <c r="E10" s="173">
        <v>1594585.4299999992</v>
      </c>
    </row>
    <row r="11" spans="1:5">
      <c r="A11" s="3" t="s">
        <v>855</v>
      </c>
      <c r="B11" s="173">
        <v>225537.55000000002</v>
      </c>
      <c r="C11" s="173">
        <v>225537.55000000002</v>
      </c>
      <c r="D11" s="173">
        <v>30104.94</v>
      </c>
      <c r="E11" s="173">
        <v>30104.94</v>
      </c>
    </row>
    <row r="12" spans="1:5">
      <c r="A12" s="3" t="s">
        <v>843</v>
      </c>
      <c r="B12" s="173">
        <v>17294616.82</v>
      </c>
      <c r="C12" s="173">
        <v>17294616.820000004</v>
      </c>
      <c r="D12" s="173">
        <v>5247197.9200000009</v>
      </c>
      <c r="E12" s="173">
        <v>3001120.3399999994</v>
      </c>
    </row>
    <row r="15" spans="1:5">
      <c r="C15" t="e">
        <f>GETPIVOTDATA("Suma de MONTO ACTUAL ACTIVIDAD",$A$3)-GETPIVOTDATA("Suma de TOTAL REPROGRAMADO",$A$3)</f>
        <v>#REF!</v>
      </c>
    </row>
    <row r="16" spans="1:5">
      <c r="A16" s="342" t="s">
        <v>7</v>
      </c>
      <c r="B16" t="s">
        <v>844</v>
      </c>
    </row>
    <row r="18" spans="1:12">
      <c r="A18" s="342" t="s">
        <v>845</v>
      </c>
      <c r="B18" t="s">
        <v>846</v>
      </c>
      <c r="C18" t="s">
        <v>805</v>
      </c>
      <c r="D18" t="s">
        <v>807</v>
      </c>
      <c r="E18" t="s">
        <v>847</v>
      </c>
    </row>
    <row r="19" spans="1:12">
      <c r="A19" s="3" t="s">
        <v>853</v>
      </c>
      <c r="B19" s="173">
        <v>1516994.9799999997</v>
      </c>
      <c r="C19" s="173">
        <v>1516994.98</v>
      </c>
      <c r="D19" s="173">
        <v>613023.9</v>
      </c>
      <c r="E19" s="173">
        <v>320339.16000000003</v>
      </c>
    </row>
    <row r="20" spans="1:12">
      <c r="A20" s="343" t="s">
        <v>352</v>
      </c>
      <c r="B20" s="173">
        <v>100855.57</v>
      </c>
      <c r="C20" s="173">
        <v>100855.57</v>
      </c>
      <c r="D20" s="173">
        <v>21686.26</v>
      </c>
      <c r="E20" s="173">
        <v>21686.26</v>
      </c>
    </row>
    <row r="21" spans="1:12">
      <c r="A21" s="343" t="s">
        <v>350</v>
      </c>
      <c r="B21" s="173">
        <v>1416139.4099999997</v>
      </c>
      <c r="C21" s="173">
        <v>1416139.41</v>
      </c>
      <c r="D21" s="173">
        <v>591337.64</v>
      </c>
      <c r="E21" s="173">
        <v>298652.90000000002</v>
      </c>
    </row>
    <row r="22" spans="1:12">
      <c r="A22" s="3" t="s">
        <v>843</v>
      </c>
      <c r="B22" s="173">
        <v>1516994.9799999997</v>
      </c>
      <c r="C22" s="173">
        <v>1516994.98</v>
      </c>
      <c r="D22" s="173">
        <v>613023.9</v>
      </c>
      <c r="E22" s="173">
        <v>320339.16000000003</v>
      </c>
    </row>
    <row r="26" spans="1:12">
      <c r="A26" s="519" t="s">
        <v>856</v>
      </c>
      <c r="B26" s="519"/>
      <c r="C26" s="519"/>
      <c r="D26" s="519"/>
      <c r="F26" s="520" t="s">
        <v>857</v>
      </c>
      <c r="G26" s="520"/>
      <c r="H26" s="520"/>
      <c r="I26" s="521" t="s">
        <v>858</v>
      </c>
      <c r="J26" s="522"/>
      <c r="K26" s="522"/>
      <c r="L26" s="523"/>
    </row>
    <row r="27" spans="1:12" ht="30">
      <c r="A27" s="6" t="s">
        <v>845</v>
      </c>
      <c r="B27" s="340" t="s">
        <v>859</v>
      </c>
      <c r="C27" s="340" t="s">
        <v>860</v>
      </c>
      <c r="D27" s="340" t="s">
        <v>861</v>
      </c>
      <c r="F27" s="339" t="s">
        <v>862</v>
      </c>
      <c r="G27" s="339" t="s">
        <v>863</v>
      </c>
      <c r="H27" s="339" t="s">
        <v>864</v>
      </c>
      <c r="I27" s="6" t="s">
        <v>865</v>
      </c>
      <c r="J27" s="339" t="s">
        <v>866</v>
      </c>
      <c r="K27" s="339" t="s">
        <v>867</v>
      </c>
      <c r="L27" s="5" t="s">
        <v>868</v>
      </c>
    </row>
    <row r="28" spans="1:12">
      <c r="A28" s="61" t="s">
        <v>869</v>
      </c>
      <c r="B28" s="340">
        <v>299594.88</v>
      </c>
      <c r="C28" s="340">
        <v>105848.65</v>
      </c>
      <c r="D28" s="340">
        <v>53070.759999999995</v>
      </c>
      <c r="F28" s="174">
        <v>299594.88000000006</v>
      </c>
      <c r="G28" s="174">
        <v>105848.65</v>
      </c>
      <c r="H28" s="174">
        <v>53070.759999999995</v>
      </c>
      <c r="I28" s="174">
        <f>F28-B28</f>
        <v>0</v>
      </c>
      <c r="J28" s="174">
        <f>G28-C28</f>
        <v>0</v>
      </c>
      <c r="K28" s="174">
        <f>H28-D28</f>
        <v>0</v>
      </c>
      <c r="L28" s="5"/>
    </row>
    <row r="29" spans="1:12">
      <c r="A29" s="61" t="s">
        <v>870</v>
      </c>
      <c r="B29" s="340">
        <v>530509.38000000012</v>
      </c>
      <c r="C29" s="340">
        <v>295597.5</v>
      </c>
      <c r="D29" s="340">
        <v>123033.76999999999</v>
      </c>
      <c r="F29" s="174">
        <v>530509.38000000012</v>
      </c>
      <c r="G29" s="174">
        <v>295597.5</v>
      </c>
      <c r="H29" s="174">
        <v>123033.76999999999</v>
      </c>
      <c r="I29" s="174">
        <f t="shared" ref="I29:K36" si="0">F29-B29</f>
        <v>0</v>
      </c>
      <c r="J29" s="174">
        <f t="shared" si="0"/>
        <v>0</v>
      </c>
      <c r="K29" s="174">
        <f t="shared" si="0"/>
        <v>0</v>
      </c>
      <c r="L29" s="5"/>
    </row>
    <row r="30" spans="1:12">
      <c r="A30" s="61" t="s">
        <v>871</v>
      </c>
      <c r="B30" s="340">
        <v>100855.56999999999</v>
      </c>
      <c r="C30" s="340">
        <v>21686.260000000002</v>
      </c>
      <c r="D30" s="340">
        <v>21686.260000000002</v>
      </c>
      <c r="F30" s="174">
        <v>100855.57</v>
      </c>
      <c r="G30" s="174">
        <v>21686.26</v>
      </c>
      <c r="H30" s="174">
        <v>21686.26</v>
      </c>
      <c r="I30" s="174">
        <f t="shared" si="0"/>
        <v>0</v>
      </c>
      <c r="J30" s="174">
        <f t="shared" si="0"/>
        <v>0</v>
      </c>
      <c r="K30" s="174">
        <f t="shared" si="0"/>
        <v>0</v>
      </c>
      <c r="L30" s="5"/>
    </row>
    <row r="31" spans="1:12">
      <c r="A31" s="61" t="s">
        <v>872</v>
      </c>
      <c r="B31" s="340">
        <v>1002221.2499999999</v>
      </c>
      <c r="C31" s="340">
        <v>448455.2</v>
      </c>
      <c r="D31" s="340">
        <v>223763.67999999996</v>
      </c>
      <c r="F31" s="174">
        <v>1002221.25</v>
      </c>
      <c r="G31" s="174">
        <v>448455.19999999995</v>
      </c>
      <c r="H31" s="174">
        <v>223763.68</v>
      </c>
      <c r="I31" s="174">
        <f t="shared" si="0"/>
        <v>0</v>
      </c>
      <c r="J31" s="174">
        <f t="shared" si="0"/>
        <v>0</v>
      </c>
      <c r="K31" s="174">
        <f t="shared" si="0"/>
        <v>0</v>
      </c>
      <c r="L31" s="5"/>
    </row>
    <row r="32" spans="1:12">
      <c r="A32" s="61" t="s">
        <v>873</v>
      </c>
      <c r="B32" s="340">
        <v>8672999.5700000022</v>
      </c>
      <c r="C32" s="340">
        <v>2625687.5700000008</v>
      </c>
      <c r="D32" s="340">
        <v>1594585.4300000002</v>
      </c>
      <c r="F32" s="174">
        <v>10099323.210000001</v>
      </c>
      <c r="G32" s="174">
        <v>2625687.5699999998</v>
      </c>
      <c r="H32" s="174">
        <v>1594585.4299999992</v>
      </c>
      <c r="I32" s="174">
        <f t="shared" si="0"/>
        <v>1426323.6399999987</v>
      </c>
      <c r="J32" s="174">
        <f t="shared" si="0"/>
        <v>0</v>
      </c>
      <c r="K32" s="174">
        <f t="shared" si="0"/>
        <v>0</v>
      </c>
      <c r="L32" s="5" t="s">
        <v>874</v>
      </c>
    </row>
    <row r="33" spans="1:12">
      <c r="A33" s="61" t="s">
        <v>875</v>
      </c>
      <c r="B33" s="340">
        <v>2518962.0599999996</v>
      </c>
      <c r="C33" s="340">
        <v>729609.60000000009</v>
      </c>
      <c r="D33" s="340">
        <v>436441</v>
      </c>
      <c r="F33" s="174">
        <v>2518962.06</v>
      </c>
      <c r="G33" s="174">
        <v>729609.59999999986</v>
      </c>
      <c r="H33" s="174">
        <v>436441</v>
      </c>
      <c r="I33" s="174">
        <f t="shared" si="0"/>
        <v>0</v>
      </c>
      <c r="J33" s="174">
        <f t="shared" si="0"/>
        <v>0</v>
      </c>
      <c r="K33" s="174">
        <f t="shared" si="0"/>
        <v>0</v>
      </c>
      <c r="L33" s="5"/>
    </row>
    <row r="34" spans="1:12" ht="60">
      <c r="A34" s="61" t="s">
        <v>876</v>
      </c>
      <c r="B34" s="340">
        <v>1427112.04</v>
      </c>
      <c r="C34" s="340">
        <v>591337.64</v>
      </c>
      <c r="D34" s="340">
        <v>298652.90000000002</v>
      </c>
      <c r="F34" s="174">
        <v>1416139.41</v>
      </c>
      <c r="G34" s="174">
        <v>591337.64</v>
      </c>
      <c r="H34" s="174">
        <v>298652.90000000002</v>
      </c>
      <c r="I34" s="174">
        <f t="shared" si="0"/>
        <v>-10972.630000000121</v>
      </c>
      <c r="J34" s="174">
        <f t="shared" si="0"/>
        <v>0</v>
      </c>
      <c r="K34" s="174">
        <f t="shared" si="0"/>
        <v>0</v>
      </c>
      <c r="L34" s="5" t="s">
        <v>877</v>
      </c>
    </row>
    <row r="35" spans="1:12">
      <c r="A35" s="61" t="s">
        <v>878</v>
      </c>
      <c r="B35" s="340">
        <v>1101473.51</v>
      </c>
      <c r="C35" s="340">
        <v>398870.56</v>
      </c>
      <c r="D35" s="340">
        <v>219781.6</v>
      </c>
      <c r="F35" s="174">
        <v>1101473.5100000002</v>
      </c>
      <c r="G35" s="174">
        <v>398870.56</v>
      </c>
      <c r="H35" s="174">
        <v>219781.6</v>
      </c>
      <c r="I35" s="174">
        <f t="shared" si="0"/>
        <v>0</v>
      </c>
      <c r="J35" s="174">
        <f t="shared" si="0"/>
        <v>0</v>
      </c>
      <c r="K35" s="174">
        <f t="shared" si="0"/>
        <v>0</v>
      </c>
      <c r="L35" s="5"/>
    </row>
    <row r="36" spans="1:12">
      <c r="A36" s="61" t="s">
        <v>879</v>
      </c>
      <c r="B36" s="340">
        <v>225537.55000000002</v>
      </c>
      <c r="C36" s="340">
        <v>30104.94</v>
      </c>
      <c r="D36" s="340">
        <v>30104.94</v>
      </c>
      <c r="F36" s="174">
        <v>225537.55000000002</v>
      </c>
      <c r="G36" s="174">
        <v>30104.94</v>
      </c>
      <c r="H36" s="174">
        <v>30104.94</v>
      </c>
      <c r="I36" s="174">
        <f t="shared" si="0"/>
        <v>0</v>
      </c>
      <c r="J36" s="174">
        <f t="shared" si="0"/>
        <v>0</v>
      </c>
      <c r="K36" s="174">
        <f t="shared" si="0"/>
        <v>0</v>
      </c>
      <c r="L36" s="5"/>
    </row>
    <row r="37" spans="1:12">
      <c r="A37" s="61" t="s">
        <v>843</v>
      </c>
      <c r="B37" s="340">
        <v>15879265.810000001</v>
      </c>
      <c r="C37" s="340">
        <v>5247197.9200000009</v>
      </c>
      <c r="D37" s="340">
        <v>3001120.3400000003</v>
      </c>
      <c r="F37" s="173">
        <f t="shared" ref="F37:K37" si="1">SUM(F28:F36)</f>
        <v>17294616.820000004</v>
      </c>
      <c r="G37" s="173">
        <f t="shared" si="1"/>
        <v>5247197.919999999</v>
      </c>
      <c r="H37" s="173">
        <f t="shared" si="1"/>
        <v>3001120.3399999994</v>
      </c>
      <c r="I37" s="173">
        <f t="shared" si="1"/>
        <v>1415351.0099999986</v>
      </c>
      <c r="J37" s="173">
        <f t="shared" si="1"/>
        <v>0</v>
      </c>
      <c r="K37" s="173">
        <f t="shared" si="1"/>
        <v>0</v>
      </c>
    </row>
  </sheetData>
  <mergeCells count="3">
    <mergeCell ref="A26:D26"/>
    <mergeCell ref="F26:H26"/>
    <mergeCell ref="I26:L2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5"/>
  <sheetViews>
    <sheetView workbookViewId="0">
      <selection activeCell="E9" sqref="E9"/>
    </sheetView>
  </sheetViews>
  <sheetFormatPr baseColWidth="10" defaultRowHeight="15"/>
  <cols>
    <col min="1" max="1" width="17.5703125" bestFit="1" customWidth="1"/>
    <col min="2" max="2" width="34.28515625" bestFit="1" customWidth="1"/>
    <col min="3" max="3" width="31" bestFit="1" customWidth="1"/>
    <col min="4" max="4" width="30.7109375" bestFit="1" customWidth="1"/>
    <col min="5" max="5" width="26.85546875" bestFit="1" customWidth="1"/>
  </cols>
  <sheetData>
    <row r="3" spans="1:5">
      <c r="A3" s="342" t="s">
        <v>845</v>
      </c>
      <c r="B3" t="s">
        <v>846</v>
      </c>
      <c r="C3" t="s">
        <v>805</v>
      </c>
      <c r="D3" t="s">
        <v>807</v>
      </c>
      <c r="E3" t="s">
        <v>847</v>
      </c>
    </row>
    <row r="4" spans="1:5">
      <c r="A4" s="3" t="s">
        <v>850</v>
      </c>
      <c r="B4" s="486">
        <v>983758.70000000007</v>
      </c>
      <c r="C4" s="486">
        <v>983758.70000000007</v>
      </c>
      <c r="D4" s="486">
        <v>644596.21000000008</v>
      </c>
      <c r="E4" s="486">
        <v>495551.77999999985</v>
      </c>
    </row>
    <row r="5" spans="1:5">
      <c r="A5" s="3" t="s">
        <v>843</v>
      </c>
      <c r="B5" s="486">
        <v>983758.70000000007</v>
      </c>
      <c r="C5" s="486">
        <v>983758.70000000007</v>
      </c>
      <c r="D5" s="486">
        <v>644596.21000000008</v>
      </c>
      <c r="E5" s="486">
        <v>495551.77999999985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CZ143"/>
  <sheetViews>
    <sheetView tabSelected="1" topLeftCell="A4" zoomScale="85" zoomScaleNormal="85" workbookViewId="0">
      <pane ySplit="1" topLeftCell="A5" activePane="bottomLeft" state="frozen"/>
      <selection activeCell="AB4" sqref="AB4"/>
      <selection pane="bottomLeft" activeCell="AA63" sqref="AA63"/>
    </sheetView>
  </sheetViews>
  <sheetFormatPr baseColWidth="10" defaultColWidth="5.85546875" defaultRowHeight="25.5" customHeight="1"/>
  <cols>
    <col min="1" max="1" width="7.42578125" style="213" customWidth="1"/>
    <col min="2" max="2" width="13.85546875" style="213" hidden="1" customWidth="1"/>
    <col min="3" max="10" width="21.7109375" style="213" hidden="1" customWidth="1"/>
    <col min="11" max="11" width="21.7109375" style="213" customWidth="1"/>
    <col min="12" max="12" width="7.85546875" style="213" customWidth="1"/>
    <col min="13" max="13" width="14.85546875" style="213" customWidth="1"/>
    <col min="14" max="14" width="16.42578125" style="213" hidden="1" customWidth="1"/>
    <col min="15" max="15" width="20.28515625" style="213" hidden="1" customWidth="1"/>
    <col min="16" max="16" width="11.5703125" style="213" hidden="1" customWidth="1"/>
    <col min="17" max="17" width="19" style="213" hidden="1" customWidth="1"/>
    <col min="18" max="18" width="13" style="213" hidden="1" customWidth="1"/>
    <col min="19" max="19" width="25.85546875" style="213" hidden="1" customWidth="1"/>
    <col min="20" max="20" width="26.85546875" style="213" hidden="1" customWidth="1"/>
    <col min="21" max="21" width="32.42578125" style="213" hidden="1" customWidth="1"/>
    <col min="22" max="22" width="19.85546875" style="213" hidden="1" customWidth="1"/>
    <col min="23" max="23" width="21.7109375" style="213" customWidth="1"/>
    <col min="24" max="24" width="34.140625" style="213" customWidth="1"/>
    <col min="25" max="28" width="13.5703125" style="214" customWidth="1"/>
    <col min="29" max="29" width="13.5703125" style="213" customWidth="1"/>
    <col min="30" max="30" width="13.5703125" style="270" customWidth="1"/>
    <col min="31" max="31" width="29.85546875" style="213" customWidth="1"/>
    <col min="32" max="35" width="13.5703125" style="213" customWidth="1"/>
    <col min="36" max="37" width="5.85546875" style="213" customWidth="1"/>
    <col min="38" max="38" width="16.7109375" style="275" customWidth="1"/>
    <col min="39" max="39" width="6" style="275" customWidth="1"/>
    <col min="40" max="40" width="16.28515625" style="275" customWidth="1"/>
    <col min="41" max="41" width="11.28515625" style="275" customWidth="1"/>
    <col min="42" max="42" width="18.5703125" style="275" customWidth="1"/>
    <col min="43" max="43" width="12.28515625" style="275" customWidth="1"/>
    <col min="44" max="44" width="11.85546875" style="275" customWidth="1"/>
    <col min="45" max="45" width="13.5703125" style="275" customWidth="1"/>
    <col min="46" max="46" width="13.42578125" style="275" customWidth="1"/>
    <col min="47" max="47" width="11.5703125" style="275" customWidth="1"/>
    <col min="48" max="53" width="10.7109375" style="275" customWidth="1"/>
    <col min="54" max="54" width="11.5703125" style="275" customWidth="1"/>
    <col min="55" max="55" width="12.42578125" style="275" customWidth="1"/>
    <col min="56" max="56" width="10.28515625" style="275" customWidth="1"/>
    <col min="57" max="57" width="9.85546875" style="275" customWidth="1"/>
    <col min="58" max="59" width="10.28515625" style="275" customWidth="1"/>
    <col min="60" max="60" width="11.140625" style="275" customWidth="1"/>
    <col min="61" max="61" width="9.7109375" style="275" customWidth="1"/>
    <col min="62" max="62" width="15.42578125" style="275" customWidth="1"/>
    <col min="63" max="63" width="24" style="275" customWidth="1"/>
    <col min="64" max="64" width="25.7109375" style="275" customWidth="1"/>
    <col min="65" max="65" width="10.28515625" style="275" customWidth="1"/>
    <col min="66" max="66" width="14" style="275" customWidth="1"/>
    <col min="67" max="67" width="22.28515625" style="275" customWidth="1"/>
    <col min="68" max="69" width="14" style="275" customWidth="1"/>
    <col min="70" max="70" width="24.7109375" style="275" customWidth="1"/>
    <col min="71" max="71" width="14.140625" style="275" customWidth="1"/>
    <col min="72" max="72" width="11.42578125" style="275" customWidth="1"/>
    <col min="73" max="73" width="17" style="275" customWidth="1"/>
    <col min="74" max="74" width="13.85546875" style="275" customWidth="1"/>
    <col min="75" max="87" width="14.7109375" style="275" customWidth="1"/>
    <col min="88" max="99" width="13.7109375" style="275" customWidth="1"/>
    <col min="100" max="100" width="13" style="275" customWidth="1"/>
    <col min="101" max="101" width="11" style="275" customWidth="1"/>
    <col min="102" max="102" width="12.42578125" style="275" customWidth="1"/>
    <col min="103" max="103" width="5.85546875" style="213" customWidth="1"/>
    <col min="104" max="104" width="15.140625" style="213" customWidth="1"/>
    <col min="105" max="16384" width="5.85546875" style="213"/>
  </cols>
  <sheetData>
    <row r="1" spans="1:104" s="225" customFormat="1" ht="44.45" customHeight="1">
      <c r="A1" s="513" t="s">
        <v>0</v>
      </c>
      <c r="B1" s="514"/>
      <c r="C1" s="514"/>
      <c r="D1" s="514"/>
      <c r="E1" s="514"/>
      <c r="F1" s="514"/>
      <c r="G1" s="514"/>
      <c r="H1" s="514"/>
      <c r="I1" s="514"/>
      <c r="J1" s="514"/>
      <c r="K1" s="514"/>
      <c r="L1" s="514"/>
      <c r="M1" s="514"/>
      <c r="N1" s="514"/>
      <c r="O1" s="514"/>
      <c r="P1" s="514"/>
      <c r="Q1" s="514"/>
      <c r="R1" s="514"/>
      <c r="S1" s="514"/>
      <c r="T1" s="514"/>
      <c r="U1" s="514"/>
      <c r="V1" s="514"/>
      <c r="W1" s="514"/>
      <c r="X1" s="514"/>
      <c r="Y1" s="514"/>
      <c r="Z1" s="514"/>
      <c r="AA1" s="514"/>
      <c r="AB1" s="514"/>
      <c r="AC1" s="514"/>
      <c r="AD1" s="514"/>
      <c r="AE1" s="514"/>
      <c r="AF1" s="514"/>
      <c r="AG1" s="514"/>
      <c r="AH1" s="514"/>
      <c r="AI1" s="514"/>
      <c r="AJ1" s="514"/>
      <c r="AK1" s="514"/>
      <c r="AL1" s="514"/>
      <c r="AM1" s="514"/>
      <c r="AN1" s="514"/>
      <c r="AO1" s="514"/>
      <c r="AP1" s="514"/>
      <c r="AQ1" s="514"/>
      <c r="AR1" s="514"/>
      <c r="AS1" s="514"/>
      <c r="AT1" s="514"/>
      <c r="AU1" s="514"/>
      <c r="AV1" s="514"/>
      <c r="AW1" s="514"/>
      <c r="AX1" s="514"/>
      <c r="AY1" s="514"/>
      <c r="AZ1" s="514"/>
      <c r="BA1" s="514"/>
      <c r="BB1" s="514"/>
      <c r="BC1" s="514"/>
      <c r="BD1" s="514"/>
      <c r="BE1" s="514"/>
      <c r="BF1" s="514"/>
      <c r="BG1" s="514"/>
      <c r="BH1" s="514"/>
      <c r="BI1" s="514"/>
      <c r="BJ1" s="514"/>
      <c r="BK1" s="276"/>
      <c r="BL1" s="276"/>
      <c r="BM1" s="276"/>
      <c r="BN1" s="276"/>
      <c r="BO1" s="276"/>
      <c r="BP1" s="276"/>
      <c r="BQ1" s="276"/>
      <c r="BR1" s="276"/>
      <c r="BS1" s="276"/>
      <c r="BT1" s="276"/>
      <c r="BU1" s="277"/>
      <c r="BV1" s="276"/>
      <c r="BW1" s="276"/>
      <c r="BX1" s="276"/>
      <c r="BY1" s="276"/>
      <c r="BZ1" s="276"/>
      <c r="CA1" s="276"/>
      <c r="CB1" s="276"/>
      <c r="CC1" s="276"/>
      <c r="CD1" s="276"/>
      <c r="CE1" s="276"/>
      <c r="CF1" s="276"/>
      <c r="CG1" s="276"/>
      <c r="CH1" s="276"/>
      <c r="CI1" s="276"/>
      <c r="CJ1" s="276"/>
      <c r="CK1" s="276"/>
      <c r="CL1" s="276"/>
      <c r="CM1" s="276"/>
      <c r="CN1" s="276"/>
      <c r="CO1" s="276"/>
      <c r="CP1" s="276"/>
      <c r="CQ1" s="276"/>
      <c r="CR1" s="276"/>
      <c r="CS1" s="276"/>
      <c r="CT1" s="276"/>
      <c r="CU1" s="276"/>
      <c r="CV1" s="276"/>
      <c r="CW1" s="276"/>
      <c r="CX1" s="276"/>
      <c r="CY1" s="276"/>
    </row>
    <row r="2" spans="1:104" s="225" customFormat="1" ht="39.200000000000003" customHeight="1">
      <c r="A2" s="515" t="s">
        <v>1</v>
      </c>
      <c r="B2" s="516"/>
      <c r="C2" s="516"/>
      <c r="D2" s="516"/>
      <c r="E2" s="516"/>
      <c r="F2" s="516"/>
      <c r="G2" s="516"/>
      <c r="H2" s="516"/>
      <c r="I2" s="516"/>
      <c r="J2" s="516"/>
      <c r="K2" s="516"/>
      <c r="L2" s="516"/>
      <c r="M2" s="516"/>
      <c r="N2" s="516"/>
      <c r="O2" s="516"/>
      <c r="P2" s="516"/>
      <c r="Q2" s="516"/>
      <c r="R2" s="516"/>
      <c r="S2" s="516"/>
      <c r="T2" s="516"/>
      <c r="U2" s="516"/>
      <c r="V2" s="516"/>
      <c r="W2" s="516"/>
      <c r="X2" s="516"/>
      <c r="Y2" s="516"/>
      <c r="Z2" s="516"/>
      <c r="AA2" s="516"/>
      <c r="AB2" s="516"/>
      <c r="AC2" s="516"/>
      <c r="AD2" s="516"/>
      <c r="AE2" s="516"/>
      <c r="AF2" s="516"/>
      <c r="AG2" s="516"/>
      <c r="AH2" s="516"/>
      <c r="AI2" s="516"/>
      <c r="AJ2" s="516"/>
      <c r="AK2" s="516"/>
      <c r="AL2" s="516"/>
      <c r="AM2" s="516"/>
      <c r="AN2" s="516"/>
      <c r="AO2" s="516"/>
      <c r="AP2" s="516"/>
      <c r="AQ2" s="516"/>
      <c r="AR2" s="516"/>
      <c r="AS2" s="516"/>
      <c r="AT2" s="516"/>
      <c r="AU2" s="516"/>
      <c r="AV2" s="516"/>
      <c r="AW2" s="516"/>
      <c r="AX2" s="516"/>
      <c r="AY2" s="516"/>
      <c r="AZ2" s="516"/>
      <c r="BA2" s="516"/>
      <c r="BB2" s="516"/>
      <c r="BC2" s="516"/>
      <c r="BD2" s="516"/>
      <c r="BE2" s="516"/>
      <c r="BF2" s="516"/>
      <c r="BG2" s="516"/>
      <c r="BH2" s="516"/>
      <c r="BI2" s="516"/>
      <c r="BJ2" s="516"/>
      <c r="BK2" s="278"/>
      <c r="BL2" s="278"/>
      <c r="BM2" s="278"/>
      <c r="BN2" s="278"/>
      <c r="BO2" s="278"/>
      <c r="BP2" s="278"/>
      <c r="BQ2" s="278"/>
      <c r="BR2" s="278"/>
      <c r="BS2" s="278"/>
      <c r="BT2" s="278"/>
      <c r="BU2" s="277"/>
      <c r="BV2" s="278"/>
      <c r="BW2" s="278"/>
      <c r="BX2" s="278"/>
      <c r="BY2" s="278"/>
      <c r="BZ2" s="278"/>
      <c r="CA2" s="278"/>
      <c r="CB2" s="278"/>
      <c r="CC2" s="278"/>
      <c r="CD2" s="278"/>
      <c r="CE2" s="278"/>
      <c r="CF2" s="278"/>
      <c r="CG2" s="278"/>
      <c r="CH2" s="278"/>
      <c r="CI2" s="278"/>
      <c r="CJ2" s="278"/>
      <c r="CK2" s="278"/>
      <c r="CL2" s="278"/>
      <c r="CM2" s="278"/>
      <c r="CN2" s="278"/>
      <c r="CO2" s="278"/>
      <c r="CP2" s="278"/>
      <c r="CQ2" s="278"/>
      <c r="CR2" s="278"/>
      <c r="CS2" s="278"/>
      <c r="CT2" s="278"/>
      <c r="CU2" s="278"/>
      <c r="CV2" s="278"/>
      <c r="CW2" s="278"/>
      <c r="CX2" s="278"/>
      <c r="CY2" s="278"/>
    </row>
    <row r="3" spans="1:104" s="225" customFormat="1" ht="0.75" customHeight="1">
      <c r="A3" s="513" t="s">
        <v>2</v>
      </c>
      <c r="B3" s="514"/>
      <c r="C3" s="514"/>
      <c r="D3" s="514"/>
      <c r="E3" s="514"/>
      <c r="F3" s="514"/>
      <c r="G3" s="514"/>
      <c r="H3" s="514"/>
      <c r="I3" s="514"/>
      <c r="J3" s="514"/>
      <c r="K3" s="514"/>
      <c r="L3" s="514"/>
      <c r="M3" s="514"/>
      <c r="N3" s="514"/>
      <c r="O3" s="514"/>
      <c r="P3" s="514"/>
      <c r="Q3" s="514"/>
      <c r="R3" s="514"/>
      <c r="S3" s="514"/>
      <c r="T3" s="514"/>
      <c r="U3" s="514"/>
      <c r="V3" s="514"/>
      <c r="W3" s="514"/>
      <c r="X3" s="514"/>
      <c r="Y3" s="514"/>
      <c r="Z3" s="514"/>
      <c r="AA3" s="514"/>
      <c r="AB3" s="514"/>
      <c r="AC3" s="514"/>
      <c r="AD3" s="514"/>
      <c r="AE3" s="514"/>
      <c r="AF3" s="514"/>
      <c r="AG3" s="514"/>
      <c r="AH3" s="514"/>
      <c r="AI3" s="514"/>
      <c r="AJ3" s="514"/>
      <c r="AK3" s="514"/>
      <c r="AL3" s="514"/>
      <c r="AM3" s="514"/>
      <c r="AN3" s="514"/>
      <c r="AO3" s="514"/>
      <c r="AP3" s="514"/>
      <c r="AQ3" s="514"/>
      <c r="AR3" s="514"/>
      <c r="AS3" s="514"/>
      <c r="AT3" s="514"/>
      <c r="AU3" s="514"/>
      <c r="AV3" s="514"/>
      <c r="AW3" s="514"/>
      <c r="AX3" s="514"/>
      <c r="AY3" s="514"/>
      <c r="AZ3" s="514"/>
      <c r="BA3" s="514"/>
      <c r="BB3" s="514"/>
      <c r="BC3" s="514"/>
      <c r="BD3" s="514"/>
      <c r="BE3" s="514"/>
      <c r="BF3" s="514"/>
      <c r="BG3" s="514"/>
      <c r="BH3" s="514"/>
      <c r="BI3" s="514"/>
      <c r="BJ3" s="514"/>
      <c r="BK3" s="276"/>
      <c r="BL3" s="276"/>
      <c r="BM3" s="276"/>
      <c r="BN3" s="276"/>
      <c r="BO3" s="276"/>
      <c r="BP3" s="276"/>
      <c r="BQ3" s="276"/>
      <c r="BR3" s="276"/>
      <c r="BS3" s="276"/>
      <c r="BT3" s="276"/>
      <c r="BU3" s="277"/>
      <c r="BV3" s="276"/>
      <c r="BW3" s="276"/>
      <c r="BX3" s="276"/>
      <c r="BY3" s="276"/>
      <c r="BZ3" s="276"/>
      <c r="CA3" s="276"/>
      <c r="CB3" s="276"/>
      <c r="CC3" s="276"/>
      <c r="CD3" s="276"/>
      <c r="CE3" s="276"/>
      <c r="CF3" s="276"/>
      <c r="CG3" s="276"/>
      <c r="CH3" s="276"/>
      <c r="CI3" s="276"/>
      <c r="CJ3" s="276"/>
      <c r="CK3" s="276"/>
      <c r="CL3" s="276"/>
      <c r="CM3" s="276"/>
      <c r="CN3" s="276"/>
      <c r="CO3" s="276"/>
      <c r="CP3" s="276"/>
      <c r="CQ3" s="276"/>
      <c r="CR3" s="276"/>
      <c r="CS3" s="276"/>
      <c r="CT3" s="276"/>
      <c r="CU3" s="276"/>
      <c r="CV3" s="276"/>
      <c r="CW3" s="276"/>
      <c r="CX3" s="276"/>
      <c r="CY3" s="276"/>
    </row>
    <row r="4" spans="1:104" s="354" customFormat="1" ht="90" customHeight="1">
      <c r="A4" s="65" t="s">
        <v>3</v>
      </c>
      <c r="B4" s="175" t="s">
        <v>880</v>
      </c>
      <c r="C4" s="176" t="s">
        <v>881</v>
      </c>
      <c r="D4" s="176" t="s">
        <v>882</v>
      </c>
      <c r="E4" s="176" t="s">
        <v>883</v>
      </c>
      <c r="F4" s="175" t="s">
        <v>884</v>
      </c>
      <c r="G4" s="175" t="s">
        <v>885</v>
      </c>
      <c r="H4" s="176" t="s">
        <v>886</v>
      </c>
      <c r="I4" s="175" t="s">
        <v>887</v>
      </c>
      <c r="J4" s="176" t="s">
        <v>888</v>
      </c>
      <c r="K4" s="175" t="s">
        <v>4</v>
      </c>
      <c r="L4" s="175" t="s">
        <v>889</v>
      </c>
      <c r="M4" s="175" t="s">
        <v>890</v>
      </c>
      <c r="N4" s="175" t="s">
        <v>5</v>
      </c>
      <c r="O4" s="175" t="s">
        <v>6</v>
      </c>
      <c r="P4" s="175" t="s">
        <v>7</v>
      </c>
      <c r="Q4" s="176" t="s">
        <v>8</v>
      </c>
      <c r="R4" s="175" t="s">
        <v>9</v>
      </c>
      <c r="S4" s="175" t="s">
        <v>10</v>
      </c>
      <c r="T4" s="175" t="s">
        <v>11</v>
      </c>
      <c r="U4" s="175" t="s">
        <v>12</v>
      </c>
      <c r="V4" s="175" t="s">
        <v>13</v>
      </c>
      <c r="W4" s="175" t="s">
        <v>14</v>
      </c>
      <c r="X4" s="177" t="s">
        <v>1283</v>
      </c>
      <c r="Y4" s="178" t="s">
        <v>16</v>
      </c>
      <c r="Z4" s="178" t="s">
        <v>17</v>
      </c>
      <c r="AA4" s="178" t="s">
        <v>18</v>
      </c>
      <c r="AB4" s="178" t="s">
        <v>19</v>
      </c>
      <c r="AC4" s="176" t="s">
        <v>20</v>
      </c>
      <c r="AD4" s="263" t="s">
        <v>21</v>
      </c>
      <c r="AE4" s="175" t="s">
        <v>22</v>
      </c>
      <c r="AF4" s="176" t="s">
        <v>23</v>
      </c>
      <c r="AG4" s="175" t="s">
        <v>24</v>
      </c>
      <c r="AH4" s="176" t="s">
        <v>25</v>
      </c>
      <c r="AI4" s="176" t="s">
        <v>26</v>
      </c>
      <c r="AJ4" s="175" t="s">
        <v>891</v>
      </c>
      <c r="AK4" s="175" t="s">
        <v>892</v>
      </c>
      <c r="AL4" s="344" t="s">
        <v>893</v>
      </c>
      <c r="AM4" s="344" t="s">
        <v>894</v>
      </c>
      <c r="AN4" s="344" t="s">
        <v>895</v>
      </c>
      <c r="AO4" s="345" t="s">
        <v>896</v>
      </c>
      <c r="AP4" s="345" t="s">
        <v>897</v>
      </c>
      <c r="AQ4" s="346" t="s">
        <v>898</v>
      </c>
      <c r="AR4" s="346" t="s">
        <v>899</v>
      </c>
      <c r="AS4" s="347" t="s">
        <v>27</v>
      </c>
      <c r="AT4" s="347" t="s">
        <v>28</v>
      </c>
      <c r="AU4" s="347" t="s">
        <v>29</v>
      </c>
      <c r="AV4" s="464" t="s">
        <v>30</v>
      </c>
      <c r="AW4" s="464" t="s">
        <v>31</v>
      </c>
      <c r="AX4" s="464" t="s">
        <v>32</v>
      </c>
      <c r="AY4" s="464" t="s">
        <v>33</v>
      </c>
      <c r="AZ4" s="464" t="s">
        <v>34</v>
      </c>
      <c r="BA4" s="464" t="s">
        <v>35</v>
      </c>
      <c r="BB4" s="464" t="s">
        <v>36</v>
      </c>
      <c r="BC4" s="464" t="s">
        <v>37</v>
      </c>
      <c r="BD4" s="464" t="s">
        <v>38</v>
      </c>
      <c r="BE4" s="464" t="s">
        <v>39</v>
      </c>
      <c r="BF4" s="464" t="s">
        <v>40</v>
      </c>
      <c r="BG4" s="464" t="s">
        <v>41</v>
      </c>
      <c r="BH4" s="348" t="s">
        <v>42</v>
      </c>
      <c r="BI4" s="348" t="s">
        <v>43</v>
      </c>
      <c r="BJ4" s="348" t="s">
        <v>44</v>
      </c>
      <c r="BK4" s="348" t="s">
        <v>45</v>
      </c>
      <c r="BL4" s="348" t="s">
        <v>46</v>
      </c>
      <c r="BM4" s="348" t="s">
        <v>47</v>
      </c>
      <c r="BN4" s="349" t="s">
        <v>48</v>
      </c>
      <c r="BO4" s="349" t="s">
        <v>49</v>
      </c>
      <c r="BP4" s="372" t="s">
        <v>50</v>
      </c>
      <c r="BQ4" s="372" t="s">
        <v>51</v>
      </c>
      <c r="BR4" s="372" t="s">
        <v>52</v>
      </c>
      <c r="BS4" s="350" t="s">
        <v>53</v>
      </c>
      <c r="BT4" s="351" t="s">
        <v>54</v>
      </c>
      <c r="BU4" s="351" t="s">
        <v>55</v>
      </c>
      <c r="BV4" s="351" t="s">
        <v>56</v>
      </c>
      <c r="BW4" s="352" t="s">
        <v>900</v>
      </c>
      <c r="BX4" s="335" t="s">
        <v>901</v>
      </c>
      <c r="BY4" s="335" t="s">
        <v>902</v>
      </c>
      <c r="BZ4" s="335" t="s">
        <v>903</v>
      </c>
      <c r="CA4" s="335" t="s">
        <v>904</v>
      </c>
      <c r="CB4" s="335" t="s">
        <v>905</v>
      </c>
      <c r="CC4" s="335" t="s">
        <v>906</v>
      </c>
      <c r="CD4" s="335" t="s">
        <v>907</v>
      </c>
      <c r="CE4" s="335" t="s">
        <v>908</v>
      </c>
      <c r="CF4" s="335" t="s">
        <v>909</v>
      </c>
      <c r="CG4" s="335" t="s">
        <v>910</v>
      </c>
      <c r="CH4" s="335" t="s">
        <v>911</v>
      </c>
      <c r="CI4" s="335" t="s">
        <v>912</v>
      </c>
      <c r="CJ4" s="353" t="s">
        <v>57</v>
      </c>
      <c r="CK4" s="353" t="s">
        <v>58</v>
      </c>
      <c r="CL4" s="353" t="s">
        <v>59</v>
      </c>
      <c r="CM4" s="353" t="s">
        <v>60</v>
      </c>
      <c r="CN4" s="353" t="s">
        <v>61</v>
      </c>
      <c r="CO4" s="353" t="s">
        <v>62</v>
      </c>
      <c r="CP4" s="353" t="s">
        <v>63</v>
      </c>
      <c r="CQ4" s="353" t="s">
        <v>64</v>
      </c>
      <c r="CR4" s="353" t="s">
        <v>65</v>
      </c>
      <c r="CS4" s="353" t="s">
        <v>66</v>
      </c>
      <c r="CT4" s="353" t="s">
        <v>67</v>
      </c>
      <c r="CU4" s="353" t="s">
        <v>68</v>
      </c>
      <c r="CV4" s="352" t="s">
        <v>69</v>
      </c>
      <c r="CW4" s="352" t="s">
        <v>70</v>
      </c>
      <c r="CX4" s="346" t="s">
        <v>71</v>
      </c>
      <c r="CY4" s="179" t="s">
        <v>72</v>
      </c>
      <c r="CZ4" s="207" t="s">
        <v>913</v>
      </c>
    </row>
    <row r="5" spans="1:104" s="225" customFormat="1" ht="24.75" customHeight="1">
      <c r="A5" s="207">
        <v>415</v>
      </c>
      <c r="B5" s="207"/>
      <c r="C5" s="207"/>
      <c r="D5" s="207"/>
      <c r="E5" s="207"/>
      <c r="F5" s="207"/>
      <c r="G5" s="207"/>
      <c r="H5" s="207"/>
      <c r="I5" s="207"/>
      <c r="J5" s="207"/>
      <c r="K5" s="112" t="s">
        <v>429</v>
      </c>
      <c r="L5" s="112" t="s">
        <v>850</v>
      </c>
      <c r="M5" s="112" t="s">
        <v>850</v>
      </c>
      <c r="N5" s="112" t="s">
        <v>77</v>
      </c>
      <c r="O5" s="112" t="s">
        <v>77</v>
      </c>
      <c r="P5" s="112" t="s">
        <v>76</v>
      </c>
      <c r="Q5" s="112" t="s">
        <v>77</v>
      </c>
      <c r="R5" s="112" t="s">
        <v>77</v>
      </c>
      <c r="S5" s="112" t="s">
        <v>77</v>
      </c>
      <c r="T5" s="112" t="s">
        <v>77</v>
      </c>
      <c r="U5" s="112" t="s">
        <v>77</v>
      </c>
      <c r="V5" s="112" t="s">
        <v>77</v>
      </c>
      <c r="W5" s="112" t="s">
        <v>85</v>
      </c>
      <c r="X5" s="112" t="s">
        <v>1998</v>
      </c>
      <c r="Y5" s="114" t="s">
        <v>430</v>
      </c>
      <c r="Z5" s="114" t="s">
        <v>111</v>
      </c>
      <c r="AA5" s="114" t="s">
        <v>81</v>
      </c>
      <c r="AB5" s="114" t="s">
        <v>112</v>
      </c>
      <c r="AC5" s="115" t="str">
        <f t="shared" ref="AC5:AC38" si="0">LEFT(AD5,2)</f>
        <v>51</v>
      </c>
      <c r="AD5" s="124">
        <v>510105</v>
      </c>
      <c r="AE5" s="122" t="str">
        <f>VLOOKUP(AD5,ITEM!$C$1:$D$694,2,FALSE)</f>
        <v>Remuneraciones Unificadas</v>
      </c>
      <c r="AF5" s="112">
        <v>1300</v>
      </c>
      <c r="AG5" s="114" t="s">
        <v>82</v>
      </c>
      <c r="AH5" s="114" t="s">
        <v>84</v>
      </c>
      <c r="AI5" s="114" t="s">
        <v>84</v>
      </c>
      <c r="AJ5" s="114" t="s">
        <v>914</v>
      </c>
      <c r="AK5" s="114" t="s">
        <v>77</v>
      </c>
      <c r="AL5" s="271">
        <v>275247.09999999998</v>
      </c>
      <c r="AM5" s="272"/>
      <c r="AN5" s="272">
        <f t="shared" ref="AN5:AN34" si="1">AL5+AM5</f>
        <v>275247.09999999998</v>
      </c>
      <c r="AO5" s="224">
        <f>SUMIF(Reforma!$A$2:$A$8523,$A5,Reforma!$AB$2:$AB$8523)</f>
        <v>14839.63</v>
      </c>
      <c r="AP5" s="224">
        <f>SUMIF(Reforma!$A$2:$A$8523,$A5,Reforma!$AC$2:$AC$8523)</f>
        <v>-22334.73</v>
      </c>
      <c r="AQ5" s="224">
        <f>SUMIF(Reforma!$A$2:$A$8523,$A5,Reforma!$AD$2:$AD$8523)</f>
        <v>0</v>
      </c>
      <c r="AR5" s="224">
        <f>SUMIF(Reforma!$A$2:$A$8523,$A5,Reforma!$AE$2:$AE$8523)</f>
        <v>0</v>
      </c>
      <c r="AS5" s="224">
        <f t="shared" ref="AS5:AS38" si="2">+AL5+AO5+AP5</f>
        <v>267752</v>
      </c>
      <c r="AT5" s="224">
        <f t="shared" ref="AT5:AT38" si="3">+AM5+AQ5+AR5</f>
        <v>0</v>
      </c>
      <c r="AU5" s="224">
        <f t="shared" ref="AU5:AU38" si="4">IFERROR(AS5+AT5,"")</f>
        <v>267752</v>
      </c>
      <c r="AV5" s="503">
        <v>22767</v>
      </c>
      <c r="AW5" s="503">
        <v>22767</v>
      </c>
      <c r="AX5" s="503">
        <v>22767</v>
      </c>
      <c r="AY5" s="503">
        <v>22767</v>
      </c>
      <c r="AZ5" s="503">
        <v>22767</v>
      </c>
      <c r="BA5" s="503">
        <v>22767</v>
      </c>
      <c r="BB5" s="503">
        <v>22767</v>
      </c>
      <c r="BC5" s="504">
        <v>21676.6</v>
      </c>
      <c r="BD5" s="504">
        <v>21676.6</v>
      </c>
      <c r="BE5" s="504">
        <v>21676.6</v>
      </c>
      <c r="BF5" s="504">
        <v>21676.6</v>
      </c>
      <c r="BG5" s="504">
        <v>21676.6</v>
      </c>
      <c r="BH5" s="408">
        <f t="shared" ref="BH5:BH36" si="5">SUM(BX5:CI5)</f>
        <v>278511.99999999994</v>
      </c>
      <c r="BI5" s="408">
        <f t="shared" ref="BI5:BI41" si="6">SUM(AV5:BG5)</f>
        <v>267752</v>
      </c>
      <c r="BJ5" s="408">
        <f t="shared" ref="BJ5:BJ39" si="7">+BI5-AU5</f>
        <v>0</v>
      </c>
      <c r="BK5" s="224"/>
      <c r="BL5" s="224"/>
      <c r="BM5" s="224"/>
      <c r="BN5" s="224">
        <f>IFERROR(VLOOKUP($A5,'Constancias POA'!$A$2:$DH$9993,18,FALSE),"")</f>
        <v>280176.77</v>
      </c>
      <c r="BO5" s="224">
        <f t="shared" ref="BO5:BO36" si="8">IFERROR(AU5-BN5,"")</f>
        <v>-12424.770000000019</v>
      </c>
      <c r="BP5" s="224">
        <f>IFERROR(VLOOKUP($A5,CP!$A$1:$U$7992,18,FALSE),"")</f>
        <v>0</v>
      </c>
      <c r="BQ5" s="224">
        <f>IFERROR(VLOOKUP($A5,CP!$A$1:$U$7992,19,FALSE),"")</f>
        <v>266098.40000000002</v>
      </c>
      <c r="BR5" s="224">
        <f>IFERROR(VLOOKUP($A5,CP!$A$1:$U$7992,20,FALSE),"")</f>
        <v>0</v>
      </c>
      <c r="BS5" s="224" t="str">
        <f>IFERROR(VLOOKUP($A5,CP!$A$1:$U$1,21,FALSE),"")</f>
        <v/>
      </c>
      <c r="BT5" s="224">
        <f>IFERROR(VLOOKUP(A5,Devengado!$A$1:AJ$9310,35,FALSE),"")</f>
        <v>266098.39899999998</v>
      </c>
      <c r="BU5" s="224">
        <f t="shared" ref="BU5:BU36" si="9">IFERROR((AU5-BT5),"")</f>
        <v>1653.6010000000242</v>
      </c>
      <c r="BV5" s="224">
        <f t="shared" ref="BV5:BV36" si="10">IFERROR(BT5/BW5,"")</f>
        <v>0.99382413203262709</v>
      </c>
      <c r="BW5" s="224">
        <f t="shared" ref="BW5:BW39" si="11">AU5</f>
        <v>267752</v>
      </c>
      <c r="BX5" s="462">
        <v>22767</v>
      </c>
      <c r="BY5" s="462">
        <v>22767</v>
      </c>
      <c r="BZ5" s="462">
        <v>22767</v>
      </c>
      <c r="CA5" s="462">
        <v>22767</v>
      </c>
      <c r="CB5" s="463">
        <v>22767</v>
      </c>
      <c r="CC5" s="461">
        <v>22767</v>
      </c>
      <c r="CD5" s="461">
        <v>23651.67</v>
      </c>
      <c r="CE5" s="461">
        <v>23651.67</v>
      </c>
      <c r="CF5" s="461">
        <v>23651.67</v>
      </c>
      <c r="CG5" s="461">
        <v>23651.67</v>
      </c>
      <c r="CH5" s="461">
        <v>23651.67</v>
      </c>
      <c r="CI5" s="461">
        <v>23651.65</v>
      </c>
      <c r="CJ5" s="224">
        <f>IFERROR(VLOOKUP($A5,Devengado!$A$1:$AI$9038,22,FALSE),"")</f>
        <v>22767</v>
      </c>
      <c r="CK5" s="224">
        <f>IFERROR(VLOOKUP($A5,Devengado!$A$1:$AI$9038,23,FALSE),"")</f>
        <v>22767</v>
      </c>
      <c r="CL5" s="224">
        <f>IFERROR(VLOOKUP($A5,Devengado!$A$1:$AI$9038,24,FALSE),"")</f>
        <v>22767</v>
      </c>
      <c r="CM5" s="224">
        <f>IFERROR(VLOOKUP($A5,Devengado!$A$1:$AI$9038,25,FALSE),"")</f>
        <v>22767</v>
      </c>
      <c r="CN5" s="224">
        <f>IFERROR(VLOOKUP($A5,Devengado!$A$1:$AI$9038,26,FALSE),"")</f>
        <v>22767</v>
      </c>
      <c r="CO5" s="224">
        <f>IFERROR(VLOOKUP($A5,Devengado!$A$1:$AI$9038,27,FALSE),"")</f>
        <v>22767</v>
      </c>
      <c r="CP5" s="224">
        <f>IFERROR(VLOOKUP($A5,Devengado!$A$1:$AI$9038,28,FALSE),"")</f>
        <v>22767</v>
      </c>
      <c r="CQ5" s="224">
        <f>IFERROR(VLOOKUP($A5,Devengado!$A$1:$AI$9038,29,FALSE),"")</f>
        <v>21595.4</v>
      </c>
      <c r="CR5" s="224">
        <f>IFERROR(VLOOKUP($A5,Devengado!$A$1:$AI$9038,30,FALSE),"")</f>
        <v>21555</v>
      </c>
      <c r="CS5" s="224">
        <f>IFERROR(VLOOKUP($A5,Devengado!$A$1:$AI$9038,31,FALSE),"")</f>
        <v>21555</v>
      </c>
      <c r="CT5" s="224">
        <f>IFERROR(VLOOKUP($A5,Devengado!$A$1:$AI$9038,32,FALSE),"")</f>
        <v>21156.799999999999</v>
      </c>
      <c r="CU5" s="224">
        <f>IFERROR(VLOOKUP($A5,Devengado!$A$1:$AI$9038,33,FALSE),"")</f>
        <v>20867.199000000001</v>
      </c>
      <c r="CV5" s="224">
        <f t="shared" ref="CV5:CV36" si="12">SUM(CJ5:CU5)</f>
        <v>266098.39899999998</v>
      </c>
      <c r="CW5" s="224">
        <f t="shared" ref="CW5:CW36" si="13">IFERROR(CV5-BT5,"")</f>
        <v>0</v>
      </c>
      <c r="CX5" s="207"/>
      <c r="CY5" s="207" t="str">
        <f t="shared" ref="CY5:CY36" si="14">LEFT(AC5,4)</f>
        <v>51</v>
      </c>
      <c r="CZ5" s="112" t="s">
        <v>915</v>
      </c>
    </row>
    <row r="6" spans="1:104" s="225" customFormat="1" ht="25.5" customHeight="1">
      <c r="A6" s="207">
        <v>416</v>
      </c>
      <c r="B6" s="207"/>
      <c r="C6" s="207"/>
      <c r="D6" s="207"/>
      <c r="E6" s="207"/>
      <c r="F6" s="207"/>
      <c r="G6" s="207"/>
      <c r="H6" s="207"/>
      <c r="I6" s="207"/>
      <c r="J6" s="207"/>
      <c r="K6" s="112" t="s">
        <v>429</v>
      </c>
      <c r="L6" s="112" t="s">
        <v>850</v>
      </c>
      <c r="M6" s="112" t="s">
        <v>850</v>
      </c>
      <c r="N6" s="112" t="s">
        <v>77</v>
      </c>
      <c r="O6" s="112" t="s">
        <v>77</v>
      </c>
      <c r="P6" s="112" t="s">
        <v>76</v>
      </c>
      <c r="Q6" s="112" t="s">
        <v>77</v>
      </c>
      <c r="R6" s="112" t="s">
        <v>77</v>
      </c>
      <c r="S6" s="112" t="s">
        <v>77</v>
      </c>
      <c r="T6" s="112" t="s">
        <v>77</v>
      </c>
      <c r="U6" s="112" t="s">
        <v>77</v>
      </c>
      <c r="V6" s="112" t="s">
        <v>77</v>
      </c>
      <c r="W6" s="112" t="s">
        <v>85</v>
      </c>
      <c r="X6" s="114" t="s">
        <v>353</v>
      </c>
      <c r="Y6" s="114" t="s">
        <v>430</v>
      </c>
      <c r="Z6" s="114" t="s">
        <v>111</v>
      </c>
      <c r="AA6" s="114" t="s">
        <v>81</v>
      </c>
      <c r="AB6" s="114" t="s">
        <v>112</v>
      </c>
      <c r="AC6" s="115" t="str">
        <f t="shared" si="0"/>
        <v>51</v>
      </c>
      <c r="AD6" s="124">
        <v>510106</v>
      </c>
      <c r="AE6" s="122" t="str">
        <f>VLOOKUP(AD6,ITEM!$C$1:$D$694,2,FALSE)</f>
        <v>Salarios Unificados</v>
      </c>
      <c r="AF6" s="112">
        <v>1300</v>
      </c>
      <c r="AG6" s="114" t="s">
        <v>82</v>
      </c>
      <c r="AH6" s="114" t="s">
        <v>84</v>
      </c>
      <c r="AI6" s="114" t="s">
        <v>84</v>
      </c>
      <c r="AJ6" s="114" t="s">
        <v>914</v>
      </c>
      <c r="AK6" s="114" t="s">
        <v>77</v>
      </c>
      <c r="AL6" s="271">
        <v>68580</v>
      </c>
      <c r="AM6" s="272"/>
      <c r="AN6" s="272">
        <f t="shared" si="1"/>
        <v>68580</v>
      </c>
      <c r="AO6" s="224">
        <f>SUMIF(Reforma!$A$2:$A$8523,$A6,Reforma!$AB$2:$AB$8523)</f>
        <v>1047.2</v>
      </c>
      <c r="AP6" s="224">
        <f>SUMIF(Reforma!$A$2:$A$8523,$A6,Reforma!$AC$2:$AC$8523)</f>
        <v>-1047.2</v>
      </c>
      <c r="AQ6" s="224">
        <f>SUMIF(Reforma!$A$2:$A$8523,$A6,Reforma!$AD$2:$AD$8523)</f>
        <v>0</v>
      </c>
      <c r="AR6" s="224">
        <f>SUMIF(Reforma!$A$2:$A$8523,$A6,Reforma!$AE$2:$AE$8523)</f>
        <v>0</v>
      </c>
      <c r="AS6" s="224">
        <f t="shared" si="2"/>
        <v>68580</v>
      </c>
      <c r="AT6" s="224">
        <f t="shared" si="3"/>
        <v>0</v>
      </c>
      <c r="AU6" s="224">
        <f t="shared" si="4"/>
        <v>68580</v>
      </c>
      <c r="AV6" s="326">
        <v>5715</v>
      </c>
      <c r="AW6" s="326">
        <v>5715</v>
      </c>
      <c r="AX6" s="326">
        <v>5715</v>
      </c>
      <c r="AY6" s="326">
        <v>5715</v>
      </c>
      <c r="AZ6" s="326">
        <v>5715</v>
      </c>
      <c r="BA6" s="326">
        <v>5715</v>
      </c>
      <c r="BB6" s="326">
        <v>5715</v>
      </c>
      <c r="BC6" s="326">
        <v>5715</v>
      </c>
      <c r="BD6" s="326">
        <v>5715</v>
      </c>
      <c r="BE6" s="326">
        <v>5715</v>
      </c>
      <c r="BF6" s="326">
        <v>5715</v>
      </c>
      <c r="BG6" s="326">
        <v>5715</v>
      </c>
      <c r="BH6" s="408">
        <f t="shared" si="5"/>
        <v>68580</v>
      </c>
      <c r="BI6" s="408">
        <f t="shared" si="6"/>
        <v>68580</v>
      </c>
      <c r="BJ6" s="408">
        <f t="shared" si="7"/>
        <v>0</v>
      </c>
      <c r="BK6" s="224"/>
      <c r="BL6" s="224"/>
      <c r="BM6" s="224"/>
      <c r="BN6" s="224">
        <f>IFERROR(VLOOKUP($A6,'Constancias POA'!$A$2:$DH$9993,18,FALSE),"")</f>
        <v>68580</v>
      </c>
      <c r="BO6" s="224">
        <f t="shared" si="8"/>
        <v>0</v>
      </c>
      <c r="BP6" s="224">
        <f>IFERROR(VLOOKUP($A6,CP!$A$1:$U$7992,18,FALSE),"")</f>
        <v>0</v>
      </c>
      <c r="BQ6" s="224">
        <f>IFERROR(VLOOKUP($A6,CP!$A$1:$U$7992,19,FALSE),"")</f>
        <v>68580</v>
      </c>
      <c r="BR6" s="224">
        <f>IFERROR(VLOOKUP($A6,CP!$A$1:$U$7992,20,FALSE),"")</f>
        <v>0</v>
      </c>
      <c r="BS6" s="224" t="str">
        <f>IFERROR(VLOOKUP($A6,CP!$A$1:$U$1,21,FALSE),"")</f>
        <v/>
      </c>
      <c r="BT6" s="224">
        <f>IFERROR(VLOOKUP(A6,Devengado!$A$1:AJ$9310,35,FALSE),"")</f>
        <v>68580</v>
      </c>
      <c r="BU6" s="224">
        <f t="shared" si="9"/>
        <v>0</v>
      </c>
      <c r="BV6" s="224">
        <f t="shared" si="10"/>
        <v>1</v>
      </c>
      <c r="BW6" s="224">
        <f t="shared" si="11"/>
        <v>68580</v>
      </c>
      <c r="BX6" s="429">
        <v>5715</v>
      </c>
      <c r="BY6" s="429">
        <v>5715</v>
      </c>
      <c r="BZ6" s="429">
        <v>5715</v>
      </c>
      <c r="CA6" s="429">
        <v>5715</v>
      </c>
      <c r="CB6" s="429">
        <v>5715</v>
      </c>
      <c r="CC6" s="429">
        <v>5715</v>
      </c>
      <c r="CD6" s="429">
        <v>5715</v>
      </c>
      <c r="CE6" s="429">
        <v>5715</v>
      </c>
      <c r="CF6" s="429">
        <v>5715</v>
      </c>
      <c r="CG6" s="429">
        <v>5715</v>
      </c>
      <c r="CH6" s="429">
        <v>5715</v>
      </c>
      <c r="CI6" s="429">
        <v>5715</v>
      </c>
      <c r="CJ6" s="224">
        <f>IFERROR(VLOOKUP($A6,Devengado!$A$1:$AI$9038,22,FALSE),"")</f>
        <v>5715</v>
      </c>
      <c r="CK6" s="224">
        <f>IFERROR(VLOOKUP($A6,Devengado!$A$1:$AI$9038,23,FALSE),"")</f>
        <v>5715</v>
      </c>
      <c r="CL6" s="224">
        <f>IFERROR(VLOOKUP($A6,Devengado!$A$1:$AI$9038,24,FALSE),"")</f>
        <v>5715</v>
      </c>
      <c r="CM6" s="224">
        <f>IFERROR(VLOOKUP($A6,Devengado!$A$1:$AI$9038,25,FALSE),"")</f>
        <v>5715</v>
      </c>
      <c r="CN6" s="224">
        <f>IFERROR(VLOOKUP($A6,Devengado!$A$1:$AI$9038,26,FALSE),"")</f>
        <v>5715</v>
      </c>
      <c r="CO6" s="224">
        <f>IFERROR(VLOOKUP($A6,Devengado!$A$1:$AI$9038,27,FALSE),"")</f>
        <v>5715</v>
      </c>
      <c r="CP6" s="224">
        <f>IFERROR(VLOOKUP($A6,Devengado!$A$1:$AI$9038,28,FALSE),"")</f>
        <v>5715</v>
      </c>
      <c r="CQ6" s="224">
        <f>IFERROR(VLOOKUP($A6,Devengado!$A$1:$AI$9038,29,FALSE),"")</f>
        <v>5715</v>
      </c>
      <c r="CR6" s="224">
        <f>IFERROR(VLOOKUP($A6,Devengado!$A$1:$AI$9038,30,FALSE),"")</f>
        <v>5715</v>
      </c>
      <c r="CS6" s="224">
        <f>IFERROR(VLOOKUP($A6,Devengado!$A$1:$AI$9038,31,FALSE),"")</f>
        <v>5715</v>
      </c>
      <c r="CT6" s="224">
        <f>IFERROR(VLOOKUP($A6,Devengado!$A$1:$AI$9038,32,FALSE),"")</f>
        <v>5715</v>
      </c>
      <c r="CU6" s="224">
        <f>IFERROR(VLOOKUP($A6,Devengado!$A$1:$AI$9038,33,FALSE),"")</f>
        <v>5715</v>
      </c>
      <c r="CV6" s="224">
        <f t="shared" si="12"/>
        <v>68580</v>
      </c>
      <c r="CW6" s="224">
        <f t="shared" si="13"/>
        <v>0</v>
      </c>
      <c r="CX6" s="207"/>
      <c r="CY6" s="207" t="str">
        <f t="shared" si="14"/>
        <v>51</v>
      </c>
      <c r="CZ6" s="112" t="s">
        <v>915</v>
      </c>
    </row>
    <row r="7" spans="1:104" s="225" customFormat="1" ht="26.25" customHeight="1">
      <c r="A7" s="207">
        <v>417</v>
      </c>
      <c r="B7" s="207"/>
      <c r="C7" s="207"/>
      <c r="D7" s="207"/>
      <c r="E7" s="207"/>
      <c r="F7" s="207"/>
      <c r="G7" s="207"/>
      <c r="H7" s="207"/>
      <c r="I7" s="207"/>
      <c r="J7" s="207"/>
      <c r="K7" s="112" t="s">
        <v>429</v>
      </c>
      <c r="L7" s="112" t="s">
        <v>850</v>
      </c>
      <c r="M7" s="112" t="s">
        <v>850</v>
      </c>
      <c r="N7" s="112" t="s">
        <v>77</v>
      </c>
      <c r="O7" s="112" t="s">
        <v>77</v>
      </c>
      <c r="P7" s="112" t="s">
        <v>76</v>
      </c>
      <c r="Q7" s="112" t="s">
        <v>77</v>
      </c>
      <c r="R7" s="112" t="s">
        <v>77</v>
      </c>
      <c r="S7" s="112" t="s">
        <v>77</v>
      </c>
      <c r="T7" s="112" t="s">
        <v>77</v>
      </c>
      <c r="U7" s="112" t="s">
        <v>77</v>
      </c>
      <c r="V7" s="112" t="s">
        <v>77</v>
      </c>
      <c r="W7" s="112" t="s">
        <v>85</v>
      </c>
      <c r="X7" s="112" t="s">
        <v>431</v>
      </c>
      <c r="Y7" s="114" t="s">
        <v>430</v>
      </c>
      <c r="Z7" s="114" t="s">
        <v>111</v>
      </c>
      <c r="AA7" s="114" t="s">
        <v>81</v>
      </c>
      <c r="AB7" s="114" t="s">
        <v>112</v>
      </c>
      <c r="AC7" s="115" t="str">
        <f t="shared" si="0"/>
        <v>51</v>
      </c>
      <c r="AD7" s="124">
        <v>510203</v>
      </c>
      <c r="AE7" s="122" t="str">
        <f>VLOOKUP(AD7,ITEM!$C$1:$D$694,2,FALSE)</f>
        <v>Decimo Tercer Sueldo</v>
      </c>
      <c r="AF7" s="112">
        <v>1300</v>
      </c>
      <c r="AG7" s="114" t="s">
        <v>82</v>
      </c>
      <c r="AH7" s="114" t="s">
        <v>84</v>
      </c>
      <c r="AI7" s="114" t="s">
        <v>84</v>
      </c>
      <c r="AJ7" s="114" t="s">
        <v>914</v>
      </c>
      <c r="AK7" s="114" t="s">
        <v>77</v>
      </c>
      <c r="AL7" s="271">
        <v>32146</v>
      </c>
      <c r="AM7" s="272"/>
      <c r="AN7" s="272">
        <f t="shared" si="1"/>
        <v>32146</v>
      </c>
      <c r="AO7" s="224">
        <f>SUMIF(Reforma!$A$2:$A$8523,$A7,Reforma!$AB$2:$AB$8523)</f>
        <v>0</v>
      </c>
      <c r="AP7" s="224">
        <f>SUMIF(Reforma!$A$2:$A$8523,$A7,Reforma!$AC$2:$AC$8523)</f>
        <v>-1456.93</v>
      </c>
      <c r="AQ7" s="224">
        <f>SUMIF(Reforma!$A$2:$A$8523,$A7,Reforma!$AD$2:$AD$8523)</f>
        <v>0</v>
      </c>
      <c r="AR7" s="224">
        <f>SUMIF(Reforma!$A$2:$A$8523,$A7,Reforma!$AE$2:$AE$8523)</f>
        <v>0</v>
      </c>
      <c r="AS7" s="224">
        <f t="shared" si="2"/>
        <v>30689.07</v>
      </c>
      <c r="AT7" s="224">
        <f t="shared" si="3"/>
        <v>0</v>
      </c>
      <c r="AU7" s="224">
        <f t="shared" si="4"/>
        <v>30689.07</v>
      </c>
      <c r="AV7" s="461">
        <v>779.43</v>
      </c>
      <c r="AW7" s="463">
        <v>779.43</v>
      </c>
      <c r="AX7" s="463">
        <v>779.43</v>
      </c>
      <c r="AY7" s="463">
        <v>779.43</v>
      </c>
      <c r="AZ7" s="484">
        <v>779.43</v>
      </c>
      <c r="BA7" s="461">
        <v>779.43</v>
      </c>
      <c r="BB7" s="461">
        <v>779.43</v>
      </c>
      <c r="BC7" s="461">
        <v>779.43</v>
      </c>
      <c r="BD7" s="461">
        <v>779.43</v>
      </c>
      <c r="BE7" s="461">
        <v>779.43</v>
      </c>
      <c r="BF7" s="461">
        <v>779.43</v>
      </c>
      <c r="BG7" s="461">
        <v>22115.34</v>
      </c>
      <c r="BH7" s="408">
        <f t="shared" si="5"/>
        <v>31901.070000000003</v>
      </c>
      <c r="BI7" s="408">
        <f t="shared" si="6"/>
        <v>30689.07</v>
      </c>
      <c r="BJ7" s="408">
        <f t="shared" si="7"/>
        <v>0</v>
      </c>
      <c r="BK7" s="224"/>
      <c r="BL7" s="224"/>
      <c r="BM7" s="224"/>
      <c r="BN7" s="224">
        <f>IFERROR(VLOOKUP($A7,'Constancias POA'!$A$2:$DH$9993,18,FALSE),"")</f>
        <v>31901.07</v>
      </c>
      <c r="BO7" s="224">
        <f t="shared" si="8"/>
        <v>-1212</v>
      </c>
      <c r="BP7" s="224">
        <f>IFERROR(VLOOKUP($A7,CP!$A$1:$U$7992,18,FALSE),"")</f>
        <v>0</v>
      </c>
      <c r="BQ7" s="224">
        <f>IFERROR(VLOOKUP($A7,CP!$A$1:$U$7992,19,FALSE),"")</f>
        <v>29180.79</v>
      </c>
      <c r="BR7" s="224">
        <f>IFERROR(VLOOKUP($A7,CP!$A$1:$U$7992,20,FALSE),"")</f>
        <v>0</v>
      </c>
      <c r="BS7" s="224" t="str">
        <f>IFERROR(VLOOKUP($A7,CP!$A$1:$U$1,21,FALSE),"")</f>
        <v/>
      </c>
      <c r="BT7" s="224">
        <f>IFERROR(VLOOKUP(A7,Devengado!$A$1:AJ$9310,35,FALSE),"")</f>
        <v>29180.79</v>
      </c>
      <c r="BU7" s="224">
        <f t="shared" si="9"/>
        <v>1508.2799999999988</v>
      </c>
      <c r="BV7" s="224">
        <f t="shared" si="10"/>
        <v>0.95085286064387098</v>
      </c>
      <c r="BW7" s="224">
        <f t="shared" si="11"/>
        <v>30689.07</v>
      </c>
      <c r="BX7" s="461">
        <v>779.43</v>
      </c>
      <c r="BY7" s="463">
        <v>779.43</v>
      </c>
      <c r="BZ7" s="463">
        <v>779.43</v>
      </c>
      <c r="CA7" s="463">
        <v>779.43</v>
      </c>
      <c r="CB7" s="463">
        <v>779.43</v>
      </c>
      <c r="CC7" s="461">
        <v>4000.56</v>
      </c>
      <c r="CD7" s="461">
        <v>4000.56</v>
      </c>
      <c r="CE7" s="461">
        <v>4000.56</v>
      </c>
      <c r="CF7" s="461">
        <v>4000.56</v>
      </c>
      <c r="CG7" s="461">
        <v>4000.56</v>
      </c>
      <c r="CH7" s="461">
        <v>4000.56</v>
      </c>
      <c r="CI7" s="461">
        <v>4000.56</v>
      </c>
      <c r="CJ7" s="224">
        <f>IFERROR(VLOOKUP($A7,Devengado!$A$1:$AI$9038,22,FALSE),"")</f>
        <v>0</v>
      </c>
      <c r="CK7" s="224">
        <f>IFERROR(VLOOKUP($A7,Devengado!$A$1:$AI$9038,23,FALSE),"")</f>
        <v>1558.86</v>
      </c>
      <c r="CL7" s="224">
        <f>IFERROR(VLOOKUP($A7,Devengado!$A$1:$AI$9038,24,FALSE),"")</f>
        <v>779.43</v>
      </c>
      <c r="CM7" s="224">
        <f>IFERROR(VLOOKUP($A7,Devengado!$A$1:$AI$9038,25,FALSE),"")</f>
        <v>779.43</v>
      </c>
      <c r="CN7" s="224">
        <f>IFERROR(VLOOKUP($A7,Devengado!$A$1:$AI$9038,26,FALSE),"")</f>
        <v>779.43</v>
      </c>
      <c r="CO7" s="224">
        <f>IFERROR(VLOOKUP($A7,Devengado!$A$1:$AI$9038,27,FALSE),"")</f>
        <v>779.43</v>
      </c>
      <c r="CP7" s="224">
        <f>IFERROR(VLOOKUP($A7,Devengado!$A$1:$AI$9038,28,FALSE),"")</f>
        <v>779.43</v>
      </c>
      <c r="CQ7" s="224">
        <f>IFERROR(VLOOKUP($A7,Devengado!$A$1:$AI$9038,29,FALSE),"")</f>
        <v>779.43</v>
      </c>
      <c r="CR7" s="224">
        <f>IFERROR(VLOOKUP($A7,Devengado!$A$1:$AI$9038,30,FALSE),"")</f>
        <v>779.43</v>
      </c>
      <c r="CS7" s="224">
        <f>IFERROR(VLOOKUP($A7,Devengado!$A$1:$AI$9038,31,FALSE),"")</f>
        <v>779.43</v>
      </c>
      <c r="CT7" s="224">
        <f>IFERROR(VLOOKUP($A7,Devengado!$A$1:$AI$9038,32,FALSE),"")</f>
        <v>779.43</v>
      </c>
      <c r="CU7" s="224">
        <f>IFERROR(VLOOKUP($A7,Devengado!$A$1:$AI$9038,33,FALSE),"")</f>
        <v>20607.060000000001</v>
      </c>
      <c r="CV7" s="224">
        <f t="shared" si="12"/>
        <v>29180.79</v>
      </c>
      <c r="CW7" s="224">
        <f t="shared" si="13"/>
        <v>0</v>
      </c>
      <c r="CX7" s="207"/>
      <c r="CY7" s="207" t="str">
        <f t="shared" si="14"/>
        <v>51</v>
      </c>
      <c r="CZ7" s="112" t="s">
        <v>915</v>
      </c>
    </row>
    <row r="8" spans="1:104" s="225" customFormat="1" ht="25.5" customHeight="1">
      <c r="A8" s="207">
        <v>418</v>
      </c>
      <c r="B8" s="207"/>
      <c r="C8" s="207"/>
      <c r="D8" s="207"/>
      <c r="E8" s="207"/>
      <c r="F8" s="207"/>
      <c r="G8" s="207"/>
      <c r="H8" s="207"/>
      <c r="I8" s="207"/>
      <c r="J8" s="207"/>
      <c r="K8" s="112" t="s">
        <v>429</v>
      </c>
      <c r="L8" s="112" t="s">
        <v>850</v>
      </c>
      <c r="M8" s="112" t="s">
        <v>850</v>
      </c>
      <c r="N8" s="112" t="s">
        <v>77</v>
      </c>
      <c r="O8" s="112" t="s">
        <v>77</v>
      </c>
      <c r="P8" s="112" t="s">
        <v>76</v>
      </c>
      <c r="Q8" s="112" t="s">
        <v>77</v>
      </c>
      <c r="R8" s="112" t="s">
        <v>77</v>
      </c>
      <c r="S8" s="112" t="s">
        <v>77</v>
      </c>
      <c r="T8" s="112" t="s">
        <v>77</v>
      </c>
      <c r="U8" s="112" t="s">
        <v>77</v>
      </c>
      <c r="V8" s="112" t="s">
        <v>77</v>
      </c>
      <c r="W8" s="112" t="s">
        <v>85</v>
      </c>
      <c r="X8" s="112" t="s">
        <v>432</v>
      </c>
      <c r="Y8" s="114" t="s">
        <v>430</v>
      </c>
      <c r="Z8" s="114" t="s">
        <v>111</v>
      </c>
      <c r="AA8" s="114" t="s">
        <v>81</v>
      </c>
      <c r="AB8" s="114" t="s">
        <v>112</v>
      </c>
      <c r="AC8" s="115" t="str">
        <f t="shared" si="0"/>
        <v>51</v>
      </c>
      <c r="AD8" s="124">
        <v>510204</v>
      </c>
      <c r="AE8" s="122" t="str">
        <f>VLOOKUP(AD8,ITEM!$C$1:$D$694,2,FALSE)</f>
        <v>Decimo Cuarto Sueldo</v>
      </c>
      <c r="AF8" s="112">
        <v>1300</v>
      </c>
      <c r="AG8" s="114" t="s">
        <v>82</v>
      </c>
      <c r="AH8" s="114" t="s">
        <v>84</v>
      </c>
      <c r="AI8" s="114" t="s">
        <v>84</v>
      </c>
      <c r="AJ8" s="114" t="s">
        <v>914</v>
      </c>
      <c r="AK8" s="114" t="s">
        <v>77</v>
      </c>
      <c r="AL8" s="271">
        <v>17100</v>
      </c>
      <c r="AM8" s="272"/>
      <c r="AN8" s="272">
        <f t="shared" si="1"/>
        <v>17100</v>
      </c>
      <c r="AO8" s="224">
        <f>SUMIF(Reforma!$A$2:$A$8523,$A8,Reforma!$AB$2:$AB$8523)</f>
        <v>467.65</v>
      </c>
      <c r="AP8" s="224">
        <f>SUMIF(Reforma!$A$2:$A$8523,$A8,Reforma!$AC$2:$AC$8523)</f>
        <v>-750</v>
      </c>
      <c r="AQ8" s="224">
        <f>SUMIF(Reforma!$A$2:$A$8523,$A8,Reforma!$AD$2:$AD$8523)</f>
        <v>0</v>
      </c>
      <c r="AR8" s="224">
        <f>SUMIF(Reforma!$A$2:$A$8523,$A8,Reforma!$AE$2:$AE$8523)</f>
        <v>0</v>
      </c>
      <c r="AS8" s="224">
        <f t="shared" si="2"/>
        <v>16817.650000000001</v>
      </c>
      <c r="AT8" s="224">
        <f t="shared" si="3"/>
        <v>0</v>
      </c>
      <c r="AU8" s="224">
        <f t="shared" si="4"/>
        <v>16817.650000000001</v>
      </c>
      <c r="AV8" s="461">
        <v>344.97</v>
      </c>
      <c r="AW8" s="463">
        <v>344.97</v>
      </c>
      <c r="AX8" s="463">
        <v>12686.69</v>
      </c>
      <c r="AY8" s="463">
        <v>344.97</v>
      </c>
      <c r="AZ8" s="463">
        <v>344.97</v>
      </c>
      <c r="BA8" s="461">
        <v>393.02</v>
      </c>
      <c r="BB8" s="461">
        <v>393.01</v>
      </c>
      <c r="BC8" s="461">
        <v>393.01</v>
      </c>
      <c r="BD8" s="461">
        <v>393.01</v>
      </c>
      <c r="BE8" s="461">
        <v>393.01</v>
      </c>
      <c r="BF8" s="461">
        <v>393.01</v>
      </c>
      <c r="BG8" s="461">
        <v>393.01</v>
      </c>
      <c r="BH8" s="408">
        <f t="shared" si="5"/>
        <v>17100</v>
      </c>
      <c r="BI8" s="408">
        <f t="shared" si="6"/>
        <v>16817.649999999998</v>
      </c>
      <c r="BJ8" s="408">
        <f t="shared" si="7"/>
        <v>0</v>
      </c>
      <c r="BK8" s="224"/>
      <c r="BL8" s="224"/>
      <c r="BM8" s="224"/>
      <c r="BN8" s="224">
        <f>IFERROR(VLOOKUP($A8,'Constancias POA'!$A$2:$DH$9993,18,FALSE),"")</f>
        <v>16817.650000000001</v>
      </c>
      <c r="BO8" s="224">
        <f t="shared" si="8"/>
        <v>0</v>
      </c>
      <c r="BP8" s="224">
        <f>IFERROR(VLOOKUP($A8,CP!$A$1:$U$7992,18,FALSE),"")</f>
        <v>0</v>
      </c>
      <c r="BQ8" s="224">
        <f>IFERROR(VLOOKUP($A8,CP!$A$1:$U$7992,19,FALSE),"")</f>
        <v>16495.419999999995</v>
      </c>
      <c r="BR8" s="224">
        <f>IFERROR(VLOOKUP($A8,CP!$A$1:$U$7992,20,FALSE),"")</f>
        <v>0</v>
      </c>
      <c r="BS8" s="224" t="str">
        <f>IFERROR(VLOOKUP($A8,CP!$A$1:$U$1,21,FALSE),"")</f>
        <v/>
      </c>
      <c r="BT8" s="224">
        <f>IFERROR(VLOOKUP(A8,Devengado!$A$1:AJ$9310,35,FALSE),"")</f>
        <v>16495.419999999995</v>
      </c>
      <c r="BU8" s="224">
        <f t="shared" si="9"/>
        <v>322.23000000000684</v>
      </c>
      <c r="BV8" s="224">
        <f t="shared" si="10"/>
        <v>0.98083977250091381</v>
      </c>
      <c r="BW8" s="224">
        <f t="shared" si="11"/>
        <v>16817.650000000001</v>
      </c>
      <c r="BX8" s="429">
        <v>1425</v>
      </c>
      <c r="BY8" s="429">
        <v>1425</v>
      </c>
      <c r="BZ8" s="429">
        <v>1425</v>
      </c>
      <c r="CA8" s="429">
        <v>1425</v>
      </c>
      <c r="CB8" s="429">
        <v>1425</v>
      </c>
      <c r="CC8" s="429">
        <v>1425</v>
      </c>
      <c r="CD8" s="429">
        <v>1425</v>
      </c>
      <c r="CE8" s="429">
        <v>1425</v>
      </c>
      <c r="CF8" s="429">
        <v>1425</v>
      </c>
      <c r="CG8" s="429">
        <v>1425</v>
      </c>
      <c r="CH8" s="429">
        <v>1425</v>
      </c>
      <c r="CI8" s="429">
        <v>1425</v>
      </c>
      <c r="CJ8" s="224">
        <f>IFERROR(VLOOKUP($A8,Devengado!$A$1:$AI$9038,22,FALSE),"")</f>
        <v>0</v>
      </c>
      <c r="CK8" s="224">
        <f>IFERROR(VLOOKUP($A8,Devengado!$A$1:$AI$9038,23,FALSE),"")</f>
        <v>689.94</v>
      </c>
      <c r="CL8" s="224">
        <f>IFERROR(VLOOKUP($A8,Devengado!$A$1:$AI$9038,24,FALSE),"")</f>
        <v>12686.69</v>
      </c>
      <c r="CM8" s="224">
        <f>IFERROR(VLOOKUP($A8,Devengado!$A$1:$AI$9038,25,FALSE),"")</f>
        <v>344.97</v>
      </c>
      <c r="CN8" s="224">
        <f>IFERROR(VLOOKUP($A8,Devengado!$A$1:$AI$9038,26,FALSE),"")</f>
        <v>344.97</v>
      </c>
      <c r="CO8" s="224">
        <f>IFERROR(VLOOKUP($A8,Devengado!$A$1:$AI$9038,27,FALSE),"")</f>
        <v>344.97</v>
      </c>
      <c r="CP8" s="224">
        <f>IFERROR(VLOOKUP($A8,Devengado!$A$1:$AI$9038,28,FALSE),"")</f>
        <v>344.97</v>
      </c>
      <c r="CQ8" s="224">
        <f>IFERROR(VLOOKUP($A8,Devengado!$A$1:$AI$9038,29,FALSE),"")</f>
        <v>344.97</v>
      </c>
      <c r="CR8" s="224">
        <f>IFERROR(VLOOKUP($A8,Devengado!$A$1:$AI$9038,30,FALSE),"")</f>
        <v>344.97</v>
      </c>
      <c r="CS8" s="224">
        <f>IFERROR(VLOOKUP($A8,Devengado!$A$1:$AI$9038,31,FALSE),"")</f>
        <v>344.97</v>
      </c>
      <c r="CT8" s="224">
        <f>IFERROR(VLOOKUP($A8,Devengado!$A$1:$AI$9038,32,FALSE),"")</f>
        <v>344.97</v>
      </c>
      <c r="CU8" s="224">
        <f>IFERROR(VLOOKUP($A8,Devengado!$A$1:$AI$9038,33,FALSE),"")</f>
        <v>359.03000000000003</v>
      </c>
      <c r="CV8" s="224">
        <f t="shared" si="12"/>
        <v>16495.419999999995</v>
      </c>
      <c r="CW8" s="224">
        <f t="shared" si="13"/>
        <v>0</v>
      </c>
      <c r="CX8" s="207"/>
      <c r="CY8" s="207" t="str">
        <f t="shared" si="14"/>
        <v>51</v>
      </c>
      <c r="CZ8" s="112" t="s">
        <v>915</v>
      </c>
    </row>
    <row r="9" spans="1:104" s="225" customFormat="1" ht="24.75" customHeight="1">
      <c r="A9" s="207">
        <v>419</v>
      </c>
      <c r="B9" s="207"/>
      <c r="C9" s="207"/>
      <c r="D9" s="207"/>
      <c r="E9" s="207"/>
      <c r="F9" s="207"/>
      <c r="G9" s="207"/>
      <c r="H9" s="207"/>
      <c r="I9" s="207"/>
      <c r="J9" s="207"/>
      <c r="K9" s="112" t="s">
        <v>429</v>
      </c>
      <c r="L9" s="112" t="s">
        <v>850</v>
      </c>
      <c r="M9" s="112" t="s">
        <v>850</v>
      </c>
      <c r="N9" s="112" t="s">
        <v>77</v>
      </c>
      <c r="O9" s="112" t="s">
        <v>77</v>
      </c>
      <c r="P9" s="112" t="s">
        <v>76</v>
      </c>
      <c r="Q9" s="112" t="s">
        <v>77</v>
      </c>
      <c r="R9" s="112" t="s">
        <v>77</v>
      </c>
      <c r="S9" s="112" t="s">
        <v>77</v>
      </c>
      <c r="T9" s="112" t="s">
        <v>77</v>
      </c>
      <c r="U9" s="112" t="s">
        <v>77</v>
      </c>
      <c r="V9" s="112" t="s">
        <v>77</v>
      </c>
      <c r="W9" s="112" t="s">
        <v>85</v>
      </c>
      <c r="X9" s="114" t="s">
        <v>357</v>
      </c>
      <c r="Y9" s="114" t="s">
        <v>430</v>
      </c>
      <c r="Z9" s="114" t="s">
        <v>111</v>
      </c>
      <c r="AA9" s="114" t="s">
        <v>81</v>
      </c>
      <c r="AB9" s="114" t="s">
        <v>112</v>
      </c>
      <c r="AC9" s="115" t="str">
        <f t="shared" si="0"/>
        <v>51</v>
      </c>
      <c r="AD9" s="124">
        <v>510304</v>
      </c>
      <c r="AE9" s="122" t="str">
        <f>VLOOKUP(AD9,ITEM!$C$1:$D$694,2,FALSE)</f>
        <v>Compensación por Transporte</v>
      </c>
      <c r="AF9" s="112">
        <v>1300</v>
      </c>
      <c r="AG9" s="114" t="s">
        <v>82</v>
      </c>
      <c r="AH9" s="114" t="s">
        <v>84</v>
      </c>
      <c r="AI9" s="114" t="s">
        <v>84</v>
      </c>
      <c r="AJ9" s="114" t="s">
        <v>914</v>
      </c>
      <c r="AK9" s="114" t="s">
        <v>77</v>
      </c>
      <c r="AL9" s="271">
        <v>1320</v>
      </c>
      <c r="AM9" s="272"/>
      <c r="AN9" s="272">
        <f t="shared" si="1"/>
        <v>1320</v>
      </c>
      <c r="AO9" s="224">
        <f>SUMIF(Reforma!$A$2:$A$8523,$A9,Reforma!$AB$2:$AB$8523)</f>
        <v>309</v>
      </c>
      <c r="AP9" s="224">
        <f>SUMIF(Reforma!$A$2:$A$8523,$A9,Reforma!$AC$2:$AC$8523)</f>
        <v>-315.5</v>
      </c>
      <c r="AQ9" s="224">
        <f>SUMIF(Reforma!$A$2:$A$8523,$A9,Reforma!$AD$2:$AD$8523)</f>
        <v>0</v>
      </c>
      <c r="AR9" s="224">
        <f>SUMIF(Reforma!$A$2:$A$8523,$A9,Reforma!$AE$2:$AE$8523)</f>
        <v>0</v>
      </c>
      <c r="AS9" s="224">
        <f>+AL9+AO9+AP9</f>
        <v>1313.5</v>
      </c>
      <c r="AT9" s="224">
        <f>+AM9+AQ9+AR9</f>
        <v>0</v>
      </c>
      <c r="AU9" s="224">
        <f>IFERROR(AS9+AT9,"")</f>
        <v>1313.5</v>
      </c>
      <c r="AV9" s="463"/>
      <c r="AW9" s="478">
        <v>185</v>
      </c>
      <c r="AX9" s="478">
        <v>92</v>
      </c>
      <c r="AY9" s="478">
        <v>90</v>
      </c>
      <c r="AZ9" s="478">
        <v>80</v>
      </c>
      <c r="BA9" s="478">
        <v>96.5</v>
      </c>
      <c r="BB9" s="461">
        <v>110</v>
      </c>
      <c r="BC9" s="461">
        <v>110</v>
      </c>
      <c r="BD9" s="461">
        <v>110</v>
      </c>
      <c r="BE9" s="461">
        <v>110</v>
      </c>
      <c r="BF9" s="461">
        <v>110</v>
      </c>
      <c r="BG9" s="461">
        <v>220</v>
      </c>
      <c r="BH9" s="408">
        <f t="shared" si="5"/>
        <v>1220</v>
      </c>
      <c r="BI9" s="408">
        <f t="shared" si="6"/>
        <v>1313.5</v>
      </c>
      <c r="BJ9" s="408">
        <f>+BI9-AU9</f>
        <v>0</v>
      </c>
      <c r="BK9" s="224"/>
      <c r="BL9" s="224"/>
      <c r="BM9" s="224"/>
      <c r="BN9" s="224" t="str">
        <f>IFERROR(VLOOKUP($A9,'Constancias POA'!$A$2:$DH$9993,18,FALSE),"")</f>
        <v/>
      </c>
      <c r="BO9" s="224" t="str">
        <f t="shared" si="8"/>
        <v/>
      </c>
      <c r="BP9" s="224">
        <f>IFERROR(VLOOKUP($A9,CP!$A$1:$U$7992,18,FALSE),"")</f>
        <v>0</v>
      </c>
      <c r="BQ9" s="224">
        <f>IFERROR(VLOOKUP($A9,CP!$A$1:$U$7992,19,FALSE),"")</f>
        <v>1186</v>
      </c>
      <c r="BR9" s="224">
        <f>IFERROR(VLOOKUP($A9,CP!$A$1:$U$7992,20,FALSE),"")</f>
        <v>0</v>
      </c>
      <c r="BS9" s="224" t="str">
        <f>IFERROR(VLOOKUP($A9,CP!$A$1:$U$1,21,FALSE),"")</f>
        <v/>
      </c>
      <c r="BT9" s="224">
        <f>IFERROR(VLOOKUP(A9,Devengado!$A$1:AJ$9310,35,FALSE),"")</f>
        <v>1186</v>
      </c>
      <c r="BU9" s="224">
        <f t="shared" si="9"/>
        <v>127.5</v>
      </c>
      <c r="BV9" s="224">
        <f t="shared" si="10"/>
        <v>0.90293110011419875</v>
      </c>
      <c r="BW9" s="224">
        <f t="shared" si="11"/>
        <v>1313.5</v>
      </c>
      <c r="BX9" s="463">
        <v>96.5</v>
      </c>
      <c r="BY9" s="463">
        <v>180.5</v>
      </c>
      <c r="BZ9" s="463">
        <v>90</v>
      </c>
      <c r="CA9" s="463">
        <v>80</v>
      </c>
      <c r="CB9" s="461">
        <v>96.66</v>
      </c>
      <c r="CC9" s="461">
        <v>96.62</v>
      </c>
      <c r="CD9" s="461">
        <v>96.62</v>
      </c>
      <c r="CE9" s="461">
        <v>96.62</v>
      </c>
      <c r="CF9" s="461">
        <v>96.62</v>
      </c>
      <c r="CG9" s="461">
        <v>96.62</v>
      </c>
      <c r="CH9" s="461">
        <v>96.62</v>
      </c>
      <c r="CI9" s="461">
        <v>96.62</v>
      </c>
      <c r="CJ9" s="224">
        <f>IFERROR(VLOOKUP($A9,Devengado!$A$1:$AI$9038,22,FALSE),"")</f>
        <v>0</v>
      </c>
      <c r="CK9" s="224">
        <f>IFERROR(VLOOKUP($A9,Devengado!$A$1:$AI$9038,23,FALSE),"")</f>
        <v>185</v>
      </c>
      <c r="CL9" s="224">
        <f>IFERROR(VLOOKUP($A9,Devengado!$A$1:$AI$9038,24,FALSE),"")</f>
        <v>92</v>
      </c>
      <c r="CM9" s="224">
        <f>IFERROR(VLOOKUP($A9,Devengado!$A$1:$AI$9038,25,FALSE),"")</f>
        <v>90</v>
      </c>
      <c r="CN9" s="224">
        <f>IFERROR(VLOOKUP($A9,Devengado!$A$1:$AI$9038,26,FALSE),"")</f>
        <v>80</v>
      </c>
      <c r="CO9" s="224">
        <f>IFERROR(VLOOKUP($A9,Devengado!$A$1:$AI$9038,27,FALSE),"")</f>
        <v>96.5</v>
      </c>
      <c r="CP9" s="224">
        <f>IFERROR(VLOOKUP($A9,Devengado!$A$1:$AI$9038,28,FALSE),"")</f>
        <v>85.5</v>
      </c>
      <c r="CQ9" s="224">
        <f>IFERROR(VLOOKUP($A9,Devengado!$A$1:$AI$9038,29,FALSE),"")</f>
        <v>93.5</v>
      </c>
      <c r="CR9" s="224">
        <f>IFERROR(VLOOKUP($A9,Devengado!$A$1:$AI$9038,30,FALSE),"")</f>
        <v>81.5</v>
      </c>
      <c r="CS9" s="224">
        <f>IFERROR(VLOOKUP($A9,Devengado!$A$1:$AI$9038,31,FALSE),"")</f>
        <v>86.5</v>
      </c>
      <c r="CT9" s="224">
        <f>IFERROR(VLOOKUP($A9,Devengado!$A$1:$AI$9038,32,FALSE),"")</f>
        <v>99.5</v>
      </c>
      <c r="CU9" s="224">
        <f>IFERROR(VLOOKUP($A9,Devengado!$A$1:$AI$9038,33,FALSE),"")</f>
        <v>196</v>
      </c>
      <c r="CV9" s="224">
        <f t="shared" si="12"/>
        <v>1186</v>
      </c>
      <c r="CW9" s="224">
        <f t="shared" si="13"/>
        <v>0</v>
      </c>
      <c r="CX9" s="207"/>
      <c r="CY9" s="207" t="str">
        <f t="shared" si="14"/>
        <v>51</v>
      </c>
      <c r="CZ9" s="112" t="s">
        <v>915</v>
      </c>
    </row>
    <row r="10" spans="1:104" s="225" customFormat="1" ht="25.5" customHeight="1">
      <c r="A10" s="207">
        <v>420</v>
      </c>
      <c r="B10" s="207"/>
      <c r="C10" s="207"/>
      <c r="D10" s="207"/>
      <c r="E10" s="207"/>
      <c r="F10" s="207"/>
      <c r="G10" s="207"/>
      <c r="H10" s="207"/>
      <c r="I10" s="207"/>
      <c r="J10" s="207"/>
      <c r="K10" s="112" t="s">
        <v>429</v>
      </c>
      <c r="L10" s="112" t="s">
        <v>850</v>
      </c>
      <c r="M10" s="112" t="s">
        <v>850</v>
      </c>
      <c r="N10" s="112" t="s">
        <v>77</v>
      </c>
      <c r="O10" s="112" t="s">
        <v>77</v>
      </c>
      <c r="P10" s="112" t="s">
        <v>76</v>
      </c>
      <c r="Q10" s="112" t="s">
        <v>77</v>
      </c>
      <c r="R10" s="112" t="s">
        <v>77</v>
      </c>
      <c r="S10" s="112" t="s">
        <v>77</v>
      </c>
      <c r="T10" s="112" t="s">
        <v>77</v>
      </c>
      <c r="U10" s="112" t="s">
        <v>77</v>
      </c>
      <c r="V10" s="112" t="s">
        <v>77</v>
      </c>
      <c r="W10" s="112" t="s">
        <v>85</v>
      </c>
      <c r="X10" s="114" t="s">
        <v>359</v>
      </c>
      <c r="Y10" s="114" t="s">
        <v>430</v>
      </c>
      <c r="Z10" s="114" t="s">
        <v>111</v>
      </c>
      <c r="AA10" s="114" t="s">
        <v>81</v>
      </c>
      <c r="AB10" s="114" t="s">
        <v>112</v>
      </c>
      <c r="AC10" s="115" t="str">
        <f t="shared" si="0"/>
        <v>51</v>
      </c>
      <c r="AD10" s="124">
        <v>510306</v>
      </c>
      <c r="AE10" s="122" t="str">
        <f>VLOOKUP(AD10,ITEM!$C$1:$D$694,2,FALSE)</f>
        <v>Alimentación</v>
      </c>
      <c r="AF10" s="112">
        <v>1300</v>
      </c>
      <c r="AG10" s="114" t="s">
        <v>82</v>
      </c>
      <c r="AH10" s="114" t="s">
        <v>84</v>
      </c>
      <c r="AI10" s="114" t="s">
        <v>84</v>
      </c>
      <c r="AJ10" s="114" t="s">
        <v>914</v>
      </c>
      <c r="AK10" s="114" t="s">
        <v>77</v>
      </c>
      <c r="AL10" s="271">
        <v>9240</v>
      </c>
      <c r="AM10" s="272"/>
      <c r="AN10" s="272">
        <f t="shared" si="1"/>
        <v>9240</v>
      </c>
      <c r="AO10" s="224">
        <f>SUMIF(Reforma!$A$2:$A$8523,$A10,Reforma!$AB$2:$AB$8523)</f>
        <v>2239</v>
      </c>
      <c r="AP10" s="224">
        <f>SUMIF(Reforma!$A$2:$A$8523,$A10,Reforma!$AC$2:$AC$8523)</f>
        <v>-2284.5</v>
      </c>
      <c r="AQ10" s="224">
        <f>SUMIF(Reforma!$A$2:$A$8523,$A10,Reforma!$AD$2:$AD$8523)</f>
        <v>0</v>
      </c>
      <c r="AR10" s="224">
        <f>SUMIF(Reforma!$A$2:$A$8523,$A10,Reforma!$AE$2:$AE$8523)</f>
        <v>0</v>
      </c>
      <c r="AS10" s="224">
        <f>+AL10+AO10+AP10</f>
        <v>9194.5</v>
      </c>
      <c r="AT10" s="224">
        <f>+AM10+AQ10+AR10</f>
        <v>0</v>
      </c>
      <c r="AU10" s="224">
        <f>IFERROR(AS10+AT10,"")</f>
        <v>9194.5</v>
      </c>
      <c r="AV10" s="479"/>
      <c r="AW10" s="480">
        <v>1295</v>
      </c>
      <c r="AX10" s="480">
        <v>644</v>
      </c>
      <c r="AY10" s="480">
        <v>630</v>
      </c>
      <c r="AZ10" s="480">
        <v>560</v>
      </c>
      <c r="BA10" s="480">
        <v>675.5</v>
      </c>
      <c r="BB10" s="479">
        <v>800</v>
      </c>
      <c r="BC10" s="479">
        <v>800</v>
      </c>
      <c r="BD10" s="479">
        <v>800</v>
      </c>
      <c r="BE10" s="479">
        <v>800</v>
      </c>
      <c r="BF10" s="479">
        <v>790</v>
      </c>
      <c r="BG10" s="479">
        <v>1400</v>
      </c>
      <c r="BH10" s="408">
        <f t="shared" si="5"/>
        <v>8640</v>
      </c>
      <c r="BI10" s="408">
        <f t="shared" si="6"/>
        <v>9194.5</v>
      </c>
      <c r="BJ10" s="408">
        <f>+BI10-AU10</f>
        <v>0</v>
      </c>
      <c r="BK10" s="224"/>
      <c r="BL10" s="224"/>
      <c r="BM10" s="224"/>
      <c r="BN10" s="224" t="str">
        <f>IFERROR(VLOOKUP($A10,'Constancias POA'!$A$2:$DH$9993,18,FALSE),"")</f>
        <v/>
      </c>
      <c r="BO10" s="224" t="str">
        <f t="shared" si="8"/>
        <v/>
      </c>
      <c r="BP10" s="224">
        <f>IFERROR(VLOOKUP($A10,CP!$A$1:$U$7992,18,FALSE),"")</f>
        <v>0</v>
      </c>
      <c r="BQ10" s="224">
        <f>IFERROR(VLOOKUP($A10,CP!$A$1:$U$7992,19,FALSE),"")</f>
        <v>8302</v>
      </c>
      <c r="BR10" s="224">
        <f>IFERROR(VLOOKUP($A10,CP!$A$1:$U$7992,20,FALSE),"")</f>
        <v>0</v>
      </c>
      <c r="BS10" s="224" t="str">
        <f>IFERROR(VLOOKUP($A10,CP!$A$1:$U$1,21,FALSE),"")</f>
        <v/>
      </c>
      <c r="BT10" s="224">
        <f>IFERROR(VLOOKUP(A10,Devengado!$A$1:AJ$9310,35,FALSE),"")</f>
        <v>8302</v>
      </c>
      <c r="BU10" s="224">
        <f t="shared" si="9"/>
        <v>892.5</v>
      </c>
      <c r="BV10" s="224">
        <f t="shared" si="10"/>
        <v>0.90293110011419875</v>
      </c>
      <c r="BW10" s="224">
        <f t="shared" si="11"/>
        <v>9194.5</v>
      </c>
      <c r="BX10" s="461">
        <v>675.5</v>
      </c>
      <c r="BY10" s="463">
        <v>1263.5</v>
      </c>
      <c r="BZ10" s="461">
        <v>630</v>
      </c>
      <c r="CA10" s="461">
        <v>560</v>
      </c>
      <c r="CB10" s="461">
        <v>688.89</v>
      </c>
      <c r="CC10" s="461">
        <v>688.89</v>
      </c>
      <c r="CD10" s="461">
        <v>688.87</v>
      </c>
      <c r="CE10" s="461">
        <v>688.87</v>
      </c>
      <c r="CF10" s="461">
        <v>688.87</v>
      </c>
      <c r="CG10" s="461">
        <v>688.87</v>
      </c>
      <c r="CH10" s="461">
        <v>688.87</v>
      </c>
      <c r="CI10" s="461">
        <v>688.87</v>
      </c>
      <c r="CJ10" s="224">
        <f>IFERROR(VLOOKUP($A10,Devengado!$A$1:$AI$9038,22,FALSE),"")</f>
        <v>0</v>
      </c>
      <c r="CK10" s="224">
        <f>IFERROR(VLOOKUP($A10,Devengado!$A$1:$AI$9038,23,FALSE),"")</f>
        <v>1295</v>
      </c>
      <c r="CL10" s="224">
        <f>IFERROR(VLOOKUP($A10,Devengado!$A$1:$AI$9038,24,FALSE),"")</f>
        <v>644</v>
      </c>
      <c r="CM10" s="224">
        <f>IFERROR(VLOOKUP($A10,Devengado!$A$1:$AI$9038,25,FALSE),"")</f>
        <v>630</v>
      </c>
      <c r="CN10" s="224">
        <f>IFERROR(VLOOKUP($A10,Devengado!$A$1:$AI$9038,26,FALSE),"")</f>
        <v>560</v>
      </c>
      <c r="CO10" s="224">
        <f>IFERROR(VLOOKUP($A10,Devengado!$A$1:$AI$9038,27,FALSE),"")</f>
        <v>675.5</v>
      </c>
      <c r="CP10" s="224">
        <f>IFERROR(VLOOKUP($A10,Devengado!$A$1:$AI$9038,28,FALSE),"")</f>
        <v>598.5</v>
      </c>
      <c r="CQ10" s="224">
        <f>IFERROR(VLOOKUP($A10,Devengado!$A$1:$AI$9038,29,FALSE),"")</f>
        <v>654.5</v>
      </c>
      <c r="CR10" s="224">
        <f>IFERROR(VLOOKUP($A10,Devengado!$A$1:$AI$9038,30,FALSE),"")</f>
        <v>570.5</v>
      </c>
      <c r="CS10" s="224">
        <f>IFERROR(VLOOKUP($A10,Devengado!$A$1:$AI$9038,31,FALSE),"")</f>
        <v>605.5</v>
      </c>
      <c r="CT10" s="224">
        <f>IFERROR(VLOOKUP($A10,Devengado!$A$1:$AI$9038,32,FALSE),"")</f>
        <v>696.5</v>
      </c>
      <c r="CU10" s="224">
        <f>IFERROR(VLOOKUP($A10,Devengado!$A$1:$AI$9038,33,FALSE),"")</f>
        <v>1372</v>
      </c>
      <c r="CV10" s="224">
        <f t="shared" si="12"/>
        <v>8302</v>
      </c>
      <c r="CW10" s="224">
        <f t="shared" si="13"/>
        <v>0</v>
      </c>
      <c r="CX10" s="207"/>
      <c r="CY10" s="207" t="str">
        <f t="shared" si="14"/>
        <v>51</v>
      </c>
      <c r="CZ10" s="112" t="s">
        <v>915</v>
      </c>
    </row>
    <row r="11" spans="1:104" s="225" customFormat="1" ht="26.25" customHeight="1">
      <c r="A11" s="207">
        <v>421</v>
      </c>
      <c r="B11" s="207"/>
      <c r="C11" s="207"/>
      <c r="D11" s="207"/>
      <c r="E11" s="207"/>
      <c r="F11" s="207"/>
      <c r="G11" s="207"/>
      <c r="H11" s="207"/>
      <c r="I11" s="207"/>
      <c r="J11" s="207"/>
      <c r="K11" s="112" t="s">
        <v>429</v>
      </c>
      <c r="L11" s="112" t="s">
        <v>850</v>
      </c>
      <c r="M11" s="112" t="s">
        <v>850</v>
      </c>
      <c r="N11" s="112" t="s">
        <v>77</v>
      </c>
      <c r="O11" s="112" t="s">
        <v>77</v>
      </c>
      <c r="P11" s="112" t="s">
        <v>76</v>
      </c>
      <c r="Q11" s="112" t="s">
        <v>77</v>
      </c>
      <c r="R11" s="112" t="s">
        <v>77</v>
      </c>
      <c r="S11" s="112" t="s">
        <v>77</v>
      </c>
      <c r="T11" s="112" t="s">
        <v>77</v>
      </c>
      <c r="U11" s="112" t="s">
        <v>77</v>
      </c>
      <c r="V11" s="112" t="s">
        <v>77</v>
      </c>
      <c r="W11" s="112" t="s">
        <v>85</v>
      </c>
      <c r="X11" s="114" t="s">
        <v>433</v>
      </c>
      <c r="Y11" s="114" t="s">
        <v>430</v>
      </c>
      <c r="Z11" s="114" t="s">
        <v>111</v>
      </c>
      <c r="AA11" s="114" t="s">
        <v>81</v>
      </c>
      <c r="AB11" s="114" t="s">
        <v>112</v>
      </c>
      <c r="AC11" s="115" t="str">
        <f t="shared" si="0"/>
        <v>51</v>
      </c>
      <c r="AD11" s="124">
        <v>510401</v>
      </c>
      <c r="AE11" s="122" t="str">
        <f>VLOOKUP(AD11,ITEM!$C$1:$D$694,2,FALSE)</f>
        <v>Por Cargas Familiares</v>
      </c>
      <c r="AF11" s="112">
        <v>1300</v>
      </c>
      <c r="AG11" s="114" t="s">
        <v>82</v>
      </c>
      <c r="AH11" s="114" t="s">
        <v>84</v>
      </c>
      <c r="AI11" s="114" t="s">
        <v>84</v>
      </c>
      <c r="AJ11" s="114" t="s">
        <v>914</v>
      </c>
      <c r="AK11" s="114" t="s">
        <v>77</v>
      </c>
      <c r="AL11" s="271">
        <v>480</v>
      </c>
      <c r="AM11" s="272"/>
      <c r="AN11" s="272">
        <f t="shared" si="1"/>
        <v>480</v>
      </c>
      <c r="AO11" s="224">
        <f>SUMIF(Reforma!$A$2:$A$8523,$A11,Reforma!$AB$2:$AB$8523)</f>
        <v>24.6</v>
      </c>
      <c r="AP11" s="224">
        <f>SUMIF(Reforma!$A$2:$A$8523,$A11,Reforma!$AC$2:$AC$8523)</f>
        <v>-86.88</v>
      </c>
      <c r="AQ11" s="224">
        <f>SUMIF(Reforma!$A$2:$A$8523,$A11,Reforma!$AD$2:$AD$8523)</f>
        <v>0</v>
      </c>
      <c r="AR11" s="224">
        <f>SUMIF(Reforma!$A$2:$A$8523,$A11,Reforma!$AE$2:$AE$8523)</f>
        <v>0</v>
      </c>
      <c r="AS11" s="224">
        <f>+AL11+AO11+AP11</f>
        <v>417.72</v>
      </c>
      <c r="AT11" s="224">
        <f>+AM11+AQ11+AR11</f>
        <v>0</v>
      </c>
      <c r="AU11" s="224">
        <f>IFERROR(AS11+AT11,"")</f>
        <v>417.72</v>
      </c>
      <c r="AV11" s="481"/>
      <c r="AW11" s="478">
        <v>67.259999999999991</v>
      </c>
      <c r="AX11" s="478">
        <v>31.86</v>
      </c>
      <c r="AY11" s="478">
        <v>31.86</v>
      </c>
      <c r="AZ11" s="478">
        <v>31.86</v>
      </c>
      <c r="BA11" s="478">
        <v>31.86</v>
      </c>
      <c r="BB11" s="481">
        <v>31.86</v>
      </c>
      <c r="BC11" s="481">
        <v>31.86</v>
      </c>
      <c r="BD11" s="481">
        <v>31</v>
      </c>
      <c r="BE11" s="481">
        <v>31</v>
      </c>
      <c r="BF11" s="481">
        <v>31</v>
      </c>
      <c r="BG11" s="481">
        <v>66.3</v>
      </c>
      <c r="BH11" s="408">
        <f t="shared" si="5"/>
        <v>393.12000000000012</v>
      </c>
      <c r="BI11" s="408">
        <f t="shared" si="6"/>
        <v>417.72</v>
      </c>
      <c r="BJ11" s="408">
        <f>+BI11-AU11</f>
        <v>0</v>
      </c>
      <c r="BK11" s="224"/>
      <c r="BL11" s="224"/>
      <c r="BM11" s="224"/>
      <c r="BN11" s="224" t="str">
        <f>IFERROR(VLOOKUP($A11,'Constancias POA'!$A$2:$DH$9993,18,FALSE),"")</f>
        <v/>
      </c>
      <c r="BO11" s="224" t="str">
        <f t="shared" si="8"/>
        <v/>
      </c>
      <c r="BP11" s="224">
        <f>IFERROR(VLOOKUP($A11,CP!$A$1:$U$7992,18,FALSE),"")</f>
        <v>0</v>
      </c>
      <c r="BQ11" s="224">
        <f>IFERROR(VLOOKUP($A11,CP!$A$1:$U$7992,19,FALSE),"")</f>
        <v>396.47999999999996</v>
      </c>
      <c r="BR11" s="224">
        <f>IFERROR(VLOOKUP($A11,CP!$A$1:$U$7992,20,FALSE),"")</f>
        <v>0</v>
      </c>
      <c r="BS11" s="224" t="str">
        <f>IFERROR(VLOOKUP($A11,CP!$A$1:$U$1,21,FALSE),"")</f>
        <v/>
      </c>
      <c r="BT11" s="224">
        <f>IFERROR(VLOOKUP(A11,Devengado!$A$1:AJ$9310,35,FALSE),"")</f>
        <v>396.47999999999996</v>
      </c>
      <c r="BU11" s="224">
        <f t="shared" si="9"/>
        <v>21.240000000000066</v>
      </c>
      <c r="BV11" s="224">
        <f t="shared" si="10"/>
        <v>0.94915254237288116</v>
      </c>
      <c r="BW11" s="224">
        <f t="shared" si="11"/>
        <v>417.72</v>
      </c>
      <c r="BX11" s="461">
        <v>31.86</v>
      </c>
      <c r="BY11" s="463">
        <v>67.260000000000005</v>
      </c>
      <c r="BZ11" s="461">
        <v>31.86</v>
      </c>
      <c r="CA11" s="461">
        <v>31.86</v>
      </c>
      <c r="CB11" s="461">
        <v>28.8</v>
      </c>
      <c r="CC11" s="461">
        <v>28.74</v>
      </c>
      <c r="CD11" s="461">
        <v>28.79</v>
      </c>
      <c r="CE11" s="461">
        <v>28.79</v>
      </c>
      <c r="CF11" s="461">
        <v>28.79</v>
      </c>
      <c r="CG11" s="461">
        <v>28.79</v>
      </c>
      <c r="CH11" s="461">
        <v>28.79</v>
      </c>
      <c r="CI11" s="461">
        <v>28.79</v>
      </c>
      <c r="CJ11" s="224">
        <f>IFERROR(VLOOKUP($A11,Devengado!$A$1:$AI$9038,22,FALSE),"")</f>
        <v>0</v>
      </c>
      <c r="CK11" s="224">
        <f>IFERROR(VLOOKUP($A11,Devengado!$A$1:$AI$9038,23,FALSE),"")</f>
        <v>67.259999999999991</v>
      </c>
      <c r="CL11" s="224">
        <f>IFERROR(VLOOKUP($A11,Devengado!$A$1:$AI$9038,24,FALSE),"")</f>
        <v>31.86</v>
      </c>
      <c r="CM11" s="224">
        <f>IFERROR(VLOOKUP($A11,Devengado!$A$1:$AI$9038,25,FALSE),"")</f>
        <v>31.86</v>
      </c>
      <c r="CN11" s="224">
        <f>IFERROR(VLOOKUP($A11,Devengado!$A$1:$AI$9038,26,FALSE),"")</f>
        <v>31.86</v>
      </c>
      <c r="CO11" s="224">
        <f>IFERROR(VLOOKUP($A11,Devengado!$A$1:$AI$9038,27,FALSE),"")</f>
        <v>31.86</v>
      </c>
      <c r="CP11" s="224">
        <f>IFERROR(VLOOKUP($A11,Devengado!$A$1:$AI$9038,28,FALSE),"")</f>
        <v>31.86</v>
      </c>
      <c r="CQ11" s="224">
        <f>IFERROR(VLOOKUP($A11,Devengado!$A$1:$AI$9038,29,FALSE),"")</f>
        <v>28.32</v>
      </c>
      <c r="CR11" s="224">
        <f>IFERROR(VLOOKUP($A11,Devengado!$A$1:$AI$9038,30,FALSE),"")</f>
        <v>28.32</v>
      </c>
      <c r="CS11" s="224">
        <f>IFERROR(VLOOKUP($A11,Devengado!$A$1:$AI$9038,31,FALSE),"")</f>
        <v>28.32</v>
      </c>
      <c r="CT11" s="224">
        <f>IFERROR(VLOOKUP($A11,Devengado!$A$1:$AI$9038,32,FALSE),"")</f>
        <v>28.32</v>
      </c>
      <c r="CU11" s="224">
        <f>IFERROR(VLOOKUP($A11,Devengado!$A$1:$AI$9038,33,FALSE),"")</f>
        <v>56.64</v>
      </c>
      <c r="CV11" s="224">
        <f t="shared" si="12"/>
        <v>396.47999999999996</v>
      </c>
      <c r="CW11" s="224">
        <f t="shared" si="13"/>
        <v>0</v>
      </c>
      <c r="CX11" s="207"/>
      <c r="CY11" s="207" t="str">
        <f t="shared" si="14"/>
        <v>51</v>
      </c>
      <c r="CZ11" s="112" t="s">
        <v>915</v>
      </c>
    </row>
    <row r="12" spans="1:104" s="225" customFormat="1" ht="27" customHeight="1">
      <c r="A12" s="207">
        <v>422</v>
      </c>
      <c r="B12" s="207"/>
      <c r="C12" s="207"/>
      <c r="D12" s="207"/>
      <c r="E12" s="207"/>
      <c r="F12" s="207"/>
      <c r="G12" s="207"/>
      <c r="H12" s="207"/>
      <c r="I12" s="207"/>
      <c r="J12" s="207"/>
      <c r="K12" s="112" t="s">
        <v>429</v>
      </c>
      <c r="L12" s="112" t="s">
        <v>850</v>
      </c>
      <c r="M12" s="112" t="s">
        <v>850</v>
      </c>
      <c r="N12" s="112" t="s">
        <v>77</v>
      </c>
      <c r="O12" s="112" t="s">
        <v>77</v>
      </c>
      <c r="P12" s="112" t="s">
        <v>76</v>
      </c>
      <c r="Q12" s="112" t="s">
        <v>77</v>
      </c>
      <c r="R12" s="112" t="s">
        <v>77</v>
      </c>
      <c r="S12" s="112" t="s">
        <v>77</v>
      </c>
      <c r="T12" s="112" t="s">
        <v>77</v>
      </c>
      <c r="U12" s="112" t="s">
        <v>77</v>
      </c>
      <c r="V12" s="112" t="s">
        <v>77</v>
      </c>
      <c r="W12" s="112" t="s">
        <v>85</v>
      </c>
      <c r="X12" s="114" t="s">
        <v>362</v>
      </c>
      <c r="Y12" s="114" t="s">
        <v>430</v>
      </c>
      <c r="Z12" s="114" t="s">
        <v>111</v>
      </c>
      <c r="AA12" s="114" t="s">
        <v>81</v>
      </c>
      <c r="AB12" s="114" t="s">
        <v>112</v>
      </c>
      <c r="AC12" s="115" t="str">
        <f t="shared" si="0"/>
        <v>51</v>
      </c>
      <c r="AD12" s="124">
        <v>510408</v>
      </c>
      <c r="AE12" s="122" t="str">
        <f>VLOOKUP(AD12,ITEM!$C$1:$D$694,2,FALSE)</f>
        <v>Subsidio de Antigüedad</v>
      </c>
      <c r="AF12" s="112">
        <v>1300</v>
      </c>
      <c r="AG12" s="114" t="s">
        <v>82</v>
      </c>
      <c r="AH12" s="114" t="s">
        <v>84</v>
      </c>
      <c r="AI12" s="114" t="s">
        <v>84</v>
      </c>
      <c r="AJ12" s="114" t="s">
        <v>914</v>
      </c>
      <c r="AK12" s="114" t="s">
        <v>77</v>
      </c>
      <c r="AL12" s="271">
        <v>1080</v>
      </c>
      <c r="AM12" s="272"/>
      <c r="AN12" s="272">
        <f t="shared" si="1"/>
        <v>1080</v>
      </c>
      <c r="AO12" s="224">
        <f>SUMIF(Reforma!$A$2:$A$8523,$A12,Reforma!$AB$2:$AB$8523)</f>
        <v>62.03</v>
      </c>
      <c r="AP12" s="224">
        <f>SUMIF(Reforma!$A$2:$A$8523,$A12,Reforma!$AC$2:$AC$8523)</f>
        <v>-632.03</v>
      </c>
      <c r="AQ12" s="224">
        <f>SUMIF(Reforma!$A$2:$A$8523,$A12,Reforma!$AD$2:$AD$8523)</f>
        <v>0</v>
      </c>
      <c r="AR12" s="224">
        <f>SUMIF(Reforma!$A$2:$A$8523,$A12,Reforma!$AE$2:$AE$8523)</f>
        <v>0</v>
      </c>
      <c r="AS12" s="224">
        <f>+AL12+AO12+AP12</f>
        <v>510</v>
      </c>
      <c r="AT12" s="224">
        <f>+AM12+AQ12+AR12</f>
        <v>0</v>
      </c>
      <c r="AU12" s="224">
        <f>IFERROR(AS12+AT12,"")</f>
        <v>510</v>
      </c>
      <c r="AV12" s="461">
        <v>34.380000000000003</v>
      </c>
      <c r="AW12" s="463">
        <v>63.09</v>
      </c>
      <c r="AX12" s="461">
        <v>34.380000000000003</v>
      </c>
      <c r="AY12" s="461">
        <v>34.380000000000003</v>
      </c>
      <c r="AZ12" s="461">
        <v>42.97</v>
      </c>
      <c r="BA12" s="461">
        <v>42.97</v>
      </c>
      <c r="BB12" s="461">
        <v>42.97</v>
      </c>
      <c r="BC12" s="461">
        <v>42.97</v>
      </c>
      <c r="BD12" s="461">
        <v>42.97</v>
      </c>
      <c r="BE12" s="461">
        <v>42.97</v>
      </c>
      <c r="BF12" s="461">
        <v>42.97</v>
      </c>
      <c r="BG12" s="461">
        <v>42.98</v>
      </c>
      <c r="BH12" s="408">
        <f t="shared" si="5"/>
        <v>1080</v>
      </c>
      <c r="BI12" s="408">
        <f t="shared" si="6"/>
        <v>510.00000000000011</v>
      </c>
      <c r="BJ12" s="408">
        <f>+BI12-AU12</f>
        <v>0</v>
      </c>
      <c r="BK12" s="224"/>
      <c r="BL12" s="224"/>
      <c r="BM12" s="224"/>
      <c r="BN12" s="224" t="str">
        <f>IFERROR(VLOOKUP($A12,'Constancias POA'!$A$2:$DH$9993,18,FALSE),"")</f>
        <v/>
      </c>
      <c r="BO12" s="224" t="str">
        <f t="shared" si="8"/>
        <v/>
      </c>
      <c r="BP12" s="224">
        <f>IFERROR(VLOOKUP($A12,CP!$A$1:$U$7992,18,FALSE),"")</f>
        <v>0</v>
      </c>
      <c r="BQ12" s="224">
        <f>IFERROR(VLOOKUP($A12,CP!$A$1:$U$7992,19,FALSE),"")</f>
        <v>443.82999999999993</v>
      </c>
      <c r="BR12" s="224">
        <f>IFERROR(VLOOKUP($A12,CP!$A$1:$U$7992,20,FALSE),"")</f>
        <v>0</v>
      </c>
      <c r="BS12" s="224" t="str">
        <f>IFERROR(VLOOKUP($A12,CP!$A$1:$U$1,21,FALSE),"")</f>
        <v/>
      </c>
      <c r="BT12" s="224">
        <f>IFERROR(VLOOKUP(A12,Devengado!$A$1:AJ$9310,35,FALSE),"")</f>
        <v>443.83</v>
      </c>
      <c r="BU12" s="224">
        <f t="shared" si="9"/>
        <v>66.170000000000016</v>
      </c>
      <c r="BV12" s="224">
        <f t="shared" si="10"/>
        <v>0.87025490196078426</v>
      </c>
      <c r="BW12" s="224">
        <f t="shared" si="11"/>
        <v>510</v>
      </c>
      <c r="BX12" s="429">
        <v>90</v>
      </c>
      <c r="BY12" s="429">
        <v>90</v>
      </c>
      <c r="BZ12" s="429">
        <v>90</v>
      </c>
      <c r="CA12" s="429">
        <v>90</v>
      </c>
      <c r="CB12" s="429">
        <v>90</v>
      </c>
      <c r="CC12" s="429">
        <v>90</v>
      </c>
      <c r="CD12" s="429">
        <v>90</v>
      </c>
      <c r="CE12" s="429">
        <v>90</v>
      </c>
      <c r="CF12" s="429">
        <v>90</v>
      </c>
      <c r="CG12" s="429">
        <v>90</v>
      </c>
      <c r="CH12" s="429">
        <v>90</v>
      </c>
      <c r="CI12" s="429">
        <v>90</v>
      </c>
      <c r="CJ12" s="224">
        <f>IFERROR(VLOOKUP($A12,Devengado!$A$1:$AI$9038,22,FALSE),"")</f>
        <v>0</v>
      </c>
      <c r="CK12" s="224">
        <f>IFERROR(VLOOKUP($A12,Devengado!$A$1:$AI$9038,23,FALSE),"")</f>
        <v>63.09</v>
      </c>
      <c r="CL12" s="224">
        <f>IFERROR(VLOOKUP($A12,Devengado!$A$1:$AI$9038,24,FALSE),"")</f>
        <v>34.380000000000003</v>
      </c>
      <c r="CM12" s="224">
        <f>IFERROR(VLOOKUP($A12,Devengado!$A$1:$AI$9038,25,FALSE),"")</f>
        <v>34.380000000000003</v>
      </c>
      <c r="CN12" s="224">
        <f>IFERROR(VLOOKUP($A12,Devengado!$A$1:$AI$9038,26,FALSE),"")</f>
        <v>34.380000000000003</v>
      </c>
      <c r="CO12" s="224">
        <f>IFERROR(VLOOKUP($A12,Devengado!$A$1:$AI$9038,27,FALSE),"")</f>
        <v>34.380000000000003</v>
      </c>
      <c r="CP12" s="224">
        <f>IFERROR(VLOOKUP($A12,Devengado!$A$1:$AI$9038,28,FALSE),"")</f>
        <v>34.380000000000003</v>
      </c>
      <c r="CQ12" s="224">
        <f>IFERROR(VLOOKUP($A12,Devengado!$A$1:$AI$9038,29,FALSE),"")</f>
        <v>34.380000000000003</v>
      </c>
      <c r="CR12" s="224">
        <f>IFERROR(VLOOKUP($A12,Devengado!$A$1:$AI$9038,30,FALSE),"")</f>
        <v>34.380000000000003</v>
      </c>
      <c r="CS12" s="224">
        <f>IFERROR(VLOOKUP($A12,Devengado!$A$1:$AI$9038,31,FALSE),"")</f>
        <v>35.020000000000003</v>
      </c>
      <c r="CT12" s="224">
        <f>IFERROR(VLOOKUP($A12,Devengado!$A$1:$AI$9038,32,FALSE),"")</f>
        <v>35.020000000000003</v>
      </c>
      <c r="CU12" s="224">
        <f>IFERROR(VLOOKUP($A12,Devengado!$A$1:$AI$9038,33,FALSE),"")</f>
        <v>70.040000000000006</v>
      </c>
      <c r="CV12" s="224">
        <f t="shared" si="12"/>
        <v>443.83</v>
      </c>
      <c r="CW12" s="224">
        <f t="shared" si="13"/>
        <v>0</v>
      </c>
      <c r="CX12" s="207"/>
      <c r="CY12" s="207" t="str">
        <f t="shared" si="14"/>
        <v>51</v>
      </c>
      <c r="CZ12" s="112" t="s">
        <v>915</v>
      </c>
    </row>
    <row r="13" spans="1:104" s="225" customFormat="1" ht="25.5" customHeight="1">
      <c r="A13" s="207">
        <v>423</v>
      </c>
      <c r="B13" s="207"/>
      <c r="C13" s="207"/>
      <c r="D13" s="207"/>
      <c r="E13" s="207"/>
      <c r="F13" s="207"/>
      <c r="G13" s="207"/>
      <c r="H13" s="207"/>
      <c r="I13" s="207"/>
      <c r="J13" s="207"/>
      <c r="K13" s="112" t="s">
        <v>429</v>
      </c>
      <c r="L13" s="112" t="s">
        <v>850</v>
      </c>
      <c r="M13" s="112" t="s">
        <v>850</v>
      </c>
      <c r="N13" s="112" t="s">
        <v>77</v>
      </c>
      <c r="O13" s="112" t="s">
        <v>77</v>
      </c>
      <c r="P13" s="112" t="s">
        <v>76</v>
      </c>
      <c r="Q13" s="112" t="s">
        <v>77</v>
      </c>
      <c r="R13" s="112" t="s">
        <v>77</v>
      </c>
      <c r="S13" s="112" t="s">
        <v>77</v>
      </c>
      <c r="T13" s="112" t="s">
        <v>77</v>
      </c>
      <c r="U13" s="112" t="s">
        <v>77</v>
      </c>
      <c r="V13" s="112" t="s">
        <v>77</v>
      </c>
      <c r="W13" s="112" t="s">
        <v>85</v>
      </c>
      <c r="X13" s="112" t="s">
        <v>363</v>
      </c>
      <c r="Y13" s="114" t="s">
        <v>430</v>
      </c>
      <c r="Z13" s="114" t="s">
        <v>111</v>
      </c>
      <c r="AA13" s="114" t="s">
        <v>81</v>
      </c>
      <c r="AB13" s="114" t="s">
        <v>112</v>
      </c>
      <c r="AC13" s="115" t="str">
        <f t="shared" si="0"/>
        <v>51</v>
      </c>
      <c r="AD13" s="124">
        <v>510510</v>
      </c>
      <c r="AE13" s="122" t="str">
        <f>VLOOKUP(AD13,ITEM!$C$1:$D$694,2,FALSE)</f>
        <v>Servicios Personales por Contrato</v>
      </c>
      <c r="AF13" s="112">
        <v>1300</v>
      </c>
      <c r="AG13" s="114" t="s">
        <v>82</v>
      </c>
      <c r="AH13" s="114" t="s">
        <v>84</v>
      </c>
      <c r="AI13" s="114" t="s">
        <v>84</v>
      </c>
      <c r="AJ13" s="114" t="s">
        <v>914</v>
      </c>
      <c r="AK13" s="114" t="s">
        <v>77</v>
      </c>
      <c r="AL13" s="271">
        <v>32136</v>
      </c>
      <c r="AM13" s="272"/>
      <c r="AN13" s="272">
        <f t="shared" si="1"/>
        <v>32136</v>
      </c>
      <c r="AO13" s="224">
        <f>SUMIF(Reforma!$A$2:$A$8523,$A13,Reforma!$AB$2:$AB$8523)</f>
        <v>0</v>
      </c>
      <c r="AP13" s="224">
        <f>SUMIF(Reforma!$A$2:$A$8523,$A13,Reforma!$AC$2:$AC$8523)</f>
        <v>0</v>
      </c>
      <c r="AQ13" s="224">
        <f>SUMIF(Reforma!$A$2:$A$8523,$A13,Reforma!$AD$2:$AD$8523)</f>
        <v>0</v>
      </c>
      <c r="AR13" s="224">
        <f>SUMIF(Reforma!$A$2:$A$8523,$A13,Reforma!$AE$2:$AE$8523)</f>
        <v>0</v>
      </c>
      <c r="AS13" s="224">
        <f t="shared" si="2"/>
        <v>32136</v>
      </c>
      <c r="AT13" s="224">
        <f t="shared" si="3"/>
        <v>0</v>
      </c>
      <c r="AU13" s="224">
        <f t="shared" si="4"/>
        <v>32136</v>
      </c>
      <c r="AV13" s="326">
        <v>2678</v>
      </c>
      <c r="AW13" s="326">
        <v>2678</v>
      </c>
      <c r="AX13" s="326">
        <v>2678</v>
      </c>
      <c r="AY13" s="326">
        <v>2678</v>
      </c>
      <c r="AZ13" s="326">
        <v>2678</v>
      </c>
      <c r="BA13" s="326">
        <v>2678</v>
      </c>
      <c r="BB13" s="326">
        <v>2678</v>
      </c>
      <c r="BC13" s="326">
        <v>2678</v>
      </c>
      <c r="BD13" s="326">
        <v>2678</v>
      </c>
      <c r="BE13" s="326">
        <v>2678</v>
      </c>
      <c r="BF13" s="326">
        <v>2678</v>
      </c>
      <c r="BG13" s="326">
        <v>2678</v>
      </c>
      <c r="BH13" s="408">
        <f t="shared" si="5"/>
        <v>32136</v>
      </c>
      <c r="BI13" s="408">
        <f t="shared" si="6"/>
        <v>32136</v>
      </c>
      <c r="BJ13" s="408">
        <f t="shared" si="7"/>
        <v>0</v>
      </c>
      <c r="BK13" s="224"/>
      <c r="BL13" s="224"/>
      <c r="BM13" s="224"/>
      <c r="BN13" s="224">
        <f>IFERROR(VLOOKUP($A13,'Constancias POA'!$A$2:$DH$9993,18,FALSE),"")</f>
        <v>32136</v>
      </c>
      <c r="BO13" s="224">
        <f t="shared" si="8"/>
        <v>0</v>
      </c>
      <c r="BP13" s="224">
        <f>IFERROR(VLOOKUP($A13,CP!$A$1:$U$7992,18,FALSE),"")</f>
        <v>0</v>
      </c>
      <c r="BQ13" s="224">
        <f>IFERROR(VLOOKUP($A13,CP!$A$1:$U$7992,19,FALSE),"")</f>
        <v>32136</v>
      </c>
      <c r="BR13" s="224">
        <f>IFERROR(VLOOKUP($A13,CP!$A$1:$U$7992,20,FALSE),"")</f>
        <v>0</v>
      </c>
      <c r="BS13" s="224" t="str">
        <f>IFERROR(VLOOKUP($A13,CP!$A$1:$U$1,21,FALSE),"")</f>
        <v/>
      </c>
      <c r="BT13" s="224">
        <f>IFERROR(VLOOKUP(A13,Devengado!$A$1:AJ$9310,35,FALSE),"")</f>
        <v>32136</v>
      </c>
      <c r="BU13" s="224">
        <f t="shared" si="9"/>
        <v>0</v>
      </c>
      <c r="BV13" s="224">
        <f t="shared" si="10"/>
        <v>1</v>
      </c>
      <c r="BW13" s="224">
        <f t="shared" si="11"/>
        <v>32136</v>
      </c>
      <c r="BX13" s="429">
        <v>2678</v>
      </c>
      <c r="BY13" s="429">
        <v>2678</v>
      </c>
      <c r="BZ13" s="429">
        <v>2678</v>
      </c>
      <c r="CA13" s="429">
        <v>2678</v>
      </c>
      <c r="CB13" s="429">
        <v>2678</v>
      </c>
      <c r="CC13" s="429">
        <v>2678</v>
      </c>
      <c r="CD13" s="429">
        <v>2678</v>
      </c>
      <c r="CE13" s="429">
        <v>2678</v>
      </c>
      <c r="CF13" s="429">
        <v>2678</v>
      </c>
      <c r="CG13" s="429">
        <v>2678</v>
      </c>
      <c r="CH13" s="429">
        <v>2678</v>
      </c>
      <c r="CI13" s="429">
        <v>2678</v>
      </c>
      <c r="CJ13" s="224">
        <f>IFERROR(VLOOKUP($A13,Devengado!$A$1:$AI$9038,22,FALSE),"")</f>
        <v>2678</v>
      </c>
      <c r="CK13" s="224">
        <f>IFERROR(VLOOKUP($A13,Devengado!$A$1:$AI$9038,23,FALSE),"")</f>
        <v>2678</v>
      </c>
      <c r="CL13" s="224">
        <f>IFERROR(VLOOKUP($A13,Devengado!$A$1:$AI$9038,24,FALSE),"")</f>
        <v>2678</v>
      </c>
      <c r="CM13" s="224">
        <f>IFERROR(VLOOKUP($A13,Devengado!$A$1:$AI$9038,25,FALSE),"")</f>
        <v>2678</v>
      </c>
      <c r="CN13" s="224">
        <f>IFERROR(VLOOKUP($A13,Devengado!$A$1:$AI$9038,26,FALSE),"")</f>
        <v>2678</v>
      </c>
      <c r="CO13" s="224">
        <f>IFERROR(VLOOKUP($A13,Devengado!$A$1:$AI$9038,27,FALSE),"")</f>
        <v>2678</v>
      </c>
      <c r="CP13" s="224">
        <f>IFERROR(VLOOKUP($A13,Devengado!$A$1:$AI$9038,28,FALSE),"")</f>
        <v>2678</v>
      </c>
      <c r="CQ13" s="224">
        <f>IFERROR(VLOOKUP($A13,Devengado!$A$1:$AI$9038,29,FALSE),"")</f>
        <v>2678</v>
      </c>
      <c r="CR13" s="224">
        <f>IFERROR(VLOOKUP($A13,Devengado!$A$1:$AI$9038,30,FALSE),"")</f>
        <v>2678</v>
      </c>
      <c r="CS13" s="224">
        <f>IFERROR(VLOOKUP($A13,Devengado!$A$1:$AI$9038,31,FALSE),"")</f>
        <v>2678</v>
      </c>
      <c r="CT13" s="224">
        <f>IFERROR(VLOOKUP($A13,Devengado!$A$1:$AI$9038,32,FALSE),"")</f>
        <v>2678</v>
      </c>
      <c r="CU13" s="224">
        <f>IFERROR(VLOOKUP($A13,Devengado!$A$1:$AI$9038,33,FALSE),"")</f>
        <v>2678</v>
      </c>
      <c r="CV13" s="224">
        <f t="shared" si="12"/>
        <v>32136</v>
      </c>
      <c r="CW13" s="224">
        <f t="shared" si="13"/>
        <v>0</v>
      </c>
      <c r="CX13" s="207"/>
      <c r="CY13" s="207" t="str">
        <f t="shared" si="14"/>
        <v>51</v>
      </c>
      <c r="CZ13" s="112" t="s">
        <v>915</v>
      </c>
    </row>
    <row r="14" spans="1:104" s="225" customFormat="1" ht="26.25" customHeight="1">
      <c r="A14" s="207">
        <v>424</v>
      </c>
      <c r="B14" s="207"/>
      <c r="C14" s="207"/>
      <c r="D14" s="207"/>
      <c r="E14" s="207"/>
      <c r="F14" s="207"/>
      <c r="G14" s="207"/>
      <c r="H14" s="207"/>
      <c r="I14" s="207"/>
      <c r="J14" s="207"/>
      <c r="K14" s="112" t="s">
        <v>429</v>
      </c>
      <c r="L14" s="112" t="s">
        <v>850</v>
      </c>
      <c r="M14" s="112" t="s">
        <v>850</v>
      </c>
      <c r="N14" s="112" t="s">
        <v>77</v>
      </c>
      <c r="O14" s="112" t="s">
        <v>77</v>
      </c>
      <c r="P14" s="112" t="s">
        <v>76</v>
      </c>
      <c r="Q14" s="112" t="s">
        <v>77</v>
      </c>
      <c r="R14" s="112" t="s">
        <v>77</v>
      </c>
      <c r="S14" s="112" t="s">
        <v>77</v>
      </c>
      <c r="T14" s="112" t="s">
        <v>77</v>
      </c>
      <c r="U14" s="112" t="s">
        <v>77</v>
      </c>
      <c r="V14" s="112" t="s">
        <v>77</v>
      </c>
      <c r="W14" s="112" t="s">
        <v>85</v>
      </c>
      <c r="X14" s="112" t="s">
        <v>434</v>
      </c>
      <c r="Y14" s="114" t="s">
        <v>430</v>
      </c>
      <c r="Z14" s="114" t="s">
        <v>111</v>
      </c>
      <c r="AA14" s="114" t="s">
        <v>81</v>
      </c>
      <c r="AB14" s="114" t="s">
        <v>112</v>
      </c>
      <c r="AC14" s="115" t="str">
        <f t="shared" si="0"/>
        <v>51</v>
      </c>
      <c r="AD14" s="124">
        <v>510601</v>
      </c>
      <c r="AE14" s="122" t="str">
        <f>VLOOKUP(AD14,ITEM!$C$1:$D$694,2,FALSE)</f>
        <v>Aporte Patronal</v>
      </c>
      <c r="AF14" s="112">
        <v>1300</v>
      </c>
      <c r="AG14" s="114" t="s">
        <v>82</v>
      </c>
      <c r="AH14" s="114" t="s">
        <v>84</v>
      </c>
      <c r="AI14" s="114" t="s">
        <v>84</v>
      </c>
      <c r="AJ14" s="114" t="s">
        <v>914</v>
      </c>
      <c r="AK14" s="114" t="s">
        <v>77</v>
      </c>
      <c r="AL14" s="271">
        <v>38939.57</v>
      </c>
      <c r="AM14" s="272"/>
      <c r="AN14" s="272">
        <f t="shared" si="1"/>
        <v>38939.57</v>
      </c>
      <c r="AO14" s="224">
        <f>SUMIF(Reforma!$A$2:$A$8523,$A14,Reforma!$AB$2:$AB$8523)</f>
        <v>0</v>
      </c>
      <c r="AP14" s="224">
        <f>SUMIF(Reforma!$A$2:$A$8523,$A14,Reforma!$AC$2:$AC$8523)</f>
        <v>-941.8</v>
      </c>
      <c r="AQ14" s="224">
        <f>SUMIF(Reforma!$A$2:$A$8523,$A14,Reforma!$AD$2:$AD$8523)</f>
        <v>0</v>
      </c>
      <c r="AR14" s="224">
        <f>SUMIF(Reforma!$A$2:$A$8523,$A14,Reforma!$AE$2:$AE$8523)</f>
        <v>0</v>
      </c>
      <c r="AS14" s="224">
        <f t="shared" si="2"/>
        <v>37997.769999999997</v>
      </c>
      <c r="AT14" s="224">
        <f t="shared" si="3"/>
        <v>0</v>
      </c>
      <c r="AU14" s="224">
        <f t="shared" si="4"/>
        <v>37997.769999999997</v>
      </c>
      <c r="AV14" s="461">
        <v>3149.96</v>
      </c>
      <c r="AW14" s="461">
        <v>3149.96</v>
      </c>
      <c r="AX14" s="461">
        <v>3149.96</v>
      </c>
      <c r="AY14" s="461">
        <v>3149.96</v>
      </c>
      <c r="AZ14" s="484">
        <v>3149.96</v>
      </c>
      <c r="BA14" s="461">
        <v>3149.96</v>
      </c>
      <c r="BB14" s="461">
        <v>3149.96</v>
      </c>
      <c r="BC14" s="461">
        <v>3189.61</v>
      </c>
      <c r="BD14" s="461">
        <v>3189.61</v>
      </c>
      <c r="BE14" s="461">
        <v>3189.61</v>
      </c>
      <c r="BF14" s="461">
        <v>3189.61</v>
      </c>
      <c r="BG14" s="461">
        <v>3189.61</v>
      </c>
      <c r="BH14" s="408">
        <f t="shared" si="5"/>
        <v>38582.559999999998</v>
      </c>
      <c r="BI14" s="408">
        <f t="shared" si="6"/>
        <v>37997.769999999997</v>
      </c>
      <c r="BJ14" s="408">
        <f t="shared" si="7"/>
        <v>0</v>
      </c>
      <c r="BK14" s="224"/>
      <c r="BL14" s="224"/>
      <c r="BM14" s="224"/>
      <c r="BN14" s="224">
        <f>IFERROR(VLOOKUP($A14,'Constancias POA'!$A$2:$DH$9993,18,FALSE),"")</f>
        <v>38582.559999999998</v>
      </c>
      <c r="BO14" s="224">
        <f t="shared" si="8"/>
        <v>-584.79000000000087</v>
      </c>
      <c r="BP14" s="224">
        <f>IFERROR(VLOOKUP($A14,CP!$A$1:$U$7992,18,FALSE),"")</f>
        <v>0</v>
      </c>
      <c r="BQ14" s="224">
        <f>IFERROR(VLOOKUP($A14,CP!$A$1:$U$7992,19,FALSE),"")</f>
        <v>37446.300000000003</v>
      </c>
      <c r="BR14" s="224">
        <f>IFERROR(VLOOKUP($A14,CP!$A$1:$U$7992,20,FALSE),"")</f>
        <v>0</v>
      </c>
      <c r="BS14" s="224" t="str">
        <f>IFERROR(VLOOKUP($A14,CP!$A$1:$U$1,21,FALSE),"")</f>
        <v/>
      </c>
      <c r="BT14" s="224">
        <f>IFERROR(VLOOKUP(A14,Devengado!$A$1:AJ$9310,35,FALSE),"")</f>
        <v>37446.300000000003</v>
      </c>
      <c r="BU14" s="224">
        <f t="shared" si="9"/>
        <v>551.46999999999389</v>
      </c>
      <c r="BV14" s="224">
        <f t="shared" si="10"/>
        <v>0.98548677988208266</v>
      </c>
      <c r="BW14" s="224">
        <f t="shared" si="11"/>
        <v>37997.769999999997</v>
      </c>
      <c r="BX14" s="461">
        <v>3149.96</v>
      </c>
      <c r="BY14" s="461">
        <v>3149.96</v>
      </c>
      <c r="BZ14" s="461">
        <v>3149.96</v>
      </c>
      <c r="CA14" s="461">
        <v>3149.96</v>
      </c>
      <c r="CB14" s="463">
        <v>3149.96</v>
      </c>
      <c r="CC14" s="461">
        <v>3261.84</v>
      </c>
      <c r="CD14" s="461">
        <v>3261.82</v>
      </c>
      <c r="CE14" s="461">
        <v>3261.82</v>
      </c>
      <c r="CF14" s="461">
        <v>3261.82</v>
      </c>
      <c r="CG14" s="461">
        <v>3261.82</v>
      </c>
      <c r="CH14" s="461">
        <v>3261.82</v>
      </c>
      <c r="CI14" s="461">
        <v>3261.82</v>
      </c>
      <c r="CJ14" s="224">
        <f>IFERROR(VLOOKUP($A14,Devengado!$A$1:$AI$9038,22,FALSE),"")</f>
        <v>3149.96</v>
      </c>
      <c r="CK14" s="224">
        <f>IFERROR(VLOOKUP($A14,Devengado!$A$1:$AI$9038,23,FALSE),"")</f>
        <v>3149.96</v>
      </c>
      <c r="CL14" s="224">
        <f>IFERROR(VLOOKUP($A14,Devengado!$A$1:$AI$9038,24,FALSE),"")</f>
        <v>3149.96</v>
      </c>
      <c r="CM14" s="224">
        <f>IFERROR(VLOOKUP($A14,Devengado!$A$1:$AI$9038,25,FALSE),"")</f>
        <v>3149.96</v>
      </c>
      <c r="CN14" s="224">
        <f>IFERROR(VLOOKUP($A14,Devengado!$A$1:$AI$9038,26,FALSE),"")</f>
        <v>3149.96</v>
      </c>
      <c r="CO14" s="224">
        <f>IFERROR(VLOOKUP($A14,Devengado!$A$1:$AI$9038,27,FALSE),"")</f>
        <v>3149.96</v>
      </c>
      <c r="CP14" s="224">
        <f>IFERROR(VLOOKUP($A14,Devengado!$A$1:$AI$9038,28,FALSE),"")</f>
        <v>3149.96</v>
      </c>
      <c r="CQ14" s="224">
        <f>IFERROR(VLOOKUP($A14,Devengado!$A$1:$AI$9038,29,FALSE),"")</f>
        <v>3157.14</v>
      </c>
      <c r="CR14" s="224">
        <f>IFERROR(VLOOKUP($A14,Devengado!$A$1:$AI$9038,30,FALSE),"")</f>
        <v>3158.96</v>
      </c>
      <c r="CS14" s="224">
        <f>IFERROR(VLOOKUP($A14,Devengado!$A$1:$AI$9038,31,FALSE),"")</f>
        <v>3033</v>
      </c>
      <c r="CT14" s="224">
        <f>IFERROR(VLOOKUP($A14,Devengado!$A$1:$AI$9038,32,FALSE),"")</f>
        <v>2994.57</v>
      </c>
      <c r="CU14" s="224">
        <f>IFERROR(VLOOKUP($A14,Devengado!$A$1:$AI$9038,33,FALSE),"")</f>
        <v>3052.91</v>
      </c>
      <c r="CV14" s="224">
        <f t="shared" si="12"/>
        <v>37446.300000000003</v>
      </c>
      <c r="CW14" s="224">
        <f t="shared" si="13"/>
        <v>0</v>
      </c>
      <c r="CX14" s="207"/>
      <c r="CY14" s="207" t="str">
        <f t="shared" si="14"/>
        <v>51</v>
      </c>
      <c r="CZ14" s="112" t="s">
        <v>915</v>
      </c>
    </row>
    <row r="15" spans="1:104" s="225" customFormat="1" ht="26.25" customHeight="1">
      <c r="A15" s="207">
        <v>425</v>
      </c>
      <c r="B15" s="207"/>
      <c r="C15" s="207"/>
      <c r="D15" s="207"/>
      <c r="E15" s="207"/>
      <c r="F15" s="207"/>
      <c r="G15" s="207"/>
      <c r="H15" s="207"/>
      <c r="I15" s="207"/>
      <c r="J15" s="207"/>
      <c r="K15" s="112" t="s">
        <v>429</v>
      </c>
      <c r="L15" s="112" t="s">
        <v>850</v>
      </c>
      <c r="M15" s="112" t="s">
        <v>850</v>
      </c>
      <c r="N15" s="112" t="s">
        <v>77</v>
      </c>
      <c r="O15" s="112" t="s">
        <v>77</v>
      </c>
      <c r="P15" s="112" t="s">
        <v>76</v>
      </c>
      <c r="Q15" s="112" t="s">
        <v>77</v>
      </c>
      <c r="R15" s="112" t="s">
        <v>77</v>
      </c>
      <c r="S15" s="112" t="s">
        <v>77</v>
      </c>
      <c r="T15" s="112" t="s">
        <v>77</v>
      </c>
      <c r="U15" s="112" t="s">
        <v>77</v>
      </c>
      <c r="V15" s="112" t="s">
        <v>77</v>
      </c>
      <c r="W15" s="112" t="s">
        <v>85</v>
      </c>
      <c r="X15" s="112" t="s">
        <v>365</v>
      </c>
      <c r="Y15" s="114" t="s">
        <v>430</v>
      </c>
      <c r="Z15" s="114" t="s">
        <v>111</v>
      </c>
      <c r="AA15" s="114" t="s">
        <v>81</v>
      </c>
      <c r="AB15" s="114" t="s">
        <v>112</v>
      </c>
      <c r="AC15" s="115" t="str">
        <f t="shared" si="0"/>
        <v>51</v>
      </c>
      <c r="AD15" s="124">
        <v>510602</v>
      </c>
      <c r="AE15" s="122" t="str">
        <f>VLOOKUP(AD15,ITEM!$C$1:$D$694,2,FALSE)</f>
        <v>Fondo de Reserva</v>
      </c>
      <c r="AF15" s="112">
        <v>1300</v>
      </c>
      <c r="AG15" s="114" t="s">
        <v>82</v>
      </c>
      <c r="AH15" s="114" t="s">
        <v>84</v>
      </c>
      <c r="AI15" s="114" t="s">
        <v>84</v>
      </c>
      <c r="AJ15" s="114" t="s">
        <v>914</v>
      </c>
      <c r="AK15" s="114" t="s">
        <v>77</v>
      </c>
      <c r="AL15" s="271">
        <v>32133.14</v>
      </c>
      <c r="AM15" s="272"/>
      <c r="AN15" s="272">
        <f t="shared" si="1"/>
        <v>32133.14</v>
      </c>
      <c r="AO15" s="224">
        <f>SUMIF(Reforma!$A$2:$A$8523,$A15,Reforma!$AB$2:$AB$8523)</f>
        <v>0</v>
      </c>
      <c r="AP15" s="224">
        <f>SUMIF(Reforma!$A$2:$A$8523,$A15,Reforma!$AC$2:$AC$8523)</f>
        <v>-4562.55</v>
      </c>
      <c r="AQ15" s="224">
        <f>SUMIF(Reforma!$A$2:$A$8523,$A15,Reforma!$AD$2:$AD$8523)</f>
        <v>0</v>
      </c>
      <c r="AR15" s="224">
        <f>SUMIF(Reforma!$A$2:$A$8523,$A15,Reforma!$AE$2:$AE$8523)</f>
        <v>0</v>
      </c>
      <c r="AS15" s="224">
        <f t="shared" si="2"/>
        <v>27570.59</v>
      </c>
      <c r="AT15" s="224">
        <f t="shared" si="3"/>
        <v>0</v>
      </c>
      <c r="AU15" s="224">
        <f t="shared" si="4"/>
        <v>27570.59</v>
      </c>
      <c r="AV15" s="463"/>
      <c r="AW15" s="463">
        <v>2332.5700000000002</v>
      </c>
      <c r="AX15" s="463">
        <v>2332.5700000000002</v>
      </c>
      <c r="AY15" s="463">
        <v>2332.5700000000002</v>
      </c>
      <c r="AZ15" s="461">
        <v>2332.5700000000002</v>
      </c>
      <c r="BA15" s="461">
        <v>2332.5700000000002</v>
      </c>
      <c r="BB15" s="461">
        <v>2332.5700000000002</v>
      </c>
      <c r="BC15" s="461">
        <v>2231.61</v>
      </c>
      <c r="BD15" s="461">
        <v>2231.61</v>
      </c>
      <c r="BE15" s="461">
        <v>2231.61</v>
      </c>
      <c r="BF15" s="461">
        <v>2231.61</v>
      </c>
      <c r="BG15" s="461">
        <v>4648.7299999999996</v>
      </c>
      <c r="BH15" s="408">
        <f t="shared" si="5"/>
        <v>28176.35</v>
      </c>
      <c r="BI15" s="408">
        <f t="shared" si="6"/>
        <v>27570.59</v>
      </c>
      <c r="BJ15" s="408">
        <f t="shared" si="7"/>
        <v>0</v>
      </c>
      <c r="BK15" s="224"/>
      <c r="BL15" s="224"/>
      <c r="BM15" s="224"/>
      <c r="BN15" s="224">
        <f>IFERROR(VLOOKUP($A15,'Constancias POA'!$A$2:$DH$9993,18,FALSE),"")</f>
        <v>28176.35</v>
      </c>
      <c r="BO15" s="224">
        <f t="shared" si="8"/>
        <v>-605.7599999999984</v>
      </c>
      <c r="BP15" s="224">
        <f>IFERROR(VLOOKUP($A15,CP!$A$1:$U$7992,18,FALSE),"")</f>
        <v>0</v>
      </c>
      <c r="BQ15" s="224">
        <f>IFERROR(VLOOKUP($A15,CP!$A$1:$U$7992,19,FALSE),"")</f>
        <v>27296</v>
      </c>
      <c r="BR15" s="224">
        <f>IFERROR(VLOOKUP($A15,CP!$A$1:$U$7992,20,FALSE),"")</f>
        <v>0</v>
      </c>
      <c r="BS15" s="224" t="str">
        <f>IFERROR(VLOOKUP($A15,CP!$A$1:$U$1,21,FALSE),"")</f>
        <v/>
      </c>
      <c r="BT15" s="224">
        <f>IFERROR(VLOOKUP(A15,Devengado!$A$1:AJ$9310,35,FALSE),"")</f>
        <v>27296</v>
      </c>
      <c r="BU15" s="224">
        <f t="shared" si="9"/>
        <v>274.59000000000015</v>
      </c>
      <c r="BV15" s="224">
        <f t="shared" si="10"/>
        <v>0.99004047428800035</v>
      </c>
      <c r="BW15" s="224">
        <f t="shared" si="11"/>
        <v>27570.59</v>
      </c>
      <c r="BX15" s="463">
        <v>2332.5700000000002</v>
      </c>
      <c r="BY15" s="463">
        <v>2332.5700000000002</v>
      </c>
      <c r="BZ15" s="463">
        <v>2332.5700000000002</v>
      </c>
      <c r="CA15" s="463">
        <v>2332.5700000000002</v>
      </c>
      <c r="CB15" s="461">
        <v>2355.75</v>
      </c>
      <c r="CC15" s="461">
        <v>2355.79</v>
      </c>
      <c r="CD15" s="461">
        <v>2355.7800000000002</v>
      </c>
      <c r="CE15" s="461">
        <v>2355.75</v>
      </c>
      <c r="CF15" s="461">
        <v>2355.75</v>
      </c>
      <c r="CG15" s="461">
        <v>2355.75</v>
      </c>
      <c r="CH15" s="461">
        <v>2355.75</v>
      </c>
      <c r="CI15" s="461">
        <v>2355.75</v>
      </c>
      <c r="CJ15" s="224">
        <f>IFERROR(VLOOKUP($A15,Devengado!$A$1:$AI$9038,22,FALSE),"")</f>
        <v>0</v>
      </c>
      <c r="CK15" s="224">
        <f>IFERROR(VLOOKUP($A15,Devengado!$A$1:$AI$9038,23,FALSE),"")</f>
        <v>2332.5700000000002</v>
      </c>
      <c r="CL15" s="224">
        <f>IFERROR(VLOOKUP($A15,Devengado!$A$1:$AI$9038,24,FALSE),"")</f>
        <v>2332.5700000000002</v>
      </c>
      <c r="CM15" s="224">
        <f>IFERROR(VLOOKUP($A15,Devengado!$A$1:$AI$9038,25,FALSE),"")</f>
        <v>2332.5700000000002</v>
      </c>
      <c r="CN15" s="224">
        <f>IFERROR(VLOOKUP($A15,Devengado!$A$1:$AI$9038,26,FALSE),"")</f>
        <v>2332.5700000000002</v>
      </c>
      <c r="CO15" s="224">
        <f>IFERROR(VLOOKUP($A15,Devengado!$A$1:$AI$9038,27,FALSE),"")</f>
        <v>2332.5700000000002</v>
      </c>
      <c r="CP15" s="224">
        <f>IFERROR(VLOOKUP($A15,Devengado!$A$1:$AI$9038,28,FALSE),"")</f>
        <v>2332.5700000000002</v>
      </c>
      <c r="CQ15" s="224">
        <f>IFERROR(VLOOKUP($A15,Devengado!$A$1:$AI$9038,29,FALSE),"")</f>
        <v>2436.36</v>
      </c>
      <c r="CR15" s="224">
        <f>IFERROR(VLOOKUP($A15,Devengado!$A$1:$AI$9038,30,FALSE),"")</f>
        <v>2340.35</v>
      </c>
      <c r="CS15" s="224">
        <f>IFERROR(VLOOKUP($A15,Devengado!$A$1:$AI$9038,31,FALSE),"")</f>
        <v>2141.15</v>
      </c>
      <c r="CT15" s="224">
        <f>IFERROR(VLOOKUP($A15,Devengado!$A$1:$AI$9038,32,FALSE),"")</f>
        <v>2187.88</v>
      </c>
      <c r="CU15" s="224">
        <f>IFERROR(VLOOKUP($A15,Devengado!$A$1:$AI$9038,33,FALSE),"")</f>
        <v>4194.84</v>
      </c>
      <c r="CV15" s="224">
        <f t="shared" si="12"/>
        <v>27296</v>
      </c>
      <c r="CW15" s="224">
        <f t="shared" si="13"/>
        <v>0</v>
      </c>
      <c r="CX15" s="207"/>
      <c r="CY15" s="207" t="str">
        <f t="shared" si="14"/>
        <v>51</v>
      </c>
      <c r="CZ15" s="112" t="s">
        <v>915</v>
      </c>
    </row>
    <row r="16" spans="1:104" s="225" customFormat="1" ht="24.75" customHeight="1">
      <c r="A16" s="207">
        <v>426</v>
      </c>
      <c r="B16" s="207"/>
      <c r="C16" s="207"/>
      <c r="D16" s="207"/>
      <c r="E16" s="207"/>
      <c r="F16" s="207"/>
      <c r="G16" s="207"/>
      <c r="H16" s="207"/>
      <c r="I16" s="207"/>
      <c r="J16" s="207"/>
      <c r="K16" s="112" t="s">
        <v>429</v>
      </c>
      <c r="L16" s="112" t="s">
        <v>850</v>
      </c>
      <c r="M16" s="112" t="s">
        <v>850</v>
      </c>
      <c r="N16" s="112" t="s">
        <v>77</v>
      </c>
      <c r="O16" s="112" t="s">
        <v>77</v>
      </c>
      <c r="P16" s="112" t="s">
        <v>76</v>
      </c>
      <c r="Q16" s="112" t="s">
        <v>77</v>
      </c>
      <c r="R16" s="112" t="s">
        <v>77</v>
      </c>
      <c r="S16" s="112" t="s">
        <v>77</v>
      </c>
      <c r="T16" s="112" t="s">
        <v>77</v>
      </c>
      <c r="U16" s="112" t="s">
        <v>77</v>
      </c>
      <c r="V16" s="112" t="s">
        <v>77</v>
      </c>
      <c r="W16" s="112" t="s">
        <v>85</v>
      </c>
      <c r="X16" s="112" t="s">
        <v>435</v>
      </c>
      <c r="Y16" s="114" t="s">
        <v>430</v>
      </c>
      <c r="Z16" s="114" t="s">
        <v>111</v>
      </c>
      <c r="AA16" s="114" t="s">
        <v>81</v>
      </c>
      <c r="AB16" s="114" t="s">
        <v>112</v>
      </c>
      <c r="AC16" s="115" t="str">
        <f t="shared" si="0"/>
        <v>51</v>
      </c>
      <c r="AD16" s="124">
        <v>510707</v>
      </c>
      <c r="AE16" s="122" t="str">
        <f>VLOOKUP(AD16,ITEM!$C$1:$D$694,2,FALSE)</f>
        <v>Compensación por Vacaciones no Gozadas por Cesación de Funciones</v>
      </c>
      <c r="AF16" s="112">
        <v>1300</v>
      </c>
      <c r="AG16" s="114" t="s">
        <v>82</v>
      </c>
      <c r="AH16" s="114" t="s">
        <v>84</v>
      </c>
      <c r="AI16" s="114" t="s">
        <v>84</v>
      </c>
      <c r="AJ16" s="114" t="s">
        <v>914</v>
      </c>
      <c r="AK16" s="114" t="s">
        <v>77</v>
      </c>
      <c r="AL16" s="271">
        <v>4800</v>
      </c>
      <c r="AM16" s="272"/>
      <c r="AN16" s="272">
        <f t="shared" si="1"/>
        <v>4800</v>
      </c>
      <c r="AO16" s="224">
        <f>SUMIF(Reforma!$A$2:$A$8523,$A16,Reforma!$AB$2:$AB$8523)</f>
        <v>0</v>
      </c>
      <c r="AP16" s="224">
        <f>SUMIF(Reforma!$A$2:$A$8523,$A16,Reforma!$AC$2:$AC$8523)</f>
        <v>-4800</v>
      </c>
      <c r="AQ16" s="224">
        <f>SUMIF(Reforma!$A$2:$A$8523,$A16,Reforma!$AD$2:$AD$8523)</f>
        <v>0</v>
      </c>
      <c r="AR16" s="224">
        <f>SUMIF(Reforma!$A$2:$A$8523,$A16,Reforma!$AE$2:$AE$8523)</f>
        <v>0</v>
      </c>
      <c r="AS16" s="224">
        <f t="shared" si="2"/>
        <v>0</v>
      </c>
      <c r="AT16" s="224">
        <f t="shared" si="3"/>
        <v>0</v>
      </c>
      <c r="AU16" s="224">
        <f t="shared" si="4"/>
        <v>0</v>
      </c>
      <c r="AV16" s="326"/>
      <c r="AW16" s="326"/>
      <c r="AX16" s="326"/>
      <c r="AY16" s="326"/>
      <c r="AZ16" s="326"/>
      <c r="BA16" s="326"/>
      <c r="BB16" s="326"/>
      <c r="BC16" s="326"/>
      <c r="BD16" s="326"/>
      <c r="BE16" s="326"/>
      <c r="BF16" s="326"/>
      <c r="BG16" s="326"/>
      <c r="BH16" s="408">
        <f t="shared" si="5"/>
        <v>4800</v>
      </c>
      <c r="BI16" s="408">
        <f t="shared" si="6"/>
        <v>0</v>
      </c>
      <c r="BJ16" s="408">
        <f t="shared" si="7"/>
        <v>0</v>
      </c>
      <c r="BK16" s="224"/>
      <c r="BL16" s="224"/>
      <c r="BM16" s="224"/>
      <c r="BN16" s="224" t="str">
        <f>IFERROR(VLOOKUP($A16,'Constancias POA'!$A$2:$DH$9993,18,FALSE),"")</f>
        <v/>
      </c>
      <c r="BO16" s="224" t="str">
        <f t="shared" si="8"/>
        <v/>
      </c>
      <c r="BP16" s="224" t="str">
        <f>IFERROR(VLOOKUP($A16,CP!$A$1:$U$7992,18,FALSE),"")</f>
        <v/>
      </c>
      <c r="BQ16" s="224" t="str">
        <f>IFERROR(VLOOKUP($A16,CP!$A$1:$U$7992,19,FALSE),"")</f>
        <v/>
      </c>
      <c r="BR16" s="224" t="str">
        <f>IFERROR(VLOOKUP($A16,CP!$A$1:$U$7992,20,FALSE),"")</f>
        <v/>
      </c>
      <c r="BS16" s="224" t="str">
        <f>IFERROR(VLOOKUP($A16,CP!$A$1:$U$1,21,FALSE),"")</f>
        <v/>
      </c>
      <c r="BT16" s="224" t="str">
        <f>IFERROR(VLOOKUP(A16,Devengado!$A$1:AJ$9310,35,FALSE),"")</f>
        <v/>
      </c>
      <c r="BU16" s="224" t="str">
        <f t="shared" si="9"/>
        <v/>
      </c>
      <c r="BV16" s="224" t="str">
        <f t="shared" si="10"/>
        <v/>
      </c>
      <c r="BW16" s="224">
        <f t="shared" si="11"/>
        <v>0</v>
      </c>
      <c r="BX16" s="429">
        <v>400</v>
      </c>
      <c r="BY16" s="429">
        <v>400</v>
      </c>
      <c r="BZ16" s="429">
        <v>400</v>
      </c>
      <c r="CA16" s="429">
        <v>400</v>
      </c>
      <c r="CB16" s="429">
        <v>400</v>
      </c>
      <c r="CC16" s="429">
        <v>400</v>
      </c>
      <c r="CD16" s="429">
        <v>400</v>
      </c>
      <c r="CE16" s="429">
        <v>400</v>
      </c>
      <c r="CF16" s="429">
        <v>400</v>
      </c>
      <c r="CG16" s="429">
        <v>400</v>
      </c>
      <c r="CH16" s="429">
        <v>400</v>
      </c>
      <c r="CI16" s="429">
        <v>400</v>
      </c>
      <c r="CJ16" s="224" t="str">
        <f>IFERROR(VLOOKUP($A16,Devengado!$A$1:$AI$9038,22,FALSE),"")</f>
        <v/>
      </c>
      <c r="CK16" s="224" t="str">
        <f>IFERROR(VLOOKUP($A16,Devengado!$A$1:$AI$9038,23,FALSE),"")</f>
        <v/>
      </c>
      <c r="CL16" s="224" t="str">
        <f>IFERROR(VLOOKUP($A16,Devengado!$A$1:$AI$9038,24,FALSE),"")</f>
        <v/>
      </c>
      <c r="CM16" s="224" t="str">
        <f>IFERROR(VLOOKUP($A16,Devengado!$A$1:$AI$9038,25,FALSE),"")</f>
        <v/>
      </c>
      <c r="CN16" s="224" t="str">
        <f>IFERROR(VLOOKUP($A16,Devengado!$A$1:$AI$9038,26,FALSE),"")</f>
        <v/>
      </c>
      <c r="CO16" s="224" t="str">
        <f>IFERROR(VLOOKUP($A16,Devengado!$A$1:$AI$9038,27,FALSE),"")</f>
        <v/>
      </c>
      <c r="CP16" s="224" t="str">
        <f>IFERROR(VLOOKUP($A16,Devengado!$A$1:$AI$9038,28,FALSE),"")</f>
        <v/>
      </c>
      <c r="CQ16" s="224" t="str">
        <f>IFERROR(VLOOKUP($A16,Devengado!$A$1:$AI$9038,29,FALSE),"")</f>
        <v/>
      </c>
      <c r="CR16" s="224" t="str">
        <f>IFERROR(VLOOKUP($A16,Devengado!$A$1:$AI$9038,30,FALSE),"")</f>
        <v/>
      </c>
      <c r="CS16" s="224" t="str">
        <f>IFERROR(VLOOKUP($A16,Devengado!$A$1:$AI$9038,31,FALSE),"")</f>
        <v/>
      </c>
      <c r="CT16" s="224" t="str">
        <f>IFERROR(VLOOKUP($A16,Devengado!$A$1:$AI$9038,32,FALSE),"")</f>
        <v/>
      </c>
      <c r="CU16" s="224" t="str">
        <f>IFERROR(VLOOKUP($A16,Devengado!$A$1:$AI$9038,33,FALSE),"")</f>
        <v/>
      </c>
      <c r="CV16" s="224">
        <f t="shared" si="12"/>
        <v>0</v>
      </c>
      <c r="CW16" s="224" t="str">
        <f t="shared" si="13"/>
        <v/>
      </c>
      <c r="CX16" s="207"/>
      <c r="CY16" s="207" t="str">
        <f t="shared" si="14"/>
        <v>51</v>
      </c>
      <c r="CZ16" s="112" t="s">
        <v>915</v>
      </c>
    </row>
    <row r="17" spans="1:104" s="225" customFormat="1" ht="25.5" customHeight="1">
      <c r="A17" s="207">
        <v>427</v>
      </c>
      <c r="B17" s="207"/>
      <c r="C17" s="207"/>
      <c r="D17" s="207"/>
      <c r="E17" s="207"/>
      <c r="F17" s="207"/>
      <c r="G17" s="207"/>
      <c r="H17" s="207"/>
      <c r="I17" s="207"/>
      <c r="J17" s="207"/>
      <c r="K17" s="112" t="s">
        <v>429</v>
      </c>
      <c r="L17" s="112" t="s">
        <v>850</v>
      </c>
      <c r="M17" s="119" t="s">
        <v>917</v>
      </c>
      <c r="N17" s="112" t="s">
        <v>77</v>
      </c>
      <c r="O17" s="112" t="s">
        <v>77</v>
      </c>
      <c r="P17" s="112" t="s">
        <v>76</v>
      </c>
      <c r="Q17" s="112" t="s">
        <v>77</v>
      </c>
      <c r="R17" s="112" t="s">
        <v>77</v>
      </c>
      <c r="S17" s="112" t="s">
        <v>77</v>
      </c>
      <c r="T17" s="112" t="s">
        <v>77</v>
      </c>
      <c r="U17" s="112" t="s">
        <v>77</v>
      </c>
      <c r="V17" s="112" t="s">
        <v>77</v>
      </c>
      <c r="W17" s="112" t="s">
        <v>85</v>
      </c>
      <c r="X17" s="124" t="s">
        <v>436</v>
      </c>
      <c r="Y17" s="114" t="s">
        <v>430</v>
      </c>
      <c r="Z17" s="114" t="s">
        <v>111</v>
      </c>
      <c r="AA17" s="114" t="s">
        <v>81</v>
      </c>
      <c r="AB17" s="114" t="s">
        <v>112</v>
      </c>
      <c r="AC17" s="115" t="str">
        <f t="shared" si="0"/>
        <v>53</v>
      </c>
      <c r="AD17" s="124">
        <v>530105</v>
      </c>
      <c r="AE17" s="122" t="str">
        <f>VLOOKUP(AD17,ITEM!$C$1:$D$694,2,FALSE)</f>
        <v>Telecomunicaciones</v>
      </c>
      <c r="AF17" s="112">
        <v>1308</v>
      </c>
      <c r="AG17" s="114" t="s">
        <v>82</v>
      </c>
      <c r="AH17" s="114" t="s">
        <v>84</v>
      </c>
      <c r="AI17" s="114" t="s">
        <v>84</v>
      </c>
      <c r="AJ17" s="114" t="s">
        <v>914</v>
      </c>
      <c r="AK17" s="114" t="s">
        <v>77</v>
      </c>
      <c r="AL17" s="271">
        <v>500</v>
      </c>
      <c r="AM17" s="272"/>
      <c r="AN17" s="272">
        <f t="shared" si="1"/>
        <v>500</v>
      </c>
      <c r="AO17" s="224">
        <f>SUMIF(Reforma!$A$2:$A$8523,$A17,Reforma!$AB$2:$AB$8523)</f>
        <v>0</v>
      </c>
      <c r="AP17" s="224">
        <f>SUMIF(Reforma!$A$2:$A$8523,$A17,Reforma!$AC$2:$AC$8523)</f>
        <v>-500</v>
      </c>
      <c r="AQ17" s="224">
        <f>SUMIF(Reforma!$A$2:$A$8523,$A17,Reforma!$AD$2:$AD$8523)</f>
        <v>0</v>
      </c>
      <c r="AR17" s="224">
        <f>SUMIF(Reforma!$A$2:$A$8523,$A17,Reforma!$AE$2:$AE$8523)</f>
        <v>0</v>
      </c>
      <c r="AS17" s="224">
        <f t="shared" si="2"/>
        <v>0</v>
      </c>
      <c r="AT17" s="224">
        <f t="shared" si="3"/>
        <v>0</v>
      </c>
      <c r="AU17" s="224">
        <f t="shared" si="4"/>
        <v>0</v>
      </c>
      <c r="AV17" s="326">
        <v>0</v>
      </c>
      <c r="AW17" s="326">
        <v>0</v>
      </c>
      <c r="AX17" s="326">
        <v>0</v>
      </c>
      <c r="AY17" s="326">
        <v>0</v>
      </c>
      <c r="AZ17" s="326">
        <v>0</v>
      </c>
      <c r="BA17" s="326">
        <v>0</v>
      </c>
      <c r="BB17" s="326">
        <v>0</v>
      </c>
      <c r="BC17" s="326">
        <v>0</v>
      </c>
      <c r="BD17" s="326">
        <v>0</v>
      </c>
      <c r="BE17" s="326">
        <v>0</v>
      </c>
      <c r="BF17" s="326">
        <v>0</v>
      </c>
      <c r="BG17" s="326">
        <v>0</v>
      </c>
      <c r="BH17" s="408">
        <f t="shared" si="5"/>
        <v>500</v>
      </c>
      <c r="BI17" s="408">
        <f t="shared" si="6"/>
        <v>0</v>
      </c>
      <c r="BJ17" s="408">
        <f t="shared" si="7"/>
        <v>0</v>
      </c>
      <c r="BK17" s="224"/>
      <c r="BL17" s="224"/>
      <c r="BM17" s="224"/>
      <c r="BN17" s="224">
        <f>IFERROR(VLOOKUP($A17,'Constancias POA'!$A$2:$DH$9993,18,FALSE),"")</f>
        <v>500</v>
      </c>
      <c r="BO17" s="224">
        <f t="shared" si="8"/>
        <v>-500</v>
      </c>
      <c r="BP17" s="224">
        <f>IFERROR(VLOOKUP($A17,CP!$A$1:$U$7992,18,FALSE),"")</f>
        <v>0</v>
      </c>
      <c r="BQ17" s="224">
        <f>IFERROR(VLOOKUP($A17,CP!$A$1:$U$7992,19,FALSE),"")</f>
        <v>0</v>
      </c>
      <c r="BR17" s="224">
        <f>IFERROR(VLOOKUP($A17,CP!$A$1:$U$7992,20,FALSE),"")</f>
        <v>0</v>
      </c>
      <c r="BS17" s="224" t="str">
        <f>IFERROR(VLOOKUP($A17,CP!$A$1:$U$1,21,FALSE),"")</f>
        <v/>
      </c>
      <c r="BT17" s="224" t="str">
        <f>IFERROR(VLOOKUP(A17,Devengado!$A$1:AJ$9310,35,FALSE),"")</f>
        <v/>
      </c>
      <c r="BU17" s="224" t="str">
        <f t="shared" si="9"/>
        <v/>
      </c>
      <c r="BV17" s="224" t="str">
        <f t="shared" si="10"/>
        <v/>
      </c>
      <c r="BW17" s="224">
        <f t="shared" si="11"/>
        <v>0</v>
      </c>
      <c r="BX17" s="429">
        <v>0</v>
      </c>
      <c r="BY17" s="429">
        <v>50</v>
      </c>
      <c r="BZ17" s="429">
        <v>50</v>
      </c>
      <c r="CA17" s="429">
        <v>50</v>
      </c>
      <c r="CB17" s="429">
        <v>50</v>
      </c>
      <c r="CC17" s="429">
        <v>50</v>
      </c>
      <c r="CD17" s="429">
        <v>50</v>
      </c>
      <c r="CE17" s="429">
        <v>50</v>
      </c>
      <c r="CF17" s="429">
        <v>50</v>
      </c>
      <c r="CG17" s="429">
        <v>50</v>
      </c>
      <c r="CH17" s="429">
        <v>50</v>
      </c>
      <c r="CI17" s="429">
        <v>0</v>
      </c>
      <c r="CJ17" s="224" t="str">
        <f>IFERROR(VLOOKUP($A17,Devengado!$A$1:$AI$9038,22,FALSE),"")</f>
        <v/>
      </c>
      <c r="CK17" s="224" t="str">
        <f>IFERROR(VLOOKUP($A17,Devengado!$A$1:$AI$9038,23,FALSE),"")</f>
        <v/>
      </c>
      <c r="CL17" s="224" t="str">
        <f>IFERROR(VLOOKUP($A17,Devengado!$A$1:$AI$9038,24,FALSE),"")</f>
        <v/>
      </c>
      <c r="CM17" s="224" t="str">
        <f>IFERROR(VLOOKUP($A17,Devengado!$A$1:$AI$9038,25,FALSE),"")</f>
        <v/>
      </c>
      <c r="CN17" s="224" t="str">
        <f>IFERROR(VLOOKUP($A17,Devengado!$A$1:$AI$9038,26,FALSE),"")</f>
        <v/>
      </c>
      <c r="CO17" s="224" t="str">
        <f>IFERROR(VLOOKUP($A17,Devengado!$A$1:$AI$9038,27,FALSE),"")</f>
        <v/>
      </c>
      <c r="CP17" s="224" t="str">
        <f>IFERROR(VLOOKUP($A17,Devengado!$A$1:$AI$9038,28,FALSE),"")</f>
        <v/>
      </c>
      <c r="CQ17" s="224" t="str">
        <f>IFERROR(VLOOKUP($A17,Devengado!$A$1:$AI$9038,29,FALSE),"")</f>
        <v/>
      </c>
      <c r="CR17" s="224" t="str">
        <f>IFERROR(VLOOKUP($A17,Devengado!$A$1:$AI$9038,30,FALSE),"")</f>
        <v/>
      </c>
      <c r="CS17" s="224" t="str">
        <f>IFERROR(VLOOKUP($A17,Devengado!$A$1:$AI$9038,31,FALSE),"")</f>
        <v/>
      </c>
      <c r="CT17" s="224" t="str">
        <f>IFERROR(VLOOKUP($A17,Devengado!$A$1:$AI$9038,32,FALSE),"")</f>
        <v/>
      </c>
      <c r="CU17" s="224" t="str">
        <f>IFERROR(VLOOKUP($A17,Devengado!$A$1:$AI$9038,33,FALSE),"")</f>
        <v/>
      </c>
      <c r="CV17" s="224">
        <f t="shared" si="12"/>
        <v>0</v>
      </c>
      <c r="CW17" s="224" t="str">
        <f t="shared" si="13"/>
        <v/>
      </c>
      <c r="CX17" s="207"/>
      <c r="CY17" s="207" t="str">
        <f t="shared" si="14"/>
        <v>53</v>
      </c>
      <c r="CZ17" s="112" t="s">
        <v>915</v>
      </c>
    </row>
    <row r="18" spans="1:104" s="225" customFormat="1" ht="25.5" customHeight="1">
      <c r="A18" s="207">
        <v>428</v>
      </c>
      <c r="B18" s="207"/>
      <c r="C18" s="207"/>
      <c r="D18" s="207"/>
      <c r="E18" s="207"/>
      <c r="F18" s="207"/>
      <c r="G18" s="207"/>
      <c r="H18" s="207"/>
      <c r="I18" s="207"/>
      <c r="J18" s="207"/>
      <c r="K18" s="112" t="s">
        <v>429</v>
      </c>
      <c r="L18" s="112" t="s">
        <v>850</v>
      </c>
      <c r="M18" s="119" t="s">
        <v>918</v>
      </c>
      <c r="N18" s="112" t="s">
        <v>77</v>
      </c>
      <c r="O18" s="112" t="s">
        <v>77</v>
      </c>
      <c r="P18" s="112" t="s">
        <v>76</v>
      </c>
      <c r="Q18" s="112" t="s">
        <v>77</v>
      </c>
      <c r="R18" s="112" t="s">
        <v>77</v>
      </c>
      <c r="S18" s="112" t="s">
        <v>77</v>
      </c>
      <c r="T18" s="112" t="s">
        <v>77</v>
      </c>
      <c r="U18" s="112" t="s">
        <v>77</v>
      </c>
      <c r="V18" s="112" t="s">
        <v>77</v>
      </c>
      <c r="W18" s="112" t="s">
        <v>85</v>
      </c>
      <c r="X18" s="124" t="s">
        <v>437</v>
      </c>
      <c r="Y18" s="114" t="s">
        <v>430</v>
      </c>
      <c r="Z18" s="114" t="s">
        <v>111</v>
      </c>
      <c r="AA18" s="114" t="s">
        <v>81</v>
      </c>
      <c r="AB18" s="114" t="s">
        <v>112</v>
      </c>
      <c r="AC18" s="115" t="str">
        <f t="shared" si="0"/>
        <v>53</v>
      </c>
      <c r="AD18" s="124">
        <v>530105</v>
      </c>
      <c r="AE18" s="122" t="str">
        <f>VLOOKUP(AD18,ITEM!$C$1:$D$694,2,FALSE)</f>
        <v>Telecomunicaciones</v>
      </c>
      <c r="AF18" s="112">
        <v>1314</v>
      </c>
      <c r="AG18" s="114" t="s">
        <v>82</v>
      </c>
      <c r="AH18" s="114" t="s">
        <v>84</v>
      </c>
      <c r="AI18" s="114" t="s">
        <v>84</v>
      </c>
      <c r="AJ18" s="114" t="s">
        <v>914</v>
      </c>
      <c r="AK18" s="114" t="s">
        <v>77</v>
      </c>
      <c r="AL18" s="271">
        <v>500</v>
      </c>
      <c r="AM18" s="272"/>
      <c r="AN18" s="272">
        <f t="shared" si="1"/>
        <v>500</v>
      </c>
      <c r="AO18" s="224">
        <f>SUMIF(Reforma!$A$2:$A$8523,$A18,Reforma!$AB$2:$AB$8523)</f>
        <v>0</v>
      </c>
      <c r="AP18" s="224">
        <f>SUMIF(Reforma!$A$2:$A$8523,$A18,Reforma!$AC$2:$AC$8523)</f>
        <v>-500</v>
      </c>
      <c r="AQ18" s="224">
        <f>SUMIF(Reforma!$A$2:$A$8523,$A18,Reforma!$AD$2:$AD$8523)</f>
        <v>0</v>
      </c>
      <c r="AR18" s="224">
        <f>SUMIF(Reforma!$A$2:$A$8523,$A18,Reforma!$AE$2:$AE$8523)</f>
        <v>0</v>
      </c>
      <c r="AS18" s="224">
        <f t="shared" si="2"/>
        <v>0</v>
      </c>
      <c r="AT18" s="224">
        <f t="shared" si="3"/>
        <v>0</v>
      </c>
      <c r="AU18" s="224">
        <f t="shared" si="4"/>
        <v>0</v>
      </c>
      <c r="AV18" s="326">
        <v>0</v>
      </c>
      <c r="AW18" s="326">
        <v>0</v>
      </c>
      <c r="AX18" s="326">
        <v>0</v>
      </c>
      <c r="AY18" s="326">
        <v>0</v>
      </c>
      <c r="AZ18" s="326">
        <v>0</v>
      </c>
      <c r="BA18" s="326">
        <v>0</v>
      </c>
      <c r="BB18" s="326">
        <v>0</v>
      </c>
      <c r="BC18" s="326">
        <v>0</v>
      </c>
      <c r="BD18" s="326">
        <v>0</v>
      </c>
      <c r="BE18" s="326">
        <v>0</v>
      </c>
      <c r="BF18" s="326">
        <v>0</v>
      </c>
      <c r="BG18" s="326">
        <v>0</v>
      </c>
      <c r="BH18" s="408">
        <f t="shared" si="5"/>
        <v>500</v>
      </c>
      <c r="BI18" s="408">
        <f t="shared" si="6"/>
        <v>0</v>
      </c>
      <c r="BJ18" s="408">
        <f t="shared" si="7"/>
        <v>0</v>
      </c>
      <c r="BK18" s="224"/>
      <c r="BL18" s="224"/>
      <c r="BM18" s="224"/>
      <c r="BN18" s="224">
        <f>IFERROR(VLOOKUP($A18,'Constancias POA'!$A$2:$DH$9993,18,FALSE),"")</f>
        <v>500</v>
      </c>
      <c r="BO18" s="224">
        <f t="shared" si="8"/>
        <v>-500</v>
      </c>
      <c r="BP18" s="224">
        <f>IFERROR(VLOOKUP($A18,CP!$A$1:$U$7992,18,FALSE),"")</f>
        <v>0</v>
      </c>
      <c r="BQ18" s="224">
        <f>IFERROR(VLOOKUP($A18,CP!$A$1:$U$7992,19,FALSE),"")</f>
        <v>0</v>
      </c>
      <c r="BR18" s="224">
        <f>IFERROR(VLOOKUP($A18,CP!$A$1:$U$7992,20,FALSE),"")</f>
        <v>0</v>
      </c>
      <c r="BS18" s="224" t="str">
        <f>IFERROR(VLOOKUP($A18,CP!$A$1:$U$1,21,FALSE),"")</f>
        <v/>
      </c>
      <c r="BT18" s="224" t="str">
        <f>IFERROR(VLOOKUP(A18,Devengado!$A$1:AJ$9310,35,FALSE),"")</f>
        <v/>
      </c>
      <c r="BU18" s="224" t="str">
        <f t="shared" si="9"/>
        <v/>
      </c>
      <c r="BV18" s="224" t="str">
        <f t="shared" si="10"/>
        <v/>
      </c>
      <c r="BW18" s="224">
        <f t="shared" si="11"/>
        <v>0</v>
      </c>
      <c r="BX18" s="429">
        <v>0</v>
      </c>
      <c r="BY18" s="429">
        <v>50</v>
      </c>
      <c r="BZ18" s="429">
        <v>50</v>
      </c>
      <c r="CA18" s="429">
        <v>50</v>
      </c>
      <c r="CB18" s="429">
        <v>50</v>
      </c>
      <c r="CC18" s="429">
        <v>50</v>
      </c>
      <c r="CD18" s="429">
        <v>50</v>
      </c>
      <c r="CE18" s="429">
        <v>50</v>
      </c>
      <c r="CF18" s="429">
        <v>50</v>
      </c>
      <c r="CG18" s="429">
        <v>50</v>
      </c>
      <c r="CH18" s="429">
        <v>50</v>
      </c>
      <c r="CI18" s="429">
        <v>0</v>
      </c>
      <c r="CJ18" s="224" t="str">
        <f>IFERROR(VLOOKUP($A18,Devengado!$A$1:$AI$9038,22,FALSE),"")</f>
        <v/>
      </c>
      <c r="CK18" s="224" t="str">
        <f>IFERROR(VLOOKUP($A18,Devengado!$A$1:$AI$9038,23,FALSE),"")</f>
        <v/>
      </c>
      <c r="CL18" s="224" t="str">
        <f>IFERROR(VLOOKUP($A18,Devengado!$A$1:$AI$9038,24,FALSE),"")</f>
        <v/>
      </c>
      <c r="CM18" s="224" t="str">
        <f>IFERROR(VLOOKUP($A18,Devengado!$A$1:$AI$9038,25,FALSE),"")</f>
        <v/>
      </c>
      <c r="CN18" s="224" t="str">
        <f>IFERROR(VLOOKUP($A18,Devengado!$A$1:$AI$9038,26,FALSE),"")</f>
        <v/>
      </c>
      <c r="CO18" s="224" t="str">
        <f>IFERROR(VLOOKUP($A18,Devengado!$A$1:$AI$9038,27,FALSE),"")</f>
        <v/>
      </c>
      <c r="CP18" s="224" t="str">
        <f>IFERROR(VLOOKUP($A18,Devengado!$A$1:$AI$9038,28,FALSE),"")</f>
        <v/>
      </c>
      <c r="CQ18" s="224" t="str">
        <f>IFERROR(VLOOKUP($A18,Devengado!$A$1:$AI$9038,29,FALSE),"")</f>
        <v/>
      </c>
      <c r="CR18" s="224" t="str">
        <f>IFERROR(VLOOKUP($A18,Devengado!$A$1:$AI$9038,30,FALSE),"")</f>
        <v/>
      </c>
      <c r="CS18" s="224" t="str">
        <f>IFERROR(VLOOKUP($A18,Devengado!$A$1:$AI$9038,31,FALSE),"")</f>
        <v/>
      </c>
      <c r="CT18" s="224" t="str">
        <f>IFERROR(VLOOKUP($A18,Devengado!$A$1:$AI$9038,32,FALSE),"")</f>
        <v/>
      </c>
      <c r="CU18" s="224" t="str">
        <f>IFERROR(VLOOKUP($A18,Devengado!$A$1:$AI$9038,33,FALSE),"")</f>
        <v/>
      </c>
      <c r="CV18" s="224">
        <f t="shared" si="12"/>
        <v>0</v>
      </c>
      <c r="CW18" s="224" t="str">
        <f t="shared" si="13"/>
        <v/>
      </c>
      <c r="CX18" s="207"/>
      <c r="CY18" s="207" t="str">
        <f t="shared" si="14"/>
        <v>53</v>
      </c>
      <c r="CZ18" s="112" t="s">
        <v>915</v>
      </c>
    </row>
    <row r="19" spans="1:104" s="225" customFormat="1" ht="25.5" customHeight="1">
      <c r="A19" s="207">
        <v>429</v>
      </c>
      <c r="B19" s="207"/>
      <c r="C19" s="207"/>
      <c r="D19" s="207"/>
      <c r="E19" s="207"/>
      <c r="F19" s="207"/>
      <c r="G19" s="207"/>
      <c r="H19" s="207"/>
      <c r="I19" s="207"/>
      <c r="J19" s="207"/>
      <c r="K19" s="112" t="s">
        <v>429</v>
      </c>
      <c r="L19" s="112" t="s">
        <v>850</v>
      </c>
      <c r="M19" s="119" t="s">
        <v>919</v>
      </c>
      <c r="N19" s="112" t="s">
        <v>77</v>
      </c>
      <c r="O19" s="112" t="s">
        <v>77</v>
      </c>
      <c r="P19" s="112" t="s">
        <v>76</v>
      </c>
      <c r="Q19" s="112" t="s">
        <v>77</v>
      </c>
      <c r="R19" s="112" t="s">
        <v>77</v>
      </c>
      <c r="S19" s="112" t="s">
        <v>77</v>
      </c>
      <c r="T19" s="112" t="s">
        <v>77</v>
      </c>
      <c r="U19" s="112" t="s">
        <v>77</v>
      </c>
      <c r="V19" s="112" t="s">
        <v>77</v>
      </c>
      <c r="W19" s="112" t="s">
        <v>85</v>
      </c>
      <c r="X19" s="124" t="s">
        <v>438</v>
      </c>
      <c r="Y19" s="114" t="s">
        <v>430</v>
      </c>
      <c r="Z19" s="114" t="s">
        <v>111</v>
      </c>
      <c r="AA19" s="114" t="s">
        <v>81</v>
      </c>
      <c r="AB19" s="114" t="s">
        <v>112</v>
      </c>
      <c r="AC19" s="115" t="str">
        <f t="shared" si="0"/>
        <v>53</v>
      </c>
      <c r="AD19" s="124">
        <v>530105</v>
      </c>
      <c r="AE19" s="122" t="str">
        <f>VLOOKUP(AD19,ITEM!$C$1:$D$694,2,FALSE)</f>
        <v>Telecomunicaciones</v>
      </c>
      <c r="AF19" s="112">
        <v>1301</v>
      </c>
      <c r="AG19" s="114" t="s">
        <v>82</v>
      </c>
      <c r="AH19" s="114" t="s">
        <v>84</v>
      </c>
      <c r="AI19" s="114" t="s">
        <v>84</v>
      </c>
      <c r="AJ19" s="114" t="s">
        <v>914</v>
      </c>
      <c r="AK19" s="114" t="s">
        <v>77</v>
      </c>
      <c r="AL19" s="271">
        <v>500</v>
      </c>
      <c r="AM19" s="272"/>
      <c r="AN19" s="272">
        <f t="shared" si="1"/>
        <v>500</v>
      </c>
      <c r="AO19" s="224">
        <f>SUMIF(Reforma!$A$2:$A$8523,$A19,Reforma!$AB$2:$AB$8523)</f>
        <v>0</v>
      </c>
      <c r="AP19" s="224">
        <f>SUMIF(Reforma!$A$2:$A$8523,$A19,Reforma!$AC$2:$AC$8523)</f>
        <v>-500</v>
      </c>
      <c r="AQ19" s="224">
        <f>SUMIF(Reforma!$A$2:$A$8523,$A19,Reforma!$AD$2:$AD$8523)</f>
        <v>0</v>
      </c>
      <c r="AR19" s="224">
        <f>SUMIF(Reforma!$A$2:$A$8523,$A19,Reforma!$AE$2:$AE$8523)</f>
        <v>0</v>
      </c>
      <c r="AS19" s="224">
        <f t="shared" si="2"/>
        <v>0</v>
      </c>
      <c r="AT19" s="224">
        <f t="shared" si="3"/>
        <v>0</v>
      </c>
      <c r="AU19" s="224">
        <f t="shared" si="4"/>
        <v>0</v>
      </c>
      <c r="AV19" s="326">
        <v>0</v>
      </c>
      <c r="AW19" s="326">
        <v>0</v>
      </c>
      <c r="AX19" s="326">
        <v>0</v>
      </c>
      <c r="AY19" s="326">
        <v>0</v>
      </c>
      <c r="AZ19" s="326">
        <v>0</v>
      </c>
      <c r="BA19" s="326">
        <v>0</v>
      </c>
      <c r="BB19" s="326">
        <v>0</v>
      </c>
      <c r="BC19" s="326">
        <v>0</v>
      </c>
      <c r="BD19" s="326">
        <v>0</v>
      </c>
      <c r="BE19" s="326">
        <v>0</v>
      </c>
      <c r="BF19" s="326">
        <v>0</v>
      </c>
      <c r="BG19" s="326">
        <v>0</v>
      </c>
      <c r="BH19" s="408">
        <f t="shared" si="5"/>
        <v>500</v>
      </c>
      <c r="BI19" s="408">
        <f t="shared" si="6"/>
        <v>0</v>
      </c>
      <c r="BJ19" s="408">
        <f t="shared" si="7"/>
        <v>0</v>
      </c>
      <c r="BK19" s="224"/>
      <c r="BL19" s="224"/>
      <c r="BM19" s="224"/>
      <c r="BN19" s="224">
        <f>IFERROR(VLOOKUP($A19,'Constancias POA'!$A$2:$DH$9993,18,FALSE),"")</f>
        <v>0</v>
      </c>
      <c r="BO19" s="224">
        <f t="shared" si="8"/>
        <v>0</v>
      </c>
      <c r="BP19" s="224">
        <f>IFERROR(VLOOKUP($A19,CP!$A$1:$U$7992,18,FALSE),"")</f>
        <v>0</v>
      </c>
      <c r="BQ19" s="224">
        <f>IFERROR(VLOOKUP($A19,CP!$A$1:$U$7992,19,FALSE),"")</f>
        <v>0</v>
      </c>
      <c r="BR19" s="224">
        <f>IFERROR(VLOOKUP($A19,CP!$A$1:$U$7992,20,FALSE),"")</f>
        <v>0</v>
      </c>
      <c r="BS19" s="224" t="str">
        <f>IFERROR(VLOOKUP($A19,CP!$A$1:$U$1,21,FALSE),"")</f>
        <v/>
      </c>
      <c r="BT19" s="224" t="str">
        <f>IFERROR(VLOOKUP(A19,Devengado!$A$1:AJ$9310,35,FALSE),"")</f>
        <v/>
      </c>
      <c r="BU19" s="224" t="str">
        <f t="shared" si="9"/>
        <v/>
      </c>
      <c r="BV19" s="224" t="str">
        <f t="shared" si="10"/>
        <v/>
      </c>
      <c r="BW19" s="224">
        <f t="shared" si="11"/>
        <v>0</v>
      </c>
      <c r="BX19" s="429">
        <v>0</v>
      </c>
      <c r="BY19" s="429">
        <v>50</v>
      </c>
      <c r="BZ19" s="429">
        <v>50</v>
      </c>
      <c r="CA19" s="429">
        <v>50</v>
      </c>
      <c r="CB19" s="429">
        <v>50</v>
      </c>
      <c r="CC19" s="429">
        <v>50</v>
      </c>
      <c r="CD19" s="429">
        <v>50</v>
      </c>
      <c r="CE19" s="429">
        <v>50</v>
      </c>
      <c r="CF19" s="429">
        <v>50</v>
      </c>
      <c r="CG19" s="429">
        <v>50</v>
      </c>
      <c r="CH19" s="429">
        <v>50</v>
      </c>
      <c r="CI19" s="429">
        <v>0</v>
      </c>
      <c r="CJ19" s="224" t="str">
        <f>IFERROR(VLOOKUP($A19,Devengado!$A$1:$AI$9038,22,FALSE),"")</f>
        <v/>
      </c>
      <c r="CK19" s="224" t="str">
        <f>IFERROR(VLOOKUP($A19,Devengado!$A$1:$AI$9038,23,FALSE),"")</f>
        <v/>
      </c>
      <c r="CL19" s="224" t="str">
        <f>IFERROR(VLOOKUP($A19,Devengado!$A$1:$AI$9038,24,FALSE),"")</f>
        <v/>
      </c>
      <c r="CM19" s="224" t="str">
        <f>IFERROR(VLOOKUP($A19,Devengado!$A$1:$AI$9038,25,FALSE),"")</f>
        <v/>
      </c>
      <c r="CN19" s="224" t="str">
        <f>IFERROR(VLOOKUP($A19,Devengado!$A$1:$AI$9038,26,FALSE),"")</f>
        <v/>
      </c>
      <c r="CO19" s="224" t="str">
        <f>IFERROR(VLOOKUP($A19,Devengado!$A$1:$AI$9038,27,FALSE),"")</f>
        <v/>
      </c>
      <c r="CP19" s="224" t="str">
        <f>IFERROR(VLOOKUP($A19,Devengado!$A$1:$AI$9038,28,FALSE),"")</f>
        <v/>
      </c>
      <c r="CQ19" s="224" t="str">
        <f>IFERROR(VLOOKUP($A19,Devengado!$A$1:$AI$9038,29,FALSE),"")</f>
        <v/>
      </c>
      <c r="CR19" s="224" t="str">
        <f>IFERROR(VLOOKUP($A19,Devengado!$A$1:$AI$9038,30,FALSE),"")</f>
        <v/>
      </c>
      <c r="CS19" s="224" t="str">
        <f>IFERROR(VLOOKUP($A19,Devengado!$A$1:$AI$9038,31,FALSE),"")</f>
        <v/>
      </c>
      <c r="CT19" s="224" t="str">
        <f>IFERROR(VLOOKUP($A19,Devengado!$A$1:$AI$9038,32,FALSE),"")</f>
        <v/>
      </c>
      <c r="CU19" s="224" t="str">
        <f>IFERROR(VLOOKUP($A19,Devengado!$A$1:$AI$9038,33,FALSE),"")</f>
        <v/>
      </c>
      <c r="CV19" s="224">
        <f t="shared" si="12"/>
        <v>0</v>
      </c>
      <c r="CW19" s="224" t="str">
        <f t="shared" si="13"/>
        <v/>
      </c>
      <c r="CX19" s="207"/>
      <c r="CY19" s="207" t="str">
        <f t="shared" si="14"/>
        <v>53</v>
      </c>
      <c r="CZ19" s="112" t="s">
        <v>916</v>
      </c>
    </row>
    <row r="20" spans="1:104" s="225" customFormat="1" ht="25.5" customHeight="1">
      <c r="A20" s="207">
        <v>430</v>
      </c>
      <c r="B20" s="207"/>
      <c r="C20" s="207"/>
      <c r="D20" s="207"/>
      <c r="E20" s="207"/>
      <c r="F20" s="207"/>
      <c r="G20" s="207"/>
      <c r="H20" s="207"/>
      <c r="I20" s="207"/>
      <c r="J20" s="207"/>
      <c r="K20" s="112" t="s">
        <v>429</v>
      </c>
      <c r="L20" s="112" t="s">
        <v>850</v>
      </c>
      <c r="M20" s="112" t="s">
        <v>850</v>
      </c>
      <c r="N20" s="112" t="s">
        <v>77</v>
      </c>
      <c r="O20" s="112" t="s">
        <v>77</v>
      </c>
      <c r="P20" s="112" t="s">
        <v>76</v>
      </c>
      <c r="Q20" s="112" t="s">
        <v>77</v>
      </c>
      <c r="R20" s="112" t="s">
        <v>77</v>
      </c>
      <c r="S20" s="112" t="s">
        <v>77</v>
      </c>
      <c r="T20" s="112" t="s">
        <v>77</v>
      </c>
      <c r="U20" s="112" t="s">
        <v>77</v>
      </c>
      <c r="V20" s="112" t="s">
        <v>77</v>
      </c>
      <c r="W20" s="112" t="s">
        <v>85</v>
      </c>
      <c r="X20" s="124" t="s">
        <v>439</v>
      </c>
      <c r="Y20" s="114" t="s">
        <v>430</v>
      </c>
      <c r="Z20" s="114" t="s">
        <v>111</v>
      </c>
      <c r="AA20" s="114" t="s">
        <v>81</v>
      </c>
      <c r="AB20" s="114" t="s">
        <v>112</v>
      </c>
      <c r="AC20" s="115" t="str">
        <f t="shared" si="0"/>
        <v>53</v>
      </c>
      <c r="AD20" s="124">
        <v>530105</v>
      </c>
      <c r="AE20" s="122" t="str">
        <f>VLOOKUP(AD20,ITEM!$C$1:$D$694,2,FALSE)</f>
        <v>Telecomunicaciones</v>
      </c>
      <c r="AF20" s="112">
        <v>1309</v>
      </c>
      <c r="AG20" s="114" t="s">
        <v>82</v>
      </c>
      <c r="AH20" s="114" t="s">
        <v>84</v>
      </c>
      <c r="AI20" s="114" t="s">
        <v>84</v>
      </c>
      <c r="AJ20" s="114" t="s">
        <v>914</v>
      </c>
      <c r="AK20" s="114" t="s">
        <v>77</v>
      </c>
      <c r="AL20" s="271">
        <v>3000</v>
      </c>
      <c r="AM20" s="272"/>
      <c r="AN20" s="272">
        <f t="shared" si="1"/>
        <v>3000</v>
      </c>
      <c r="AO20" s="224">
        <f>SUMIF(Reforma!$A$2:$A$8523,$A20,Reforma!$AB$2:$AB$8523)</f>
        <v>0</v>
      </c>
      <c r="AP20" s="224">
        <f>SUMIF(Reforma!$A$2:$A$8523,$A20,Reforma!$AC$2:$AC$8523)</f>
        <v>-3000</v>
      </c>
      <c r="AQ20" s="224">
        <f>SUMIF(Reforma!$A$2:$A$8523,$A20,Reforma!$AD$2:$AD$8523)</f>
        <v>0</v>
      </c>
      <c r="AR20" s="224">
        <f>SUMIF(Reforma!$A$2:$A$8523,$A20,Reforma!$AE$2:$AE$8523)</f>
        <v>0</v>
      </c>
      <c r="AS20" s="224">
        <f t="shared" si="2"/>
        <v>0</v>
      </c>
      <c r="AT20" s="224">
        <f t="shared" si="3"/>
        <v>0</v>
      </c>
      <c r="AU20" s="224">
        <f t="shared" si="4"/>
        <v>0</v>
      </c>
      <c r="AV20" s="326"/>
      <c r="AW20" s="326"/>
      <c r="AX20" s="326"/>
      <c r="AY20" s="326"/>
      <c r="AZ20" s="326"/>
      <c r="BA20" s="326"/>
      <c r="BB20" s="326"/>
      <c r="BC20" s="326"/>
      <c r="BD20" s="326"/>
      <c r="BE20" s="326"/>
      <c r="BF20" s="326"/>
      <c r="BG20" s="326"/>
      <c r="BH20" s="408">
        <f t="shared" si="5"/>
        <v>3000</v>
      </c>
      <c r="BI20" s="408">
        <f t="shared" si="6"/>
        <v>0</v>
      </c>
      <c r="BJ20" s="408">
        <f t="shared" si="7"/>
        <v>0</v>
      </c>
      <c r="BK20" s="224"/>
      <c r="BL20" s="224"/>
      <c r="BM20" s="224"/>
      <c r="BN20" s="224">
        <f>IFERROR(VLOOKUP($A20,'Constancias POA'!$A$2:$DH$9993,18,FALSE),"")</f>
        <v>0</v>
      </c>
      <c r="BO20" s="224">
        <f t="shared" si="8"/>
        <v>0</v>
      </c>
      <c r="BP20" s="224">
        <f>IFERROR(VLOOKUP($A20,CP!$A$1:$U$7992,18,FALSE),"")</f>
        <v>0</v>
      </c>
      <c r="BQ20" s="224">
        <f>IFERROR(VLOOKUP($A20,CP!$A$1:$U$7992,19,FALSE),"")</f>
        <v>0</v>
      </c>
      <c r="BR20" s="224">
        <f>IFERROR(VLOOKUP($A20,CP!$A$1:$U$7992,20,FALSE),"")</f>
        <v>0</v>
      </c>
      <c r="BS20" s="224" t="str">
        <f>IFERROR(VLOOKUP($A20,CP!$A$1:$U$1,21,FALSE),"")</f>
        <v/>
      </c>
      <c r="BT20" s="224" t="str">
        <f>IFERROR(VLOOKUP(A20,Devengado!$A$1:AJ$9310,35,FALSE),"")</f>
        <v/>
      </c>
      <c r="BU20" s="224" t="str">
        <f t="shared" si="9"/>
        <v/>
      </c>
      <c r="BV20" s="224" t="str">
        <f t="shared" si="10"/>
        <v/>
      </c>
      <c r="BW20" s="224">
        <f t="shared" si="11"/>
        <v>0</v>
      </c>
      <c r="BX20" s="429">
        <v>0</v>
      </c>
      <c r="BY20" s="429">
        <v>0</v>
      </c>
      <c r="BZ20" s="429">
        <v>3000</v>
      </c>
      <c r="CA20" s="429">
        <v>0</v>
      </c>
      <c r="CB20" s="429">
        <v>0</v>
      </c>
      <c r="CC20" s="429">
        <v>0</v>
      </c>
      <c r="CD20" s="429">
        <v>0</v>
      </c>
      <c r="CE20" s="429">
        <v>0</v>
      </c>
      <c r="CF20" s="429">
        <v>0</v>
      </c>
      <c r="CG20" s="429">
        <v>0</v>
      </c>
      <c r="CH20" s="429">
        <v>0</v>
      </c>
      <c r="CI20" s="429">
        <v>0</v>
      </c>
      <c r="CJ20" s="224" t="str">
        <f>IFERROR(VLOOKUP($A20,Devengado!$A$1:$AI$9038,22,FALSE),"")</f>
        <v/>
      </c>
      <c r="CK20" s="224" t="str">
        <f>IFERROR(VLOOKUP($A20,Devengado!$A$1:$AI$9038,23,FALSE),"")</f>
        <v/>
      </c>
      <c r="CL20" s="224" t="str">
        <f>IFERROR(VLOOKUP($A20,Devengado!$A$1:$AI$9038,24,FALSE),"")</f>
        <v/>
      </c>
      <c r="CM20" s="224" t="str">
        <f>IFERROR(VLOOKUP($A20,Devengado!$A$1:$AI$9038,25,FALSE),"")</f>
        <v/>
      </c>
      <c r="CN20" s="224" t="str">
        <f>IFERROR(VLOOKUP($A20,Devengado!$A$1:$AI$9038,26,FALSE),"")</f>
        <v/>
      </c>
      <c r="CO20" s="224" t="str">
        <f>IFERROR(VLOOKUP($A20,Devengado!$A$1:$AI$9038,27,FALSE),"")</f>
        <v/>
      </c>
      <c r="CP20" s="224" t="str">
        <f>IFERROR(VLOOKUP($A20,Devengado!$A$1:$AI$9038,28,FALSE),"")</f>
        <v/>
      </c>
      <c r="CQ20" s="224" t="str">
        <f>IFERROR(VLOOKUP($A20,Devengado!$A$1:$AI$9038,29,FALSE),"")</f>
        <v/>
      </c>
      <c r="CR20" s="224" t="str">
        <f>IFERROR(VLOOKUP($A20,Devengado!$A$1:$AI$9038,30,FALSE),"")</f>
        <v/>
      </c>
      <c r="CS20" s="224" t="str">
        <f>IFERROR(VLOOKUP($A20,Devengado!$A$1:$AI$9038,31,FALSE),"")</f>
        <v/>
      </c>
      <c r="CT20" s="224" t="str">
        <f>IFERROR(VLOOKUP($A20,Devengado!$A$1:$AI$9038,32,FALSE),"")</f>
        <v/>
      </c>
      <c r="CU20" s="224" t="str">
        <f>IFERROR(VLOOKUP($A20,Devengado!$A$1:$AI$9038,33,FALSE),"")</f>
        <v/>
      </c>
      <c r="CV20" s="224">
        <f t="shared" si="12"/>
        <v>0</v>
      </c>
      <c r="CW20" s="224" t="str">
        <f t="shared" si="13"/>
        <v/>
      </c>
      <c r="CX20" s="207"/>
      <c r="CY20" s="207" t="str">
        <f t="shared" si="14"/>
        <v>53</v>
      </c>
      <c r="CZ20" s="112" t="s">
        <v>916</v>
      </c>
    </row>
    <row r="21" spans="1:104" s="225" customFormat="1" ht="25.5" customHeight="1">
      <c r="A21" s="207">
        <v>431</v>
      </c>
      <c r="B21" s="207"/>
      <c r="C21" s="207"/>
      <c r="D21" s="207"/>
      <c r="E21" s="207"/>
      <c r="F21" s="207"/>
      <c r="G21" s="207"/>
      <c r="H21" s="207"/>
      <c r="I21" s="207"/>
      <c r="J21" s="207"/>
      <c r="K21" s="112" t="s">
        <v>429</v>
      </c>
      <c r="L21" s="112" t="s">
        <v>850</v>
      </c>
      <c r="M21" s="112" t="s">
        <v>850</v>
      </c>
      <c r="N21" s="112" t="s">
        <v>77</v>
      </c>
      <c r="O21" s="112" t="s">
        <v>77</v>
      </c>
      <c r="P21" s="112" t="s">
        <v>76</v>
      </c>
      <c r="Q21" s="112" t="s">
        <v>77</v>
      </c>
      <c r="R21" s="112" t="s">
        <v>77</v>
      </c>
      <c r="S21" s="112" t="s">
        <v>77</v>
      </c>
      <c r="T21" s="112" t="s">
        <v>77</v>
      </c>
      <c r="U21" s="112" t="s">
        <v>77</v>
      </c>
      <c r="V21" s="112" t="s">
        <v>77</v>
      </c>
      <c r="W21" s="112" t="s">
        <v>87</v>
      </c>
      <c r="X21" s="124" t="s">
        <v>440</v>
      </c>
      <c r="Y21" s="114" t="s">
        <v>430</v>
      </c>
      <c r="Z21" s="114" t="s">
        <v>111</v>
      </c>
      <c r="AA21" s="114" t="s">
        <v>81</v>
      </c>
      <c r="AB21" s="114" t="s">
        <v>112</v>
      </c>
      <c r="AC21" s="115" t="str">
        <f t="shared" si="0"/>
        <v>53</v>
      </c>
      <c r="AD21" s="124">
        <v>530105</v>
      </c>
      <c r="AE21" s="122" t="str">
        <f>VLOOKUP(AD21,ITEM!$C$1:$D$694,2,FALSE)</f>
        <v>Telecomunicaciones</v>
      </c>
      <c r="AF21" s="112">
        <v>1309</v>
      </c>
      <c r="AG21" s="114" t="s">
        <v>82</v>
      </c>
      <c r="AH21" s="114" t="s">
        <v>84</v>
      </c>
      <c r="AI21" s="114" t="s">
        <v>84</v>
      </c>
      <c r="AJ21" s="114" t="s">
        <v>914</v>
      </c>
      <c r="AK21" s="114" t="s">
        <v>77</v>
      </c>
      <c r="AL21" s="271">
        <v>1600</v>
      </c>
      <c r="AM21" s="272"/>
      <c r="AN21" s="272">
        <f t="shared" si="1"/>
        <v>1600</v>
      </c>
      <c r="AO21" s="224">
        <f>SUMIF(Reforma!$A$2:$A$8523,$A21,Reforma!$AB$2:$AB$8523)</f>
        <v>0</v>
      </c>
      <c r="AP21" s="224">
        <f>SUMIF(Reforma!$A$2:$A$8523,$A21,Reforma!$AC$2:$AC$8523)</f>
        <v>-1600</v>
      </c>
      <c r="AQ21" s="224">
        <f>SUMIF(Reforma!$A$2:$A$8523,$A21,Reforma!$AD$2:$AD$8523)</f>
        <v>0</v>
      </c>
      <c r="AR21" s="224">
        <f>SUMIF(Reforma!$A$2:$A$8523,$A21,Reforma!$AE$2:$AE$8523)</f>
        <v>0</v>
      </c>
      <c r="AS21" s="224">
        <f t="shared" si="2"/>
        <v>0</v>
      </c>
      <c r="AT21" s="224">
        <f t="shared" si="3"/>
        <v>0</v>
      </c>
      <c r="AU21" s="224">
        <f t="shared" si="4"/>
        <v>0</v>
      </c>
      <c r="AV21" s="326"/>
      <c r="AW21" s="326"/>
      <c r="AX21" s="326"/>
      <c r="AY21" s="326"/>
      <c r="AZ21" s="326"/>
      <c r="BA21" s="326"/>
      <c r="BB21" s="326"/>
      <c r="BC21" s="326"/>
      <c r="BD21" s="326"/>
      <c r="BE21" s="326"/>
      <c r="BF21" s="326"/>
      <c r="BG21" s="326"/>
      <c r="BH21" s="408">
        <f t="shared" si="5"/>
        <v>1600</v>
      </c>
      <c r="BI21" s="408">
        <f t="shared" si="6"/>
        <v>0</v>
      </c>
      <c r="BJ21" s="408">
        <f t="shared" si="7"/>
        <v>0</v>
      </c>
      <c r="BK21" s="224"/>
      <c r="BL21" s="224"/>
      <c r="BM21" s="224"/>
      <c r="BN21" s="224" t="str">
        <f>IFERROR(VLOOKUP($A21,'Constancias POA'!$A$2:$DH$9993,18,FALSE),"")</f>
        <v/>
      </c>
      <c r="BO21" s="224" t="str">
        <f t="shared" si="8"/>
        <v/>
      </c>
      <c r="BP21" s="224" t="str">
        <f>IFERROR(VLOOKUP($A21,CP!$A$1:$U$7992,18,FALSE),"")</f>
        <v/>
      </c>
      <c r="BQ21" s="224" t="str">
        <f>IFERROR(VLOOKUP($A21,CP!$A$1:$U$7992,19,FALSE),"")</f>
        <v/>
      </c>
      <c r="BR21" s="224" t="str">
        <f>IFERROR(VLOOKUP($A21,CP!$A$1:$U$7992,20,FALSE),"")</f>
        <v/>
      </c>
      <c r="BS21" s="224" t="str">
        <f>IFERROR(VLOOKUP($A21,CP!$A$1:$U$1,21,FALSE),"")</f>
        <v/>
      </c>
      <c r="BT21" s="224" t="str">
        <f>IFERROR(VLOOKUP(A21,Devengado!$A$1:AJ$9310,35,FALSE),"")</f>
        <v/>
      </c>
      <c r="BU21" s="224" t="str">
        <f t="shared" si="9"/>
        <v/>
      </c>
      <c r="BV21" s="224" t="str">
        <f t="shared" si="10"/>
        <v/>
      </c>
      <c r="BW21" s="224">
        <f t="shared" si="11"/>
        <v>0</v>
      </c>
      <c r="BX21" s="429">
        <v>0</v>
      </c>
      <c r="BY21" s="429">
        <v>1600</v>
      </c>
      <c r="BZ21" s="429">
        <v>0</v>
      </c>
      <c r="CA21" s="429">
        <v>0</v>
      </c>
      <c r="CB21" s="429">
        <v>0</v>
      </c>
      <c r="CC21" s="429">
        <v>0</v>
      </c>
      <c r="CD21" s="429">
        <v>0</v>
      </c>
      <c r="CE21" s="429">
        <v>0</v>
      </c>
      <c r="CF21" s="429">
        <v>0</v>
      </c>
      <c r="CG21" s="429">
        <v>0</v>
      </c>
      <c r="CH21" s="429">
        <v>0</v>
      </c>
      <c r="CI21" s="429">
        <v>0</v>
      </c>
      <c r="CJ21" s="224" t="str">
        <f>IFERROR(VLOOKUP($A21,Devengado!$A$1:$AI$9038,22,FALSE),"")</f>
        <v/>
      </c>
      <c r="CK21" s="224" t="str">
        <f>IFERROR(VLOOKUP($A21,Devengado!$A$1:$AI$9038,23,FALSE),"")</f>
        <v/>
      </c>
      <c r="CL21" s="224" t="str">
        <f>IFERROR(VLOOKUP($A21,Devengado!$A$1:$AI$9038,24,FALSE),"")</f>
        <v/>
      </c>
      <c r="CM21" s="224" t="str">
        <f>IFERROR(VLOOKUP($A21,Devengado!$A$1:$AI$9038,25,FALSE),"")</f>
        <v/>
      </c>
      <c r="CN21" s="224" t="str">
        <f>IFERROR(VLOOKUP($A21,Devengado!$A$1:$AI$9038,26,FALSE),"")</f>
        <v/>
      </c>
      <c r="CO21" s="224" t="str">
        <f>IFERROR(VLOOKUP($A21,Devengado!$A$1:$AI$9038,27,FALSE),"")</f>
        <v/>
      </c>
      <c r="CP21" s="224" t="str">
        <f>IFERROR(VLOOKUP($A21,Devengado!$A$1:$AI$9038,28,FALSE),"")</f>
        <v/>
      </c>
      <c r="CQ21" s="224" t="str">
        <f>IFERROR(VLOOKUP($A21,Devengado!$A$1:$AI$9038,29,FALSE),"")</f>
        <v/>
      </c>
      <c r="CR21" s="224" t="str">
        <f>IFERROR(VLOOKUP($A21,Devengado!$A$1:$AI$9038,30,FALSE),"")</f>
        <v/>
      </c>
      <c r="CS21" s="224" t="str">
        <f>IFERROR(VLOOKUP($A21,Devengado!$A$1:$AI$9038,31,FALSE),"")</f>
        <v/>
      </c>
      <c r="CT21" s="224" t="str">
        <f>IFERROR(VLOOKUP($A21,Devengado!$A$1:$AI$9038,32,FALSE),"")</f>
        <v/>
      </c>
      <c r="CU21" s="224" t="str">
        <f>IFERROR(VLOOKUP($A21,Devengado!$A$1:$AI$9038,33,FALSE),"")</f>
        <v/>
      </c>
      <c r="CV21" s="224">
        <f t="shared" si="12"/>
        <v>0</v>
      </c>
      <c r="CW21" s="224" t="str">
        <f t="shared" si="13"/>
        <v/>
      </c>
      <c r="CX21" s="207"/>
      <c r="CY21" s="207" t="str">
        <f t="shared" si="14"/>
        <v>53</v>
      </c>
      <c r="CZ21" s="112" t="s">
        <v>915</v>
      </c>
    </row>
    <row r="22" spans="1:104" s="225" customFormat="1" ht="25.5" customHeight="1">
      <c r="A22" s="207">
        <v>432</v>
      </c>
      <c r="B22" s="207"/>
      <c r="C22" s="207"/>
      <c r="D22" s="207"/>
      <c r="E22" s="207"/>
      <c r="F22" s="207"/>
      <c r="G22" s="207"/>
      <c r="H22" s="207"/>
      <c r="I22" s="207"/>
      <c r="J22" s="207"/>
      <c r="K22" s="112" t="s">
        <v>429</v>
      </c>
      <c r="L22" s="112" t="s">
        <v>850</v>
      </c>
      <c r="M22" s="112" t="s">
        <v>850</v>
      </c>
      <c r="N22" s="112" t="s">
        <v>77</v>
      </c>
      <c r="O22" s="112" t="s">
        <v>77</v>
      </c>
      <c r="P22" s="112" t="s">
        <v>76</v>
      </c>
      <c r="Q22" s="112" t="s">
        <v>77</v>
      </c>
      <c r="R22" s="112" t="s">
        <v>77</v>
      </c>
      <c r="S22" s="112" t="s">
        <v>77</v>
      </c>
      <c r="T22" s="112" t="s">
        <v>77</v>
      </c>
      <c r="U22" s="112" t="s">
        <v>77</v>
      </c>
      <c r="V22" s="112" t="s">
        <v>77</v>
      </c>
      <c r="W22" s="112" t="s">
        <v>85</v>
      </c>
      <c r="X22" s="124" t="s">
        <v>441</v>
      </c>
      <c r="Y22" s="114" t="s">
        <v>430</v>
      </c>
      <c r="Z22" s="114" t="s">
        <v>111</v>
      </c>
      <c r="AA22" s="114" t="s">
        <v>81</v>
      </c>
      <c r="AB22" s="114" t="s">
        <v>112</v>
      </c>
      <c r="AC22" s="115" t="str">
        <f t="shared" si="0"/>
        <v>53</v>
      </c>
      <c r="AD22" s="124">
        <v>530105</v>
      </c>
      <c r="AE22" s="122" t="str">
        <f>VLOOKUP(AD22,ITEM!$C$1:$D$694,2,FALSE)</f>
        <v>Telecomunicaciones</v>
      </c>
      <c r="AF22" s="112">
        <v>1309</v>
      </c>
      <c r="AG22" s="114" t="s">
        <v>82</v>
      </c>
      <c r="AH22" s="114" t="s">
        <v>84</v>
      </c>
      <c r="AI22" s="114" t="s">
        <v>84</v>
      </c>
      <c r="AJ22" s="114" t="s">
        <v>914</v>
      </c>
      <c r="AK22" s="114" t="s">
        <v>77</v>
      </c>
      <c r="AL22" s="271">
        <v>8000</v>
      </c>
      <c r="AM22" s="272"/>
      <c r="AN22" s="272">
        <f t="shared" si="1"/>
        <v>8000</v>
      </c>
      <c r="AO22" s="224">
        <f>SUMIF(Reforma!$A$2:$A$8523,$A22,Reforma!$AB$2:$AB$8523)</f>
        <v>2136</v>
      </c>
      <c r="AP22" s="224">
        <f>SUMIF(Reforma!$A$2:$A$8523,$A22,Reforma!$AC$2:$AC$8523)</f>
        <v>-2697.6400000000003</v>
      </c>
      <c r="AQ22" s="224">
        <f>SUMIF(Reforma!$A$2:$A$8523,$A22,Reforma!$AD$2:$AD$8523)</f>
        <v>0</v>
      </c>
      <c r="AR22" s="224">
        <f>SUMIF(Reforma!$A$2:$A$8523,$A22,Reforma!$AE$2:$AE$8523)</f>
        <v>0</v>
      </c>
      <c r="AS22" s="224">
        <f t="shared" si="2"/>
        <v>7438.36</v>
      </c>
      <c r="AT22" s="224">
        <f t="shared" si="3"/>
        <v>0</v>
      </c>
      <c r="AU22" s="224">
        <f t="shared" si="4"/>
        <v>7438.36</v>
      </c>
      <c r="AV22" s="462"/>
      <c r="AW22" s="462"/>
      <c r="AX22" s="462">
        <v>1323.68</v>
      </c>
      <c r="AY22" s="462"/>
      <c r="AZ22" s="462">
        <v>1323.68</v>
      </c>
      <c r="BA22" s="462">
        <v>661.84</v>
      </c>
      <c r="BB22" s="462">
        <v>506.92</v>
      </c>
      <c r="BC22" s="462"/>
      <c r="BD22" s="462">
        <v>1323.68</v>
      </c>
      <c r="BE22" s="462">
        <v>661.84</v>
      </c>
      <c r="BF22" s="462"/>
      <c r="BG22" s="462">
        <v>1636.72</v>
      </c>
      <c r="BH22" s="408">
        <f t="shared" si="5"/>
        <v>8000</v>
      </c>
      <c r="BI22" s="408">
        <f t="shared" si="6"/>
        <v>7438.3600000000006</v>
      </c>
      <c r="BJ22" s="408">
        <f t="shared" si="7"/>
        <v>0</v>
      </c>
      <c r="BK22" s="224"/>
      <c r="BL22" s="224"/>
      <c r="BM22" s="224"/>
      <c r="BN22" s="224">
        <f>IFERROR(VLOOKUP($A22,'Constancias POA'!$A$2:$DH$9993,18,FALSE),"")</f>
        <v>8836</v>
      </c>
      <c r="BO22" s="224">
        <f t="shared" si="8"/>
        <v>-1397.6400000000003</v>
      </c>
      <c r="BP22" s="224">
        <f>IFERROR(VLOOKUP($A22,CP!$A$1:$U$7992,18,FALSE),"")</f>
        <v>1300</v>
      </c>
      <c r="BQ22" s="224">
        <f>IFERROR(VLOOKUP($A22,CP!$A$1:$U$7992,19,FALSE),"")</f>
        <v>7438.36</v>
      </c>
      <c r="BR22" s="224">
        <f>IFERROR(VLOOKUP($A22,CP!$A$1:$U$7992,20,FALSE),"")</f>
        <v>0</v>
      </c>
      <c r="BS22" s="224" t="str">
        <f>IFERROR(VLOOKUP($A22,CP!$A$1:$U$1,21,FALSE),"")</f>
        <v/>
      </c>
      <c r="BT22" s="224">
        <f>IFERROR(VLOOKUP(A22,Devengado!$A$1:AJ$9310,35,FALSE),"")</f>
        <v>5801.64</v>
      </c>
      <c r="BU22" s="224">
        <f t="shared" si="9"/>
        <v>1636.7199999999993</v>
      </c>
      <c r="BV22" s="224">
        <f t="shared" si="10"/>
        <v>0.77996224974322304</v>
      </c>
      <c r="BW22" s="224">
        <f t="shared" si="11"/>
        <v>7438.36</v>
      </c>
      <c r="BX22" s="429">
        <v>0</v>
      </c>
      <c r="BY22" s="429">
        <v>700</v>
      </c>
      <c r="BZ22" s="429">
        <v>700</v>
      </c>
      <c r="CA22" s="429">
        <v>700</v>
      </c>
      <c r="CB22" s="429">
        <v>700</v>
      </c>
      <c r="CC22" s="429">
        <v>700</v>
      </c>
      <c r="CD22" s="429">
        <v>700</v>
      </c>
      <c r="CE22" s="429">
        <v>700</v>
      </c>
      <c r="CF22" s="429">
        <v>700</v>
      </c>
      <c r="CG22" s="429">
        <v>700</v>
      </c>
      <c r="CH22" s="429">
        <v>700</v>
      </c>
      <c r="CI22" s="429">
        <v>1000</v>
      </c>
      <c r="CJ22" s="224">
        <f>IFERROR(VLOOKUP($A22,Devengado!$A$1:$AI$9038,22,FALSE),"")</f>
        <v>0</v>
      </c>
      <c r="CK22" s="224">
        <f>IFERROR(VLOOKUP($A22,Devengado!$A$1:$AI$9038,23,FALSE),"")</f>
        <v>0</v>
      </c>
      <c r="CL22" s="224">
        <f>IFERROR(VLOOKUP($A22,Devengado!$A$1:$AI$9038,24,FALSE),"")</f>
        <v>1323.68</v>
      </c>
      <c r="CM22" s="224">
        <f>IFERROR(VLOOKUP($A22,Devengado!$A$1:$AI$9038,25,FALSE),"")</f>
        <v>0</v>
      </c>
      <c r="CN22" s="224">
        <f>IFERROR(VLOOKUP($A22,Devengado!$A$1:$AI$9038,26,FALSE),"")</f>
        <v>1323.68</v>
      </c>
      <c r="CO22" s="224">
        <f>IFERROR(VLOOKUP($A22,Devengado!$A$1:$AI$9038,27,FALSE),"")</f>
        <v>661.84</v>
      </c>
      <c r="CP22" s="224">
        <f>IFERROR(VLOOKUP($A22,Devengado!$A$1:$AI$9038,28,FALSE),"")</f>
        <v>506.92</v>
      </c>
      <c r="CQ22" s="224">
        <f>IFERROR(VLOOKUP($A22,Devengado!$A$1:$AI$9038,29,FALSE),"")</f>
        <v>0</v>
      </c>
      <c r="CR22" s="224">
        <f>IFERROR(VLOOKUP($A22,Devengado!$A$1:$AI$9038,30,FALSE),"")</f>
        <v>1323.68</v>
      </c>
      <c r="CS22" s="224">
        <f>IFERROR(VLOOKUP($A22,Devengado!$A$1:$AI$9038,31,FALSE),"")</f>
        <v>661.84</v>
      </c>
      <c r="CT22" s="224">
        <f>IFERROR(VLOOKUP($A22,Devengado!$A$1:$AI$9038,32,FALSE),"")</f>
        <v>0</v>
      </c>
      <c r="CU22" s="224">
        <f>IFERROR(VLOOKUP($A22,Devengado!$A$1:$AI$9038,33,FALSE),"")</f>
        <v>0</v>
      </c>
      <c r="CV22" s="224">
        <f t="shared" si="12"/>
        <v>5801.64</v>
      </c>
      <c r="CW22" s="224">
        <f t="shared" si="13"/>
        <v>0</v>
      </c>
      <c r="CX22" s="207"/>
      <c r="CY22" s="207" t="str">
        <f t="shared" si="14"/>
        <v>53</v>
      </c>
      <c r="CZ22" s="112" t="s">
        <v>916</v>
      </c>
    </row>
    <row r="23" spans="1:104" s="225" customFormat="1" ht="30" customHeight="1">
      <c r="A23" s="207">
        <v>433</v>
      </c>
      <c r="B23" s="207"/>
      <c r="C23" s="207"/>
      <c r="D23" s="207"/>
      <c r="E23" s="207"/>
      <c r="F23" s="207"/>
      <c r="G23" s="207"/>
      <c r="H23" s="207"/>
      <c r="I23" s="207"/>
      <c r="J23" s="207"/>
      <c r="K23" s="112" t="s">
        <v>429</v>
      </c>
      <c r="L23" s="112" t="s">
        <v>850</v>
      </c>
      <c r="M23" s="112" t="s">
        <v>919</v>
      </c>
      <c r="N23" s="112" t="s">
        <v>77</v>
      </c>
      <c r="O23" s="112" t="s">
        <v>77</v>
      </c>
      <c r="P23" s="112" t="s">
        <v>76</v>
      </c>
      <c r="Q23" s="112" t="s">
        <v>77</v>
      </c>
      <c r="R23" s="112" t="s">
        <v>77</v>
      </c>
      <c r="S23" s="112" t="s">
        <v>77</v>
      </c>
      <c r="T23" s="112" t="s">
        <v>77</v>
      </c>
      <c r="U23" s="112" t="s">
        <v>77</v>
      </c>
      <c r="V23" s="112" t="s">
        <v>77</v>
      </c>
      <c r="W23" s="112" t="s">
        <v>85</v>
      </c>
      <c r="X23" s="124" t="s">
        <v>442</v>
      </c>
      <c r="Y23" s="114" t="s">
        <v>430</v>
      </c>
      <c r="Z23" s="114" t="s">
        <v>111</v>
      </c>
      <c r="AA23" s="114" t="s">
        <v>81</v>
      </c>
      <c r="AB23" s="114" t="s">
        <v>112</v>
      </c>
      <c r="AC23" s="115" t="str">
        <f t="shared" si="0"/>
        <v>53</v>
      </c>
      <c r="AD23" s="124">
        <v>530402</v>
      </c>
      <c r="AE23" s="122" t="str">
        <f>VLOOKUP(AD23,ITEM!$C$1:$D$694,2,FALSE)</f>
        <v>Edificios, Locales, Residencias y Cableado Estructurado (Instalación, Mantenimiento y Reparación)</v>
      </c>
      <c r="AF23" s="112">
        <v>1301</v>
      </c>
      <c r="AG23" s="114" t="s">
        <v>82</v>
      </c>
      <c r="AH23" s="114" t="s">
        <v>84</v>
      </c>
      <c r="AI23" s="114" t="s">
        <v>84</v>
      </c>
      <c r="AJ23" s="114" t="s">
        <v>914</v>
      </c>
      <c r="AK23" s="114" t="s">
        <v>77</v>
      </c>
      <c r="AL23" s="271">
        <v>0</v>
      </c>
      <c r="AM23" s="272"/>
      <c r="AN23" s="272">
        <f t="shared" si="1"/>
        <v>0</v>
      </c>
      <c r="AO23" s="224">
        <f>SUMIF(Reforma!$A$2:$A$8523,$A23,Reforma!$AB$2:$AB$8523)</f>
        <v>66034.080000000002</v>
      </c>
      <c r="AP23" s="224">
        <f>SUMIF(Reforma!$A$2:$A$8523,$A23,Reforma!$AC$2:$AC$8523)</f>
        <v>0</v>
      </c>
      <c r="AQ23" s="224">
        <f>SUMIF(Reforma!$A$2:$A$8523,$A23,Reforma!$AD$2:$AD$8523)</f>
        <v>0</v>
      </c>
      <c r="AR23" s="224">
        <f>SUMIF(Reforma!$A$2:$A$8523,$A23,Reforma!$AE$2:$AE$8523)</f>
        <v>0</v>
      </c>
      <c r="AS23" s="224">
        <f t="shared" si="2"/>
        <v>66034.080000000002</v>
      </c>
      <c r="AT23" s="224">
        <f t="shared" si="3"/>
        <v>0</v>
      </c>
      <c r="AU23" s="224">
        <f t="shared" si="4"/>
        <v>66034.080000000002</v>
      </c>
      <c r="AV23" s="326">
        <v>0</v>
      </c>
      <c r="AW23" s="326">
        <v>0</v>
      </c>
      <c r="AX23" s="326">
        <v>0</v>
      </c>
      <c r="AY23" s="326">
        <v>0</v>
      </c>
      <c r="AZ23" s="326">
        <v>0</v>
      </c>
      <c r="BA23" s="326">
        <v>0</v>
      </c>
      <c r="BB23" s="326">
        <v>0</v>
      </c>
      <c r="BC23" s="326">
        <v>0</v>
      </c>
      <c r="BD23" s="326">
        <v>0</v>
      </c>
      <c r="BE23" s="326">
        <v>0</v>
      </c>
      <c r="BF23" s="326">
        <v>66034.080000000002</v>
      </c>
      <c r="BG23" s="326">
        <v>0</v>
      </c>
      <c r="BH23" s="408">
        <f t="shared" si="5"/>
        <v>0</v>
      </c>
      <c r="BI23" s="408">
        <f t="shared" si="6"/>
        <v>66034.080000000002</v>
      </c>
      <c r="BJ23" s="408">
        <f t="shared" si="7"/>
        <v>0</v>
      </c>
      <c r="BK23" s="224"/>
      <c r="BL23" s="224"/>
      <c r="BM23" s="224"/>
      <c r="BN23" s="224" t="str">
        <f>IFERROR(VLOOKUP($A23,'Constancias POA'!$A$2:$DH$9993,18,FALSE),"")</f>
        <v/>
      </c>
      <c r="BO23" s="224" t="str">
        <f t="shared" si="8"/>
        <v/>
      </c>
      <c r="BP23" s="224">
        <f>IFERROR(VLOOKUP($A23,CP!$A$1:$U$7992,18,FALSE),"")</f>
        <v>66034.080000000002</v>
      </c>
      <c r="BQ23" s="224">
        <f>IFERROR(VLOOKUP($A23,CP!$A$1:$U$7992,19,FALSE),"")</f>
        <v>66034.080000000002</v>
      </c>
      <c r="BR23" s="224">
        <f>IFERROR(VLOOKUP($A23,CP!$A$1:$U$7992,20,FALSE),"")</f>
        <v>0</v>
      </c>
      <c r="BS23" s="224" t="str">
        <f>IFERROR(VLOOKUP($A23,CP!$A$1:$U$1,21,FALSE),"")</f>
        <v/>
      </c>
      <c r="BT23" s="224">
        <f>IFERROR(VLOOKUP(A23,Devengado!$A$1:AJ$9310,35,FALSE),"")</f>
        <v>66034.080000000002</v>
      </c>
      <c r="BU23" s="224">
        <f t="shared" si="9"/>
        <v>0</v>
      </c>
      <c r="BV23" s="224">
        <f t="shared" si="10"/>
        <v>1</v>
      </c>
      <c r="BW23" s="224">
        <f t="shared" si="11"/>
        <v>66034.080000000002</v>
      </c>
      <c r="BX23" s="429">
        <v>0</v>
      </c>
      <c r="BY23" s="429">
        <v>0</v>
      </c>
      <c r="BZ23" s="429">
        <v>0</v>
      </c>
      <c r="CA23" s="429">
        <v>0</v>
      </c>
      <c r="CB23" s="429">
        <v>0</v>
      </c>
      <c r="CC23" s="429">
        <v>0</v>
      </c>
      <c r="CD23" s="429">
        <v>0</v>
      </c>
      <c r="CE23" s="429">
        <v>0</v>
      </c>
      <c r="CF23" s="429">
        <v>0</v>
      </c>
      <c r="CG23" s="429">
        <v>0</v>
      </c>
      <c r="CH23" s="429">
        <v>0</v>
      </c>
      <c r="CI23" s="429">
        <v>0</v>
      </c>
      <c r="CJ23" s="224">
        <f>IFERROR(VLOOKUP($A23,Devengado!$A$1:$AI$9038,22,FALSE),"")</f>
        <v>0</v>
      </c>
      <c r="CK23" s="224">
        <f>IFERROR(VLOOKUP($A23,Devengado!$A$1:$AI$9038,23,FALSE),"")</f>
        <v>0</v>
      </c>
      <c r="CL23" s="224">
        <f>IFERROR(VLOOKUP($A23,Devengado!$A$1:$AI$9038,24,FALSE),"")</f>
        <v>0</v>
      </c>
      <c r="CM23" s="224">
        <f>IFERROR(VLOOKUP($A23,Devengado!$A$1:$AI$9038,25,FALSE),"")</f>
        <v>0</v>
      </c>
      <c r="CN23" s="224">
        <f>IFERROR(VLOOKUP($A23,Devengado!$A$1:$AI$9038,26,FALSE),"")</f>
        <v>0</v>
      </c>
      <c r="CO23" s="224">
        <f>IFERROR(VLOOKUP($A23,Devengado!$A$1:$AI$9038,27,FALSE),"")</f>
        <v>0</v>
      </c>
      <c r="CP23" s="224">
        <f>IFERROR(VLOOKUP($A23,Devengado!$A$1:$AI$9038,28,FALSE),"")</f>
        <v>0</v>
      </c>
      <c r="CQ23" s="224">
        <f>IFERROR(VLOOKUP($A23,Devengado!$A$1:$AI$9038,29,FALSE),"")</f>
        <v>0</v>
      </c>
      <c r="CR23" s="224">
        <f>IFERROR(VLOOKUP($A23,Devengado!$A$1:$AI$9038,30,FALSE),"")</f>
        <v>0</v>
      </c>
      <c r="CS23" s="224">
        <f>IFERROR(VLOOKUP($A23,Devengado!$A$1:$AI$9038,31,FALSE),"")</f>
        <v>0</v>
      </c>
      <c r="CT23" s="224">
        <f>IFERROR(VLOOKUP($A23,Devengado!$A$1:$AI$9038,32,FALSE),"")</f>
        <v>0</v>
      </c>
      <c r="CU23" s="224">
        <f>IFERROR(VLOOKUP($A23,Devengado!$A$1:$AI$9038,33,FALSE),"")</f>
        <v>66034.080000000002</v>
      </c>
      <c r="CV23" s="224">
        <f t="shared" si="12"/>
        <v>66034.080000000002</v>
      </c>
      <c r="CW23" s="224">
        <f t="shared" si="13"/>
        <v>0</v>
      </c>
      <c r="CX23" s="207"/>
      <c r="CY23" s="207" t="str">
        <f t="shared" si="14"/>
        <v>53</v>
      </c>
      <c r="CZ23" s="112" t="s">
        <v>915</v>
      </c>
    </row>
    <row r="24" spans="1:104" s="225" customFormat="1" ht="25.5" customHeight="1">
      <c r="A24" s="207">
        <v>434</v>
      </c>
      <c r="B24" s="207"/>
      <c r="C24" s="207"/>
      <c r="D24" s="207"/>
      <c r="E24" s="207"/>
      <c r="F24" s="207"/>
      <c r="G24" s="207"/>
      <c r="H24" s="207"/>
      <c r="I24" s="207"/>
      <c r="J24" s="207"/>
      <c r="K24" s="112" t="s">
        <v>429</v>
      </c>
      <c r="L24" s="112" t="s">
        <v>850</v>
      </c>
      <c r="M24" s="119" t="s">
        <v>919</v>
      </c>
      <c r="N24" s="112" t="s">
        <v>77</v>
      </c>
      <c r="O24" s="112" t="s">
        <v>77</v>
      </c>
      <c r="P24" s="112" t="s">
        <v>76</v>
      </c>
      <c r="Q24" s="112" t="s">
        <v>77</v>
      </c>
      <c r="R24" s="112" t="s">
        <v>77</v>
      </c>
      <c r="S24" s="112" t="s">
        <v>77</v>
      </c>
      <c r="T24" s="112" t="s">
        <v>77</v>
      </c>
      <c r="U24" s="112" t="s">
        <v>77</v>
      </c>
      <c r="V24" s="112" t="s">
        <v>77</v>
      </c>
      <c r="W24" s="112" t="s">
        <v>87</v>
      </c>
      <c r="X24" s="124" t="s">
        <v>443</v>
      </c>
      <c r="Y24" s="114" t="s">
        <v>430</v>
      </c>
      <c r="Z24" s="114" t="s">
        <v>111</v>
      </c>
      <c r="AA24" s="114" t="s">
        <v>81</v>
      </c>
      <c r="AB24" s="114" t="s">
        <v>112</v>
      </c>
      <c r="AC24" s="115" t="str">
        <f t="shared" si="0"/>
        <v>53</v>
      </c>
      <c r="AD24" s="124">
        <v>530402</v>
      </c>
      <c r="AE24" s="122" t="str">
        <f>VLOOKUP(AD24,ITEM!$C$1:$D$694,2,FALSE)</f>
        <v>Edificios, Locales, Residencias y Cableado Estructurado (Instalación, Mantenimiento y Reparación)</v>
      </c>
      <c r="AF24" s="112">
        <v>1301</v>
      </c>
      <c r="AG24" s="114" t="s">
        <v>82</v>
      </c>
      <c r="AH24" s="114" t="s">
        <v>84</v>
      </c>
      <c r="AI24" s="114" t="s">
        <v>84</v>
      </c>
      <c r="AJ24" s="114" t="s">
        <v>914</v>
      </c>
      <c r="AK24" s="114" t="s">
        <v>77</v>
      </c>
      <c r="AL24" s="271">
        <v>6624</v>
      </c>
      <c r="AM24" s="272"/>
      <c r="AN24" s="272">
        <f t="shared" si="1"/>
        <v>6624</v>
      </c>
      <c r="AO24" s="224">
        <f>SUMIF(Reforma!$A$2:$A$8523,$A24,Reforma!$AB$2:$AB$8523)</f>
        <v>0</v>
      </c>
      <c r="AP24" s="224">
        <f>SUMIF(Reforma!$A$2:$A$8523,$A24,Reforma!$AC$2:$AC$8523)</f>
        <v>0</v>
      </c>
      <c r="AQ24" s="224">
        <f>SUMIF(Reforma!$A$2:$A$8523,$A24,Reforma!$AD$2:$AD$8523)</f>
        <v>0</v>
      </c>
      <c r="AR24" s="224">
        <f>SUMIF(Reforma!$A$2:$A$8523,$A24,Reforma!$AE$2:$AE$8523)</f>
        <v>0</v>
      </c>
      <c r="AS24" s="224">
        <f t="shared" si="2"/>
        <v>6624</v>
      </c>
      <c r="AT24" s="224">
        <f t="shared" si="3"/>
        <v>0</v>
      </c>
      <c r="AU24" s="224">
        <f t="shared" si="4"/>
        <v>6624</v>
      </c>
      <c r="AV24" s="326">
        <v>0</v>
      </c>
      <c r="AW24" s="326">
        <v>6624</v>
      </c>
      <c r="AX24" s="326">
        <v>0</v>
      </c>
      <c r="AY24" s="326">
        <v>0</v>
      </c>
      <c r="AZ24" s="326">
        <v>0</v>
      </c>
      <c r="BA24" s="326">
        <v>0</v>
      </c>
      <c r="BB24" s="326">
        <v>0</v>
      </c>
      <c r="BC24" s="326">
        <v>0</v>
      </c>
      <c r="BD24" s="326">
        <v>0</v>
      </c>
      <c r="BE24" s="326">
        <v>0</v>
      </c>
      <c r="BF24" s="326">
        <v>0</v>
      </c>
      <c r="BG24" s="326">
        <v>0</v>
      </c>
      <c r="BH24" s="408">
        <f t="shared" si="5"/>
        <v>6624</v>
      </c>
      <c r="BI24" s="408">
        <f t="shared" si="6"/>
        <v>6624</v>
      </c>
      <c r="BJ24" s="408">
        <f t="shared" si="7"/>
        <v>0</v>
      </c>
      <c r="BK24" s="224"/>
      <c r="BL24" s="224"/>
      <c r="BM24" s="224"/>
      <c r="BN24" s="224">
        <f>IFERROR(VLOOKUP($A24,'Constancias POA'!$A$2:$DH$9993,18,FALSE),"")</f>
        <v>6624</v>
      </c>
      <c r="BO24" s="224">
        <f t="shared" si="8"/>
        <v>0</v>
      </c>
      <c r="BP24" s="224">
        <f>IFERROR(VLOOKUP($A24,CP!$A$1:$U$7992,18,FALSE),"")</f>
        <v>6624</v>
      </c>
      <c r="BQ24" s="224">
        <f>IFERROR(VLOOKUP($A24,CP!$A$1:$U$7992,19,FALSE),"")</f>
        <v>6624</v>
      </c>
      <c r="BR24" s="224">
        <f>IFERROR(VLOOKUP($A24,CP!$A$1:$U$7992,20,FALSE),"")</f>
        <v>0</v>
      </c>
      <c r="BS24" s="224" t="str">
        <f>IFERROR(VLOOKUP($A24,CP!$A$1:$U$1,21,FALSE),"")</f>
        <v/>
      </c>
      <c r="BT24" s="224">
        <f>IFERROR(VLOOKUP(A24,Devengado!$A$1:AJ$9310,35,FALSE),"")</f>
        <v>6624</v>
      </c>
      <c r="BU24" s="224">
        <f t="shared" si="9"/>
        <v>0</v>
      </c>
      <c r="BV24" s="224">
        <f t="shared" si="10"/>
        <v>1</v>
      </c>
      <c r="BW24" s="224">
        <f t="shared" si="11"/>
        <v>6624</v>
      </c>
      <c r="BX24" s="429">
        <v>0</v>
      </c>
      <c r="BY24" s="429">
        <v>6624</v>
      </c>
      <c r="BZ24" s="429">
        <v>0</v>
      </c>
      <c r="CA24" s="429">
        <v>0</v>
      </c>
      <c r="CB24" s="429">
        <v>0</v>
      </c>
      <c r="CC24" s="429">
        <v>0</v>
      </c>
      <c r="CD24" s="429">
        <v>0</v>
      </c>
      <c r="CE24" s="429">
        <v>0</v>
      </c>
      <c r="CF24" s="429">
        <v>0</v>
      </c>
      <c r="CG24" s="429">
        <v>0</v>
      </c>
      <c r="CH24" s="429">
        <v>0</v>
      </c>
      <c r="CI24" s="429">
        <v>0</v>
      </c>
      <c r="CJ24" s="224">
        <f>IFERROR(VLOOKUP($A24,Devengado!$A$1:$AI$9038,22,FALSE),"")</f>
        <v>0</v>
      </c>
      <c r="CK24" s="224">
        <f>IFERROR(VLOOKUP($A24,Devengado!$A$1:$AI$9038,23,FALSE),"")</f>
        <v>6624</v>
      </c>
      <c r="CL24" s="224">
        <f>IFERROR(VLOOKUP($A24,Devengado!$A$1:$AI$9038,24,FALSE),"")</f>
        <v>0</v>
      </c>
      <c r="CM24" s="224">
        <f>IFERROR(VLOOKUP($A24,Devengado!$A$1:$AI$9038,25,FALSE),"")</f>
        <v>0</v>
      </c>
      <c r="CN24" s="224">
        <f>IFERROR(VLOOKUP($A24,Devengado!$A$1:$AI$9038,26,FALSE),"")</f>
        <v>0</v>
      </c>
      <c r="CO24" s="224">
        <f>IFERROR(VLOOKUP($A24,Devengado!$A$1:$AI$9038,27,FALSE),"")</f>
        <v>0</v>
      </c>
      <c r="CP24" s="224">
        <f>IFERROR(VLOOKUP($A24,Devengado!$A$1:$AI$9038,28,FALSE),"")</f>
        <v>0</v>
      </c>
      <c r="CQ24" s="224">
        <f>IFERROR(VLOOKUP($A24,Devengado!$A$1:$AI$9038,29,FALSE),"")</f>
        <v>0</v>
      </c>
      <c r="CR24" s="224">
        <f>IFERROR(VLOOKUP($A24,Devengado!$A$1:$AI$9038,30,FALSE),"")</f>
        <v>0</v>
      </c>
      <c r="CS24" s="224">
        <f>IFERROR(VLOOKUP($A24,Devengado!$A$1:$AI$9038,31,FALSE),"")</f>
        <v>0</v>
      </c>
      <c r="CT24" s="224">
        <f>IFERROR(VLOOKUP($A24,Devengado!$A$1:$AI$9038,32,FALSE),"")</f>
        <v>0</v>
      </c>
      <c r="CU24" s="224">
        <f>IFERROR(VLOOKUP($A24,Devengado!$A$1:$AI$9038,33,FALSE),"")</f>
        <v>0</v>
      </c>
      <c r="CV24" s="224">
        <f t="shared" si="12"/>
        <v>6624</v>
      </c>
      <c r="CW24" s="224">
        <f t="shared" si="13"/>
        <v>0</v>
      </c>
      <c r="CX24" s="207"/>
      <c r="CY24" s="207" t="str">
        <f t="shared" si="14"/>
        <v>53</v>
      </c>
      <c r="CZ24" s="112" t="s">
        <v>916</v>
      </c>
    </row>
    <row r="25" spans="1:104" s="225" customFormat="1" ht="25.5" customHeight="1">
      <c r="A25" s="207">
        <v>435</v>
      </c>
      <c r="B25" s="207"/>
      <c r="C25" s="207"/>
      <c r="D25" s="207"/>
      <c r="E25" s="207"/>
      <c r="F25" s="207"/>
      <c r="G25" s="207"/>
      <c r="H25" s="207"/>
      <c r="I25" s="207"/>
      <c r="J25" s="207"/>
      <c r="K25" s="112" t="s">
        <v>429</v>
      </c>
      <c r="L25" s="112" t="s">
        <v>850</v>
      </c>
      <c r="M25" s="119" t="s">
        <v>917</v>
      </c>
      <c r="N25" s="112" t="s">
        <v>77</v>
      </c>
      <c r="O25" s="112" t="s">
        <v>77</v>
      </c>
      <c r="P25" s="112" t="s">
        <v>76</v>
      </c>
      <c r="Q25" s="112" t="s">
        <v>77</v>
      </c>
      <c r="R25" s="112" t="s">
        <v>77</v>
      </c>
      <c r="S25" s="112" t="s">
        <v>77</v>
      </c>
      <c r="T25" s="112" t="s">
        <v>77</v>
      </c>
      <c r="U25" s="112" t="s">
        <v>77</v>
      </c>
      <c r="V25" s="112" t="s">
        <v>77</v>
      </c>
      <c r="W25" s="112" t="s">
        <v>78</v>
      </c>
      <c r="X25" s="124" t="s">
        <v>444</v>
      </c>
      <c r="Y25" s="114" t="s">
        <v>430</v>
      </c>
      <c r="Z25" s="114" t="s">
        <v>111</v>
      </c>
      <c r="AA25" s="114" t="s">
        <v>81</v>
      </c>
      <c r="AB25" s="114" t="s">
        <v>112</v>
      </c>
      <c r="AC25" s="115" t="str">
        <f t="shared" si="0"/>
        <v>53</v>
      </c>
      <c r="AD25" s="124">
        <v>530209</v>
      </c>
      <c r="AE25" s="122" t="str">
        <f>VLOOKUP(AD25,ITEM!$C$1:$D$694,2,FALSE)</f>
        <v>Servicios de Aseo, Lavado de Vestimenta de Trabajo, Fumigación, Desinfección,  Limpieza de Instalaciones, manejo
de desechos contaminados, recuperación y clasificación de materiales reciclables.</v>
      </c>
      <c r="AF25" s="112">
        <v>1308</v>
      </c>
      <c r="AG25" s="114" t="s">
        <v>82</v>
      </c>
      <c r="AH25" s="114" t="s">
        <v>84</v>
      </c>
      <c r="AI25" s="114" t="s">
        <v>84</v>
      </c>
      <c r="AJ25" s="114" t="s">
        <v>914</v>
      </c>
      <c r="AK25" s="114" t="s">
        <v>77</v>
      </c>
      <c r="AL25" s="271">
        <v>19737</v>
      </c>
      <c r="AM25" s="272"/>
      <c r="AN25" s="272">
        <f t="shared" si="1"/>
        <v>19737</v>
      </c>
      <c r="AO25" s="224">
        <f>SUMIF(Reforma!$A$2:$A$8523,$A25,Reforma!$AB$2:$AB$8523)</f>
        <v>10449</v>
      </c>
      <c r="AP25" s="224">
        <f>SUMIF(Reforma!$A$2:$A$8523,$A25,Reforma!$AC$2:$AC$8523)</f>
        <v>-7740</v>
      </c>
      <c r="AQ25" s="224">
        <f>SUMIF(Reforma!$A$2:$A$8523,$A25,Reforma!$AD$2:$AD$8523)</f>
        <v>0</v>
      </c>
      <c r="AR25" s="224">
        <f>SUMIF(Reforma!$A$2:$A$8523,$A25,Reforma!$AE$2:$AE$8523)</f>
        <v>0</v>
      </c>
      <c r="AS25" s="224">
        <f t="shared" si="2"/>
        <v>22446</v>
      </c>
      <c r="AT25" s="224">
        <f t="shared" si="3"/>
        <v>0</v>
      </c>
      <c r="AU25" s="224">
        <f t="shared" si="4"/>
        <v>22446</v>
      </c>
      <c r="AV25" s="326"/>
      <c r="AW25" s="461">
        <v>4644</v>
      </c>
      <c r="AX25" s="461">
        <v>2322</v>
      </c>
      <c r="AY25" s="461">
        <v>2322</v>
      </c>
      <c r="AZ25" s="461">
        <v>0</v>
      </c>
      <c r="BA25" s="461">
        <v>4644</v>
      </c>
      <c r="BB25" s="461">
        <v>2322</v>
      </c>
      <c r="BC25" s="461">
        <v>2322</v>
      </c>
      <c r="BD25" s="461">
        <v>2322</v>
      </c>
      <c r="BE25" s="461">
        <v>1548</v>
      </c>
      <c r="BF25" s="326"/>
      <c r="BG25" s="326"/>
      <c r="BH25" s="408">
        <f t="shared" si="5"/>
        <v>19737</v>
      </c>
      <c r="BI25" s="408">
        <f t="shared" si="6"/>
        <v>22446</v>
      </c>
      <c r="BJ25" s="408">
        <f t="shared" si="7"/>
        <v>0</v>
      </c>
      <c r="BK25" s="224"/>
      <c r="BL25" s="224"/>
      <c r="BM25" s="224"/>
      <c r="BN25" s="224">
        <f>IFERROR(VLOOKUP($A25,'Constancias POA'!$A$2:$DH$9993,18,FALSE),"")</f>
        <v>22446</v>
      </c>
      <c r="BO25" s="224">
        <f t="shared" si="8"/>
        <v>0</v>
      </c>
      <c r="BP25" s="224">
        <f>IFERROR(VLOOKUP($A25,CP!$A$1:$U$7992,18,FALSE),"")</f>
        <v>22446</v>
      </c>
      <c r="BQ25" s="224">
        <f>IFERROR(VLOOKUP($A25,CP!$A$1:$U$7992,19,FALSE),"")</f>
        <v>22446</v>
      </c>
      <c r="BR25" s="224">
        <f>IFERROR(VLOOKUP($A25,CP!$A$1:$U$7992,20,FALSE),"")</f>
        <v>0</v>
      </c>
      <c r="BS25" s="224" t="str">
        <f>IFERROR(VLOOKUP($A25,CP!$A$1:$U$1,21,FALSE),"")</f>
        <v/>
      </c>
      <c r="BT25" s="224">
        <f>IFERROR(VLOOKUP(A25,Devengado!$A$1:AJ$9310,35,FALSE),"")</f>
        <v>20898</v>
      </c>
      <c r="BU25" s="224">
        <f t="shared" si="9"/>
        <v>1548</v>
      </c>
      <c r="BV25" s="224">
        <f t="shared" si="10"/>
        <v>0.93103448275862066</v>
      </c>
      <c r="BW25" s="224">
        <f t="shared" si="11"/>
        <v>22446</v>
      </c>
      <c r="BX25" s="429">
        <v>2193</v>
      </c>
      <c r="BY25" s="429">
        <v>2193</v>
      </c>
      <c r="BZ25" s="429">
        <v>2193</v>
      </c>
      <c r="CA25" s="429">
        <v>2193</v>
      </c>
      <c r="CB25" s="429">
        <v>2193</v>
      </c>
      <c r="CC25" s="429">
        <v>2193</v>
      </c>
      <c r="CD25" s="429">
        <v>2193</v>
      </c>
      <c r="CE25" s="429">
        <v>2193</v>
      </c>
      <c r="CF25" s="429">
        <v>2193</v>
      </c>
      <c r="CG25" s="429">
        <v>0</v>
      </c>
      <c r="CH25" s="429">
        <v>0</v>
      </c>
      <c r="CI25" s="429">
        <v>0</v>
      </c>
      <c r="CJ25" s="224">
        <f>IFERROR(VLOOKUP($A25,Devengado!$A$1:$AI$9038,22,FALSE),"")</f>
        <v>0</v>
      </c>
      <c r="CK25" s="224">
        <f>IFERROR(VLOOKUP($A25,Devengado!$A$1:$AI$9038,23,FALSE),"")</f>
        <v>4644</v>
      </c>
      <c r="CL25" s="224">
        <f>IFERROR(VLOOKUP($A25,Devengado!$A$1:$AI$9038,24,FALSE),"")</f>
        <v>2322</v>
      </c>
      <c r="CM25" s="224">
        <f>IFERROR(VLOOKUP($A25,Devengado!$A$1:$AI$9038,25,FALSE),"")</f>
        <v>2322</v>
      </c>
      <c r="CN25" s="224">
        <f>IFERROR(VLOOKUP($A25,Devengado!$A$1:$AI$9038,26,FALSE),"")</f>
        <v>0</v>
      </c>
      <c r="CO25" s="224">
        <f>IFERROR(VLOOKUP($A25,Devengado!$A$1:$AI$9038,27,FALSE),"")</f>
        <v>4644</v>
      </c>
      <c r="CP25" s="224">
        <f>IFERROR(VLOOKUP($A25,Devengado!$A$1:$AI$9038,28,FALSE),"")</f>
        <v>2322</v>
      </c>
      <c r="CQ25" s="224">
        <f>IFERROR(VLOOKUP($A25,Devengado!$A$1:$AI$9038,29,FALSE),"")</f>
        <v>2322</v>
      </c>
      <c r="CR25" s="224">
        <f>IFERROR(VLOOKUP($A25,Devengado!$A$1:$AI$9038,30,FALSE),"")</f>
        <v>2322</v>
      </c>
      <c r="CS25" s="224">
        <f>IFERROR(VLOOKUP($A25,Devengado!$A$1:$AI$9038,31,FALSE),"")</f>
        <v>0</v>
      </c>
      <c r="CT25" s="224">
        <f>IFERROR(VLOOKUP($A25,Devengado!$A$1:$AI$9038,32,FALSE),"")</f>
        <v>0</v>
      </c>
      <c r="CU25" s="224">
        <f>IFERROR(VLOOKUP($A25,Devengado!$A$1:$AI$9038,33,FALSE),"")</f>
        <v>0</v>
      </c>
      <c r="CV25" s="224">
        <f t="shared" si="12"/>
        <v>20898</v>
      </c>
      <c r="CW25" s="224">
        <f t="shared" si="13"/>
        <v>0</v>
      </c>
      <c r="CX25" s="207"/>
      <c r="CY25" s="207" t="str">
        <f t="shared" si="14"/>
        <v>53</v>
      </c>
      <c r="CZ25" s="112" t="s">
        <v>916</v>
      </c>
    </row>
    <row r="26" spans="1:104" s="225" customFormat="1" ht="25.5" customHeight="1">
      <c r="A26" s="207">
        <v>436</v>
      </c>
      <c r="B26" s="207"/>
      <c r="C26" s="207"/>
      <c r="D26" s="207"/>
      <c r="E26" s="207"/>
      <c r="F26" s="207"/>
      <c r="G26" s="207"/>
      <c r="H26" s="207"/>
      <c r="I26" s="207"/>
      <c r="J26" s="207"/>
      <c r="K26" s="112" t="s">
        <v>429</v>
      </c>
      <c r="L26" s="112" t="s">
        <v>850</v>
      </c>
      <c r="M26" s="112" t="s">
        <v>918</v>
      </c>
      <c r="N26" s="112" t="s">
        <v>77</v>
      </c>
      <c r="O26" s="112" t="s">
        <v>77</v>
      </c>
      <c r="P26" s="112" t="s">
        <v>76</v>
      </c>
      <c r="Q26" s="112" t="s">
        <v>77</v>
      </c>
      <c r="R26" s="112" t="s">
        <v>77</v>
      </c>
      <c r="S26" s="112" t="s">
        <v>77</v>
      </c>
      <c r="T26" s="112" t="s">
        <v>77</v>
      </c>
      <c r="U26" s="112" t="s">
        <v>77</v>
      </c>
      <c r="V26" s="112" t="s">
        <v>77</v>
      </c>
      <c r="W26" s="112" t="s">
        <v>78</v>
      </c>
      <c r="X26" s="124" t="s">
        <v>445</v>
      </c>
      <c r="Y26" s="114" t="s">
        <v>430</v>
      </c>
      <c r="Z26" s="114" t="s">
        <v>111</v>
      </c>
      <c r="AA26" s="114" t="s">
        <v>81</v>
      </c>
      <c r="AB26" s="114" t="s">
        <v>112</v>
      </c>
      <c r="AC26" s="115" t="str">
        <f t="shared" si="0"/>
        <v>53</v>
      </c>
      <c r="AD26" s="124">
        <v>530209</v>
      </c>
      <c r="AE26" s="122" t="str">
        <f>VLOOKUP(AD26,ITEM!$C$1:$D$694,2,FALSE)</f>
        <v>Servicios de Aseo, Lavado de Vestimenta de Trabajo, Fumigación, Desinfección,  Limpieza de Instalaciones, manejo
de desechos contaminados, recuperación y clasificación de materiales reciclables.</v>
      </c>
      <c r="AF26" s="112">
        <v>1314</v>
      </c>
      <c r="AG26" s="114" t="s">
        <v>82</v>
      </c>
      <c r="AH26" s="114" t="s">
        <v>84</v>
      </c>
      <c r="AI26" s="114" t="s">
        <v>84</v>
      </c>
      <c r="AJ26" s="114" t="s">
        <v>914</v>
      </c>
      <c r="AK26" s="114" t="s">
        <v>77</v>
      </c>
      <c r="AL26" s="271">
        <v>19737</v>
      </c>
      <c r="AM26" s="272"/>
      <c r="AN26" s="272">
        <f t="shared" si="1"/>
        <v>19737</v>
      </c>
      <c r="AO26" s="224">
        <f>SUMIF(Reforma!$A$2:$A$8523,$A26,Reforma!$AB$2:$AB$8523)</f>
        <v>10449</v>
      </c>
      <c r="AP26" s="224">
        <f>SUMIF(Reforma!$A$2:$A$8523,$A26,Reforma!$AC$2:$AC$8523)</f>
        <v>-7740</v>
      </c>
      <c r="AQ26" s="224">
        <f>SUMIF(Reforma!$A$2:$A$8523,$A26,Reforma!$AD$2:$AD$8523)</f>
        <v>0</v>
      </c>
      <c r="AR26" s="224">
        <f>SUMIF(Reforma!$A$2:$A$8523,$A26,Reforma!$AE$2:$AE$8523)</f>
        <v>0</v>
      </c>
      <c r="AS26" s="224">
        <f t="shared" si="2"/>
        <v>22446</v>
      </c>
      <c r="AT26" s="224">
        <f t="shared" si="3"/>
        <v>0</v>
      </c>
      <c r="AU26" s="224">
        <f t="shared" si="4"/>
        <v>22446</v>
      </c>
      <c r="AV26" s="326"/>
      <c r="AW26" s="461">
        <v>4644</v>
      </c>
      <c r="AX26" s="461">
        <v>2322</v>
      </c>
      <c r="AY26" s="461">
        <v>2322</v>
      </c>
      <c r="AZ26" s="461">
        <v>2322</v>
      </c>
      <c r="BA26" s="461">
        <v>2322</v>
      </c>
      <c r="BB26" s="461">
        <v>2322</v>
      </c>
      <c r="BC26" s="461">
        <v>2322</v>
      </c>
      <c r="BD26" s="461">
        <v>2322</v>
      </c>
      <c r="BE26" s="461">
        <v>1548</v>
      </c>
      <c r="BF26" s="326"/>
      <c r="BG26" s="326"/>
      <c r="BH26" s="408">
        <f t="shared" si="5"/>
        <v>19737</v>
      </c>
      <c r="BI26" s="408">
        <f t="shared" si="6"/>
        <v>22446</v>
      </c>
      <c r="BJ26" s="408">
        <f t="shared" si="7"/>
        <v>0</v>
      </c>
      <c r="BK26" s="224"/>
      <c r="BL26" s="224"/>
      <c r="BM26" s="224"/>
      <c r="BN26" s="224">
        <f>IFERROR(VLOOKUP($A26,'Constancias POA'!$A$2:$DH$9993,18,FALSE),"")</f>
        <v>22446</v>
      </c>
      <c r="BO26" s="224">
        <f t="shared" si="8"/>
        <v>0</v>
      </c>
      <c r="BP26" s="224">
        <f>IFERROR(VLOOKUP($A26,CP!$A$1:$U$7992,18,FALSE),"")</f>
        <v>22446</v>
      </c>
      <c r="BQ26" s="224">
        <f>IFERROR(VLOOKUP($A26,CP!$A$1:$U$7992,19,FALSE),"")</f>
        <v>22446</v>
      </c>
      <c r="BR26" s="224">
        <f>IFERROR(VLOOKUP($A26,CP!$A$1:$U$7992,20,FALSE),"")</f>
        <v>0</v>
      </c>
      <c r="BS26" s="224" t="str">
        <f>IFERROR(VLOOKUP($A26,CP!$A$1:$U$1,21,FALSE),"")</f>
        <v/>
      </c>
      <c r="BT26" s="224">
        <f>IFERROR(VLOOKUP(A26,Devengado!$A$1:AJ$9310,35,FALSE),"")</f>
        <v>22446</v>
      </c>
      <c r="BU26" s="224">
        <f t="shared" si="9"/>
        <v>0</v>
      </c>
      <c r="BV26" s="224">
        <f t="shared" si="10"/>
        <v>1</v>
      </c>
      <c r="BW26" s="224">
        <f t="shared" si="11"/>
        <v>22446</v>
      </c>
      <c r="BX26" s="429">
        <v>2193</v>
      </c>
      <c r="BY26" s="429">
        <v>2193</v>
      </c>
      <c r="BZ26" s="429">
        <v>2193</v>
      </c>
      <c r="CA26" s="429">
        <v>2193</v>
      </c>
      <c r="CB26" s="429">
        <v>2193</v>
      </c>
      <c r="CC26" s="429">
        <v>2193</v>
      </c>
      <c r="CD26" s="429">
        <v>2193</v>
      </c>
      <c r="CE26" s="429">
        <v>2193</v>
      </c>
      <c r="CF26" s="429">
        <v>2193</v>
      </c>
      <c r="CG26" s="429">
        <v>0</v>
      </c>
      <c r="CH26" s="429">
        <v>0</v>
      </c>
      <c r="CI26" s="429">
        <v>0</v>
      </c>
      <c r="CJ26" s="224">
        <f>IFERROR(VLOOKUP($A26,Devengado!$A$1:$AI$9038,22,FALSE),"")</f>
        <v>0</v>
      </c>
      <c r="CK26" s="224">
        <f>IFERROR(VLOOKUP($A26,Devengado!$A$1:$AI$9038,23,FALSE),"")</f>
        <v>4644</v>
      </c>
      <c r="CL26" s="224">
        <f>IFERROR(VLOOKUP($A26,Devengado!$A$1:$AI$9038,24,FALSE),"")</f>
        <v>2322</v>
      </c>
      <c r="CM26" s="224">
        <f>IFERROR(VLOOKUP($A26,Devengado!$A$1:$AI$9038,25,FALSE),"")</f>
        <v>2322</v>
      </c>
      <c r="CN26" s="224">
        <f>IFERROR(VLOOKUP($A26,Devengado!$A$1:$AI$9038,26,FALSE),"")</f>
        <v>2322</v>
      </c>
      <c r="CO26" s="224">
        <f>IFERROR(VLOOKUP($A26,Devengado!$A$1:$AI$9038,27,FALSE),"")</f>
        <v>2322</v>
      </c>
      <c r="CP26" s="224">
        <f>IFERROR(VLOOKUP($A26,Devengado!$A$1:$AI$9038,28,FALSE),"")</f>
        <v>2322</v>
      </c>
      <c r="CQ26" s="224">
        <f>IFERROR(VLOOKUP($A26,Devengado!$A$1:$AI$9038,29,FALSE),"")</f>
        <v>2322</v>
      </c>
      <c r="CR26" s="224">
        <f>IFERROR(VLOOKUP($A26,Devengado!$A$1:$AI$9038,30,FALSE),"")</f>
        <v>2322</v>
      </c>
      <c r="CS26" s="224">
        <f>IFERROR(VLOOKUP($A26,Devengado!$A$1:$AI$9038,31,FALSE),"")</f>
        <v>1548</v>
      </c>
      <c r="CT26" s="224">
        <f>IFERROR(VLOOKUP($A26,Devengado!$A$1:$AI$9038,32,FALSE),"")</f>
        <v>0</v>
      </c>
      <c r="CU26" s="224">
        <f>IFERROR(VLOOKUP($A26,Devengado!$A$1:$AI$9038,33,FALSE),"")</f>
        <v>0</v>
      </c>
      <c r="CV26" s="224">
        <f t="shared" si="12"/>
        <v>22446</v>
      </c>
      <c r="CW26" s="224">
        <f t="shared" si="13"/>
        <v>0</v>
      </c>
      <c r="CX26" s="207"/>
      <c r="CY26" s="207" t="str">
        <f t="shared" si="14"/>
        <v>53</v>
      </c>
      <c r="CZ26" s="112" t="s">
        <v>916</v>
      </c>
    </row>
    <row r="27" spans="1:104" s="225" customFormat="1" ht="25.5" customHeight="1">
      <c r="A27" s="207">
        <v>437</v>
      </c>
      <c r="B27" s="207"/>
      <c r="C27" s="207"/>
      <c r="D27" s="207"/>
      <c r="E27" s="207"/>
      <c r="F27" s="207"/>
      <c r="G27" s="207"/>
      <c r="H27" s="207"/>
      <c r="I27" s="207"/>
      <c r="J27" s="207"/>
      <c r="K27" s="112" t="s">
        <v>429</v>
      </c>
      <c r="L27" s="112" t="s">
        <v>850</v>
      </c>
      <c r="M27" s="112"/>
      <c r="N27" s="112" t="s">
        <v>77</v>
      </c>
      <c r="O27" s="112" t="s">
        <v>77</v>
      </c>
      <c r="P27" s="112" t="s">
        <v>76</v>
      </c>
      <c r="Q27" s="112" t="s">
        <v>77</v>
      </c>
      <c r="R27" s="112" t="s">
        <v>77</v>
      </c>
      <c r="S27" s="112" t="s">
        <v>77</v>
      </c>
      <c r="T27" s="112" t="s">
        <v>77</v>
      </c>
      <c r="U27" s="112" t="s">
        <v>77</v>
      </c>
      <c r="V27" s="112" t="s">
        <v>77</v>
      </c>
      <c r="W27" s="112" t="s">
        <v>85</v>
      </c>
      <c r="X27" s="124" t="s">
        <v>446</v>
      </c>
      <c r="Y27" s="114" t="s">
        <v>430</v>
      </c>
      <c r="Z27" s="114" t="s">
        <v>111</v>
      </c>
      <c r="AA27" s="114" t="s">
        <v>81</v>
      </c>
      <c r="AB27" s="114" t="s">
        <v>112</v>
      </c>
      <c r="AC27" s="115" t="str">
        <f t="shared" si="0"/>
        <v>53</v>
      </c>
      <c r="AD27" s="124">
        <v>530209</v>
      </c>
      <c r="AE27" s="122" t="str">
        <f>VLOOKUP(AD27,ITEM!$C$1:$D$694,2,FALSE)</f>
        <v>Servicios de Aseo, Lavado de Vestimenta de Trabajo, Fumigación, Desinfección,  Limpieza de Instalaciones, manejo
de desechos contaminados, recuperación y clasificación de materiales reciclables.</v>
      </c>
      <c r="AF27" s="112">
        <v>1309</v>
      </c>
      <c r="AG27" s="114" t="s">
        <v>82</v>
      </c>
      <c r="AH27" s="114" t="s">
        <v>84</v>
      </c>
      <c r="AI27" s="114" t="s">
        <v>84</v>
      </c>
      <c r="AJ27" s="114" t="s">
        <v>914</v>
      </c>
      <c r="AK27" s="114" t="s">
        <v>77</v>
      </c>
      <c r="AL27" s="271">
        <v>19583</v>
      </c>
      <c r="AM27" s="272"/>
      <c r="AN27" s="272">
        <f t="shared" si="1"/>
        <v>19583</v>
      </c>
      <c r="AO27" s="224">
        <f>SUMIF(Reforma!$A$2:$A$8523,$A27,Reforma!$AB$2:$AB$8523)</f>
        <v>0</v>
      </c>
      <c r="AP27" s="224">
        <f>SUMIF(Reforma!$A$2:$A$8523,$A27,Reforma!$AC$2:$AC$8523)</f>
        <v>-19583</v>
      </c>
      <c r="AQ27" s="224">
        <f>SUMIF(Reforma!$A$2:$A$8523,$A27,Reforma!$AD$2:$AD$8523)</f>
        <v>0</v>
      </c>
      <c r="AR27" s="224">
        <f>SUMIF(Reforma!$A$2:$A$8523,$A27,Reforma!$AE$2:$AE$8523)</f>
        <v>0</v>
      </c>
      <c r="AS27" s="224">
        <f t="shared" si="2"/>
        <v>0</v>
      </c>
      <c r="AT27" s="224">
        <f t="shared" si="3"/>
        <v>0</v>
      </c>
      <c r="AU27" s="224">
        <f t="shared" si="4"/>
        <v>0</v>
      </c>
      <c r="AV27" s="409"/>
      <c r="AW27" s="409"/>
      <c r="AX27" s="409"/>
      <c r="AY27" s="409"/>
      <c r="AZ27" s="409"/>
      <c r="BA27" s="409"/>
      <c r="BB27" s="409"/>
      <c r="BC27" s="409"/>
      <c r="BD27" s="409"/>
      <c r="BE27" s="409"/>
      <c r="BF27" s="409"/>
      <c r="BG27" s="409"/>
      <c r="BH27" s="408">
        <f t="shared" si="5"/>
        <v>19583</v>
      </c>
      <c r="BI27" s="408">
        <f t="shared" si="6"/>
        <v>0</v>
      </c>
      <c r="BJ27" s="408">
        <f t="shared" si="7"/>
        <v>0</v>
      </c>
      <c r="BK27" s="224"/>
      <c r="BL27" s="224"/>
      <c r="BM27" s="224"/>
      <c r="BN27" s="224" t="str">
        <f>IFERROR(VLOOKUP($A27,'Constancias POA'!$A$2:$DH$9993,18,FALSE),"")</f>
        <v/>
      </c>
      <c r="BO27" s="224" t="str">
        <f t="shared" si="8"/>
        <v/>
      </c>
      <c r="BP27" s="224" t="str">
        <f>IFERROR(VLOOKUP($A27,CP!$A$1:$U$7992,18,FALSE),"")</f>
        <v/>
      </c>
      <c r="BQ27" s="224" t="str">
        <f>IFERROR(VLOOKUP($A27,CP!$A$1:$U$7992,19,FALSE),"")</f>
        <v/>
      </c>
      <c r="BR27" s="224" t="str">
        <f>IFERROR(VLOOKUP($A27,CP!$A$1:$U$7992,20,FALSE),"")</f>
        <v/>
      </c>
      <c r="BS27" s="224" t="str">
        <f>IFERROR(VLOOKUP($A27,CP!$A$1:$U$1,21,FALSE),"")</f>
        <v/>
      </c>
      <c r="BT27" s="224" t="str">
        <f>IFERROR(VLOOKUP(A27,Devengado!$A$1:AJ$9310,35,FALSE),"")</f>
        <v/>
      </c>
      <c r="BU27" s="224" t="str">
        <f t="shared" si="9"/>
        <v/>
      </c>
      <c r="BV27" s="224" t="str">
        <f t="shared" si="10"/>
        <v/>
      </c>
      <c r="BW27" s="224">
        <f t="shared" si="11"/>
        <v>0</v>
      </c>
      <c r="BX27" s="429">
        <v>0</v>
      </c>
      <c r="BY27" s="429">
        <v>0</v>
      </c>
      <c r="BZ27" s="429">
        <v>0</v>
      </c>
      <c r="CA27" s="429">
        <v>0</v>
      </c>
      <c r="CB27" s="429">
        <v>0</v>
      </c>
      <c r="CC27" s="429">
        <v>0</v>
      </c>
      <c r="CD27" s="429">
        <v>0</v>
      </c>
      <c r="CE27" s="429">
        <v>0</v>
      </c>
      <c r="CF27" s="429">
        <v>0</v>
      </c>
      <c r="CG27" s="429">
        <v>6527</v>
      </c>
      <c r="CH27" s="429">
        <v>6527</v>
      </c>
      <c r="CI27" s="429">
        <v>6529</v>
      </c>
      <c r="CJ27" s="224" t="str">
        <f>IFERROR(VLOOKUP($A27,Devengado!$A$1:$AI$9038,22,FALSE),"")</f>
        <v/>
      </c>
      <c r="CK27" s="224" t="str">
        <f>IFERROR(VLOOKUP($A27,Devengado!$A$1:$AI$9038,23,FALSE),"")</f>
        <v/>
      </c>
      <c r="CL27" s="224" t="str">
        <f>IFERROR(VLOOKUP($A27,Devengado!$A$1:$AI$9038,24,FALSE),"")</f>
        <v/>
      </c>
      <c r="CM27" s="224" t="str">
        <f>IFERROR(VLOOKUP($A27,Devengado!$A$1:$AI$9038,25,FALSE),"")</f>
        <v/>
      </c>
      <c r="CN27" s="224" t="str">
        <f>IFERROR(VLOOKUP($A27,Devengado!$A$1:$AI$9038,26,FALSE),"")</f>
        <v/>
      </c>
      <c r="CO27" s="224" t="str">
        <f>IFERROR(VLOOKUP($A27,Devengado!$A$1:$AI$9038,27,FALSE),"")</f>
        <v/>
      </c>
      <c r="CP27" s="224" t="str">
        <f>IFERROR(VLOOKUP($A27,Devengado!$A$1:$AI$9038,28,FALSE),"")</f>
        <v/>
      </c>
      <c r="CQ27" s="224" t="str">
        <f>IFERROR(VLOOKUP($A27,Devengado!$A$1:$AI$9038,29,FALSE),"")</f>
        <v/>
      </c>
      <c r="CR27" s="224" t="str">
        <f>IFERROR(VLOOKUP($A27,Devengado!$A$1:$AI$9038,30,FALSE),"")</f>
        <v/>
      </c>
      <c r="CS27" s="224" t="str">
        <f>IFERROR(VLOOKUP($A27,Devengado!$A$1:$AI$9038,31,FALSE),"")</f>
        <v/>
      </c>
      <c r="CT27" s="224" t="str">
        <f>IFERROR(VLOOKUP($A27,Devengado!$A$1:$AI$9038,32,FALSE),"")</f>
        <v/>
      </c>
      <c r="CU27" s="224" t="str">
        <f>IFERROR(VLOOKUP($A27,Devengado!$A$1:$AI$9038,33,FALSE),"")</f>
        <v/>
      </c>
      <c r="CV27" s="224">
        <f t="shared" si="12"/>
        <v>0</v>
      </c>
      <c r="CW27" s="224" t="str">
        <f t="shared" si="13"/>
        <v/>
      </c>
      <c r="CX27" s="207"/>
      <c r="CY27" s="207" t="str">
        <f t="shared" si="14"/>
        <v>53</v>
      </c>
      <c r="CZ27" s="112" t="s">
        <v>915</v>
      </c>
    </row>
    <row r="28" spans="1:104" s="225" customFormat="1" ht="25.5" customHeight="1">
      <c r="A28" s="207">
        <v>438</v>
      </c>
      <c r="B28" s="207"/>
      <c r="C28" s="207"/>
      <c r="D28" s="207"/>
      <c r="E28" s="207"/>
      <c r="F28" s="207"/>
      <c r="G28" s="207"/>
      <c r="H28" s="207"/>
      <c r="I28" s="207"/>
      <c r="J28" s="207"/>
      <c r="K28" s="112" t="s">
        <v>429</v>
      </c>
      <c r="L28" s="112" t="s">
        <v>850</v>
      </c>
      <c r="M28" s="112" t="s">
        <v>850</v>
      </c>
      <c r="N28" s="112" t="s">
        <v>77</v>
      </c>
      <c r="O28" s="112" t="s">
        <v>77</v>
      </c>
      <c r="P28" s="112" t="s">
        <v>76</v>
      </c>
      <c r="Q28" s="112" t="s">
        <v>77</v>
      </c>
      <c r="R28" s="112" t="s">
        <v>77</v>
      </c>
      <c r="S28" s="112" t="s">
        <v>77</v>
      </c>
      <c r="T28" s="112" t="s">
        <v>77</v>
      </c>
      <c r="U28" s="112" t="s">
        <v>77</v>
      </c>
      <c r="V28" s="112" t="s">
        <v>77</v>
      </c>
      <c r="W28" s="112" t="s">
        <v>78</v>
      </c>
      <c r="X28" s="124" t="s">
        <v>446</v>
      </c>
      <c r="Y28" s="114" t="s">
        <v>430</v>
      </c>
      <c r="Z28" s="114" t="s">
        <v>111</v>
      </c>
      <c r="AA28" s="114" t="s">
        <v>81</v>
      </c>
      <c r="AB28" s="114" t="s">
        <v>112</v>
      </c>
      <c r="AC28" s="115" t="str">
        <f t="shared" si="0"/>
        <v>53</v>
      </c>
      <c r="AD28" s="124">
        <v>530209</v>
      </c>
      <c r="AE28" s="122" t="str">
        <f>VLOOKUP(AD28,ITEM!$C$1:$D$694,2,FALSE)</f>
        <v>Servicios de Aseo, Lavado de Vestimenta de Trabajo, Fumigación, Desinfección,  Limpieza de Instalaciones, manejo
de desechos contaminados, recuperación y clasificación de materiales reciclables.</v>
      </c>
      <c r="AF28" s="112">
        <v>1309</v>
      </c>
      <c r="AG28" s="114" t="s">
        <v>82</v>
      </c>
      <c r="AH28" s="114" t="s">
        <v>84</v>
      </c>
      <c r="AI28" s="114" t="s">
        <v>84</v>
      </c>
      <c r="AJ28" s="114" t="s">
        <v>914</v>
      </c>
      <c r="AK28" s="114" t="s">
        <v>77</v>
      </c>
      <c r="AL28" s="271">
        <v>19737</v>
      </c>
      <c r="AM28" s="272"/>
      <c r="AN28" s="272">
        <f t="shared" si="1"/>
        <v>19737</v>
      </c>
      <c r="AO28" s="224">
        <f>SUMIF(Reforma!$A$2:$A$8523,$A28,Reforma!$AB$2:$AB$8523)</f>
        <v>10526.4</v>
      </c>
      <c r="AP28" s="224">
        <f>SUMIF(Reforma!$A$2:$A$8523,$A28,Reforma!$AC$2:$AC$8523)</f>
        <v>-7740</v>
      </c>
      <c r="AQ28" s="224">
        <f>SUMIF(Reforma!$A$2:$A$8523,$A28,Reforma!$AD$2:$AD$8523)</f>
        <v>0</v>
      </c>
      <c r="AR28" s="224">
        <f>SUMIF(Reforma!$A$2:$A$8523,$A28,Reforma!$AE$2:$AE$8523)</f>
        <v>0</v>
      </c>
      <c r="AS28" s="224">
        <f t="shared" si="2"/>
        <v>22523.4</v>
      </c>
      <c r="AT28" s="224">
        <f t="shared" si="3"/>
        <v>0</v>
      </c>
      <c r="AU28" s="224">
        <f t="shared" si="4"/>
        <v>22523.4</v>
      </c>
      <c r="AV28" s="326"/>
      <c r="AW28" s="461">
        <v>4644</v>
      </c>
      <c r="AX28" s="461">
        <v>2322</v>
      </c>
      <c r="AY28" s="461">
        <v>0</v>
      </c>
      <c r="AZ28" s="461">
        <v>4644</v>
      </c>
      <c r="BA28" s="461">
        <v>2322</v>
      </c>
      <c r="BB28" s="461">
        <v>2322</v>
      </c>
      <c r="BC28" s="461">
        <v>2322</v>
      </c>
      <c r="BD28" s="461">
        <v>2322</v>
      </c>
      <c r="BE28" s="461">
        <v>1625.4</v>
      </c>
      <c r="BF28" s="326"/>
      <c r="BG28" s="326"/>
      <c r="BH28" s="408">
        <f t="shared" si="5"/>
        <v>19737</v>
      </c>
      <c r="BI28" s="408">
        <f t="shared" si="6"/>
        <v>22523.4</v>
      </c>
      <c r="BJ28" s="408">
        <f t="shared" si="7"/>
        <v>0</v>
      </c>
      <c r="BK28" s="224"/>
      <c r="BL28" s="224"/>
      <c r="BM28" s="224"/>
      <c r="BN28" s="224">
        <f>IFERROR(VLOOKUP($A28,'Constancias POA'!$A$2:$DH$9993,18,FALSE),"")</f>
        <v>22523.4</v>
      </c>
      <c r="BO28" s="224">
        <f t="shared" si="8"/>
        <v>0</v>
      </c>
      <c r="BP28" s="224">
        <f>IFERROR(VLOOKUP($A28,CP!$A$1:$U$7992,18,FALSE),"")</f>
        <v>22523.4</v>
      </c>
      <c r="BQ28" s="224">
        <f>IFERROR(VLOOKUP($A28,CP!$A$1:$U$7992,19,FALSE),"")</f>
        <v>22523.4</v>
      </c>
      <c r="BR28" s="224">
        <f>IFERROR(VLOOKUP($A28,CP!$A$1:$U$7992,20,FALSE),"")</f>
        <v>0</v>
      </c>
      <c r="BS28" s="224" t="str">
        <f>IFERROR(VLOOKUP($A28,CP!$A$1:$U$1,21,FALSE),"")</f>
        <v/>
      </c>
      <c r="BT28" s="224">
        <f>IFERROR(VLOOKUP(A28,Devengado!$A$1:AJ$9310,35,FALSE),"")</f>
        <v>22446</v>
      </c>
      <c r="BU28" s="224">
        <f t="shared" si="9"/>
        <v>77.400000000001455</v>
      </c>
      <c r="BV28" s="224">
        <f t="shared" si="10"/>
        <v>0.99656357388316141</v>
      </c>
      <c r="BW28" s="224">
        <f t="shared" si="11"/>
        <v>22523.4</v>
      </c>
      <c r="BX28" s="429">
        <v>2193</v>
      </c>
      <c r="BY28" s="429">
        <v>2193</v>
      </c>
      <c r="BZ28" s="429">
        <v>2193</v>
      </c>
      <c r="CA28" s="429">
        <v>2193</v>
      </c>
      <c r="CB28" s="429">
        <v>2193</v>
      </c>
      <c r="CC28" s="429">
        <v>2193</v>
      </c>
      <c r="CD28" s="429">
        <v>2193</v>
      </c>
      <c r="CE28" s="429">
        <v>2193</v>
      </c>
      <c r="CF28" s="429">
        <v>2193</v>
      </c>
      <c r="CG28" s="429">
        <v>0</v>
      </c>
      <c r="CH28" s="429">
        <v>0</v>
      </c>
      <c r="CI28" s="429">
        <v>0</v>
      </c>
      <c r="CJ28" s="224">
        <f>IFERROR(VLOOKUP($A28,Devengado!$A$1:$AI$9038,22,FALSE),"")</f>
        <v>0</v>
      </c>
      <c r="CK28" s="224">
        <f>IFERROR(VLOOKUP($A28,Devengado!$A$1:$AI$9038,23,FALSE),"")</f>
        <v>4644</v>
      </c>
      <c r="CL28" s="224">
        <f>IFERROR(VLOOKUP($A28,Devengado!$A$1:$AI$9038,24,FALSE),"")</f>
        <v>2322</v>
      </c>
      <c r="CM28" s="224">
        <f>IFERROR(VLOOKUP($A28,Devengado!$A$1:$AI$9038,25,FALSE),"")</f>
        <v>0</v>
      </c>
      <c r="CN28" s="224">
        <f>IFERROR(VLOOKUP($A28,Devengado!$A$1:$AI$9038,26,FALSE),"")</f>
        <v>4644</v>
      </c>
      <c r="CO28" s="224">
        <f>IFERROR(VLOOKUP($A28,Devengado!$A$1:$AI$9038,27,FALSE),"")</f>
        <v>0</v>
      </c>
      <c r="CP28" s="224">
        <f>IFERROR(VLOOKUP($A28,Devengado!$A$1:$AI$9038,28,FALSE),"")</f>
        <v>4644</v>
      </c>
      <c r="CQ28" s="224">
        <f>IFERROR(VLOOKUP($A28,Devengado!$A$1:$AI$9038,29,FALSE),"")</f>
        <v>0</v>
      </c>
      <c r="CR28" s="224">
        <f>IFERROR(VLOOKUP($A28,Devengado!$A$1:$AI$9038,30,FALSE),"")</f>
        <v>4644</v>
      </c>
      <c r="CS28" s="224">
        <f>IFERROR(VLOOKUP($A28,Devengado!$A$1:$AI$9038,31,FALSE),"")</f>
        <v>0</v>
      </c>
      <c r="CT28" s="224">
        <f>IFERROR(VLOOKUP($A28,Devengado!$A$1:$AI$9038,32,FALSE),"")</f>
        <v>1548</v>
      </c>
      <c r="CU28" s="224">
        <f>IFERROR(VLOOKUP($A28,Devengado!$A$1:$AI$9038,33,FALSE),"")</f>
        <v>0</v>
      </c>
      <c r="CV28" s="224">
        <f t="shared" si="12"/>
        <v>22446</v>
      </c>
      <c r="CW28" s="224">
        <f t="shared" si="13"/>
        <v>0</v>
      </c>
      <c r="CX28" s="207"/>
      <c r="CY28" s="207" t="str">
        <f t="shared" si="14"/>
        <v>53</v>
      </c>
      <c r="CZ28" s="112" t="s">
        <v>916</v>
      </c>
    </row>
    <row r="29" spans="1:104" s="225" customFormat="1" ht="25.5" customHeight="1">
      <c r="A29" s="207">
        <v>439</v>
      </c>
      <c r="B29" s="207"/>
      <c r="C29" s="207"/>
      <c r="D29" s="207"/>
      <c r="E29" s="207"/>
      <c r="F29" s="207"/>
      <c r="G29" s="207"/>
      <c r="H29" s="207"/>
      <c r="I29" s="207"/>
      <c r="J29" s="207"/>
      <c r="K29" s="112" t="s">
        <v>429</v>
      </c>
      <c r="L29" s="112" t="s">
        <v>850</v>
      </c>
      <c r="M29" s="112" t="s">
        <v>850</v>
      </c>
      <c r="N29" s="112" t="s">
        <v>77</v>
      </c>
      <c r="O29" s="112" t="s">
        <v>77</v>
      </c>
      <c r="P29" s="112" t="s">
        <v>76</v>
      </c>
      <c r="Q29" s="112" t="s">
        <v>77</v>
      </c>
      <c r="R29" s="112" t="s">
        <v>77</v>
      </c>
      <c r="S29" s="112" t="s">
        <v>77</v>
      </c>
      <c r="T29" s="112" t="s">
        <v>77</v>
      </c>
      <c r="U29" s="112" t="s">
        <v>77</v>
      </c>
      <c r="V29" s="112" t="s">
        <v>77</v>
      </c>
      <c r="W29" s="112" t="s">
        <v>85</v>
      </c>
      <c r="X29" s="112" t="s">
        <v>447</v>
      </c>
      <c r="Y29" s="114" t="s">
        <v>430</v>
      </c>
      <c r="Z29" s="114" t="s">
        <v>111</v>
      </c>
      <c r="AA29" s="114" t="s">
        <v>81</v>
      </c>
      <c r="AB29" s="114" t="s">
        <v>112</v>
      </c>
      <c r="AC29" s="115" t="str">
        <f t="shared" si="0"/>
        <v>53</v>
      </c>
      <c r="AD29" s="124">
        <v>530208</v>
      </c>
      <c r="AE29" s="122" t="str">
        <f>VLOOKUP(AD29,ITEM!$C$1:$D$694,2,FALSE)</f>
        <v>Servicio de Seguridad y Vigilancia</v>
      </c>
      <c r="AF29" s="112">
        <v>1309</v>
      </c>
      <c r="AG29" s="114" t="s">
        <v>82</v>
      </c>
      <c r="AH29" s="114" t="s">
        <v>84</v>
      </c>
      <c r="AI29" s="114" t="s">
        <v>84</v>
      </c>
      <c r="AJ29" s="114" t="s">
        <v>914</v>
      </c>
      <c r="AK29" s="114" t="s">
        <v>77</v>
      </c>
      <c r="AL29" s="271">
        <v>0</v>
      </c>
      <c r="AM29" s="272"/>
      <c r="AN29" s="272">
        <f t="shared" si="1"/>
        <v>0</v>
      </c>
      <c r="AO29" s="224">
        <f>SUMIF(Reforma!$A$2:$A$8523,$A29,Reforma!$AB$2:$AB$8523)</f>
        <v>0</v>
      </c>
      <c r="AP29" s="224">
        <f>SUMIF(Reforma!$A$2:$A$8523,$A29,Reforma!$AC$2:$AC$8523)</f>
        <v>0</v>
      </c>
      <c r="AQ29" s="224">
        <f>SUMIF(Reforma!$A$2:$A$8523,$A29,Reforma!$AD$2:$AD$8523)</f>
        <v>0</v>
      </c>
      <c r="AR29" s="224">
        <f>SUMIF(Reforma!$A$2:$A$8523,$A29,Reforma!$AE$2:$AE$8523)</f>
        <v>0</v>
      </c>
      <c r="AS29" s="224">
        <f t="shared" si="2"/>
        <v>0</v>
      </c>
      <c r="AT29" s="224">
        <f t="shared" si="3"/>
        <v>0</v>
      </c>
      <c r="AU29" s="224">
        <f t="shared" si="4"/>
        <v>0</v>
      </c>
      <c r="AV29" s="326">
        <v>0</v>
      </c>
      <c r="AW29" s="326">
        <v>0</v>
      </c>
      <c r="AX29" s="326">
        <v>0</v>
      </c>
      <c r="AY29" s="326">
        <v>0</v>
      </c>
      <c r="AZ29" s="326">
        <v>0</v>
      </c>
      <c r="BA29" s="326">
        <v>0</v>
      </c>
      <c r="BB29" s="326">
        <v>0</v>
      </c>
      <c r="BC29" s="326">
        <v>0</v>
      </c>
      <c r="BD29" s="326">
        <v>0</v>
      </c>
      <c r="BE29" s="326">
        <v>0</v>
      </c>
      <c r="BF29" s="326">
        <v>0</v>
      </c>
      <c r="BG29" s="326">
        <v>0</v>
      </c>
      <c r="BH29" s="408">
        <f t="shared" si="5"/>
        <v>0</v>
      </c>
      <c r="BI29" s="408">
        <f t="shared" si="6"/>
        <v>0</v>
      </c>
      <c r="BJ29" s="408">
        <f t="shared" si="7"/>
        <v>0</v>
      </c>
      <c r="BK29" s="224"/>
      <c r="BL29" s="224"/>
      <c r="BM29" s="224"/>
      <c r="BN29" s="224" t="str">
        <f>IFERROR(VLOOKUP($A29,'Constancias POA'!$A$2:$DH$9993,18,FALSE),"")</f>
        <v/>
      </c>
      <c r="BO29" s="224" t="str">
        <f t="shared" si="8"/>
        <v/>
      </c>
      <c r="BP29" s="224" t="str">
        <f>IFERROR(VLOOKUP($A29,CP!$A$1:$U$7992,18,FALSE),"")</f>
        <v/>
      </c>
      <c r="BQ29" s="224" t="str">
        <f>IFERROR(VLOOKUP($A29,CP!$A$1:$U$7992,19,FALSE),"")</f>
        <v/>
      </c>
      <c r="BR29" s="224" t="str">
        <f>IFERROR(VLOOKUP($A29,CP!$A$1:$U$7992,20,FALSE),"")</f>
        <v/>
      </c>
      <c r="BS29" s="224" t="str">
        <f>IFERROR(VLOOKUP($A29,CP!$A$1:$U$1,21,FALSE),"")</f>
        <v/>
      </c>
      <c r="BT29" s="224" t="str">
        <f>IFERROR(VLOOKUP(A29,Devengado!$A$1:AJ$9310,35,FALSE),"")</f>
        <v/>
      </c>
      <c r="BU29" s="224" t="str">
        <f t="shared" si="9"/>
        <v/>
      </c>
      <c r="BV29" s="224" t="str">
        <f t="shared" si="10"/>
        <v/>
      </c>
      <c r="BW29" s="224">
        <f t="shared" si="11"/>
        <v>0</v>
      </c>
      <c r="BX29" s="429">
        <v>0</v>
      </c>
      <c r="BY29" s="429">
        <v>0</v>
      </c>
      <c r="BZ29" s="429">
        <v>0</v>
      </c>
      <c r="CA29" s="429">
        <v>0</v>
      </c>
      <c r="CB29" s="429">
        <v>0</v>
      </c>
      <c r="CC29" s="429">
        <v>0</v>
      </c>
      <c r="CD29" s="429">
        <v>0</v>
      </c>
      <c r="CE29" s="429">
        <v>0</v>
      </c>
      <c r="CF29" s="429">
        <v>0</v>
      </c>
      <c r="CG29" s="429">
        <v>0</v>
      </c>
      <c r="CH29" s="429">
        <v>0</v>
      </c>
      <c r="CI29" s="429">
        <v>0</v>
      </c>
      <c r="CJ29" s="224" t="str">
        <f>IFERROR(VLOOKUP($A29,Devengado!$A$1:$AI$9038,22,FALSE),"")</f>
        <v/>
      </c>
      <c r="CK29" s="224" t="str">
        <f>IFERROR(VLOOKUP($A29,Devengado!$A$1:$AI$9038,23,FALSE),"")</f>
        <v/>
      </c>
      <c r="CL29" s="224" t="str">
        <f>IFERROR(VLOOKUP($A29,Devengado!$A$1:$AI$9038,24,FALSE),"")</f>
        <v/>
      </c>
      <c r="CM29" s="224" t="str">
        <f>IFERROR(VLOOKUP($A29,Devengado!$A$1:$AI$9038,25,FALSE),"")</f>
        <v/>
      </c>
      <c r="CN29" s="224" t="str">
        <f>IFERROR(VLOOKUP($A29,Devengado!$A$1:$AI$9038,26,FALSE),"")</f>
        <v/>
      </c>
      <c r="CO29" s="224" t="str">
        <f>IFERROR(VLOOKUP($A29,Devengado!$A$1:$AI$9038,27,FALSE),"")</f>
        <v/>
      </c>
      <c r="CP29" s="224" t="str">
        <f>IFERROR(VLOOKUP($A29,Devengado!$A$1:$AI$9038,28,FALSE),"")</f>
        <v/>
      </c>
      <c r="CQ29" s="224" t="str">
        <f>IFERROR(VLOOKUP($A29,Devengado!$A$1:$AI$9038,29,FALSE),"")</f>
        <v/>
      </c>
      <c r="CR29" s="224" t="str">
        <f>IFERROR(VLOOKUP($A29,Devengado!$A$1:$AI$9038,30,FALSE),"")</f>
        <v/>
      </c>
      <c r="CS29" s="224" t="str">
        <f>IFERROR(VLOOKUP($A29,Devengado!$A$1:$AI$9038,31,FALSE),"")</f>
        <v/>
      </c>
      <c r="CT29" s="224" t="str">
        <f>IFERROR(VLOOKUP($A29,Devengado!$A$1:$AI$9038,32,FALSE),"")</f>
        <v/>
      </c>
      <c r="CU29" s="224" t="str">
        <f>IFERROR(VLOOKUP($A29,Devengado!$A$1:$AI$9038,33,FALSE),"")</f>
        <v/>
      </c>
      <c r="CV29" s="224">
        <f t="shared" si="12"/>
        <v>0</v>
      </c>
      <c r="CW29" s="224" t="str">
        <f t="shared" si="13"/>
        <v/>
      </c>
      <c r="CX29" s="207"/>
      <c r="CY29" s="207" t="str">
        <f t="shared" si="14"/>
        <v>53</v>
      </c>
      <c r="CZ29" s="112" t="s">
        <v>915</v>
      </c>
    </row>
    <row r="30" spans="1:104" s="225" customFormat="1" ht="25.5" customHeight="1">
      <c r="A30" s="207">
        <v>440</v>
      </c>
      <c r="B30" s="207"/>
      <c r="C30" s="207"/>
      <c r="D30" s="207"/>
      <c r="E30" s="207"/>
      <c r="F30" s="207"/>
      <c r="G30" s="207"/>
      <c r="H30" s="207"/>
      <c r="I30" s="207"/>
      <c r="J30" s="207"/>
      <c r="K30" s="112" t="s">
        <v>429</v>
      </c>
      <c r="L30" s="112" t="s">
        <v>850</v>
      </c>
      <c r="M30" s="112" t="s">
        <v>850</v>
      </c>
      <c r="N30" s="112" t="s">
        <v>77</v>
      </c>
      <c r="O30" s="112" t="s">
        <v>77</v>
      </c>
      <c r="P30" s="112" t="s">
        <v>76</v>
      </c>
      <c r="Q30" s="112" t="s">
        <v>77</v>
      </c>
      <c r="R30" s="112" t="s">
        <v>77</v>
      </c>
      <c r="S30" s="112" t="s">
        <v>77</v>
      </c>
      <c r="T30" s="112" t="s">
        <v>77</v>
      </c>
      <c r="U30" s="112" t="s">
        <v>77</v>
      </c>
      <c r="V30" s="112" t="s">
        <v>77</v>
      </c>
      <c r="W30" s="112" t="s">
        <v>78</v>
      </c>
      <c r="X30" s="112" t="s">
        <v>447</v>
      </c>
      <c r="Y30" s="114" t="s">
        <v>430</v>
      </c>
      <c r="Z30" s="114" t="s">
        <v>111</v>
      </c>
      <c r="AA30" s="114" t="s">
        <v>81</v>
      </c>
      <c r="AB30" s="114" t="s">
        <v>112</v>
      </c>
      <c r="AC30" s="115" t="str">
        <f t="shared" si="0"/>
        <v>53</v>
      </c>
      <c r="AD30" s="124">
        <v>530208</v>
      </c>
      <c r="AE30" s="122" t="str">
        <f>VLOOKUP(AD30,ITEM!$C$1:$D$694,2,FALSE)</f>
        <v>Servicio de Seguridad y Vigilancia</v>
      </c>
      <c r="AF30" s="112">
        <v>1309</v>
      </c>
      <c r="AG30" s="114" t="s">
        <v>82</v>
      </c>
      <c r="AH30" s="114" t="s">
        <v>84</v>
      </c>
      <c r="AI30" s="114" t="s">
        <v>84</v>
      </c>
      <c r="AJ30" s="114" t="s">
        <v>914</v>
      </c>
      <c r="AK30" s="114" t="s">
        <v>77</v>
      </c>
      <c r="AL30" s="271">
        <v>178957</v>
      </c>
      <c r="AM30" s="272"/>
      <c r="AN30" s="272">
        <f t="shared" si="1"/>
        <v>178957</v>
      </c>
      <c r="AO30" s="224">
        <f>SUMIF(Reforma!$A$2:$A$8523,$A30,Reforma!$AB$2:$AB$8523)</f>
        <v>0</v>
      </c>
      <c r="AP30" s="224">
        <f>SUMIF(Reforma!$A$2:$A$8523,$A30,Reforma!$AC$2:$AC$8523)</f>
        <v>-7157</v>
      </c>
      <c r="AQ30" s="224">
        <f>SUMIF(Reforma!$A$2:$A$8523,$A30,Reforma!$AD$2:$AD$8523)</f>
        <v>0</v>
      </c>
      <c r="AR30" s="224">
        <f>SUMIF(Reforma!$A$2:$A$8523,$A30,Reforma!$AE$2:$AE$8523)</f>
        <v>0</v>
      </c>
      <c r="AS30" s="224">
        <f t="shared" si="2"/>
        <v>171800</v>
      </c>
      <c r="AT30" s="224">
        <f t="shared" si="3"/>
        <v>0</v>
      </c>
      <c r="AU30" s="224">
        <f t="shared" si="4"/>
        <v>171800</v>
      </c>
      <c r="AV30" s="326"/>
      <c r="AW30" s="224">
        <f>IFERROR(VLOOKUP($A30,[1]Devengado!$A$1:$AI$9044,23,FALSE),"")</f>
        <v>30128.48</v>
      </c>
      <c r="AX30" s="224">
        <f>IFERROR(VLOOKUP($A30,[1]Devengado!$A$1:$AI$9044,24,FALSE),"")</f>
        <v>15064.24</v>
      </c>
      <c r="AY30" s="224">
        <f>IFERROR(VLOOKUP($A30,[1]Devengado!$A$1:$AI$9044,25,FALSE),"")</f>
        <v>15064.24</v>
      </c>
      <c r="AZ30" s="224" t="str">
        <f>IFERROR(VLOOKUP($A30,[1]Devengado!$A$1:$AI$9044,26,FALSE),"")</f>
        <v/>
      </c>
      <c r="BA30" s="224">
        <f>IFERROR(VLOOKUP($A30,[1]Devengado!$A$1:$AI$9044,27,FALSE),"")</f>
        <v>15064.24</v>
      </c>
      <c r="BB30" s="224">
        <v>30128.48</v>
      </c>
      <c r="BC30" s="224">
        <v>15064.24</v>
      </c>
      <c r="BD30" s="224">
        <v>15064.24</v>
      </c>
      <c r="BE30" s="481">
        <v>15064.24</v>
      </c>
      <c r="BF30" s="481">
        <v>15064.24</v>
      </c>
      <c r="BG30" s="481">
        <v>6093.36</v>
      </c>
      <c r="BH30" s="408">
        <f t="shared" si="5"/>
        <v>178957.00000000003</v>
      </c>
      <c r="BI30" s="408">
        <f t="shared" si="6"/>
        <v>171799.99999999997</v>
      </c>
      <c r="BJ30" s="408">
        <f t="shared" si="7"/>
        <v>0</v>
      </c>
      <c r="BK30" s="224"/>
      <c r="BL30" s="224"/>
      <c r="BM30" s="224"/>
      <c r="BN30" s="224">
        <f>IFERROR(VLOOKUP($A30,'Constancias POA'!$A$2:$DH$9993,18,FALSE),"")</f>
        <v>178957</v>
      </c>
      <c r="BO30" s="224">
        <f t="shared" si="8"/>
        <v>-7157</v>
      </c>
      <c r="BP30" s="224">
        <f>IFERROR(VLOOKUP($A30,CP!$A$1:$U$7992,18,FALSE),"")</f>
        <v>0</v>
      </c>
      <c r="BQ30" s="224">
        <f>IFERROR(VLOOKUP($A30,CP!$A$1:$U$7992,19,FALSE),"")</f>
        <v>171800</v>
      </c>
      <c r="BR30" s="224">
        <f>IFERROR(VLOOKUP($A30,CP!$A$1:$U$7992,20,FALSE),"")</f>
        <v>0</v>
      </c>
      <c r="BS30" s="224" t="str">
        <f>IFERROR(VLOOKUP($A30,CP!$A$1:$U$1,21,FALSE),"")</f>
        <v/>
      </c>
      <c r="BT30" s="224">
        <f>IFERROR(VLOOKUP(A30,Devengado!$A$1:AJ$9310,35,FALSE),"")</f>
        <v>171732.33000000002</v>
      </c>
      <c r="BU30" s="224">
        <f t="shared" si="9"/>
        <v>67.669999999983702</v>
      </c>
      <c r="BV30" s="224">
        <f t="shared" si="10"/>
        <v>0.99960611175785807</v>
      </c>
      <c r="BW30" s="224">
        <f t="shared" si="11"/>
        <v>171800</v>
      </c>
      <c r="BX30" s="326">
        <v>16268.82</v>
      </c>
      <c r="BY30" s="326">
        <v>16268.82</v>
      </c>
      <c r="BZ30" s="326">
        <v>16268.82</v>
      </c>
      <c r="CA30" s="326">
        <v>16268.82</v>
      </c>
      <c r="CB30" s="326">
        <v>16268.82</v>
      </c>
      <c r="CC30" s="326">
        <v>16268.82</v>
      </c>
      <c r="CD30" s="326">
        <v>16268.82</v>
      </c>
      <c r="CE30" s="326">
        <v>16268.82</v>
      </c>
      <c r="CF30" s="326">
        <v>16268.82</v>
      </c>
      <c r="CG30" s="326">
        <v>16268.82</v>
      </c>
      <c r="CH30" s="326">
        <v>16268.8</v>
      </c>
      <c r="CI30" s="429">
        <v>0</v>
      </c>
      <c r="CJ30" s="224">
        <f>IFERROR(VLOOKUP($A30,Devengado!$A$1:$AI$9038,22,FALSE),"")</f>
        <v>0</v>
      </c>
      <c r="CK30" s="224">
        <f>IFERROR(VLOOKUP($A30,Devengado!$A$1:$AI$9038,23,FALSE),"")</f>
        <v>30128.48</v>
      </c>
      <c r="CL30" s="224">
        <f>IFERROR(VLOOKUP($A30,Devengado!$A$1:$AI$9038,24,FALSE),"")</f>
        <v>15064.24</v>
      </c>
      <c r="CM30" s="224">
        <f>IFERROR(VLOOKUP($A30,Devengado!$A$1:$AI$9038,25,FALSE),"")</f>
        <v>15064.24</v>
      </c>
      <c r="CN30" s="224">
        <f>IFERROR(VLOOKUP($A30,Devengado!$A$1:$AI$9038,26,FALSE),"")</f>
        <v>0</v>
      </c>
      <c r="CO30" s="224">
        <f>IFERROR(VLOOKUP($A30,Devengado!$A$1:$AI$9038,27,FALSE),"")</f>
        <v>30128.48</v>
      </c>
      <c r="CP30" s="224">
        <f>IFERROR(VLOOKUP($A30,Devengado!$A$1:$AI$9038,28,FALSE),"")</f>
        <v>15064.24</v>
      </c>
      <c r="CQ30" s="224">
        <f>IFERROR(VLOOKUP($A30,Devengado!$A$1:$AI$9038,29,FALSE),"")</f>
        <v>15064.24</v>
      </c>
      <c r="CR30" s="224">
        <f>IFERROR(VLOOKUP($A30,Devengado!$A$1:$AI$9038,30,FALSE),"")</f>
        <v>15064.24</v>
      </c>
      <c r="CS30" s="224">
        <f>IFERROR(VLOOKUP($A30,Devengado!$A$1:$AI$9038,31,FALSE),"")</f>
        <v>0</v>
      </c>
      <c r="CT30" s="224">
        <f>IFERROR(VLOOKUP($A30,Devengado!$A$1:$AI$9038,32,FALSE),"")</f>
        <v>30128.48</v>
      </c>
      <c r="CU30" s="224">
        <f>IFERROR(VLOOKUP($A30,Devengado!$A$1:$AI$9038,33,FALSE),"")</f>
        <v>6025.69</v>
      </c>
      <c r="CV30" s="224">
        <f t="shared" si="12"/>
        <v>171732.33000000002</v>
      </c>
      <c r="CW30" s="224">
        <f t="shared" si="13"/>
        <v>0</v>
      </c>
      <c r="CX30" s="207"/>
      <c r="CY30" s="207" t="str">
        <f t="shared" si="14"/>
        <v>53</v>
      </c>
      <c r="CZ30" s="112" t="s">
        <v>916</v>
      </c>
    </row>
    <row r="31" spans="1:104" s="225" customFormat="1" ht="25.5" customHeight="1">
      <c r="A31" s="207">
        <v>441</v>
      </c>
      <c r="B31" s="207"/>
      <c r="C31" s="207"/>
      <c r="D31" s="207"/>
      <c r="E31" s="207"/>
      <c r="F31" s="207"/>
      <c r="G31" s="207"/>
      <c r="H31" s="207"/>
      <c r="I31" s="207"/>
      <c r="J31" s="207"/>
      <c r="K31" s="112" t="s">
        <v>429</v>
      </c>
      <c r="L31" s="112" t="s">
        <v>850</v>
      </c>
      <c r="M31" s="112" t="s">
        <v>850</v>
      </c>
      <c r="N31" s="112" t="s">
        <v>77</v>
      </c>
      <c r="O31" s="112" t="s">
        <v>77</v>
      </c>
      <c r="P31" s="112" t="s">
        <v>76</v>
      </c>
      <c r="Q31" s="112" t="s">
        <v>77</v>
      </c>
      <c r="R31" s="112" t="s">
        <v>77</v>
      </c>
      <c r="S31" s="112" t="s">
        <v>77</v>
      </c>
      <c r="T31" s="112" t="s">
        <v>77</v>
      </c>
      <c r="U31" s="112" t="s">
        <v>77</v>
      </c>
      <c r="V31" s="112" t="s">
        <v>77</v>
      </c>
      <c r="W31" s="112" t="s">
        <v>85</v>
      </c>
      <c r="X31" s="124" t="s">
        <v>448</v>
      </c>
      <c r="Y31" s="114" t="s">
        <v>430</v>
      </c>
      <c r="Z31" s="114" t="s">
        <v>111</v>
      </c>
      <c r="AA31" s="114" t="s">
        <v>81</v>
      </c>
      <c r="AB31" s="114" t="s">
        <v>112</v>
      </c>
      <c r="AC31" s="115" t="str">
        <f t="shared" si="0"/>
        <v>53</v>
      </c>
      <c r="AD31" s="124">
        <v>530101</v>
      </c>
      <c r="AE31" s="122" t="str">
        <f>VLOOKUP(AD31,ITEM!$C$1:$D$694,2,FALSE)</f>
        <v>Agua Potable</v>
      </c>
      <c r="AF31" s="112">
        <v>1309</v>
      </c>
      <c r="AG31" s="114" t="s">
        <v>82</v>
      </c>
      <c r="AH31" s="114" t="s">
        <v>84</v>
      </c>
      <c r="AI31" s="114" t="s">
        <v>84</v>
      </c>
      <c r="AJ31" s="114" t="s">
        <v>914</v>
      </c>
      <c r="AK31" s="114" t="s">
        <v>77</v>
      </c>
      <c r="AL31" s="271">
        <v>500</v>
      </c>
      <c r="AM31" s="272"/>
      <c r="AN31" s="272">
        <f t="shared" si="1"/>
        <v>500</v>
      </c>
      <c r="AO31" s="224">
        <f>SUMIF(Reforma!$A$2:$A$8523,$A31,Reforma!$AB$2:$AB$8523)</f>
        <v>0</v>
      </c>
      <c r="AP31" s="224">
        <f>SUMIF(Reforma!$A$2:$A$8523,$A31,Reforma!$AC$2:$AC$8523)</f>
        <v>-500</v>
      </c>
      <c r="AQ31" s="224">
        <f>SUMIF(Reforma!$A$2:$A$8523,$A31,Reforma!$AD$2:$AD$8523)</f>
        <v>0</v>
      </c>
      <c r="AR31" s="224">
        <f>SUMIF(Reforma!$A$2:$A$8523,$A31,Reforma!$AE$2:$AE$8523)</f>
        <v>0</v>
      </c>
      <c r="AS31" s="224">
        <f t="shared" si="2"/>
        <v>0</v>
      </c>
      <c r="AT31" s="224">
        <f t="shared" si="3"/>
        <v>0</v>
      </c>
      <c r="AU31" s="224">
        <f t="shared" si="4"/>
        <v>0</v>
      </c>
      <c r="AV31" s="51"/>
      <c r="AW31" s="51"/>
      <c r="AX31" s="51"/>
      <c r="AY31" s="51"/>
      <c r="AZ31" s="51"/>
      <c r="BA31" s="51"/>
      <c r="BB31" s="51"/>
      <c r="BC31" s="51"/>
      <c r="BD31" s="51"/>
      <c r="BE31" s="51"/>
      <c r="BF31" s="51"/>
      <c r="BG31" s="51"/>
      <c r="BH31" s="408">
        <f t="shared" si="5"/>
        <v>500</v>
      </c>
      <c r="BI31" s="408">
        <f t="shared" si="6"/>
        <v>0</v>
      </c>
      <c r="BJ31" s="408">
        <f t="shared" si="7"/>
        <v>0</v>
      </c>
      <c r="BK31" s="224"/>
      <c r="BL31" s="224"/>
      <c r="BM31" s="224"/>
      <c r="BN31" s="224" t="str">
        <f>IFERROR(VLOOKUP($A31,'Constancias POA'!$A$2:$DH$9993,18,FALSE),"")</f>
        <v/>
      </c>
      <c r="BO31" s="224" t="str">
        <f t="shared" si="8"/>
        <v/>
      </c>
      <c r="BP31" s="224" t="str">
        <f>IFERROR(VLOOKUP($A31,CP!$A$1:$U$7992,18,FALSE),"")</f>
        <v/>
      </c>
      <c r="BQ31" s="224" t="str">
        <f>IFERROR(VLOOKUP($A31,CP!$A$1:$U$7992,19,FALSE),"")</f>
        <v/>
      </c>
      <c r="BR31" s="224" t="str">
        <f>IFERROR(VLOOKUP($A31,CP!$A$1:$U$7992,20,FALSE),"")</f>
        <v/>
      </c>
      <c r="BS31" s="224" t="str">
        <f>IFERROR(VLOOKUP($A31,CP!$A$1:$U$1,21,FALSE),"")</f>
        <v/>
      </c>
      <c r="BT31" s="224" t="str">
        <f>IFERROR(VLOOKUP(A31,Devengado!$A$1:AJ$9310,35,FALSE),"")</f>
        <v/>
      </c>
      <c r="BU31" s="224" t="str">
        <f t="shared" si="9"/>
        <v/>
      </c>
      <c r="BV31" s="224" t="str">
        <f t="shared" si="10"/>
        <v/>
      </c>
      <c r="BW31" s="224">
        <f t="shared" si="11"/>
        <v>0</v>
      </c>
      <c r="BX31" s="429">
        <v>0</v>
      </c>
      <c r="BY31" s="429">
        <v>500</v>
      </c>
      <c r="BZ31" s="429">
        <v>0</v>
      </c>
      <c r="CA31" s="429">
        <v>0</v>
      </c>
      <c r="CB31" s="429">
        <v>0</v>
      </c>
      <c r="CC31" s="429">
        <v>0</v>
      </c>
      <c r="CD31" s="429">
        <v>0</v>
      </c>
      <c r="CE31" s="429">
        <v>0</v>
      </c>
      <c r="CF31" s="429">
        <v>0</v>
      </c>
      <c r="CG31" s="429">
        <v>0</v>
      </c>
      <c r="CH31" s="429">
        <v>0</v>
      </c>
      <c r="CI31" s="429">
        <v>0</v>
      </c>
      <c r="CJ31" s="224" t="str">
        <f>IFERROR(VLOOKUP($A31,Devengado!$A$1:$AI$9038,22,FALSE),"")</f>
        <v/>
      </c>
      <c r="CK31" s="224" t="str">
        <f>IFERROR(VLOOKUP($A31,Devengado!$A$1:$AI$9038,23,FALSE),"")</f>
        <v/>
      </c>
      <c r="CL31" s="224" t="str">
        <f>IFERROR(VLOOKUP($A31,Devengado!$A$1:$AI$9038,24,FALSE),"")</f>
        <v/>
      </c>
      <c r="CM31" s="224" t="str">
        <f>IFERROR(VLOOKUP($A31,Devengado!$A$1:$AI$9038,25,FALSE),"")</f>
        <v/>
      </c>
      <c r="CN31" s="224" t="str">
        <f>IFERROR(VLOOKUP($A31,Devengado!$A$1:$AI$9038,26,FALSE),"")</f>
        <v/>
      </c>
      <c r="CO31" s="224" t="str">
        <f>IFERROR(VLOOKUP($A31,Devengado!$A$1:$AI$9038,27,FALSE),"")</f>
        <v/>
      </c>
      <c r="CP31" s="224" t="str">
        <f>IFERROR(VLOOKUP($A31,Devengado!$A$1:$AI$9038,28,FALSE),"")</f>
        <v/>
      </c>
      <c r="CQ31" s="224" t="str">
        <f>IFERROR(VLOOKUP($A31,Devengado!$A$1:$AI$9038,29,FALSE),"")</f>
        <v/>
      </c>
      <c r="CR31" s="224" t="str">
        <f>IFERROR(VLOOKUP($A31,Devengado!$A$1:$AI$9038,30,FALSE),"")</f>
        <v/>
      </c>
      <c r="CS31" s="224" t="str">
        <f>IFERROR(VLOOKUP($A31,Devengado!$A$1:$AI$9038,31,FALSE),"")</f>
        <v/>
      </c>
      <c r="CT31" s="224" t="str">
        <f>IFERROR(VLOOKUP($A31,Devengado!$A$1:$AI$9038,32,FALSE),"")</f>
        <v/>
      </c>
      <c r="CU31" s="224" t="str">
        <f>IFERROR(VLOOKUP($A31,Devengado!$A$1:$AI$9038,33,FALSE),"")</f>
        <v/>
      </c>
      <c r="CV31" s="224">
        <f t="shared" si="12"/>
        <v>0</v>
      </c>
      <c r="CW31" s="224" t="str">
        <f t="shared" si="13"/>
        <v/>
      </c>
      <c r="CX31" s="207"/>
      <c r="CY31" s="207" t="str">
        <f t="shared" si="14"/>
        <v>53</v>
      </c>
      <c r="CZ31" s="112" t="s">
        <v>915</v>
      </c>
    </row>
    <row r="32" spans="1:104" s="225" customFormat="1" ht="25.5" customHeight="1">
      <c r="A32" s="207">
        <v>442</v>
      </c>
      <c r="B32" s="207"/>
      <c r="C32" s="207"/>
      <c r="D32" s="207"/>
      <c r="E32" s="207"/>
      <c r="F32" s="207"/>
      <c r="G32" s="207"/>
      <c r="H32" s="207"/>
      <c r="I32" s="207"/>
      <c r="J32" s="207"/>
      <c r="K32" s="112" t="s">
        <v>429</v>
      </c>
      <c r="L32" s="112" t="s">
        <v>850</v>
      </c>
      <c r="M32" s="112" t="s">
        <v>850</v>
      </c>
      <c r="N32" s="112" t="s">
        <v>77</v>
      </c>
      <c r="O32" s="112" t="s">
        <v>77</v>
      </c>
      <c r="P32" s="112" t="s">
        <v>76</v>
      </c>
      <c r="Q32" s="112" t="s">
        <v>77</v>
      </c>
      <c r="R32" s="112" t="s">
        <v>77</v>
      </c>
      <c r="S32" s="112" t="s">
        <v>77</v>
      </c>
      <c r="T32" s="112" t="s">
        <v>77</v>
      </c>
      <c r="U32" s="112" t="s">
        <v>77</v>
      </c>
      <c r="V32" s="112" t="s">
        <v>77</v>
      </c>
      <c r="W32" s="112" t="s">
        <v>87</v>
      </c>
      <c r="X32" s="124" t="s">
        <v>449</v>
      </c>
      <c r="Y32" s="114" t="s">
        <v>430</v>
      </c>
      <c r="Z32" s="114" t="s">
        <v>111</v>
      </c>
      <c r="AA32" s="114" t="s">
        <v>81</v>
      </c>
      <c r="AB32" s="114" t="s">
        <v>112</v>
      </c>
      <c r="AC32" s="115" t="str">
        <f t="shared" si="0"/>
        <v>53</v>
      </c>
      <c r="AD32" s="124">
        <v>530101</v>
      </c>
      <c r="AE32" s="122" t="str">
        <f>VLOOKUP(AD32,ITEM!$C$1:$D$694,2,FALSE)</f>
        <v>Agua Potable</v>
      </c>
      <c r="AF32" s="112">
        <v>1309</v>
      </c>
      <c r="AG32" s="114" t="s">
        <v>82</v>
      </c>
      <c r="AH32" s="114" t="s">
        <v>84</v>
      </c>
      <c r="AI32" s="114" t="s">
        <v>84</v>
      </c>
      <c r="AJ32" s="114" t="s">
        <v>914</v>
      </c>
      <c r="AK32" s="114" t="s">
        <v>77</v>
      </c>
      <c r="AL32" s="271">
        <v>600</v>
      </c>
      <c r="AM32" s="272"/>
      <c r="AN32" s="272">
        <f t="shared" si="1"/>
        <v>600</v>
      </c>
      <c r="AO32" s="224">
        <f>SUMIF(Reforma!$A$2:$A$8523,$A32,Reforma!$AB$2:$AB$8523)</f>
        <v>0</v>
      </c>
      <c r="AP32" s="224">
        <f>SUMIF(Reforma!$A$2:$A$8523,$A32,Reforma!$AC$2:$AC$8523)</f>
        <v>-596.29999999999995</v>
      </c>
      <c r="AQ32" s="224">
        <f>SUMIF(Reforma!$A$2:$A$8523,$A32,Reforma!$AD$2:$AD$8523)</f>
        <v>0</v>
      </c>
      <c r="AR32" s="224">
        <f>SUMIF(Reforma!$A$2:$A$8523,$A32,Reforma!$AE$2:$AE$8523)</f>
        <v>0</v>
      </c>
      <c r="AS32" s="224">
        <f t="shared" si="2"/>
        <v>3.7000000000000455</v>
      </c>
      <c r="AT32" s="224">
        <f t="shared" si="3"/>
        <v>0</v>
      </c>
      <c r="AU32" s="224">
        <f t="shared" si="4"/>
        <v>3.7000000000000455</v>
      </c>
      <c r="AV32" s="326"/>
      <c r="AW32" s="326"/>
      <c r="AX32" s="326">
        <v>3.7</v>
      </c>
      <c r="AY32" s="326"/>
      <c r="AZ32" s="326"/>
      <c r="BA32" s="326"/>
      <c r="BB32" s="326"/>
      <c r="BC32" s="326"/>
      <c r="BD32" s="326"/>
      <c r="BE32" s="326"/>
      <c r="BF32" s="326"/>
      <c r="BG32" s="326"/>
      <c r="BH32" s="408">
        <f t="shared" si="5"/>
        <v>600</v>
      </c>
      <c r="BI32" s="408">
        <f t="shared" si="6"/>
        <v>3.7</v>
      </c>
      <c r="BJ32" s="408">
        <f t="shared" si="7"/>
        <v>-4.5297099404706387E-14</v>
      </c>
      <c r="BK32" s="224"/>
      <c r="BL32" s="224"/>
      <c r="BM32" s="224"/>
      <c r="BN32" s="224">
        <f>IFERROR(VLOOKUP($A32,'Constancias POA'!$A$2:$DH$9993,18,FALSE),"")</f>
        <v>3.7</v>
      </c>
      <c r="BO32" s="224">
        <f t="shared" si="8"/>
        <v>4.5297099404706387E-14</v>
      </c>
      <c r="BP32" s="224">
        <f>IFERROR(VLOOKUP($A32,CP!$A$1:$U$7992,18,FALSE),"")</f>
        <v>0</v>
      </c>
      <c r="BQ32" s="507">
        <f>IFERROR(VLOOKUP($A32,CP!$A$1:$U$7992,19,FALSE),"")</f>
        <v>3.7000000000000455</v>
      </c>
      <c r="BR32" s="224">
        <f>IFERROR(VLOOKUP($A32,CP!$A$1:$U$7992,20,FALSE),"")</f>
        <v>0</v>
      </c>
      <c r="BS32" s="224" t="str">
        <f>IFERROR(VLOOKUP($A32,CP!$A$1:$U$1,21,FALSE),"")</f>
        <v/>
      </c>
      <c r="BT32" s="507">
        <f>IFERROR(VLOOKUP(A32,Devengado!$A$1:AJ$9310,35,FALSE),"")</f>
        <v>3.7</v>
      </c>
      <c r="BU32" s="224">
        <f t="shared" si="9"/>
        <v>4.5297099404706387E-14</v>
      </c>
      <c r="BV32" s="224">
        <f t="shared" si="10"/>
        <v>0.99999999999998779</v>
      </c>
      <c r="BW32" s="224">
        <f t="shared" si="11"/>
        <v>3.7000000000000455</v>
      </c>
      <c r="BX32" s="429">
        <v>0</v>
      </c>
      <c r="BY32" s="429">
        <v>600</v>
      </c>
      <c r="BZ32" s="429">
        <v>0</v>
      </c>
      <c r="CA32" s="429">
        <v>0</v>
      </c>
      <c r="CB32" s="429">
        <v>0</v>
      </c>
      <c r="CC32" s="429">
        <v>0</v>
      </c>
      <c r="CD32" s="429">
        <v>0</v>
      </c>
      <c r="CE32" s="429">
        <v>0</v>
      </c>
      <c r="CF32" s="429">
        <v>0</v>
      </c>
      <c r="CG32" s="429">
        <v>0</v>
      </c>
      <c r="CH32" s="429">
        <v>0</v>
      </c>
      <c r="CI32" s="429">
        <v>0</v>
      </c>
      <c r="CJ32" s="224">
        <f>IFERROR(VLOOKUP($A32,Devengado!$A$1:$AI$9038,22,FALSE),"")</f>
        <v>0</v>
      </c>
      <c r="CK32" s="224">
        <f>IFERROR(VLOOKUP($A32,Devengado!$A$1:$AI$9038,23,FALSE),"")</f>
        <v>0</v>
      </c>
      <c r="CL32" s="224">
        <f>IFERROR(VLOOKUP($A32,Devengado!$A$1:$AI$9038,24,FALSE),"")</f>
        <v>3.7</v>
      </c>
      <c r="CM32" s="224">
        <f>IFERROR(VLOOKUP($A32,Devengado!$A$1:$AI$9038,25,FALSE),"")</f>
        <v>0</v>
      </c>
      <c r="CN32" s="224">
        <f>IFERROR(VLOOKUP($A32,Devengado!$A$1:$AI$9038,26,FALSE),"")</f>
        <v>0</v>
      </c>
      <c r="CO32" s="224">
        <f>IFERROR(VLOOKUP($A32,Devengado!$A$1:$AI$9038,27,FALSE),"")</f>
        <v>0</v>
      </c>
      <c r="CP32" s="224">
        <f>IFERROR(VLOOKUP($A32,Devengado!$A$1:$AI$9038,28,FALSE),"")</f>
        <v>0</v>
      </c>
      <c r="CQ32" s="224">
        <f>IFERROR(VLOOKUP($A32,Devengado!$A$1:$AI$9038,29,FALSE),"")</f>
        <v>0</v>
      </c>
      <c r="CR32" s="224">
        <f>IFERROR(VLOOKUP($A32,Devengado!$A$1:$AI$9038,30,FALSE),"")</f>
        <v>0</v>
      </c>
      <c r="CS32" s="224">
        <f>IFERROR(VLOOKUP($A32,Devengado!$A$1:$AI$9038,31,FALSE),"")</f>
        <v>0</v>
      </c>
      <c r="CT32" s="224">
        <f>IFERROR(VLOOKUP($A32,Devengado!$A$1:$AI$9038,32,FALSE),"")</f>
        <v>0</v>
      </c>
      <c r="CU32" s="224">
        <f>IFERROR(VLOOKUP($A32,Devengado!$A$1:$AI$9038,33,FALSE),"")</f>
        <v>0</v>
      </c>
      <c r="CV32" s="224">
        <f t="shared" si="12"/>
        <v>3.7</v>
      </c>
      <c r="CW32" s="224">
        <f t="shared" si="13"/>
        <v>0</v>
      </c>
      <c r="CX32" s="207"/>
      <c r="CY32" s="207" t="str">
        <f t="shared" si="14"/>
        <v>53</v>
      </c>
      <c r="CZ32" s="112" t="s">
        <v>916</v>
      </c>
    </row>
    <row r="33" spans="1:104" s="225" customFormat="1" ht="25.5" customHeight="1">
      <c r="A33" s="207">
        <v>443</v>
      </c>
      <c r="B33" s="207"/>
      <c r="C33" s="207"/>
      <c r="D33" s="207"/>
      <c r="E33" s="207"/>
      <c r="F33" s="207"/>
      <c r="G33" s="207"/>
      <c r="H33" s="207"/>
      <c r="I33" s="207"/>
      <c r="J33" s="207"/>
      <c r="K33" s="112" t="s">
        <v>429</v>
      </c>
      <c r="L33" s="112" t="s">
        <v>850</v>
      </c>
      <c r="M33" s="112" t="s">
        <v>850</v>
      </c>
      <c r="N33" s="112" t="s">
        <v>77</v>
      </c>
      <c r="O33" s="112" t="s">
        <v>77</v>
      </c>
      <c r="P33" s="112" t="s">
        <v>76</v>
      </c>
      <c r="Q33" s="112" t="s">
        <v>77</v>
      </c>
      <c r="R33" s="112" t="s">
        <v>77</v>
      </c>
      <c r="S33" s="112" t="s">
        <v>77</v>
      </c>
      <c r="T33" s="112" t="s">
        <v>77</v>
      </c>
      <c r="U33" s="112" t="s">
        <v>77</v>
      </c>
      <c r="V33" s="112" t="s">
        <v>77</v>
      </c>
      <c r="W33" s="112" t="s">
        <v>85</v>
      </c>
      <c r="X33" s="124" t="s">
        <v>450</v>
      </c>
      <c r="Y33" s="114" t="s">
        <v>430</v>
      </c>
      <c r="Z33" s="114" t="s">
        <v>111</v>
      </c>
      <c r="AA33" s="114" t="s">
        <v>81</v>
      </c>
      <c r="AB33" s="114" t="s">
        <v>112</v>
      </c>
      <c r="AC33" s="115" t="str">
        <f t="shared" si="0"/>
        <v>53</v>
      </c>
      <c r="AD33" s="124">
        <v>530101</v>
      </c>
      <c r="AE33" s="122" t="str">
        <f>VLOOKUP(AD33,ITEM!$C$1:$D$694,2,FALSE)</f>
        <v>Agua Potable</v>
      </c>
      <c r="AF33" s="112">
        <v>1309</v>
      </c>
      <c r="AG33" s="114" t="s">
        <v>82</v>
      </c>
      <c r="AH33" s="114" t="s">
        <v>84</v>
      </c>
      <c r="AI33" s="114" t="s">
        <v>84</v>
      </c>
      <c r="AJ33" s="114" t="s">
        <v>914</v>
      </c>
      <c r="AK33" s="114" t="s">
        <v>77</v>
      </c>
      <c r="AL33" s="271">
        <v>1800</v>
      </c>
      <c r="AM33" s="272"/>
      <c r="AN33" s="272">
        <f t="shared" si="1"/>
        <v>1800</v>
      </c>
      <c r="AO33" s="224">
        <f>SUMIF(Reforma!$A$2:$A$8523,$A33,Reforma!$AB$2:$AB$8523)</f>
        <v>800</v>
      </c>
      <c r="AP33" s="224">
        <f>SUMIF(Reforma!$A$2:$A$8523,$A33,Reforma!$AC$2:$AC$8523)</f>
        <v>0</v>
      </c>
      <c r="AQ33" s="224">
        <f>SUMIF(Reforma!$A$2:$A$8523,$A33,Reforma!$AD$2:$AD$8523)</f>
        <v>0</v>
      </c>
      <c r="AR33" s="224">
        <f>SUMIF(Reforma!$A$2:$A$8523,$A33,Reforma!$AE$2:$AE$8523)</f>
        <v>0</v>
      </c>
      <c r="AS33" s="224">
        <f t="shared" si="2"/>
        <v>2600</v>
      </c>
      <c r="AT33" s="224">
        <f t="shared" si="3"/>
        <v>0</v>
      </c>
      <c r="AU33" s="224">
        <f t="shared" si="4"/>
        <v>2600</v>
      </c>
      <c r="AV33" s="461"/>
      <c r="AW33" s="461"/>
      <c r="AX33" s="461">
        <v>3.7</v>
      </c>
      <c r="AY33" s="461"/>
      <c r="AZ33" s="461"/>
      <c r="BA33" s="461">
        <v>11.55</v>
      </c>
      <c r="BB33" s="461">
        <v>86.65</v>
      </c>
      <c r="BC33" s="461">
        <v>498.98</v>
      </c>
      <c r="BD33" s="461"/>
      <c r="BE33" s="461">
        <v>970.02</v>
      </c>
      <c r="BF33" s="461">
        <v>1029.0999999999999</v>
      </c>
      <c r="BG33" s="326">
        <v>0</v>
      </c>
      <c r="BH33" s="408">
        <f t="shared" si="5"/>
        <v>1800</v>
      </c>
      <c r="BI33" s="408">
        <f t="shared" si="6"/>
        <v>2600</v>
      </c>
      <c r="BJ33" s="408">
        <f t="shared" si="7"/>
        <v>0</v>
      </c>
      <c r="BK33" s="224"/>
      <c r="BL33" s="224"/>
      <c r="BM33" s="224"/>
      <c r="BN33" s="224">
        <f>IFERROR(VLOOKUP($A33,'Constancias POA'!$A$2:$DH$9993,18,FALSE),"")</f>
        <v>1800</v>
      </c>
      <c r="BO33" s="224">
        <f t="shared" si="8"/>
        <v>800</v>
      </c>
      <c r="BP33" s="224">
        <f>IFERROR(VLOOKUP($A33,CP!$A$1:$U$7992,18,FALSE),"")</f>
        <v>1029.0999999999999</v>
      </c>
      <c r="BQ33" s="507">
        <f>IFERROR(VLOOKUP($A33,CP!$A$1:$U$7992,19,FALSE),"")</f>
        <v>2600</v>
      </c>
      <c r="BR33" s="224">
        <f>IFERROR(VLOOKUP($A33,CP!$A$1:$U$7992,20,FALSE),"")</f>
        <v>0</v>
      </c>
      <c r="BS33" s="224" t="str">
        <f>IFERROR(VLOOKUP($A33,CP!$A$1:$U$1,21,FALSE),"")</f>
        <v/>
      </c>
      <c r="BT33" s="507">
        <f>IFERROR(VLOOKUP(A33,Devengado!$A$1:AJ$9310,35,FALSE),"")</f>
        <v>2080.92</v>
      </c>
      <c r="BU33" s="224">
        <f t="shared" si="9"/>
        <v>519.07999999999993</v>
      </c>
      <c r="BV33" s="224">
        <f t="shared" si="10"/>
        <v>0.80035384615384619</v>
      </c>
      <c r="BW33" s="224">
        <f t="shared" si="11"/>
        <v>2600</v>
      </c>
      <c r="BX33" s="429">
        <v>0</v>
      </c>
      <c r="BY33" s="429">
        <v>180</v>
      </c>
      <c r="BZ33" s="429">
        <v>180</v>
      </c>
      <c r="CA33" s="429">
        <v>180</v>
      </c>
      <c r="CB33" s="429">
        <v>180</v>
      </c>
      <c r="CC33" s="429">
        <v>180</v>
      </c>
      <c r="CD33" s="429">
        <v>180</v>
      </c>
      <c r="CE33" s="429">
        <v>180</v>
      </c>
      <c r="CF33" s="429">
        <v>180</v>
      </c>
      <c r="CG33" s="429">
        <v>180</v>
      </c>
      <c r="CH33" s="429">
        <v>180</v>
      </c>
      <c r="CI33" s="429">
        <v>0</v>
      </c>
      <c r="CJ33" s="224">
        <f>IFERROR(VLOOKUP($A33,Devengado!$A$1:$AI$9038,22,FALSE),"")</f>
        <v>0</v>
      </c>
      <c r="CK33" s="224">
        <f>IFERROR(VLOOKUP($A33,Devengado!$A$1:$AI$9038,23,FALSE),"")</f>
        <v>0</v>
      </c>
      <c r="CL33" s="224">
        <f>IFERROR(VLOOKUP($A33,Devengado!$A$1:$AI$9038,24,FALSE),"")</f>
        <v>3.7</v>
      </c>
      <c r="CM33" s="224">
        <f>IFERROR(VLOOKUP($A33,Devengado!$A$1:$AI$9038,25,FALSE),"")</f>
        <v>0</v>
      </c>
      <c r="CN33" s="224">
        <f>IFERROR(VLOOKUP($A33,Devengado!$A$1:$AI$9038,26,FALSE),"")</f>
        <v>0</v>
      </c>
      <c r="CO33" s="224">
        <f>IFERROR(VLOOKUP($A33,Devengado!$A$1:$AI$9038,27,FALSE),"")</f>
        <v>11.55</v>
      </c>
      <c r="CP33" s="224">
        <f>IFERROR(VLOOKUP($A33,Devengado!$A$1:$AI$9038,28,FALSE),"")</f>
        <v>86.65</v>
      </c>
      <c r="CQ33" s="224">
        <f>IFERROR(VLOOKUP($A33,Devengado!$A$1:$AI$9038,29,FALSE),"")</f>
        <v>498.98</v>
      </c>
      <c r="CR33" s="224">
        <f>IFERROR(VLOOKUP($A33,Devengado!$A$1:$AI$9038,30,FALSE),"")</f>
        <v>0</v>
      </c>
      <c r="CS33" s="224">
        <f>IFERROR(VLOOKUP($A33,Devengado!$A$1:$AI$9038,31,FALSE),"")</f>
        <v>970.02</v>
      </c>
      <c r="CT33" s="224">
        <f>IFERROR(VLOOKUP($A33,Devengado!$A$1:$AI$9038,32,FALSE),"")</f>
        <v>342.41</v>
      </c>
      <c r="CU33" s="224">
        <f>IFERROR(VLOOKUP($A33,Devengado!$A$1:$AI$9038,33,FALSE),"")</f>
        <v>167.61</v>
      </c>
      <c r="CV33" s="224">
        <f t="shared" si="12"/>
        <v>2080.92</v>
      </c>
      <c r="CW33" s="224">
        <f t="shared" si="13"/>
        <v>0</v>
      </c>
      <c r="CX33" s="207"/>
      <c r="CY33" s="207" t="str">
        <f t="shared" si="14"/>
        <v>53</v>
      </c>
      <c r="CZ33" s="112" t="s">
        <v>916</v>
      </c>
    </row>
    <row r="34" spans="1:104" s="225" customFormat="1" ht="25.5" customHeight="1">
      <c r="A34" s="207">
        <v>444</v>
      </c>
      <c r="B34" s="207"/>
      <c r="C34" s="207"/>
      <c r="D34" s="207"/>
      <c r="E34" s="207"/>
      <c r="F34" s="207"/>
      <c r="G34" s="207"/>
      <c r="H34" s="207"/>
      <c r="I34" s="207"/>
      <c r="J34" s="207"/>
      <c r="K34" s="112" t="s">
        <v>429</v>
      </c>
      <c r="L34" s="112" t="s">
        <v>850</v>
      </c>
      <c r="M34" s="112" t="s">
        <v>850</v>
      </c>
      <c r="N34" s="112" t="s">
        <v>77</v>
      </c>
      <c r="O34" s="112" t="s">
        <v>77</v>
      </c>
      <c r="P34" s="112" t="s">
        <v>76</v>
      </c>
      <c r="Q34" s="112" t="s">
        <v>77</v>
      </c>
      <c r="R34" s="112" t="s">
        <v>77</v>
      </c>
      <c r="S34" s="112" t="s">
        <v>77</v>
      </c>
      <c r="T34" s="112" t="s">
        <v>77</v>
      </c>
      <c r="U34" s="112" t="s">
        <v>77</v>
      </c>
      <c r="V34" s="112" t="s">
        <v>77</v>
      </c>
      <c r="W34" s="112" t="s">
        <v>87</v>
      </c>
      <c r="X34" s="124" t="s">
        <v>451</v>
      </c>
      <c r="Y34" s="114" t="s">
        <v>430</v>
      </c>
      <c r="Z34" s="114" t="s">
        <v>111</v>
      </c>
      <c r="AA34" s="114" t="s">
        <v>81</v>
      </c>
      <c r="AB34" s="114" t="s">
        <v>112</v>
      </c>
      <c r="AC34" s="115" t="str">
        <f t="shared" si="0"/>
        <v>53</v>
      </c>
      <c r="AD34" s="124">
        <v>530104</v>
      </c>
      <c r="AE34" s="122" t="str">
        <f>VLOOKUP(AD34,ITEM!$C$1:$D$694,2,FALSE)</f>
        <v>Energía Eléctrica</v>
      </c>
      <c r="AF34" s="112">
        <v>1309</v>
      </c>
      <c r="AG34" s="114" t="s">
        <v>82</v>
      </c>
      <c r="AH34" s="114" t="s">
        <v>84</v>
      </c>
      <c r="AI34" s="114" t="s">
        <v>84</v>
      </c>
      <c r="AJ34" s="114" t="s">
        <v>914</v>
      </c>
      <c r="AK34" s="114" t="s">
        <v>77</v>
      </c>
      <c r="AL34" s="271">
        <v>6000</v>
      </c>
      <c r="AM34" s="272"/>
      <c r="AN34" s="272">
        <f t="shared" si="1"/>
        <v>6000</v>
      </c>
      <c r="AO34" s="224">
        <f>SUMIF(Reforma!$A$2:$A$8523,$A34,Reforma!$AB$2:$AB$8523)</f>
        <v>0</v>
      </c>
      <c r="AP34" s="224">
        <f>SUMIF(Reforma!$A$2:$A$8523,$A34,Reforma!$AC$2:$AC$8523)</f>
        <v>-3552.82</v>
      </c>
      <c r="AQ34" s="224">
        <f>SUMIF(Reforma!$A$2:$A$8523,$A34,Reforma!$AD$2:$AD$8523)</f>
        <v>0</v>
      </c>
      <c r="AR34" s="224">
        <f>SUMIF(Reforma!$A$2:$A$8523,$A34,Reforma!$AE$2:$AE$8523)</f>
        <v>0</v>
      </c>
      <c r="AS34" s="224">
        <f t="shared" si="2"/>
        <v>2447.1799999999998</v>
      </c>
      <c r="AT34" s="224">
        <f t="shared" si="3"/>
        <v>0</v>
      </c>
      <c r="AU34" s="224">
        <f t="shared" si="4"/>
        <v>2447.1799999999998</v>
      </c>
      <c r="AV34" s="326"/>
      <c r="AW34" s="326">
        <v>2447.1799999999998</v>
      </c>
      <c r="AX34" s="326"/>
      <c r="AY34" s="326"/>
      <c r="AZ34" s="326"/>
      <c r="BA34" s="326"/>
      <c r="BB34" s="326"/>
      <c r="BC34" s="326"/>
      <c r="BD34" s="326"/>
      <c r="BE34" s="326"/>
      <c r="BF34" s="326"/>
      <c r="BG34" s="326"/>
      <c r="BH34" s="408">
        <f t="shared" si="5"/>
        <v>6000</v>
      </c>
      <c r="BI34" s="408">
        <f t="shared" si="6"/>
        <v>2447.1799999999998</v>
      </c>
      <c r="BJ34" s="408">
        <f t="shared" si="7"/>
        <v>0</v>
      </c>
      <c r="BK34" s="224"/>
      <c r="BL34" s="224"/>
      <c r="BM34" s="224"/>
      <c r="BN34" s="224">
        <f>IFERROR(VLOOKUP($A34,'Constancias POA'!$A$2:$DH$9993,18,FALSE),"")</f>
        <v>2447.1799999999998</v>
      </c>
      <c r="BO34" s="224">
        <f t="shared" si="8"/>
        <v>0</v>
      </c>
      <c r="BP34" s="224">
        <f>IFERROR(VLOOKUP($A34,CP!$A$1:$U$7992,18,FALSE),"")</f>
        <v>0</v>
      </c>
      <c r="BQ34" s="224">
        <f>IFERROR(VLOOKUP($A34,CP!$A$1:$U$7992,19,FALSE),"")</f>
        <v>2447.1799999999998</v>
      </c>
      <c r="BR34" s="224">
        <f>IFERROR(VLOOKUP($A34,CP!$A$1:$U$7992,20,FALSE),"")</f>
        <v>0</v>
      </c>
      <c r="BS34" s="224" t="str">
        <f>IFERROR(VLOOKUP($A34,CP!$A$1:$U$1,21,FALSE),"")</f>
        <v/>
      </c>
      <c r="BT34" s="224">
        <f>IFERROR(VLOOKUP(A34,Devengado!$A$1:AJ$9310,35,FALSE),"")</f>
        <v>2447.1800000000003</v>
      </c>
      <c r="BU34" s="224">
        <f t="shared" si="9"/>
        <v>-4.5474735088646412E-13</v>
      </c>
      <c r="BV34" s="224">
        <f t="shared" si="10"/>
        <v>1.0000000000000002</v>
      </c>
      <c r="BW34" s="224">
        <f t="shared" si="11"/>
        <v>2447.1799999999998</v>
      </c>
      <c r="BX34" s="429">
        <v>0</v>
      </c>
      <c r="BY34" s="429">
        <v>6000</v>
      </c>
      <c r="BZ34" s="429">
        <v>0</v>
      </c>
      <c r="CA34" s="429">
        <v>0</v>
      </c>
      <c r="CB34" s="429">
        <v>0</v>
      </c>
      <c r="CC34" s="429">
        <v>0</v>
      </c>
      <c r="CD34" s="429">
        <v>0</v>
      </c>
      <c r="CE34" s="429">
        <v>0</v>
      </c>
      <c r="CF34" s="429">
        <v>0</v>
      </c>
      <c r="CG34" s="429">
        <v>0</v>
      </c>
      <c r="CH34" s="429">
        <v>0</v>
      </c>
      <c r="CI34" s="429">
        <v>0</v>
      </c>
      <c r="CJ34" s="224">
        <f>IFERROR(VLOOKUP($A34,Devengado!$A$1:$AI$9038,22,FALSE),"")</f>
        <v>0</v>
      </c>
      <c r="CK34" s="224">
        <f>IFERROR(VLOOKUP($A34,Devengado!$A$1:$AI$9038,23,FALSE),"")</f>
        <v>2447.1800000000003</v>
      </c>
      <c r="CL34" s="224">
        <f>IFERROR(VLOOKUP($A34,Devengado!$A$1:$AI$9038,24,FALSE),"")</f>
        <v>0</v>
      </c>
      <c r="CM34" s="224">
        <f>IFERROR(VLOOKUP($A34,Devengado!$A$1:$AI$9038,25,FALSE),"")</f>
        <v>0</v>
      </c>
      <c r="CN34" s="224">
        <f>IFERROR(VLOOKUP($A34,Devengado!$A$1:$AI$9038,26,FALSE),"")</f>
        <v>0</v>
      </c>
      <c r="CO34" s="224">
        <f>IFERROR(VLOOKUP($A34,Devengado!$A$1:$AI$9038,27,FALSE),"")</f>
        <v>0</v>
      </c>
      <c r="CP34" s="224">
        <f>IFERROR(VLOOKUP($A34,Devengado!$A$1:$AI$9038,28,FALSE),"")</f>
        <v>0</v>
      </c>
      <c r="CQ34" s="224">
        <f>IFERROR(VLOOKUP($A34,Devengado!$A$1:$AI$9038,29,FALSE),"")</f>
        <v>0</v>
      </c>
      <c r="CR34" s="224">
        <f>IFERROR(VLOOKUP($A34,Devengado!$A$1:$AI$9038,30,FALSE),"")</f>
        <v>0</v>
      </c>
      <c r="CS34" s="224">
        <f>IFERROR(VLOOKUP($A34,Devengado!$A$1:$AI$9038,31,FALSE),"")</f>
        <v>0</v>
      </c>
      <c r="CT34" s="224">
        <f>IFERROR(VLOOKUP($A34,Devengado!$A$1:$AI$9038,32,FALSE),"")</f>
        <v>0</v>
      </c>
      <c r="CU34" s="224">
        <f>IFERROR(VLOOKUP($A34,Devengado!$A$1:$AI$9038,33,FALSE),"")</f>
        <v>0</v>
      </c>
      <c r="CV34" s="224">
        <f t="shared" si="12"/>
        <v>2447.1800000000003</v>
      </c>
      <c r="CW34" s="224">
        <f t="shared" si="13"/>
        <v>0</v>
      </c>
      <c r="CX34" s="207"/>
      <c r="CY34" s="207" t="str">
        <f t="shared" si="14"/>
        <v>53</v>
      </c>
      <c r="CZ34" s="112" t="s">
        <v>916</v>
      </c>
    </row>
    <row r="35" spans="1:104" s="225" customFormat="1" ht="25.5" customHeight="1">
      <c r="A35" s="207">
        <v>445</v>
      </c>
      <c r="B35" s="207"/>
      <c r="C35" s="207"/>
      <c r="D35" s="207"/>
      <c r="E35" s="207"/>
      <c r="F35" s="207"/>
      <c r="G35" s="207"/>
      <c r="H35" s="207"/>
      <c r="I35" s="207"/>
      <c r="J35" s="207"/>
      <c r="K35" s="112" t="s">
        <v>429</v>
      </c>
      <c r="L35" s="112" t="s">
        <v>850</v>
      </c>
      <c r="M35" s="112" t="s">
        <v>850</v>
      </c>
      <c r="N35" s="112" t="s">
        <v>77</v>
      </c>
      <c r="O35" s="112" t="s">
        <v>77</v>
      </c>
      <c r="P35" s="112" t="s">
        <v>76</v>
      </c>
      <c r="Q35" s="112" t="s">
        <v>77</v>
      </c>
      <c r="R35" s="112" t="s">
        <v>77</v>
      </c>
      <c r="S35" s="112" t="s">
        <v>77</v>
      </c>
      <c r="T35" s="112" t="s">
        <v>77</v>
      </c>
      <c r="U35" s="112" t="s">
        <v>77</v>
      </c>
      <c r="V35" s="112" t="s">
        <v>77</v>
      </c>
      <c r="W35" s="112" t="s">
        <v>85</v>
      </c>
      <c r="X35" s="124" t="s">
        <v>452</v>
      </c>
      <c r="Y35" s="114" t="s">
        <v>430</v>
      </c>
      <c r="Z35" s="114" t="s">
        <v>111</v>
      </c>
      <c r="AA35" s="114" t="s">
        <v>81</v>
      </c>
      <c r="AB35" s="114" t="s">
        <v>112</v>
      </c>
      <c r="AC35" s="115" t="str">
        <f t="shared" si="0"/>
        <v>53</v>
      </c>
      <c r="AD35" s="124">
        <v>530104</v>
      </c>
      <c r="AE35" s="122" t="str">
        <f>VLOOKUP(AD35,ITEM!$C$1:$D$694,2,FALSE)</f>
        <v>Energía Eléctrica</v>
      </c>
      <c r="AF35" s="112">
        <v>1309</v>
      </c>
      <c r="AG35" s="114" t="s">
        <v>82</v>
      </c>
      <c r="AH35" s="114" t="s">
        <v>84</v>
      </c>
      <c r="AI35" s="114" t="s">
        <v>84</v>
      </c>
      <c r="AJ35" s="114" t="s">
        <v>914</v>
      </c>
      <c r="AK35" s="114" t="s">
        <v>77</v>
      </c>
      <c r="AL35" s="271">
        <v>27000</v>
      </c>
      <c r="AM35" s="272"/>
      <c r="AN35" s="272">
        <f t="shared" ref="AN35:AN89" si="15">AL35+AM35</f>
        <v>27000</v>
      </c>
      <c r="AO35" s="224">
        <f>SUMIF(Reforma!$A$2:$A$8523,$A35,Reforma!$AB$2:$AB$8523)</f>
        <v>500</v>
      </c>
      <c r="AP35" s="224">
        <f>SUMIF(Reforma!$A$2:$A$8523,$A35,Reforma!$AC$2:$AC$8523)</f>
        <v>-12000</v>
      </c>
      <c r="AQ35" s="224">
        <f>SUMIF(Reforma!$A$2:$A$8523,$A35,Reforma!$AD$2:$AD$8523)</f>
        <v>0</v>
      </c>
      <c r="AR35" s="224">
        <f>SUMIF(Reforma!$A$2:$A$8523,$A35,Reforma!$AE$2:$AE$8523)</f>
        <v>0</v>
      </c>
      <c r="AS35" s="224">
        <f t="shared" si="2"/>
        <v>15500</v>
      </c>
      <c r="AT35" s="224">
        <f t="shared" si="3"/>
        <v>0</v>
      </c>
      <c r="AU35" s="224">
        <f t="shared" si="4"/>
        <v>15500</v>
      </c>
      <c r="AV35" s="510"/>
      <c r="AW35" s="510"/>
      <c r="AX35" s="510">
        <v>2029.47</v>
      </c>
      <c r="AY35" s="510"/>
      <c r="AZ35" s="510">
        <v>1780.34</v>
      </c>
      <c r="BA35" s="510">
        <v>98.35</v>
      </c>
      <c r="BB35" s="510"/>
      <c r="BC35" s="510">
        <v>91.32</v>
      </c>
      <c r="BD35" s="510">
        <v>2574.5500000000002</v>
      </c>
      <c r="BE35" s="462">
        <v>2048.9299999999998</v>
      </c>
      <c r="BF35" s="462">
        <v>2026.88</v>
      </c>
      <c r="BG35" s="462">
        <v>4850.16</v>
      </c>
      <c r="BH35" s="408">
        <f t="shared" si="5"/>
        <v>27000</v>
      </c>
      <c r="BI35" s="408">
        <f t="shared" si="6"/>
        <v>15500</v>
      </c>
      <c r="BJ35" s="408">
        <f t="shared" si="7"/>
        <v>0</v>
      </c>
      <c r="BK35" s="224"/>
      <c r="BL35" s="224"/>
      <c r="BM35" s="224"/>
      <c r="BN35" s="224">
        <f>IFERROR(VLOOKUP($A35,'Constancias POA'!$A$2:$DH$9993,18,FALSE),"")</f>
        <v>27000</v>
      </c>
      <c r="BO35" s="224">
        <f t="shared" si="8"/>
        <v>-11500</v>
      </c>
      <c r="BP35" s="224">
        <f>IFERROR(VLOOKUP($A35,CP!$A$1:$U$7992,18,FALSE),"")</f>
        <v>500</v>
      </c>
      <c r="BQ35" s="224">
        <f>IFERROR(VLOOKUP($A35,CP!$A$1:$U$7992,19,FALSE),"")</f>
        <v>15000</v>
      </c>
      <c r="BR35" s="224">
        <f>IFERROR(VLOOKUP($A35,CP!$A$1:$U$7992,20,FALSE),"")</f>
        <v>500</v>
      </c>
      <c r="BS35" s="224" t="str">
        <f>IFERROR(VLOOKUP($A35,CP!$A$1:$U$1,21,FALSE),"")</f>
        <v/>
      </c>
      <c r="BT35" s="224">
        <f>IFERROR(VLOOKUP(A35,Devengado!$A$1:AJ$9310,35,FALSE),"")</f>
        <v>11951.600000000002</v>
      </c>
      <c r="BU35" s="224">
        <f t="shared" si="9"/>
        <v>3548.3999999999978</v>
      </c>
      <c r="BV35" s="224">
        <f t="shared" si="10"/>
        <v>0.77107096774193562</v>
      </c>
      <c r="BW35" s="224">
        <f t="shared" si="11"/>
        <v>15500</v>
      </c>
      <c r="BX35" s="429">
        <v>0</v>
      </c>
      <c r="BY35" s="429">
        <v>3000</v>
      </c>
      <c r="BZ35" s="429">
        <v>3000</v>
      </c>
      <c r="CA35" s="429">
        <v>3000</v>
      </c>
      <c r="CB35" s="429">
        <v>3000</v>
      </c>
      <c r="CC35" s="429">
        <v>3000</v>
      </c>
      <c r="CD35" s="429">
        <v>3000</v>
      </c>
      <c r="CE35" s="429">
        <v>2000</v>
      </c>
      <c r="CF35" s="429">
        <v>3000</v>
      </c>
      <c r="CG35" s="429">
        <v>2000</v>
      </c>
      <c r="CH35" s="429">
        <v>2000</v>
      </c>
      <c r="CI35" s="429">
        <v>0</v>
      </c>
      <c r="CJ35" s="224">
        <f>IFERROR(VLOOKUP($A35,Devengado!$A$1:$AI$9038,22,FALSE),"")</f>
        <v>0</v>
      </c>
      <c r="CK35" s="224">
        <f>IFERROR(VLOOKUP($A35,Devengado!$A$1:$AI$9038,23,FALSE),"")</f>
        <v>0</v>
      </c>
      <c r="CL35" s="224">
        <f>IFERROR(VLOOKUP($A35,Devengado!$A$1:$AI$9038,24,FALSE),"")</f>
        <v>2029.47</v>
      </c>
      <c r="CM35" s="224">
        <f>IFERROR(VLOOKUP($A35,Devengado!$A$1:$AI$9038,25,FALSE),"")</f>
        <v>0</v>
      </c>
      <c r="CN35" s="224">
        <f>IFERROR(VLOOKUP($A35,Devengado!$A$1:$AI$9038,26,FALSE),"")</f>
        <v>1780.34</v>
      </c>
      <c r="CO35" s="224">
        <f>IFERROR(VLOOKUP($A35,Devengado!$A$1:$AI$9038,27,FALSE),"")</f>
        <v>98.35</v>
      </c>
      <c r="CP35" s="224">
        <f>IFERROR(VLOOKUP($A35,Devengado!$A$1:$AI$9038,28,FALSE),"")</f>
        <v>0</v>
      </c>
      <c r="CQ35" s="224">
        <f>IFERROR(VLOOKUP($A35,Devengado!$A$1:$AI$9038,29,FALSE),"")</f>
        <v>91.32</v>
      </c>
      <c r="CR35" s="224">
        <f>IFERROR(VLOOKUP($A35,Devengado!$A$1:$AI$9038,30,FALSE),"")</f>
        <v>2574.5500000000002</v>
      </c>
      <c r="CS35" s="224">
        <f>IFERROR(VLOOKUP($A35,Devengado!$A$1:$AI$9038,31,FALSE),"")</f>
        <v>2048.9299999999998</v>
      </c>
      <c r="CT35" s="224">
        <f>IFERROR(VLOOKUP($A35,Devengado!$A$1:$AI$9038,32,FALSE),"")</f>
        <v>2026.68</v>
      </c>
      <c r="CU35" s="224">
        <f>IFERROR(VLOOKUP($A35,Devengado!$A$1:$AI$9038,33,FALSE),"")</f>
        <v>1301.96</v>
      </c>
      <c r="CV35" s="224">
        <f t="shared" si="12"/>
        <v>11951.600000000002</v>
      </c>
      <c r="CW35" s="224">
        <f t="shared" si="13"/>
        <v>0</v>
      </c>
      <c r="CX35" s="207"/>
      <c r="CY35" s="207" t="str">
        <f t="shared" si="14"/>
        <v>53</v>
      </c>
      <c r="CZ35" s="112" t="s">
        <v>916</v>
      </c>
    </row>
    <row r="36" spans="1:104" s="225" customFormat="1" ht="25.5" customHeight="1">
      <c r="A36" s="207">
        <v>446</v>
      </c>
      <c r="B36" s="207"/>
      <c r="C36" s="207"/>
      <c r="D36" s="207"/>
      <c r="E36" s="207"/>
      <c r="F36" s="207"/>
      <c r="G36" s="207"/>
      <c r="H36" s="207"/>
      <c r="I36" s="207"/>
      <c r="J36" s="207"/>
      <c r="K36" s="112" t="s">
        <v>429</v>
      </c>
      <c r="L36" s="112" t="s">
        <v>850</v>
      </c>
      <c r="M36" s="119" t="s">
        <v>919</v>
      </c>
      <c r="N36" s="112" t="s">
        <v>77</v>
      </c>
      <c r="O36" s="112" t="s">
        <v>77</v>
      </c>
      <c r="P36" s="112" t="s">
        <v>76</v>
      </c>
      <c r="Q36" s="112" t="s">
        <v>77</v>
      </c>
      <c r="R36" s="112" t="s">
        <v>77</v>
      </c>
      <c r="S36" s="112" t="s">
        <v>77</v>
      </c>
      <c r="T36" s="112" t="s">
        <v>77</v>
      </c>
      <c r="U36" s="112" t="s">
        <v>77</v>
      </c>
      <c r="V36" s="112" t="s">
        <v>77</v>
      </c>
      <c r="W36" s="112" t="s">
        <v>85</v>
      </c>
      <c r="X36" s="124" t="s">
        <v>453</v>
      </c>
      <c r="Y36" s="114" t="s">
        <v>430</v>
      </c>
      <c r="Z36" s="114" t="s">
        <v>111</v>
      </c>
      <c r="AA36" s="114" t="s">
        <v>81</v>
      </c>
      <c r="AB36" s="114" t="s">
        <v>112</v>
      </c>
      <c r="AC36" s="115" t="str">
        <f t="shared" si="0"/>
        <v>53</v>
      </c>
      <c r="AD36" s="124">
        <v>530104</v>
      </c>
      <c r="AE36" s="122" t="str">
        <f>VLOOKUP(AD36,ITEM!$C$1:$D$694,2,FALSE)</f>
        <v>Energía Eléctrica</v>
      </c>
      <c r="AF36" s="112">
        <v>1301</v>
      </c>
      <c r="AG36" s="114" t="s">
        <v>82</v>
      </c>
      <c r="AH36" s="114" t="s">
        <v>84</v>
      </c>
      <c r="AI36" s="114" t="s">
        <v>84</v>
      </c>
      <c r="AJ36" s="114" t="s">
        <v>914</v>
      </c>
      <c r="AK36" s="114" t="s">
        <v>77</v>
      </c>
      <c r="AL36" s="271">
        <v>8100</v>
      </c>
      <c r="AM36" s="272"/>
      <c r="AN36" s="272">
        <f t="shared" si="15"/>
        <v>8100</v>
      </c>
      <c r="AO36" s="224">
        <f>SUMIF(Reforma!$A$2:$A$8523,$A36,Reforma!$AB$2:$AB$8523)</f>
        <v>4445.87</v>
      </c>
      <c r="AP36" s="224">
        <f>SUMIF(Reforma!$A$2:$A$8523,$A36,Reforma!$AC$2:$AC$8523)</f>
        <v>-2717.99</v>
      </c>
      <c r="AQ36" s="224">
        <f>SUMIF(Reforma!$A$2:$A$8523,$A36,Reforma!$AD$2:$AD$8523)</f>
        <v>0</v>
      </c>
      <c r="AR36" s="224">
        <f>SUMIF(Reforma!$A$2:$A$8523,$A36,Reforma!$AE$2:$AE$8523)</f>
        <v>0</v>
      </c>
      <c r="AS36" s="224">
        <f t="shared" si="2"/>
        <v>9827.8799999999992</v>
      </c>
      <c r="AT36" s="224">
        <f t="shared" si="3"/>
        <v>0</v>
      </c>
      <c r="AU36" s="224">
        <f t="shared" si="4"/>
        <v>9827.8799999999992</v>
      </c>
      <c r="AV36" s="462"/>
      <c r="AW36" s="462"/>
      <c r="AX36" s="462">
        <v>872.64</v>
      </c>
      <c r="AY36" s="462">
        <v>886.55</v>
      </c>
      <c r="AZ36" s="462">
        <v>947.99</v>
      </c>
      <c r="BA36" s="462">
        <v>933.36</v>
      </c>
      <c r="BB36" s="462">
        <v>1572.2</v>
      </c>
      <c r="BC36" s="462">
        <v>869.27</v>
      </c>
      <c r="BD36" s="462"/>
      <c r="BE36" s="462"/>
      <c r="BF36" s="462"/>
      <c r="BG36" s="462">
        <v>3745.87</v>
      </c>
      <c r="BH36" s="408">
        <f t="shared" si="5"/>
        <v>8100</v>
      </c>
      <c r="BI36" s="408">
        <f t="shared" si="6"/>
        <v>9827.880000000001</v>
      </c>
      <c r="BJ36" s="408">
        <f t="shared" si="7"/>
        <v>0</v>
      </c>
      <c r="BK36" s="224"/>
      <c r="BL36" s="224"/>
      <c r="BM36" s="224"/>
      <c r="BN36" s="224">
        <f>IFERROR(VLOOKUP($A36,'Constancias POA'!$A$2:$DH$9993,18,FALSE),"")</f>
        <v>8800</v>
      </c>
      <c r="BO36" s="224">
        <f t="shared" si="8"/>
        <v>1027.8799999999992</v>
      </c>
      <c r="BP36" s="224">
        <f>IFERROR(VLOOKUP($A36,CP!$A$1:$U$7992,18,FALSE),"")</f>
        <v>3745.87</v>
      </c>
      <c r="BQ36" s="224">
        <f>IFERROR(VLOOKUP($A36,CP!$A$1:$U$7992,19,FALSE),"")</f>
        <v>9082.01</v>
      </c>
      <c r="BR36" s="224">
        <f>IFERROR(VLOOKUP($A36,CP!$A$1:$U$7992,20,FALSE),"")</f>
        <v>745.87</v>
      </c>
      <c r="BS36" s="224" t="str">
        <f>IFERROR(VLOOKUP($A36,CP!$A$1:$U$1,21,FALSE),"")</f>
        <v/>
      </c>
      <c r="BT36" s="224">
        <f>IFERROR(VLOOKUP(A36,Devengado!$A$1:AJ$9310,35,FALSE),"")</f>
        <v>8551.68</v>
      </c>
      <c r="BU36" s="224">
        <f t="shared" si="9"/>
        <v>1276.1999999999989</v>
      </c>
      <c r="BV36" s="224">
        <f t="shared" si="10"/>
        <v>0.87014493461458631</v>
      </c>
      <c r="BW36" s="224">
        <f t="shared" si="11"/>
        <v>9827.8799999999992</v>
      </c>
      <c r="BX36" s="429">
        <v>0</v>
      </c>
      <c r="BY36" s="429">
        <v>900</v>
      </c>
      <c r="BZ36" s="429">
        <v>900</v>
      </c>
      <c r="CA36" s="429">
        <v>800</v>
      </c>
      <c r="CB36" s="429">
        <v>800</v>
      </c>
      <c r="CC36" s="429">
        <v>800</v>
      </c>
      <c r="CD36" s="429">
        <v>800</v>
      </c>
      <c r="CE36" s="429">
        <v>800</v>
      </c>
      <c r="CF36" s="429">
        <v>800</v>
      </c>
      <c r="CG36" s="429">
        <v>800</v>
      </c>
      <c r="CH36" s="429">
        <v>700</v>
      </c>
      <c r="CI36" s="429">
        <v>0</v>
      </c>
      <c r="CJ36" s="224">
        <f>IFERROR(VLOOKUP($A36,Devengado!$A$1:$AI$9038,22,FALSE),"")</f>
        <v>0</v>
      </c>
      <c r="CK36" s="224">
        <f>IFERROR(VLOOKUP($A36,Devengado!$A$1:$AI$9038,23,FALSE),"")</f>
        <v>0</v>
      </c>
      <c r="CL36" s="224">
        <f>IFERROR(VLOOKUP($A36,Devengado!$A$1:$AI$9038,24,FALSE),"")</f>
        <v>872.64</v>
      </c>
      <c r="CM36" s="224">
        <f>IFERROR(VLOOKUP($A36,Devengado!$A$1:$AI$9038,25,FALSE),"")</f>
        <v>886.55</v>
      </c>
      <c r="CN36" s="224">
        <f>IFERROR(VLOOKUP($A36,Devengado!$A$1:$AI$9038,26,FALSE),"")</f>
        <v>947.99</v>
      </c>
      <c r="CO36" s="224">
        <f>IFERROR(VLOOKUP($A36,Devengado!$A$1:$AI$9038,27,FALSE),"")</f>
        <v>933.36</v>
      </c>
      <c r="CP36" s="224">
        <f>IFERROR(VLOOKUP($A36,Devengado!$A$1:$AI$9038,28,FALSE),"")</f>
        <v>1572.2</v>
      </c>
      <c r="CQ36" s="224">
        <f>IFERROR(VLOOKUP($A36,Devengado!$A$1:$AI$9038,29,FALSE),"")</f>
        <v>869.27</v>
      </c>
      <c r="CR36" s="224">
        <f>IFERROR(VLOOKUP($A36,Devengado!$A$1:$AI$9038,30,FALSE),"")</f>
        <v>0</v>
      </c>
      <c r="CS36" s="224">
        <f>IFERROR(VLOOKUP($A36,Devengado!$A$1:$AI$9038,31,FALSE),"")</f>
        <v>0</v>
      </c>
      <c r="CT36" s="224">
        <f>IFERROR(VLOOKUP($A36,Devengado!$A$1:$AI$9038,32,FALSE),"")</f>
        <v>2469.67</v>
      </c>
      <c r="CU36" s="224">
        <f>IFERROR(VLOOKUP($A36,Devengado!$A$1:$AI$9038,33,FALSE),"")</f>
        <v>0</v>
      </c>
      <c r="CV36" s="224">
        <f t="shared" si="12"/>
        <v>8551.68</v>
      </c>
      <c r="CW36" s="224">
        <f t="shared" si="13"/>
        <v>0</v>
      </c>
      <c r="CX36" s="207"/>
      <c r="CY36" s="207" t="str">
        <f t="shared" si="14"/>
        <v>53</v>
      </c>
      <c r="CZ36" s="112" t="s">
        <v>916</v>
      </c>
    </row>
    <row r="37" spans="1:104" s="225" customFormat="1" ht="25.5" customHeight="1">
      <c r="A37" s="207">
        <v>447</v>
      </c>
      <c r="B37" s="207"/>
      <c r="C37" s="207"/>
      <c r="D37" s="207"/>
      <c r="E37" s="207"/>
      <c r="F37" s="207"/>
      <c r="G37" s="207"/>
      <c r="H37" s="207"/>
      <c r="I37" s="207"/>
      <c r="J37" s="207"/>
      <c r="K37" s="112" t="s">
        <v>429</v>
      </c>
      <c r="L37" s="112" t="s">
        <v>850</v>
      </c>
      <c r="M37" s="112" t="s">
        <v>919</v>
      </c>
      <c r="N37" s="112" t="s">
        <v>77</v>
      </c>
      <c r="O37" s="112" t="s">
        <v>77</v>
      </c>
      <c r="P37" s="112" t="s">
        <v>76</v>
      </c>
      <c r="Q37" s="112" t="s">
        <v>77</v>
      </c>
      <c r="R37" s="112" t="s">
        <v>77</v>
      </c>
      <c r="S37" s="112" t="s">
        <v>77</v>
      </c>
      <c r="T37" s="112" t="s">
        <v>77</v>
      </c>
      <c r="U37" s="112" t="s">
        <v>77</v>
      </c>
      <c r="V37" s="112" t="s">
        <v>77</v>
      </c>
      <c r="W37" s="112" t="s">
        <v>87</v>
      </c>
      <c r="X37" s="124" t="s">
        <v>454</v>
      </c>
      <c r="Y37" s="114" t="s">
        <v>430</v>
      </c>
      <c r="Z37" s="114" t="s">
        <v>111</v>
      </c>
      <c r="AA37" s="114" t="s">
        <v>81</v>
      </c>
      <c r="AB37" s="114" t="s">
        <v>112</v>
      </c>
      <c r="AC37" s="115" t="str">
        <f t="shared" si="0"/>
        <v>53</v>
      </c>
      <c r="AD37" s="124">
        <v>530104</v>
      </c>
      <c r="AE37" s="122" t="str">
        <f>VLOOKUP(AD37,ITEM!$C$1:$D$694,2,FALSE)</f>
        <v>Energía Eléctrica</v>
      </c>
      <c r="AF37" s="112">
        <v>1301</v>
      </c>
      <c r="AG37" s="114" t="s">
        <v>82</v>
      </c>
      <c r="AH37" s="114" t="s">
        <v>84</v>
      </c>
      <c r="AI37" s="114" t="s">
        <v>84</v>
      </c>
      <c r="AJ37" s="114" t="s">
        <v>914</v>
      </c>
      <c r="AK37" s="114" t="s">
        <v>77</v>
      </c>
      <c r="AL37" s="271">
        <v>1800</v>
      </c>
      <c r="AM37" s="272"/>
      <c r="AN37" s="272">
        <f t="shared" si="15"/>
        <v>1800</v>
      </c>
      <c r="AO37" s="224">
        <f>SUMIF(Reforma!$A$2:$A$8523,$A37,Reforma!$AB$2:$AB$8523)</f>
        <v>0</v>
      </c>
      <c r="AP37" s="224">
        <f>SUMIF(Reforma!$A$2:$A$8523,$A37,Reforma!$AC$2:$AC$8523)</f>
        <v>-220.51</v>
      </c>
      <c r="AQ37" s="224">
        <f>SUMIF(Reforma!$A$2:$A$8523,$A37,Reforma!$AD$2:$AD$8523)</f>
        <v>0</v>
      </c>
      <c r="AR37" s="224">
        <f>SUMIF(Reforma!$A$2:$A$8523,$A37,Reforma!$AE$2:$AE$8523)</f>
        <v>0</v>
      </c>
      <c r="AS37" s="224">
        <f t="shared" si="2"/>
        <v>1579.49</v>
      </c>
      <c r="AT37" s="224">
        <f t="shared" si="3"/>
        <v>0</v>
      </c>
      <c r="AU37" s="224">
        <f t="shared" si="4"/>
        <v>1579.49</v>
      </c>
      <c r="AV37" s="326"/>
      <c r="AW37" s="326">
        <v>1579.49</v>
      </c>
      <c r="AX37" s="326"/>
      <c r="AY37" s="326"/>
      <c r="AZ37" s="326"/>
      <c r="BA37" s="326"/>
      <c r="BB37" s="326"/>
      <c r="BC37" s="326"/>
      <c r="BD37" s="326"/>
      <c r="BE37" s="326"/>
      <c r="BF37" s="326"/>
      <c r="BG37" s="326"/>
      <c r="BH37" s="408">
        <f t="shared" ref="BH37:BH89" si="16">SUM(BX37:CI37)</f>
        <v>1800</v>
      </c>
      <c r="BI37" s="408">
        <f t="shared" si="6"/>
        <v>1579.49</v>
      </c>
      <c r="BJ37" s="408">
        <f t="shared" si="7"/>
        <v>0</v>
      </c>
      <c r="BK37" s="224"/>
      <c r="BL37" s="224"/>
      <c r="BM37" s="224"/>
      <c r="BN37" s="224">
        <f>IFERROR(VLOOKUP($A37,'Constancias POA'!$A$2:$DH$9993,18,FALSE),"")</f>
        <v>1579.49</v>
      </c>
      <c r="BO37" s="224">
        <f t="shared" ref="BO37:BO68" si="17">IFERROR(AU37-BN37,"")</f>
        <v>0</v>
      </c>
      <c r="BP37" s="224">
        <f>IFERROR(VLOOKUP($A37,CP!$A$1:$U$7992,18,FALSE),"")</f>
        <v>0</v>
      </c>
      <c r="BQ37" s="224">
        <f>IFERROR(VLOOKUP($A37,CP!$A$1:$U$7992,19,FALSE),"")</f>
        <v>1579.49</v>
      </c>
      <c r="BR37" s="224">
        <f>IFERROR(VLOOKUP($A37,CP!$A$1:$U$7992,20,FALSE),"")</f>
        <v>0</v>
      </c>
      <c r="BS37" s="224" t="str">
        <f>IFERROR(VLOOKUP($A37,CP!$A$1:$U$1,21,FALSE),"")</f>
        <v/>
      </c>
      <c r="BT37" s="224">
        <f>IFERROR(VLOOKUP(A37,Devengado!$A$1:AJ$9310,35,FALSE),"")</f>
        <v>1579.49</v>
      </c>
      <c r="BU37" s="224">
        <f t="shared" ref="BU37:BU68" si="18">IFERROR((AU37-BT37),"")</f>
        <v>0</v>
      </c>
      <c r="BV37" s="224">
        <f t="shared" ref="BV37:BV68" si="19">IFERROR(BT37/BW37,"")</f>
        <v>1</v>
      </c>
      <c r="BW37" s="224">
        <f t="shared" si="11"/>
        <v>1579.49</v>
      </c>
      <c r="BX37" s="429">
        <v>0</v>
      </c>
      <c r="BY37" s="429">
        <v>1800</v>
      </c>
      <c r="BZ37" s="429">
        <v>0</v>
      </c>
      <c r="CA37" s="429">
        <v>0</v>
      </c>
      <c r="CB37" s="429">
        <v>0</v>
      </c>
      <c r="CC37" s="429">
        <v>0</v>
      </c>
      <c r="CD37" s="429">
        <v>0</v>
      </c>
      <c r="CE37" s="429">
        <v>0</v>
      </c>
      <c r="CF37" s="429">
        <v>0</v>
      </c>
      <c r="CG37" s="429">
        <v>0</v>
      </c>
      <c r="CH37" s="429">
        <v>0</v>
      </c>
      <c r="CI37" s="429">
        <v>0</v>
      </c>
      <c r="CJ37" s="224">
        <f>IFERROR(VLOOKUP($A37,Devengado!$A$1:$AI$9038,22,FALSE),"")</f>
        <v>0</v>
      </c>
      <c r="CK37" s="224">
        <f>IFERROR(VLOOKUP($A37,Devengado!$A$1:$AI$9038,23,FALSE),"")</f>
        <v>1579.49</v>
      </c>
      <c r="CL37" s="224">
        <f>IFERROR(VLOOKUP($A37,Devengado!$A$1:$AI$9038,24,FALSE),"")</f>
        <v>0</v>
      </c>
      <c r="CM37" s="224">
        <f>IFERROR(VLOOKUP($A37,Devengado!$A$1:$AI$9038,25,FALSE),"")</f>
        <v>0</v>
      </c>
      <c r="CN37" s="224">
        <f>IFERROR(VLOOKUP($A37,Devengado!$A$1:$AI$9038,26,FALSE),"")</f>
        <v>0</v>
      </c>
      <c r="CO37" s="224">
        <f>IFERROR(VLOOKUP($A37,Devengado!$A$1:$AI$9038,27,FALSE),"")</f>
        <v>0</v>
      </c>
      <c r="CP37" s="224">
        <f>IFERROR(VLOOKUP($A37,Devengado!$A$1:$AI$9038,28,FALSE),"")</f>
        <v>0</v>
      </c>
      <c r="CQ37" s="224">
        <f>IFERROR(VLOOKUP($A37,Devengado!$A$1:$AI$9038,29,FALSE),"")</f>
        <v>0</v>
      </c>
      <c r="CR37" s="224">
        <f>IFERROR(VLOOKUP($A37,Devengado!$A$1:$AI$9038,30,FALSE),"")</f>
        <v>0</v>
      </c>
      <c r="CS37" s="224">
        <f>IFERROR(VLOOKUP($A37,Devengado!$A$1:$AI$9038,31,FALSE),"")</f>
        <v>0</v>
      </c>
      <c r="CT37" s="224">
        <f>IFERROR(VLOOKUP($A37,Devengado!$A$1:$AI$9038,32,FALSE),"")</f>
        <v>0</v>
      </c>
      <c r="CU37" s="224">
        <f>IFERROR(VLOOKUP($A37,Devengado!$A$1:$AI$9038,33,FALSE),"")</f>
        <v>0</v>
      </c>
      <c r="CV37" s="224">
        <f t="shared" ref="CV37:CV68" si="20">SUM(CJ37:CU37)</f>
        <v>1579.49</v>
      </c>
      <c r="CW37" s="224">
        <f t="shared" ref="CW37:CW68" si="21">IFERROR(CV37-BT37,"")</f>
        <v>0</v>
      </c>
      <c r="CX37" s="207"/>
      <c r="CY37" s="207" t="str">
        <f t="shared" ref="CY37:CY68" si="22">LEFT(AC37,4)</f>
        <v>53</v>
      </c>
      <c r="CZ37" s="112" t="s">
        <v>916</v>
      </c>
    </row>
    <row r="38" spans="1:104" s="225" customFormat="1" ht="25.5" customHeight="1">
      <c r="A38" s="207">
        <v>448</v>
      </c>
      <c r="B38" s="207"/>
      <c r="C38" s="207"/>
      <c r="D38" s="207"/>
      <c r="E38" s="207"/>
      <c r="F38" s="207"/>
      <c r="G38" s="207"/>
      <c r="H38" s="207"/>
      <c r="I38" s="207"/>
      <c r="J38" s="207"/>
      <c r="K38" s="112" t="s">
        <v>429</v>
      </c>
      <c r="L38" s="112" t="s">
        <v>850</v>
      </c>
      <c r="M38" s="112" t="s">
        <v>918</v>
      </c>
      <c r="N38" s="112" t="s">
        <v>77</v>
      </c>
      <c r="O38" s="112" t="s">
        <v>77</v>
      </c>
      <c r="P38" s="112" t="s">
        <v>76</v>
      </c>
      <c r="Q38" s="112" t="s">
        <v>77</v>
      </c>
      <c r="R38" s="112" t="s">
        <v>77</v>
      </c>
      <c r="S38" s="112" t="s">
        <v>77</v>
      </c>
      <c r="T38" s="112" t="s">
        <v>77</v>
      </c>
      <c r="U38" s="112" t="s">
        <v>77</v>
      </c>
      <c r="V38" s="112" t="s">
        <v>77</v>
      </c>
      <c r="W38" s="112" t="s">
        <v>87</v>
      </c>
      <c r="X38" s="124" t="s">
        <v>455</v>
      </c>
      <c r="Y38" s="114" t="s">
        <v>430</v>
      </c>
      <c r="Z38" s="114" t="s">
        <v>111</v>
      </c>
      <c r="AA38" s="114" t="s">
        <v>81</v>
      </c>
      <c r="AB38" s="114" t="s">
        <v>112</v>
      </c>
      <c r="AC38" s="115" t="str">
        <f t="shared" si="0"/>
        <v>53</v>
      </c>
      <c r="AD38" s="124">
        <v>530101</v>
      </c>
      <c r="AE38" s="122" t="str">
        <f>VLOOKUP(AD38,ITEM!$C$1:$D$694,2,FALSE)</f>
        <v>Agua Potable</v>
      </c>
      <c r="AF38" s="112">
        <v>1314</v>
      </c>
      <c r="AG38" s="114" t="s">
        <v>82</v>
      </c>
      <c r="AH38" s="114" t="s">
        <v>84</v>
      </c>
      <c r="AI38" s="114" t="s">
        <v>84</v>
      </c>
      <c r="AJ38" s="114" t="s">
        <v>914</v>
      </c>
      <c r="AK38" s="114" t="s">
        <v>77</v>
      </c>
      <c r="AL38" s="271">
        <v>40</v>
      </c>
      <c r="AM38" s="272"/>
      <c r="AN38" s="272">
        <f t="shared" si="15"/>
        <v>40</v>
      </c>
      <c r="AO38" s="224">
        <f>SUMIF(Reforma!$A$2:$A$8523,$A38,Reforma!$AB$2:$AB$8523)</f>
        <v>0</v>
      </c>
      <c r="AP38" s="224">
        <f>SUMIF(Reforma!$A$2:$A$8523,$A38,Reforma!$AC$2:$AC$8523)</f>
        <v>0</v>
      </c>
      <c r="AQ38" s="224">
        <f>SUMIF(Reforma!$A$2:$A$8523,$A38,Reforma!$AD$2:$AD$8523)</f>
        <v>0</v>
      </c>
      <c r="AR38" s="224">
        <f>SUMIF(Reforma!$A$2:$A$8523,$A38,Reforma!$AE$2:$AE$8523)</f>
        <v>0</v>
      </c>
      <c r="AS38" s="224">
        <f t="shared" si="2"/>
        <v>40</v>
      </c>
      <c r="AT38" s="224">
        <f t="shared" si="3"/>
        <v>0</v>
      </c>
      <c r="AU38" s="224">
        <f t="shared" si="4"/>
        <v>40</v>
      </c>
      <c r="AV38" s="326">
        <v>0</v>
      </c>
      <c r="AW38" s="326">
        <v>40</v>
      </c>
      <c r="AX38" s="326">
        <v>0</v>
      </c>
      <c r="AY38" s="326">
        <v>0</v>
      </c>
      <c r="AZ38" s="326">
        <v>0</v>
      </c>
      <c r="BA38" s="326">
        <v>0</v>
      </c>
      <c r="BB38" s="326">
        <v>0</v>
      </c>
      <c r="BC38" s="326">
        <v>0</v>
      </c>
      <c r="BD38" s="326">
        <v>0</v>
      </c>
      <c r="BE38" s="326">
        <v>0</v>
      </c>
      <c r="BF38" s="326">
        <v>0</v>
      </c>
      <c r="BG38" s="326">
        <v>0</v>
      </c>
      <c r="BH38" s="408">
        <f t="shared" si="16"/>
        <v>40</v>
      </c>
      <c r="BI38" s="408">
        <f t="shared" si="6"/>
        <v>40</v>
      </c>
      <c r="BJ38" s="408">
        <f t="shared" si="7"/>
        <v>0</v>
      </c>
      <c r="BK38" s="224"/>
      <c r="BL38" s="224"/>
      <c r="BM38" s="224"/>
      <c r="BN38" s="224">
        <f>IFERROR(VLOOKUP($A38,'Constancias POA'!$A$2:$DH$9993,18,FALSE),"")</f>
        <v>40</v>
      </c>
      <c r="BO38" s="224">
        <f t="shared" si="17"/>
        <v>0</v>
      </c>
      <c r="BP38" s="224">
        <f>IFERROR(VLOOKUP($A38,CP!$A$1:$U$7992,18,FALSE),"")</f>
        <v>40</v>
      </c>
      <c r="BQ38" s="507">
        <f>IFERROR(VLOOKUP($A38,CP!$A$1:$U$7992,19,FALSE),"")</f>
        <v>40</v>
      </c>
      <c r="BR38" s="224">
        <f>IFERROR(VLOOKUP($A38,CP!$A$1:$U$7992,20,FALSE),"")</f>
        <v>0</v>
      </c>
      <c r="BS38" s="224" t="str">
        <f>IFERROR(VLOOKUP($A38,CP!$A$1:$U$1,21,FALSE),"")</f>
        <v/>
      </c>
      <c r="BT38" s="507">
        <f>IFERROR(VLOOKUP(A38,Devengado!$A$1:AJ$9310,35,FALSE),"")</f>
        <v>2</v>
      </c>
      <c r="BU38" s="224">
        <f t="shared" si="18"/>
        <v>38</v>
      </c>
      <c r="BV38" s="224">
        <f t="shared" si="19"/>
        <v>0.05</v>
      </c>
      <c r="BW38" s="224">
        <f t="shared" si="11"/>
        <v>40</v>
      </c>
      <c r="BX38" s="429">
        <v>0</v>
      </c>
      <c r="BY38" s="429">
        <v>40</v>
      </c>
      <c r="BZ38" s="429">
        <v>0</v>
      </c>
      <c r="CA38" s="429">
        <v>0</v>
      </c>
      <c r="CB38" s="429">
        <v>0</v>
      </c>
      <c r="CC38" s="429">
        <v>0</v>
      </c>
      <c r="CD38" s="429">
        <v>0</v>
      </c>
      <c r="CE38" s="429">
        <v>0</v>
      </c>
      <c r="CF38" s="429">
        <v>0</v>
      </c>
      <c r="CG38" s="429">
        <v>0</v>
      </c>
      <c r="CH38" s="429">
        <v>0</v>
      </c>
      <c r="CI38" s="429">
        <v>0</v>
      </c>
      <c r="CJ38" s="224">
        <f>IFERROR(VLOOKUP($A38,Devengado!$A$1:$AI$9038,22,FALSE),"")</f>
        <v>2</v>
      </c>
      <c r="CK38" s="224">
        <f>IFERROR(VLOOKUP($A38,Devengado!$A$1:$AI$9038,23,FALSE),"")</f>
        <v>0</v>
      </c>
      <c r="CL38" s="224">
        <f>IFERROR(VLOOKUP($A38,Devengado!$A$1:$AI$9038,24,FALSE),"")</f>
        <v>0</v>
      </c>
      <c r="CM38" s="224">
        <f>IFERROR(VLOOKUP($A38,Devengado!$A$1:$AI$9038,25,FALSE),"")</f>
        <v>0</v>
      </c>
      <c r="CN38" s="224">
        <f>IFERROR(VLOOKUP($A38,Devengado!$A$1:$AI$9038,26,FALSE),"")</f>
        <v>0</v>
      </c>
      <c r="CO38" s="224">
        <f>IFERROR(VLOOKUP($A38,Devengado!$A$1:$AI$9038,27,FALSE),"")</f>
        <v>0</v>
      </c>
      <c r="CP38" s="224">
        <f>IFERROR(VLOOKUP($A38,Devengado!$A$1:$AI$9038,28,FALSE),"")</f>
        <v>0</v>
      </c>
      <c r="CQ38" s="224">
        <f>IFERROR(VLOOKUP($A38,Devengado!$A$1:$AI$9038,29,FALSE),"")</f>
        <v>0</v>
      </c>
      <c r="CR38" s="224">
        <f>IFERROR(VLOOKUP($A38,Devengado!$A$1:$AI$9038,30,FALSE),"")</f>
        <v>0</v>
      </c>
      <c r="CS38" s="224">
        <f>IFERROR(VLOOKUP($A38,Devengado!$A$1:$AI$9038,31,FALSE),"")</f>
        <v>0</v>
      </c>
      <c r="CT38" s="224">
        <f>IFERROR(VLOOKUP($A38,Devengado!$A$1:$AI$9038,32,FALSE),"")</f>
        <v>0</v>
      </c>
      <c r="CU38" s="224">
        <f>IFERROR(VLOOKUP($A38,Devengado!$A$1:$AI$9038,33,FALSE),"")</f>
        <v>0</v>
      </c>
      <c r="CV38" s="224">
        <f t="shared" si="20"/>
        <v>2</v>
      </c>
      <c r="CW38" s="224">
        <f t="shared" si="21"/>
        <v>0</v>
      </c>
      <c r="CX38" s="207"/>
      <c r="CY38" s="207" t="str">
        <f t="shared" si="22"/>
        <v>53</v>
      </c>
      <c r="CZ38" s="112" t="s">
        <v>916</v>
      </c>
    </row>
    <row r="39" spans="1:104" s="225" customFormat="1" ht="25.5" customHeight="1">
      <c r="A39" s="207">
        <v>449</v>
      </c>
      <c r="B39" s="207"/>
      <c r="C39" s="207"/>
      <c r="D39" s="207"/>
      <c r="E39" s="207"/>
      <c r="F39" s="207"/>
      <c r="G39" s="207"/>
      <c r="H39" s="207"/>
      <c r="I39" s="207"/>
      <c r="J39" s="207"/>
      <c r="K39" s="112" t="s">
        <v>429</v>
      </c>
      <c r="L39" s="112" t="s">
        <v>850</v>
      </c>
      <c r="M39" s="112" t="s">
        <v>918</v>
      </c>
      <c r="N39" s="112" t="s">
        <v>77</v>
      </c>
      <c r="O39" s="112" t="s">
        <v>77</v>
      </c>
      <c r="P39" s="112" t="s">
        <v>76</v>
      </c>
      <c r="Q39" s="112" t="s">
        <v>77</v>
      </c>
      <c r="R39" s="112" t="s">
        <v>77</v>
      </c>
      <c r="S39" s="112" t="s">
        <v>77</v>
      </c>
      <c r="T39" s="112" t="s">
        <v>77</v>
      </c>
      <c r="U39" s="112" t="s">
        <v>77</v>
      </c>
      <c r="V39" s="112" t="s">
        <v>77</v>
      </c>
      <c r="W39" s="112" t="s">
        <v>85</v>
      </c>
      <c r="X39" s="124" t="s">
        <v>456</v>
      </c>
      <c r="Y39" s="114" t="s">
        <v>430</v>
      </c>
      <c r="Z39" s="114" t="s">
        <v>111</v>
      </c>
      <c r="AA39" s="114" t="s">
        <v>81</v>
      </c>
      <c r="AB39" s="114" t="s">
        <v>112</v>
      </c>
      <c r="AC39" s="115" t="str">
        <f t="shared" ref="AC39:AC89" si="23">LEFT(AD39,2)</f>
        <v>53</v>
      </c>
      <c r="AD39" s="124">
        <v>530101</v>
      </c>
      <c r="AE39" s="122" t="str">
        <f>VLOOKUP(AD39,ITEM!$C$1:$D$694,2,FALSE)</f>
        <v>Agua Potable</v>
      </c>
      <c r="AF39" s="112">
        <v>1314</v>
      </c>
      <c r="AG39" s="114" t="s">
        <v>82</v>
      </c>
      <c r="AH39" s="114" t="s">
        <v>84</v>
      </c>
      <c r="AI39" s="114" t="s">
        <v>84</v>
      </c>
      <c r="AJ39" s="114" t="s">
        <v>914</v>
      </c>
      <c r="AK39" s="114" t="s">
        <v>77</v>
      </c>
      <c r="AL39" s="271">
        <v>180</v>
      </c>
      <c r="AM39" s="272"/>
      <c r="AN39" s="272">
        <f t="shared" si="15"/>
        <v>180</v>
      </c>
      <c r="AO39" s="224">
        <f>SUMIF(Reforma!$A$2:$A$8523,$A39,Reforma!$AB$2:$AB$8523)</f>
        <v>0</v>
      </c>
      <c r="AP39" s="224">
        <f>SUMIF(Reforma!$A$2:$A$8523,$A39,Reforma!$AC$2:$AC$8523)</f>
        <v>0</v>
      </c>
      <c r="AQ39" s="224">
        <f>SUMIF(Reforma!$A$2:$A$8523,$A39,Reforma!$AD$2:$AD$8523)</f>
        <v>0</v>
      </c>
      <c r="AR39" s="224">
        <f>SUMIF(Reforma!$A$2:$A$8523,$A39,Reforma!$AE$2:$AE$8523)</f>
        <v>0</v>
      </c>
      <c r="AS39" s="224">
        <f t="shared" ref="AS39:AS89" si="24">+AL39+AO39+AP39</f>
        <v>180</v>
      </c>
      <c r="AT39" s="224">
        <f t="shared" ref="AT39:AT89" si="25">+AM39+AQ39+AR39</f>
        <v>0</v>
      </c>
      <c r="AU39" s="224">
        <f t="shared" ref="AU39:AU89" si="26">IFERROR(AS39+AT39,"")</f>
        <v>180</v>
      </c>
      <c r="AV39" s="326">
        <v>0</v>
      </c>
      <c r="AW39" s="326">
        <v>20</v>
      </c>
      <c r="AX39" s="326">
        <v>20</v>
      </c>
      <c r="AY39" s="326">
        <v>20</v>
      </c>
      <c r="AZ39" s="326">
        <v>20</v>
      </c>
      <c r="BA39" s="326">
        <v>20</v>
      </c>
      <c r="BB39" s="326">
        <v>20</v>
      </c>
      <c r="BC39" s="326">
        <v>20</v>
      </c>
      <c r="BD39" s="326">
        <v>20</v>
      </c>
      <c r="BE39" s="326">
        <v>10</v>
      </c>
      <c r="BF39" s="326">
        <v>10</v>
      </c>
      <c r="BG39" s="326">
        <v>0</v>
      </c>
      <c r="BH39" s="408">
        <f t="shared" si="16"/>
        <v>180</v>
      </c>
      <c r="BI39" s="408">
        <f t="shared" si="6"/>
        <v>180</v>
      </c>
      <c r="BJ39" s="408">
        <f t="shared" si="7"/>
        <v>0</v>
      </c>
      <c r="BK39" s="224"/>
      <c r="BL39" s="224"/>
      <c r="BM39" s="224"/>
      <c r="BN39" s="224">
        <f>IFERROR(VLOOKUP($A39,'Constancias POA'!$A$2:$DH$9993,18,FALSE),"")</f>
        <v>180</v>
      </c>
      <c r="BO39" s="224">
        <f t="shared" si="17"/>
        <v>0</v>
      </c>
      <c r="BP39" s="224">
        <f>IFERROR(VLOOKUP($A39,CP!$A$1:$U$7992,18,FALSE),"")</f>
        <v>0</v>
      </c>
      <c r="BQ39" s="507">
        <f>IFERROR(VLOOKUP($A39,CP!$A$1:$U$7992,19,FALSE),"")</f>
        <v>30</v>
      </c>
      <c r="BR39" s="224">
        <f>IFERROR(VLOOKUP($A39,CP!$A$1:$U$7992,20,FALSE),"")</f>
        <v>0</v>
      </c>
      <c r="BS39" s="224" t="str">
        <f>IFERROR(VLOOKUP($A39,CP!$A$1:$U$1,21,FALSE),"")</f>
        <v/>
      </c>
      <c r="BT39" s="507">
        <f>IFERROR(VLOOKUP(A39,Devengado!$A$1:AJ$9310,35,FALSE),"")</f>
        <v>22</v>
      </c>
      <c r="BU39" s="224">
        <f t="shared" si="18"/>
        <v>158</v>
      </c>
      <c r="BV39" s="224">
        <f t="shared" si="19"/>
        <v>0.12222222222222222</v>
      </c>
      <c r="BW39" s="224">
        <f t="shared" si="11"/>
        <v>180</v>
      </c>
      <c r="BX39" s="429">
        <v>0</v>
      </c>
      <c r="BY39" s="429">
        <v>20</v>
      </c>
      <c r="BZ39" s="429">
        <v>20</v>
      </c>
      <c r="CA39" s="429">
        <v>20</v>
      </c>
      <c r="CB39" s="429">
        <v>20</v>
      </c>
      <c r="CC39" s="429">
        <v>20</v>
      </c>
      <c r="CD39" s="429">
        <v>20</v>
      </c>
      <c r="CE39" s="429">
        <v>20</v>
      </c>
      <c r="CF39" s="429">
        <v>20</v>
      </c>
      <c r="CG39" s="429">
        <v>10</v>
      </c>
      <c r="CH39" s="429">
        <v>10</v>
      </c>
      <c r="CI39" s="429">
        <v>0</v>
      </c>
      <c r="CJ39" s="224">
        <f>IFERROR(VLOOKUP($A39,Devengado!$A$1:$AI$9038,22,FALSE),"")</f>
        <v>0</v>
      </c>
      <c r="CK39" s="224">
        <f>IFERROR(VLOOKUP($A39,Devengado!$A$1:$AI$9038,23,FALSE),"")</f>
        <v>2</v>
      </c>
      <c r="CL39" s="224">
        <f>IFERROR(VLOOKUP($A39,Devengado!$A$1:$AI$9038,24,FALSE),"")</f>
        <v>2</v>
      </c>
      <c r="CM39" s="224">
        <f>IFERROR(VLOOKUP($A39,Devengado!$A$1:$AI$9038,25,FALSE),"")</f>
        <v>2</v>
      </c>
      <c r="CN39" s="224">
        <f>IFERROR(VLOOKUP($A39,Devengado!$A$1:$AI$9038,26,FALSE),"")</f>
        <v>2</v>
      </c>
      <c r="CO39" s="224">
        <f>IFERROR(VLOOKUP($A39,Devengado!$A$1:$AI$9038,27,FALSE),"")</f>
        <v>2</v>
      </c>
      <c r="CP39" s="224">
        <f>IFERROR(VLOOKUP($A39,Devengado!$A$1:$AI$9038,28,FALSE),"")</f>
        <v>2</v>
      </c>
      <c r="CQ39" s="224">
        <f>IFERROR(VLOOKUP($A39,Devengado!$A$1:$AI$9038,29,FALSE),"")</f>
        <v>2</v>
      </c>
      <c r="CR39" s="224">
        <f>IFERROR(VLOOKUP($A39,Devengado!$A$1:$AI$9038,30,FALSE),"")</f>
        <v>2</v>
      </c>
      <c r="CS39" s="224">
        <f>IFERROR(VLOOKUP($A39,Devengado!$A$1:$AI$9038,31,FALSE),"")</f>
        <v>2</v>
      </c>
      <c r="CT39" s="224">
        <f>IFERROR(VLOOKUP($A39,Devengado!$A$1:$AI$9038,32,FALSE),"")</f>
        <v>2</v>
      </c>
      <c r="CU39" s="224">
        <f>IFERROR(VLOOKUP($A39,Devengado!$A$1:$AI$9038,33,FALSE),"")</f>
        <v>2</v>
      </c>
      <c r="CV39" s="224">
        <f t="shared" si="20"/>
        <v>22</v>
      </c>
      <c r="CW39" s="224">
        <f t="shared" si="21"/>
        <v>0</v>
      </c>
      <c r="CX39" s="207"/>
      <c r="CY39" s="207" t="str">
        <f t="shared" si="22"/>
        <v>53</v>
      </c>
      <c r="CZ39" s="112" t="s">
        <v>916</v>
      </c>
    </row>
    <row r="40" spans="1:104" s="225" customFormat="1" ht="25.5" customHeight="1">
      <c r="A40" s="207">
        <v>450</v>
      </c>
      <c r="B40" s="207"/>
      <c r="C40" s="207"/>
      <c r="D40" s="207"/>
      <c r="E40" s="207"/>
      <c r="F40" s="207"/>
      <c r="G40" s="207"/>
      <c r="H40" s="207"/>
      <c r="I40" s="207"/>
      <c r="J40" s="207"/>
      <c r="K40" s="112" t="s">
        <v>429</v>
      </c>
      <c r="L40" s="112" t="s">
        <v>850</v>
      </c>
      <c r="M40" s="112" t="s">
        <v>918</v>
      </c>
      <c r="N40" s="112" t="s">
        <v>77</v>
      </c>
      <c r="O40" s="112" t="s">
        <v>77</v>
      </c>
      <c r="P40" s="112" t="s">
        <v>76</v>
      </c>
      <c r="Q40" s="112" t="s">
        <v>77</v>
      </c>
      <c r="R40" s="112" t="s">
        <v>77</v>
      </c>
      <c r="S40" s="112" t="s">
        <v>77</v>
      </c>
      <c r="T40" s="112" t="s">
        <v>77</v>
      </c>
      <c r="U40" s="112" t="s">
        <v>77</v>
      </c>
      <c r="V40" s="112" t="s">
        <v>77</v>
      </c>
      <c r="W40" s="112" t="s">
        <v>87</v>
      </c>
      <c r="X40" s="124" t="s">
        <v>457</v>
      </c>
      <c r="Y40" s="114" t="s">
        <v>430</v>
      </c>
      <c r="Z40" s="114" t="s">
        <v>111</v>
      </c>
      <c r="AA40" s="114" t="s">
        <v>81</v>
      </c>
      <c r="AB40" s="114" t="s">
        <v>112</v>
      </c>
      <c r="AC40" s="115" t="str">
        <f t="shared" si="23"/>
        <v>53</v>
      </c>
      <c r="AD40" s="124">
        <v>530101</v>
      </c>
      <c r="AE40" s="122" t="str">
        <f>VLOOKUP(AD40,ITEM!$C$1:$D$694,2,FALSE)</f>
        <v>Agua Potable</v>
      </c>
      <c r="AF40" s="112">
        <v>1314</v>
      </c>
      <c r="AG40" s="114" t="s">
        <v>82</v>
      </c>
      <c r="AH40" s="114" t="s">
        <v>84</v>
      </c>
      <c r="AI40" s="114" t="s">
        <v>84</v>
      </c>
      <c r="AJ40" s="114" t="s">
        <v>914</v>
      </c>
      <c r="AK40" s="114" t="s">
        <v>77</v>
      </c>
      <c r="AL40" s="271">
        <v>80</v>
      </c>
      <c r="AM40" s="272"/>
      <c r="AN40" s="272">
        <f t="shared" si="15"/>
        <v>80</v>
      </c>
      <c r="AO40" s="224">
        <f>SUMIF(Reforma!$A$2:$A$8523,$A40,Reforma!$AB$2:$AB$8523)</f>
        <v>0</v>
      </c>
      <c r="AP40" s="224">
        <f>SUMIF(Reforma!$A$2:$A$8523,$A40,Reforma!$AC$2:$AC$8523)</f>
        <v>0</v>
      </c>
      <c r="AQ40" s="224">
        <f>SUMIF(Reforma!$A$2:$A$8523,$A40,Reforma!$AD$2:$AD$8523)</f>
        <v>0</v>
      </c>
      <c r="AR40" s="224">
        <f>SUMIF(Reforma!$A$2:$A$8523,$A40,Reforma!$AE$2:$AE$8523)</f>
        <v>0</v>
      </c>
      <c r="AS40" s="224">
        <f t="shared" si="24"/>
        <v>80</v>
      </c>
      <c r="AT40" s="224">
        <f t="shared" si="25"/>
        <v>0</v>
      </c>
      <c r="AU40" s="224">
        <f t="shared" si="26"/>
        <v>80</v>
      </c>
      <c r="AV40" s="326">
        <v>0</v>
      </c>
      <c r="AW40" s="326">
        <v>80</v>
      </c>
      <c r="AX40" s="326">
        <v>0</v>
      </c>
      <c r="AY40" s="326">
        <v>0</v>
      </c>
      <c r="AZ40" s="326">
        <v>0</v>
      </c>
      <c r="BA40" s="326">
        <v>0</v>
      </c>
      <c r="BB40" s="326">
        <v>0</v>
      </c>
      <c r="BC40" s="326">
        <v>0</v>
      </c>
      <c r="BD40" s="326">
        <v>0</v>
      </c>
      <c r="BE40" s="326">
        <v>0</v>
      </c>
      <c r="BF40" s="326">
        <v>0</v>
      </c>
      <c r="BG40" s="326">
        <v>0</v>
      </c>
      <c r="BH40" s="408">
        <f t="shared" si="16"/>
        <v>80</v>
      </c>
      <c r="BI40" s="408">
        <f t="shared" si="6"/>
        <v>80</v>
      </c>
      <c r="BJ40" s="408">
        <f t="shared" ref="BJ40:BJ89" si="27">+BI40-AU40</f>
        <v>0</v>
      </c>
      <c r="BK40" s="224"/>
      <c r="BL40" s="224"/>
      <c r="BM40" s="224"/>
      <c r="BN40" s="224">
        <f>IFERROR(VLOOKUP($A40,'Constancias POA'!$A$2:$DH$9993,18,FALSE),"")</f>
        <v>80</v>
      </c>
      <c r="BO40" s="224">
        <f t="shared" si="17"/>
        <v>0</v>
      </c>
      <c r="BP40" s="224">
        <f>IFERROR(VLOOKUP($A40,CP!$A$1:$U$7992,18,FALSE),"")</f>
        <v>80</v>
      </c>
      <c r="BQ40" s="507">
        <f>IFERROR(VLOOKUP($A40,CP!$A$1:$U$7992,19,FALSE),"")</f>
        <v>80</v>
      </c>
      <c r="BR40" s="224">
        <f>IFERROR(VLOOKUP($A40,CP!$A$1:$U$7992,20,FALSE),"")</f>
        <v>0</v>
      </c>
      <c r="BS40" s="224" t="str">
        <f>IFERROR(VLOOKUP($A40,CP!$A$1:$U$1,21,FALSE),"")</f>
        <v/>
      </c>
      <c r="BT40" s="507">
        <f>IFERROR(VLOOKUP(A40,Devengado!$A$1:AJ$9310,35,FALSE),"")</f>
        <v>2.75</v>
      </c>
      <c r="BU40" s="224">
        <f t="shared" si="18"/>
        <v>77.25</v>
      </c>
      <c r="BV40" s="224">
        <f t="shared" si="19"/>
        <v>3.4375000000000003E-2</v>
      </c>
      <c r="BW40" s="224">
        <f t="shared" ref="BW40:BW89" si="28">AU40</f>
        <v>80</v>
      </c>
      <c r="BX40" s="429">
        <v>0</v>
      </c>
      <c r="BY40" s="429">
        <v>80</v>
      </c>
      <c r="BZ40" s="429">
        <v>0</v>
      </c>
      <c r="CA40" s="429">
        <v>0</v>
      </c>
      <c r="CB40" s="429">
        <v>0</v>
      </c>
      <c r="CC40" s="429">
        <v>0</v>
      </c>
      <c r="CD40" s="429">
        <v>0</v>
      </c>
      <c r="CE40" s="429">
        <v>0</v>
      </c>
      <c r="CF40" s="429">
        <v>0</v>
      </c>
      <c r="CG40" s="429">
        <v>0</v>
      </c>
      <c r="CH40" s="429">
        <v>0</v>
      </c>
      <c r="CI40" s="429">
        <v>0</v>
      </c>
      <c r="CJ40" s="224">
        <f>IFERROR(VLOOKUP($A40,Devengado!$A$1:$AI$9038,22,FALSE),"")</f>
        <v>2.75</v>
      </c>
      <c r="CK40" s="224">
        <f>IFERROR(VLOOKUP($A40,Devengado!$A$1:$AI$9038,23,FALSE),"")</f>
        <v>0</v>
      </c>
      <c r="CL40" s="224">
        <f>IFERROR(VLOOKUP($A40,Devengado!$A$1:$AI$9038,24,FALSE),"")</f>
        <v>0</v>
      </c>
      <c r="CM40" s="224">
        <f>IFERROR(VLOOKUP($A40,Devengado!$A$1:$AI$9038,25,FALSE),"")</f>
        <v>0</v>
      </c>
      <c r="CN40" s="224">
        <f>IFERROR(VLOOKUP($A40,Devengado!$A$1:$AI$9038,26,FALSE),"")</f>
        <v>0</v>
      </c>
      <c r="CO40" s="224">
        <f>IFERROR(VLOOKUP($A40,Devengado!$A$1:$AI$9038,27,FALSE),"")</f>
        <v>0</v>
      </c>
      <c r="CP40" s="224">
        <f>IFERROR(VLOOKUP($A40,Devengado!$A$1:$AI$9038,28,FALSE),"")</f>
        <v>0</v>
      </c>
      <c r="CQ40" s="224">
        <f>IFERROR(VLOOKUP($A40,Devengado!$A$1:$AI$9038,29,FALSE),"")</f>
        <v>0</v>
      </c>
      <c r="CR40" s="224">
        <f>IFERROR(VLOOKUP($A40,Devengado!$A$1:$AI$9038,30,FALSE),"")</f>
        <v>0</v>
      </c>
      <c r="CS40" s="224">
        <f>IFERROR(VLOOKUP($A40,Devengado!$A$1:$AI$9038,31,FALSE),"")</f>
        <v>0</v>
      </c>
      <c r="CT40" s="224">
        <f>IFERROR(VLOOKUP($A40,Devengado!$A$1:$AI$9038,32,FALSE),"")</f>
        <v>0</v>
      </c>
      <c r="CU40" s="224">
        <f>IFERROR(VLOOKUP($A40,Devengado!$A$1:$AI$9038,33,FALSE),"")</f>
        <v>0</v>
      </c>
      <c r="CV40" s="224">
        <f t="shared" si="20"/>
        <v>2.75</v>
      </c>
      <c r="CW40" s="224">
        <f t="shared" si="21"/>
        <v>0</v>
      </c>
      <c r="CX40" s="207"/>
      <c r="CY40" s="207" t="str">
        <f t="shared" si="22"/>
        <v>53</v>
      </c>
      <c r="CZ40" s="112" t="s">
        <v>916</v>
      </c>
    </row>
    <row r="41" spans="1:104" s="225" customFormat="1" ht="25.5" customHeight="1">
      <c r="A41" s="207">
        <v>451</v>
      </c>
      <c r="B41" s="207"/>
      <c r="C41" s="207"/>
      <c r="D41" s="207"/>
      <c r="E41" s="207"/>
      <c r="F41" s="207"/>
      <c r="G41" s="207"/>
      <c r="H41" s="207"/>
      <c r="I41" s="207"/>
      <c r="J41" s="207"/>
      <c r="K41" s="112" t="s">
        <v>429</v>
      </c>
      <c r="L41" s="112" t="s">
        <v>850</v>
      </c>
      <c r="M41" s="112" t="s">
        <v>918</v>
      </c>
      <c r="N41" s="112" t="s">
        <v>77</v>
      </c>
      <c r="O41" s="112" t="s">
        <v>77</v>
      </c>
      <c r="P41" s="112" t="s">
        <v>76</v>
      </c>
      <c r="Q41" s="112" t="s">
        <v>77</v>
      </c>
      <c r="R41" s="112" t="s">
        <v>77</v>
      </c>
      <c r="S41" s="112" t="s">
        <v>77</v>
      </c>
      <c r="T41" s="112" t="s">
        <v>77</v>
      </c>
      <c r="U41" s="112" t="s">
        <v>77</v>
      </c>
      <c r="V41" s="112" t="s">
        <v>77</v>
      </c>
      <c r="W41" s="112" t="s">
        <v>85</v>
      </c>
      <c r="X41" s="124" t="s">
        <v>458</v>
      </c>
      <c r="Y41" s="114" t="s">
        <v>430</v>
      </c>
      <c r="Z41" s="114" t="s">
        <v>111</v>
      </c>
      <c r="AA41" s="114" t="s">
        <v>81</v>
      </c>
      <c r="AB41" s="114" t="s">
        <v>112</v>
      </c>
      <c r="AC41" s="115" t="str">
        <f t="shared" si="23"/>
        <v>53</v>
      </c>
      <c r="AD41" s="124">
        <v>530101</v>
      </c>
      <c r="AE41" s="122" t="str">
        <f>VLOOKUP(AD41,ITEM!$C$1:$D$694,2,FALSE)</f>
        <v>Agua Potable</v>
      </c>
      <c r="AF41" s="112">
        <v>1314</v>
      </c>
      <c r="AG41" s="114" t="s">
        <v>82</v>
      </c>
      <c r="AH41" s="114" t="s">
        <v>84</v>
      </c>
      <c r="AI41" s="114" t="s">
        <v>84</v>
      </c>
      <c r="AJ41" s="114" t="s">
        <v>914</v>
      </c>
      <c r="AK41" s="114" t="s">
        <v>77</v>
      </c>
      <c r="AL41" s="271">
        <v>360</v>
      </c>
      <c r="AM41" s="272"/>
      <c r="AN41" s="272">
        <f t="shared" si="15"/>
        <v>360</v>
      </c>
      <c r="AO41" s="224">
        <f>SUMIF(Reforma!$A$2:$A$8523,$A41,Reforma!$AB$2:$AB$8523)</f>
        <v>0</v>
      </c>
      <c r="AP41" s="224">
        <f>SUMIF(Reforma!$A$2:$A$8523,$A41,Reforma!$AC$2:$AC$8523)</f>
        <v>0</v>
      </c>
      <c r="AQ41" s="224">
        <f>SUMIF(Reforma!$A$2:$A$8523,$A41,Reforma!$AD$2:$AD$8523)</f>
        <v>0</v>
      </c>
      <c r="AR41" s="224">
        <f>SUMIF(Reforma!$A$2:$A$8523,$A41,Reforma!$AE$2:$AE$8523)</f>
        <v>0</v>
      </c>
      <c r="AS41" s="224">
        <f t="shared" si="24"/>
        <v>360</v>
      </c>
      <c r="AT41" s="224">
        <f t="shared" si="25"/>
        <v>0</v>
      </c>
      <c r="AU41" s="224">
        <f t="shared" si="26"/>
        <v>360</v>
      </c>
      <c r="AV41" s="326">
        <v>0</v>
      </c>
      <c r="AW41" s="326">
        <v>40</v>
      </c>
      <c r="AX41" s="326">
        <v>40</v>
      </c>
      <c r="AY41" s="326">
        <v>40</v>
      </c>
      <c r="AZ41" s="326">
        <v>40</v>
      </c>
      <c r="BA41" s="326">
        <v>40</v>
      </c>
      <c r="BB41" s="326">
        <v>40</v>
      </c>
      <c r="BC41" s="326">
        <v>40</v>
      </c>
      <c r="BD41" s="326">
        <v>40</v>
      </c>
      <c r="BE41" s="326">
        <v>20</v>
      </c>
      <c r="BF41" s="326">
        <v>20</v>
      </c>
      <c r="BG41" s="326">
        <v>0</v>
      </c>
      <c r="BH41" s="408">
        <f t="shared" si="16"/>
        <v>360</v>
      </c>
      <c r="BI41" s="408">
        <f t="shared" si="6"/>
        <v>360</v>
      </c>
      <c r="BJ41" s="408">
        <f t="shared" si="27"/>
        <v>0</v>
      </c>
      <c r="BK41" s="224"/>
      <c r="BL41" s="224"/>
      <c r="BM41" s="224"/>
      <c r="BN41" s="224">
        <f>IFERROR(VLOOKUP($A41,'Constancias POA'!$A$2:$DH$9993,18,FALSE),"")</f>
        <v>360</v>
      </c>
      <c r="BO41" s="224">
        <f t="shared" si="17"/>
        <v>0</v>
      </c>
      <c r="BP41" s="224">
        <f>IFERROR(VLOOKUP($A41,CP!$A$1:$U$7992,18,FALSE),"")</f>
        <v>0</v>
      </c>
      <c r="BQ41" s="507">
        <f>IFERROR(VLOOKUP($A41,CP!$A$1:$U$7992,19,FALSE),"")</f>
        <v>51.600000000000023</v>
      </c>
      <c r="BR41" s="224">
        <f>IFERROR(VLOOKUP($A41,CP!$A$1:$U$7992,20,FALSE),"")</f>
        <v>0</v>
      </c>
      <c r="BS41" s="224" t="str">
        <f>IFERROR(VLOOKUP($A41,CP!$A$1:$U$1,21,FALSE),"")</f>
        <v/>
      </c>
      <c r="BT41" s="507">
        <f>IFERROR(VLOOKUP(A41,Devengado!$A$1:AJ$9310,35,FALSE),"")</f>
        <v>37.5</v>
      </c>
      <c r="BU41" s="224">
        <f t="shared" si="18"/>
        <v>322.5</v>
      </c>
      <c r="BV41" s="224">
        <f t="shared" si="19"/>
        <v>0.10416666666666667</v>
      </c>
      <c r="BW41" s="224">
        <f t="shared" si="28"/>
        <v>360</v>
      </c>
      <c r="BX41" s="429">
        <v>0</v>
      </c>
      <c r="BY41" s="429">
        <v>40</v>
      </c>
      <c r="BZ41" s="429">
        <v>40</v>
      </c>
      <c r="CA41" s="429">
        <v>40</v>
      </c>
      <c r="CB41" s="429">
        <v>40</v>
      </c>
      <c r="CC41" s="429">
        <v>40</v>
      </c>
      <c r="CD41" s="429">
        <v>40</v>
      </c>
      <c r="CE41" s="429">
        <v>40</v>
      </c>
      <c r="CF41" s="429">
        <v>40</v>
      </c>
      <c r="CG41" s="429">
        <v>20</v>
      </c>
      <c r="CH41" s="429">
        <v>20</v>
      </c>
      <c r="CI41" s="429">
        <v>0</v>
      </c>
      <c r="CJ41" s="224">
        <f>IFERROR(VLOOKUP($A41,Devengado!$A$1:$AI$9038,22,FALSE),"")</f>
        <v>0</v>
      </c>
      <c r="CK41" s="224">
        <f>IFERROR(VLOOKUP($A41,Devengado!$A$1:$AI$9038,23,FALSE),"")</f>
        <v>2.35</v>
      </c>
      <c r="CL41" s="224">
        <f>IFERROR(VLOOKUP($A41,Devengado!$A$1:$AI$9038,24,FALSE),"")</f>
        <v>4.1500000000000004</v>
      </c>
      <c r="CM41" s="224">
        <f>IFERROR(VLOOKUP($A41,Devengado!$A$1:$AI$9038,25,FALSE),"")</f>
        <v>3.75</v>
      </c>
      <c r="CN41" s="224">
        <f>IFERROR(VLOOKUP($A41,Devengado!$A$1:$AI$9038,26,FALSE),"")</f>
        <v>4.18</v>
      </c>
      <c r="CO41" s="224">
        <f>IFERROR(VLOOKUP($A41,Devengado!$A$1:$AI$9038,27,FALSE),"")</f>
        <v>3.55</v>
      </c>
      <c r="CP41" s="224">
        <f>IFERROR(VLOOKUP($A41,Devengado!$A$1:$AI$9038,28,FALSE),"")</f>
        <v>5.15</v>
      </c>
      <c r="CQ41" s="224">
        <f>IFERROR(VLOOKUP($A41,Devengado!$A$1:$AI$9038,29,FALSE),"")</f>
        <v>2.15</v>
      </c>
      <c r="CR41" s="224">
        <f>IFERROR(VLOOKUP($A41,Devengado!$A$1:$AI$9038,30,FALSE),"")</f>
        <v>4.17</v>
      </c>
      <c r="CS41" s="224">
        <f>IFERROR(VLOOKUP($A41,Devengado!$A$1:$AI$9038,31,FALSE),"")</f>
        <v>2.15</v>
      </c>
      <c r="CT41" s="224">
        <f>IFERROR(VLOOKUP($A41,Devengado!$A$1:$AI$9038,32,FALSE),"")</f>
        <v>2.15</v>
      </c>
      <c r="CU41" s="224">
        <f>IFERROR(VLOOKUP($A41,Devengado!$A$1:$AI$9038,33,FALSE),"")</f>
        <v>3.75</v>
      </c>
      <c r="CV41" s="224">
        <f t="shared" si="20"/>
        <v>37.5</v>
      </c>
      <c r="CW41" s="224">
        <f t="shared" si="21"/>
        <v>0</v>
      </c>
      <c r="CX41" s="207"/>
      <c r="CY41" s="207" t="str">
        <f t="shared" si="22"/>
        <v>53</v>
      </c>
      <c r="CZ41" s="112" t="s">
        <v>916</v>
      </c>
    </row>
    <row r="42" spans="1:104" s="225" customFormat="1" ht="25.5" customHeight="1">
      <c r="A42" s="207">
        <v>452</v>
      </c>
      <c r="B42" s="207"/>
      <c r="C42" s="207"/>
      <c r="D42" s="207"/>
      <c r="E42" s="207"/>
      <c r="F42" s="207"/>
      <c r="G42" s="207"/>
      <c r="H42" s="207"/>
      <c r="I42" s="207"/>
      <c r="J42" s="207"/>
      <c r="K42" s="112" t="s">
        <v>429</v>
      </c>
      <c r="L42" s="112" t="s">
        <v>850</v>
      </c>
      <c r="M42" s="117" t="s">
        <v>918</v>
      </c>
      <c r="N42" s="112" t="s">
        <v>77</v>
      </c>
      <c r="O42" s="112" t="s">
        <v>77</v>
      </c>
      <c r="P42" s="112" t="s">
        <v>76</v>
      </c>
      <c r="Q42" s="112" t="s">
        <v>77</v>
      </c>
      <c r="R42" s="112" t="s">
        <v>77</v>
      </c>
      <c r="S42" s="112" t="s">
        <v>77</v>
      </c>
      <c r="T42" s="112" t="s">
        <v>77</v>
      </c>
      <c r="U42" s="112" t="s">
        <v>77</v>
      </c>
      <c r="V42" s="112" t="s">
        <v>77</v>
      </c>
      <c r="W42" s="112" t="s">
        <v>87</v>
      </c>
      <c r="X42" s="124" t="s">
        <v>459</v>
      </c>
      <c r="Y42" s="114" t="s">
        <v>430</v>
      </c>
      <c r="Z42" s="114" t="s">
        <v>111</v>
      </c>
      <c r="AA42" s="114" t="s">
        <v>81</v>
      </c>
      <c r="AB42" s="114" t="s">
        <v>112</v>
      </c>
      <c r="AC42" s="115" t="str">
        <f t="shared" si="23"/>
        <v>53</v>
      </c>
      <c r="AD42" s="124">
        <v>530104</v>
      </c>
      <c r="AE42" s="122" t="str">
        <f>VLOOKUP(AD42,ITEM!$C$1:$D$694,2,FALSE)</f>
        <v>Energía Eléctrica</v>
      </c>
      <c r="AF42" s="112">
        <v>1314</v>
      </c>
      <c r="AG42" s="114" t="s">
        <v>82</v>
      </c>
      <c r="AH42" s="114" t="s">
        <v>84</v>
      </c>
      <c r="AI42" s="114" t="s">
        <v>84</v>
      </c>
      <c r="AJ42" s="114" t="s">
        <v>914</v>
      </c>
      <c r="AK42" s="114" t="s">
        <v>77</v>
      </c>
      <c r="AL42" s="271">
        <v>1600</v>
      </c>
      <c r="AM42" s="272"/>
      <c r="AN42" s="272">
        <f t="shared" si="15"/>
        <v>1600</v>
      </c>
      <c r="AO42" s="224">
        <f>SUMIF(Reforma!$A$2:$A$8523,$A42,Reforma!$AB$2:$AB$8523)</f>
        <v>0</v>
      </c>
      <c r="AP42" s="224">
        <f>SUMIF(Reforma!$A$2:$A$8523,$A42,Reforma!$AC$2:$AC$8523)</f>
        <v>0</v>
      </c>
      <c r="AQ42" s="224">
        <f>SUMIF(Reforma!$A$2:$A$8523,$A42,Reforma!$AD$2:$AD$8523)</f>
        <v>0</v>
      </c>
      <c r="AR42" s="224">
        <f>SUMIF(Reforma!$A$2:$A$8523,$A42,Reforma!$AE$2:$AE$8523)</f>
        <v>0</v>
      </c>
      <c r="AS42" s="224">
        <f t="shared" si="24"/>
        <v>1600</v>
      </c>
      <c r="AT42" s="224">
        <f t="shared" si="25"/>
        <v>0</v>
      </c>
      <c r="AU42" s="224">
        <f t="shared" si="26"/>
        <v>1600</v>
      </c>
      <c r="AV42" s="326">
        <v>0</v>
      </c>
      <c r="AW42" s="326">
        <v>1600</v>
      </c>
      <c r="AX42" s="326">
        <v>0</v>
      </c>
      <c r="AY42" s="326">
        <v>0</v>
      </c>
      <c r="AZ42" s="326">
        <v>0</v>
      </c>
      <c r="BA42" s="326">
        <v>0</v>
      </c>
      <c r="BB42" s="326">
        <v>0</v>
      </c>
      <c r="BC42" s="326">
        <v>0</v>
      </c>
      <c r="BD42" s="326">
        <v>0</v>
      </c>
      <c r="BE42" s="326">
        <v>0</v>
      </c>
      <c r="BF42" s="326">
        <v>0</v>
      </c>
      <c r="BG42" s="326">
        <v>0</v>
      </c>
      <c r="BH42" s="408">
        <f t="shared" si="16"/>
        <v>1600</v>
      </c>
      <c r="BI42" s="408">
        <f t="shared" ref="BI42:BI89" si="29">SUM(AV42:BG42)</f>
        <v>1600</v>
      </c>
      <c r="BJ42" s="408">
        <f t="shared" si="27"/>
        <v>0</v>
      </c>
      <c r="BK42" s="224"/>
      <c r="BL42" s="224"/>
      <c r="BM42" s="224"/>
      <c r="BN42" s="224">
        <f>IFERROR(VLOOKUP($A42,'Constancias POA'!$A$2:$DH$9993,18,FALSE),"")</f>
        <v>1600</v>
      </c>
      <c r="BO42" s="224">
        <f t="shared" si="17"/>
        <v>0</v>
      </c>
      <c r="BP42" s="224">
        <f>IFERROR(VLOOKUP($A42,CP!$A$1:$U$7992,18,FALSE),"")</f>
        <v>1600</v>
      </c>
      <c r="BQ42" s="224">
        <f>IFERROR(VLOOKUP($A42,CP!$A$1:$U$7992,19,FALSE),"")</f>
        <v>1600</v>
      </c>
      <c r="BR42" s="224">
        <f>IFERROR(VLOOKUP($A42,CP!$A$1:$U$7992,20,FALSE),"")</f>
        <v>0</v>
      </c>
      <c r="BS42" s="224" t="str">
        <f>IFERROR(VLOOKUP($A42,CP!$A$1:$U$1,21,FALSE),"")</f>
        <v/>
      </c>
      <c r="BT42" s="224">
        <f>IFERROR(VLOOKUP(A42,Devengado!$A$1:AJ$9310,35,FALSE),"")</f>
        <v>847.41000000000008</v>
      </c>
      <c r="BU42" s="224">
        <f t="shared" si="18"/>
        <v>752.58999999999992</v>
      </c>
      <c r="BV42" s="224">
        <f t="shared" si="19"/>
        <v>0.52963125</v>
      </c>
      <c r="BW42" s="224">
        <f t="shared" si="28"/>
        <v>1600</v>
      </c>
      <c r="BX42" s="429">
        <v>0</v>
      </c>
      <c r="BY42" s="429">
        <v>1600</v>
      </c>
      <c r="BZ42" s="429">
        <v>0</v>
      </c>
      <c r="CA42" s="429">
        <v>0</v>
      </c>
      <c r="CB42" s="429">
        <v>0</v>
      </c>
      <c r="CC42" s="429">
        <v>0</v>
      </c>
      <c r="CD42" s="429">
        <v>0</v>
      </c>
      <c r="CE42" s="429">
        <v>0</v>
      </c>
      <c r="CF42" s="429">
        <v>0</v>
      </c>
      <c r="CG42" s="429">
        <v>0</v>
      </c>
      <c r="CH42" s="429">
        <v>0</v>
      </c>
      <c r="CI42" s="429">
        <v>0</v>
      </c>
      <c r="CJ42" s="224">
        <f>IFERROR(VLOOKUP($A42,Devengado!$A$1:$AI$9038,22,FALSE),"")</f>
        <v>277.45</v>
      </c>
      <c r="CK42" s="224">
        <f>IFERROR(VLOOKUP($A42,Devengado!$A$1:$AI$9038,23,FALSE),"")</f>
        <v>569.96</v>
      </c>
      <c r="CL42" s="224">
        <f>IFERROR(VLOOKUP($A42,Devengado!$A$1:$AI$9038,24,FALSE),"")</f>
        <v>0</v>
      </c>
      <c r="CM42" s="224">
        <f>IFERROR(VLOOKUP($A42,Devengado!$A$1:$AI$9038,25,FALSE),"")</f>
        <v>0</v>
      </c>
      <c r="CN42" s="224">
        <f>IFERROR(VLOOKUP($A42,Devengado!$A$1:$AI$9038,26,FALSE),"")</f>
        <v>0</v>
      </c>
      <c r="CO42" s="224">
        <f>IFERROR(VLOOKUP($A42,Devengado!$A$1:$AI$9038,27,FALSE),"")</f>
        <v>0</v>
      </c>
      <c r="CP42" s="224">
        <f>IFERROR(VLOOKUP($A42,Devengado!$A$1:$AI$9038,28,FALSE),"")</f>
        <v>0</v>
      </c>
      <c r="CQ42" s="224">
        <f>IFERROR(VLOOKUP($A42,Devengado!$A$1:$AI$9038,29,FALSE),"")</f>
        <v>0</v>
      </c>
      <c r="CR42" s="224">
        <f>IFERROR(VLOOKUP($A42,Devengado!$A$1:$AI$9038,30,FALSE),"")</f>
        <v>0</v>
      </c>
      <c r="CS42" s="224">
        <f>IFERROR(VLOOKUP($A42,Devengado!$A$1:$AI$9038,31,FALSE),"")</f>
        <v>0</v>
      </c>
      <c r="CT42" s="224">
        <f>IFERROR(VLOOKUP($A42,Devengado!$A$1:$AI$9038,32,FALSE),"")</f>
        <v>0</v>
      </c>
      <c r="CU42" s="224">
        <f>IFERROR(VLOOKUP($A42,Devengado!$A$1:$AI$9038,33,FALSE),"")</f>
        <v>0</v>
      </c>
      <c r="CV42" s="224">
        <f t="shared" si="20"/>
        <v>847.41000000000008</v>
      </c>
      <c r="CW42" s="224">
        <f t="shared" si="21"/>
        <v>0</v>
      </c>
      <c r="CX42" s="207"/>
      <c r="CY42" s="207" t="str">
        <f t="shared" si="22"/>
        <v>53</v>
      </c>
      <c r="CZ42" s="112" t="s">
        <v>916</v>
      </c>
    </row>
    <row r="43" spans="1:104" s="225" customFormat="1" ht="25.5" customHeight="1">
      <c r="A43" s="207">
        <v>453</v>
      </c>
      <c r="B43" s="207"/>
      <c r="C43" s="207"/>
      <c r="D43" s="207"/>
      <c r="E43" s="207"/>
      <c r="F43" s="207"/>
      <c r="G43" s="207"/>
      <c r="H43" s="207"/>
      <c r="I43" s="207"/>
      <c r="J43" s="207"/>
      <c r="K43" s="112" t="s">
        <v>429</v>
      </c>
      <c r="L43" s="112" t="s">
        <v>850</v>
      </c>
      <c r="M43" s="112" t="s">
        <v>918</v>
      </c>
      <c r="N43" s="112" t="s">
        <v>77</v>
      </c>
      <c r="O43" s="112" t="s">
        <v>77</v>
      </c>
      <c r="P43" s="112" t="s">
        <v>76</v>
      </c>
      <c r="Q43" s="112" t="s">
        <v>77</v>
      </c>
      <c r="R43" s="112" t="s">
        <v>77</v>
      </c>
      <c r="S43" s="112" t="s">
        <v>77</v>
      </c>
      <c r="T43" s="112" t="s">
        <v>77</v>
      </c>
      <c r="U43" s="112" t="s">
        <v>77</v>
      </c>
      <c r="V43" s="112" t="s">
        <v>77</v>
      </c>
      <c r="W43" s="112" t="s">
        <v>85</v>
      </c>
      <c r="X43" s="124" t="s">
        <v>460</v>
      </c>
      <c r="Y43" s="114" t="s">
        <v>430</v>
      </c>
      <c r="Z43" s="114" t="s">
        <v>111</v>
      </c>
      <c r="AA43" s="114" t="s">
        <v>81</v>
      </c>
      <c r="AB43" s="114" t="s">
        <v>112</v>
      </c>
      <c r="AC43" s="115" t="str">
        <f t="shared" si="23"/>
        <v>53</v>
      </c>
      <c r="AD43" s="124">
        <v>530104</v>
      </c>
      <c r="AE43" s="122" t="str">
        <f>VLOOKUP(AD43,ITEM!$C$1:$D$694,2,FALSE)</f>
        <v>Energía Eléctrica</v>
      </c>
      <c r="AF43" s="112">
        <v>1314</v>
      </c>
      <c r="AG43" s="114" t="s">
        <v>82</v>
      </c>
      <c r="AH43" s="114" t="s">
        <v>84</v>
      </c>
      <c r="AI43" s="114" t="s">
        <v>84</v>
      </c>
      <c r="AJ43" s="114" t="s">
        <v>914</v>
      </c>
      <c r="AK43" s="114" t="s">
        <v>77</v>
      </c>
      <c r="AL43" s="271">
        <v>9000</v>
      </c>
      <c r="AM43" s="272"/>
      <c r="AN43" s="272">
        <f t="shared" si="15"/>
        <v>9000</v>
      </c>
      <c r="AO43" s="224">
        <f>SUMIF(Reforma!$A$2:$A$8523,$A43,Reforma!$AB$2:$AB$8523)</f>
        <v>0</v>
      </c>
      <c r="AP43" s="224">
        <f>SUMIF(Reforma!$A$2:$A$8523,$A43,Reforma!$AC$2:$AC$8523)</f>
        <v>-2597.83</v>
      </c>
      <c r="AQ43" s="224">
        <f>SUMIF(Reforma!$A$2:$A$8523,$A43,Reforma!$AD$2:$AD$8523)</f>
        <v>0</v>
      </c>
      <c r="AR43" s="224">
        <f>SUMIF(Reforma!$A$2:$A$8523,$A43,Reforma!$AE$2:$AE$8523)</f>
        <v>0</v>
      </c>
      <c r="AS43" s="224">
        <f t="shared" si="24"/>
        <v>6402.17</v>
      </c>
      <c r="AT43" s="224">
        <f t="shared" si="25"/>
        <v>0</v>
      </c>
      <c r="AU43" s="224">
        <f t="shared" si="26"/>
        <v>6402.17</v>
      </c>
      <c r="AV43" s="462"/>
      <c r="AW43" s="462"/>
      <c r="AX43" s="510">
        <v>781.86</v>
      </c>
      <c r="AY43" s="510">
        <v>714.28</v>
      </c>
      <c r="AZ43" s="510">
        <v>707.7</v>
      </c>
      <c r="BA43" s="510">
        <v>571.37</v>
      </c>
      <c r="BB43" s="510"/>
      <c r="BC43" s="510">
        <v>622.21</v>
      </c>
      <c r="BD43" s="510">
        <v>640.01</v>
      </c>
      <c r="BE43" s="462">
        <v>764.74</v>
      </c>
      <c r="BF43" s="423">
        <v>800</v>
      </c>
      <c r="BG43" s="423">
        <v>800</v>
      </c>
      <c r="BH43" s="408">
        <f t="shared" si="16"/>
        <v>9000</v>
      </c>
      <c r="BI43" s="408">
        <f t="shared" si="29"/>
        <v>6402.17</v>
      </c>
      <c r="BJ43" s="408">
        <f t="shared" si="27"/>
        <v>0</v>
      </c>
      <c r="BK43" s="224"/>
      <c r="BL43" s="224"/>
      <c r="BM43" s="224"/>
      <c r="BN43" s="224">
        <f>IFERROR(VLOOKUP($A43,'Constancias POA'!$A$2:$DH$9993,18,FALSE),"")</f>
        <v>9000</v>
      </c>
      <c r="BO43" s="224">
        <f t="shared" si="17"/>
        <v>-2597.83</v>
      </c>
      <c r="BP43" s="224">
        <f>IFERROR(VLOOKUP($A43,CP!$A$1:$U$7992,18,FALSE),"")</f>
        <v>0</v>
      </c>
      <c r="BQ43" s="224">
        <f>IFERROR(VLOOKUP($A43,CP!$A$1:$U$7992,19,FALSE),"")</f>
        <v>6402.17</v>
      </c>
      <c r="BR43" s="224">
        <f>IFERROR(VLOOKUP($A43,CP!$A$1:$U$7992,20,FALSE),"")</f>
        <v>0</v>
      </c>
      <c r="BS43" s="224" t="str">
        <f>IFERROR(VLOOKUP($A43,CP!$A$1:$U$1,21,FALSE),"")</f>
        <v/>
      </c>
      <c r="BT43" s="224">
        <f>IFERROR(VLOOKUP(A43,Devengado!$A$1:AJ$9310,35,FALSE),"")</f>
        <v>5472.03</v>
      </c>
      <c r="BU43" s="224">
        <f t="shared" si="18"/>
        <v>930.14000000000033</v>
      </c>
      <c r="BV43" s="224">
        <f t="shared" si="19"/>
        <v>0.85471488573405574</v>
      </c>
      <c r="BW43" s="224">
        <f t="shared" si="28"/>
        <v>6402.17</v>
      </c>
      <c r="BX43" s="429">
        <v>0</v>
      </c>
      <c r="BY43" s="429">
        <v>1000</v>
      </c>
      <c r="BZ43" s="429">
        <v>1000</v>
      </c>
      <c r="CA43" s="429">
        <v>1000</v>
      </c>
      <c r="CB43" s="429">
        <v>1000</v>
      </c>
      <c r="CC43" s="429">
        <v>1000</v>
      </c>
      <c r="CD43" s="429">
        <v>1000</v>
      </c>
      <c r="CE43" s="429">
        <v>1000</v>
      </c>
      <c r="CF43" s="429">
        <v>1000</v>
      </c>
      <c r="CG43" s="429">
        <v>1000</v>
      </c>
      <c r="CH43" s="429">
        <v>0</v>
      </c>
      <c r="CI43" s="429">
        <v>0</v>
      </c>
      <c r="CJ43" s="224">
        <f>IFERROR(VLOOKUP($A43,Devengado!$A$1:$AI$9038,22,FALSE),"")</f>
        <v>0</v>
      </c>
      <c r="CK43" s="224">
        <f>IFERROR(VLOOKUP($A43,Devengado!$A$1:$AI$9038,23,FALSE),"")</f>
        <v>0</v>
      </c>
      <c r="CL43" s="224">
        <f>IFERROR(VLOOKUP($A43,Devengado!$A$1:$AI$9038,24,FALSE),"")</f>
        <v>781.86</v>
      </c>
      <c r="CM43" s="224">
        <f>IFERROR(VLOOKUP($A43,Devengado!$A$1:$AI$9038,25,FALSE),"")</f>
        <v>714.28</v>
      </c>
      <c r="CN43" s="224">
        <f>IFERROR(VLOOKUP($A43,Devengado!$A$1:$AI$9038,26,FALSE),"")</f>
        <v>707.7</v>
      </c>
      <c r="CO43" s="224">
        <f>IFERROR(VLOOKUP($A43,Devengado!$A$1:$AI$9038,27,FALSE),"")</f>
        <v>571.37</v>
      </c>
      <c r="CP43" s="224">
        <f>IFERROR(VLOOKUP($A43,Devengado!$A$1:$AI$9038,28,FALSE),"")</f>
        <v>0</v>
      </c>
      <c r="CQ43" s="224">
        <f>IFERROR(VLOOKUP($A43,Devengado!$A$1:$AI$9038,29,FALSE),"")</f>
        <v>622.21</v>
      </c>
      <c r="CR43" s="224">
        <f>IFERROR(VLOOKUP($A43,Devengado!$A$1:$AI$9038,30,FALSE),"")</f>
        <v>640.01</v>
      </c>
      <c r="CS43" s="224">
        <f>IFERROR(VLOOKUP($A43,Devengado!$A$1:$AI$9038,31,FALSE),"")</f>
        <v>764.74</v>
      </c>
      <c r="CT43" s="224">
        <f>IFERROR(VLOOKUP($A43,Devengado!$A$1:$AI$9038,32,FALSE),"")</f>
        <v>472.57</v>
      </c>
      <c r="CU43" s="224">
        <f>IFERROR(VLOOKUP($A43,Devengado!$A$1:$AI$9038,33,FALSE),"")</f>
        <v>197.29</v>
      </c>
      <c r="CV43" s="224">
        <f t="shared" si="20"/>
        <v>5472.03</v>
      </c>
      <c r="CW43" s="224">
        <f t="shared" si="21"/>
        <v>0</v>
      </c>
      <c r="CX43" s="207"/>
      <c r="CY43" s="207" t="str">
        <f t="shared" si="22"/>
        <v>53</v>
      </c>
      <c r="CZ43" s="112" t="s">
        <v>916</v>
      </c>
    </row>
    <row r="44" spans="1:104" s="225" customFormat="1" ht="25.5" customHeight="1">
      <c r="A44" s="207">
        <v>454</v>
      </c>
      <c r="B44" s="207"/>
      <c r="C44" s="207"/>
      <c r="D44" s="207"/>
      <c r="E44" s="207"/>
      <c r="F44" s="207"/>
      <c r="G44" s="207"/>
      <c r="H44" s="207"/>
      <c r="I44" s="207"/>
      <c r="J44" s="207"/>
      <c r="K44" s="112" t="s">
        <v>429</v>
      </c>
      <c r="L44" s="112" t="s">
        <v>850</v>
      </c>
      <c r="M44" s="119" t="s">
        <v>917</v>
      </c>
      <c r="N44" s="112" t="s">
        <v>77</v>
      </c>
      <c r="O44" s="112" t="s">
        <v>77</v>
      </c>
      <c r="P44" s="112" t="s">
        <v>76</v>
      </c>
      <c r="Q44" s="112" t="s">
        <v>77</v>
      </c>
      <c r="R44" s="112" t="s">
        <v>77</v>
      </c>
      <c r="S44" s="112" t="s">
        <v>77</v>
      </c>
      <c r="T44" s="112" t="s">
        <v>77</v>
      </c>
      <c r="U44" s="112" t="s">
        <v>77</v>
      </c>
      <c r="V44" s="112" t="s">
        <v>77</v>
      </c>
      <c r="W44" s="112" t="s">
        <v>87</v>
      </c>
      <c r="X44" s="124" t="s">
        <v>461</v>
      </c>
      <c r="Y44" s="114" t="s">
        <v>430</v>
      </c>
      <c r="Z44" s="114" t="s">
        <v>111</v>
      </c>
      <c r="AA44" s="114" t="s">
        <v>81</v>
      </c>
      <c r="AB44" s="114" t="s">
        <v>112</v>
      </c>
      <c r="AC44" s="115" t="str">
        <f t="shared" si="23"/>
        <v>53</v>
      </c>
      <c r="AD44" s="124">
        <v>530101</v>
      </c>
      <c r="AE44" s="122" t="str">
        <f>VLOOKUP(AD44,ITEM!$C$1:$D$694,2,FALSE)</f>
        <v>Agua Potable</v>
      </c>
      <c r="AF44" s="112">
        <v>1308</v>
      </c>
      <c r="AG44" s="114" t="s">
        <v>82</v>
      </c>
      <c r="AH44" s="114" t="s">
        <v>84</v>
      </c>
      <c r="AI44" s="114" t="s">
        <v>84</v>
      </c>
      <c r="AJ44" s="114" t="s">
        <v>914</v>
      </c>
      <c r="AK44" s="114" t="s">
        <v>77</v>
      </c>
      <c r="AL44" s="271">
        <v>15</v>
      </c>
      <c r="AM44" s="272"/>
      <c r="AN44" s="272">
        <f t="shared" si="15"/>
        <v>15</v>
      </c>
      <c r="AO44" s="224">
        <f>SUMIF(Reforma!$A$2:$A$8523,$A44,Reforma!$AB$2:$AB$8523)</f>
        <v>0</v>
      </c>
      <c r="AP44" s="224">
        <f>SUMIF(Reforma!$A$2:$A$8523,$A44,Reforma!$AC$2:$AC$8523)</f>
        <v>0</v>
      </c>
      <c r="AQ44" s="224">
        <f>SUMIF(Reforma!$A$2:$A$8523,$A44,Reforma!$AD$2:$AD$8523)</f>
        <v>0</v>
      </c>
      <c r="AR44" s="224">
        <f>SUMIF(Reforma!$A$2:$A$8523,$A44,Reforma!$AE$2:$AE$8523)</f>
        <v>0</v>
      </c>
      <c r="AS44" s="224">
        <f t="shared" si="24"/>
        <v>15</v>
      </c>
      <c r="AT44" s="224">
        <f t="shared" si="25"/>
        <v>0</v>
      </c>
      <c r="AU44" s="224">
        <f t="shared" si="26"/>
        <v>15</v>
      </c>
      <c r="AV44" s="326">
        <v>0</v>
      </c>
      <c r="AW44" s="326">
        <v>15</v>
      </c>
      <c r="AX44" s="326">
        <v>0</v>
      </c>
      <c r="AY44" s="326">
        <v>0</v>
      </c>
      <c r="AZ44" s="326">
        <v>0</v>
      </c>
      <c r="BA44" s="326">
        <v>0</v>
      </c>
      <c r="BB44" s="326">
        <v>0</v>
      </c>
      <c r="BC44" s="326">
        <v>0</v>
      </c>
      <c r="BD44" s="326">
        <v>0</v>
      </c>
      <c r="BE44" s="326">
        <v>0</v>
      </c>
      <c r="BF44" s="326">
        <v>0</v>
      </c>
      <c r="BG44" s="326">
        <v>0</v>
      </c>
      <c r="BH44" s="408">
        <f t="shared" si="16"/>
        <v>15</v>
      </c>
      <c r="BI44" s="408">
        <f t="shared" si="29"/>
        <v>15</v>
      </c>
      <c r="BJ44" s="408">
        <f t="shared" si="27"/>
        <v>0</v>
      </c>
      <c r="BK44" s="224"/>
      <c r="BL44" s="224"/>
      <c r="BM44" s="224"/>
      <c r="BN44" s="224">
        <f>IFERROR(VLOOKUP($A44,'Constancias POA'!$A$2:$DH$9993,18,FALSE),"")</f>
        <v>15</v>
      </c>
      <c r="BO44" s="224">
        <f t="shared" si="17"/>
        <v>0</v>
      </c>
      <c r="BP44" s="224">
        <f>IFERROR(VLOOKUP($A44,CP!$A$1:$U$7992,18,FALSE),"")</f>
        <v>15</v>
      </c>
      <c r="BQ44" s="507">
        <f>IFERROR(VLOOKUP($A44,CP!$A$1:$U$7992,19,FALSE),"")</f>
        <v>15</v>
      </c>
      <c r="BR44" s="224">
        <f>IFERROR(VLOOKUP($A44,CP!$A$1:$U$7992,20,FALSE),"")</f>
        <v>0</v>
      </c>
      <c r="BS44" s="224" t="str">
        <f>IFERROR(VLOOKUP($A44,CP!$A$1:$U$1,21,FALSE),"")</f>
        <v/>
      </c>
      <c r="BT44" s="507">
        <f>IFERROR(VLOOKUP(A44,Devengado!$A$1:AJ$9310,35,FALSE),"")</f>
        <v>14.77</v>
      </c>
      <c r="BU44" s="224">
        <f t="shared" si="18"/>
        <v>0.23000000000000043</v>
      </c>
      <c r="BV44" s="224">
        <f t="shared" si="19"/>
        <v>0.98466666666666669</v>
      </c>
      <c r="BW44" s="224">
        <f t="shared" si="28"/>
        <v>15</v>
      </c>
      <c r="BX44" s="429">
        <v>0</v>
      </c>
      <c r="BY44" s="429">
        <v>15</v>
      </c>
      <c r="BZ44" s="429">
        <v>0</v>
      </c>
      <c r="CA44" s="429">
        <v>0</v>
      </c>
      <c r="CB44" s="429">
        <v>0</v>
      </c>
      <c r="CC44" s="429">
        <v>0</v>
      </c>
      <c r="CD44" s="429">
        <v>0</v>
      </c>
      <c r="CE44" s="429">
        <v>0</v>
      </c>
      <c r="CF44" s="429">
        <v>0</v>
      </c>
      <c r="CG44" s="429">
        <v>0</v>
      </c>
      <c r="CH44" s="429">
        <v>0</v>
      </c>
      <c r="CI44" s="429">
        <v>0</v>
      </c>
      <c r="CJ44" s="224">
        <f>IFERROR(VLOOKUP($A44,Devengado!$A$1:$AI$9038,22,FALSE),"")</f>
        <v>0</v>
      </c>
      <c r="CK44" s="224">
        <f>IFERROR(VLOOKUP($A44,Devengado!$A$1:$AI$9038,23,FALSE),"")</f>
        <v>14.77</v>
      </c>
      <c r="CL44" s="224">
        <f>IFERROR(VLOOKUP($A44,Devengado!$A$1:$AI$9038,24,FALSE),"")</f>
        <v>0</v>
      </c>
      <c r="CM44" s="224">
        <f>IFERROR(VLOOKUP($A44,Devengado!$A$1:$AI$9038,25,FALSE),"")</f>
        <v>0</v>
      </c>
      <c r="CN44" s="224">
        <f>IFERROR(VLOOKUP($A44,Devengado!$A$1:$AI$9038,26,FALSE),"")</f>
        <v>0</v>
      </c>
      <c r="CO44" s="224">
        <f>IFERROR(VLOOKUP($A44,Devengado!$A$1:$AI$9038,27,FALSE),"")</f>
        <v>0</v>
      </c>
      <c r="CP44" s="224">
        <f>IFERROR(VLOOKUP($A44,Devengado!$A$1:$AI$9038,28,FALSE),"")</f>
        <v>0</v>
      </c>
      <c r="CQ44" s="224">
        <f>IFERROR(VLOOKUP($A44,Devengado!$A$1:$AI$9038,29,FALSE),"")</f>
        <v>0</v>
      </c>
      <c r="CR44" s="224">
        <f>IFERROR(VLOOKUP($A44,Devengado!$A$1:$AI$9038,30,FALSE),"")</f>
        <v>0</v>
      </c>
      <c r="CS44" s="224">
        <f>IFERROR(VLOOKUP($A44,Devengado!$A$1:$AI$9038,31,FALSE),"")</f>
        <v>0</v>
      </c>
      <c r="CT44" s="224">
        <f>IFERROR(VLOOKUP($A44,Devengado!$A$1:$AI$9038,32,FALSE),"")</f>
        <v>0</v>
      </c>
      <c r="CU44" s="224">
        <f>IFERROR(VLOOKUP($A44,Devengado!$A$1:$AI$9038,33,FALSE),"")</f>
        <v>0</v>
      </c>
      <c r="CV44" s="224">
        <f t="shared" si="20"/>
        <v>14.77</v>
      </c>
      <c r="CW44" s="224">
        <f t="shared" si="21"/>
        <v>0</v>
      </c>
      <c r="CX44" s="207"/>
      <c r="CY44" s="207" t="str">
        <f t="shared" si="22"/>
        <v>53</v>
      </c>
      <c r="CZ44" s="112" t="s">
        <v>916</v>
      </c>
    </row>
    <row r="45" spans="1:104" s="225" customFormat="1" ht="25.5" customHeight="1">
      <c r="A45" s="207">
        <v>455</v>
      </c>
      <c r="B45" s="207"/>
      <c r="C45" s="207"/>
      <c r="D45" s="207"/>
      <c r="E45" s="207"/>
      <c r="F45" s="207"/>
      <c r="G45" s="207"/>
      <c r="H45" s="207"/>
      <c r="I45" s="207"/>
      <c r="J45" s="207"/>
      <c r="K45" s="112" t="s">
        <v>429</v>
      </c>
      <c r="L45" s="112" t="s">
        <v>850</v>
      </c>
      <c r="M45" s="119" t="s">
        <v>917</v>
      </c>
      <c r="N45" s="112" t="s">
        <v>77</v>
      </c>
      <c r="O45" s="112" t="s">
        <v>77</v>
      </c>
      <c r="P45" s="112" t="s">
        <v>76</v>
      </c>
      <c r="Q45" s="112" t="s">
        <v>77</v>
      </c>
      <c r="R45" s="112" t="s">
        <v>77</v>
      </c>
      <c r="S45" s="112" t="s">
        <v>77</v>
      </c>
      <c r="T45" s="112" t="s">
        <v>77</v>
      </c>
      <c r="U45" s="112" t="s">
        <v>77</v>
      </c>
      <c r="V45" s="112" t="s">
        <v>77</v>
      </c>
      <c r="W45" s="112" t="s">
        <v>85</v>
      </c>
      <c r="X45" s="124" t="s">
        <v>462</v>
      </c>
      <c r="Y45" s="114" t="s">
        <v>430</v>
      </c>
      <c r="Z45" s="114" t="s">
        <v>111</v>
      </c>
      <c r="AA45" s="114" t="s">
        <v>81</v>
      </c>
      <c r="AB45" s="114" t="s">
        <v>112</v>
      </c>
      <c r="AC45" s="115" t="str">
        <f t="shared" si="23"/>
        <v>53</v>
      </c>
      <c r="AD45" s="124">
        <v>530101</v>
      </c>
      <c r="AE45" s="122" t="str">
        <f>VLOOKUP(AD45,ITEM!$C$1:$D$694,2,FALSE)</f>
        <v>Agua Potable</v>
      </c>
      <c r="AF45" s="112">
        <v>1308</v>
      </c>
      <c r="AG45" s="114" t="s">
        <v>82</v>
      </c>
      <c r="AH45" s="114" t="s">
        <v>84</v>
      </c>
      <c r="AI45" s="114" t="s">
        <v>84</v>
      </c>
      <c r="AJ45" s="114" t="s">
        <v>914</v>
      </c>
      <c r="AK45" s="114" t="s">
        <v>77</v>
      </c>
      <c r="AL45" s="271">
        <v>135</v>
      </c>
      <c r="AM45" s="272"/>
      <c r="AN45" s="272">
        <f t="shared" si="15"/>
        <v>135</v>
      </c>
      <c r="AO45" s="224">
        <f>SUMIF(Reforma!$A$2:$A$8523,$A45,Reforma!$AB$2:$AB$8523)</f>
        <v>0</v>
      </c>
      <c r="AP45" s="224">
        <f>SUMIF(Reforma!$A$2:$A$8523,$A45,Reforma!$AC$2:$AC$8523)</f>
        <v>0</v>
      </c>
      <c r="AQ45" s="224">
        <f>SUMIF(Reforma!$A$2:$A$8523,$A45,Reforma!$AD$2:$AD$8523)</f>
        <v>0</v>
      </c>
      <c r="AR45" s="224">
        <f>SUMIF(Reforma!$A$2:$A$8523,$A45,Reforma!$AE$2:$AE$8523)</f>
        <v>0</v>
      </c>
      <c r="AS45" s="224">
        <f t="shared" si="24"/>
        <v>135</v>
      </c>
      <c r="AT45" s="224">
        <f t="shared" si="25"/>
        <v>0</v>
      </c>
      <c r="AU45" s="224">
        <f t="shared" si="26"/>
        <v>135</v>
      </c>
      <c r="AV45" s="326">
        <v>0</v>
      </c>
      <c r="AW45" s="326">
        <v>15</v>
      </c>
      <c r="AX45" s="326">
        <v>15</v>
      </c>
      <c r="AY45" s="326">
        <v>15</v>
      </c>
      <c r="AZ45" s="326">
        <v>15</v>
      </c>
      <c r="BA45" s="326">
        <v>15</v>
      </c>
      <c r="BB45" s="326">
        <v>15</v>
      </c>
      <c r="BC45" s="326">
        <v>15</v>
      </c>
      <c r="BD45" s="326">
        <v>15</v>
      </c>
      <c r="BE45" s="326">
        <v>7.5</v>
      </c>
      <c r="BF45" s="326">
        <v>7.5</v>
      </c>
      <c r="BG45" s="326">
        <v>0</v>
      </c>
      <c r="BH45" s="408">
        <f t="shared" si="16"/>
        <v>135</v>
      </c>
      <c r="BI45" s="408">
        <f t="shared" si="29"/>
        <v>135</v>
      </c>
      <c r="BJ45" s="408">
        <f t="shared" si="27"/>
        <v>0</v>
      </c>
      <c r="BK45" s="224"/>
      <c r="BL45" s="224"/>
      <c r="BM45" s="224"/>
      <c r="BN45" s="224">
        <f>IFERROR(VLOOKUP($A45,'Constancias POA'!$A$2:$DH$9993,18,FALSE),"")</f>
        <v>135</v>
      </c>
      <c r="BO45" s="224">
        <f t="shared" si="17"/>
        <v>0</v>
      </c>
      <c r="BP45" s="224">
        <f>IFERROR(VLOOKUP($A45,CP!$A$1:$U$7992,18,FALSE),"")</f>
        <v>135</v>
      </c>
      <c r="BQ45" s="507">
        <f>IFERROR(VLOOKUP($A45,CP!$A$1:$U$7992,19,FALSE),"")</f>
        <v>135</v>
      </c>
      <c r="BR45" s="224">
        <f>IFERROR(VLOOKUP($A45,CP!$A$1:$U$7992,20,FALSE),"")</f>
        <v>0</v>
      </c>
      <c r="BS45" s="224" t="str">
        <f>IFERROR(VLOOKUP($A45,CP!$A$1:$U$1,21,FALSE),"")</f>
        <v/>
      </c>
      <c r="BT45" s="507">
        <f>IFERROR(VLOOKUP(A45,Devengado!$A$1:AJ$9310,35,FALSE),"")</f>
        <v>86.21</v>
      </c>
      <c r="BU45" s="224">
        <f t="shared" si="18"/>
        <v>48.790000000000006</v>
      </c>
      <c r="BV45" s="224">
        <f t="shared" si="19"/>
        <v>0.6385925925925926</v>
      </c>
      <c r="BW45" s="224">
        <f t="shared" si="28"/>
        <v>135</v>
      </c>
      <c r="BX45" s="429">
        <v>0</v>
      </c>
      <c r="BY45" s="429">
        <v>15</v>
      </c>
      <c r="BZ45" s="429">
        <v>15</v>
      </c>
      <c r="CA45" s="429">
        <v>15</v>
      </c>
      <c r="CB45" s="429">
        <v>15</v>
      </c>
      <c r="CC45" s="429">
        <v>15</v>
      </c>
      <c r="CD45" s="429">
        <v>15</v>
      </c>
      <c r="CE45" s="429">
        <v>15</v>
      </c>
      <c r="CF45" s="429">
        <v>15</v>
      </c>
      <c r="CG45" s="429">
        <v>7.5</v>
      </c>
      <c r="CH45" s="429">
        <v>7.5</v>
      </c>
      <c r="CI45" s="429">
        <v>0</v>
      </c>
      <c r="CJ45" s="224">
        <f>IFERROR(VLOOKUP($A45,Devengado!$A$1:$AI$9038,22,FALSE),"")</f>
        <v>0</v>
      </c>
      <c r="CK45" s="224">
        <f>IFERROR(VLOOKUP($A45,Devengado!$A$1:$AI$9038,23,FALSE),"")</f>
        <v>29.619999999999997</v>
      </c>
      <c r="CL45" s="224">
        <f>IFERROR(VLOOKUP($A45,Devengado!$A$1:$AI$9038,24,FALSE),"")</f>
        <v>14.7</v>
      </c>
      <c r="CM45" s="224">
        <f>IFERROR(VLOOKUP($A45,Devengado!$A$1:$AI$9038,25,FALSE),"")</f>
        <v>0</v>
      </c>
      <c r="CN45" s="224">
        <f>IFERROR(VLOOKUP($A45,Devengado!$A$1:$AI$9038,26,FALSE),"")</f>
        <v>0</v>
      </c>
      <c r="CO45" s="224">
        <f>IFERROR(VLOOKUP($A45,Devengado!$A$1:$AI$9038,27,FALSE),"")</f>
        <v>14.85</v>
      </c>
      <c r="CP45" s="224">
        <f>IFERROR(VLOOKUP($A45,Devengado!$A$1:$AI$9038,28,FALSE),"")</f>
        <v>14.87</v>
      </c>
      <c r="CQ45" s="224">
        <f>IFERROR(VLOOKUP($A45,Devengado!$A$1:$AI$9038,29,FALSE),"")</f>
        <v>12.17</v>
      </c>
      <c r="CR45" s="224">
        <f>IFERROR(VLOOKUP($A45,Devengado!$A$1:$AI$9038,30,FALSE),"")</f>
        <v>0</v>
      </c>
      <c r="CS45" s="224">
        <f>IFERROR(VLOOKUP($A45,Devengado!$A$1:$AI$9038,31,FALSE),"")</f>
        <v>0</v>
      </c>
      <c r="CT45" s="224">
        <f>IFERROR(VLOOKUP($A45,Devengado!$A$1:$AI$9038,32,FALSE),"")</f>
        <v>0</v>
      </c>
      <c r="CU45" s="224">
        <f>IFERROR(VLOOKUP($A45,Devengado!$A$1:$AI$9038,33,FALSE),"")</f>
        <v>0</v>
      </c>
      <c r="CV45" s="224">
        <f t="shared" si="20"/>
        <v>86.21</v>
      </c>
      <c r="CW45" s="224">
        <f t="shared" si="21"/>
        <v>0</v>
      </c>
      <c r="CX45" s="207"/>
      <c r="CY45" s="207" t="str">
        <f t="shared" si="22"/>
        <v>53</v>
      </c>
      <c r="CZ45" s="112" t="s">
        <v>916</v>
      </c>
    </row>
    <row r="46" spans="1:104" s="225" customFormat="1" ht="25.5" customHeight="1">
      <c r="A46" s="207">
        <v>456</v>
      </c>
      <c r="B46" s="207"/>
      <c r="C46" s="207"/>
      <c r="D46" s="207"/>
      <c r="E46" s="207"/>
      <c r="F46" s="207"/>
      <c r="G46" s="207"/>
      <c r="H46" s="207"/>
      <c r="I46" s="207"/>
      <c r="J46" s="207"/>
      <c r="K46" s="112" t="s">
        <v>429</v>
      </c>
      <c r="L46" s="112" t="s">
        <v>850</v>
      </c>
      <c r="M46" s="112" t="s">
        <v>917</v>
      </c>
      <c r="N46" s="112" t="s">
        <v>77</v>
      </c>
      <c r="O46" s="112" t="s">
        <v>77</v>
      </c>
      <c r="P46" s="112" t="s">
        <v>76</v>
      </c>
      <c r="Q46" s="112" t="s">
        <v>77</v>
      </c>
      <c r="R46" s="112" t="s">
        <v>77</v>
      </c>
      <c r="S46" s="112" t="s">
        <v>77</v>
      </c>
      <c r="T46" s="112" t="s">
        <v>77</v>
      </c>
      <c r="U46" s="112" t="s">
        <v>77</v>
      </c>
      <c r="V46" s="112" t="s">
        <v>77</v>
      </c>
      <c r="W46" s="112" t="s">
        <v>87</v>
      </c>
      <c r="X46" s="124" t="s">
        <v>463</v>
      </c>
      <c r="Y46" s="114" t="s">
        <v>430</v>
      </c>
      <c r="Z46" s="114" t="s">
        <v>111</v>
      </c>
      <c r="AA46" s="114" t="s">
        <v>81</v>
      </c>
      <c r="AB46" s="114" t="s">
        <v>112</v>
      </c>
      <c r="AC46" s="115" t="str">
        <f t="shared" si="23"/>
        <v>53</v>
      </c>
      <c r="AD46" s="124">
        <v>530104</v>
      </c>
      <c r="AE46" s="122" t="str">
        <f>VLOOKUP(AD46,ITEM!$C$1:$D$694,2,FALSE)</f>
        <v>Energía Eléctrica</v>
      </c>
      <c r="AF46" s="112">
        <v>1308</v>
      </c>
      <c r="AG46" s="114" t="s">
        <v>82</v>
      </c>
      <c r="AH46" s="114" t="s">
        <v>84</v>
      </c>
      <c r="AI46" s="114" t="s">
        <v>84</v>
      </c>
      <c r="AJ46" s="114" t="s">
        <v>914</v>
      </c>
      <c r="AK46" s="114" t="s">
        <v>77</v>
      </c>
      <c r="AL46" s="271">
        <v>2000</v>
      </c>
      <c r="AM46" s="272"/>
      <c r="AN46" s="272">
        <f t="shared" si="15"/>
        <v>2000</v>
      </c>
      <c r="AO46" s="224">
        <f>SUMIF(Reforma!$A$2:$A$8523,$A46,Reforma!$AB$2:$AB$8523)</f>
        <v>941.33</v>
      </c>
      <c r="AP46" s="224">
        <f>SUMIF(Reforma!$A$2:$A$8523,$A46,Reforma!$AC$2:$AC$8523)</f>
        <v>0</v>
      </c>
      <c r="AQ46" s="224">
        <f>SUMIF(Reforma!$A$2:$A$8523,$A46,Reforma!$AD$2:$AD$8523)</f>
        <v>0</v>
      </c>
      <c r="AR46" s="224">
        <f>SUMIF(Reforma!$A$2:$A$8523,$A46,Reforma!$AE$2:$AE$8523)</f>
        <v>0</v>
      </c>
      <c r="AS46" s="224">
        <f t="shared" si="24"/>
        <v>2941.33</v>
      </c>
      <c r="AT46" s="224">
        <f t="shared" si="25"/>
        <v>0</v>
      </c>
      <c r="AU46" s="224">
        <f t="shared" si="26"/>
        <v>2941.33</v>
      </c>
      <c r="AV46" s="326"/>
      <c r="AW46" s="326">
        <v>1186.46</v>
      </c>
      <c r="AX46" s="326"/>
      <c r="AY46" s="326"/>
      <c r="AZ46" s="326">
        <v>1754.87</v>
      </c>
      <c r="BA46" s="326"/>
      <c r="BB46" s="326"/>
      <c r="BC46" s="326"/>
      <c r="BD46" s="326"/>
      <c r="BE46" s="326"/>
      <c r="BF46" s="326"/>
      <c r="BG46" s="326"/>
      <c r="BH46" s="408">
        <f t="shared" si="16"/>
        <v>2000</v>
      </c>
      <c r="BI46" s="408">
        <f t="shared" si="29"/>
        <v>2941.33</v>
      </c>
      <c r="BJ46" s="408">
        <f t="shared" si="27"/>
        <v>0</v>
      </c>
      <c r="BK46" s="224"/>
      <c r="BL46" s="224"/>
      <c r="BM46" s="224"/>
      <c r="BN46" s="224">
        <f>IFERROR(VLOOKUP($A46,'Constancias POA'!$A$2:$DH$9993,18,FALSE),"")</f>
        <v>2941.33</v>
      </c>
      <c r="BO46" s="224">
        <f t="shared" si="17"/>
        <v>0</v>
      </c>
      <c r="BP46" s="224">
        <f>IFERROR(VLOOKUP($A46,CP!$A$1:$U$7992,18,FALSE),"")</f>
        <v>1754.87</v>
      </c>
      <c r="BQ46" s="224">
        <f>IFERROR(VLOOKUP($A46,CP!$A$1:$U$7992,19,FALSE),"")</f>
        <v>2941.33</v>
      </c>
      <c r="BR46" s="224">
        <f>IFERROR(VLOOKUP($A46,CP!$A$1:$U$7992,20,FALSE),"")</f>
        <v>0</v>
      </c>
      <c r="BS46" s="224" t="str">
        <f>IFERROR(VLOOKUP($A46,CP!$A$1:$U$1,21,FALSE),"")</f>
        <v/>
      </c>
      <c r="BT46" s="224">
        <f>IFERROR(VLOOKUP(A46,Devengado!$A$1:AJ$9310,35,FALSE),"")</f>
        <v>1186.46</v>
      </c>
      <c r="BU46" s="224">
        <f t="shared" si="18"/>
        <v>1754.87</v>
      </c>
      <c r="BV46" s="224">
        <f t="shared" si="19"/>
        <v>0.40337534380705331</v>
      </c>
      <c r="BW46" s="224">
        <f t="shared" si="28"/>
        <v>2941.33</v>
      </c>
      <c r="BX46" s="429">
        <v>0</v>
      </c>
      <c r="BY46" s="429">
        <v>2000</v>
      </c>
      <c r="BZ46" s="429">
        <v>0</v>
      </c>
      <c r="CA46" s="429">
        <v>0</v>
      </c>
      <c r="CB46" s="429">
        <v>0</v>
      </c>
      <c r="CC46" s="429">
        <v>0</v>
      </c>
      <c r="CD46" s="429">
        <v>0</v>
      </c>
      <c r="CE46" s="429">
        <v>0</v>
      </c>
      <c r="CF46" s="429">
        <v>0</v>
      </c>
      <c r="CG46" s="429">
        <v>0</v>
      </c>
      <c r="CH46" s="429">
        <v>0</v>
      </c>
      <c r="CI46" s="429">
        <v>0</v>
      </c>
      <c r="CJ46" s="224">
        <f>IFERROR(VLOOKUP($A46,Devengado!$A$1:$AI$9038,22,FALSE),"")</f>
        <v>0</v>
      </c>
      <c r="CK46" s="224">
        <f>IFERROR(VLOOKUP($A46,Devengado!$A$1:$AI$9038,23,FALSE),"")</f>
        <v>1186.46</v>
      </c>
      <c r="CL46" s="224">
        <f>IFERROR(VLOOKUP($A46,Devengado!$A$1:$AI$9038,24,FALSE),"")</f>
        <v>0</v>
      </c>
      <c r="CM46" s="224">
        <f>IFERROR(VLOOKUP($A46,Devengado!$A$1:$AI$9038,25,FALSE),"")</f>
        <v>0</v>
      </c>
      <c r="CN46" s="224">
        <f>IFERROR(VLOOKUP($A46,Devengado!$A$1:$AI$9038,26,FALSE),"")</f>
        <v>0</v>
      </c>
      <c r="CO46" s="224">
        <f>IFERROR(VLOOKUP($A46,Devengado!$A$1:$AI$9038,27,FALSE),"")</f>
        <v>0</v>
      </c>
      <c r="CP46" s="224">
        <f>IFERROR(VLOOKUP($A46,Devengado!$A$1:$AI$9038,28,FALSE),"")</f>
        <v>0</v>
      </c>
      <c r="CQ46" s="224">
        <f>IFERROR(VLOOKUP($A46,Devengado!$A$1:$AI$9038,29,FALSE),"")</f>
        <v>0</v>
      </c>
      <c r="CR46" s="224">
        <f>IFERROR(VLOOKUP($A46,Devengado!$A$1:$AI$9038,30,FALSE),"")</f>
        <v>0</v>
      </c>
      <c r="CS46" s="224">
        <f>IFERROR(VLOOKUP($A46,Devengado!$A$1:$AI$9038,31,FALSE),"")</f>
        <v>0</v>
      </c>
      <c r="CT46" s="224">
        <f>IFERROR(VLOOKUP($A46,Devengado!$A$1:$AI$9038,32,FALSE),"")</f>
        <v>0</v>
      </c>
      <c r="CU46" s="224">
        <f>IFERROR(VLOOKUP($A46,Devengado!$A$1:$AI$9038,33,FALSE),"")</f>
        <v>0</v>
      </c>
      <c r="CV46" s="224">
        <f t="shared" si="20"/>
        <v>1186.46</v>
      </c>
      <c r="CW46" s="224">
        <f t="shared" si="21"/>
        <v>0</v>
      </c>
      <c r="CX46" s="207"/>
      <c r="CY46" s="207" t="str">
        <f t="shared" si="22"/>
        <v>53</v>
      </c>
      <c r="CZ46" s="112" t="s">
        <v>916</v>
      </c>
    </row>
    <row r="47" spans="1:104" s="225" customFormat="1" ht="25.5" customHeight="1">
      <c r="A47" s="207">
        <v>457</v>
      </c>
      <c r="B47" s="207"/>
      <c r="C47" s="207"/>
      <c r="D47" s="207"/>
      <c r="E47" s="207"/>
      <c r="F47" s="207"/>
      <c r="G47" s="207"/>
      <c r="H47" s="207"/>
      <c r="I47" s="207"/>
      <c r="J47" s="207"/>
      <c r="K47" s="112" t="s">
        <v>429</v>
      </c>
      <c r="L47" s="112" t="s">
        <v>850</v>
      </c>
      <c r="M47" s="112" t="s">
        <v>917</v>
      </c>
      <c r="N47" s="112" t="s">
        <v>77</v>
      </c>
      <c r="O47" s="112" t="s">
        <v>77</v>
      </c>
      <c r="P47" s="112" t="s">
        <v>76</v>
      </c>
      <c r="Q47" s="112" t="s">
        <v>77</v>
      </c>
      <c r="R47" s="112" t="s">
        <v>77</v>
      </c>
      <c r="S47" s="112" t="s">
        <v>77</v>
      </c>
      <c r="T47" s="112" t="s">
        <v>77</v>
      </c>
      <c r="U47" s="112" t="s">
        <v>77</v>
      </c>
      <c r="V47" s="112" t="s">
        <v>77</v>
      </c>
      <c r="W47" s="112" t="s">
        <v>85</v>
      </c>
      <c r="X47" s="124" t="s">
        <v>464</v>
      </c>
      <c r="Y47" s="114" t="s">
        <v>430</v>
      </c>
      <c r="Z47" s="114" t="s">
        <v>111</v>
      </c>
      <c r="AA47" s="114" t="s">
        <v>81</v>
      </c>
      <c r="AB47" s="114" t="s">
        <v>112</v>
      </c>
      <c r="AC47" s="115" t="str">
        <f t="shared" si="23"/>
        <v>53</v>
      </c>
      <c r="AD47" s="124">
        <v>530104</v>
      </c>
      <c r="AE47" s="122" t="str">
        <f>VLOOKUP(AD47,ITEM!$C$1:$D$694,2,FALSE)</f>
        <v>Energía Eléctrica</v>
      </c>
      <c r="AF47" s="112">
        <v>1308</v>
      </c>
      <c r="AG47" s="114" t="s">
        <v>82</v>
      </c>
      <c r="AH47" s="114" t="s">
        <v>84</v>
      </c>
      <c r="AI47" s="114" t="s">
        <v>84</v>
      </c>
      <c r="AJ47" s="114" t="s">
        <v>914</v>
      </c>
      <c r="AK47" s="114" t="s">
        <v>77</v>
      </c>
      <c r="AL47" s="271">
        <v>40000</v>
      </c>
      <c r="AM47" s="272"/>
      <c r="AN47" s="272">
        <f t="shared" si="15"/>
        <v>40000</v>
      </c>
      <c r="AO47" s="224">
        <f>SUMIF(Reforma!$A$2:$A$8523,$A47,Reforma!$AB$2:$AB$8523)</f>
        <v>0</v>
      </c>
      <c r="AP47" s="224">
        <f>SUMIF(Reforma!$A$2:$A$8523,$A47,Reforma!$AC$2:$AC$8523)</f>
        <v>-40000</v>
      </c>
      <c r="AQ47" s="224">
        <f>SUMIF(Reforma!$A$2:$A$8523,$A47,Reforma!$AD$2:$AD$8523)</f>
        <v>0</v>
      </c>
      <c r="AR47" s="224">
        <f>SUMIF(Reforma!$A$2:$A$8523,$A47,Reforma!$AE$2:$AE$8523)</f>
        <v>0</v>
      </c>
      <c r="AS47" s="224">
        <f t="shared" si="24"/>
        <v>0</v>
      </c>
      <c r="AT47" s="224">
        <f t="shared" si="25"/>
        <v>0</v>
      </c>
      <c r="AU47" s="224">
        <f t="shared" si="26"/>
        <v>0</v>
      </c>
      <c r="AV47" s="409"/>
      <c r="AW47" s="409"/>
      <c r="AX47" s="409"/>
      <c r="AY47" s="409"/>
      <c r="AZ47" s="409"/>
      <c r="BA47" s="409"/>
      <c r="BB47" s="409"/>
      <c r="BC47" s="409"/>
      <c r="BD47" s="409"/>
      <c r="BE47" s="409"/>
      <c r="BF47" s="409"/>
      <c r="BG47" s="409"/>
      <c r="BH47" s="408">
        <f t="shared" si="16"/>
        <v>40000</v>
      </c>
      <c r="BI47" s="408">
        <f t="shared" si="29"/>
        <v>0</v>
      </c>
      <c r="BJ47" s="408">
        <f t="shared" si="27"/>
        <v>0</v>
      </c>
      <c r="BK47" s="224"/>
      <c r="BL47" s="224"/>
      <c r="BM47" s="224"/>
      <c r="BN47" s="224" t="str">
        <f>IFERROR(VLOOKUP($A47,'Constancias POA'!$A$2:$DH$9993,18,FALSE),"")</f>
        <v/>
      </c>
      <c r="BO47" s="224" t="str">
        <f t="shared" si="17"/>
        <v/>
      </c>
      <c r="BP47" s="224" t="str">
        <f>IFERROR(VLOOKUP($A47,CP!$A$1:$U$7992,18,FALSE),"")</f>
        <v/>
      </c>
      <c r="BQ47" s="224" t="str">
        <f>IFERROR(VLOOKUP($A47,CP!$A$1:$U$7992,19,FALSE),"")</f>
        <v/>
      </c>
      <c r="BR47" s="224" t="str">
        <f>IFERROR(VLOOKUP($A47,CP!$A$1:$U$7992,20,FALSE),"")</f>
        <v/>
      </c>
      <c r="BS47" s="224" t="str">
        <f>IFERROR(VLOOKUP($A47,CP!$A$1:$U$1,21,FALSE),"")</f>
        <v/>
      </c>
      <c r="BT47" s="224" t="str">
        <f>IFERROR(VLOOKUP(A47,Devengado!$A$1:AJ$9310,35,FALSE),"")</f>
        <v/>
      </c>
      <c r="BU47" s="224" t="str">
        <f t="shared" si="18"/>
        <v/>
      </c>
      <c r="BV47" s="224" t="str">
        <f t="shared" si="19"/>
        <v/>
      </c>
      <c r="BW47" s="224">
        <f t="shared" si="28"/>
        <v>0</v>
      </c>
      <c r="BX47" s="429">
        <v>0</v>
      </c>
      <c r="BY47" s="429">
        <v>1000</v>
      </c>
      <c r="BZ47" s="429">
        <v>1000</v>
      </c>
      <c r="CA47" s="429">
        <v>1000</v>
      </c>
      <c r="CB47" s="429">
        <v>1000</v>
      </c>
      <c r="CC47" s="429">
        <v>1000</v>
      </c>
      <c r="CD47" s="429">
        <v>1000</v>
      </c>
      <c r="CE47" s="429">
        <v>1000</v>
      </c>
      <c r="CF47" s="429">
        <v>1000</v>
      </c>
      <c r="CG47" s="429">
        <v>2000</v>
      </c>
      <c r="CH47" s="429">
        <v>2000</v>
      </c>
      <c r="CI47" s="429">
        <v>28000</v>
      </c>
      <c r="CJ47" s="224" t="str">
        <f>IFERROR(VLOOKUP($A47,Devengado!$A$1:$AI$9038,22,FALSE),"")</f>
        <v/>
      </c>
      <c r="CK47" s="224" t="str">
        <f>IFERROR(VLOOKUP($A47,Devengado!$A$1:$AI$9038,23,FALSE),"")</f>
        <v/>
      </c>
      <c r="CL47" s="224" t="str">
        <f>IFERROR(VLOOKUP($A47,Devengado!$A$1:$AI$9038,24,FALSE),"")</f>
        <v/>
      </c>
      <c r="CM47" s="224" t="str">
        <f>IFERROR(VLOOKUP($A47,Devengado!$A$1:$AI$9038,25,FALSE),"")</f>
        <v/>
      </c>
      <c r="CN47" s="224" t="str">
        <f>IFERROR(VLOOKUP($A47,Devengado!$A$1:$AI$9038,26,FALSE),"")</f>
        <v/>
      </c>
      <c r="CO47" s="224" t="str">
        <f>IFERROR(VLOOKUP($A47,Devengado!$A$1:$AI$9038,27,FALSE),"")</f>
        <v/>
      </c>
      <c r="CP47" s="224" t="str">
        <f>IFERROR(VLOOKUP($A47,Devengado!$A$1:$AI$9038,28,FALSE),"")</f>
        <v/>
      </c>
      <c r="CQ47" s="224" t="str">
        <f>IFERROR(VLOOKUP($A47,Devengado!$A$1:$AI$9038,29,FALSE),"")</f>
        <v/>
      </c>
      <c r="CR47" s="224" t="str">
        <f>IFERROR(VLOOKUP($A47,Devengado!$A$1:$AI$9038,30,FALSE),"")</f>
        <v/>
      </c>
      <c r="CS47" s="224" t="str">
        <f>IFERROR(VLOOKUP($A47,Devengado!$A$1:$AI$9038,31,FALSE),"")</f>
        <v/>
      </c>
      <c r="CT47" s="224" t="str">
        <f>IFERROR(VLOOKUP($A47,Devengado!$A$1:$AI$9038,32,FALSE),"")</f>
        <v/>
      </c>
      <c r="CU47" s="224" t="str">
        <f>IFERROR(VLOOKUP($A47,Devengado!$A$1:$AI$9038,33,FALSE),"")</f>
        <v/>
      </c>
      <c r="CV47" s="224">
        <f t="shared" si="20"/>
        <v>0</v>
      </c>
      <c r="CW47" s="224" t="str">
        <f t="shared" si="21"/>
        <v/>
      </c>
      <c r="CX47" s="207"/>
      <c r="CY47" s="207" t="str">
        <f t="shared" si="22"/>
        <v>53</v>
      </c>
      <c r="CZ47" s="112" t="s">
        <v>915</v>
      </c>
    </row>
    <row r="48" spans="1:104" s="225" customFormat="1" ht="25.5" customHeight="1">
      <c r="A48" s="207">
        <v>458</v>
      </c>
      <c r="B48" s="207"/>
      <c r="C48" s="207"/>
      <c r="D48" s="207"/>
      <c r="E48" s="207"/>
      <c r="F48" s="207"/>
      <c r="G48" s="207"/>
      <c r="H48" s="207"/>
      <c r="I48" s="207"/>
      <c r="J48" s="207"/>
      <c r="K48" s="112" t="s">
        <v>429</v>
      </c>
      <c r="L48" s="112" t="s">
        <v>850</v>
      </c>
      <c r="M48" s="112" t="s">
        <v>850</v>
      </c>
      <c r="N48" s="112" t="s">
        <v>77</v>
      </c>
      <c r="O48" s="112" t="s">
        <v>77</v>
      </c>
      <c r="P48" s="112" t="s">
        <v>76</v>
      </c>
      <c r="Q48" s="112" t="s">
        <v>77</v>
      </c>
      <c r="R48" s="112" t="s">
        <v>77</v>
      </c>
      <c r="S48" s="112" t="s">
        <v>77</v>
      </c>
      <c r="T48" s="112" t="s">
        <v>77</v>
      </c>
      <c r="U48" s="112" t="s">
        <v>77</v>
      </c>
      <c r="V48" s="112" t="s">
        <v>77</v>
      </c>
      <c r="W48" s="112" t="s">
        <v>85</v>
      </c>
      <c r="X48" s="124" t="s">
        <v>465</v>
      </c>
      <c r="Y48" s="114" t="s">
        <v>430</v>
      </c>
      <c r="Z48" s="114" t="s">
        <v>111</v>
      </c>
      <c r="AA48" s="114" t="s">
        <v>81</v>
      </c>
      <c r="AB48" s="114" t="s">
        <v>112</v>
      </c>
      <c r="AC48" s="115" t="str">
        <f t="shared" si="23"/>
        <v>57</v>
      </c>
      <c r="AD48" s="124">
        <v>570102</v>
      </c>
      <c r="AE48" s="122" t="str">
        <f>VLOOKUP(AD48,ITEM!$C$1:$D$694,2,FALSE)</f>
        <v>Tasas Generales, Impuestos, Contribuciones, Permisos, Licencias y Patentes.</v>
      </c>
      <c r="AF48" s="112">
        <v>1309</v>
      </c>
      <c r="AG48" s="114" t="s">
        <v>82</v>
      </c>
      <c r="AH48" s="114" t="s">
        <v>84</v>
      </c>
      <c r="AI48" s="114" t="s">
        <v>84</v>
      </c>
      <c r="AJ48" s="114" t="s">
        <v>914</v>
      </c>
      <c r="AK48" s="114" t="s">
        <v>77</v>
      </c>
      <c r="AL48" s="271">
        <v>150</v>
      </c>
      <c r="AM48" s="272"/>
      <c r="AN48" s="272">
        <f t="shared" si="15"/>
        <v>150</v>
      </c>
      <c r="AO48" s="224">
        <f>SUMIF(Reforma!$A$2:$A$8523,$A48,Reforma!$AB$2:$AB$8523)</f>
        <v>0</v>
      </c>
      <c r="AP48" s="224">
        <f>SUMIF(Reforma!$A$2:$A$8523,$A48,Reforma!$AC$2:$AC$8523)</f>
        <v>0</v>
      </c>
      <c r="AQ48" s="224">
        <f>SUMIF(Reforma!$A$2:$A$8523,$A48,Reforma!$AD$2:$AD$8523)</f>
        <v>0</v>
      </c>
      <c r="AR48" s="224">
        <f>SUMIF(Reforma!$A$2:$A$8523,$A48,Reforma!$AE$2:$AE$8523)</f>
        <v>0</v>
      </c>
      <c r="AS48" s="224">
        <f t="shared" si="24"/>
        <v>150</v>
      </c>
      <c r="AT48" s="224">
        <f t="shared" si="25"/>
        <v>0</v>
      </c>
      <c r="AU48" s="224">
        <f t="shared" si="26"/>
        <v>150</v>
      </c>
      <c r="AV48" s="326">
        <v>0</v>
      </c>
      <c r="AW48" s="326">
        <v>0</v>
      </c>
      <c r="AX48" s="326">
        <v>0</v>
      </c>
      <c r="AY48" s="326"/>
      <c r="AZ48" s="326">
        <v>0</v>
      </c>
      <c r="BA48" s="326">
        <v>0</v>
      </c>
      <c r="BB48" s="326">
        <v>25</v>
      </c>
      <c r="BC48" s="326">
        <v>25</v>
      </c>
      <c r="BD48" s="326">
        <v>25</v>
      </c>
      <c r="BE48" s="326">
        <v>25</v>
      </c>
      <c r="BF48" s="326">
        <v>25</v>
      </c>
      <c r="BG48" s="326">
        <v>25</v>
      </c>
      <c r="BH48" s="408">
        <f t="shared" si="16"/>
        <v>150</v>
      </c>
      <c r="BI48" s="408">
        <f t="shared" si="29"/>
        <v>150</v>
      </c>
      <c r="BJ48" s="408">
        <f t="shared" si="27"/>
        <v>0</v>
      </c>
      <c r="BK48" s="224"/>
      <c r="BL48" s="224"/>
      <c r="BM48" s="224"/>
      <c r="BN48" s="224">
        <f>IFERROR(VLOOKUP($A48,'Constancias POA'!$A$2:$DH$9993,18,FALSE),"")</f>
        <v>150</v>
      </c>
      <c r="BO48" s="224">
        <f t="shared" si="17"/>
        <v>0</v>
      </c>
      <c r="BP48" s="224">
        <f>IFERROR(VLOOKUP($A48,CP!$A$1:$U$7992,18,FALSE),"")</f>
        <v>150</v>
      </c>
      <c r="BQ48" s="224">
        <f>IFERROR(VLOOKUP($A48,CP!$A$1:$U$7992,19,FALSE),"")</f>
        <v>27</v>
      </c>
      <c r="BR48" s="224">
        <f>IFERROR(VLOOKUP($A48,CP!$A$1:$U$7992,20,FALSE),"")</f>
        <v>123</v>
      </c>
      <c r="BS48" s="224" t="str">
        <f>IFERROR(VLOOKUP($A48,CP!$A$1:$U$1,21,FALSE),"")</f>
        <v/>
      </c>
      <c r="BT48" s="224">
        <f>IFERROR(VLOOKUP(A48,Devengado!$A$1:AJ$9310,35,FALSE),"")</f>
        <v>27</v>
      </c>
      <c r="BU48" s="224">
        <f t="shared" si="18"/>
        <v>123</v>
      </c>
      <c r="BV48" s="224">
        <f t="shared" si="19"/>
        <v>0.18</v>
      </c>
      <c r="BW48" s="224">
        <f t="shared" si="28"/>
        <v>150</v>
      </c>
      <c r="BX48" s="429">
        <v>0</v>
      </c>
      <c r="BY48" s="429">
        <v>0</v>
      </c>
      <c r="BZ48" s="429">
        <v>0</v>
      </c>
      <c r="CA48" s="429">
        <v>50</v>
      </c>
      <c r="CB48" s="429">
        <v>0</v>
      </c>
      <c r="CC48" s="429">
        <v>0</v>
      </c>
      <c r="CD48" s="429">
        <v>50</v>
      </c>
      <c r="CE48" s="429">
        <v>0</v>
      </c>
      <c r="CF48" s="429">
        <v>50</v>
      </c>
      <c r="CG48" s="429">
        <v>0</v>
      </c>
      <c r="CH48" s="429">
        <v>0</v>
      </c>
      <c r="CI48" s="429">
        <v>0</v>
      </c>
      <c r="CJ48" s="224">
        <f>IFERROR(VLOOKUP($A48,Devengado!$A$1:$AI$9038,22,FALSE),"")</f>
        <v>0</v>
      </c>
      <c r="CK48" s="224">
        <f>IFERROR(VLOOKUP($A48,Devengado!$A$1:$AI$9038,23,FALSE),"")</f>
        <v>0</v>
      </c>
      <c r="CL48" s="224">
        <f>IFERROR(VLOOKUP($A48,Devengado!$A$1:$AI$9038,24,FALSE),"")</f>
        <v>0</v>
      </c>
      <c r="CM48" s="224">
        <f>IFERROR(VLOOKUP($A48,Devengado!$A$1:$AI$9038,25,FALSE),"")</f>
        <v>0</v>
      </c>
      <c r="CN48" s="224">
        <f>IFERROR(VLOOKUP($A48,Devengado!$A$1:$AI$9038,26,FALSE),"")</f>
        <v>0</v>
      </c>
      <c r="CO48" s="224">
        <f>IFERROR(VLOOKUP($A48,Devengado!$A$1:$AI$9038,27,FALSE),"")</f>
        <v>0</v>
      </c>
      <c r="CP48" s="224">
        <f>IFERROR(VLOOKUP($A48,Devengado!$A$1:$AI$9038,28,FALSE),"")</f>
        <v>0</v>
      </c>
      <c r="CQ48" s="224">
        <f>IFERROR(VLOOKUP($A48,Devengado!$A$1:$AI$9038,29,FALSE),"")</f>
        <v>0</v>
      </c>
      <c r="CR48" s="224">
        <f>IFERROR(VLOOKUP($A48,Devengado!$A$1:$AI$9038,30,FALSE),"")</f>
        <v>16</v>
      </c>
      <c r="CS48" s="224">
        <f>IFERROR(VLOOKUP($A48,Devengado!$A$1:$AI$9038,31,FALSE),"")</f>
        <v>0</v>
      </c>
      <c r="CT48" s="224">
        <f>IFERROR(VLOOKUP($A48,Devengado!$A$1:$AI$9038,32,FALSE),"")</f>
        <v>11</v>
      </c>
      <c r="CU48" s="224">
        <f>IFERROR(VLOOKUP($A48,Devengado!$A$1:$AI$9038,33,FALSE),"")</f>
        <v>0</v>
      </c>
      <c r="CV48" s="224">
        <f t="shared" si="20"/>
        <v>27</v>
      </c>
      <c r="CW48" s="224">
        <f t="shared" si="21"/>
        <v>0</v>
      </c>
      <c r="CX48" s="207"/>
      <c r="CY48" s="207" t="str">
        <f t="shared" si="22"/>
        <v>57</v>
      </c>
      <c r="CZ48" s="112" t="s">
        <v>916</v>
      </c>
    </row>
    <row r="49" spans="1:104" s="225" customFormat="1" ht="25.5" customHeight="1">
      <c r="A49" s="207">
        <v>459</v>
      </c>
      <c r="B49" s="207"/>
      <c r="C49" s="207"/>
      <c r="D49" s="207"/>
      <c r="E49" s="207"/>
      <c r="F49" s="207"/>
      <c r="G49" s="207"/>
      <c r="H49" s="207"/>
      <c r="I49" s="207"/>
      <c r="J49" s="207"/>
      <c r="K49" s="112" t="s">
        <v>429</v>
      </c>
      <c r="L49" s="112" t="s">
        <v>850</v>
      </c>
      <c r="M49" s="112" t="s">
        <v>850</v>
      </c>
      <c r="N49" s="112" t="s">
        <v>77</v>
      </c>
      <c r="O49" s="112" t="s">
        <v>77</v>
      </c>
      <c r="P49" s="112" t="s">
        <v>76</v>
      </c>
      <c r="Q49" s="112" t="s">
        <v>77</v>
      </c>
      <c r="R49" s="112" t="s">
        <v>77</v>
      </c>
      <c r="S49" s="112" t="s">
        <v>77</v>
      </c>
      <c r="T49" s="112" t="s">
        <v>77</v>
      </c>
      <c r="U49" s="112" t="s">
        <v>77</v>
      </c>
      <c r="V49" s="112" t="s">
        <v>77</v>
      </c>
      <c r="W49" s="112" t="s">
        <v>85</v>
      </c>
      <c r="X49" s="124" t="s">
        <v>466</v>
      </c>
      <c r="Y49" s="114" t="s">
        <v>430</v>
      </c>
      <c r="Z49" s="114" t="s">
        <v>111</v>
      </c>
      <c r="AA49" s="114" t="s">
        <v>81</v>
      </c>
      <c r="AB49" s="114" t="s">
        <v>112</v>
      </c>
      <c r="AC49" s="115" t="str">
        <f t="shared" si="23"/>
        <v>53</v>
      </c>
      <c r="AD49" s="124">
        <v>530105</v>
      </c>
      <c r="AE49" s="122" t="str">
        <f>VLOOKUP(AD49,ITEM!$C$1:$D$694,2,FALSE)</f>
        <v>Telecomunicaciones</v>
      </c>
      <c r="AF49" s="112">
        <v>1309</v>
      </c>
      <c r="AG49" s="114" t="s">
        <v>82</v>
      </c>
      <c r="AH49" s="114" t="s">
        <v>84</v>
      </c>
      <c r="AI49" s="114" t="s">
        <v>84</v>
      </c>
      <c r="AJ49" s="114" t="s">
        <v>914</v>
      </c>
      <c r="AK49" s="114" t="s">
        <v>77</v>
      </c>
      <c r="AL49" s="271">
        <v>1200</v>
      </c>
      <c r="AM49" s="272"/>
      <c r="AN49" s="272">
        <f t="shared" si="15"/>
        <v>1200</v>
      </c>
      <c r="AO49" s="224">
        <f>SUMIF(Reforma!$A$2:$A$8523,$A49,Reforma!$AB$2:$AB$8523)</f>
        <v>0</v>
      </c>
      <c r="AP49" s="224">
        <f>SUMIF(Reforma!$A$2:$A$8523,$A49,Reforma!$AC$2:$AC$8523)</f>
        <v>-480</v>
      </c>
      <c r="AQ49" s="224">
        <f>SUMIF(Reforma!$A$2:$A$8523,$A49,Reforma!$AD$2:$AD$8523)</f>
        <v>0</v>
      </c>
      <c r="AR49" s="224">
        <f>SUMIF(Reforma!$A$2:$A$8523,$A49,Reforma!$AE$2:$AE$8523)</f>
        <v>0</v>
      </c>
      <c r="AS49" s="224">
        <f t="shared" si="24"/>
        <v>720</v>
      </c>
      <c r="AT49" s="224">
        <f t="shared" si="25"/>
        <v>0</v>
      </c>
      <c r="AU49" s="224">
        <f t="shared" si="26"/>
        <v>720</v>
      </c>
      <c r="AV49" s="326"/>
      <c r="AW49" s="326"/>
      <c r="AX49" s="326"/>
      <c r="AY49" s="326"/>
      <c r="AZ49" s="326"/>
      <c r="BA49" s="326"/>
      <c r="BB49" s="326">
        <v>720</v>
      </c>
      <c r="BC49" s="326"/>
      <c r="BD49" s="326"/>
      <c r="BE49" s="326"/>
      <c r="BF49" s="326"/>
      <c r="BG49" s="326"/>
      <c r="BH49" s="408">
        <f t="shared" si="16"/>
        <v>1200</v>
      </c>
      <c r="BI49" s="408">
        <f t="shared" si="29"/>
        <v>720</v>
      </c>
      <c r="BJ49" s="408">
        <f t="shared" si="27"/>
        <v>0</v>
      </c>
      <c r="BK49" s="224"/>
      <c r="BL49" s="224"/>
      <c r="BM49" s="224"/>
      <c r="BN49" s="224">
        <f>IFERROR(VLOOKUP($A49,'Constancias POA'!$A$2:$DH$9993,18,FALSE),"")</f>
        <v>1200</v>
      </c>
      <c r="BO49" s="224">
        <f t="shared" si="17"/>
        <v>-480</v>
      </c>
      <c r="BP49" s="224">
        <f>IFERROR(VLOOKUP($A49,CP!$A$1:$U$7992,18,FALSE),"")</f>
        <v>0</v>
      </c>
      <c r="BQ49" s="224">
        <f>IFERROR(VLOOKUP($A49,CP!$A$1:$U$7992,19,FALSE),"")</f>
        <v>720</v>
      </c>
      <c r="BR49" s="224">
        <f>IFERROR(VLOOKUP($A49,CP!$A$1:$U$7992,20,FALSE),"")</f>
        <v>0</v>
      </c>
      <c r="BS49" s="224" t="str">
        <f>IFERROR(VLOOKUP($A49,CP!$A$1:$U$1,21,FALSE),"")</f>
        <v/>
      </c>
      <c r="BT49" s="224">
        <f>IFERROR(VLOOKUP(A49,Devengado!$A$1:AJ$9310,35,FALSE),"")</f>
        <v>720</v>
      </c>
      <c r="BU49" s="224">
        <f t="shared" si="18"/>
        <v>0</v>
      </c>
      <c r="BV49" s="224">
        <f t="shared" si="19"/>
        <v>1</v>
      </c>
      <c r="BW49" s="224">
        <f t="shared" si="28"/>
        <v>720</v>
      </c>
      <c r="BX49" s="429">
        <v>0</v>
      </c>
      <c r="BY49" s="429"/>
      <c r="BZ49" s="429">
        <v>0</v>
      </c>
      <c r="CA49" s="429">
        <v>0</v>
      </c>
      <c r="CB49" s="429"/>
      <c r="CC49" s="429">
        <v>0</v>
      </c>
      <c r="CD49" s="429">
        <v>1200</v>
      </c>
      <c r="CE49" s="429">
        <v>0</v>
      </c>
      <c r="CF49" s="429">
        <v>0</v>
      </c>
      <c r="CG49" s="429">
        <v>0</v>
      </c>
      <c r="CH49" s="429">
        <v>0</v>
      </c>
      <c r="CI49" s="429">
        <v>0</v>
      </c>
      <c r="CJ49" s="224">
        <f>IFERROR(VLOOKUP($A49,Devengado!$A$1:$AI$9038,22,FALSE),"")</f>
        <v>0</v>
      </c>
      <c r="CK49" s="224">
        <f>IFERROR(VLOOKUP($A49,Devengado!$A$1:$AI$9038,23,FALSE),"")</f>
        <v>0</v>
      </c>
      <c r="CL49" s="224">
        <f>IFERROR(VLOOKUP($A49,Devengado!$A$1:$AI$9038,24,FALSE),"")</f>
        <v>0</v>
      </c>
      <c r="CM49" s="224">
        <f>IFERROR(VLOOKUP($A49,Devengado!$A$1:$AI$9038,25,FALSE),"")</f>
        <v>0</v>
      </c>
      <c r="CN49" s="224">
        <f>IFERROR(VLOOKUP($A49,Devengado!$A$1:$AI$9038,26,FALSE),"")</f>
        <v>0</v>
      </c>
      <c r="CO49" s="224">
        <f>IFERROR(VLOOKUP($A49,Devengado!$A$1:$AI$9038,27,FALSE),"")</f>
        <v>0</v>
      </c>
      <c r="CP49" s="224">
        <f>IFERROR(VLOOKUP($A49,Devengado!$A$1:$AI$9038,28,FALSE),"")</f>
        <v>720</v>
      </c>
      <c r="CQ49" s="224">
        <f>IFERROR(VLOOKUP($A49,Devengado!$A$1:$AI$9038,29,FALSE),"")</f>
        <v>0</v>
      </c>
      <c r="CR49" s="224">
        <f>IFERROR(VLOOKUP($A49,Devengado!$A$1:$AI$9038,30,FALSE),"")</f>
        <v>0</v>
      </c>
      <c r="CS49" s="224">
        <f>IFERROR(VLOOKUP($A49,Devengado!$A$1:$AI$9038,31,FALSE),"")</f>
        <v>0</v>
      </c>
      <c r="CT49" s="224">
        <f>IFERROR(VLOOKUP($A49,Devengado!$A$1:$AI$9038,32,FALSE),"")</f>
        <v>0</v>
      </c>
      <c r="CU49" s="224">
        <f>IFERROR(VLOOKUP($A49,Devengado!$A$1:$AI$9038,33,FALSE),"")</f>
        <v>0</v>
      </c>
      <c r="CV49" s="224">
        <f t="shared" si="20"/>
        <v>720</v>
      </c>
      <c r="CW49" s="224">
        <f t="shared" si="21"/>
        <v>0</v>
      </c>
      <c r="CX49" s="207"/>
      <c r="CY49" s="207" t="str">
        <f t="shared" si="22"/>
        <v>53</v>
      </c>
      <c r="CZ49" s="112" t="s">
        <v>916</v>
      </c>
    </row>
    <row r="50" spans="1:104" s="225" customFormat="1" ht="25.5" customHeight="1">
      <c r="A50" s="207">
        <v>460</v>
      </c>
      <c r="B50" s="207"/>
      <c r="C50" s="207"/>
      <c r="D50" s="207"/>
      <c r="E50" s="207"/>
      <c r="F50" s="207"/>
      <c r="G50" s="207"/>
      <c r="H50" s="207"/>
      <c r="I50" s="207"/>
      <c r="J50" s="207"/>
      <c r="K50" s="112" t="s">
        <v>429</v>
      </c>
      <c r="L50" s="112" t="s">
        <v>850</v>
      </c>
      <c r="M50" s="112" t="s">
        <v>850</v>
      </c>
      <c r="N50" s="112" t="s">
        <v>77</v>
      </c>
      <c r="O50" s="112" t="s">
        <v>77</v>
      </c>
      <c r="P50" s="112" t="s">
        <v>76</v>
      </c>
      <c r="Q50" s="112" t="s">
        <v>77</v>
      </c>
      <c r="R50" s="112" t="s">
        <v>77</v>
      </c>
      <c r="S50" s="112" t="s">
        <v>77</v>
      </c>
      <c r="T50" s="112" t="s">
        <v>77</v>
      </c>
      <c r="U50" s="112" t="s">
        <v>77</v>
      </c>
      <c r="V50" s="112" t="s">
        <v>77</v>
      </c>
      <c r="W50" s="112" t="s">
        <v>85</v>
      </c>
      <c r="X50" s="124" t="s">
        <v>467</v>
      </c>
      <c r="Y50" s="114" t="s">
        <v>430</v>
      </c>
      <c r="Z50" s="114" t="s">
        <v>111</v>
      </c>
      <c r="AA50" s="114" t="s">
        <v>81</v>
      </c>
      <c r="AB50" s="114" t="s">
        <v>112</v>
      </c>
      <c r="AC50" s="115" t="str">
        <f t="shared" si="23"/>
        <v>57</v>
      </c>
      <c r="AD50" s="124">
        <v>570102</v>
      </c>
      <c r="AE50" s="122" t="str">
        <f>VLOOKUP(AD50,ITEM!$C$1:$D$694,2,FALSE)</f>
        <v>Tasas Generales, Impuestos, Contribuciones, Permisos, Licencias y Patentes.</v>
      </c>
      <c r="AF50" s="112">
        <v>1309</v>
      </c>
      <c r="AG50" s="114" t="s">
        <v>82</v>
      </c>
      <c r="AH50" s="114" t="s">
        <v>84</v>
      </c>
      <c r="AI50" s="114" t="s">
        <v>84</v>
      </c>
      <c r="AJ50" s="114" t="s">
        <v>914</v>
      </c>
      <c r="AK50" s="114" t="s">
        <v>77</v>
      </c>
      <c r="AL50" s="271">
        <v>200</v>
      </c>
      <c r="AM50" s="272"/>
      <c r="AN50" s="272">
        <f t="shared" si="15"/>
        <v>200</v>
      </c>
      <c r="AO50" s="224">
        <f>SUMIF(Reforma!$A$2:$A$8523,$A50,Reforma!$AB$2:$AB$8523)</f>
        <v>0</v>
      </c>
      <c r="AP50" s="224">
        <f>SUMIF(Reforma!$A$2:$A$8523,$A50,Reforma!$AC$2:$AC$8523)</f>
        <v>0</v>
      </c>
      <c r="AQ50" s="224">
        <f>SUMIF(Reforma!$A$2:$A$8523,$A50,Reforma!$AD$2:$AD$8523)</f>
        <v>0</v>
      </c>
      <c r="AR50" s="224">
        <f>SUMIF(Reforma!$A$2:$A$8523,$A50,Reforma!$AE$2:$AE$8523)</f>
        <v>0</v>
      </c>
      <c r="AS50" s="224">
        <f t="shared" si="24"/>
        <v>200</v>
      </c>
      <c r="AT50" s="224">
        <f t="shared" si="25"/>
        <v>0</v>
      </c>
      <c r="AU50" s="224">
        <f t="shared" si="26"/>
        <v>200</v>
      </c>
      <c r="AV50" s="326"/>
      <c r="AW50" s="326"/>
      <c r="AX50" s="326"/>
      <c r="AY50" s="326"/>
      <c r="AZ50" s="326"/>
      <c r="BA50" s="326"/>
      <c r="BB50" s="326">
        <v>200</v>
      </c>
      <c r="BC50" s="326"/>
      <c r="BD50" s="326"/>
      <c r="BE50" s="326"/>
      <c r="BF50" s="326"/>
      <c r="BG50" s="326"/>
      <c r="BH50" s="408">
        <f t="shared" si="16"/>
        <v>200</v>
      </c>
      <c r="BI50" s="408">
        <f t="shared" si="29"/>
        <v>200</v>
      </c>
      <c r="BJ50" s="408">
        <f t="shared" si="27"/>
        <v>0</v>
      </c>
      <c r="BK50" s="224"/>
      <c r="BL50" s="224"/>
      <c r="BM50" s="224"/>
      <c r="BN50" s="224">
        <f>IFERROR(VLOOKUP($A50,'Constancias POA'!$A$2:$DH$9993,18,FALSE),"")</f>
        <v>200</v>
      </c>
      <c r="BO50" s="224">
        <f t="shared" si="17"/>
        <v>0</v>
      </c>
      <c r="BP50" s="224">
        <f>IFERROR(VLOOKUP($A50,CP!$A$1:$U$7992,18,FALSE),"")</f>
        <v>0</v>
      </c>
      <c r="BQ50" s="224">
        <f>IFERROR(VLOOKUP($A50,CP!$A$1:$U$7992,19,FALSE),"")</f>
        <v>0</v>
      </c>
      <c r="BR50" s="224">
        <f>IFERROR(VLOOKUP($A50,CP!$A$1:$U$7992,20,FALSE),"")</f>
        <v>0</v>
      </c>
      <c r="BS50" s="224" t="str">
        <f>IFERROR(VLOOKUP($A50,CP!$A$1:$U$1,21,FALSE),"")</f>
        <v/>
      </c>
      <c r="BT50" s="224" t="str">
        <f>IFERROR(VLOOKUP(A50,Devengado!$A$1:AJ$9310,35,FALSE),"")</f>
        <v/>
      </c>
      <c r="BU50" s="224" t="str">
        <f t="shared" si="18"/>
        <v/>
      </c>
      <c r="BV50" s="224" t="str">
        <f t="shared" si="19"/>
        <v/>
      </c>
      <c r="BW50" s="224">
        <f t="shared" si="28"/>
        <v>200</v>
      </c>
      <c r="BX50" s="429">
        <v>0</v>
      </c>
      <c r="BY50" s="429">
        <v>200</v>
      </c>
      <c r="BZ50" s="429">
        <v>0</v>
      </c>
      <c r="CA50" s="429">
        <v>0</v>
      </c>
      <c r="CB50" s="429">
        <v>0</v>
      </c>
      <c r="CC50" s="429">
        <v>0</v>
      </c>
      <c r="CD50" s="429">
        <v>0</v>
      </c>
      <c r="CE50" s="429">
        <v>0</v>
      </c>
      <c r="CF50" s="429">
        <v>0</v>
      </c>
      <c r="CG50" s="429">
        <v>0</v>
      </c>
      <c r="CH50" s="429">
        <v>0</v>
      </c>
      <c r="CI50" s="429">
        <v>0</v>
      </c>
      <c r="CJ50" s="224" t="str">
        <f>IFERROR(VLOOKUP($A50,Devengado!$A$1:$AI$9038,22,FALSE),"")</f>
        <v/>
      </c>
      <c r="CK50" s="224" t="str">
        <f>IFERROR(VLOOKUP($A50,Devengado!$A$1:$AI$9038,23,FALSE),"")</f>
        <v/>
      </c>
      <c r="CL50" s="224" t="str">
        <f>IFERROR(VLOOKUP($A50,Devengado!$A$1:$AI$9038,24,FALSE),"")</f>
        <v/>
      </c>
      <c r="CM50" s="224" t="str">
        <f>IFERROR(VLOOKUP($A50,Devengado!$A$1:$AI$9038,25,FALSE),"")</f>
        <v/>
      </c>
      <c r="CN50" s="224" t="str">
        <f>IFERROR(VLOOKUP($A50,Devengado!$A$1:$AI$9038,26,FALSE),"")</f>
        <v/>
      </c>
      <c r="CO50" s="224" t="str">
        <f>IFERROR(VLOOKUP($A50,Devengado!$A$1:$AI$9038,27,FALSE),"")</f>
        <v/>
      </c>
      <c r="CP50" s="224" t="str">
        <f>IFERROR(VLOOKUP($A50,Devengado!$A$1:$AI$9038,28,FALSE),"")</f>
        <v/>
      </c>
      <c r="CQ50" s="224" t="str">
        <f>IFERROR(VLOOKUP($A50,Devengado!$A$1:$AI$9038,29,FALSE),"")</f>
        <v/>
      </c>
      <c r="CR50" s="224" t="str">
        <f>IFERROR(VLOOKUP($A50,Devengado!$A$1:$AI$9038,30,FALSE),"")</f>
        <v/>
      </c>
      <c r="CS50" s="224" t="str">
        <f>IFERROR(VLOOKUP($A50,Devengado!$A$1:$AI$9038,31,FALSE),"")</f>
        <v/>
      </c>
      <c r="CT50" s="224" t="str">
        <f>IFERROR(VLOOKUP($A50,Devengado!$A$1:$AI$9038,32,FALSE),"")</f>
        <v/>
      </c>
      <c r="CU50" s="224" t="str">
        <f>IFERROR(VLOOKUP($A50,Devengado!$A$1:$AI$9038,33,FALSE),"")</f>
        <v/>
      </c>
      <c r="CV50" s="224">
        <f t="shared" si="20"/>
        <v>0</v>
      </c>
      <c r="CW50" s="224" t="str">
        <f t="shared" si="21"/>
        <v/>
      </c>
      <c r="CX50" s="207"/>
      <c r="CY50" s="207" t="str">
        <f t="shared" si="22"/>
        <v>57</v>
      </c>
      <c r="CZ50" s="112" t="s">
        <v>916</v>
      </c>
    </row>
    <row r="51" spans="1:104" s="225" customFormat="1" ht="25.5" customHeight="1">
      <c r="A51" s="207">
        <v>461</v>
      </c>
      <c r="B51" s="207"/>
      <c r="C51" s="207"/>
      <c r="D51" s="207"/>
      <c r="E51" s="207"/>
      <c r="F51" s="207"/>
      <c r="G51" s="207"/>
      <c r="H51" s="207"/>
      <c r="I51" s="207"/>
      <c r="J51" s="207"/>
      <c r="K51" s="112" t="s">
        <v>429</v>
      </c>
      <c r="L51" s="112" t="s">
        <v>850</v>
      </c>
      <c r="M51" s="112" t="s">
        <v>850</v>
      </c>
      <c r="N51" s="112" t="s">
        <v>77</v>
      </c>
      <c r="O51" s="112" t="s">
        <v>77</v>
      </c>
      <c r="P51" s="112" t="s">
        <v>76</v>
      </c>
      <c r="Q51" s="112" t="s">
        <v>77</v>
      </c>
      <c r="R51" s="112" t="s">
        <v>77</v>
      </c>
      <c r="S51" s="112" t="s">
        <v>77</v>
      </c>
      <c r="T51" s="112" t="s">
        <v>77</v>
      </c>
      <c r="U51" s="112" t="s">
        <v>77</v>
      </c>
      <c r="V51" s="112" t="s">
        <v>77</v>
      </c>
      <c r="W51" s="112" t="s">
        <v>85</v>
      </c>
      <c r="X51" s="124" t="s">
        <v>468</v>
      </c>
      <c r="Y51" s="114" t="s">
        <v>430</v>
      </c>
      <c r="Z51" s="114" t="s">
        <v>111</v>
      </c>
      <c r="AA51" s="114" t="s">
        <v>81</v>
      </c>
      <c r="AB51" s="114" t="s">
        <v>112</v>
      </c>
      <c r="AC51" s="115" t="str">
        <f t="shared" si="23"/>
        <v>57</v>
      </c>
      <c r="AD51" s="124">
        <v>570102</v>
      </c>
      <c r="AE51" s="122" t="str">
        <f>VLOOKUP(AD51,ITEM!$C$1:$D$694,2,FALSE)</f>
        <v>Tasas Generales, Impuestos, Contribuciones, Permisos, Licencias y Patentes.</v>
      </c>
      <c r="AF51" s="112">
        <v>1309</v>
      </c>
      <c r="AG51" s="114" t="s">
        <v>82</v>
      </c>
      <c r="AH51" s="114" t="s">
        <v>84</v>
      </c>
      <c r="AI51" s="114" t="s">
        <v>84</v>
      </c>
      <c r="AJ51" s="114" t="s">
        <v>914</v>
      </c>
      <c r="AK51" s="114" t="s">
        <v>77</v>
      </c>
      <c r="AL51" s="271">
        <v>250</v>
      </c>
      <c r="AM51" s="272"/>
      <c r="AN51" s="272">
        <f t="shared" si="15"/>
        <v>250</v>
      </c>
      <c r="AO51" s="224">
        <f>SUMIF(Reforma!$A$2:$A$8523,$A51,Reforma!$AB$2:$AB$8523)</f>
        <v>0</v>
      </c>
      <c r="AP51" s="224">
        <f>SUMIF(Reforma!$A$2:$A$8523,$A51,Reforma!$AC$2:$AC$8523)</f>
        <v>-184.84</v>
      </c>
      <c r="AQ51" s="224">
        <f>SUMIF(Reforma!$A$2:$A$8523,$A51,Reforma!$AD$2:$AD$8523)</f>
        <v>0</v>
      </c>
      <c r="AR51" s="224">
        <f>SUMIF(Reforma!$A$2:$A$8523,$A51,Reforma!$AE$2:$AE$8523)</f>
        <v>0</v>
      </c>
      <c r="AS51" s="224">
        <f t="shared" si="24"/>
        <v>65.16</v>
      </c>
      <c r="AT51" s="224">
        <f t="shared" si="25"/>
        <v>0</v>
      </c>
      <c r="AU51" s="224">
        <f t="shared" si="26"/>
        <v>65.16</v>
      </c>
      <c r="AV51" s="326"/>
      <c r="AW51" s="326">
        <v>65.16</v>
      </c>
      <c r="AX51" s="326"/>
      <c r="AY51" s="326"/>
      <c r="AZ51" s="326"/>
      <c r="BA51" s="326"/>
      <c r="BB51" s="326"/>
      <c r="BC51" s="326"/>
      <c r="BD51" s="326"/>
      <c r="BE51" s="326"/>
      <c r="BF51" s="326"/>
      <c r="BG51" s="326"/>
      <c r="BH51" s="408">
        <f t="shared" si="16"/>
        <v>250</v>
      </c>
      <c r="BI51" s="408">
        <f t="shared" si="29"/>
        <v>65.16</v>
      </c>
      <c r="BJ51" s="408">
        <f t="shared" si="27"/>
        <v>0</v>
      </c>
      <c r="BK51" s="224"/>
      <c r="BL51" s="224"/>
      <c r="BM51" s="224"/>
      <c r="BN51" s="224">
        <f>IFERROR(VLOOKUP($A51,'Constancias POA'!$A$2:$DH$9993,18,FALSE),"")</f>
        <v>65.16</v>
      </c>
      <c r="BO51" s="224">
        <f t="shared" si="17"/>
        <v>0</v>
      </c>
      <c r="BP51" s="224">
        <f>IFERROR(VLOOKUP($A51,CP!$A$1:$U$7992,18,FALSE),"")</f>
        <v>0</v>
      </c>
      <c r="BQ51" s="224">
        <f>IFERROR(VLOOKUP($A51,CP!$A$1:$U$7992,19,FALSE),"")</f>
        <v>65.16</v>
      </c>
      <c r="BR51" s="224">
        <f>IFERROR(VLOOKUP($A51,CP!$A$1:$U$7992,20,FALSE),"")</f>
        <v>0</v>
      </c>
      <c r="BS51" s="224" t="str">
        <f>IFERROR(VLOOKUP($A51,CP!$A$1:$U$1,21,FALSE),"")</f>
        <v/>
      </c>
      <c r="BT51" s="224">
        <f>IFERROR(VLOOKUP(A51,Devengado!$A$1:AJ$9310,35,FALSE),"")</f>
        <v>65.16</v>
      </c>
      <c r="BU51" s="224">
        <f t="shared" si="18"/>
        <v>0</v>
      </c>
      <c r="BV51" s="224">
        <f t="shared" si="19"/>
        <v>1</v>
      </c>
      <c r="BW51" s="224">
        <f t="shared" si="28"/>
        <v>65.16</v>
      </c>
      <c r="BX51" s="429">
        <v>0</v>
      </c>
      <c r="BY51" s="429">
        <v>250</v>
      </c>
      <c r="BZ51" s="429">
        <v>0</v>
      </c>
      <c r="CA51" s="429">
        <v>0</v>
      </c>
      <c r="CB51" s="429">
        <v>0</v>
      </c>
      <c r="CC51" s="429">
        <v>0</v>
      </c>
      <c r="CD51" s="429">
        <v>0</v>
      </c>
      <c r="CE51" s="429">
        <v>0</v>
      </c>
      <c r="CF51" s="429">
        <v>0</v>
      </c>
      <c r="CG51" s="429">
        <v>0</v>
      </c>
      <c r="CH51" s="429">
        <v>0</v>
      </c>
      <c r="CI51" s="429">
        <v>0</v>
      </c>
      <c r="CJ51" s="224">
        <f>IFERROR(VLOOKUP($A51,Devengado!$A$1:$AI$9038,22,FALSE),"")</f>
        <v>0</v>
      </c>
      <c r="CK51" s="224">
        <f>IFERROR(VLOOKUP($A51,Devengado!$A$1:$AI$9038,23,FALSE),"")</f>
        <v>65.16</v>
      </c>
      <c r="CL51" s="224">
        <f>IFERROR(VLOOKUP($A51,Devengado!$A$1:$AI$9038,24,FALSE),"")</f>
        <v>0</v>
      </c>
      <c r="CM51" s="224">
        <f>IFERROR(VLOOKUP($A51,Devengado!$A$1:$AI$9038,25,FALSE),"")</f>
        <v>0</v>
      </c>
      <c r="CN51" s="224">
        <f>IFERROR(VLOOKUP($A51,Devengado!$A$1:$AI$9038,26,FALSE),"")</f>
        <v>0</v>
      </c>
      <c r="CO51" s="224">
        <f>IFERROR(VLOOKUP($A51,Devengado!$A$1:$AI$9038,27,FALSE),"")</f>
        <v>0</v>
      </c>
      <c r="CP51" s="224">
        <f>IFERROR(VLOOKUP($A51,Devengado!$A$1:$AI$9038,28,FALSE),"")</f>
        <v>0</v>
      </c>
      <c r="CQ51" s="224">
        <f>IFERROR(VLOOKUP($A51,Devengado!$A$1:$AI$9038,29,FALSE),"")</f>
        <v>0</v>
      </c>
      <c r="CR51" s="224">
        <f>IFERROR(VLOOKUP($A51,Devengado!$A$1:$AI$9038,30,FALSE),"")</f>
        <v>0</v>
      </c>
      <c r="CS51" s="224">
        <f>IFERROR(VLOOKUP($A51,Devengado!$A$1:$AI$9038,31,FALSE),"")</f>
        <v>0</v>
      </c>
      <c r="CT51" s="224">
        <f>IFERROR(VLOOKUP($A51,Devengado!$A$1:$AI$9038,32,FALSE),"")</f>
        <v>0</v>
      </c>
      <c r="CU51" s="224">
        <f>IFERROR(VLOOKUP($A51,Devengado!$A$1:$AI$9038,33,FALSE),"")</f>
        <v>0</v>
      </c>
      <c r="CV51" s="224">
        <f t="shared" si="20"/>
        <v>65.16</v>
      </c>
      <c r="CW51" s="224">
        <f t="shared" si="21"/>
        <v>0</v>
      </c>
      <c r="CX51" s="207"/>
      <c r="CY51" s="207" t="str">
        <f t="shared" si="22"/>
        <v>57</v>
      </c>
      <c r="CZ51" s="112" t="s">
        <v>916</v>
      </c>
    </row>
    <row r="52" spans="1:104" s="225" customFormat="1" ht="25.5" customHeight="1">
      <c r="A52" s="207">
        <v>462</v>
      </c>
      <c r="B52" s="207"/>
      <c r="C52" s="207"/>
      <c r="D52" s="207"/>
      <c r="E52" s="207"/>
      <c r="F52" s="207"/>
      <c r="G52" s="207"/>
      <c r="H52" s="207"/>
      <c r="I52" s="207"/>
      <c r="J52" s="207"/>
      <c r="K52" s="112" t="s">
        <v>429</v>
      </c>
      <c r="L52" s="112" t="s">
        <v>850</v>
      </c>
      <c r="M52" s="112" t="s">
        <v>850</v>
      </c>
      <c r="N52" s="112" t="s">
        <v>77</v>
      </c>
      <c r="O52" s="112" t="s">
        <v>77</v>
      </c>
      <c r="P52" s="112" t="s">
        <v>76</v>
      </c>
      <c r="Q52" s="112" t="s">
        <v>77</v>
      </c>
      <c r="R52" s="112" t="s">
        <v>77</v>
      </c>
      <c r="S52" s="112" t="s">
        <v>77</v>
      </c>
      <c r="T52" s="112" t="s">
        <v>77</v>
      </c>
      <c r="U52" s="112" t="s">
        <v>77</v>
      </c>
      <c r="V52" s="112" t="s">
        <v>77</v>
      </c>
      <c r="W52" s="112" t="s">
        <v>85</v>
      </c>
      <c r="X52" s="124" t="s">
        <v>469</v>
      </c>
      <c r="Y52" s="114" t="s">
        <v>430</v>
      </c>
      <c r="Z52" s="114" t="s">
        <v>111</v>
      </c>
      <c r="AA52" s="114" t="s">
        <v>81</v>
      </c>
      <c r="AB52" s="114" t="s">
        <v>112</v>
      </c>
      <c r="AC52" s="115" t="str">
        <f t="shared" si="23"/>
        <v>57</v>
      </c>
      <c r="AD52" s="124">
        <v>570102</v>
      </c>
      <c r="AE52" s="122" t="str">
        <f>VLOOKUP(AD52,ITEM!$C$1:$D$694,2,FALSE)</f>
        <v>Tasas Generales, Impuestos, Contribuciones, Permisos, Licencias y Patentes.</v>
      </c>
      <c r="AF52" s="112">
        <v>1309</v>
      </c>
      <c r="AG52" s="114" t="s">
        <v>82</v>
      </c>
      <c r="AH52" s="114" t="s">
        <v>84</v>
      </c>
      <c r="AI52" s="114" t="s">
        <v>84</v>
      </c>
      <c r="AJ52" s="114" t="s">
        <v>914</v>
      </c>
      <c r="AK52" s="114" t="s">
        <v>77</v>
      </c>
      <c r="AL52" s="271">
        <v>800</v>
      </c>
      <c r="AM52" s="272"/>
      <c r="AN52" s="272">
        <f t="shared" si="15"/>
        <v>800</v>
      </c>
      <c r="AO52" s="224">
        <f>SUMIF(Reforma!$A$2:$A$8523,$A52,Reforma!$AB$2:$AB$8523)</f>
        <v>0</v>
      </c>
      <c r="AP52" s="224">
        <f>SUMIF(Reforma!$A$2:$A$8523,$A52,Reforma!$AC$2:$AC$8523)</f>
        <v>-177.92</v>
      </c>
      <c r="AQ52" s="224">
        <f>SUMIF(Reforma!$A$2:$A$8523,$A52,Reforma!$AD$2:$AD$8523)</f>
        <v>0</v>
      </c>
      <c r="AR52" s="224">
        <f>SUMIF(Reforma!$A$2:$A$8523,$A52,Reforma!$AE$2:$AE$8523)</f>
        <v>0</v>
      </c>
      <c r="AS52" s="224">
        <f t="shared" si="24"/>
        <v>622.08000000000004</v>
      </c>
      <c r="AT52" s="224">
        <f t="shared" si="25"/>
        <v>0</v>
      </c>
      <c r="AU52" s="224">
        <f t="shared" si="26"/>
        <v>622.08000000000004</v>
      </c>
      <c r="AV52" s="326"/>
      <c r="AW52" s="326">
        <v>622.08000000000004</v>
      </c>
      <c r="AX52" s="326"/>
      <c r="AY52" s="326"/>
      <c r="AZ52" s="326"/>
      <c r="BA52" s="326"/>
      <c r="BB52" s="326"/>
      <c r="BC52" s="326"/>
      <c r="BD52" s="326"/>
      <c r="BE52" s="326"/>
      <c r="BF52" s="326"/>
      <c r="BG52" s="326"/>
      <c r="BH52" s="408">
        <f t="shared" si="16"/>
        <v>800</v>
      </c>
      <c r="BI52" s="408">
        <f t="shared" si="29"/>
        <v>622.08000000000004</v>
      </c>
      <c r="BJ52" s="408">
        <f t="shared" si="27"/>
        <v>0</v>
      </c>
      <c r="BK52" s="224"/>
      <c r="BL52" s="224"/>
      <c r="BM52" s="224"/>
      <c r="BN52" s="224">
        <f>IFERROR(VLOOKUP($A52,'Constancias POA'!$A$2:$DH$9993,18,FALSE),"")</f>
        <v>622.08000000000004</v>
      </c>
      <c r="BO52" s="224">
        <f t="shared" si="17"/>
        <v>0</v>
      </c>
      <c r="BP52" s="224">
        <f>IFERROR(VLOOKUP($A52,CP!$A$1:$U$7992,18,FALSE),"")</f>
        <v>0</v>
      </c>
      <c r="BQ52" s="224">
        <f>IFERROR(VLOOKUP($A52,CP!$A$1:$U$7992,19,FALSE),"")</f>
        <v>622.08000000000004</v>
      </c>
      <c r="BR52" s="224">
        <f>IFERROR(VLOOKUP($A52,CP!$A$1:$U$7992,20,FALSE),"")</f>
        <v>0</v>
      </c>
      <c r="BS52" s="224" t="str">
        <f>IFERROR(VLOOKUP($A52,CP!$A$1:$U$1,21,FALSE),"")</f>
        <v/>
      </c>
      <c r="BT52" s="224">
        <f>IFERROR(VLOOKUP(A52,Devengado!$A$1:AJ$9310,35,FALSE),"")</f>
        <v>622.08000000000004</v>
      </c>
      <c r="BU52" s="224">
        <f t="shared" si="18"/>
        <v>0</v>
      </c>
      <c r="BV52" s="224">
        <f t="shared" si="19"/>
        <v>1</v>
      </c>
      <c r="BW52" s="224">
        <f t="shared" si="28"/>
        <v>622.08000000000004</v>
      </c>
      <c r="BX52" s="429">
        <v>0</v>
      </c>
      <c r="BY52" s="429">
        <v>800</v>
      </c>
      <c r="BZ52" s="429">
        <v>0</v>
      </c>
      <c r="CA52" s="429">
        <v>0</v>
      </c>
      <c r="CB52" s="429">
        <v>0</v>
      </c>
      <c r="CC52" s="429">
        <v>0</v>
      </c>
      <c r="CD52" s="429">
        <v>0</v>
      </c>
      <c r="CE52" s="429">
        <v>0</v>
      </c>
      <c r="CF52" s="429">
        <v>0</v>
      </c>
      <c r="CG52" s="429">
        <v>0</v>
      </c>
      <c r="CH52" s="429">
        <v>0</v>
      </c>
      <c r="CI52" s="429">
        <v>0</v>
      </c>
      <c r="CJ52" s="224">
        <f>IFERROR(VLOOKUP($A52,Devengado!$A$1:$AI$9038,22,FALSE),"")</f>
        <v>0</v>
      </c>
      <c r="CK52" s="224">
        <f>IFERROR(VLOOKUP($A52,Devengado!$A$1:$AI$9038,23,FALSE),"")</f>
        <v>622.08000000000004</v>
      </c>
      <c r="CL52" s="224">
        <f>IFERROR(VLOOKUP($A52,Devengado!$A$1:$AI$9038,24,FALSE),"")</f>
        <v>0</v>
      </c>
      <c r="CM52" s="224">
        <f>IFERROR(VLOOKUP($A52,Devengado!$A$1:$AI$9038,25,FALSE),"")</f>
        <v>0</v>
      </c>
      <c r="CN52" s="224">
        <f>IFERROR(VLOOKUP($A52,Devengado!$A$1:$AI$9038,26,FALSE),"")</f>
        <v>0</v>
      </c>
      <c r="CO52" s="224">
        <f>IFERROR(VLOOKUP($A52,Devengado!$A$1:$AI$9038,27,FALSE),"")</f>
        <v>0</v>
      </c>
      <c r="CP52" s="224">
        <f>IFERROR(VLOOKUP($A52,Devengado!$A$1:$AI$9038,28,FALSE),"")</f>
        <v>0</v>
      </c>
      <c r="CQ52" s="224">
        <f>IFERROR(VLOOKUP($A52,Devengado!$A$1:$AI$9038,29,FALSE),"")</f>
        <v>0</v>
      </c>
      <c r="CR52" s="224">
        <f>IFERROR(VLOOKUP($A52,Devengado!$A$1:$AI$9038,30,FALSE),"")</f>
        <v>0</v>
      </c>
      <c r="CS52" s="224">
        <f>IFERROR(VLOOKUP($A52,Devengado!$A$1:$AI$9038,31,FALSE),"")</f>
        <v>0</v>
      </c>
      <c r="CT52" s="224">
        <f>IFERROR(VLOOKUP($A52,Devengado!$A$1:$AI$9038,32,FALSE),"")</f>
        <v>0</v>
      </c>
      <c r="CU52" s="224">
        <f>IFERROR(VLOOKUP($A52,Devengado!$A$1:$AI$9038,33,FALSE),"")</f>
        <v>0</v>
      </c>
      <c r="CV52" s="224">
        <f t="shared" si="20"/>
        <v>622.08000000000004</v>
      </c>
      <c r="CW52" s="224">
        <f t="shared" si="21"/>
        <v>0</v>
      </c>
      <c r="CX52" s="207"/>
      <c r="CY52" s="207" t="str">
        <f t="shared" si="22"/>
        <v>57</v>
      </c>
      <c r="CZ52" s="112" t="s">
        <v>916</v>
      </c>
    </row>
    <row r="53" spans="1:104" s="225" customFormat="1" ht="25.5" customHeight="1">
      <c r="A53" s="207">
        <v>463</v>
      </c>
      <c r="B53" s="207"/>
      <c r="C53" s="207"/>
      <c r="D53" s="207"/>
      <c r="E53" s="207"/>
      <c r="F53" s="207"/>
      <c r="G53" s="207"/>
      <c r="H53" s="207"/>
      <c r="I53" s="207"/>
      <c r="J53" s="207"/>
      <c r="K53" s="112" t="s">
        <v>429</v>
      </c>
      <c r="L53" s="112" t="s">
        <v>850</v>
      </c>
      <c r="M53" s="119" t="s">
        <v>918</v>
      </c>
      <c r="N53" s="112" t="s">
        <v>77</v>
      </c>
      <c r="O53" s="112" t="s">
        <v>77</v>
      </c>
      <c r="P53" s="112" t="s">
        <v>76</v>
      </c>
      <c r="Q53" s="112" t="s">
        <v>77</v>
      </c>
      <c r="R53" s="112" t="s">
        <v>77</v>
      </c>
      <c r="S53" s="112" t="s">
        <v>77</v>
      </c>
      <c r="T53" s="112" t="s">
        <v>77</v>
      </c>
      <c r="U53" s="112" t="s">
        <v>77</v>
      </c>
      <c r="V53" s="112" t="s">
        <v>77</v>
      </c>
      <c r="W53" s="112" t="s">
        <v>85</v>
      </c>
      <c r="X53" s="124" t="s">
        <v>470</v>
      </c>
      <c r="Y53" s="114" t="s">
        <v>430</v>
      </c>
      <c r="Z53" s="114" t="s">
        <v>111</v>
      </c>
      <c r="AA53" s="114" t="s">
        <v>81</v>
      </c>
      <c r="AB53" s="114" t="s">
        <v>112</v>
      </c>
      <c r="AC53" s="115" t="str">
        <f t="shared" si="23"/>
        <v>57</v>
      </c>
      <c r="AD53" s="124">
        <v>570102</v>
      </c>
      <c r="AE53" s="122" t="str">
        <f>VLOOKUP(AD53,ITEM!$C$1:$D$694,2,FALSE)</f>
        <v>Tasas Generales, Impuestos, Contribuciones, Permisos, Licencias y Patentes.</v>
      </c>
      <c r="AF53" s="112">
        <v>1314</v>
      </c>
      <c r="AG53" s="114" t="s">
        <v>82</v>
      </c>
      <c r="AH53" s="114" t="s">
        <v>84</v>
      </c>
      <c r="AI53" s="114" t="s">
        <v>84</v>
      </c>
      <c r="AJ53" s="114" t="s">
        <v>914</v>
      </c>
      <c r="AK53" s="114" t="s">
        <v>77</v>
      </c>
      <c r="AL53" s="271">
        <v>2500</v>
      </c>
      <c r="AM53" s="272"/>
      <c r="AN53" s="272">
        <f t="shared" si="15"/>
        <v>2500</v>
      </c>
      <c r="AO53" s="224">
        <f>SUMIF(Reforma!$A$2:$A$8523,$A53,Reforma!$AB$2:$AB$8523)</f>
        <v>0</v>
      </c>
      <c r="AP53" s="224">
        <f>SUMIF(Reforma!$A$2:$A$8523,$A53,Reforma!$AC$2:$AC$8523)</f>
        <v>0</v>
      </c>
      <c r="AQ53" s="224">
        <f>SUMIF(Reforma!$A$2:$A$8523,$A53,Reforma!$AD$2:$AD$8523)</f>
        <v>0</v>
      </c>
      <c r="AR53" s="224">
        <f>SUMIF(Reforma!$A$2:$A$8523,$A53,Reforma!$AE$2:$AE$8523)</f>
        <v>0</v>
      </c>
      <c r="AS53" s="224">
        <f t="shared" si="24"/>
        <v>2500</v>
      </c>
      <c r="AT53" s="224">
        <f t="shared" si="25"/>
        <v>0</v>
      </c>
      <c r="AU53" s="224">
        <f t="shared" si="26"/>
        <v>2500</v>
      </c>
      <c r="AV53" s="326">
        <v>0</v>
      </c>
      <c r="AW53" s="326">
        <v>2500</v>
      </c>
      <c r="AX53" s="326">
        <v>0</v>
      </c>
      <c r="AY53" s="326">
        <v>0</v>
      </c>
      <c r="AZ53" s="326">
        <v>0</v>
      </c>
      <c r="BA53" s="326">
        <v>0</v>
      </c>
      <c r="BB53" s="326">
        <v>0</v>
      </c>
      <c r="BC53" s="326">
        <v>0</v>
      </c>
      <c r="BD53" s="326">
        <v>0</v>
      </c>
      <c r="BE53" s="326">
        <v>0</v>
      </c>
      <c r="BF53" s="326">
        <v>0</v>
      </c>
      <c r="BG53" s="326">
        <v>0</v>
      </c>
      <c r="BH53" s="408">
        <f t="shared" si="16"/>
        <v>2500</v>
      </c>
      <c r="BI53" s="408">
        <f t="shared" si="29"/>
        <v>2500</v>
      </c>
      <c r="BJ53" s="408">
        <f t="shared" si="27"/>
        <v>0</v>
      </c>
      <c r="BK53" s="224"/>
      <c r="BL53" s="224"/>
      <c r="BM53" s="224"/>
      <c r="BN53" s="224">
        <f>IFERROR(VLOOKUP($A53,'Constancias POA'!$A$2:$DH$9993,18,FALSE),"")</f>
        <v>2500</v>
      </c>
      <c r="BO53" s="224">
        <f t="shared" si="17"/>
        <v>0</v>
      </c>
      <c r="BP53" s="224">
        <f>IFERROR(VLOOKUP($A53,CP!$A$1:$U$7992,18,FALSE),"")</f>
        <v>2500</v>
      </c>
      <c r="BQ53" s="224">
        <f>IFERROR(VLOOKUP($A53,CP!$A$1:$U$7992,19,FALSE),"")</f>
        <v>2500</v>
      </c>
      <c r="BR53" s="224">
        <f>IFERROR(VLOOKUP($A53,CP!$A$1:$U$7992,20,FALSE),"")</f>
        <v>0</v>
      </c>
      <c r="BS53" s="224" t="str">
        <f>IFERROR(VLOOKUP($A53,CP!$A$1:$U$1,21,FALSE),"")</f>
        <v/>
      </c>
      <c r="BT53" s="224">
        <f>IFERROR(VLOOKUP(A53,Devengado!$A$1:AJ$9310,35,FALSE),"")</f>
        <v>1874.87</v>
      </c>
      <c r="BU53" s="224">
        <f t="shared" si="18"/>
        <v>625.13000000000011</v>
      </c>
      <c r="BV53" s="224">
        <f t="shared" si="19"/>
        <v>0.74994799999999995</v>
      </c>
      <c r="BW53" s="224">
        <f t="shared" si="28"/>
        <v>2500</v>
      </c>
      <c r="BX53" s="429">
        <v>0</v>
      </c>
      <c r="BY53" s="429">
        <v>2500</v>
      </c>
      <c r="BZ53" s="429">
        <v>0</v>
      </c>
      <c r="CA53" s="429">
        <v>0</v>
      </c>
      <c r="CB53" s="429">
        <v>0</v>
      </c>
      <c r="CC53" s="429">
        <v>0</v>
      </c>
      <c r="CD53" s="429">
        <v>0</v>
      </c>
      <c r="CE53" s="429">
        <v>0</v>
      </c>
      <c r="CF53" s="429">
        <v>0</v>
      </c>
      <c r="CG53" s="429">
        <v>0</v>
      </c>
      <c r="CH53" s="429">
        <v>0</v>
      </c>
      <c r="CI53" s="429">
        <v>0</v>
      </c>
      <c r="CJ53" s="224">
        <f>IFERROR(VLOOKUP($A53,Devengado!$A$1:$AI$9038,22,FALSE),"")</f>
        <v>0</v>
      </c>
      <c r="CK53" s="224">
        <f>IFERROR(VLOOKUP($A53,Devengado!$A$1:$AI$9038,23,FALSE),"")</f>
        <v>0</v>
      </c>
      <c r="CL53" s="224">
        <f>IFERROR(VLOOKUP($A53,Devengado!$A$1:$AI$9038,24,FALSE),"")</f>
        <v>1190.3699999999999</v>
      </c>
      <c r="CM53" s="224">
        <f>IFERROR(VLOOKUP($A53,Devengado!$A$1:$AI$9038,25,FALSE),"")</f>
        <v>0</v>
      </c>
      <c r="CN53" s="224">
        <f>IFERROR(VLOOKUP($A53,Devengado!$A$1:$AI$9038,26,FALSE),"")</f>
        <v>0</v>
      </c>
      <c r="CO53" s="224">
        <f>IFERROR(VLOOKUP($A53,Devengado!$A$1:$AI$9038,27,FALSE),"")</f>
        <v>0</v>
      </c>
      <c r="CP53" s="224">
        <f>IFERROR(VLOOKUP($A53,Devengado!$A$1:$AI$9038,28,FALSE),"")</f>
        <v>0</v>
      </c>
      <c r="CQ53" s="224">
        <f>IFERROR(VLOOKUP($A53,Devengado!$A$1:$AI$9038,29,FALSE),"")</f>
        <v>0</v>
      </c>
      <c r="CR53" s="224">
        <f>IFERROR(VLOOKUP($A53,Devengado!$A$1:$AI$9038,30,FALSE),"")</f>
        <v>684.5</v>
      </c>
      <c r="CS53" s="224">
        <f>IFERROR(VLOOKUP($A53,Devengado!$A$1:$AI$9038,31,FALSE),"")</f>
        <v>0</v>
      </c>
      <c r="CT53" s="224">
        <f>IFERROR(VLOOKUP($A53,Devengado!$A$1:$AI$9038,32,FALSE),"")</f>
        <v>0</v>
      </c>
      <c r="CU53" s="224">
        <f>IFERROR(VLOOKUP($A53,Devengado!$A$1:$AI$9038,33,FALSE),"")</f>
        <v>0</v>
      </c>
      <c r="CV53" s="224">
        <f t="shared" si="20"/>
        <v>1874.87</v>
      </c>
      <c r="CW53" s="224">
        <f t="shared" si="21"/>
        <v>0</v>
      </c>
      <c r="CX53" s="207"/>
      <c r="CY53" s="207" t="str">
        <f t="shared" si="22"/>
        <v>57</v>
      </c>
      <c r="CZ53" s="112" t="s">
        <v>916</v>
      </c>
    </row>
    <row r="54" spans="1:104" s="225" customFormat="1" ht="25.5" customHeight="1">
      <c r="A54" s="207">
        <v>464</v>
      </c>
      <c r="B54" s="207"/>
      <c r="C54" s="207"/>
      <c r="D54" s="207"/>
      <c r="E54" s="207"/>
      <c r="F54" s="207"/>
      <c r="G54" s="207"/>
      <c r="H54" s="207"/>
      <c r="I54" s="207"/>
      <c r="J54" s="207"/>
      <c r="K54" s="112" t="s">
        <v>429</v>
      </c>
      <c r="L54" s="112" t="s">
        <v>850</v>
      </c>
      <c r="M54" s="112" t="s">
        <v>850</v>
      </c>
      <c r="N54" s="112" t="s">
        <v>77</v>
      </c>
      <c r="O54" s="112" t="s">
        <v>77</v>
      </c>
      <c r="P54" s="112" t="s">
        <v>76</v>
      </c>
      <c r="Q54" s="112" t="s">
        <v>77</v>
      </c>
      <c r="R54" s="112" t="s">
        <v>77</v>
      </c>
      <c r="S54" s="112" t="s">
        <v>77</v>
      </c>
      <c r="T54" s="112" t="s">
        <v>77</v>
      </c>
      <c r="U54" s="112" t="s">
        <v>77</v>
      </c>
      <c r="V54" s="112" t="s">
        <v>77</v>
      </c>
      <c r="W54" s="112" t="s">
        <v>85</v>
      </c>
      <c r="X54" s="124" t="s">
        <v>471</v>
      </c>
      <c r="Y54" s="114" t="s">
        <v>430</v>
      </c>
      <c r="Z54" s="114" t="s">
        <v>111</v>
      </c>
      <c r="AA54" s="114" t="s">
        <v>81</v>
      </c>
      <c r="AB54" s="114" t="s">
        <v>112</v>
      </c>
      <c r="AC54" s="115" t="str">
        <f t="shared" si="23"/>
        <v>57</v>
      </c>
      <c r="AD54" s="124">
        <v>570102</v>
      </c>
      <c r="AE54" s="122" t="str">
        <f>VLOOKUP(AD54,ITEM!$C$1:$D$694,2,FALSE)</f>
        <v>Tasas Generales, Impuestos, Contribuciones, Permisos, Licencias y Patentes.</v>
      </c>
      <c r="AF54" s="112">
        <v>1309</v>
      </c>
      <c r="AG54" s="114" t="s">
        <v>82</v>
      </c>
      <c r="AH54" s="114" t="s">
        <v>84</v>
      </c>
      <c r="AI54" s="114" t="s">
        <v>84</v>
      </c>
      <c r="AJ54" s="114" t="s">
        <v>914</v>
      </c>
      <c r="AK54" s="114" t="s">
        <v>77</v>
      </c>
      <c r="AL54" s="271">
        <v>3000</v>
      </c>
      <c r="AM54" s="272"/>
      <c r="AN54" s="272">
        <f t="shared" si="15"/>
        <v>3000</v>
      </c>
      <c r="AO54" s="224">
        <f>SUMIF(Reforma!$A$2:$A$8523,$A54,Reforma!$AB$2:$AB$8523)</f>
        <v>0</v>
      </c>
      <c r="AP54" s="224">
        <f>SUMIF(Reforma!$A$2:$A$8523,$A54,Reforma!$AC$2:$AC$8523)</f>
        <v>-2424.64</v>
      </c>
      <c r="AQ54" s="224">
        <f>SUMIF(Reforma!$A$2:$A$8523,$A54,Reforma!$AD$2:$AD$8523)</f>
        <v>0</v>
      </c>
      <c r="AR54" s="224">
        <f>SUMIF(Reforma!$A$2:$A$8523,$A54,Reforma!$AE$2:$AE$8523)</f>
        <v>0</v>
      </c>
      <c r="AS54" s="224">
        <f t="shared" si="24"/>
        <v>575.36000000000013</v>
      </c>
      <c r="AT54" s="224">
        <f t="shared" si="25"/>
        <v>0</v>
      </c>
      <c r="AU54" s="224">
        <f t="shared" si="26"/>
        <v>575.36000000000013</v>
      </c>
      <c r="AV54" s="461"/>
      <c r="AW54" s="461"/>
      <c r="AX54" s="461"/>
      <c r="AY54" s="461"/>
      <c r="AZ54" s="461"/>
      <c r="BA54" s="462">
        <v>69.67</v>
      </c>
      <c r="BB54" s="462"/>
      <c r="BC54" s="462"/>
      <c r="BD54" s="462">
        <v>505.69</v>
      </c>
      <c r="BE54" s="461"/>
      <c r="BF54" s="461"/>
      <c r="BG54" s="461"/>
      <c r="BH54" s="408">
        <f t="shared" si="16"/>
        <v>3000</v>
      </c>
      <c r="BI54" s="408">
        <f t="shared" si="29"/>
        <v>575.36</v>
      </c>
      <c r="BJ54" s="408">
        <f t="shared" si="27"/>
        <v>0</v>
      </c>
      <c r="BK54" s="224"/>
      <c r="BL54" s="224"/>
      <c r="BM54" s="224"/>
      <c r="BN54" s="224">
        <f>IFERROR(VLOOKUP($A54,'Constancias POA'!$A$2:$DH$9993,18,FALSE),"")</f>
        <v>3000</v>
      </c>
      <c r="BO54" s="224">
        <f t="shared" si="17"/>
        <v>-2424.64</v>
      </c>
      <c r="BP54" s="224">
        <f>IFERROR(VLOOKUP($A54,CP!$A$1:$U$7992,18,FALSE),"")</f>
        <v>0</v>
      </c>
      <c r="BQ54" s="224">
        <f>IFERROR(VLOOKUP($A54,CP!$A$1:$U$7992,19,FALSE),"")</f>
        <v>575.36000000000013</v>
      </c>
      <c r="BR54" s="224">
        <f>IFERROR(VLOOKUP($A54,CP!$A$1:$U$7992,20,FALSE),"")</f>
        <v>0</v>
      </c>
      <c r="BS54" s="224" t="str">
        <f>IFERROR(VLOOKUP($A54,CP!$A$1:$U$1,21,FALSE),"")</f>
        <v/>
      </c>
      <c r="BT54" s="224">
        <f>IFERROR(VLOOKUP(A54,Devengado!$A$1:AJ$9310,35,FALSE),"")</f>
        <v>575.36</v>
      </c>
      <c r="BU54" s="224">
        <f t="shared" si="18"/>
        <v>1.1368683772161603E-13</v>
      </c>
      <c r="BV54" s="224">
        <f t="shared" si="19"/>
        <v>0.99999999999999978</v>
      </c>
      <c r="BW54" s="224">
        <f t="shared" si="28"/>
        <v>575.36000000000013</v>
      </c>
      <c r="BX54" s="429">
        <v>0</v>
      </c>
      <c r="BY54" s="429">
        <v>3000</v>
      </c>
      <c r="BZ54" s="429">
        <v>0</v>
      </c>
      <c r="CA54" s="429">
        <v>0</v>
      </c>
      <c r="CB54" s="429">
        <v>0</v>
      </c>
      <c r="CC54" s="429">
        <v>0</v>
      </c>
      <c r="CD54" s="429">
        <v>0</v>
      </c>
      <c r="CE54" s="429">
        <v>0</v>
      </c>
      <c r="CF54" s="429">
        <v>0</v>
      </c>
      <c r="CG54" s="429">
        <v>0</v>
      </c>
      <c r="CH54" s="429">
        <v>0</v>
      </c>
      <c r="CI54" s="429">
        <v>0</v>
      </c>
      <c r="CJ54" s="224">
        <f>IFERROR(VLOOKUP($A54,Devengado!$A$1:$AI$9038,22,FALSE),"")</f>
        <v>0</v>
      </c>
      <c r="CK54" s="224">
        <f>IFERROR(VLOOKUP($A54,Devengado!$A$1:$AI$9038,23,FALSE),"")</f>
        <v>0</v>
      </c>
      <c r="CL54" s="224">
        <f>IFERROR(VLOOKUP($A54,Devengado!$A$1:$AI$9038,24,FALSE),"")</f>
        <v>0</v>
      </c>
      <c r="CM54" s="224">
        <f>IFERROR(VLOOKUP($A54,Devengado!$A$1:$AI$9038,25,FALSE),"")</f>
        <v>0</v>
      </c>
      <c r="CN54" s="224">
        <f>IFERROR(VLOOKUP($A54,Devengado!$A$1:$AI$9038,26,FALSE),"")</f>
        <v>0</v>
      </c>
      <c r="CO54" s="224">
        <f>IFERROR(VLOOKUP($A54,Devengado!$A$1:$AI$9038,27,FALSE),"")</f>
        <v>69.67</v>
      </c>
      <c r="CP54" s="224">
        <f>IFERROR(VLOOKUP($A54,Devengado!$A$1:$AI$9038,28,FALSE),"")</f>
        <v>0</v>
      </c>
      <c r="CQ54" s="224">
        <f>IFERROR(VLOOKUP($A54,Devengado!$A$1:$AI$9038,29,FALSE),"")</f>
        <v>0</v>
      </c>
      <c r="CR54" s="224">
        <f>IFERROR(VLOOKUP($A54,Devengado!$A$1:$AI$9038,30,FALSE),"")</f>
        <v>505.69</v>
      </c>
      <c r="CS54" s="224">
        <f>IFERROR(VLOOKUP($A54,Devengado!$A$1:$AI$9038,31,FALSE),"")</f>
        <v>0</v>
      </c>
      <c r="CT54" s="224">
        <f>IFERROR(VLOOKUP($A54,Devengado!$A$1:$AI$9038,32,FALSE),"")</f>
        <v>0</v>
      </c>
      <c r="CU54" s="224">
        <f>IFERROR(VLOOKUP($A54,Devengado!$A$1:$AI$9038,33,FALSE),"")</f>
        <v>0</v>
      </c>
      <c r="CV54" s="224">
        <f t="shared" si="20"/>
        <v>575.36</v>
      </c>
      <c r="CW54" s="224">
        <f t="shared" si="21"/>
        <v>0</v>
      </c>
      <c r="CX54" s="207"/>
      <c r="CY54" s="207" t="str">
        <f t="shared" si="22"/>
        <v>57</v>
      </c>
      <c r="CZ54" s="112" t="s">
        <v>916</v>
      </c>
    </row>
    <row r="55" spans="1:104" s="225" customFormat="1" ht="25.5" customHeight="1">
      <c r="A55" s="207">
        <v>465</v>
      </c>
      <c r="B55" s="207"/>
      <c r="C55" s="207"/>
      <c r="D55" s="207"/>
      <c r="E55" s="207"/>
      <c r="F55" s="207"/>
      <c r="G55" s="207"/>
      <c r="H55" s="207"/>
      <c r="I55" s="207"/>
      <c r="J55" s="207"/>
      <c r="K55" s="112" t="s">
        <v>429</v>
      </c>
      <c r="L55" s="112" t="s">
        <v>850</v>
      </c>
      <c r="M55" s="112" t="s">
        <v>919</v>
      </c>
      <c r="N55" s="112" t="s">
        <v>77</v>
      </c>
      <c r="O55" s="112" t="s">
        <v>77</v>
      </c>
      <c r="P55" s="112" t="s">
        <v>76</v>
      </c>
      <c r="Q55" s="112" t="s">
        <v>77</v>
      </c>
      <c r="R55" s="112" t="s">
        <v>77</v>
      </c>
      <c r="S55" s="112" t="s">
        <v>77</v>
      </c>
      <c r="T55" s="112" t="s">
        <v>77</v>
      </c>
      <c r="U55" s="112" t="s">
        <v>77</v>
      </c>
      <c r="V55" s="112" t="s">
        <v>77</v>
      </c>
      <c r="W55" s="112" t="s">
        <v>85</v>
      </c>
      <c r="X55" s="124" t="s">
        <v>472</v>
      </c>
      <c r="Y55" s="114" t="s">
        <v>430</v>
      </c>
      <c r="Z55" s="114" t="s">
        <v>111</v>
      </c>
      <c r="AA55" s="114" t="s">
        <v>81</v>
      </c>
      <c r="AB55" s="114" t="s">
        <v>112</v>
      </c>
      <c r="AC55" s="115" t="str">
        <f t="shared" si="23"/>
        <v>57</v>
      </c>
      <c r="AD55" s="124">
        <v>570102</v>
      </c>
      <c r="AE55" s="122" t="str">
        <f>VLOOKUP(AD55,ITEM!$C$1:$D$694,2,FALSE)</f>
        <v>Tasas Generales, Impuestos, Contribuciones, Permisos, Licencias y Patentes.</v>
      </c>
      <c r="AF55" s="112">
        <v>1301</v>
      </c>
      <c r="AG55" s="114" t="s">
        <v>82</v>
      </c>
      <c r="AH55" s="114" t="s">
        <v>84</v>
      </c>
      <c r="AI55" s="114" t="s">
        <v>84</v>
      </c>
      <c r="AJ55" s="114" t="s">
        <v>914</v>
      </c>
      <c r="AK55" s="114" t="s">
        <v>77</v>
      </c>
      <c r="AL55" s="271">
        <v>1700</v>
      </c>
      <c r="AM55" s="272"/>
      <c r="AN55" s="272">
        <f t="shared" si="15"/>
        <v>1700</v>
      </c>
      <c r="AO55" s="224">
        <f>SUMIF(Reforma!$A$2:$A$8523,$A55,Reforma!$AB$2:$AB$8523)</f>
        <v>0</v>
      </c>
      <c r="AP55" s="224">
        <f>SUMIF(Reforma!$A$2:$A$8523,$A55,Reforma!$AC$2:$AC$8523)</f>
        <v>-292.08</v>
      </c>
      <c r="AQ55" s="224">
        <f>SUMIF(Reforma!$A$2:$A$8523,$A55,Reforma!$AD$2:$AD$8523)</f>
        <v>0</v>
      </c>
      <c r="AR55" s="224">
        <f>SUMIF(Reforma!$A$2:$A$8523,$A55,Reforma!$AE$2:$AE$8523)</f>
        <v>0</v>
      </c>
      <c r="AS55" s="224">
        <f t="shared" si="24"/>
        <v>1407.92</v>
      </c>
      <c r="AT55" s="224">
        <f t="shared" si="25"/>
        <v>0</v>
      </c>
      <c r="AU55" s="224">
        <f t="shared" si="26"/>
        <v>1407.92</v>
      </c>
      <c r="AV55" s="326"/>
      <c r="AW55" s="326">
        <v>1407.92</v>
      </c>
      <c r="AX55" s="326"/>
      <c r="AY55" s="326"/>
      <c r="AZ55" s="326"/>
      <c r="BA55" s="326"/>
      <c r="BB55" s="326"/>
      <c r="BC55" s="326"/>
      <c r="BD55" s="326"/>
      <c r="BE55" s="326"/>
      <c r="BF55" s="326"/>
      <c r="BG55" s="326"/>
      <c r="BH55" s="408">
        <f t="shared" si="16"/>
        <v>1700</v>
      </c>
      <c r="BI55" s="408">
        <f t="shared" si="29"/>
        <v>1407.92</v>
      </c>
      <c r="BJ55" s="408">
        <f t="shared" si="27"/>
        <v>0</v>
      </c>
      <c r="BK55" s="224"/>
      <c r="BL55" s="224"/>
      <c r="BM55" s="224"/>
      <c r="BN55" s="224">
        <f>IFERROR(VLOOKUP($A55,'Constancias POA'!$A$2:$DH$9993,18,FALSE),"")</f>
        <v>1407.92</v>
      </c>
      <c r="BO55" s="224">
        <f t="shared" si="17"/>
        <v>0</v>
      </c>
      <c r="BP55" s="224">
        <f>IFERROR(VLOOKUP($A55,CP!$A$1:$U$7992,18,FALSE),"")</f>
        <v>0</v>
      </c>
      <c r="BQ55" s="224">
        <f>IFERROR(VLOOKUP($A55,CP!$A$1:$U$7992,19,FALSE),"")</f>
        <v>1407.92</v>
      </c>
      <c r="BR55" s="224">
        <f>IFERROR(VLOOKUP($A55,CP!$A$1:$U$7992,20,FALSE),"")</f>
        <v>0</v>
      </c>
      <c r="BS55" s="224" t="str">
        <f>IFERROR(VLOOKUP($A55,CP!$A$1:$U$1,21,FALSE),"")</f>
        <v/>
      </c>
      <c r="BT55" s="224">
        <f>IFERROR(VLOOKUP(A55,Devengado!$A$1:AJ$9310,35,FALSE),"")</f>
        <v>1407.92</v>
      </c>
      <c r="BU55" s="224">
        <f t="shared" si="18"/>
        <v>0</v>
      </c>
      <c r="BV55" s="224">
        <f t="shared" si="19"/>
        <v>1</v>
      </c>
      <c r="BW55" s="224">
        <f t="shared" si="28"/>
        <v>1407.92</v>
      </c>
      <c r="BX55" s="429">
        <v>0</v>
      </c>
      <c r="BY55" s="429">
        <v>1700</v>
      </c>
      <c r="BZ55" s="429">
        <v>0</v>
      </c>
      <c r="CA55" s="429">
        <v>0</v>
      </c>
      <c r="CB55" s="429">
        <v>0</v>
      </c>
      <c r="CC55" s="429">
        <v>0</v>
      </c>
      <c r="CD55" s="429">
        <v>0</v>
      </c>
      <c r="CE55" s="429">
        <v>0</v>
      </c>
      <c r="CF55" s="429">
        <v>0</v>
      </c>
      <c r="CG55" s="429">
        <v>0</v>
      </c>
      <c r="CH55" s="429">
        <v>0</v>
      </c>
      <c r="CI55" s="429">
        <v>0</v>
      </c>
      <c r="CJ55" s="224">
        <f>IFERROR(VLOOKUP($A55,Devengado!$A$1:$AI$9038,22,FALSE),"")</f>
        <v>0</v>
      </c>
      <c r="CK55" s="224">
        <f>IFERROR(VLOOKUP($A55,Devengado!$A$1:$AI$9038,23,FALSE),"")</f>
        <v>1407.92</v>
      </c>
      <c r="CL55" s="224">
        <f>IFERROR(VLOOKUP($A55,Devengado!$A$1:$AI$9038,24,FALSE),"")</f>
        <v>0</v>
      </c>
      <c r="CM55" s="224">
        <f>IFERROR(VLOOKUP($A55,Devengado!$A$1:$AI$9038,25,FALSE),"")</f>
        <v>0</v>
      </c>
      <c r="CN55" s="224">
        <f>IFERROR(VLOOKUP($A55,Devengado!$A$1:$AI$9038,26,FALSE),"")</f>
        <v>0</v>
      </c>
      <c r="CO55" s="224">
        <f>IFERROR(VLOOKUP($A55,Devengado!$A$1:$AI$9038,27,FALSE),"")</f>
        <v>0</v>
      </c>
      <c r="CP55" s="224">
        <f>IFERROR(VLOOKUP($A55,Devengado!$A$1:$AI$9038,28,FALSE),"")</f>
        <v>0</v>
      </c>
      <c r="CQ55" s="224">
        <f>IFERROR(VLOOKUP($A55,Devengado!$A$1:$AI$9038,29,FALSE),"")</f>
        <v>0</v>
      </c>
      <c r="CR55" s="224">
        <f>IFERROR(VLOOKUP($A55,Devengado!$A$1:$AI$9038,30,FALSE),"")</f>
        <v>0</v>
      </c>
      <c r="CS55" s="224">
        <f>IFERROR(VLOOKUP($A55,Devengado!$A$1:$AI$9038,31,FALSE),"")</f>
        <v>0</v>
      </c>
      <c r="CT55" s="224">
        <f>IFERROR(VLOOKUP($A55,Devengado!$A$1:$AI$9038,32,FALSE),"")</f>
        <v>0</v>
      </c>
      <c r="CU55" s="224">
        <f>IFERROR(VLOOKUP($A55,Devengado!$A$1:$AI$9038,33,FALSE),"")</f>
        <v>0</v>
      </c>
      <c r="CV55" s="224">
        <f t="shared" si="20"/>
        <v>1407.92</v>
      </c>
      <c r="CW55" s="224">
        <f t="shared" si="21"/>
        <v>0</v>
      </c>
      <c r="CX55" s="207"/>
      <c r="CY55" s="207" t="str">
        <f t="shared" si="22"/>
        <v>57</v>
      </c>
      <c r="CZ55" s="112" t="s">
        <v>916</v>
      </c>
    </row>
    <row r="56" spans="1:104" s="225" customFormat="1" ht="25.5" customHeight="1">
      <c r="A56" s="207">
        <v>466</v>
      </c>
      <c r="B56" s="207"/>
      <c r="C56" s="207"/>
      <c r="D56" s="207"/>
      <c r="E56" s="207"/>
      <c r="F56" s="207"/>
      <c r="G56" s="207"/>
      <c r="H56" s="207"/>
      <c r="I56" s="207"/>
      <c r="J56" s="207"/>
      <c r="K56" s="112" t="s">
        <v>429</v>
      </c>
      <c r="L56" s="112" t="s">
        <v>850</v>
      </c>
      <c r="M56" s="112" t="s">
        <v>917</v>
      </c>
      <c r="N56" s="112" t="s">
        <v>77</v>
      </c>
      <c r="O56" s="112" t="s">
        <v>77</v>
      </c>
      <c r="P56" s="112" t="s">
        <v>76</v>
      </c>
      <c r="Q56" s="112" t="s">
        <v>77</v>
      </c>
      <c r="R56" s="112" t="s">
        <v>77</v>
      </c>
      <c r="S56" s="112" t="s">
        <v>77</v>
      </c>
      <c r="T56" s="112" t="s">
        <v>77</v>
      </c>
      <c r="U56" s="112" t="s">
        <v>77</v>
      </c>
      <c r="V56" s="112" t="s">
        <v>77</v>
      </c>
      <c r="W56" s="112" t="s">
        <v>85</v>
      </c>
      <c r="X56" s="124" t="s">
        <v>473</v>
      </c>
      <c r="Y56" s="114" t="s">
        <v>430</v>
      </c>
      <c r="Z56" s="114" t="s">
        <v>111</v>
      </c>
      <c r="AA56" s="114" t="s">
        <v>81</v>
      </c>
      <c r="AB56" s="114" t="s">
        <v>112</v>
      </c>
      <c r="AC56" s="115" t="str">
        <f t="shared" si="23"/>
        <v>57</v>
      </c>
      <c r="AD56" s="124">
        <v>570102</v>
      </c>
      <c r="AE56" s="122" t="str">
        <f>VLOOKUP(AD56,ITEM!$C$1:$D$694,2,FALSE)</f>
        <v>Tasas Generales, Impuestos, Contribuciones, Permisos, Licencias y Patentes.</v>
      </c>
      <c r="AF56" s="112">
        <v>1308</v>
      </c>
      <c r="AG56" s="114" t="s">
        <v>82</v>
      </c>
      <c r="AH56" s="114" t="s">
        <v>84</v>
      </c>
      <c r="AI56" s="114" t="s">
        <v>84</v>
      </c>
      <c r="AJ56" s="114" t="s">
        <v>914</v>
      </c>
      <c r="AK56" s="114" t="s">
        <v>77</v>
      </c>
      <c r="AL56" s="271">
        <v>6000</v>
      </c>
      <c r="AM56" s="272"/>
      <c r="AN56" s="272">
        <f t="shared" si="15"/>
        <v>6000</v>
      </c>
      <c r="AO56" s="224">
        <f>SUMIF(Reforma!$A$2:$A$8523,$A56,Reforma!$AB$2:$AB$8523)</f>
        <v>1224.44</v>
      </c>
      <c r="AP56" s="224">
        <f>SUMIF(Reforma!$A$2:$A$8523,$A56,Reforma!$AC$2:$AC$8523)</f>
        <v>-7224.44</v>
      </c>
      <c r="AQ56" s="224">
        <f>SUMIF(Reforma!$A$2:$A$8523,$A56,Reforma!$AD$2:$AD$8523)</f>
        <v>0</v>
      </c>
      <c r="AR56" s="224">
        <f>SUMIF(Reforma!$A$2:$A$8523,$A56,Reforma!$AE$2:$AE$8523)</f>
        <v>0</v>
      </c>
      <c r="AS56" s="224">
        <f t="shared" si="24"/>
        <v>0</v>
      </c>
      <c r="AT56" s="224">
        <f t="shared" si="25"/>
        <v>0</v>
      </c>
      <c r="AU56" s="224">
        <f t="shared" si="26"/>
        <v>0</v>
      </c>
      <c r="AV56" s="326"/>
      <c r="AW56" s="326"/>
      <c r="AX56" s="326"/>
      <c r="AY56" s="326"/>
      <c r="AZ56" s="326"/>
      <c r="BA56" s="326"/>
      <c r="BB56" s="326"/>
      <c r="BC56" s="326"/>
      <c r="BD56" s="326"/>
      <c r="BE56" s="326"/>
      <c r="BF56" s="326"/>
      <c r="BG56" s="326"/>
      <c r="BH56" s="408">
        <f t="shared" si="16"/>
        <v>6000</v>
      </c>
      <c r="BI56" s="408">
        <f t="shared" si="29"/>
        <v>0</v>
      </c>
      <c r="BJ56" s="408">
        <f t="shared" si="27"/>
        <v>0</v>
      </c>
      <c r="BK56" s="224"/>
      <c r="BL56" s="224"/>
      <c r="BM56" s="224"/>
      <c r="BN56" s="224" t="str">
        <f>IFERROR(VLOOKUP($A56,'Constancias POA'!$A$2:$DH$9993,18,FALSE),"")</f>
        <v/>
      </c>
      <c r="BO56" s="224" t="str">
        <f t="shared" si="17"/>
        <v/>
      </c>
      <c r="BP56" s="224" t="str">
        <f>IFERROR(VLOOKUP($A56,CP!$A$1:$U$7992,18,FALSE),"")</f>
        <v/>
      </c>
      <c r="BQ56" s="224" t="str">
        <f>IFERROR(VLOOKUP($A56,CP!$A$1:$U$7992,19,FALSE),"")</f>
        <v/>
      </c>
      <c r="BR56" s="224" t="str">
        <f>IFERROR(VLOOKUP($A56,CP!$A$1:$U$7992,20,FALSE),"")</f>
        <v/>
      </c>
      <c r="BS56" s="224" t="str">
        <f>IFERROR(VLOOKUP($A56,CP!$A$1:$U$1,21,FALSE),"")</f>
        <v/>
      </c>
      <c r="BT56" s="224" t="str">
        <f>IFERROR(VLOOKUP(A56,Devengado!$A$1:AJ$9310,35,FALSE),"")</f>
        <v/>
      </c>
      <c r="BU56" s="224" t="str">
        <f t="shared" si="18"/>
        <v/>
      </c>
      <c r="BV56" s="224" t="str">
        <f t="shared" si="19"/>
        <v/>
      </c>
      <c r="BW56" s="224">
        <f t="shared" si="28"/>
        <v>0</v>
      </c>
      <c r="BX56" s="429">
        <v>0</v>
      </c>
      <c r="BY56" s="429">
        <v>6000</v>
      </c>
      <c r="BZ56" s="429">
        <v>0</v>
      </c>
      <c r="CA56" s="429">
        <v>0</v>
      </c>
      <c r="CB56" s="429">
        <v>0</v>
      </c>
      <c r="CC56" s="429">
        <v>0</v>
      </c>
      <c r="CD56" s="429">
        <v>0</v>
      </c>
      <c r="CE56" s="429">
        <v>0</v>
      </c>
      <c r="CF56" s="429">
        <v>0</v>
      </c>
      <c r="CG56" s="429">
        <v>0</v>
      </c>
      <c r="CH56" s="429">
        <v>0</v>
      </c>
      <c r="CI56" s="429">
        <v>0</v>
      </c>
      <c r="CJ56" s="224" t="str">
        <f>IFERROR(VLOOKUP($A56,Devengado!$A$1:$AI$9038,22,FALSE),"")</f>
        <v/>
      </c>
      <c r="CK56" s="224" t="str">
        <f>IFERROR(VLOOKUP($A56,Devengado!$A$1:$AI$9038,23,FALSE),"")</f>
        <v/>
      </c>
      <c r="CL56" s="224" t="str">
        <f>IFERROR(VLOOKUP($A56,Devengado!$A$1:$AI$9038,24,FALSE),"")</f>
        <v/>
      </c>
      <c r="CM56" s="224" t="str">
        <f>IFERROR(VLOOKUP($A56,Devengado!$A$1:$AI$9038,25,FALSE),"")</f>
        <v/>
      </c>
      <c r="CN56" s="224" t="str">
        <f>IFERROR(VLOOKUP($A56,Devengado!$A$1:$AI$9038,26,FALSE),"")</f>
        <v/>
      </c>
      <c r="CO56" s="224" t="str">
        <f>IFERROR(VLOOKUP($A56,Devengado!$A$1:$AI$9038,27,FALSE),"")</f>
        <v/>
      </c>
      <c r="CP56" s="224" t="str">
        <f>IFERROR(VLOOKUP($A56,Devengado!$A$1:$AI$9038,28,FALSE),"")</f>
        <v/>
      </c>
      <c r="CQ56" s="224" t="str">
        <f>IFERROR(VLOOKUP($A56,Devengado!$A$1:$AI$9038,29,FALSE),"")</f>
        <v/>
      </c>
      <c r="CR56" s="224" t="str">
        <f>IFERROR(VLOOKUP($A56,Devengado!$A$1:$AI$9038,30,FALSE),"")</f>
        <v/>
      </c>
      <c r="CS56" s="224" t="str">
        <f>IFERROR(VLOOKUP($A56,Devengado!$A$1:$AI$9038,31,FALSE),"")</f>
        <v/>
      </c>
      <c r="CT56" s="224" t="str">
        <f>IFERROR(VLOOKUP($A56,Devengado!$A$1:$AI$9038,32,FALSE),"")</f>
        <v/>
      </c>
      <c r="CU56" s="224" t="str">
        <f>IFERROR(VLOOKUP($A56,Devengado!$A$1:$AI$9038,33,FALSE),"")</f>
        <v/>
      </c>
      <c r="CV56" s="224">
        <f t="shared" si="20"/>
        <v>0</v>
      </c>
      <c r="CW56" s="224" t="str">
        <f t="shared" si="21"/>
        <v/>
      </c>
      <c r="CX56" s="207"/>
      <c r="CY56" s="207" t="str">
        <f t="shared" si="22"/>
        <v>57</v>
      </c>
      <c r="CZ56" s="112" t="s">
        <v>915</v>
      </c>
    </row>
    <row r="57" spans="1:104" s="225" customFormat="1" ht="25.5" customHeight="1">
      <c r="A57" s="207">
        <v>467</v>
      </c>
      <c r="B57" s="207"/>
      <c r="C57" s="207"/>
      <c r="D57" s="207"/>
      <c r="E57" s="207"/>
      <c r="F57" s="207"/>
      <c r="G57" s="207"/>
      <c r="H57" s="207"/>
      <c r="I57" s="207"/>
      <c r="J57" s="207"/>
      <c r="K57" s="112" t="s">
        <v>429</v>
      </c>
      <c r="L57" s="112" t="s">
        <v>850</v>
      </c>
      <c r="M57" s="112" t="s">
        <v>850</v>
      </c>
      <c r="N57" s="112" t="s">
        <v>77</v>
      </c>
      <c r="O57" s="112" t="s">
        <v>77</v>
      </c>
      <c r="P57" s="112" t="s">
        <v>76</v>
      </c>
      <c r="Q57" s="112" t="s">
        <v>77</v>
      </c>
      <c r="R57" s="112" t="s">
        <v>77</v>
      </c>
      <c r="S57" s="112" t="s">
        <v>77</v>
      </c>
      <c r="T57" s="112" t="s">
        <v>77</v>
      </c>
      <c r="U57" s="112" t="s">
        <v>77</v>
      </c>
      <c r="V57" s="112" t="s">
        <v>77</v>
      </c>
      <c r="W57" s="112" t="s">
        <v>85</v>
      </c>
      <c r="X57" s="124" t="s">
        <v>474</v>
      </c>
      <c r="Y57" s="114" t="s">
        <v>430</v>
      </c>
      <c r="Z57" s="114" t="s">
        <v>111</v>
      </c>
      <c r="AA57" s="114" t="s">
        <v>81</v>
      </c>
      <c r="AB57" s="114" t="s">
        <v>112</v>
      </c>
      <c r="AC57" s="115" t="str">
        <f t="shared" si="23"/>
        <v>53</v>
      </c>
      <c r="AD57" s="124">
        <v>530803</v>
      </c>
      <c r="AE57" s="122" t="str">
        <f>VLOOKUP(AD57,ITEM!$C$1:$D$694,2,FALSE)</f>
        <v>Lubricantes</v>
      </c>
      <c r="AF57" s="112">
        <v>1309</v>
      </c>
      <c r="AG57" s="114" t="s">
        <v>82</v>
      </c>
      <c r="AH57" s="114" t="s">
        <v>84</v>
      </c>
      <c r="AI57" s="114" t="s">
        <v>84</v>
      </c>
      <c r="AJ57" s="114" t="s">
        <v>914</v>
      </c>
      <c r="AK57" s="114" t="s">
        <v>77</v>
      </c>
      <c r="AL57" s="271">
        <v>3533.2</v>
      </c>
      <c r="AM57" s="272"/>
      <c r="AN57" s="272">
        <f t="shared" si="15"/>
        <v>3533.2</v>
      </c>
      <c r="AO57" s="224">
        <f>SUMIF(Reforma!$A$2:$A$8523,$A57,Reforma!$AB$2:$AB$8523)</f>
        <v>0</v>
      </c>
      <c r="AP57" s="224">
        <f>SUMIF(Reforma!$A$2:$A$8523,$A57,Reforma!$AC$2:$AC$8523)</f>
        <v>-3533.2</v>
      </c>
      <c r="AQ57" s="224">
        <f>SUMIF(Reforma!$A$2:$A$8523,$A57,Reforma!$AD$2:$AD$8523)</f>
        <v>0</v>
      </c>
      <c r="AR57" s="224">
        <f>SUMIF(Reforma!$A$2:$A$8523,$A57,Reforma!$AE$2:$AE$8523)</f>
        <v>0</v>
      </c>
      <c r="AS57" s="224">
        <f t="shared" si="24"/>
        <v>0</v>
      </c>
      <c r="AT57" s="224">
        <f t="shared" si="25"/>
        <v>0</v>
      </c>
      <c r="AU57" s="224">
        <f t="shared" si="26"/>
        <v>0</v>
      </c>
      <c r="AV57" s="409"/>
      <c r="AW57" s="409"/>
      <c r="AX57" s="409"/>
      <c r="AY57" s="409"/>
      <c r="AZ57" s="409"/>
      <c r="BA57" s="409"/>
      <c r="BB57" s="409"/>
      <c r="BC57" s="409"/>
      <c r="BD57" s="409"/>
      <c r="BE57" s="409"/>
      <c r="BF57" s="409"/>
      <c r="BG57" s="409"/>
      <c r="BH57" s="408">
        <f t="shared" si="16"/>
        <v>3533.2000000000007</v>
      </c>
      <c r="BI57" s="408">
        <f t="shared" si="29"/>
        <v>0</v>
      </c>
      <c r="BJ57" s="408">
        <f t="shared" si="27"/>
        <v>0</v>
      </c>
      <c r="BK57" s="224"/>
      <c r="BL57" s="224"/>
      <c r="BM57" s="224"/>
      <c r="BN57" s="224" t="str">
        <f>IFERROR(VLOOKUP($A57,'Constancias POA'!$A$2:$DH$9993,18,FALSE),"")</f>
        <v/>
      </c>
      <c r="BO57" s="224" t="str">
        <f t="shared" si="17"/>
        <v/>
      </c>
      <c r="BP57" s="224" t="str">
        <f>IFERROR(VLOOKUP($A57,CP!$A$1:$U$7992,18,FALSE),"")</f>
        <v/>
      </c>
      <c r="BQ57" s="224" t="str">
        <f>IFERROR(VLOOKUP($A57,CP!$A$1:$U$7992,19,FALSE),"")</f>
        <v/>
      </c>
      <c r="BR57" s="224" t="str">
        <f>IFERROR(VLOOKUP($A57,CP!$A$1:$U$7992,20,FALSE),"")</f>
        <v/>
      </c>
      <c r="BS57" s="224" t="str">
        <f>IFERROR(VLOOKUP($A57,CP!$A$1:$U$1,21,FALSE),"")</f>
        <v/>
      </c>
      <c r="BT57" s="224" t="str">
        <f>IFERROR(VLOOKUP(A57,Devengado!$A$1:AJ$9310,35,FALSE),"")</f>
        <v/>
      </c>
      <c r="BU57" s="224" t="str">
        <f t="shared" si="18"/>
        <v/>
      </c>
      <c r="BV57" s="224" t="str">
        <f t="shared" si="19"/>
        <v/>
      </c>
      <c r="BW57" s="224">
        <f t="shared" si="28"/>
        <v>0</v>
      </c>
      <c r="BX57" s="429">
        <v>0</v>
      </c>
      <c r="BY57" s="429">
        <v>353.32</v>
      </c>
      <c r="BZ57" s="429">
        <v>353.32</v>
      </c>
      <c r="CA57" s="429">
        <v>353.32</v>
      </c>
      <c r="CB57" s="429">
        <v>353.32</v>
      </c>
      <c r="CC57" s="429">
        <v>353.32</v>
      </c>
      <c r="CD57" s="429">
        <v>353.32</v>
      </c>
      <c r="CE57" s="429">
        <v>353.32</v>
      </c>
      <c r="CF57" s="429">
        <v>353.32</v>
      </c>
      <c r="CG57" s="429">
        <v>353.32</v>
      </c>
      <c r="CH57" s="429">
        <v>353.32</v>
      </c>
      <c r="CI57" s="429">
        <v>0</v>
      </c>
      <c r="CJ57" s="224" t="str">
        <f>IFERROR(VLOOKUP($A57,Devengado!$A$1:$AI$9038,22,FALSE),"")</f>
        <v/>
      </c>
      <c r="CK57" s="224" t="str">
        <f>IFERROR(VLOOKUP($A57,Devengado!$A$1:$AI$9038,23,FALSE),"")</f>
        <v/>
      </c>
      <c r="CL57" s="224" t="str">
        <f>IFERROR(VLOOKUP($A57,Devengado!$A$1:$AI$9038,24,FALSE),"")</f>
        <v/>
      </c>
      <c r="CM57" s="224" t="str">
        <f>IFERROR(VLOOKUP($A57,Devengado!$A$1:$AI$9038,25,FALSE),"")</f>
        <v/>
      </c>
      <c r="CN57" s="224" t="str">
        <f>IFERROR(VLOOKUP($A57,Devengado!$A$1:$AI$9038,26,FALSE),"")</f>
        <v/>
      </c>
      <c r="CO57" s="224" t="str">
        <f>IFERROR(VLOOKUP($A57,Devengado!$A$1:$AI$9038,27,FALSE),"")</f>
        <v/>
      </c>
      <c r="CP57" s="224" t="str">
        <f>IFERROR(VLOOKUP($A57,Devengado!$A$1:$AI$9038,28,FALSE),"")</f>
        <v/>
      </c>
      <c r="CQ57" s="224" t="str">
        <f>IFERROR(VLOOKUP($A57,Devengado!$A$1:$AI$9038,29,FALSE),"")</f>
        <v/>
      </c>
      <c r="CR57" s="224" t="str">
        <f>IFERROR(VLOOKUP($A57,Devengado!$A$1:$AI$9038,30,FALSE),"")</f>
        <v/>
      </c>
      <c r="CS57" s="224" t="str">
        <f>IFERROR(VLOOKUP($A57,Devengado!$A$1:$AI$9038,31,FALSE),"")</f>
        <v/>
      </c>
      <c r="CT57" s="224" t="str">
        <f>IFERROR(VLOOKUP($A57,Devengado!$A$1:$AI$9038,32,FALSE),"")</f>
        <v/>
      </c>
      <c r="CU57" s="224" t="str">
        <f>IFERROR(VLOOKUP($A57,Devengado!$A$1:$AI$9038,33,FALSE),"")</f>
        <v/>
      </c>
      <c r="CV57" s="224">
        <f t="shared" si="20"/>
        <v>0</v>
      </c>
      <c r="CW57" s="224" t="str">
        <f t="shared" si="21"/>
        <v/>
      </c>
      <c r="CX57" s="207"/>
      <c r="CY57" s="207" t="str">
        <f t="shared" si="22"/>
        <v>53</v>
      </c>
      <c r="CZ57" s="112" t="s">
        <v>915</v>
      </c>
    </row>
    <row r="58" spans="1:104" s="225" customFormat="1" ht="25.5" customHeight="1">
      <c r="A58" s="207">
        <v>468</v>
      </c>
      <c r="B58" s="207"/>
      <c r="C58" s="207"/>
      <c r="D58" s="207"/>
      <c r="E58" s="207"/>
      <c r="F58" s="207"/>
      <c r="G58" s="207"/>
      <c r="H58" s="207"/>
      <c r="I58" s="207"/>
      <c r="J58" s="207"/>
      <c r="K58" s="112" t="s">
        <v>429</v>
      </c>
      <c r="L58" s="112" t="s">
        <v>850</v>
      </c>
      <c r="M58" s="112" t="s">
        <v>850</v>
      </c>
      <c r="N58" s="112" t="s">
        <v>77</v>
      </c>
      <c r="O58" s="112" t="s">
        <v>77</v>
      </c>
      <c r="P58" s="112" t="s">
        <v>76</v>
      </c>
      <c r="Q58" s="112" t="s">
        <v>77</v>
      </c>
      <c r="R58" s="112" t="s">
        <v>77</v>
      </c>
      <c r="S58" s="112" t="s">
        <v>77</v>
      </c>
      <c r="T58" s="112" t="s">
        <v>77</v>
      </c>
      <c r="U58" s="112" t="s">
        <v>77</v>
      </c>
      <c r="V58" s="112" t="s">
        <v>77</v>
      </c>
      <c r="W58" s="112" t="s">
        <v>85</v>
      </c>
      <c r="X58" s="124" t="s">
        <v>475</v>
      </c>
      <c r="Y58" s="114" t="s">
        <v>430</v>
      </c>
      <c r="Z58" s="114" t="s">
        <v>111</v>
      </c>
      <c r="AA58" s="114" t="s">
        <v>81</v>
      </c>
      <c r="AB58" s="114" t="s">
        <v>112</v>
      </c>
      <c r="AC58" s="115" t="str">
        <f t="shared" si="23"/>
        <v>53</v>
      </c>
      <c r="AD58" s="124">
        <v>530701</v>
      </c>
      <c r="AE58" s="122" t="str">
        <f>VLOOKUP(AD58,ITEM!$C$1:$D$694,2,FALSE)</f>
        <v>Desarrollo, Actualización, Asistencia Técnica y Soporte de Sistemas Informáticos</v>
      </c>
      <c r="AF58" s="112">
        <v>1309</v>
      </c>
      <c r="AG58" s="114" t="s">
        <v>82</v>
      </c>
      <c r="AH58" s="114" t="s">
        <v>84</v>
      </c>
      <c r="AI58" s="114" t="s">
        <v>84</v>
      </c>
      <c r="AJ58" s="114" t="s">
        <v>914</v>
      </c>
      <c r="AK58" s="114" t="s">
        <v>77</v>
      </c>
      <c r="AL58" s="271">
        <v>400</v>
      </c>
      <c r="AM58" s="272"/>
      <c r="AN58" s="272">
        <f t="shared" si="15"/>
        <v>400</v>
      </c>
      <c r="AO58" s="224">
        <f>SUMIF(Reforma!$A$2:$A$8523,$A58,Reforma!$AB$2:$AB$8523)</f>
        <v>0</v>
      </c>
      <c r="AP58" s="224">
        <f>SUMIF(Reforma!$A$2:$A$8523,$A58,Reforma!$AC$2:$AC$8523)</f>
        <v>-400</v>
      </c>
      <c r="AQ58" s="224">
        <f>SUMIF(Reforma!$A$2:$A$8523,$A58,Reforma!$AD$2:$AD$8523)</f>
        <v>0</v>
      </c>
      <c r="AR58" s="224">
        <f>SUMIF(Reforma!$A$2:$A$8523,$A58,Reforma!$AE$2:$AE$8523)</f>
        <v>0</v>
      </c>
      <c r="AS58" s="224">
        <f t="shared" si="24"/>
        <v>0</v>
      </c>
      <c r="AT58" s="224">
        <f t="shared" si="25"/>
        <v>0</v>
      </c>
      <c r="AU58" s="224">
        <f t="shared" si="26"/>
        <v>0</v>
      </c>
      <c r="AV58" s="326"/>
      <c r="AW58" s="326"/>
      <c r="AX58" s="326"/>
      <c r="AY58" s="326"/>
      <c r="AZ58" s="326"/>
      <c r="BA58" s="326"/>
      <c r="BB58" s="326"/>
      <c r="BC58" s="326"/>
      <c r="BD58" s="326"/>
      <c r="BE58" s="326"/>
      <c r="BF58" s="326"/>
      <c r="BG58" s="326"/>
      <c r="BH58" s="408">
        <f t="shared" si="16"/>
        <v>400</v>
      </c>
      <c r="BI58" s="408">
        <f t="shared" si="29"/>
        <v>0</v>
      </c>
      <c r="BJ58" s="408">
        <f t="shared" si="27"/>
        <v>0</v>
      </c>
      <c r="BK58" s="224"/>
      <c r="BL58" s="224"/>
      <c r="BM58" s="224"/>
      <c r="BN58" s="224" t="str">
        <f>IFERROR(VLOOKUP($A58,'Constancias POA'!$A$2:$DH$9993,18,FALSE),"")</f>
        <v/>
      </c>
      <c r="BO58" s="224" t="str">
        <f t="shared" si="17"/>
        <v/>
      </c>
      <c r="BP58" s="224" t="str">
        <f>IFERROR(VLOOKUP($A58,CP!$A$1:$U$7992,18,FALSE),"")</f>
        <v/>
      </c>
      <c r="BQ58" s="224" t="str">
        <f>IFERROR(VLOOKUP($A58,CP!$A$1:$U$7992,19,FALSE),"")</f>
        <v/>
      </c>
      <c r="BR58" s="224" t="str">
        <f>IFERROR(VLOOKUP($A58,CP!$A$1:$U$7992,20,FALSE),"")</f>
        <v/>
      </c>
      <c r="BS58" s="224" t="str">
        <f>IFERROR(VLOOKUP($A58,CP!$A$1:$U$1,21,FALSE),"")</f>
        <v/>
      </c>
      <c r="BT58" s="224" t="str">
        <f>IFERROR(VLOOKUP(A58,Devengado!$A$1:AJ$9310,35,FALSE),"")</f>
        <v/>
      </c>
      <c r="BU58" s="224" t="str">
        <f t="shared" si="18"/>
        <v/>
      </c>
      <c r="BV58" s="224" t="str">
        <f t="shared" si="19"/>
        <v/>
      </c>
      <c r="BW58" s="224">
        <f t="shared" si="28"/>
        <v>0</v>
      </c>
      <c r="BX58" s="429">
        <v>0</v>
      </c>
      <c r="BY58" s="429">
        <v>0</v>
      </c>
      <c r="BZ58" s="429">
        <v>0</v>
      </c>
      <c r="CA58" s="429">
        <v>0</v>
      </c>
      <c r="CB58" s="429">
        <v>400</v>
      </c>
      <c r="CC58" s="429">
        <v>0</v>
      </c>
      <c r="CD58" s="429">
        <v>0</v>
      </c>
      <c r="CE58" s="429">
        <v>0</v>
      </c>
      <c r="CF58" s="429">
        <v>0</v>
      </c>
      <c r="CG58" s="429">
        <v>0</v>
      </c>
      <c r="CH58" s="429">
        <v>0</v>
      </c>
      <c r="CI58" s="429">
        <v>0</v>
      </c>
      <c r="CJ58" s="224" t="str">
        <f>IFERROR(VLOOKUP($A58,Devengado!$A$1:$AI$9038,22,FALSE),"")</f>
        <v/>
      </c>
      <c r="CK58" s="224" t="str">
        <f>IFERROR(VLOOKUP($A58,Devengado!$A$1:$AI$9038,23,FALSE),"")</f>
        <v/>
      </c>
      <c r="CL58" s="224" t="str">
        <f>IFERROR(VLOOKUP($A58,Devengado!$A$1:$AI$9038,24,FALSE),"")</f>
        <v/>
      </c>
      <c r="CM58" s="224" t="str">
        <f>IFERROR(VLOOKUP($A58,Devengado!$A$1:$AI$9038,25,FALSE),"")</f>
        <v/>
      </c>
      <c r="CN58" s="224" t="str">
        <f>IFERROR(VLOOKUP($A58,Devengado!$A$1:$AI$9038,26,FALSE),"")</f>
        <v/>
      </c>
      <c r="CO58" s="224" t="str">
        <f>IFERROR(VLOOKUP($A58,Devengado!$A$1:$AI$9038,27,FALSE),"")</f>
        <v/>
      </c>
      <c r="CP58" s="224" t="str">
        <f>IFERROR(VLOOKUP($A58,Devengado!$A$1:$AI$9038,28,FALSE),"")</f>
        <v/>
      </c>
      <c r="CQ58" s="224" t="str">
        <f>IFERROR(VLOOKUP($A58,Devengado!$A$1:$AI$9038,29,FALSE),"")</f>
        <v/>
      </c>
      <c r="CR58" s="224" t="str">
        <f>IFERROR(VLOOKUP($A58,Devengado!$A$1:$AI$9038,30,FALSE),"")</f>
        <v/>
      </c>
      <c r="CS58" s="224" t="str">
        <f>IFERROR(VLOOKUP($A58,Devengado!$A$1:$AI$9038,31,FALSE),"")</f>
        <v/>
      </c>
      <c r="CT58" s="224" t="str">
        <f>IFERROR(VLOOKUP($A58,Devengado!$A$1:$AI$9038,32,FALSE),"")</f>
        <v/>
      </c>
      <c r="CU58" s="224" t="str">
        <f>IFERROR(VLOOKUP($A58,Devengado!$A$1:$AI$9038,33,FALSE),"")</f>
        <v/>
      </c>
      <c r="CV58" s="224">
        <f t="shared" si="20"/>
        <v>0</v>
      </c>
      <c r="CW58" s="224" t="str">
        <f t="shared" si="21"/>
        <v/>
      </c>
      <c r="CX58" s="207"/>
      <c r="CY58" s="207" t="str">
        <f t="shared" si="22"/>
        <v>53</v>
      </c>
      <c r="CZ58" s="112" t="s">
        <v>915</v>
      </c>
    </row>
    <row r="59" spans="1:104" s="225" customFormat="1" ht="50.25" customHeight="1">
      <c r="A59" s="207">
        <v>469</v>
      </c>
      <c r="B59" s="207"/>
      <c r="C59" s="207"/>
      <c r="D59" s="207"/>
      <c r="E59" s="207"/>
      <c r="F59" s="207"/>
      <c r="G59" s="207"/>
      <c r="H59" s="207"/>
      <c r="I59" s="207"/>
      <c r="J59" s="207"/>
      <c r="K59" s="112" t="s">
        <v>429</v>
      </c>
      <c r="L59" s="112" t="s">
        <v>850</v>
      </c>
      <c r="M59" s="112" t="s">
        <v>850</v>
      </c>
      <c r="N59" s="112" t="s">
        <v>77</v>
      </c>
      <c r="O59" s="112" t="s">
        <v>77</v>
      </c>
      <c r="P59" s="112" t="s">
        <v>76</v>
      </c>
      <c r="Q59" s="112" t="s">
        <v>77</v>
      </c>
      <c r="R59" s="112" t="s">
        <v>77</v>
      </c>
      <c r="S59" s="112" t="s">
        <v>77</v>
      </c>
      <c r="T59" s="112" t="s">
        <v>77</v>
      </c>
      <c r="U59" s="112" t="s">
        <v>77</v>
      </c>
      <c r="V59" s="112" t="s">
        <v>77</v>
      </c>
      <c r="W59" s="112" t="s">
        <v>85</v>
      </c>
      <c r="X59" s="124" t="s">
        <v>476</v>
      </c>
      <c r="Y59" s="114" t="s">
        <v>430</v>
      </c>
      <c r="Z59" s="114" t="s">
        <v>111</v>
      </c>
      <c r="AA59" s="114" t="s">
        <v>81</v>
      </c>
      <c r="AB59" s="114" t="s">
        <v>112</v>
      </c>
      <c r="AC59" s="115" t="str">
        <f t="shared" si="23"/>
        <v>53</v>
      </c>
      <c r="AD59" s="124">
        <v>530701</v>
      </c>
      <c r="AE59" s="122" t="str">
        <f>VLOOKUP(AD59,ITEM!$C$1:$D$694,2,FALSE)</f>
        <v>Desarrollo, Actualización, Asistencia Técnica y Soporte de Sistemas Informáticos</v>
      </c>
      <c r="AF59" s="112">
        <v>1309</v>
      </c>
      <c r="AG59" s="114" t="s">
        <v>82</v>
      </c>
      <c r="AH59" s="114" t="s">
        <v>84</v>
      </c>
      <c r="AI59" s="114" t="s">
        <v>84</v>
      </c>
      <c r="AJ59" s="114" t="s">
        <v>914</v>
      </c>
      <c r="AK59" s="114" t="s">
        <v>77</v>
      </c>
      <c r="AL59" s="271">
        <v>400</v>
      </c>
      <c r="AM59" s="272"/>
      <c r="AN59" s="272">
        <f t="shared" si="15"/>
        <v>400</v>
      </c>
      <c r="AO59" s="224">
        <f>SUMIF(Reforma!$A$2:$A$8523,$A59,Reforma!$AB$2:$AB$8523)</f>
        <v>0</v>
      </c>
      <c r="AP59" s="224">
        <f>SUMIF(Reforma!$A$2:$A$8523,$A59,Reforma!$AC$2:$AC$8523)</f>
        <v>0</v>
      </c>
      <c r="AQ59" s="224">
        <f>SUMIF(Reforma!$A$2:$A$8523,$A59,Reforma!$AD$2:$AD$8523)</f>
        <v>0</v>
      </c>
      <c r="AR59" s="224">
        <f>SUMIF(Reforma!$A$2:$A$8523,$A59,Reforma!$AE$2:$AE$8523)</f>
        <v>0</v>
      </c>
      <c r="AS59" s="224">
        <f t="shared" si="24"/>
        <v>400</v>
      </c>
      <c r="AT59" s="224">
        <f t="shared" si="25"/>
        <v>0</v>
      </c>
      <c r="AU59" s="224">
        <f t="shared" si="26"/>
        <v>400</v>
      </c>
      <c r="AV59" s="326">
        <v>0</v>
      </c>
      <c r="AW59" s="326">
        <v>0</v>
      </c>
      <c r="AX59" s="326">
        <v>0</v>
      </c>
      <c r="AY59" s="326">
        <v>0</v>
      </c>
      <c r="AZ59" s="326">
        <v>0</v>
      </c>
      <c r="BA59" s="326">
        <v>0</v>
      </c>
      <c r="BB59" s="326"/>
      <c r="BC59" s="326">
        <v>400</v>
      </c>
      <c r="BD59" s="326">
        <v>0</v>
      </c>
      <c r="BE59" s="326">
        <v>0</v>
      </c>
      <c r="BF59" s="326">
        <v>0</v>
      </c>
      <c r="BG59" s="326">
        <v>0</v>
      </c>
      <c r="BH59" s="408">
        <f t="shared" si="16"/>
        <v>400</v>
      </c>
      <c r="BI59" s="408">
        <f t="shared" si="29"/>
        <v>400</v>
      </c>
      <c r="BJ59" s="408">
        <f t="shared" si="27"/>
        <v>0</v>
      </c>
      <c r="BK59" s="224"/>
      <c r="BL59" s="224"/>
      <c r="BM59" s="224"/>
      <c r="BN59" s="224">
        <f>IFERROR(VLOOKUP($A59,'Constancias POA'!$A$2:$DH$9993,18,FALSE),"")</f>
        <v>400</v>
      </c>
      <c r="BO59" s="224">
        <f t="shared" si="17"/>
        <v>0</v>
      </c>
      <c r="BP59" s="224">
        <f>IFERROR(VLOOKUP($A59,CP!$A$1:$U$7992,18,FALSE),"")</f>
        <v>400</v>
      </c>
      <c r="BQ59" s="224">
        <f>IFERROR(VLOOKUP($A59,CP!$A$1:$U$7992,19,FALSE),"")</f>
        <v>0</v>
      </c>
      <c r="BR59" s="224">
        <f>IFERROR(VLOOKUP($A59,CP!$A$1:$U$7992,20,FALSE),"")</f>
        <v>400</v>
      </c>
      <c r="BS59" s="224" t="str">
        <f>IFERROR(VLOOKUP($A59,CP!$A$1:$U$1,21,FALSE),"")</f>
        <v/>
      </c>
      <c r="BT59" s="224" t="str">
        <f>IFERROR(VLOOKUP(A59,Devengado!$A$1:AJ$9310,35,FALSE),"")</f>
        <v/>
      </c>
      <c r="BU59" s="224" t="str">
        <f t="shared" si="18"/>
        <v/>
      </c>
      <c r="BV59" s="224" t="str">
        <f t="shared" si="19"/>
        <v/>
      </c>
      <c r="BW59" s="224">
        <f t="shared" si="28"/>
        <v>400</v>
      </c>
      <c r="BX59" s="429">
        <v>0</v>
      </c>
      <c r="BY59" s="429">
        <v>0</v>
      </c>
      <c r="BZ59" s="429">
        <v>0</v>
      </c>
      <c r="CA59" s="429">
        <v>0</v>
      </c>
      <c r="CB59" s="429">
        <v>0</v>
      </c>
      <c r="CC59" s="429">
        <v>0</v>
      </c>
      <c r="CD59" s="429">
        <v>400</v>
      </c>
      <c r="CE59" s="429"/>
      <c r="CF59" s="429">
        <v>0</v>
      </c>
      <c r="CG59" s="429">
        <v>0</v>
      </c>
      <c r="CH59" s="429">
        <v>0</v>
      </c>
      <c r="CI59" s="429">
        <v>0</v>
      </c>
      <c r="CJ59" s="224" t="str">
        <f>IFERROR(VLOOKUP($A59,Devengado!$A$1:$AI$9038,22,FALSE),"")</f>
        <v/>
      </c>
      <c r="CK59" s="224" t="str">
        <f>IFERROR(VLOOKUP($A59,Devengado!$A$1:$AI$9038,23,FALSE),"")</f>
        <v/>
      </c>
      <c r="CL59" s="224" t="str">
        <f>IFERROR(VLOOKUP($A59,Devengado!$A$1:$AI$9038,24,FALSE),"")</f>
        <v/>
      </c>
      <c r="CM59" s="224" t="str">
        <f>IFERROR(VLOOKUP($A59,Devengado!$A$1:$AI$9038,25,FALSE),"")</f>
        <v/>
      </c>
      <c r="CN59" s="224" t="str">
        <f>IFERROR(VLOOKUP($A59,Devengado!$A$1:$AI$9038,26,FALSE),"")</f>
        <v/>
      </c>
      <c r="CO59" s="224" t="str">
        <f>IFERROR(VLOOKUP($A59,Devengado!$A$1:$AI$9038,27,FALSE),"")</f>
        <v/>
      </c>
      <c r="CP59" s="224" t="str">
        <f>IFERROR(VLOOKUP($A59,Devengado!$A$1:$AI$9038,28,FALSE),"")</f>
        <v/>
      </c>
      <c r="CQ59" s="224" t="str">
        <f>IFERROR(VLOOKUP($A59,Devengado!$A$1:$AI$9038,29,FALSE),"")</f>
        <v/>
      </c>
      <c r="CR59" s="224" t="str">
        <f>IFERROR(VLOOKUP($A59,Devengado!$A$1:$AI$9038,30,FALSE),"")</f>
        <v/>
      </c>
      <c r="CS59" s="224" t="str">
        <f>IFERROR(VLOOKUP($A59,Devengado!$A$1:$AI$9038,31,FALSE),"")</f>
        <v/>
      </c>
      <c r="CT59" s="224" t="str">
        <f>IFERROR(VLOOKUP($A59,Devengado!$A$1:$AI$9038,32,FALSE),"")</f>
        <v/>
      </c>
      <c r="CU59" s="224" t="str">
        <f>IFERROR(VLOOKUP($A59,Devengado!$A$1:$AI$9038,33,FALSE),"")</f>
        <v/>
      </c>
      <c r="CV59" s="224">
        <f t="shared" si="20"/>
        <v>0</v>
      </c>
      <c r="CW59" s="224" t="str">
        <f t="shared" si="21"/>
        <v/>
      </c>
      <c r="CX59" s="207"/>
      <c r="CY59" s="207" t="str">
        <f t="shared" si="22"/>
        <v>53</v>
      </c>
      <c r="CZ59" s="112" t="s">
        <v>915</v>
      </c>
    </row>
    <row r="60" spans="1:104" s="225" customFormat="1" ht="25.5" customHeight="1">
      <c r="A60" s="207">
        <v>470</v>
      </c>
      <c r="B60" s="207"/>
      <c r="C60" s="207"/>
      <c r="D60" s="207"/>
      <c r="E60" s="207"/>
      <c r="F60" s="207"/>
      <c r="G60" s="207"/>
      <c r="H60" s="207"/>
      <c r="I60" s="207"/>
      <c r="J60" s="207"/>
      <c r="K60" s="112" t="s">
        <v>429</v>
      </c>
      <c r="L60" s="112" t="s">
        <v>850</v>
      </c>
      <c r="M60" s="112" t="s">
        <v>850</v>
      </c>
      <c r="N60" s="112" t="s">
        <v>77</v>
      </c>
      <c r="O60" s="112" t="s">
        <v>77</v>
      </c>
      <c r="P60" s="112" t="s">
        <v>76</v>
      </c>
      <c r="Q60" s="112" t="s">
        <v>77</v>
      </c>
      <c r="R60" s="112" t="s">
        <v>77</v>
      </c>
      <c r="S60" s="112" t="s">
        <v>77</v>
      </c>
      <c r="T60" s="112" t="s">
        <v>77</v>
      </c>
      <c r="U60" s="112" t="s">
        <v>77</v>
      </c>
      <c r="V60" s="112" t="s">
        <v>77</v>
      </c>
      <c r="W60" s="112" t="s">
        <v>85</v>
      </c>
      <c r="X60" s="124" t="s">
        <v>477</v>
      </c>
      <c r="Y60" s="114" t="s">
        <v>430</v>
      </c>
      <c r="Z60" s="114" t="s">
        <v>111</v>
      </c>
      <c r="AA60" s="114" t="s">
        <v>81</v>
      </c>
      <c r="AB60" s="114" t="s">
        <v>112</v>
      </c>
      <c r="AC60" s="115" t="str">
        <f t="shared" si="23"/>
        <v>53</v>
      </c>
      <c r="AD60" s="124">
        <v>530701</v>
      </c>
      <c r="AE60" s="122" t="str">
        <f>VLOOKUP(AD60,ITEM!$C$1:$D$694,2,FALSE)</f>
        <v>Desarrollo, Actualización, Asistencia Técnica y Soporte de Sistemas Informáticos</v>
      </c>
      <c r="AF60" s="112">
        <v>1309</v>
      </c>
      <c r="AG60" s="114" t="s">
        <v>82</v>
      </c>
      <c r="AH60" s="114" t="s">
        <v>84</v>
      </c>
      <c r="AI60" s="114" t="s">
        <v>84</v>
      </c>
      <c r="AJ60" s="114" t="s">
        <v>914</v>
      </c>
      <c r="AK60" s="114" t="s">
        <v>77</v>
      </c>
      <c r="AL60" s="271">
        <v>400</v>
      </c>
      <c r="AM60" s="272"/>
      <c r="AN60" s="272">
        <f t="shared" si="15"/>
        <v>400</v>
      </c>
      <c r="AO60" s="224">
        <f>SUMIF(Reforma!$A$2:$A$8523,$A60,Reforma!$AB$2:$AB$8523)</f>
        <v>0</v>
      </c>
      <c r="AP60" s="224">
        <f>SUMIF(Reforma!$A$2:$A$8523,$A60,Reforma!$AC$2:$AC$8523)</f>
        <v>0</v>
      </c>
      <c r="AQ60" s="224">
        <f>SUMIF(Reforma!$A$2:$A$8523,$A60,Reforma!$AD$2:$AD$8523)</f>
        <v>0</v>
      </c>
      <c r="AR60" s="224">
        <f>SUMIF(Reforma!$A$2:$A$8523,$A60,Reforma!$AE$2:$AE$8523)</f>
        <v>0</v>
      </c>
      <c r="AS60" s="224">
        <f t="shared" si="24"/>
        <v>400</v>
      </c>
      <c r="AT60" s="224">
        <f t="shared" si="25"/>
        <v>0</v>
      </c>
      <c r="AU60" s="224">
        <f t="shared" si="26"/>
        <v>400</v>
      </c>
      <c r="AV60" s="326">
        <v>0</v>
      </c>
      <c r="AW60" s="326">
        <v>0</v>
      </c>
      <c r="AX60" s="326">
        <v>0</v>
      </c>
      <c r="AY60" s="326">
        <v>0</v>
      </c>
      <c r="AZ60" s="326">
        <v>0</v>
      </c>
      <c r="BA60" s="326">
        <v>0</v>
      </c>
      <c r="BB60" s="326">
        <v>0</v>
      </c>
      <c r="BC60" s="326">
        <v>0</v>
      </c>
      <c r="BD60" s="326"/>
      <c r="BE60" s="326">
        <v>400</v>
      </c>
      <c r="BF60" s="326">
        <v>0</v>
      </c>
      <c r="BG60" s="326">
        <v>0</v>
      </c>
      <c r="BH60" s="408">
        <f t="shared" si="16"/>
        <v>400</v>
      </c>
      <c r="BI60" s="408">
        <f t="shared" si="29"/>
        <v>400</v>
      </c>
      <c r="BJ60" s="408">
        <f t="shared" si="27"/>
        <v>0</v>
      </c>
      <c r="BK60" s="224"/>
      <c r="BL60" s="224"/>
      <c r="BM60" s="224"/>
      <c r="BN60" s="224">
        <f>IFERROR(VLOOKUP($A60,'Constancias POA'!$A$2:$DH$9993,18,FALSE),"")</f>
        <v>400</v>
      </c>
      <c r="BO60" s="224">
        <f t="shared" si="17"/>
        <v>0</v>
      </c>
      <c r="BP60" s="224">
        <f>IFERROR(VLOOKUP($A60,CP!$A$1:$U$7992,18,FALSE),"")</f>
        <v>400</v>
      </c>
      <c r="BQ60" s="224">
        <f>IFERROR(VLOOKUP($A60,CP!$A$1:$U$7992,19,FALSE),"")</f>
        <v>0</v>
      </c>
      <c r="BR60" s="224">
        <f>IFERROR(VLOOKUP($A60,CP!$A$1:$U$7992,20,FALSE),"")</f>
        <v>400</v>
      </c>
      <c r="BS60" s="224" t="str">
        <f>IFERROR(VLOOKUP($A60,CP!$A$1:$U$1,21,FALSE),"")</f>
        <v/>
      </c>
      <c r="BT60" s="224" t="str">
        <f>IFERROR(VLOOKUP(A60,Devengado!$A$1:AJ$9310,35,FALSE),"")</f>
        <v/>
      </c>
      <c r="BU60" s="224" t="str">
        <f t="shared" si="18"/>
        <v/>
      </c>
      <c r="BV60" s="224" t="str">
        <f t="shared" si="19"/>
        <v/>
      </c>
      <c r="BW60" s="224">
        <f t="shared" si="28"/>
        <v>400</v>
      </c>
      <c r="BX60" s="429">
        <v>0</v>
      </c>
      <c r="BY60" s="429">
        <v>0</v>
      </c>
      <c r="BZ60" s="429">
        <v>0</v>
      </c>
      <c r="CA60" s="429">
        <v>0</v>
      </c>
      <c r="CB60" s="429">
        <v>0</v>
      </c>
      <c r="CC60" s="429">
        <v>0</v>
      </c>
      <c r="CD60" s="429">
        <v>0</v>
      </c>
      <c r="CE60" s="429">
        <v>0</v>
      </c>
      <c r="CF60" s="429">
        <v>400</v>
      </c>
      <c r="CG60" s="429">
        <v>0</v>
      </c>
      <c r="CH60" s="429">
        <v>0</v>
      </c>
      <c r="CI60" s="429">
        <v>0</v>
      </c>
      <c r="CJ60" s="224" t="str">
        <f>IFERROR(VLOOKUP($A60,Devengado!$A$1:$AI$9038,22,FALSE),"")</f>
        <v/>
      </c>
      <c r="CK60" s="224" t="str">
        <f>IFERROR(VLOOKUP($A60,Devengado!$A$1:$AI$9038,23,FALSE),"")</f>
        <v/>
      </c>
      <c r="CL60" s="224" t="str">
        <f>IFERROR(VLOOKUP($A60,Devengado!$A$1:$AI$9038,24,FALSE),"")</f>
        <v/>
      </c>
      <c r="CM60" s="224" t="str">
        <f>IFERROR(VLOOKUP($A60,Devengado!$A$1:$AI$9038,25,FALSE),"")</f>
        <v/>
      </c>
      <c r="CN60" s="224" t="str">
        <f>IFERROR(VLOOKUP($A60,Devengado!$A$1:$AI$9038,26,FALSE),"")</f>
        <v/>
      </c>
      <c r="CO60" s="224" t="str">
        <f>IFERROR(VLOOKUP($A60,Devengado!$A$1:$AI$9038,27,FALSE),"")</f>
        <v/>
      </c>
      <c r="CP60" s="224" t="str">
        <f>IFERROR(VLOOKUP($A60,Devengado!$A$1:$AI$9038,28,FALSE),"")</f>
        <v/>
      </c>
      <c r="CQ60" s="224" t="str">
        <f>IFERROR(VLOOKUP($A60,Devengado!$A$1:$AI$9038,29,FALSE),"")</f>
        <v/>
      </c>
      <c r="CR60" s="224" t="str">
        <f>IFERROR(VLOOKUP($A60,Devengado!$A$1:$AI$9038,30,FALSE),"")</f>
        <v/>
      </c>
      <c r="CS60" s="224" t="str">
        <f>IFERROR(VLOOKUP($A60,Devengado!$A$1:$AI$9038,31,FALSE),"")</f>
        <v/>
      </c>
      <c r="CT60" s="224" t="str">
        <f>IFERROR(VLOOKUP($A60,Devengado!$A$1:$AI$9038,32,FALSE),"")</f>
        <v/>
      </c>
      <c r="CU60" s="224" t="str">
        <f>IFERROR(VLOOKUP($A60,Devengado!$A$1:$AI$9038,33,FALSE),"")</f>
        <v/>
      </c>
      <c r="CV60" s="224">
        <f t="shared" si="20"/>
        <v>0</v>
      </c>
      <c r="CW60" s="224" t="str">
        <f t="shared" si="21"/>
        <v/>
      </c>
      <c r="CX60" s="207"/>
      <c r="CY60" s="207" t="str">
        <f t="shared" si="22"/>
        <v>53</v>
      </c>
      <c r="CZ60" s="112" t="s">
        <v>915</v>
      </c>
    </row>
    <row r="61" spans="1:104" s="225" customFormat="1" ht="25.5" customHeight="1">
      <c r="A61" s="207">
        <v>471</v>
      </c>
      <c r="B61" s="207"/>
      <c r="C61" s="207"/>
      <c r="D61" s="207"/>
      <c r="E61" s="207"/>
      <c r="F61" s="207"/>
      <c r="G61" s="207"/>
      <c r="H61" s="207"/>
      <c r="I61" s="207"/>
      <c r="J61" s="207"/>
      <c r="K61" s="112" t="s">
        <v>429</v>
      </c>
      <c r="L61" s="112" t="s">
        <v>850</v>
      </c>
      <c r="M61" s="112" t="s">
        <v>918</v>
      </c>
      <c r="N61" s="112" t="s">
        <v>77</v>
      </c>
      <c r="O61" s="112" t="s">
        <v>77</v>
      </c>
      <c r="P61" s="112" t="s">
        <v>76</v>
      </c>
      <c r="Q61" s="112" t="s">
        <v>77</v>
      </c>
      <c r="R61" s="112" t="s">
        <v>77</v>
      </c>
      <c r="S61" s="112" t="s">
        <v>77</v>
      </c>
      <c r="T61" s="112" t="s">
        <v>77</v>
      </c>
      <c r="U61" s="112" t="s">
        <v>77</v>
      </c>
      <c r="V61" s="112" t="s">
        <v>77</v>
      </c>
      <c r="W61" s="112" t="s">
        <v>85</v>
      </c>
      <c r="X61" s="124" t="s">
        <v>478</v>
      </c>
      <c r="Y61" s="114" t="s">
        <v>430</v>
      </c>
      <c r="Z61" s="114" t="s">
        <v>111</v>
      </c>
      <c r="AA61" s="114" t="s">
        <v>81</v>
      </c>
      <c r="AB61" s="114" t="s">
        <v>112</v>
      </c>
      <c r="AC61" s="115" t="str">
        <f t="shared" si="23"/>
        <v>53</v>
      </c>
      <c r="AD61" s="124">
        <v>530402</v>
      </c>
      <c r="AE61" s="122" t="str">
        <f>VLOOKUP(AD61,ITEM!$C$1:$D$694,2,FALSE)</f>
        <v>Edificios, Locales, Residencias y Cableado Estructurado (Instalación, Mantenimiento y Reparación)</v>
      </c>
      <c r="AF61" s="112">
        <v>1314</v>
      </c>
      <c r="AG61" s="114" t="s">
        <v>82</v>
      </c>
      <c r="AH61" s="114" t="s">
        <v>84</v>
      </c>
      <c r="AI61" s="114" t="s">
        <v>84</v>
      </c>
      <c r="AJ61" s="114" t="s">
        <v>914</v>
      </c>
      <c r="AK61" s="114" t="s">
        <v>77</v>
      </c>
      <c r="AL61" s="271">
        <v>3600</v>
      </c>
      <c r="AM61" s="272"/>
      <c r="AN61" s="272">
        <f t="shared" si="15"/>
        <v>3600</v>
      </c>
      <c r="AO61" s="224">
        <f>SUMIF(Reforma!$A$2:$A$8523,$A61,Reforma!$AB$2:$AB$8523)</f>
        <v>0</v>
      </c>
      <c r="AP61" s="224">
        <f>SUMIF(Reforma!$A$2:$A$8523,$A61,Reforma!$AC$2:$AC$8523)</f>
        <v>-3600</v>
      </c>
      <c r="AQ61" s="224">
        <f>SUMIF(Reforma!$A$2:$A$8523,$A61,Reforma!$AD$2:$AD$8523)</f>
        <v>0</v>
      </c>
      <c r="AR61" s="224">
        <f>SUMIF(Reforma!$A$2:$A$8523,$A61,Reforma!$AE$2:$AE$8523)</f>
        <v>0</v>
      </c>
      <c r="AS61" s="224">
        <f t="shared" si="24"/>
        <v>0</v>
      </c>
      <c r="AT61" s="224">
        <f t="shared" si="25"/>
        <v>0</v>
      </c>
      <c r="AU61" s="224">
        <f t="shared" si="26"/>
        <v>0</v>
      </c>
      <c r="AV61" s="409"/>
      <c r="AW61" s="409"/>
      <c r="AX61" s="409"/>
      <c r="AY61" s="409"/>
      <c r="AZ61" s="409"/>
      <c r="BA61" s="409"/>
      <c r="BB61" s="409"/>
      <c r="BC61" s="409"/>
      <c r="BD61" s="409"/>
      <c r="BE61" s="409"/>
      <c r="BF61" s="409"/>
      <c r="BG61" s="409"/>
      <c r="BH61" s="408">
        <f t="shared" si="16"/>
        <v>3600</v>
      </c>
      <c r="BI61" s="408">
        <f t="shared" si="29"/>
        <v>0</v>
      </c>
      <c r="BJ61" s="408">
        <f t="shared" si="27"/>
        <v>0</v>
      </c>
      <c r="BK61" s="224"/>
      <c r="BL61" s="224"/>
      <c r="BM61" s="224"/>
      <c r="BN61" s="224">
        <f>IFERROR(VLOOKUP($A61,'Constancias POA'!$A$2:$DH$9993,18,FALSE),"")</f>
        <v>0</v>
      </c>
      <c r="BO61" s="224">
        <f t="shared" si="17"/>
        <v>0</v>
      </c>
      <c r="BP61" s="224">
        <f>IFERROR(VLOOKUP($A61,CP!$A$1:$U$7992,18,FALSE),"")</f>
        <v>0</v>
      </c>
      <c r="BQ61" s="224">
        <f>IFERROR(VLOOKUP($A61,CP!$A$1:$U$7992,19,FALSE),"")</f>
        <v>0</v>
      </c>
      <c r="BR61" s="224">
        <f>IFERROR(VLOOKUP($A61,CP!$A$1:$U$7992,20,FALSE),"")</f>
        <v>0</v>
      </c>
      <c r="BS61" s="224" t="str">
        <f>IFERROR(VLOOKUP($A61,CP!$A$1:$U$1,21,FALSE),"")</f>
        <v/>
      </c>
      <c r="BT61" s="224" t="str">
        <f>IFERROR(VLOOKUP(A61,Devengado!$A$1:AJ$9310,35,FALSE),"")</f>
        <v/>
      </c>
      <c r="BU61" s="224" t="str">
        <f t="shared" si="18"/>
        <v/>
      </c>
      <c r="BV61" s="224" t="str">
        <f t="shared" si="19"/>
        <v/>
      </c>
      <c r="BW61" s="224">
        <f t="shared" si="28"/>
        <v>0</v>
      </c>
      <c r="BX61" s="429">
        <v>0</v>
      </c>
      <c r="BY61" s="429">
        <v>0</v>
      </c>
      <c r="BZ61" s="429">
        <v>3600</v>
      </c>
      <c r="CA61" s="429">
        <v>0</v>
      </c>
      <c r="CB61" s="429">
        <v>0</v>
      </c>
      <c r="CC61" s="429">
        <v>0</v>
      </c>
      <c r="CD61" s="429">
        <v>0</v>
      </c>
      <c r="CE61" s="429">
        <v>0</v>
      </c>
      <c r="CF61" s="429">
        <v>0</v>
      </c>
      <c r="CG61" s="429">
        <v>0</v>
      </c>
      <c r="CH61" s="429">
        <v>0</v>
      </c>
      <c r="CI61" s="429">
        <v>0</v>
      </c>
      <c r="CJ61" s="224" t="str">
        <f>IFERROR(VLOOKUP($A61,Devengado!$A$1:$AI$9038,22,FALSE),"")</f>
        <v/>
      </c>
      <c r="CK61" s="224" t="str">
        <f>IFERROR(VLOOKUP($A61,Devengado!$A$1:$AI$9038,23,FALSE),"")</f>
        <v/>
      </c>
      <c r="CL61" s="224" t="str">
        <f>IFERROR(VLOOKUP($A61,Devengado!$A$1:$AI$9038,24,FALSE),"")</f>
        <v/>
      </c>
      <c r="CM61" s="224" t="str">
        <f>IFERROR(VLOOKUP($A61,Devengado!$A$1:$AI$9038,25,FALSE),"")</f>
        <v/>
      </c>
      <c r="CN61" s="224" t="str">
        <f>IFERROR(VLOOKUP($A61,Devengado!$A$1:$AI$9038,26,FALSE),"")</f>
        <v/>
      </c>
      <c r="CO61" s="224" t="str">
        <f>IFERROR(VLOOKUP($A61,Devengado!$A$1:$AI$9038,27,FALSE),"")</f>
        <v/>
      </c>
      <c r="CP61" s="224" t="str">
        <f>IFERROR(VLOOKUP($A61,Devengado!$A$1:$AI$9038,28,FALSE),"")</f>
        <v/>
      </c>
      <c r="CQ61" s="224" t="str">
        <f>IFERROR(VLOOKUP($A61,Devengado!$A$1:$AI$9038,29,FALSE),"")</f>
        <v/>
      </c>
      <c r="CR61" s="224" t="str">
        <f>IFERROR(VLOOKUP($A61,Devengado!$A$1:$AI$9038,30,FALSE),"")</f>
        <v/>
      </c>
      <c r="CS61" s="224" t="str">
        <f>IFERROR(VLOOKUP($A61,Devengado!$A$1:$AI$9038,31,FALSE),"")</f>
        <v/>
      </c>
      <c r="CT61" s="224" t="str">
        <f>IFERROR(VLOOKUP($A61,Devengado!$A$1:$AI$9038,32,FALSE),"")</f>
        <v/>
      </c>
      <c r="CU61" s="224" t="str">
        <f>IFERROR(VLOOKUP($A61,Devengado!$A$1:$AI$9038,33,FALSE),"")</f>
        <v/>
      </c>
      <c r="CV61" s="224">
        <f t="shared" si="20"/>
        <v>0</v>
      </c>
      <c r="CW61" s="224" t="str">
        <f t="shared" si="21"/>
        <v/>
      </c>
      <c r="CX61" s="207"/>
      <c r="CY61" s="207" t="str">
        <f t="shared" si="22"/>
        <v>53</v>
      </c>
      <c r="CZ61" s="112" t="s">
        <v>916</v>
      </c>
    </row>
    <row r="62" spans="1:104" s="225" customFormat="1" ht="25.5" customHeight="1">
      <c r="A62" s="207">
        <v>472</v>
      </c>
      <c r="B62" s="207"/>
      <c r="C62" s="207"/>
      <c r="D62" s="207"/>
      <c r="E62" s="207"/>
      <c r="F62" s="207"/>
      <c r="G62" s="207"/>
      <c r="H62" s="207"/>
      <c r="I62" s="207"/>
      <c r="J62" s="207"/>
      <c r="K62" s="112" t="s">
        <v>429</v>
      </c>
      <c r="L62" s="112" t="s">
        <v>850</v>
      </c>
      <c r="M62" s="112" t="s">
        <v>850</v>
      </c>
      <c r="N62" s="112" t="s">
        <v>77</v>
      </c>
      <c r="O62" s="112" t="s">
        <v>77</v>
      </c>
      <c r="P62" s="112" t="s">
        <v>76</v>
      </c>
      <c r="Q62" s="112" t="s">
        <v>77</v>
      </c>
      <c r="R62" s="112" t="s">
        <v>77</v>
      </c>
      <c r="S62" s="112" t="s">
        <v>77</v>
      </c>
      <c r="T62" s="112" t="s">
        <v>77</v>
      </c>
      <c r="U62" s="112" t="s">
        <v>77</v>
      </c>
      <c r="V62" s="112" t="s">
        <v>77</v>
      </c>
      <c r="W62" s="112" t="s">
        <v>85</v>
      </c>
      <c r="X62" s="124" t="s">
        <v>479</v>
      </c>
      <c r="Y62" s="114" t="s">
        <v>430</v>
      </c>
      <c r="Z62" s="114" t="s">
        <v>111</v>
      </c>
      <c r="AA62" s="114" t="s">
        <v>81</v>
      </c>
      <c r="AB62" s="114" t="s">
        <v>112</v>
      </c>
      <c r="AC62" s="115" t="str">
        <f t="shared" si="23"/>
        <v>57</v>
      </c>
      <c r="AD62" s="124">
        <v>570102</v>
      </c>
      <c r="AE62" s="122" t="str">
        <f>VLOOKUP(AD62,ITEM!$C$1:$D$694,2,FALSE)</f>
        <v>Tasas Generales, Impuestos, Contribuciones, Permisos, Licencias y Patentes.</v>
      </c>
      <c r="AF62" s="112">
        <v>1309</v>
      </c>
      <c r="AG62" s="114" t="s">
        <v>82</v>
      </c>
      <c r="AH62" s="114" t="s">
        <v>84</v>
      </c>
      <c r="AI62" s="114" t="s">
        <v>84</v>
      </c>
      <c r="AJ62" s="114" t="s">
        <v>914</v>
      </c>
      <c r="AK62" s="114" t="s">
        <v>77</v>
      </c>
      <c r="AL62" s="271">
        <v>300</v>
      </c>
      <c r="AM62" s="272"/>
      <c r="AN62" s="272">
        <f t="shared" si="15"/>
        <v>300</v>
      </c>
      <c r="AO62" s="224">
        <f>SUMIF(Reforma!$A$2:$A$8523,$A62,Reforma!$AB$2:$AB$8523)</f>
        <v>147.83000000000001</v>
      </c>
      <c r="AP62" s="224">
        <f>SUMIF(Reforma!$A$2:$A$8523,$A62,Reforma!$AC$2:$AC$8523)</f>
        <v>0</v>
      </c>
      <c r="AQ62" s="224">
        <f>SUMIF(Reforma!$A$2:$A$8523,$A62,Reforma!$AD$2:$AD$8523)</f>
        <v>0</v>
      </c>
      <c r="AR62" s="224">
        <f>SUMIF(Reforma!$A$2:$A$8523,$A62,Reforma!$AE$2:$AE$8523)</f>
        <v>0</v>
      </c>
      <c r="AS62" s="224">
        <f t="shared" si="24"/>
        <v>447.83000000000004</v>
      </c>
      <c r="AT62" s="224">
        <f t="shared" si="25"/>
        <v>0</v>
      </c>
      <c r="AU62" s="224">
        <f t="shared" si="26"/>
        <v>447.83000000000004</v>
      </c>
      <c r="AV62" s="461"/>
      <c r="AW62" s="461"/>
      <c r="AX62" s="461"/>
      <c r="AY62" s="461"/>
      <c r="AZ62" s="461"/>
      <c r="BA62" s="461"/>
      <c r="BB62" s="461"/>
      <c r="BC62" s="461"/>
      <c r="BD62" s="461">
        <v>300</v>
      </c>
      <c r="BE62" s="461"/>
      <c r="BF62" s="461">
        <v>147.83000000000001</v>
      </c>
      <c r="BG62" s="461"/>
      <c r="BH62" s="408">
        <f t="shared" si="16"/>
        <v>300</v>
      </c>
      <c r="BI62" s="408">
        <f t="shared" si="29"/>
        <v>447.83000000000004</v>
      </c>
      <c r="BJ62" s="408">
        <f t="shared" si="27"/>
        <v>0</v>
      </c>
      <c r="BK62" s="224"/>
      <c r="BL62" s="224"/>
      <c r="BM62" s="224"/>
      <c r="BN62" s="224">
        <f>IFERROR(VLOOKUP($A62,'Constancias POA'!$A$2:$DH$9993,18,FALSE),"")</f>
        <v>300</v>
      </c>
      <c r="BO62" s="224">
        <f t="shared" si="17"/>
        <v>147.83000000000004</v>
      </c>
      <c r="BP62" s="224">
        <f>IFERROR(VLOOKUP($A62,CP!$A$1:$U$7992,18,FALSE),"")</f>
        <v>447.83000000000004</v>
      </c>
      <c r="BQ62" s="224">
        <f>IFERROR(VLOOKUP($A62,CP!$A$1:$U$7992,19,FALSE),"")</f>
        <v>447.83000000000004</v>
      </c>
      <c r="BR62" s="224">
        <f>IFERROR(VLOOKUP($A62,CP!$A$1:$U$7992,20,FALSE),"")</f>
        <v>0</v>
      </c>
      <c r="BS62" s="224" t="str">
        <f>IFERROR(VLOOKUP($A62,CP!$A$1:$U$1,21,FALSE),"")</f>
        <v/>
      </c>
      <c r="BT62" s="224">
        <f>IFERROR(VLOOKUP(A62,Devengado!$A$1:AJ$9310,35,FALSE),"")</f>
        <v>447.83000000000004</v>
      </c>
      <c r="BU62" s="224">
        <f t="shared" si="18"/>
        <v>0</v>
      </c>
      <c r="BV62" s="224">
        <f t="shared" si="19"/>
        <v>1</v>
      </c>
      <c r="BW62" s="224">
        <f t="shared" si="28"/>
        <v>447.83000000000004</v>
      </c>
      <c r="BX62" s="429">
        <v>0</v>
      </c>
      <c r="BY62" s="429">
        <v>30</v>
      </c>
      <c r="BZ62" s="429">
        <v>30</v>
      </c>
      <c r="CA62" s="429">
        <v>30</v>
      </c>
      <c r="CB62" s="429">
        <v>30</v>
      </c>
      <c r="CC62" s="429">
        <v>30</v>
      </c>
      <c r="CD62" s="429">
        <v>30</v>
      </c>
      <c r="CE62" s="429">
        <v>30</v>
      </c>
      <c r="CF62" s="429">
        <v>30</v>
      </c>
      <c r="CG62" s="429">
        <v>30</v>
      </c>
      <c r="CH62" s="429">
        <v>30</v>
      </c>
      <c r="CI62" s="429">
        <v>0</v>
      </c>
      <c r="CJ62" s="224">
        <f>IFERROR(VLOOKUP($A62,Devengado!$A$1:$AI$9038,22,FALSE),"")</f>
        <v>0</v>
      </c>
      <c r="CK62" s="224">
        <f>IFERROR(VLOOKUP($A62,Devengado!$A$1:$AI$9038,23,FALSE),"")</f>
        <v>0</v>
      </c>
      <c r="CL62" s="224">
        <f>IFERROR(VLOOKUP($A62,Devengado!$A$1:$AI$9038,24,FALSE),"")</f>
        <v>0</v>
      </c>
      <c r="CM62" s="224">
        <f>IFERROR(VLOOKUP($A62,Devengado!$A$1:$AI$9038,25,FALSE),"")</f>
        <v>0</v>
      </c>
      <c r="CN62" s="224">
        <f>IFERROR(VLOOKUP($A62,Devengado!$A$1:$AI$9038,26,FALSE),"")</f>
        <v>0</v>
      </c>
      <c r="CO62" s="224">
        <f>IFERROR(VLOOKUP($A62,Devengado!$A$1:$AI$9038,27,FALSE),"")</f>
        <v>0</v>
      </c>
      <c r="CP62" s="224">
        <f>IFERROR(VLOOKUP($A62,Devengado!$A$1:$AI$9038,28,FALSE),"")</f>
        <v>0</v>
      </c>
      <c r="CQ62" s="224">
        <f>IFERROR(VLOOKUP($A62,Devengado!$A$1:$AI$9038,29,FALSE),"")</f>
        <v>0</v>
      </c>
      <c r="CR62" s="224">
        <f>IFERROR(VLOOKUP($A62,Devengado!$A$1:$AI$9038,30,FALSE),"")</f>
        <v>300</v>
      </c>
      <c r="CS62" s="224">
        <f>IFERROR(VLOOKUP($A62,Devengado!$A$1:$AI$9038,31,FALSE),"")</f>
        <v>0</v>
      </c>
      <c r="CT62" s="224">
        <f>IFERROR(VLOOKUP($A62,Devengado!$A$1:$AI$9038,32,FALSE),"")</f>
        <v>147.83000000000001</v>
      </c>
      <c r="CU62" s="224">
        <f>IFERROR(VLOOKUP($A62,Devengado!$A$1:$AI$9038,33,FALSE),"")</f>
        <v>0</v>
      </c>
      <c r="CV62" s="224">
        <f t="shared" si="20"/>
        <v>447.83000000000004</v>
      </c>
      <c r="CW62" s="224">
        <f t="shared" si="21"/>
        <v>0</v>
      </c>
      <c r="CX62" s="207"/>
      <c r="CY62" s="207" t="str">
        <f t="shared" si="22"/>
        <v>57</v>
      </c>
      <c r="CZ62" s="112" t="s">
        <v>916</v>
      </c>
    </row>
    <row r="63" spans="1:104" s="225" customFormat="1" ht="25.5" customHeight="1">
      <c r="A63" s="207">
        <v>473</v>
      </c>
      <c r="B63" s="207"/>
      <c r="C63" s="207"/>
      <c r="D63" s="207"/>
      <c r="E63" s="207"/>
      <c r="F63" s="207"/>
      <c r="G63" s="207"/>
      <c r="H63" s="207"/>
      <c r="I63" s="207"/>
      <c r="J63" s="207"/>
      <c r="K63" s="112" t="s">
        <v>429</v>
      </c>
      <c r="L63" s="112" t="s">
        <v>850</v>
      </c>
      <c r="M63" s="112" t="s">
        <v>850</v>
      </c>
      <c r="N63" s="112" t="s">
        <v>77</v>
      </c>
      <c r="O63" s="112" t="s">
        <v>77</v>
      </c>
      <c r="P63" s="112" t="s">
        <v>76</v>
      </c>
      <c r="Q63" s="112" t="s">
        <v>77</v>
      </c>
      <c r="R63" s="112" t="s">
        <v>77</v>
      </c>
      <c r="S63" s="112" t="s">
        <v>77</v>
      </c>
      <c r="T63" s="112" t="s">
        <v>77</v>
      </c>
      <c r="U63" s="112" t="s">
        <v>77</v>
      </c>
      <c r="V63" s="112" t="s">
        <v>77</v>
      </c>
      <c r="W63" s="112" t="s">
        <v>85</v>
      </c>
      <c r="X63" s="124" t="s">
        <v>480</v>
      </c>
      <c r="Y63" s="114" t="s">
        <v>430</v>
      </c>
      <c r="Z63" s="114" t="s">
        <v>111</v>
      </c>
      <c r="AA63" s="114" t="s">
        <v>81</v>
      </c>
      <c r="AB63" s="114" t="s">
        <v>112</v>
      </c>
      <c r="AC63" s="115" t="str">
        <f t="shared" si="23"/>
        <v>53</v>
      </c>
      <c r="AD63" s="124">
        <v>530203</v>
      </c>
      <c r="AE63" s="122" t="str">
        <f>VLOOKUP(AD63,ITEM!$C$1:$D$694,2,FALSE)</f>
        <v>Almacenamiento, Embalaje, Desembalaje, Envase, Desenvase y Recarga de Extintores</v>
      </c>
      <c r="AF63" s="112">
        <v>1309</v>
      </c>
      <c r="AG63" s="114" t="s">
        <v>82</v>
      </c>
      <c r="AH63" s="114" t="s">
        <v>84</v>
      </c>
      <c r="AI63" s="114" t="s">
        <v>84</v>
      </c>
      <c r="AJ63" s="114" t="s">
        <v>914</v>
      </c>
      <c r="AK63" s="114" t="s">
        <v>77</v>
      </c>
      <c r="AL63" s="271">
        <v>1500</v>
      </c>
      <c r="AM63" s="272"/>
      <c r="AN63" s="272">
        <f t="shared" si="15"/>
        <v>1500</v>
      </c>
      <c r="AO63" s="224">
        <f>SUMIF(Reforma!$A$2:$A$8523,$A63,Reforma!$AB$2:$AB$8523)</f>
        <v>1600</v>
      </c>
      <c r="AP63" s="224">
        <f>SUMIF(Reforma!$A$2:$A$8523,$A63,Reforma!$AC$2:$AC$8523)</f>
        <v>-1500</v>
      </c>
      <c r="AQ63" s="224">
        <f>SUMIF(Reforma!$A$2:$A$8523,$A63,Reforma!$AD$2:$AD$8523)</f>
        <v>0</v>
      </c>
      <c r="AR63" s="224">
        <f>SUMIF(Reforma!$A$2:$A$8523,$A63,Reforma!$AE$2:$AE$8523)</f>
        <v>0</v>
      </c>
      <c r="AS63" s="224">
        <f t="shared" si="24"/>
        <v>1600</v>
      </c>
      <c r="AT63" s="224">
        <f t="shared" si="25"/>
        <v>0</v>
      </c>
      <c r="AU63" s="224">
        <f t="shared" si="26"/>
        <v>1600</v>
      </c>
      <c r="AV63" s="326"/>
      <c r="AW63" s="326"/>
      <c r="AX63" s="326"/>
      <c r="AY63" s="326"/>
      <c r="AZ63" s="326"/>
      <c r="BA63" s="326"/>
      <c r="BB63" s="326"/>
      <c r="BC63" s="326"/>
      <c r="BD63" s="326"/>
      <c r="BE63" s="326"/>
      <c r="BF63" s="326">
        <v>1600</v>
      </c>
      <c r="BG63" s="326"/>
      <c r="BH63" s="408">
        <f t="shared" si="16"/>
        <v>1500</v>
      </c>
      <c r="BI63" s="408">
        <f t="shared" si="29"/>
        <v>1600</v>
      </c>
      <c r="BJ63" s="408">
        <f t="shared" si="27"/>
        <v>0</v>
      </c>
      <c r="BK63" s="224"/>
      <c r="BL63" s="224"/>
      <c r="BM63" s="224"/>
      <c r="BN63" s="224">
        <f>IFERROR(VLOOKUP($A63,'Constancias POA'!$A$2:$DH$9993,18,FALSE),"")</f>
        <v>0</v>
      </c>
      <c r="BO63" s="224">
        <f t="shared" si="17"/>
        <v>1600</v>
      </c>
      <c r="BP63" s="224">
        <f>IFERROR(VLOOKUP($A63,CP!$A$1:$U$7992,18,FALSE),"")</f>
        <v>1600</v>
      </c>
      <c r="BQ63" s="224">
        <f>IFERROR(VLOOKUP($A63,CP!$A$1:$U$7992,19,FALSE),"")</f>
        <v>1549</v>
      </c>
      <c r="BR63" s="224">
        <f>IFERROR(VLOOKUP($A63,CP!$A$1:$U$7992,20,FALSE),"")</f>
        <v>51</v>
      </c>
      <c r="BS63" s="224" t="str">
        <f>IFERROR(VLOOKUP($A63,CP!$A$1:$U$1,21,FALSE),"")</f>
        <v/>
      </c>
      <c r="BT63" s="224">
        <f>IFERROR(VLOOKUP(A63,Devengado!$A$1:AJ$9310,35,FALSE),"")</f>
        <v>1549</v>
      </c>
      <c r="BU63" s="224">
        <f t="shared" si="18"/>
        <v>51</v>
      </c>
      <c r="BV63" s="224">
        <f t="shared" si="19"/>
        <v>0.96812500000000001</v>
      </c>
      <c r="BW63" s="224">
        <f t="shared" si="28"/>
        <v>1600</v>
      </c>
      <c r="BX63" s="429">
        <v>0</v>
      </c>
      <c r="BY63" s="429">
        <v>0</v>
      </c>
      <c r="BZ63" s="429">
        <v>0</v>
      </c>
      <c r="CA63" s="429">
        <v>0</v>
      </c>
      <c r="CB63" s="429">
        <v>0</v>
      </c>
      <c r="CC63" s="429">
        <v>0</v>
      </c>
      <c r="CD63" s="429">
        <v>0</v>
      </c>
      <c r="CE63" s="429">
        <v>0</v>
      </c>
      <c r="CF63" s="429">
        <v>0</v>
      </c>
      <c r="CG63" s="429">
        <v>1500</v>
      </c>
      <c r="CH63" s="429">
        <v>0</v>
      </c>
      <c r="CI63" s="429">
        <v>0</v>
      </c>
      <c r="CJ63" s="224">
        <f>IFERROR(VLOOKUP($A63,Devengado!$A$1:$AI$9038,22,FALSE),"")</f>
        <v>0</v>
      </c>
      <c r="CK63" s="224">
        <f>IFERROR(VLOOKUP($A63,Devengado!$A$1:$AI$9038,23,FALSE),"")</f>
        <v>0</v>
      </c>
      <c r="CL63" s="224">
        <f>IFERROR(VLOOKUP($A63,Devengado!$A$1:$AI$9038,24,FALSE),"")</f>
        <v>0</v>
      </c>
      <c r="CM63" s="224">
        <f>IFERROR(VLOOKUP($A63,Devengado!$A$1:$AI$9038,25,FALSE),"")</f>
        <v>0</v>
      </c>
      <c r="CN63" s="224">
        <f>IFERROR(VLOOKUP($A63,Devengado!$A$1:$AI$9038,26,FALSE),"")</f>
        <v>0</v>
      </c>
      <c r="CO63" s="224">
        <f>IFERROR(VLOOKUP($A63,Devengado!$A$1:$AI$9038,27,FALSE),"")</f>
        <v>0</v>
      </c>
      <c r="CP63" s="224">
        <f>IFERROR(VLOOKUP($A63,Devengado!$A$1:$AI$9038,28,FALSE),"")</f>
        <v>0</v>
      </c>
      <c r="CQ63" s="224">
        <f>IFERROR(VLOOKUP($A63,Devengado!$A$1:$AI$9038,29,FALSE),"")</f>
        <v>0</v>
      </c>
      <c r="CR63" s="224">
        <f>IFERROR(VLOOKUP($A63,Devengado!$A$1:$AI$9038,30,FALSE),"")</f>
        <v>0</v>
      </c>
      <c r="CS63" s="224">
        <f>IFERROR(VLOOKUP($A63,Devengado!$A$1:$AI$9038,31,FALSE),"")</f>
        <v>0</v>
      </c>
      <c r="CT63" s="224">
        <f>IFERROR(VLOOKUP($A63,Devengado!$A$1:$AI$9038,32,FALSE),"")</f>
        <v>0</v>
      </c>
      <c r="CU63" s="224">
        <f>IFERROR(VLOOKUP($A63,Devengado!$A$1:$AI$9038,33,FALSE),"")</f>
        <v>1549</v>
      </c>
      <c r="CV63" s="224">
        <f t="shared" si="20"/>
        <v>1549</v>
      </c>
      <c r="CW63" s="224">
        <f t="shared" si="21"/>
        <v>0</v>
      </c>
      <c r="CX63" s="207"/>
      <c r="CY63" s="207" t="str">
        <f t="shared" si="22"/>
        <v>53</v>
      </c>
      <c r="CZ63" s="112" t="s">
        <v>916</v>
      </c>
    </row>
    <row r="64" spans="1:104" s="225" customFormat="1" ht="25.5" customHeight="1">
      <c r="A64" s="207">
        <v>474</v>
      </c>
      <c r="B64" s="207"/>
      <c r="C64" s="207"/>
      <c r="D64" s="207"/>
      <c r="E64" s="207"/>
      <c r="F64" s="207"/>
      <c r="G64" s="207"/>
      <c r="H64" s="207"/>
      <c r="I64" s="207"/>
      <c r="J64" s="207"/>
      <c r="K64" s="112" t="s">
        <v>429</v>
      </c>
      <c r="L64" s="112" t="s">
        <v>850</v>
      </c>
      <c r="M64" s="112" t="s">
        <v>850</v>
      </c>
      <c r="N64" s="112" t="s">
        <v>77</v>
      </c>
      <c r="O64" s="112" t="s">
        <v>77</v>
      </c>
      <c r="P64" s="112" t="s">
        <v>76</v>
      </c>
      <c r="Q64" s="112" t="s">
        <v>77</v>
      </c>
      <c r="R64" s="112" t="s">
        <v>77</v>
      </c>
      <c r="S64" s="112" t="s">
        <v>77</v>
      </c>
      <c r="T64" s="112" t="s">
        <v>77</v>
      </c>
      <c r="U64" s="112" t="s">
        <v>77</v>
      </c>
      <c r="V64" s="112" t="s">
        <v>77</v>
      </c>
      <c r="W64" s="112" t="s">
        <v>85</v>
      </c>
      <c r="X64" s="124" t="s">
        <v>481</v>
      </c>
      <c r="Y64" s="114" t="s">
        <v>430</v>
      </c>
      <c r="Z64" s="114" t="s">
        <v>111</v>
      </c>
      <c r="AA64" s="114" t="s">
        <v>81</v>
      </c>
      <c r="AB64" s="114" t="s">
        <v>112</v>
      </c>
      <c r="AC64" s="115" t="str">
        <f t="shared" si="23"/>
        <v>53</v>
      </c>
      <c r="AD64" s="124">
        <v>530228</v>
      </c>
      <c r="AE64" s="122" t="str">
        <f>VLOOKUP(AD64,ITEM!$C$1:$D$694,2,FALSE)</f>
        <v>Servicios de Provisión de Dispositivos Electrónicos y Certificación para Registro de Firmas Digitales</v>
      </c>
      <c r="AF64" s="112">
        <v>1309</v>
      </c>
      <c r="AG64" s="114" t="s">
        <v>82</v>
      </c>
      <c r="AH64" s="114" t="s">
        <v>84</v>
      </c>
      <c r="AI64" s="114" t="s">
        <v>84</v>
      </c>
      <c r="AJ64" s="114" t="s">
        <v>914</v>
      </c>
      <c r="AK64" s="114" t="s">
        <v>77</v>
      </c>
      <c r="AL64" s="271">
        <v>30</v>
      </c>
      <c r="AM64" s="272"/>
      <c r="AN64" s="272">
        <f t="shared" si="15"/>
        <v>30</v>
      </c>
      <c r="AO64" s="224">
        <f>SUMIF(Reforma!$A$2:$A$8523,$A64,Reforma!$AB$2:$AB$8523)</f>
        <v>0</v>
      </c>
      <c r="AP64" s="224">
        <f>SUMIF(Reforma!$A$2:$A$8523,$A64,Reforma!$AC$2:$AC$8523)</f>
        <v>-9.84</v>
      </c>
      <c r="AQ64" s="224">
        <f>SUMIF(Reforma!$A$2:$A$8523,$A64,Reforma!$AD$2:$AD$8523)</f>
        <v>0</v>
      </c>
      <c r="AR64" s="224">
        <f>SUMIF(Reforma!$A$2:$A$8523,$A64,Reforma!$AE$2:$AE$8523)</f>
        <v>0</v>
      </c>
      <c r="AS64" s="224">
        <f t="shared" si="24"/>
        <v>20.16</v>
      </c>
      <c r="AT64" s="224">
        <f t="shared" si="25"/>
        <v>0</v>
      </c>
      <c r="AU64" s="224">
        <f t="shared" si="26"/>
        <v>20.16</v>
      </c>
      <c r="AV64" s="326">
        <v>0</v>
      </c>
      <c r="AW64" s="326">
        <v>0</v>
      </c>
      <c r="AX64" s="326">
        <v>0</v>
      </c>
      <c r="AY64" s="326"/>
      <c r="AZ64" s="326">
        <v>20.16</v>
      </c>
      <c r="BA64" s="326">
        <v>0</v>
      </c>
      <c r="BB64" s="326">
        <v>0</v>
      </c>
      <c r="BC64" s="326">
        <v>0</v>
      </c>
      <c r="BD64" s="326">
        <v>0</v>
      </c>
      <c r="BE64" s="326">
        <v>0</v>
      </c>
      <c r="BF64" s="326">
        <v>0</v>
      </c>
      <c r="BG64" s="326">
        <v>0</v>
      </c>
      <c r="BH64" s="408">
        <f t="shared" si="16"/>
        <v>30</v>
      </c>
      <c r="BI64" s="408">
        <f t="shared" si="29"/>
        <v>20.16</v>
      </c>
      <c r="BJ64" s="408">
        <f t="shared" si="27"/>
        <v>0</v>
      </c>
      <c r="BK64" s="224"/>
      <c r="BL64" s="224"/>
      <c r="BM64" s="224"/>
      <c r="BN64" s="224">
        <f>IFERROR(VLOOKUP($A64,'Constancias POA'!$A$2:$DH$9993,18,FALSE),"")</f>
        <v>30</v>
      </c>
      <c r="BO64" s="224">
        <f t="shared" si="17"/>
        <v>-9.84</v>
      </c>
      <c r="BP64" s="224">
        <f>IFERROR(VLOOKUP($A64,CP!$A$1:$U$7992,18,FALSE),"")</f>
        <v>0</v>
      </c>
      <c r="BQ64" s="224">
        <f>IFERROR(VLOOKUP($A64,CP!$A$1:$U$7992,19,FALSE),"")</f>
        <v>20.16</v>
      </c>
      <c r="BR64" s="224">
        <f>IFERROR(VLOOKUP($A64,CP!$A$1:$U$7992,20,FALSE),"")</f>
        <v>0</v>
      </c>
      <c r="BS64" s="224" t="str">
        <f>IFERROR(VLOOKUP($A64,CP!$A$1:$U$1,21,FALSE),"")</f>
        <v/>
      </c>
      <c r="BT64" s="224">
        <f>IFERROR(VLOOKUP(A64,Devengado!$A$1:AJ$9310,35,FALSE),"")</f>
        <v>20.16</v>
      </c>
      <c r="BU64" s="224">
        <f t="shared" si="18"/>
        <v>0</v>
      </c>
      <c r="BV64" s="224">
        <f t="shared" si="19"/>
        <v>1</v>
      </c>
      <c r="BW64" s="224">
        <f t="shared" si="28"/>
        <v>20.16</v>
      </c>
      <c r="BX64" s="429">
        <v>0</v>
      </c>
      <c r="BY64" s="429">
        <v>0</v>
      </c>
      <c r="BZ64" s="429">
        <v>0</v>
      </c>
      <c r="CA64" s="429">
        <v>30</v>
      </c>
      <c r="CB64" s="429">
        <v>0</v>
      </c>
      <c r="CC64" s="429">
        <v>0</v>
      </c>
      <c r="CD64" s="429">
        <v>0</v>
      </c>
      <c r="CE64" s="429">
        <v>0</v>
      </c>
      <c r="CF64" s="429">
        <v>0</v>
      </c>
      <c r="CG64" s="429">
        <v>0</v>
      </c>
      <c r="CH64" s="429">
        <v>0</v>
      </c>
      <c r="CI64" s="429">
        <v>0</v>
      </c>
      <c r="CJ64" s="224">
        <f>IFERROR(VLOOKUP($A64,Devengado!$A$1:$AI$9038,22,FALSE),"")</f>
        <v>0</v>
      </c>
      <c r="CK64" s="224">
        <f>IFERROR(VLOOKUP($A64,Devengado!$A$1:$AI$9038,23,FALSE),"")</f>
        <v>0</v>
      </c>
      <c r="CL64" s="224">
        <f>IFERROR(VLOOKUP($A64,Devengado!$A$1:$AI$9038,24,FALSE),"")</f>
        <v>0</v>
      </c>
      <c r="CM64" s="224">
        <f>IFERROR(VLOOKUP($A64,Devengado!$A$1:$AI$9038,25,FALSE),"")</f>
        <v>0</v>
      </c>
      <c r="CN64" s="224">
        <f>IFERROR(VLOOKUP($A64,Devengado!$A$1:$AI$9038,26,FALSE),"")</f>
        <v>20.16</v>
      </c>
      <c r="CO64" s="224">
        <f>IFERROR(VLOOKUP($A64,Devengado!$A$1:$AI$9038,27,FALSE),"")</f>
        <v>0</v>
      </c>
      <c r="CP64" s="224">
        <f>IFERROR(VLOOKUP($A64,Devengado!$A$1:$AI$9038,28,FALSE),"")</f>
        <v>0</v>
      </c>
      <c r="CQ64" s="224">
        <f>IFERROR(VLOOKUP($A64,Devengado!$A$1:$AI$9038,29,FALSE),"")</f>
        <v>0</v>
      </c>
      <c r="CR64" s="224">
        <f>IFERROR(VLOOKUP($A64,Devengado!$A$1:$AI$9038,30,FALSE),"")</f>
        <v>0</v>
      </c>
      <c r="CS64" s="224">
        <f>IFERROR(VLOOKUP($A64,Devengado!$A$1:$AI$9038,31,FALSE),"")</f>
        <v>0</v>
      </c>
      <c r="CT64" s="224">
        <f>IFERROR(VLOOKUP($A64,Devengado!$A$1:$AI$9038,32,FALSE),"")</f>
        <v>0</v>
      </c>
      <c r="CU64" s="224">
        <f>IFERROR(VLOOKUP($A64,Devengado!$A$1:$AI$9038,33,FALSE),"")</f>
        <v>0</v>
      </c>
      <c r="CV64" s="224">
        <f t="shared" si="20"/>
        <v>20.16</v>
      </c>
      <c r="CW64" s="224">
        <f t="shared" si="21"/>
        <v>0</v>
      </c>
      <c r="CX64" s="207"/>
      <c r="CY64" s="207" t="str">
        <f t="shared" si="22"/>
        <v>53</v>
      </c>
      <c r="CZ64" s="112" t="s">
        <v>916</v>
      </c>
    </row>
    <row r="65" spans="1:104" s="225" customFormat="1" ht="25.5" customHeight="1">
      <c r="A65" s="207">
        <v>475</v>
      </c>
      <c r="B65" s="207"/>
      <c r="C65" s="207"/>
      <c r="D65" s="207"/>
      <c r="E65" s="207"/>
      <c r="F65" s="207"/>
      <c r="G65" s="207"/>
      <c r="H65" s="207"/>
      <c r="I65" s="207"/>
      <c r="J65" s="207"/>
      <c r="K65" s="112" t="s">
        <v>429</v>
      </c>
      <c r="L65" s="112" t="s">
        <v>850</v>
      </c>
      <c r="M65" s="112" t="s">
        <v>850</v>
      </c>
      <c r="N65" s="112" t="s">
        <v>77</v>
      </c>
      <c r="O65" s="112" t="s">
        <v>77</v>
      </c>
      <c r="P65" s="112" t="s">
        <v>76</v>
      </c>
      <c r="Q65" s="112" t="s">
        <v>77</v>
      </c>
      <c r="R65" s="112" t="s">
        <v>77</v>
      </c>
      <c r="S65" s="112" t="s">
        <v>77</v>
      </c>
      <c r="T65" s="112" t="s">
        <v>77</v>
      </c>
      <c r="U65" s="112" t="s">
        <v>77</v>
      </c>
      <c r="V65" s="112" t="s">
        <v>77</v>
      </c>
      <c r="W65" s="112" t="s">
        <v>85</v>
      </c>
      <c r="X65" s="124" t="s">
        <v>482</v>
      </c>
      <c r="Y65" s="114" t="s">
        <v>430</v>
      </c>
      <c r="Z65" s="114" t="s">
        <v>111</v>
      </c>
      <c r="AA65" s="114" t="s">
        <v>81</v>
      </c>
      <c r="AB65" s="114" t="s">
        <v>112</v>
      </c>
      <c r="AC65" s="115" t="str">
        <f t="shared" si="23"/>
        <v>53</v>
      </c>
      <c r="AD65" s="124">
        <v>530701</v>
      </c>
      <c r="AE65" s="122" t="str">
        <f>VLOOKUP(AD65,ITEM!$C$1:$D$694,2,FALSE)</f>
        <v>Desarrollo, Actualización, Asistencia Técnica y Soporte de Sistemas Informáticos</v>
      </c>
      <c r="AF65" s="112">
        <v>1309</v>
      </c>
      <c r="AG65" s="114" t="s">
        <v>82</v>
      </c>
      <c r="AH65" s="114" t="s">
        <v>84</v>
      </c>
      <c r="AI65" s="114" t="s">
        <v>84</v>
      </c>
      <c r="AJ65" s="114" t="s">
        <v>914</v>
      </c>
      <c r="AK65" s="114" t="s">
        <v>77</v>
      </c>
      <c r="AL65" s="271">
        <v>417</v>
      </c>
      <c r="AM65" s="272"/>
      <c r="AN65" s="272">
        <f t="shared" si="15"/>
        <v>417</v>
      </c>
      <c r="AO65" s="224">
        <f>SUMIF(Reforma!$A$2:$A$8523,$A65,Reforma!$AB$2:$AB$8523)</f>
        <v>0</v>
      </c>
      <c r="AP65" s="224">
        <f>SUMIF(Reforma!$A$2:$A$8523,$A65,Reforma!$AC$2:$AC$8523)</f>
        <v>-417</v>
      </c>
      <c r="AQ65" s="224">
        <f>SUMIF(Reforma!$A$2:$A$8523,$A65,Reforma!$AD$2:$AD$8523)</f>
        <v>0</v>
      </c>
      <c r="AR65" s="224">
        <f>SUMIF(Reforma!$A$2:$A$8523,$A65,Reforma!$AE$2:$AE$8523)</f>
        <v>0</v>
      </c>
      <c r="AS65" s="224">
        <f t="shared" si="24"/>
        <v>0</v>
      </c>
      <c r="AT65" s="224">
        <f t="shared" si="25"/>
        <v>0</v>
      </c>
      <c r="AU65" s="224">
        <f t="shared" si="26"/>
        <v>0</v>
      </c>
      <c r="AV65" s="326"/>
      <c r="AW65" s="326"/>
      <c r="AX65" s="326"/>
      <c r="AY65" s="326"/>
      <c r="AZ65" s="326"/>
      <c r="BA65" s="326"/>
      <c r="BB65" s="326"/>
      <c r="BC65" s="326"/>
      <c r="BD65" s="326"/>
      <c r="BE65" s="326"/>
      <c r="BF65" s="326"/>
      <c r="BG65" s="326"/>
      <c r="BH65" s="408">
        <f t="shared" si="16"/>
        <v>417</v>
      </c>
      <c r="BI65" s="408">
        <f t="shared" si="29"/>
        <v>0</v>
      </c>
      <c r="BJ65" s="408">
        <f t="shared" si="27"/>
        <v>0</v>
      </c>
      <c r="BK65" s="224"/>
      <c r="BL65" s="224"/>
      <c r="BM65" s="224"/>
      <c r="BN65" s="224" t="str">
        <f>IFERROR(VLOOKUP($A65,'Constancias POA'!$A$2:$DH$9993,18,FALSE),"")</f>
        <v/>
      </c>
      <c r="BO65" s="224" t="str">
        <f t="shared" si="17"/>
        <v/>
      </c>
      <c r="BP65" s="224" t="str">
        <f>IFERROR(VLOOKUP($A65,CP!$A$1:$U$7992,18,FALSE),"")</f>
        <v/>
      </c>
      <c r="BQ65" s="224" t="str">
        <f>IFERROR(VLOOKUP($A65,CP!$A$1:$U$7992,19,FALSE),"")</f>
        <v/>
      </c>
      <c r="BR65" s="224" t="str">
        <f>IFERROR(VLOOKUP($A65,CP!$A$1:$U$7992,20,FALSE),"")</f>
        <v/>
      </c>
      <c r="BS65" s="224" t="str">
        <f>IFERROR(VLOOKUP($A65,CP!$A$1:$U$1,21,FALSE),"")</f>
        <v/>
      </c>
      <c r="BT65" s="224" t="str">
        <f>IFERROR(VLOOKUP(A65,Devengado!$A$1:AJ$9310,35,FALSE),"")</f>
        <v/>
      </c>
      <c r="BU65" s="224" t="str">
        <f t="shared" si="18"/>
        <v/>
      </c>
      <c r="BV65" s="224" t="str">
        <f t="shared" si="19"/>
        <v/>
      </c>
      <c r="BW65" s="224">
        <f t="shared" si="28"/>
        <v>0</v>
      </c>
      <c r="BX65" s="429">
        <v>0</v>
      </c>
      <c r="BY65" s="429">
        <v>0</v>
      </c>
      <c r="BZ65" s="429">
        <v>0</v>
      </c>
      <c r="CA65" s="429">
        <v>0</v>
      </c>
      <c r="CB65" s="429">
        <v>417</v>
      </c>
      <c r="CC65" s="429">
        <v>0</v>
      </c>
      <c r="CD65" s="429">
        <v>0</v>
      </c>
      <c r="CE65" s="429">
        <v>0</v>
      </c>
      <c r="CF65" s="429">
        <v>0</v>
      </c>
      <c r="CG65" s="429">
        <v>0</v>
      </c>
      <c r="CH65" s="429">
        <v>0</v>
      </c>
      <c r="CI65" s="429">
        <v>0</v>
      </c>
      <c r="CJ65" s="224" t="str">
        <f>IFERROR(VLOOKUP($A65,Devengado!$A$1:$AI$9038,22,FALSE),"")</f>
        <v/>
      </c>
      <c r="CK65" s="224" t="str">
        <f>IFERROR(VLOOKUP($A65,Devengado!$A$1:$AI$9038,23,FALSE),"")</f>
        <v/>
      </c>
      <c r="CL65" s="224" t="str">
        <f>IFERROR(VLOOKUP($A65,Devengado!$A$1:$AI$9038,24,FALSE),"")</f>
        <v/>
      </c>
      <c r="CM65" s="224" t="str">
        <f>IFERROR(VLOOKUP($A65,Devengado!$A$1:$AI$9038,25,FALSE),"")</f>
        <v/>
      </c>
      <c r="CN65" s="224" t="str">
        <f>IFERROR(VLOOKUP($A65,Devengado!$A$1:$AI$9038,26,FALSE),"")</f>
        <v/>
      </c>
      <c r="CO65" s="224" t="str">
        <f>IFERROR(VLOOKUP($A65,Devengado!$A$1:$AI$9038,27,FALSE),"")</f>
        <v/>
      </c>
      <c r="CP65" s="224" t="str">
        <f>IFERROR(VLOOKUP($A65,Devengado!$A$1:$AI$9038,28,FALSE),"")</f>
        <v/>
      </c>
      <c r="CQ65" s="224" t="str">
        <f>IFERROR(VLOOKUP($A65,Devengado!$A$1:$AI$9038,29,FALSE),"")</f>
        <v/>
      </c>
      <c r="CR65" s="224" t="str">
        <f>IFERROR(VLOOKUP($A65,Devengado!$A$1:$AI$9038,30,FALSE),"")</f>
        <v/>
      </c>
      <c r="CS65" s="224" t="str">
        <f>IFERROR(VLOOKUP($A65,Devengado!$A$1:$AI$9038,31,FALSE),"")</f>
        <v/>
      </c>
      <c r="CT65" s="224" t="str">
        <f>IFERROR(VLOOKUP($A65,Devengado!$A$1:$AI$9038,32,FALSE),"")</f>
        <v/>
      </c>
      <c r="CU65" s="224" t="str">
        <f>IFERROR(VLOOKUP($A65,Devengado!$A$1:$AI$9038,33,FALSE),"")</f>
        <v/>
      </c>
      <c r="CV65" s="224">
        <f t="shared" si="20"/>
        <v>0</v>
      </c>
      <c r="CW65" s="224" t="str">
        <f t="shared" si="21"/>
        <v/>
      </c>
      <c r="CX65" s="207"/>
      <c r="CY65" s="207" t="str">
        <f t="shared" si="22"/>
        <v>53</v>
      </c>
      <c r="CZ65" s="112" t="s">
        <v>915</v>
      </c>
    </row>
    <row r="66" spans="1:104" s="225" customFormat="1" ht="25.5" customHeight="1">
      <c r="A66" s="207">
        <v>476</v>
      </c>
      <c r="B66" s="207"/>
      <c r="C66" s="207"/>
      <c r="D66" s="207"/>
      <c r="E66" s="207"/>
      <c r="F66" s="207"/>
      <c r="G66" s="207"/>
      <c r="H66" s="207"/>
      <c r="I66" s="207"/>
      <c r="J66" s="207"/>
      <c r="K66" s="112" t="s">
        <v>429</v>
      </c>
      <c r="L66" s="112" t="s">
        <v>850</v>
      </c>
      <c r="M66" s="112" t="s">
        <v>850</v>
      </c>
      <c r="N66" s="112" t="s">
        <v>77</v>
      </c>
      <c r="O66" s="112" t="s">
        <v>77</v>
      </c>
      <c r="P66" s="112" t="s">
        <v>76</v>
      </c>
      <c r="Q66" s="112" t="s">
        <v>77</v>
      </c>
      <c r="R66" s="112" t="s">
        <v>77</v>
      </c>
      <c r="S66" s="112" t="s">
        <v>77</v>
      </c>
      <c r="T66" s="112" t="s">
        <v>77</v>
      </c>
      <c r="U66" s="112" t="s">
        <v>77</v>
      </c>
      <c r="V66" s="112" t="s">
        <v>77</v>
      </c>
      <c r="W66" s="112" t="s">
        <v>85</v>
      </c>
      <c r="X66" s="124" t="s">
        <v>483</v>
      </c>
      <c r="Y66" s="114" t="s">
        <v>430</v>
      </c>
      <c r="Z66" s="114" t="s">
        <v>111</v>
      </c>
      <c r="AA66" s="114" t="s">
        <v>81</v>
      </c>
      <c r="AB66" s="114" t="s">
        <v>112</v>
      </c>
      <c r="AC66" s="115" t="str">
        <f t="shared" si="23"/>
        <v>84</v>
      </c>
      <c r="AD66" s="131">
        <v>840107</v>
      </c>
      <c r="AE66" s="122" t="str">
        <f>VLOOKUP(AD66,ITEM!$C$1:$D$694,2,FALSE)</f>
        <v>Equipos, Sistemas y Paquetes Informáticos</v>
      </c>
      <c r="AF66" s="112">
        <v>1309</v>
      </c>
      <c r="AG66" s="114" t="s">
        <v>82</v>
      </c>
      <c r="AH66" s="114" t="s">
        <v>84</v>
      </c>
      <c r="AI66" s="114" t="s">
        <v>84</v>
      </c>
      <c r="AJ66" s="114" t="s">
        <v>914</v>
      </c>
      <c r="AK66" s="114" t="s">
        <v>77</v>
      </c>
      <c r="AL66" s="271">
        <v>0</v>
      </c>
      <c r="AM66" s="272"/>
      <c r="AN66" s="272">
        <f t="shared" si="15"/>
        <v>0</v>
      </c>
      <c r="AO66" s="224">
        <f>SUMIF(Reforma!$A$2:$A$8523,$A66,Reforma!$AB$2:$AB$8523)</f>
        <v>0</v>
      </c>
      <c r="AP66" s="224">
        <f>SUMIF(Reforma!$A$2:$A$8523,$A66,Reforma!$AC$2:$AC$8523)</f>
        <v>0</v>
      </c>
      <c r="AQ66" s="224">
        <f>SUMIF(Reforma!$A$2:$A$8523,$A66,Reforma!$AD$2:$AD$8523)</f>
        <v>0</v>
      </c>
      <c r="AR66" s="224">
        <f>SUMIF(Reforma!$A$2:$A$8523,$A66,Reforma!$AE$2:$AE$8523)</f>
        <v>0</v>
      </c>
      <c r="AS66" s="224">
        <f t="shared" si="24"/>
        <v>0</v>
      </c>
      <c r="AT66" s="224">
        <f t="shared" si="25"/>
        <v>0</v>
      </c>
      <c r="AU66" s="224">
        <f t="shared" si="26"/>
        <v>0</v>
      </c>
      <c r="AV66" s="326">
        <v>0</v>
      </c>
      <c r="AW66" s="326">
        <v>0</v>
      </c>
      <c r="AX66" s="326">
        <v>0</v>
      </c>
      <c r="AY66" s="326">
        <v>0</v>
      </c>
      <c r="AZ66" s="326">
        <v>0</v>
      </c>
      <c r="BA66" s="326">
        <v>0</v>
      </c>
      <c r="BB66" s="326">
        <v>0</v>
      </c>
      <c r="BC66" s="326">
        <v>0</v>
      </c>
      <c r="BD66" s="326">
        <v>0</v>
      </c>
      <c r="BE66" s="326">
        <v>0</v>
      </c>
      <c r="BF66" s="326">
        <v>0</v>
      </c>
      <c r="BG66" s="326">
        <v>0</v>
      </c>
      <c r="BH66" s="408">
        <f t="shared" si="16"/>
        <v>0</v>
      </c>
      <c r="BI66" s="408">
        <f t="shared" si="29"/>
        <v>0</v>
      </c>
      <c r="BJ66" s="408">
        <f t="shared" si="27"/>
        <v>0</v>
      </c>
      <c r="BK66" s="224"/>
      <c r="BL66" s="224"/>
      <c r="BM66" s="224"/>
      <c r="BN66" s="224" t="str">
        <f>IFERROR(VLOOKUP($A66,'Constancias POA'!$A$2:$DH$9993,18,FALSE),"")</f>
        <v/>
      </c>
      <c r="BO66" s="224" t="str">
        <f t="shared" si="17"/>
        <v/>
      </c>
      <c r="BP66" s="224" t="str">
        <f>IFERROR(VLOOKUP($A66,CP!$A$1:$U$7992,18,FALSE),"")</f>
        <v/>
      </c>
      <c r="BQ66" s="224" t="str">
        <f>IFERROR(VLOOKUP($A66,CP!$A$1:$U$7992,19,FALSE),"")</f>
        <v/>
      </c>
      <c r="BR66" s="224" t="str">
        <f>IFERROR(VLOOKUP($A66,CP!$A$1:$U$7992,20,FALSE),"")</f>
        <v/>
      </c>
      <c r="BS66" s="224" t="str">
        <f>IFERROR(VLOOKUP($A66,CP!$A$1:$U$1,21,FALSE),"")</f>
        <v/>
      </c>
      <c r="BT66" s="224" t="str">
        <f>IFERROR(VLOOKUP(A66,Devengado!$A$1:AJ$9310,35,FALSE),"")</f>
        <v/>
      </c>
      <c r="BU66" s="224" t="str">
        <f t="shared" si="18"/>
        <v/>
      </c>
      <c r="BV66" s="224" t="str">
        <f t="shared" si="19"/>
        <v/>
      </c>
      <c r="BW66" s="224">
        <f t="shared" si="28"/>
        <v>0</v>
      </c>
      <c r="BX66" s="429">
        <v>0</v>
      </c>
      <c r="BY66" s="429">
        <v>0</v>
      </c>
      <c r="BZ66" s="429">
        <v>0</v>
      </c>
      <c r="CA66" s="429">
        <v>0</v>
      </c>
      <c r="CB66" s="429">
        <v>0</v>
      </c>
      <c r="CC66" s="429">
        <v>0</v>
      </c>
      <c r="CD66" s="429">
        <v>0</v>
      </c>
      <c r="CE66" s="429">
        <v>0</v>
      </c>
      <c r="CF66" s="429">
        <v>0</v>
      </c>
      <c r="CG66" s="429">
        <v>0</v>
      </c>
      <c r="CH66" s="429">
        <v>0</v>
      </c>
      <c r="CI66" s="429">
        <v>0</v>
      </c>
      <c r="CJ66" s="224" t="str">
        <f>IFERROR(VLOOKUP($A66,Devengado!$A$1:$AI$9038,22,FALSE),"")</f>
        <v/>
      </c>
      <c r="CK66" s="224" t="str">
        <f>IFERROR(VLOOKUP($A66,Devengado!$A$1:$AI$9038,23,FALSE),"")</f>
        <v/>
      </c>
      <c r="CL66" s="224" t="str">
        <f>IFERROR(VLOOKUP($A66,Devengado!$A$1:$AI$9038,24,FALSE),"")</f>
        <v/>
      </c>
      <c r="CM66" s="224" t="str">
        <f>IFERROR(VLOOKUP($A66,Devengado!$A$1:$AI$9038,25,FALSE),"")</f>
        <v/>
      </c>
      <c r="CN66" s="224" t="str">
        <f>IFERROR(VLOOKUP($A66,Devengado!$A$1:$AI$9038,26,FALSE),"")</f>
        <v/>
      </c>
      <c r="CO66" s="224" t="str">
        <f>IFERROR(VLOOKUP($A66,Devengado!$A$1:$AI$9038,27,FALSE),"")</f>
        <v/>
      </c>
      <c r="CP66" s="224" t="str">
        <f>IFERROR(VLOOKUP($A66,Devengado!$A$1:$AI$9038,28,FALSE),"")</f>
        <v/>
      </c>
      <c r="CQ66" s="224" t="str">
        <f>IFERROR(VLOOKUP($A66,Devengado!$A$1:$AI$9038,29,FALSE),"")</f>
        <v/>
      </c>
      <c r="CR66" s="224" t="str">
        <f>IFERROR(VLOOKUP($A66,Devengado!$A$1:$AI$9038,30,FALSE),"")</f>
        <v/>
      </c>
      <c r="CS66" s="224" t="str">
        <f>IFERROR(VLOOKUP($A66,Devengado!$A$1:$AI$9038,31,FALSE),"")</f>
        <v/>
      </c>
      <c r="CT66" s="224" t="str">
        <f>IFERROR(VLOOKUP($A66,Devengado!$A$1:$AI$9038,32,FALSE),"")</f>
        <v/>
      </c>
      <c r="CU66" s="224" t="str">
        <f>IFERROR(VLOOKUP($A66,Devengado!$A$1:$AI$9038,33,FALSE),"")</f>
        <v/>
      </c>
      <c r="CV66" s="224">
        <f t="shared" si="20"/>
        <v>0</v>
      </c>
      <c r="CW66" s="224" t="str">
        <f t="shared" si="21"/>
        <v/>
      </c>
      <c r="CX66" s="207"/>
      <c r="CY66" s="207" t="str">
        <f t="shared" si="22"/>
        <v>84</v>
      </c>
      <c r="CZ66" s="112" t="s">
        <v>915</v>
      </c>
    </row>
    <row r="67" spans="1:104" s="225" customFormat="1" ht="25.5" customHeight="1">
      <c r="A67" s="207">
        <v>477</v>
      </c>
      <c r="B67" s="207"/>
      <c r="C67" s="207"/>
      <c r="D67" s="207"/>
      <c r="E67" s="207"/>
      <c r="F67" s="207"/>
      <c r="G67" s="207"/>
      <c r="H67" s="207"/>
      <c r="I67" s="207"/>
      <c r="J67" s="207"/>
      <c r="K67" s="112" t="s">
        <v>429</v>
      </c>
      <c r="L67" s="112" t="s">
        <v>850</v>
      </c>
      <c r="M67" s="112" t="s">
        <v>850</v>
      </c>
      <c r="N67" s="112" t="s">
        <v>77</v>
      </c>
      <c r="O67" s="112" t="s">
        <v>77</v>
      </c>
      <c r="P67" s="112" t="s">
        <v>76</v>
      </c>
      <c r="Q67" s="112" t="s">
        <v>77</v>
      </c>
      <c r="R67" s="112" t="s">
        <v>77</v>
      </c>
      <c r="S67" s="112" t="s">
        <v>77</v>
      </c>
      <c r="T67" s="112" t="s">
        <v>77</v>
      </c>
      <c r="U67" s="112" t="s">
        <v>77</v>
      </c>
      <c r="V67" s="112" t="s">
        <v>77</v>
      </c>
      <c r="W67" s="112" t="s">
        <v>85</v>
      </c>
      <c r="X67" s="124" t="s">
        <v>484</v>
      </c>
      <c r="Y67" s="114" t="s">
        <v>430</v>
      </c>
      <c r="Z67" s="114" t="s">
        <v>111</v>
      </c>
      <c r="AA67" s="114" t="s">
        <v>81</v>
      </c>
      <c r="AB67" s="114" t="s">
        <v>112</v>
      </c>
      <c r="AC67" s="115" t="str">
        <f t="shared" si="23"/>
        <v>84</v>
      </c>
      <c r="AD67" s="131">
        <v>840104</v>
      </c>
      <c r="AE67" s="122" t="str">
        <f>VLOOKUP(AD67,ITEM!$C$1:$D$694,2,FALSE)</f>
        <v>Maquinarias y Equipos</v>
      </c>
      <c r="AF67" s="112">
        <v>1309</v>
      </c>
      <c r="AG67" s="114" t="s">
        <v>82</v>
      </c>
      <c r="AH67" s="114" t="s">
        <v>84</v>
      </c>
      <c r="AI67" s="114" t="s">
        <v>84</v>
      </c>
      <c r="AJ67" s="114" t="s">
        <v>914</v>
      </c>
      <c r="AK67" s="114" t="s">
        <v>77</v>
      </c>
      <c r="AL67" s="271">
        <v>0</v>
      </c>
      <c r="AM67" s="272"/>
      <c r="AN67" s="272">
        <f t="shared" si="15"/>
        <v>0</v>
      </c>
      <c r="AO67" s="224">
        <f>SUMIF(Reforma!$A$2:$A$8523,$A67,Reforma!$AB$2:$AB$8523)</f>
        <v>0</v>
      </c>
      <c r="AP67" s="224">
        <f>SUMIF(Reforma!$A$2:$A$8523,$A67,Reforma!$AC$2:$AC$8523)</f>
        <v>0</v>
      </c>
      <c r="AQ67" s="224">
        <f>SUMIF(Reforma!$A$2:$A$8523,$A67,Reforma!$AD$2:$AD$8523)</f>
        <v>0</v>
      </c>
      <c r="AR67" s="224">
        <f>SUMIF(Reforma!$A$2:$A$8523,$A67,Reforma!$AE$2:$AE$8523)</f>
        <v>0</v>
      </c>
      <c r="AS67" s="224">
        <f t="shared" si="24"/>
        <v>0</v>
      </c>
      <c r="AT67" s="224">
        <f t="shared" si="25"/>
        <v>0</v>
      </c>
      <c r="AU67" s="224">
        <f t="shared" si="26"/>
        <v>0</v>
      </c>
      <c r="AV67" s="326">
        <v>0</v>
      </c>
      <c r="AW67" s="326">
        <v>0</v>
      </c>
      <c r="AX67" s="326">
        <v>0</v>
      </c>
      <c r="AY67" s="326">
        <v>0</v>
      </c>
      <c r="AZ67" s="326">
        <v>0</v>
      </c>
      <c r="BA67" s="326">
        <v>0</v>
      </c>
      <c r="BB67" s="326">
        <v>0</v>
      </c>
      <c r="BC67" s="326">
        <v>0</v>
      </c>
      <c r="BD67" s="326">
        <v>0</v>
      </c>
      <c r="BE67" s="326">
        <v>0</v>
      </c>
      <c r="BF67" s="326">
        <v>0</v>
      </c>
      <c r="BG67" s="326">
        <v>0</v>
      </c>
      <c r="BH67" s="408">
        <f t="shared" si="16"/>
        <v>0</v>
      </c>
      <c r="BI67" s="408">
        <f t="shared" si="29"/>
        <v>0</v>
      </c>
      <c r="BJ67" s="408">
        <f t="shared" si="27"/>
        <v>0</v>
      </c>
      <c r="BK67" s="224"/>
      <c r="BL67" s="224"/>
      <c r="BM67" s="224"/>
      <c r="BN67" s="224" t="str">
        <f>IFERROR(VLOOKUP($A67,'Constancias POA'!$A$2:$DH$9993,18,FALSE),"")</f>
        <v/>
      </c>
      <c r="BO67" s="224" t="str">
        <f t="shared" si="17"/>
        <v/>
      </c>
      <c r="BP67" s="224" t="str">
        <f>IFERROR(VLOOKUP($A67,CP!$A$1:$U$7992,18,FALSE),"")</f>
        <v/>
      </c>
      <c r="BQ67" s="224" t="str">
        <f>IFERROR(VLOOKUP($A67,CP!$A$1:$U$7992,19,FALSE),"")</f>
        <v/>
      </c>
      <c r="BR67" s="224" t="str">
        <f>IFERROR(VLOOKUP($A67,CP!$A$1:$U$7992,20,FALSE),"")</f>
        <v/>
      </c>
      <c r="BS67" s="224" t="str">
        <f>IFERROR(VLOOKUP($A67,CP!$A$1:$U$1,21,FALSE),"")</f>
        <v/>
      </c>
      <c r="BT67" s="224" t="str">
        <f>IFERROR(VLOOKUP(A67,Devengado!$A$1:AJ$9310,35,FALSE),"")</f>
        <v/>
      </c>
      <c r="BU67" s="224" t="str">
        <f t="shared" si="18"/>
        <v/>
      </c>
      <c r="BV67" s="224" t="str">
        <f t="shared" si="19"/>
        <v/>
      </c>
      <c r="BW67" s="224">
        <f t="shared" si="28"/>
        <v>0</v>
      </c>
      <c r="BX67" s="429">
        <v>0</v>
      </c>
      <c r="BY67" s="429">
        <v>0</v>
      </c>
      <c r="BZ67" s="429">
        <v>0</v>
      </c>
      <c r="CA67" s="429">
        <v>0</v>
      </c>
      <c r="CB67" s="429">
        <v>0</v>
      </c>
      <c r="CC67" s="429">
        <v>0</v>
      </c>
      <c r="CD67" s="429">
        <v>0</v>
      </c>
      <c r="CE67" s="429">
        <v>0</v>
      </c>
      <c r="CF67" s="429">
        <v>0</v>
      </c>
      <c r="CG67" s="429">
        <v>0</v>
      </c>
      <c r="CH67" s="429">
        <v>0</v>
      </c>
      <c r="CI67" s="429">
        <v>0</v>
      </c>
      <c r="CJ67" s="224" t="str">
        <f>IFERROR(VLOOKUP($A67,Devengado!$A$1:$AI$9038,22,FALSE),"")</f>
        <v/>
      </c>
      <c r="CK67" s="224" t="str">
        <f>IFERROR(VLOOKUP($A67,Devengado!$A$1:$AI$9038,23,FALSE),"")</f>
        <v/>
      </c>
      <c r="CL67" s="224" t="str">
        <f>IFERROR(VLOOKUP($A67,Devengado!$A$1:$AI$9038,24,FALSE),"")</f>
        <v/>
      </c>
      <c r="CM67" s="224" t="str">
        <f>IFERROR(VLOOKUP($A67,Devengado!$A$1:$AI$9038,25,FALSE),"")</f>
        <v/>
      </c>
      <c r="CN67" s="224" t="str">
        <f>IFERROR(VLOOKUP($A67,Devengado!$A$1:$AI$9038,26,FALSE),"")</f>
        <v/>
      </c>
      <c r="CO67" s="224" t="str">
        <f>IFERROR(VLOOKUP($A67,Devengado!$A$1:$AI$9038,27,FALSE),"")</f>
        <v/>
      </c>
      <c r="CP67" s="224" t="str">
        <f>IFERROR(VLOOKUP($A67,Devengado!$A$1:$AI$9038,28,FALSE),"")</f>
        <v/>
      </c>
      <c r="CQ67" s="224" t="str">
        <f>IFERROR(VLOOKUP($A67,Devengado!$A$1:$AI$9038,29,FALSE),"")</f>
        <v/>
      </c>
      <c r="CR67" s="224" t="str">
        <f>IFERROR(VLOOKUP($A67,Devengado!$A$1:$AI$9038,30,FALSE),"")</f>
        <v/>
      </c>
      <c r="CS67" s="224" t="str">
        <f>IFERROR(VLOOKUP($A67,Devengado!$A$1:$AI$9038,31,FALSE),"")</f>
        <v/>
      </c>
      <c r="CT67" s="224" t="str">
        <f>IFERROR(VLOOKUP($A67,Devengado!$A$1:$AI$9038,32,FALSE),"")</f>
        <v/>
      </c>
      <c r="CU67" s="224" t="str">
        <f>IFERROR(VLOOKUP($A67,Devengado!$A$1:$AI$9038,33,FALSE),"")</f>
        <v/>
      </c>
      <c r="CV67" s="224">
        <f t="shared" si="20"/>
        <v>0</v>
      </c>
      <c r="CW67" s="224" t="str">
        <f t="shared" si="21"/>
        <v/>
      </c>
      <c r="CX67" s="207"/>
      <c r="CY67" s="207" t="str">
        <f t="shared" si="22"/>
        <v>84</v>
      </c>
      <c r="CZ67" s="112" t="s">
        <v>915</v>
      </c>
    </row>
    <row r="68" spans="1:104" s="225" customFormat="1" ht="25.5" customHeight="1">
      <c r="A68" s="207">
        <v>478</v>
      </c>
      <c r="B68" s="207"/>
      <c r="C68" s="207"/>
      <c r="D68" s="207"/>
      <c r="E68" s="207"/>
      <c r="F68" s="207"/>
      <c r="G68" s="207"/>
      <c r="H68" s="207"/>
      <c r="I68" s="207"/>
      <c r="J68" s="207"/>
      <c r="K68" s="112" t="s">
        <v>429</v>
      </c>
      <c r="L68" s="112" t="s">
        <v>850</v>
      </c>
      <c r="M68" s="112" t="s">
        <v>850</v>
      </c>
      <c r="N68" s="112" t="s">
        <v>77</v>
      </c>
      <c r="O68" s="112" t="s">
        <v>77</v>
      </c>
      <c r="P68" s="112" t="s">
        <v>76</v>
      </c>
      <c r="Q68" s="112" t="s">
        <v>77</v>
      </c>
      <c r="R68" s="112" t="s">
        <v>77</v>
      </c>
      <c r="S68" s="112" t="s">
        <v>77</v>
      </c>
      <c r="T68" s="112" t="s">
        <v>77</v>
      </c>
      <c r="U68" s="112" t="s">
        <v>77</v>
      </c>
      <c r="V68" s="112" t="s">
        <v>77</v>
      </c>
      <c r="W68" s="112" t="s">
        <v>85</v>
      </c>
      <c r="X68" s="124" t="s">
        <v>485</v>
      </c>
      <c r="Y68" s="114" t="s">
        <v>430</v>
      </c>
      <c r="Z68" s="114" t="s">
        <v>111</v>
      </c>
      <c r="AA68" s="114" t="s">
        <v>81</v>
      </c>
      <c r="AB68" s="114" t="s">
        <v>112</v>
      </c>
      <c r="AC68" s="115" t="str">
        <f t="shared" si="23"/>
        <v>84</v>
      </c>
      <c r="AD68" s="131">
        <v>840104</v>
      </c>
      <c r="AE68" s="122" t="str">
        <f>VLOOKUP(AD68,ITEM!$C$1:$D$694,2,FALSE)</f>
        <v>Maquinarias y Equipos</v>
      </c>
      <c r="AF68" s="112">
        <v>1309</v>
      </c>
      <c r="AG68" s="114" t="s">
        <v>82</v>
      </c>
      <c r="AH68" s="114" t="s">
        <v>84</v>
      </c>
      <c r="AI68" s="114" t="s">
        <v>84</v>
      </c>
      <c r="AJ68" s="114" t="s">
        <v>914</v>
      </c>
      <c r="AK68" s="114" t="s">
        <v>77</v>
      </c>
      <c r="AL68" s="271">
        <v>0</v>
      </c>
      <c r="AM68" s="272"/>
      <c r="AN68" s="272">
        <f t="shared" si="15"/>
        <v>0</v>
      </c>
      <c r="AO68" s="224">
        <f>SUMIF(Reforma!$A$2:$A$8523,$A68,Reforma!$AB$2:$AB$8523)</f>
        <v>0</v>
      </c>
      <c r="AP68" s="224">
        <f>SUMIF(Reforma!$A$2:$A$8523,$A68,Reforma!$AC$2:$AC$8523)</f>
        <v>0</v>
      </c>
      <c r="AQ68" s="224">
        <f>SUMIF(Reforma!$A$2:$A$8523,$A68,Reforma!$AD$2:$AD$8523)</f>
        <v>0</v>
      </c>
      <c r="AR68" s="224">
        <f>SUMIF(Reforma!$A$2:$A$8523,$A68,Reforma!$AE$2:$AE$8523)</f>
        <v>0</v>
      </c>
      <c r="AS68" s="224">
        <f t="shared" si="24"/>
        <v>0</v>
      </c>
      <c r="AT68" s="224">
        <f t="shared" si="25"/>
        <v>0</v>
      </c>
      <c r="AU68" s="224">
        <f t="shared" si="26"/>
        <v>0</v>
      </c>
      <c r="AV68" s="326">
        <v>0</v>
      </c>
      <c r="AW68" s="326">
        <v>0</v>
      </c>
      <c r="AX68" s="326">
        <v>0</v>
      </c>
      <c r="AY68" s="326">
        <v>0</v>
      </c>
      <c r="AZ68" s="326">
        <v>0</v>
      </c>
      <c r="BA68" s="326">
        <v>0</v>
      </c>
      <c r="BB68" s="326">
        <v>0</v>
      </c>
      <c r="BC68" s="326">
        <v>0</v>
      </c>
      <c r="BD68" s="326">
        <v>0</v>
      </c>
      <c r="BE68" s="326">
        <v>0</v>
      </c>
      <c r="BF68" s="326">
        <v>0</v>
      </c>
      <c r="BG68" s="326">
        <v>0</v>
      </c>
      <c r="BH68" s="408">
        <f t="shared" si="16"/>
        <v>0</v>
      </c>
      <c r="BI68" s="408">
        <f t="shared" si="29"/>
        <v>0</v>
      </c>
      <c r="BJ68" s="408">
        <f t="shared" si="27"/>
        <v>0</v>
      </c>
      <c r="BK68" s="224"/>
      <c r="BL68" s="224"/>
      <c r="BM68" s="224"/>
      <c r="BN68" s="224" t="str">
        <f>IFERROR(VLOOKUP($A68,'Constancias POA'!$A$2:$DH$9993,18,FALSE),"")</f>
        <v/>
      </c>
      <c r="BO68" s="224" t="str">
        <f t="shared" si="17"/>
        <v/>
      </c>
      <c r="BP68" s="224" t="str">
        <f>IFERROR(VLOOKUP($A68,CP!$A$1:$U$7992,18,FALSE),"")</f>
        <v/>
      </c>
      <c r="BQ68" s="224" t="str">
        <f>IFERROR(VLOOKUP($A68,CP!$A$1:$U$7992,19,FALSE),"")</f>
        <v/>
      </c>
      <c r="BR68" s="224" t="str">
        <f>IFERROR(VLOOKUP($A68,CP!$A$1:$U$7992,20,FALSE),"")</f>
        <v/>
      </c>
      <c r="BS68" s="224" t="str">
        <f>IFERROR(VLOOKUP($A68,CP!$A$1:$U$1,21,FALSE),"")</f>
        <v/>
      </c>
      <c r="BT68" s="224" t="str">
        <f>IFERROR(VLOOKUP(A68,Devengado!$A$1:AJ$9310,35,FALSE),"")</f>
        <v/>
      </c>
      <c r="BU68" s="224" t="str">
        <f t="shared" si="18"/>
        <v/>
      </c>
      <c r="BV68" s="224" t="str">
        <f t="shared" si="19"/>
        <v/>
      </c>
      <c r="BW68" s="224">
        <f t="shared" si="28"/>
        <v>0</v>
      </c>
      <c r="BX68" s="429">
        <v>0</v>
      </c>
      <c r="BY68" s="429">
        <v>0</v>
      </c>
      <c r="BZ68" s="429">
        <v>0</v>
      </c>
      <c r="CA68" s="429">
        <v>0</v>
      </c>
      <c r="CB68" s="429">
        <v>0</v>
      </c>
      <c r="CC68" s="429">
        <v>0</v>
      </c>
      <c r="CD68" s="429">
        <v>0</v>
      </c>
      <c r="CE68" s="429">
        <v>0</v>
      </c>
      <c r="CF68" s="429">
        <v>0</v>
      </c>
      <c r="CG68" s="429">
        <v>0</v>
      </c>
      <c r="CH68" s="429">
        <v>0</v>
      </c>
      <c r="CI68" s="429">
        <v>0</v>
      </c>
      <c r="CJ68" s="224" t="str">
        <f>IFERROR(VLOOKUP($A68,Devengado!$A$1:$AI$9038,22,FALSE),"")</f>
        <v/>
      </c>
      <c r="CK68" s="224" t="str">
        <f>IFERROR(VLOOKUP($A68,Devengado!$A$1:$AI$9038,23,FALSE),"")</f>
        <v/>
      </c>
      <c r="CL68" s="224" t="str">
        <f>IFERROR(VLOOKUP($A68,Devengado!$A$1:$AI$9038,24,FALSE),"")</f>
        <v/>
      </c>
      <c r="CM68" s="224" t="str">
        <f>IFERROR(VLOOKUP($A68,Devengado!$A$1:$AI$9038,25,FALSE),"")</f>
        <v/>
      </c>
      <c r="CN68" s="224" t="str">
        <f>IFERROR(VLOOKUP($A68,Devengado!$A$1:$AI$9038,26,FALSE),"")</f>
        <v/>
      </c>
      <c r="CO68" s="224" t="str">
        <f>IFERROR(VLOOKUP($A68,Devengado!$A$1:$AI$9038,27,FALSE),"")</f>
        <v/>
      </c>
      <c r="CP68" s="224" t="str">
        <f>IFERROR(VLOOKUP($A68,Devengado!$A$1:$AI$9038,28,FALSE),"")</f>
        <v/>
      </c>
      <c r="CQ68" s="224" t="str">
        <f>IFERROR(VLOOKUP($A68,Devengado!$A$1:$AI$9038,29,FALSE),"")</f>
        <v/>
      </c>
      <c r="CR68" s="224" t="str">
        <f>IFERROR(VLOOKUP($A68,Devengado!$A$1:$AI$9038,30,FALSE),"")</f>
        <v/>
      </c>
      <c r="CS68" s="224" t="str">
        <f>IFERROR(VLOOKUP($A68,Devengado!$A$1:$AI$9038,31,FALSE),"")</f>
        <v/>
      </c>
      <c r="CT68" s="224" t="str">
        <f>IFERROR(VLOOKUP($A68,Devengado!$A$1:$AI$9038,32,FALSE),"")</f>
        <v/>
      </c>
      <c r="CU68" s="224" t="str">
        <f>IFERROR(VLOOKUP($A68,Devengado!$A$1:$AI$9038,33,FALSE),"")</f>
        <v/>
      </c>
      <c r="CV68" s="224">
        <f t="shared" si="20"/>
        <v>0</v>
      </c>
      <c r="CW68" s="224" t="str">
        <f t="shared" si="21"/>
        <v/>
      </c>
      <c r="CX68" s="207"/>
      <c r="CY68" s="207" t="str">
        <f t="shared" si="22"/>
        <v>84</v>
      </c>
      <c r="CZ68" s="112" t="s">
        <v>915</v>
      </c>
    </row>
    <row r="69" spans="1:104" s="225" customFormat="1" ht="15.75" customHeight="1">
      <c r="A69" s="207">
        <v>479</v>
      </c>
      <c r="B69" s="207"/>
      <c r="C69" s="207"/>
      <c r="D69" s="207"/>
      <c r="E69" s="207"/>
      <c r="F69" s="207"/>
      <c r="G69" s="207"/>
      <c r="H69" s="207"/>
      <c r="I69" s="207"/>
      <c r="J69" s="207"/>
      <c r="K69" s="112" t="s">
        <v>429</v>
      </c>
      <c r="L69" s="112" t="s">
        <v>850</v>
      </c>
      <c r="M69" s="112" t="s">
        <v>850</v>
      </c>
      <c r="N69" s="112" t="s">
        <v>77</v>
      </c>
      <c r="O69" s="112" t="s">
        <v>77</v>
      </c>
      <c r="P69" s="112" t="s">
        <v>76</v>
      </c>
      <c r="Q69" s="112" t="s">
        <v>77</v>
      </c>
      <c r="R69" s="112" t="s">
        <v>77</v>
      </c>
      <c r="S69" s="112" t="s">
        <v>77</v>
      </c>
      <c r="T69" s="112" t="s">
        <v>77</v>
      </c>
      <c r="U69" s="112" t="s">
        <v>77</v>
      </c>
      <c r="V69" s="112" t="s">
        <v>77</v>
      </c>
      <c r="W69" s="112" t="s">
        <v>85</v>
      </c>
      <c r="X69" s="124" t="s">
        <v>486</v>
      </c>
      <c r="Y69" s="114" t="s">
        <v>430</v>
      </c>
      <c r="Z69" s="114" t="s">
        <v>111</v>
      </c>
      <c r="AA69" s="114" t="s">
        <v>81</v>
      </c>
      <c r="AB69" s="114" t="s">
        <v>112</v>
      </c>
      <c r="AC69" s="115" t="str">
        <f t="shared" si="23"/>
        <v>53</v>
      </c>
      <c r="AD69" s="124">
        <v>530405</v>
      </c>
      <c r="AE69" s="122" t="str">
        <f>VLOOKUP(AD69,ITEM!$C$1:$D$694,2,FALSE)</f>
        <v>Vehículos (Servicio para Mantenimiento y Reparación)</v>
      </c>
      <c r="AF69" s="112">
        <v>1309</v>
      </c>
      <c r="AG69" s="114" t="s">
        <v>82</v>
      </c>
      <c r="AH69" s="114" t="s">
        <v>84</v>
      </c>
      <c r="AI69" s="114" t="s">
        <v>84</v>
      </c>
      <c r="AJ69" s="114" t="s">
        <v>914</v>
      </c>
      <c r="AK69" s="114" t="s">
        <v>77</v>
      </c>
      <c r="AL69" s="271">
        <v>8079.4599999999991</v>
      </c>
      <c r="AM69" s="272"/>
      <c r="AN69" s="272">
        <f t="shared" si="15"/>
        <v>8079.4599999999991</v>
      </c>
      <c r="AO69" s="224">
        <f>SUMIF(Reforma!$A$2:$A$8523,$A69,Reforma!$AB$2:$AB$8523)</f>
        <v>0</v>
      </c>
      <c r="AP69" s="224">
        <f>SUMIF(Reforma!$A$2:$A$8523,$A69,Reforma!$AC$2:$AC$8523)</f>
        <v>-1499.46</v>
      </c>
      <c r="AQ69" s="224">
        <f>SUMIF(Reforma!$A$2:$A$8523,$A69,Reforma!$AD$2:$AD$8523)</f>
        <v>0</v>
      </c>
      <c r="AR69" s="224">
        <f>SUMIF(Reforma!$A$2:$A$8523,$A69,Reforma!$AE$2:$AE$8523)</f>
        <v>0</v>
      </c>
      <c r="AS69" s="224">
        <f>+AL69+AO69+AP69</f>
        <v>6579.9999999999991</v>
      </c>
      <c r="AT69" s="224">
        <f>+AM69+AQ69+AR69</f>
        <v>0</v>
      </c>
      <c r="AU69" s="224">
        <f>IFERROR(AS69+AT69,"")</f>
        <v>6579.9999999999991</v>
      </c>
      <c r="AV69" s="422"/>
      <c r="AW69" s="423"/>
      <c r="AX69" s="423"/>
      <c r="AY69" s="423"/>
      <c r="AZ69" s="423"/>
      <c r="BA69" s="424"/>
      <c r="BB69" s="481"/>
      <c r="BC69" s="481">
        <v>3572</v>
      </c>
      <c r="BD69" s="481">
        <v>3008</v>
      </c>
      <c r="BE69" s="425"/>
      <c r="BF69" s="425"/>
      <c r="BG69" s="425"/>
      <c r="BH69" s="408">
        <f t="shared" si="16"/>
        <v>7079.4599999999991</v>
      </c>
      <c r="BI69" s="408">
        <f t="shared" si="29"/>
        <v>6580</v>
      </c>
      <c r="BJ69" s="408">
        <f>+BI69-AU69</f>
        <v>0</v>
      </c>
      <c r="BK69" s="224"/>
      <c r="BL69" s="224"/>
      <c r="BM69" s="224"/>
      <c r="BN69" s="224">
        <f>IFERROR(VLOOKUP($A69,'Constancias POA'!$A$2:$DH$9993,18,FALSE),"")</f>
        <v>14158.92</v>
      </c>
      <c r="BO69" s="224">
        <f t="shared" ref="BO69:BO89" si="30">IFERROR(AU69-BN69,"")</f>
        <v>-7578.920000000001</v>
      </c>
      <c r="BP69" s="224">
        <f>IFERROR(VLOOKUP($A69,CP!$A$1:$U$7992,18,FALSE),"")</f>
        <v>0</v>
      </c>
      <c r="BQ69" s="224">
        <f>IFERROR(VLOOKUP($A69,CP!$A$1:$U$7992,19,FALSE),"")</f>
        <v>6580</v>
      </c>
      <c r="BR69" s="224">
        <f>IFERROR(VLOOKUP($A69,CP!$A$1:$U$7992,20,FALSE),"")</f>
        <v>0</v>
      </c>
      <c r="BS69" s="224" t="str">
        <f>IFERROR(VLOOKUP($A69,CP!$A$1:$U$1,21,FALSE),"")</f>
        <v/>
      </c>
      <c r="BT69" s="224">
        <f>IFERROR(VLOOKUP(A69,Devengado!$A$1:AJ$9310,35,FALSE),"")</f>
        <v>6580</v>
      </c>
      <c r="BU69" s="224">
        <f t="shared" ref="BU69:BU89" si="31">IFERROR((AU69-BT69),"")</f>
        <v>-9.0949470177292824E-13</v>
      </c>
      <c r="BV69" s="224">
        <f t="shared" ref="BV69:BV89" si="32">IFERROR(BT69/BW69,"")</f>
        <v>1.0000000000000002</v>
      </c>
      <c r="BW69" s="224">
        <f t="shared" si="28"/>
        <v>6579.9999999999991</v>
      </c>
      <c r="BX69" s="429">
        <v>0</v>
      </c>
      <c r="BY69" s="429">
        <v>0</v>
      </c>
      <c r="BZ69" s="429">
        <v>0</v>
      </c>
      <c r="CA69" s="429">
        <v>0</v>
      </c>
      <c r="CB69" s="429"/>
      <c r="CC69" s="429">
        <v>0</v>
      </c>
      <c r="CD69" s="424">
        <v>2693.15</v>
      </c>
      <c r="CE69" s="424">
        <v>2693.16</v>
      </c>
      <c r="CF69" s="425">
        <v>1693.15</v>
      </c>
      <c r="CG69" s="429">
        <v>0</v>
      </c>
      <c r="CH69" s="429">
        <v>0</v>
      </c>
      <c r="CI69" s="429">
        <v>0</v>
      </c>
      <c r="CJ69" s="224">
        <f>IFERROR(VLOOKUP($A69,Devengado!$A$1:$AI$9038,22,FALSE),"")</f>
        <v>0</v>
      </c>
      <c r="CK69" s="224">
        <f>IFERROR(VLOOKUP($A69,Devengado!$A$1:$AI$9038,23,FALSE),"")</f>
        <v>0</v>
      </c>
      <c r="CL69" s="224">
        <f>IFERROR(VLOOKUP($A69,Devengado!$A$1:$AI$9038,24,FALSE),"")</f>
        <v>0</v>
      </c>
      <c r="CM69" s="224">
        <f>IFERROR(VLOOKUP($A69,Devengado!$A$1:$AI$9038,25,FALSE),"")</f>
        <v>0</v>
      </c>
      <c r="CN69" s="224">
        <f>IFERROR(VLOOKUP($A69,Devengado!$A$1:$AI$9038,26,FALSE),"")</f>
        <v>0</v>
      </c>
      <c r="CO69" s="224">
        <f>IFERROR(VLOOKUP($A69,Devengado!$A$1:$AI$9038,27,FALSE),"")</f>
        <v>0</v>
      </c>
      <c r="CP69" s="224">
        <f>IFERROR(VLOOKUP($A69,Devengado!$A$1:$AI$9038,28,FALSE),"")</f>
        <v>0</v>
      </c>
      <c r="CQ69" s="224">
        <f>IFERROR(VLOOKUP($A69,Devengado!$A$1:$AI$9038,29,FALSE),"")</f>
        <v>3572</v>
      </c>
      <c r="CR69" s="224">
        <f>IFERROR(VLOOKUP($A69,Devengado!$A$1:$AI$9038,30,FALSE),"")</f>
        <v>3008</v>
      </c>
      <c r="CS69" s="224">
        <f>IFERROR(VLOOKUP($A69,Devengado!$A$1:$AI$9038,31,FALSE),"")</f>
        <v>0</v>
      </c>
      <c r="CT69" s="224">
        <f>IFERROR(VLOOKUP($A69,Devengado!$A$1:$AI$9038,32,FALSE),"")</f>
        <v>0</v>
      </c>
      <c r="CU69" s="224">
        <f>IFERROR(VLOOKUP($A69,Devengado!$A$1:$AI$9038,33,FALSE),"")</f>
        <v>0</v>
      </c>
      <c r="CV69" s="224">
        <f t="shared" ref="CV69:CV89" si="33">SUM(CJ69:CU69)</f>
        <v>6580</v>
      </c>
      <c r="CW69" s="224">
        <f t="shared" ref="CW69:CW89" si="34">IFERROR(CV69-BT69,"")</f>
        <v>0</v>
      </c>
      <c r="CX69" s="207"/>
      <c r="CY69" s="207" t="str">
        <f t="shared" ref="CY69:CY89" si="35">LEFT(AC69,4)</f>
        <v>53</v>
      </c>
      <c r="CZ69" s="112" t="s">
        <v>916</v>
      </c>
    </row>
    <row r="70" spans="1:104" s="225" customFormat="1" ht="25.5" customHeight="1">
      <c r="A70" s="207">
        <v>480</v>
      </c>
      <c r="B70" s="207"/>
      <c r="C70" s="207"/>
      <c r="D70" s="207"/>
      <c r="E70" s="207"/>
      <c r="F70" s="207"/>
      <c r="G70" s="207"/>
      <c r="H70" s="207"/>
      <c r="I70" s="207"/>
      <c r="J70" s="207"/>
      <c r="K70" s="112" t="s">
        <v>429</v>
      </c>
      <c r="L70" s="112" t="s">
        <v>850</v>
      </c>
      <c r="M70" s="112" t="s">
        <v>850</v>
      </c>
      <c r="N70" s="112" t="s">
        <v>77</v>
      </c>
      <c r="O70" s="112" t="s">
        <v>77</v>
      </c>
      <c r="P70" s="112" t="s">
        <v>76</v>
      </c>
      <c r="Q70" s="112" t="s">
        <v>77</v>
      </c>
      <c r="R70" s="112" t="s">
        <v>77</v>
      </c>
      <c r="S70" s="112" t="s">
        <v>77</v>
      </c>
      <c r="T70" s="112" t="s">
        <v>77</v>
      </c>
      <c r="U70" s="112" t="s">
        <v>77</v>
      </c>
      <c r="V70" s="112" t="s">
        <v>77</v>
      </c>
      <c r="W70" s="112" t="s">
        <v>85</v>
      </c>
      <c r="X70" s="124" t="s">
        <v>496</v>
      </c>
      <c r="Y70" s="114" t="s">
        <v>430</v>
      </c>
      <c r="Z70" s="114" t="s">
        <v>111</v>
      </c>
      <c r="AA70" s="114" t="s">
        <v>81</v>
      </c>
      <c r="AB70" s="114" t="s">
        <v>112</v>
      </c>
      <c r="AC70" s="115" t="str">
        <f t="shared" si="23"/>
        <v>53</v>
      </c>
      <c r="AD70" s="124">
        <v>530804</v>
      </c>
      <c r="AE70" s="122" t="str">
        <f>VLOOKUP(AD70,ITEM!$C$1:$D$694,2,FALSE)</f>
        <v>Materiales de Oficina</v>
      </c>
      <c r="AF70" s="112">
        <v>1309</v>
      </c>
      <c r="AG70" s="114" t="s">
        <v>82</v>
      </c>
      <c r="AH70" s="114" t="s">
        <v>84</v>
      </c>
      <c r="AI70" s="114" t="s">
        <v>84</v>
      </c>
      <c r="AJ70" s="114" t="s">
        <v>914</v>
      </c>
      <c r="AK70" s="114" t="s">
        <v>77</v>
      </c>
      <c r="AL70" s="271">
        <v>4000</v>
      </c>
      <c r="AM70" s="272"/>
      <c r="AN70" s="272">
        <f t="shared" si="15"/>
        <v>4000</v>
      </c>
      <c r="AO70" s="224">
        <f>SUMIF(Reforma!$A$2:$A$8523,$A70,Reforma!$AB$2:$AB$8523)</f>
        <v>0</v>
      </c>
      <c r="AP70" s="224">
        <f>SUMIF(Reforma!$A$2:$A$8523,$A70,Reforma!$AC$2:$AC$8523)</f>
        <v>0</v>
      </c>
      <c r="AQ70" s="224">
        <f>SUMIF(Reforma!$A$2:$A$8523,$A70,Reforma!$AD$2:$AD$8523)</f>
        <v>0</v>
      </c>
      <c r="AR70" s="224">
        <f>SUMIF(Reforma!$A$2:$A$8523,$A70,Reforma!$AE$2:$AE$8523)</f>
        <v>0</v>
      </c>
      <c r="AS70" s="224">
        <f t="shared" si="24"/>
        <v>4000</v>
      </c>
      <c r="AT70" s="224">
        <f t="shared" si="25"/>
        <v>0</v>
      </c>
      <c r="AU70" s="224">
        <f t="shared" si="26"/>
        <v>4000</v>
      </c>
      <c r="AV70" s="326"/>
      <c r="AW70" s="326"/>
      <c r="AX70" s="326"/>
      <c r="AY70" s="326"/>
      <c r="AZ70" s="326"/>
      <c r="BA70" s="326"/>
      <c r="BB70" s="326">
        <v>4000</v>
      </c>
      <c r="BC70" s="326"/>
      <c r="BD70" s="326"/>
      <c r="BE70" s="326"/>
      <c r="BF70" s="326"/>
      <c r="BG70" s="326"/>
      <c r="BH70" s="408">
        <f t="shared" si="16"/>
        <v>4000</v>
      </c>
      <c r="BI70" s="408">
        <f t="shared" si="29"/>
        <v>4000</v>
      </c>
      <c r="BJ70" s="408">
        <f t="shared" si="27"/>
        <v>0</v>
      </c>
      <c r="BK70" s="224"/>
      <c r="BL70" s="224"/>
      <c r="BM70" s="224"/>
      <c r="BN70" s="224">
        <f>IFERROR(VLOOKUP($A70,'Constancias POA'!$A$2:$DH$9993,18,FALSE),"")</f>
        <v>8000</v>
      </c>
      <c r="BO70" s="224">
        <f t="shared" si="30"/>
        <v>-4000</v>
      </c>
      <c r="BP70" s="224">
        <f>IFERROR(VLOOKUP($A70,CP!$A$1:$U$7992,18,FALSE),"")</f>
        <v>4000</v>
      </c>
      <c r="BQ70" s="224">
        <f>IFERROR(VLOOKUP($A70,CP!$A$1:$U$7992,19,FALSE),"")</f>
        <v>4000</v>
      </c>
      <c r="BR70" s="224">
        <f>IFERROR(VLOOKUP($A70,CP!$A$1:$U$7992,20,FALSE),"")</f>
        <v>0</v>
      </c>
      <c r="BS70" s="224" t="str">
        <f>IFERROR(VLOOKUP($A70,CP!$A$1:$U$1,21,FALSE),"")</f>
        <v/>
      </c>
      <c r="BT70" s="224">
        <f>IFERROR(VLOOKUP(A70,Devengado!$A$1:AJ$9310,35,FALSE),"")</f>
        <v>737.4</v>
      </c>
      <c r="BU70" s="224">
        <f t="shared" si="31"/>
        <v>3262.6</v>
      </c>
      <c r="BV70" s="224">
        <f t="shared" si="32"/>
        <v>0.18434999999999999</v>
      </c>
      <c r="BW70" s="224">
        <f t="shared" si="28"/>
        <v>4000</v>
      </c>
      <c r="BX70" s="429">
        <v>0</v>
      </c>
      <c r="BY70" s="429">
        <v>0</v>
      </c>
      <c r="BZ70" s="429">
        <v>0</v>
      </c>
      <c r="CA70" s="429">
        <v>4000</v>
      </c>
      <c r="CB70" s="429">
        <v>0</v>
      </c>
      <c r="CC70" s="429">
        <v>0</v>
      </c>
      <c r="CD70" s="429">
        <v>0</v>
      </c>
      <c r="CE70" s="429">
        <v>0</v>
      </c>
      <c r="CF70" s="429">
        <v>0</v>
      </c>
      <c r="CG70" s="429">
        <v>0</v>
      </c>
      <c r="CH70" s="429">
        <v>0</v>
      </c>
      <c r="CI70" s="429">
        <v>0</v>
      </c>
      <c r="CJ70" s="224">
        <f>IFERROR(VLOOKUP($A70,Devengado!$A$1:$AI$9038,22,FALSE),"")</f>
        <v>0</v>
      </c>
      <c r="CK70" s="224">
        <f>IFERROR(VLOOKUP($A70,Devengado!$A$1:$AI$9038,23,FALSE),"")</f>
        <v>0</v>
      </c>
      <c r="CL70" s="224">
        <f>IFERROR(VLOOKUP($A70,Devengado!$A$1:$AI$9038,24,FALSE),"")</f>
        <v>0</v>
      </c>
      <c r="CM70" s="224">
        <f>IFERROR(VLOOKUP($A70,Devengado!$A$1:$AI$9038,25,FALSE),"")</f>
        <v>0</v>
      </c>
      <c r="CN70" s="224">
        <f>IFERROR(VLOOKUP($A70,Devengado!$A$1:$AI$9038,26,FALSE),"")</f>
        <v>0</v>
      </c>
      <c r="CO70" s="224">
        <f>IFERROR(VLOOKUP($A70,Devengado!$A$1:$AI$9038,27,FALSE),"")</f>
        <v>0</v>
      </c>
      <c r="CP70" s="224">
        <f>IFERROR(VLOOKUP($A70,Devengado!$A$1:$AI$9038,28,FALSE),"")</f>
        <v>0</v>
      </c>
      <c r="CQ70" s="224">
        <f>IFERROR(VLOOKUP($A70,Devengado!$A$1:$AI$9038,29,FALSE),"")</f>
        <v>0</v>
      </c>
      <c r="CR70" s="224">
        <f>IFERROR(VLOOKUP($A70,Devengado!$A$1:$AI$9038,30,FALSE),"")</f>
        <v>462.4</v>
      </c>
      <c r="CS70" s="224">
        <f>IFERROR(VLOOKUP($A70,Devengado!$A$1:$AI$9038,31,FALSE),"")</f>
        <v>0</v>
      </c>
      <c r="CT70" s="224">
        <f>IFERROR(VLOOKUP($A70,Devengado!$A$1:$AI$9038,32,FALSE),"")</f>
        <v>0</v>
      </c>
      <c r="CU70" s="224">
        <f>IFERROR(VLOOKUP($A70,Devengado!$A$1:$AI$9038,33,FALSE),"")</f>
        <v>275</v>
      </c>
      <c r="CV70" s="224">
        <f t="shared" si="33"/>
        <v>737.4</v>
      </c>
      <c r="CW70" s="224">
        <f t="shared" si="34"/>
        <v>0</v>
      </c>
      <c r="CX70" s="207"/>
      <c r="CY70" s="207" t="str">
        <f t="shared" si="35"/>
        <v>53</v>
      </c>
      <c r="CZ70" s="112" t="s">
        <v>916</v>
      </c>
    </row>
    <row r="71" spans="1:104" s="225" customFormat="1" ht="38.25" customHeight="1">
      <c r="A71" s="207">
        <v>481</v>
      </c>
      <c r="B71" s="207"/>
      <c r="C71" s="207"/>
      <c r="D71" s="207"/>
      <c r="E71" s="207"/>
      <c r="F71" s="207"/>
      <c r="G71" s="207"/>
      <c r="H71" s="207"/>
      <c r="I71" s="207"/>
      <c r="J71" s="207"/>
      <c r="K71" s="112" t="s">
        <v>429</v>
      </c>
      <c r="L71" s="112" t="s">
        <v>850</v>
      </c>
      <c r="M71" s="112" t="s">
        <v>850</v>
      </c>
      <c r="N71" s="112" t="s">
        <v>77</v>
      </c>
      <c r="O71" s="112" t="s">
        <v>77</v>
      </c>
      <c r="P71" s="112" t="s">
        <v>76</v>
      </c>
      <c r="Q71" s="112" t="s">
        <v>77</v>
      </c>
      <c r="R71" s="112" t="s">
        <v>77</v>
      </c>
      <c r="S71" s="112" t="s">
        <v>77</v>
      </c>
      <c r="T71" s="112" t="s">
        <v>77</v>
      </c>
      <c r="U71" s="112" t="s">
        <v>77</v>
      </c>
      <c r="V71" s="112" t="s">
        <v>77</v>
      </c>
      <c r="W71" s="112" t="s">
        <v>85</v>
      </c>
      <c r="X71" s="124" t="s">
        <v>497</v>
      </c>
      <c r="Y71" s="114" t="s">
        <v>430</v>
      </c>
      <c r="Z71" s="114" t="s">
        <v>111</v>
      </c>
      <c r="AA71" s="114" t="s">
        <v>81</v>
      </c>
      <c r="AB71" s="114" t="s">
        <v>112</v>
      </c>
      <c r="AC71" s="115" t="str">
        <f t="shared" si="23"/>
        <v>53</v>
      </c>
      <c r="AD71" s="124">
        <v>530807</v>
      </c>
      <c r="AE71" s="122" t="str">
        <f>VLOOKUP(AD71,ITEM!$C$1:$D$694,2,FALSE)</f>
        <v>Materiales de Impresión, Fotografía, Reproducción y Publicaciones</v>
      </c>
      <c r="AF71" s="112">
        <v>1309</v>
      </c>
      <c r="AG71" s="114" t="s">
        <v>82</v>
      </c>
      <c r="AH71" s="114" t="s">
        <v>84</v>
      </c>
      <c r="AI71" s="114" t="s">
        <v>84</v>
      </c>
      <c r="AJ71" s="114" t="s">
        <v>914</v>
      </c>
      <c r="AK71" s="114" t="s">
        <v>77</v>
      </c>
      <c r="AL71" s="271">
        <v>2000</v>
      </c>
      <c r="AM71" s="272"/>
      <c r="AN71" s="272">
        <f t="shared" si="15"/>
        <v>2000</v>
      </c>
      <c r="AO71" s="224">
        <f>SUMIF(Reforma!$A$2:$A$8523,$A71,Reforma!$AB$2:$AB$8523)</f>
        <v>0</v>
      </c>
      <c r="AP71" s="224">
        <f>SUMIF(Reforma!$A$2:$A$8523,$A71,Reforma!$AC$2:$AC$8523)</f>
        <v>-1321</v>
      </c>
      <c r="AQ71" s="224">
        <f>SUMIF(Reforma!$A$2:$A$8523,$A71,Reforma!$AD$2:$AD$8523)</f>
        <v>0</v>
      </c>
      <c r="AR71" s="224">
        <f>SUMIF(Reforma!$A$2:$A$8523,$A71,Reforma!$AE$2:$AE$8523)</f>
        <v>0</v>
      </c>
      <c r="AS71" s="224">
        <f t="shared" si="24"/>
        <v>679</v>
      </c>
      <c r="AT71" s="224">
        <f t="shared" si="25"/>
        <v>0</v>
      </c>
      <c r="AU71" s="224">
        <f t="shared" si="26"/>
        <v>679</v>
      </c>
      <c r="AV71" s="326"/>
      <c r="AW71" s="326"/>
      <c r="AX71" s="326"/>
      <c r="AY71" s="326"/>
      <c r="AZ71" s="326"/>
      <c r="BA71" s="326"/>
      <c r="BB71" s="326"/>
      <c r="BC71" s="326"/>
      <c r="BD71" s="326">
        <v>679</v>
      </c>
      <c r="BE71" s="326"/>
      <c r="BF71" s="326"/>
      <c r="BG71" s="326"/>
      <c r="BH71" s="408">
        <f t="shared" si="16"/>
        <v>2000</v>
      </c>
      <c r="BI71" s="408">
        <f t="shared" si="29"/>
        <v>679</v>
      </c>
      <c r="BJ71" s="408">
        <f t="shared" si="27"/>
        <v>0</v>
      </c>
      <c r="BK71" s="224"/>
      <c r="BL71" s="224"/>
      <c r="BM71" s="224"/>
      <c r="BN71" s="224">
        <f>IFERROR(VLOOKUP($A71,'Constancias POA'!$A$2:$DH$9993,18,FALSE),"")</f>
        <v>2000</v>
      </c>
      <c r="BO71" s="224">
        <f t="shared" si="30"/>
        <v>-1321</v>
      </c>
      <c r="BP71" s="224">
        <f>IFERROR(VLOOKUP($A71,CP!$A$1:$U$7992,18,FALSE),"")</f>
        <v>0</v>
      </c>
      <c r="BQ71" s="224">
        <f>IFERROR(VLOOKUP($A71,CP!$A$1:$U$7992,19,FALSE),"")</f>
        <v>679</v>
      </c>
      <c r="BR71" s="224">
        <f>IFERROR(VLOOKUP($A71,CP!$A$1:$U$7992,20,FALSE),"")</f>
        <v>0</v>
      </c>
      <c r="BS71" s="224" t="str">
        <f>IFERROR(VLOOKUP($A71,CP!$A$1:$U$1,21,FALSE),"")</f>
        <v/>
      </c>
      <c r="BT71" s="224">
        <f>IFERROR(VLOOKUP(A71,Devengado!$A$1:AJ$9310,35,FALSE),"")</f>
        <v>679</v>
      </c>
      <c r="BU71" s="224">
        <f t="shared" si="31"/>
        <v>0</v>
      </c>
      <c r="BV71" s="224">
        <f t="shared" si="32"/>
        <v>1</v>
      </c>
      <c r="BW71" s="224">
        <f t="shared" si="28"/>
        <v>679</v>
      </c>
      <c r="BX71" s="429">
        <v>0</v>
      </c>
      <c r="BY71" s="429">
        <v>0</v>
      </c>
      <c r="BZ71" s="429">
        <v>0</v>
      </c>
      <c r="CA71" s="429">
        <v>2000</v>
      </c>
      <c r="CB71" s="429">
        <v>0</v>
      </c>
      <c r="CC71" s="429">
        <v>0</v>
      </c>
      <c r="CD71" s="429">
        <v>0</v>
      </c>
      <c r="CE71" s="429">
        <v>0</v>
      </c>
      <c r="CF71" s="429">
        <v>0</v>
      </c>
      <c r="CG71" s="429">
        <v>0</v>
      </c>
      <c r="CH71" s="429">
        <v>0</v>
      </c>
      <c r="CI71" s="429">
        <v>0</v>
      </c>
      <c r="CJ71" s="224">
        <f>IFERROR(VLOOKUP($A71,Devengado!$A$1:$AI$9038,22,FALSE),"")</f>
        <v>0</v>
      </c>
      <c r="CK71" s="224">
        <f>IFERROR(VLOOKUP($A71,Devengado!$A$1:$AI$9038,23,FALSE),"")</f>
        <v>0</v>
      </c>
      <c r="CL71" s="224">
        <f>IFERROR(VLOOKUP($A71,Devengado!$A$1:$AI$9038,24,FALSE),"")</f>
        <v>0</v>
      </c>
      <c r="CM71" s="224">
        <f>IFERROR(VLOOKUP($A71,Devengado!$A$1:$AI$9038,25,FALSE),"")</f>
        <v>0</v>
      </c>
      <c r="CN71" s="224">
        <f>IFERROR(VLOOKUP($A71,Devengado!$A$1:$AI$9038,26,FALSE),"")</f>
        <v>0</v>
      </c>
      <c r="CO71" s="224">
        <f>IFERROR(VLOOKUP($A71,Devengado!$A$1:$AI$9038,27,FALSE),"")</f>
        <v>0</v>
      </c>
      <c r="CP71" s="224">
        <f>IFERROR(VLOOKUP($A71,Devengado!$A$1:$AI$9038,28,FALSE),"")</f>
        <v>0</v>
      </c>
      <c r="CQ71" s="224">
        <f>IFERROR(VLOOKUP($A71,Devengado!$A$1:$AI$9038,29,FALSE),"")</f>
        <v>0</v>
      </c>
      <c r="CR71" s="224">
        <f>IFERROR(VLOOKUP($A71,Devengado!$A$1:$AI$9038,30,FALSE),"")</f>
        <v>679</v>
      </c>
      <c r="CS71" s="224">
        <f>IFERROR(VLOOKUP($A71,Devengado!$A$1:$AI$9038,31,FALSE),"")</f>
        <v>0</v>
      </c>
      <c r="CT71" s="224">
        <f>IFERROR(VLOOKUP($A71,Devengado!$A$1:$AI$9038,32,FALSE),"")</f>
        <v>0</v>
      </c>
      <c r="CU71" s="224">
        <f>IFERROR(VLOOKUP($A71,Devengado!$A$1:$AI$9038,33,FALSE),"")</f>
        <v>0</v>
      </c>
      <c r="CV71" s="224">
        <f t="shared" si="33"/>
        <v>679</v>
      </c>
      <c r="CW71" s="224">
        <f t="shared" si="34"/>
        <v>0</v>
      </c>
      <c r="CX71" s="207"/>
      <c r="CY71" s="207" t="str">
        <f t="shared" si="35"/>
        <v>53</v>
      </c>
      <c r="CZ71" s="112" t="s">
        <v>915</v>
      </c>
    </row>
    <row r="72" spans="1:104" s="225" customFormat="1" ht="25.5" customHeight="1">
      <c r="A72" s="207">
        <v>482</v>
      </c>
      <c r="B72" s="207"/>
      <c r="C72" s="207"/>
      <c r="D72" s="207"/>
      <c r="E72" s="207"/>
      <c r="F72" s="207"/>
      <c r="G72" s="207"/>
      <c r="H72" s="207"/>
      <c r="I72" s="207"/>
      <c r="J72" s="207"/>
      <c r="K72" s="112" t="s">
        <v>429</v>
      </c>
      <c r="L72" s="112" t="s">
        <v>850</v>
      </c>
      <c r="M72" s="112" t="s">
        <v>850</v>
      </c>
      <c r="N72" s="112" t="s">
        <v>77</v>
      </c>
      <c r="O72" s="112" t="s">
        <v>77</v>
      </c>
      <c r="P72" s="112" t="s">
        <v>76</v>
      </c>
      <c r="Q72" s="112" t="s">
        <v>77</v>
      </c>
      <c r="R72" s="112" t="s">
        <v>77</v>
      </c>
      <c r="S72" s="112" t="s">
        <v>77</v>
      </c>
      <c r="T72" s="112" t="s">
        <v>77</v>
      </c>
      <c r="U72" s="112" t="s">
        <v>77</v>
      </c>
      <c r="V72" s="112" t="s">
        <v>77</v>
      </c>
      <c r="W72" s="112" t="s">
        <v>85</v>
      </c>
      <c r="X72" s="124" t="s">
        <v>498</v>
      </c>
      <c r="Y72" s="114" t="s">
        <v>430</v>
      </c>
      <c r="Z72" s="114" t="s">
        <v>111</v>
      </c>
      <c r="AA72" s="114" t="s">
        <v>81</v>
      </c>
      <c r="AB72" s="114" t="s">
        <v>112</v>
      </c>
      <c r="AC72" s="115" t="str">
        <f t="shared" si="23"/>
        <v>53</v>
      </c>
      <c r="AD72" s="124">
        <v>530425</v>
      </c>
      <c r="AE72" s="122" t="str">
        <f>VLOOKUP(AD72,ITEM!$C$1:$D$694,2,FALSE)</f>
        <v>Instalación, Readecuación, Montaje de Exposiciones, Mantenimiento y Reparación de Espacios y Bienes Culturales</v>
      </c>
      <c r="AF72" s="112">
        <v>1309</v>
      </c>
      <c r="AG72" s="114" t="s">
        <v>82</v>
      </c>
      <c r="AH72" s="114" t="s">
        <v>84</v>
      </c>
      <c r="AI72" s="114" t="s">
        <v>84</v>
      </c>
      <c r="AJ72" s="114" t="s">
        <v>914</v>
      </c>
      <c r="AK72" s="114" t="s">
        <v>77</v>
      </c>
      <c r="AL72" s="271">
        <v>7000</v>
      </c>
      <c r="AM72" s="272"/>
      <c r="AN72" s="272">
        <f t="shared" si="15"/>
        <v>7000</v>
      </c>
      <c r="AO72" s="224">
        <f>SUMIF(Reforma!$A$2:$A$8523,$A72,Reforma!$AB$2:$AB$8523)</f>
        <v>0</v>
      </c>
      <c r="AP72" s="224">
        <f>SUMIF(Reforma!$A$2:$A$8523,$A72,Reforma!$AC$2:$AC$8523)</f>
        <v>-7000</v>
      </c>
      <c r="AQ72" s="224">
        <f>SUMIF(Reforma!$A$2:$A$8523,$A72,Reforma!$AD$2:$AD$8523)</f>
        <v>0</v>
      </c>
      <c r="AR72" s="224">
        <f>SUMIF(Reforma!$A$2:$A$8523,$A72,Reforma!$AE$2:$AE$8523)</f>
        <v>0</v>
      </c>
      <c r="AS72" s="224">
        <f t="shared" si="24"/>
        <v>0</v>
      </c>
      <c r="AT72" s="224">
        <f t="shared" si="25"/>
        <v>0</v>
      </c>
      <c r="AU72" s="224">
        <f t="shared" si="26"/>
        <v>0</v>
      </c>
      <c r="AV72" s="326"/>
      <c r="AW72" s="326"/>
      <c r="AX72" s="326"/>
      <c r="AY72" s="326"/>
      <c r="AZ72" s="326"/>
      <c r="BA72" s="326"/>
      <c r="BB72" s="326"/>
      <c r="BC72" s="326"/>
      <c r="BD72" s="326"/>
      <c r="BE72" s="326"/>
      <c r="BF72" s="326"/>
      <c r="BG72" s="326"/>
      <c r="BH72" s="408">
        <f t="shared" si="16"/>
        <v>7000</v>
      </c>
      <c r="BI72" s="408">
        <f t="shared" si="29"/>
        <v>0</v>
      </c>
      <c r="BJ72" s="408">
        <f t="shared" si="27"/>
        <v>0</v>
      </c>
      <c r="BK72" s="224"/>
      <c r="BL72" s="224"/>
      <c r="BM72" s="224"/>
      <c r="BN72" s="224">
        <f>IFERROR(VLOOKUP($A72,'Constancias POA'!$A$2:$DH$9993,18,FALSE),"")</f>
        <v>0</v>
      </c>
      <c r="BO72" s="224">
        <f t="shared" si="30"/>
        <v>0</v>
      </c>
      <c r="BP72" s="224">
        <f>IFERROR(VLOOKUP($A72,CP!$A$1:$U$7992,18,FALSE),"")</f>
        <v>0</v>
      </c>
      <c r="BQ72" s="224">
        <f>IFERROR(VLOOKUP($A72,CP!$A$1:$U$7992,19,FALSE),"")</f>
        <v>0</v>
      </c>
      <c r="BR72" s="224">
        <f>IFERROR(VLOOKUP($A72,CP!$A$1:$U$7992,20,FALSE),"")</f>
        <v>0</v>
      </c>
      <c r="BS72" s="224" t="str">
        <f>IFERROR(VLOOKUP($A72,CP!$A$1:$U$1,21,FALSE),"")</f>
        <v/>
      </c>
      <c r="BT72" s="224" t="str">
        <f>IFERROR(VLOOKUP(A72,Devengado!$A$1:AJ$9310,35,FALSE),"")</f>
        <v/>
      </c>
      <c r="BU72" s="224" t="str">
        <f t="shared" si="31"/>
        <v/>
      </c>
      <c r="BV72" s="224" t="str">
        <f t="shared" si="32"/>
        <v/>
      </c>
      <c r="BW72" s="224">
        <f t="shared" si="28"/>
        <v>0</v>
      </c>
      <c r="BX72" s="429">
        <v>0</v>
      </c>
      <c r="BY72" s="429">
        <v>0</v>
      </c>
      <c r="BZ72" s="429">
        <v>0</v>
      </c>
      <c r="CA72" s="429">
        <v>7000</v>
      </c>
      <c r="CB72" s="429">
        <v>0</v>
      </c>
      <c r="CC72" s="429">
        <v>0</v>
      </c>
      <c r="CD72" s="429">
        <v>0</v>
      </c>
      <c r="CE72" s="429">
        <v>0</v>
      </c>
      <c r="CF72" s="429">
        <v>0</v>
      </c>
      <c r="CG72" s="429">
        <v>0</v>
      </c>
      <c r="CH72" s="429">
        <v>0</v>
      </c>
      <c r="CI72" s="429">
        <v>0</v>
      </c>
      <c r="CJ72" s="224" t="str">
        <f>IFERROR(VLOOKUP($A72,Devengado!$A$1:$AI$9038,22,FALSE),"")</f>
        <v/>
      </c>
      <c r="CK72" s="224" t="str">
        <f>IFERROR(VLOOKUP($A72,Devengado!$A$1:$AI$9038,23,FALSE),"")</f>
        <v/>
      </c>
      <c r="CL72" s="224" t="str">
        <f>IFERROR(VLOOKUP($A72,Devengado!$A$1:$AI$9038,24,FALSE),"")</f>
        <v/>
      </c>
      <c r="CM72" s="224" t="str">
        <f>IFERROR(VLOOKUP($A72,Devengado!$A$1:$AI$9038,25,FALSE),"")</f>
        <v/>
      </c>
      <c r="CN72" s="224" t="str">
        <f>IFERROR(VLOOKUP($A72,Devengado!$A$1:$AI$9038,26,FALSE),"")</f>
        <v/>
      </c>
      <c r="CO72" s="224" t="str">
        <f>IFERROR(VLOOKUP($A72,Devengado!$A$1:$AI$9038,27,FALSE),"")</f>
        <v/>
      </c>
      <c r="CP72" s="224" t="str">
        <f>IFERROR(VLOOKUP($A72,Devengado!$A$1:$AI$9038,28,FALSE),"")</f>
        <v/>
      </c>
      <c r="CQ72" s="224" t="str">
        <f>IFERROR(VLOOKUP($A72,Devengado!$A$1:$AI$9038,29,FALSE),"")</f>
        <v/>
      </c>
      <c r="CR72" s="224" t="str">
        <f>IFERROR(VLOOKUP($A72,Devengado!$A$1:$AI$9038,30,FALSE),"")</f>
        <v/>
      </c>
      <c r="CS72" s="224" t="str">
        <f>IFERROR(VLOOKUP($A72,Devengado!$A$1:$AI$9038,31,FALSE),"")</f>
        <v/>
      </c>
      <c r="CT72" s="224" t="str">
        <f>IFERROR(VLOOKUP($A72,Devengado!$A$1:$AI$9038,32,FALSE),"")</f>
        <v/>
      </c>
      <c r="CU72" s="224" t="str">
        <f>IFERROR(VLOOKUP($A72,Devengado!$A$1:$AI$9038,33,FALSE),"")</f>
        <v/>
      </c>
      <c r="CV72" s="224">
        <f t="shared" si="33"/>
        <v>0</v>
      </c>
      <c r="CW72" s="224" t="str">
        <f t="shared" si="34"/>
        <v/>
      </c>
      <c r="CX72" s="207"/>
      <c r="CY72" s="207" t="str">
        <f t="shared" si="35"/>
        <v>53</v>
      </c>
      <c r="CZ72" s="112" t="s">
        <v>916</v>
      </c>
    </row>
    <row r="73" spans="1:104" s="225" customFormat="1" ht="25.5" customHeight="1">
      <c r="A73" s="207">
        <v>483</v>
      </c>
      <c r="B73" s="207"/>
      <c r="C73" s="207"/>
      <c r="D73" s="207"/>
      <c r="E73" s="207"/>
      <c r="F73" s="207"/>
      <c r="G73" s="207"/>
      <c r="H73" s="207"/>
      <c r="I73" s="207"/>
      <c r="J73" s="207"/>
      <c r="K73" s="112" t="s">
        <v>429</v>
      </c>
      <c r="L73" s="112" t="s">
        <v>850</v>
      </c>
      <c r="M73" s="112" t="s">
        <v>850</v>
      </c>
      <c r="N73" s="112" t="s">
        <v>77</v>
      </c>
      <c r="O73" s="112" t="s">
        <v>77</v>
      </c>
      <c r="P73" s="112" t="s">
        <v>76</v>
      </c>
      <c r="Q73" s="112" t="s">
        <v>77</v>
      </c>
      <c r="R73" s="112" t="s">
        <v>77</v>
      </c>
      <c r="S73" s="112" t="s">
        <v>77</v>
      </c>
      <c r="T73" s="112" t="s">
        <v>77</v>
      </c>
      <c r="U73" s="112" t="s">
        <v>77</v>
      </c>
      <c r="V73" s="112" t="s">
        <v>77</v>
      </c>
      <c r="W73" s="112" t="s">
        <v>85</v>
      </c>
      <c r="X73" s="124" t="s">
        <v>499</v>
      </c>
      <c r="Y73" s="114" t="s">
        <v>430</v>
      </c>
      <c r="Z73" s="114" t="s">
        <v>111</v>
      </c>
      <c r="AA73" s="114" t="s">
        <v>81</v>
      </c>
      <c r="AB73" s="114" t="s">
        <v>112</v>
      </c>
      <c r="AC73" s="115" t="str">
        <f t="shared" si="23"/>
        <v>53</v>
      </c>
      <c r="AD73" s="124">
        <v>530403</v>
      </c>
      <c r="AE73" s="122" t="str">
        <f>VLOOKUP(AD73,ITEM!$C$1:$D$694,2,FALSE)</f>
        <v>Mobiliarios  (Instalación, Mantenimiento y Reparación)</v>
      </c>
      <c r="AF73" s="112">
        <v>1309</v>
      </c>
      <c r="AG73" s="114" t="s">
        <v>82</v>
      </c>
      <c r="AH73" s="114" t="s">
        <v>84</v>
      </c>
      <c r="AI73" s="114" t="s">
        <v>84</v>
      </c>
      <c r="AJ73" s="114" t="s">
        <v>914</v>
      </c>
      <c r="AK73" s="114" t="s">
        <v>77</v>
      </c>
      <c r="AL73" s="271">
        <v>5000</v>
      </c>
      <c r="AM73" s="272"/>
      <c r="AN73" s="272">
        <f t="shared" si="15"/>
        <v>5000</v>
      </c>
      <c r="AO73" s="224">
        <f>SUMIF(Reforma!$A$2:$A$8523,$A73,Reforma!$AB$2:$AB$8523)</f>
        <v>0</v>
      </c>
      <c r="AP73" s="224">
        <f>SUMIF(Reforma!$A$2:$A$8523,$A73,Reforma!$AC$2:$AC$8523)</f>
        <v>-5000</v>
      </c>
      <c r="AQ73" s="224">
        <f>SUMIF(Reforma!$A$2:$A$8523,$A73,Reforma!$AD$2:$AD$8523)</f>
        <v>0</v>
      </c>
      <c r="AR73" s="224">
        <f>SUMIF(Reforma!$A$2:$A$8523,$A73,Reforma!$AE$2:$AE$8523)</f>
        <v>0</v>
      </c>
      <c r="AS73" s="224">
        <f t="shared" si="24"/>
        <v>0</v>
      </c>
      <c r="AT73" s="224">
        <f t="shared" si="25"/>
        <v>0</v>
      </c>
      <c r="AU73" s="224">
        <f t="shared" si="26"/>
        <v>0</v>
      </c>
      <c r="AV73" s="326"/>
      <c r="AW73" s="326"/>
      <c r="AX73" s="326"/>
      <c r="AY73" s="326"/>
      <c r="AZ73" s="326"/>
      <c r="BA73" s="326"/>
      <c r="BB73" s="326"/>
      <c r="BC73" s="326"/>
      <c r="BD73" s="326"/>
      <c r="BE73" s="326"/>
      <c r="BF73" s="326"/>
      <c r="BG73" s="326"/>
      <c r="BH73" s="408">
        <f t="shared" si="16"/>
        <v>5000</v>
      </c>
      <c r="BI73" s="408">
        <f t="shared" si="29"/>
        <v>0</v>
      </c>
      <c r="BJ73" s="408">
        <f t="shared" si="27"/>
        <v>0</v>
      </c>
      <c r="BK73" s="224"/>
      <c r="BL73" s="224"/>
      <c r="BM73" s="224"/>
      <c r="BN73" s="224">
        <f>IFERROR(VLOOKUP($A73,'Constancias POA'!$A$2:$DH$9993,18,FALSE),"")</f>
        <v>8000</v>
      </c>
      <c r="BO73" s="224">
        <f t="shared" si="30"/>
        <v>-8000</v>
      </c>
      <c r="BP73" s="224">
        <f>IFERROR(VLOOKUP($A73,CP!$A$1:$U$7992,18,FALSE),"")</f>
        <v>0</v>
      </c>
      <c r="BQ73" s="224">
        <f>IFERROR(VLOOKUP($A73,CP!$A$1:$U$7992,19,FALSE),"")</f>
        <v>0</v>
      </c>
      <c r="BR73" s="224">
        <f>IFERROR(VLOOKUP($A73,CP!$A$1:$U$7992,20,FALSE),"")</f>
        <v>0</v>
      </c>
      <c r="BS73" s="224" t="str">
        <f>IFERROR(VLOOKUP($A73,CP!$A$1:$U$1,21,FALSE),"")</f>
        <v/>
      </c>
      <c r="BT73" s="224" t="str">
        <f>IFERROR(VLOOKUP(A73,Devengado!$A$1:AJ$9310,35,FALSE),"")</f>
        <v/>
      </c>
      <c r="BU73" s="224" t="str">
        <f t="shared" si="31"/>
        <v/>
      </c>
      <c r="BV73" s="224" t="str">
        <f t="shared" si="32"/>
        <v/>
      </c>
      <c r="BW73" s="224">
        <f t="shared" si="28"/>
        <v>0</v>
      </c>
      <c r="BX73" s="429">
        <v>0</v>
      </c>
      <c r="BY73" s="429">
        <v>0</v>
      </c>
      <c r="BZ73" s="429">
        <v>5000</v>
      </c>
      <c r="CA73" s="429">
        <v>0</v>
      </c>
      <c r="CB73" s="429">
        <v>0</v>
      </c>
      <c r="CC73" s="429">
        <v>0</v>
      </c>
      <c r="CD73" s="429">
        <v>0</v>
      </c>
      <c r="CE73" s="429">
        <v>0</v>
      </c>
      <c r="CF73" s="429">
        <v>0</v>
      </c>
      <c r="CG73" s="429">
        <v>0</v>
      </c>
      <c r="CH73" s="429">
        <v>0</v>
      </c>
      <c r="CI73" s="429">
        <v>0</v>
      </c>
      <c r="CJ73" s="224" t="str">
        <f>IFERROR(VLOOKUP($A73,Devengado!$A$1:$AI$9038,22,FALSE),"")</f>
        <v/>
      </c>
      <c r="CK73" s="224" t="str">
        <f>IFERROR(VLOOKUP($A73,Devengado!$A$1:$AI$9038,23,FALSE),"")</f>
        <v/>
      </c>
      <c r="CL73" s="224" t="str">
        <f>IFERROR(VLOOKUP($A73,Devengado!$A$1:$AI$9038,24,FALSE),"")</f>
        <v/>
      </c>
      <c r="CM73" s="224" t="str">
        <f>IFERROR(VLOOKUP($A73,Devengado!$A$1:$AI$9038,25,FALSE),"")</f>
        <v/>
      </c>
      <c r="CN73" s="224" t="str">
        <f>IFERROR(VLOOKUP($A73,Devengado!$A$1:$AI$9038,26,FALSE),"")</f>
        <v/>
      </c>
      <c r="CO73" s="224" t="str">
        <f>IFERROR(VLOOKUP($A73,Devengado!$A$1:$AI$9038,27,FALSE),"")</f>
        <v/>
      </c>
      <c r="CP73" s="224" t="str">
        <f>IFERROR(VLOOKUP($A73,Devengado!$A$1:$AI$9038,28,FALSE),"")</f>
        <v/>
      </c>
      <c r="CQ73" s="224" t="str">
        <f>IFERROR(VLOOKUP($A73,Devengado!$A$1:$AI$9038,29,FALSE),"")</f>
        <v/>
      </c>
      <c r="CR73" s="224" t="str">
        <f>IFERROR(VLOOKUP($A73,Devengado!$A$1:$AI$9038,30,FALSE),"")</f>
        <v/>
      </c>
      <c r="CS73" s="224" t="str">
        <f>IFERROR(VLOOKUP($A73,Devengado!$A$1:$AI$9038,31,FALSE),"")</f>
        <v/>
      </c>
      <c r="CT73" s="224" t="str">
        <f>IFERROR(VLOOKUP($A73,Devengado!$A$1:$AI$9038,32,FALSE),"")</f>
        <v/>
      </c>
      <c r="CU73" s="224" t="str">
        <f>IFERROR(VLOOKUP($A73,Devengado!$A$1:$AI$9038,33,FALSE),"")</f>
        <v/>
      </c>
      <c r="CV73" s="224">
        <f t="shared" si="33"/>
        <v>0</v>
      </c>
      <c r="CW73" s="224" t="str">
        <f t="shared" si="34"/>
        <v/>
      </c>
      <c r="CX73" s="207"/>
      <c r="CY73" s="207" t="str">
        <f t="shared" si="35"/>
        <v>53</v>
      </c>
      <c r="CZ73" s="112" t="s">
        <v>916</v>
      </c>
    </row>
    <row r="74" spans="1:104" s="225" customFormat="1" ht="25.5" customHeight="1">
      <c r="A74" s="207">
        <v>484</v>
      </c>
      <c r="B74" s="207"/>
      <c r="C74" s="207"/>
      <c r="D74" s="207"/>
      <c r="E74" s="207"/>
      <c r="F74" s="207"/>
      <c r="G74" s="207"/>
      <c r="H74" s="207"/>
      <c r="I74" s="207"/>
      <c r="J74" s="207"/>
      <c r="K74" s="112" t="s">
        <v>429</v>
      </c>
      <c r="L74" s="112" t="s">
        <v>850</v>
      </c>
      <c r="M74" s="112" t="s">
        <v>918</v>
      </c>
      <c r="N74" s="112" t="s">
        <v>77</v>
      </c>
      <c r="O74" s="112" t="s">
        <v>77</v>
      </c>
      <c r="P74" s="112" t="s">
        <v>76</v>
      </c>
      <c r="Q74" s="112" t="s">
        <v>77</v>
      </c>
      <c r="R74" s="112" t="s">
        <v>77</v>
      </c>
      <c r="S74" s="112" t="s">
        <v>77</v>
      </c>
      <c r="T74" s="112" t="s">
        <v>77</v>
      </c>
      <c r="U74" s="112" t="s">
        <v>77</v>
      </c>
      <c r="V74" s="112" t="s">
        <v>77</v>
      </c>
      <c r="W74" s="112" t="s">
        <v>85</v>
      </c>
      <c r="X74" s="124" t="s">
        <v>500</v>
      </c>
      <c r="Y74" s="114" t="s">
        <v>430</v>
      </c>
      <c r="Z74" s="114" t="s">
        <v>111</v>
      </c>
      <c r="AA74" s="114" t="s">
        <v>81</v>
      </c>
      <c r="AB74" s="114" t="s">
        <v>112</v>
      </c>
      <c r="AC74" s="115" t="str">
        <f t="shared" si="23"/>
        <v>53</v>
      </c>
      <c r="AD74" s="124">
        <v>530425</v>
      </c>
      <c r="AE74" s="122" t="str">
        <f>VLOOKUP(AD74,ITEM!$C$1:$D$694,2,FALSE)</f>
        <v>Instalación, Readecuación, Montaje de Exposiciones, Mantenimiento y Reparación de Espacios y Bienes Culturales</v>
      </c>
      <c r="AF74" s="112">
        <v>1314</v>
      </c>
      <c r="AG74" s="114" t="s">
        <v>82</v>
      </c>
      <c r="AH74" s="114" t="s">
        <v>84</v>
      </c>
      <c r="AI74" s="114" t="s">
        <v>84</v>
      </c>
      <c r="AJ74" s="114" t="s">
        <v>914</v>
      </c>
      <c r="AK74" s="114" t="s">
        <v>77</v>
      </c>
      <c r="AL74" s="271">
        <v>7000</v>
      </c>
      <c r="AM74" s="272"/>
      <c r="AN74" s="272">
        <f t="shared" si="15"/>
        <v>7000</v>
      </c>
      <c r="AO74" s="224">
        <f>SUMIF(Reforma!$A$2:$A$8523,$A74,Reforma!$AB$2:$AB$8523)</f>
        <v>1000</v>
      </c>
      <c r="AP74" s="224">
        <f>SUMIF(Reforma!$A$2:$A$8523,$A74,Reforma!$AC$2:$AC$8523)</f>
        <v>-8000</v>
      </c>
      <c r="AQ74" s="224">
        <f>SUMIF(Reforma!$A$2:$A$8523,$A74,Reforma!$AD$2:$AD$8523)</f>
        <v>0</v>
      </c>
      <c r="AR74" s="224">
        <f>SUMIF(Reforma!$A$2:$A$8523,$A74,Reforma!$AE$2:$AE$8523)</f>
        <v>0</v>
      </c>
      <c r="AS74" s="224">
        <f t="shared" si="24"/>
        <v>0</v>
      </c>
      <c r="AT74" s="224">
        <f t="shared" si="25"/>
        <v>0</v>
      </c>
      <c r="AU74" s="224">
        <f t="shared" si="26"/>
        <v>0</v>
      </c>
      <c r="AV74" s="409"/>
      <c r="AW74" s="409"/>
      <c r="AX74" s="409"/>
      <c r="AY74" s="409"/>
      <c r="AZ74" s="409"/>
      <c r="BA74" s="409"/>
      <c r="BB74" s="409"/>
      <c r="BC74" s="409"/>
      <c r="BD74" s="409"/>
      <c r="BE74" s="409"/>
      <c r="BF74" s="409"/>
      <c r="BG74" s="409"/>
      <c r="BH74" s="408">
        <f t="shared" si="16"/>
        <v>7000</v>
      </c>
      <c r="BI74" s="408">
        <f t="shared" si="29"/>
        <v>0</v>
      </c>
      <c r="BJ74" s="408">
        <f t="shared" si="27"/>
        <v>0</v>
      </c>
      <c r="BK74" s="224"/>
      <c r="BL74" s="224"/>
      <c r="BM74" s="224"/>
      <c r="BN74" s="224">
        <f>IFERROR(VLOOKUP($A74,'Constancias POA'!$A$2:$DH$9993,18,FALSE),"")</f>
        <v>0</v>
      </c>
      <c r="BO74" s="224">
        <f t="shared" si="30"/>
        <v>0</v>
      </c>
      <c r="BP74" s="224" t="str">
        <f>IFERROR(VLOOKUP($A74,CP!$A$1:$U$7992,18,FALSE),"")</f>
        <v/>
      </c>
      <c r="BQ74" s="224" t="str">
        <f>IFERROR(VLOOKUP($A74,CP!$A$1:$U$7992,19,FALSE),"")</f>
        <v/>
      </c>
      <c r="BR74" s="224" t="str">
        <f>IFERROR(VLOOKUP($A74,CP!$A$1:$U$7992,20,FALSE),"")</f>
        <v/>
      </c>
      <c r="BS74" s="224" t="str">
        <f>IFERROR(VLOOKUP($A74,CP!$A$1:$U$1,21,FALSE),"")</f>
        <v/>
      </c>
      <c r="BT74" s="224" t="str">
        <f>IFERROR(VLOOKUP(A74,Devengado!$A$1:AJ$9310,35,FALSE),"")</f>
        <v/>
      </c>
      <c r="BU74" s="224" t="str">
        <f t="shared" si="31"/>
        <v/>
      </c>
      <c r="BV74" s="224" t="str">
        <f t="shared" si="32"/>
        <v/>
      </c>
      <c r="BW74" s="224">
        <f t="shared" si="28"/>
        <v>0</v>
      </c>
      <c r="BX74" s="429">
        <v>0</v>
      </c>
      <c r="BY74" s="429">
        <v>0</v>
      </c>
      <c r="BZ74" s="429">
        <v>0</v>
      </c>
      <c r="CA74" s="429">
        <v>0</v>
      </c>
      <c r="CB74" s="429">
        <v>7000</v>
      </c>
      <c r="CC74" s="429">
        <v>0</v>
      </c>
      <c r="CD74" s="429">
        <v>0</v>
      </c>
      <c r="CE74" s="429">
        <v>0</v>
      </c>
      <c r="CF74" s="429">
        <v>0</v>
      </c>
      <c r="CG74" s="429">
        <v>0</v>
      </c>
      <c r="CH74" s="429">
        <v>0</v>
      </c>
      <c r="CI74" s="429">
        <v>0</v>
      </c>
      <c r="CJ74" s="224" t="str">
        <f>IFERROR(VLOOKUP($A74,Devengado!$A$1:$AI$9038,22,FALSE),"")</f>
        <v/>
      </c>
      <c r="CK74" s="224" t="str">
        <f>IFERROR(VLOOKUP($A74,Devengado!$A$1:$AI$9038,23,FALSE),"")</f>
        <v/>
      </c>
      <c r="CL74" s="224" t="str">
        <f>IFERROR(VLOOKUP($A74,Devengado!$A$1:$AI$9038,24,FALSE),"")</f>
        <v/>
      </c>
      <c r="CM74" s="224" t="str">
        <f>IFERROR(VLOOKUP($A74,Devengado!$A$1:$AI$9038,25,FALSE),"")</f>
        <v/>
      </c>
      <c r="CN74" s="224" t="str">
        <f>IFERROR(VLOOKUP($A74,Devengado!$A$1:$AI$9038,26,FALSE),"")</f>
        <v/>
      </c>
      <c r="CO74" s="224" t="str">
        <f>IFERROR(VLOOKUP($A74,Devengado!$A$1:$AI$9038,27,FALSE),"")</f>
        <v/>
      </c>
      <c r="CP74" s="224" t="str">
        <f>IFERROR(VLOOKUP($A74,Devengado!$A$1:$AI$9038,28,FALSE),"")</f>
        <v/>
      </c>
      <c r="CQ74" s="224" t="str">
        <f>IFERROR(VLOOKUP($A74,Devengado!$A$1:$AI$9038,29,FALSE),"")</f>
        <v/>
      </c>
      <c r="CR74" s="224" t="str">
        <f>IFERROR(VLOOKUP($A74,Devengado!$A$1:$AI$9038,30,FALSE),"")</f>
        <v/>
      </c>
      <c r="CS74" s="224" t="str">
        <f>IFERROR(VLOOKUP($A74,Devengado!$A$1:$AI$9038,31,FALSE),"")</f>
        <v/>
      </c>
      <c r="CT74" s="224" t="str">
        <f>IFERROR(VLOOKUP($A74,Devengado!$A$1:$AI$9038,32,FALSE),"")</f>
        <v/>
      </c>
      <c r="CU74" s="224" t="str">
        <f>IFERROR(VLOOKUP($A74,Devengado!$A$1:$AI$9038,33,FALSE),"")</f>
        <v/>
      </c>
      <c r="CV74" s="224">
        <f t="shared" si="33"/>
        <v>0</v>
      </c>
      <c r="CW74" s="224" t="str">
        <f t="shared" si="34"/>
        <v/>
      </c>
      <c r="CX74" s="207"/>
      <c r="CY74" s="207" t="str">
        <f t="shared" si="35"/>
        <v>53</v>
      </c>
      <c r="CZ74" s="112" t="s">
        <v>915</v>
      </c>
    </row>
    <row r="75" spans="1:104" s="225" customFormat="1" ht="25.5" customHeight="1">
      <c r="A75" s="207">
        <v>485</v>
      </c>
      <c r="B75" s="207"/>
      <c r="C75" s="207"/>
      <c r="D75" s="207"/>
      <c r="E75" s="207"/>
      <c r="F75" s="207"/>
      <c r="G75" s="207"/>
      <c r="H75" s="207"/>
      <c r="I75" s="207"/>
      <c r="J75" s="207"/>
      <c r="K75" s="112" t="s">
        <v>429</v>
      </c>
      <c r="L75" s="112" t="s">
        <v>850</v>
      </c>
      <c r="M75" s="112" t="s">
        <v>850</v>
      </c>
      <c r="N75" s="112" t="s">
        <v>77</v>
      </c>
      <c r="O75" s="112" t="s">
        <v>77</v>
      </c>
      <c r="P75" s="112" t="s">
        <v>76</v>
      </c>
      <c r="Q75" s="112" t="s">
        <v>77</v>
      </c>
      <c r="R75" s="112" t="s">
        <v>77</v>
      </c>
      <c r="S75" s="112" t="s">
        <v>77</v>
      </c>
      <c r="T75" s="112" t="s">
        <v>77</v>
      </c>
      <c r="U75" s="112" t="s">
        <v>77</v>
      </c>
      <c r="V75" s="112" t="s">
        <v>77</v>
      </c>
      <c r="W75" s="112" t="s">
        <v>85</v>
      </c>
      <c r="X75" s="124" t="s">
        <v>501</v>
      </c>
      <c r="Y75" s="114" t="s">
        <v>430</v>
      </c>
      <c r="Z75" s="114" t="s">
        <v>111</v>
      </c>
      <c r="AA75" s="114" t="s">
        <v>81</v>
      </c>
      <c r="AB75" s="114" t="s">
        <v>112</v>
      </c>
      <c r="AC75" s="115" t="str">
        <f t="shared" si="23"/>
        <v>53</v>
      </c>
      <c r="AD75" s="124">
        <v>530106</v>
      </c>
      <c r="AE75" s="122" t="str">
        <f>VLOOKUP(AD75,ITEM!$C$1:$D$694,2,FALSE)</f>
        <v>Servicio de Correo</v>
      </c>
      <c r="AF75" s="112">
        <v>1309</v>
      </c>
      <c r="AG75" s="114" t="s">
        <v>82</v>
      </c>
      <c r="AH75" s="114" t="s">
        <v>84</v>
      </c>
      <c r="AI75" s="114" t="s">
        <v>84</v>
      </c>
      <c r="AJ75" s="114" t="s">
        <v>914</v>
      </c>
      <c r="AK75" s="114" t="s">
        <v>77</v>
      </c>
      <c r="AL75" s="271">
        <v>1000</v>
      </c>
      <c r="AM75" s="272"/>
      <c r="AN75" s="272">
        <f t="shared" si="15"/>
        <v>1000</v>
      </c>
      <c r="AO75" s="224">
        <f>SUMIF(Reforma!$A$2:$A$8523,$A75,Reforma!$AB$2:$AB$8523)</f>
        <v>0</v>
      </c>
      <c r="AP75" s="224">
        <f>SUMIF(Reforma!$A$2:$A$8523,$A75,Reforma!$AC$2:$AC$8523)</f>
        <v>-1000</v>
      </c>
      <c r="AQ75" s="224">
        <f>SUMIF(Reforma!$A$2:$A$8523,$A75,Reforma!$AD$2:$AD$8523)</f>
        <v>0</v>
      </c>
      <c r="AR75" s="224">
        <f>SUMIF(Reforma!$A$2:$A$8523,$A75,Reforma!$AE$2:$AE$8523)</f>
        <v>0</v>
      </c>
      <c r="AS75" s="224">
        <f t="shared" si="24"/>
        <v>0</v>
      </c>
      <c r="AT75" s="224">
        <f t="shared" si="25"/>
        <v>0</v>
      </c>
      <c r="AU75" s="224">
        <f t="shared" si="26"/>
        <v>0</v>
      </c>
      <c r="AV75" s="326"/>
      <c r="AW75" s="326"/>
      <c r="AX75" s="326"/>
      <c r="AY75" s="326"/>
      <c r="AZ75" s="326"/>
      <c r="BA75" s="326"/>
      <c r="BB75" s="326"/>
      <c r="BC75" s="326"/>
      <c r="BD75" s="326"/>
      <c r="BE75" s="326"/>
      <c r="BF75" s="326"/>
      <c r="BG75" s="326"/>
      <c r="BH75" s="408">
        <f t="shared" si="16"/>
        <v>1000</v>
      </c>
      <c r="BI75" s="408">
        <f t="shared" si="29"/>
        <v>0</v>
      </c>
      <c r="BJ75" s="408">
        <f t="shared" si="27"/>
        <v>0</v>
      </c>
      <c r="BK75" s="224"/>
      <c r="BL75" s="224"/>
      <c r="BM75" s="224"/>
      <c r="BN75" s="224" t="str">
        <f>IFERROR(VLOOKUP($A75,'Constancias POA'!$A$2:$DH$9993,18,FALSE),"")</f>
        <v/>
      </c>
      <c r="BO75" s="224" t="str">
        <f t="shared" si="30"/>
        <v/>
      </c>
      <c r="BP75" s="224" t="str">
        <f>IFERROR(VLOOKUP($A75,CP!$A$1:$U$7992,18,FALSE),"")</f>
        <v/>
      </c>
      <c r="BQ75" s="224" t="str">
        <f>IFERROR(VLOOKUP($A75,CP!$A$1:$U$7992,19,FALSE),"")</f>
        <v/>
      </c>
      <c r="BR75" s="224" t="str">
        <f>IFERROR(VLOOKUP($A75,CP!$A$1:$U$7992,20,FALSE),"")</f>
        <v/>
      </c>
      <c r="BS75" s="224" t="str">
        <f>IFERROR(VLOOKUP($A75,CP!$A$1:$U$1,21,FALSE),"")</f>
        <v/>
      </c>
      <c r="BT75" s="224" t="str">
        <f>IFERROR(VLOOKUP(A75,Devengado!$A$1:AJ$9310,35,FALSE),"")</f>
        <v/>
      </c>
      <c r="BU75" s="224" t="str">
        <f t="shared" si="31"/>
        <v/>
      </c>
      <c r="BV75" s="224" t="str">
        <f t="shared" si="32"/>
        <v/>
      </c>
      <c r="BW75" s="224">
        <f t="shared" si="28"/>
        <v>0</v>
      </c>
      <c r="BX75" s="429">
        <v>0</v>
      </c>
      <c r="BY75" s="429">
        <v>100</v>
      </c>
      <c r="BZ75" s="429">
        <v>100</v>
      </c>
      <c r="CA75" s="429">
        <v>100</v>
      </c>
      <c r="CB75" s="429">
        <v>100</v>
      </c>
      <c r="CC75" s="429">
        <v>100</v>
      </c>
      <c r="CD75" s="429">
        <v>100</v>
      </c>
      <c r="CE75" s="429">
        <v>100</v>
      </c>
      <c r="CF75" s="429">
        <v>100</v>
      </c>
      <c r="CG75" s="429">
        <v>100</v>
      </c>
      <c r="CH75" s="429">
        <v>100</v>
      </c>
      <c r="CI75" s="429">
        <v>0</v>
      </c>
      <c r="CJ75" s="224" t="str">
        <f>IFERROR(VLOOKUP($A75,Devengado!$A$1:$AI$9038,22,FALSE),"")</f>
        <v/>
      </c>
      <c r="CK75" s="224" t="str">
        <f>IFERROR(VLOOKUP($A75,Devengado!$A$1:$AI$9038,23,FALSE),"")</f>
        <v/>
      </c>
      <c r="CL75" s="224" t="str">
        <f>IFERROR(VLOOKUP($A75,Devengado!$A$1:$AI$9038,24,FALSE),"")</f>
        <v/>
      </c>
      <c r="CM75" s="224" t="str">
        <f>IFERROR(VLOOKUP($A75,Devengado!$A$1:$AI$9038,25,FALSE),"")</f>
        <v/>
      </c>
      <c r="CN75" s="224" t="str">
        <f>IFERROR(VLOOKUP($A75,Devengado!$A$1:$AI$9038,26,FALSE),"")</f>
        <v/>
      </c>
      <c r="CO75" s="224" t="str">
        <f>IFERROR(VLOOKUP($A75,Devengado!$A$1:$AI$9038,27,FALSE),"")</f>
        <v/>
      </c>
      <c r="CP75" s="224" t="str">
        <f>IFERROR(VLOOKUP($A75,Devengado!$A$1:$AI$9038,28,FALSE),"")</f>
        <v/>
      </c>
      <c r="CQ75" s="224" t="str">
        <f>IFERROR(VLOOKUP($A75,Devengado!$A$1:$AI$9038,29,FALSE),"")</f>
        <v/>
      </c>
      <c r="CR75" s="224" t="str">
        <f>IFERROR(VLOOKUP($A75,Devengado!$A$1:$AI$9038,30,FALSE),"")</f>
        <v/>
      </c>
      <c r="CS75" s="224" t="str">
        <f>IFERROR(VLOOKUP($A75,Devengado!$A$1:$AI$9038,31,FALSE),"")</f>
        <v/>
      </c>
      <c r="CT75" s="224" t="str">
        <f>IFERROR(VLOOKUP($A75,Devengado!$A$1:$AI$9038,32,FALSE),"")</f>
        <v/>
      </c>
      <c r="CU75" s="224" t="str">
        <f>IFERROR(VLOOKUP($A75,Devengado!$A$1:$AI$9038,33,FALSE),"")</f>
        <v/>
      </c>
      <c r="CV75" s="224">
        <f t="shared" si="33"/>
        <v>0</v>
      </c>
      <c r="CW75" s="224" t="str">
        <f t="shared" si="34"/>
        <v/>
      </c>
      <c r="CX75" s="207"/>
      <c r="CY75" s="207" t="str">
        <f t="shared" si="35"/>
        <v>53</v>
      </c>
      <c r="CZ75" s="112" t="s">
        <v>915</v>
      </c>
    </row>
    <row r="76" spans="1:104" s="225" customFormat="1" ht="25.5" customHeight="1">
      <c r="A76" s="207">
        <v>486</v>
      </c>
      <c r="B76" s="207"/>
      <c r="C76" s="207"/>
      <c r="D76" s="207"/>
      <c r="E76" s="207"/>
      <c r="F76" s="207"/>
      <c r="G76" s="207"/>
      <c r="H76" s="207"/>
      <c r="I76" s="207"/>
      <c r="J76" s="207"/>
      <c r="K76" s="112" t="s">
        <v>429</v>
      </c>
      <c r="L76" s="112" t="s">
        <v>850</v>
      </c>
      <c r="M76" s="112" t="s">
        <v>850</v>
      </c>
      <c r="N76" s="112" t="s">
        <v>77</v>
      </c>
      <c r="O76" s="112" t="s">
        <v>77</v>
      </c>
      <c r="P76" s="112" t="s">
        <v>76</v>
      </c>
      <c r="Q76" s="112" t="s">
        <v>77</v>
      </c>
      <c r="R76" s="112" t="s">
        <v>77</v>
      </c>
      <c r="S76" s="112" t="s">
        <v>77</v>
      </c>
      <c r="T76" s="112" t="s">
        <v>77</v>
      </c>
      <c r="U76" s="112" t="s">
        <v>77</v>
      </c>
      <c r="V76" s="112" t="s">
        <v>77</v>
      </c>
      <c r="W76" s="112" t="s">
        <v>85</v>
      </c>
      <c r="X76" s="124" t="s">
        <v>502</v>
      </c>
      <c r="Y76" s="114" t="s">
        <v>430</v>
      </c>
      <c r="Z76" s="114" t="s">
        <v>111</v>
      </c>
      <c r="AA76" s="114" t="s">
        <v>81</v>
      </c>
      <c r="AB76" s="114" t="s">
        <v>112</v>
      </c>
      <c r="AC76" s="115" t="str">
        <f t="shared" si="23"/>
        <v>53</v>
      </c>
      <c r="AD76" s="124">
        <v>530301</v>
      </c>
      <c r="AE76" s="122" t="str">
        <f>VLOOKUP(AD76,ITEM!$C$1:$D$694,2,FALSE)</f>
        <v>Pasajes al Interior</v>
      </c>
      <c r="AF76" s="112">
        <v>1309</v>
      </c>
      <c r="AG76" s="114" t="s">
        <v>82</v>
      </c>
      <c r="AH76" s="114" t="s">
        <v>84</v>
      </c>
      <c r="AI76" s="114" t="s">
        <v>84</v>
      </c>
      <c r="AJ76" s="114" t="s">
        <v>914</v>
      </c>
      <c r="AK76" s="114" t="s">
        <v>77</v>
      </c>
      <c r="AL76" s="271">
        <v>500</v>
      </c>
      <c r="AM76" s="272"/>
      <c r="AN76" s="272">
        <f t="shared" si="15"/>
        <v>500</v>
      </c>
      <c r="AO76" s="224">
        <f>SUMIF(Reforma!$A$2:$A$8523,$A76,Reforma!$AB$2:$AB$8523)</f>
        <v>0</v>
      </c>
      <c r="AP76" s="224">
        <f>SUMIF(Reforma!$A$2:$A$8523,$A76,Reforma!$AC$2:$AC$8523)</f>
        <v>-500</v>
      </c>
      <c r="AQ76" s="224">
        <f>SUMIF(Reforma!$A$2:$A$8523,$A76,Reforma!$AD$2:$AD$8523)</f>
        <v>0</v>
      </c>
      <c r="AR76" s="224">
        <f>SUMIF(Reforma!$A$2:$A$8523,$A76,Reforma!$AE$2:$AE$8523)</f>
        <v>0</v>
      </c>
      <c r="AS76" s="224">
        <f t="shared" si="24"/>
        <v>0</v>
      </c>
      <c r="AT76" s="224">
        <f t="shared" si="25"/>
        <v>0</v>
      </c>
      <c r="AU76" s="224">
        <f t="shared" si="26"/>
        <v>0</v>
      </c>
      <c r="AV76" s="326">
        <v>0</v>
      </c>
      <c r="AW76" s="326"/>
      <c r="AX76" s="326"/>
      <c r="AY76" s="326"/>
      <c r="AZ76" s="326"/>
      <c r="BA76" s="326"/>
      <c r="BB76" s="326"/>
      <c r="BC76" s="326"/>
      <c r="BD76" s="326"/>
      <c r="BE76" s="326"/>
      <c r="BF76" s="326"/>
      <c r="BG76" s="326">
        <v>0</v>
      </c>
      <c r="BH76" s="408">
        <f t="shared" si="16"/>
        <v>500</v>
      </c>
      <c r="BI76" s="408">
        <f t="shared" si="29"/>
        <v>0</v>
      </c>
      <c r="BJ76" s="408">
        <f t="shared" si="27"/>
        <v>0</v>
      </c>
      <c r="BK76" s="224"/>
      <c r="BL76" s="224"/>
      <c r="BM76" s="224"/>
      <c r="BN76" s="224">
        <f>IFERROR(VLOOKUP($A76,'Constancias POA'!$A$2:$DH$9993,18,FALSE),"")</f>
        <v>500</v>
      </c>
      <c r="BO76" s="224">
        <f t="shared" si="30"/>
        <v>-500</v>
      </c>
      <c r="BP76" s="224">
        <f>IFERROR(VLOOKUP($A76,CP!$A$1:$U$7992,18,FALSE),"")</f>
        <v>0</v>
      </c>
      <c r="BQ76" s="224">
        <f>IFERROR(VLOOKUP($A76,CP!$A$1:$U$7992,19,FALSE),"")</f>
        <v>0</v>
      </c>
      <c r="BR76" s="224">
        <f>IFERROR(VLOOKUP($A76,CP!$A$1:$U$7992,20,FALSE),"")</f>
        <v>0</v>
      </c>
      <c r="BS76" s="224" t="str">
        <f>IFERROR(VLOOKUP($A76,CP!$A$1:$U$1,21,FALSE),"")</f>
        <v/>
      </c>
      <c r="BT76" s="224" t="str">
        <f>IFERROR(VLOOKUP(A76,Devengado!$A$1:AJ$9310,35,FALSE),"")</f>
        <v/>
      </c>
      <c r="BU76" s="224" t="str">
        <f t="shared" si="31"/>
        <v/>
      </c>
      <c r="BV76" s="224" t="str">
        <f t="shared" si="32"/>
        <v/>
      </c>
      <c r="BW76" s="224">
        <f t="shared" si="28"/>
        <v>0</v>
      </c>
      <c r="BX76" s="429">
        <v>0</v>
      </c>
      <c r="BY76" s="429">
        <v>50</v>
      </c>
      <c r="BZ76" s="429">
        <v>50</v>
      </c>
      <c r="CA76" s="429">
        <v>50</v>
      </c>
      <c r="CB76" s="429">
        <v>50</v>
      </c>
      <c r="CC76" s="429">
        <v>50</v>
      </c>
      <c r="CD76" s="429">
        <v>50</v>
      </c>
      <c r="CE76" s="429">
        <v>50</v>
      </c>
      <c r="CF76" s="429">
        <v>50</v>
      </c>
      <c r="CG76" s="429">
        <v>50</v>
      </c>
      <c r="CH76" s="429">
        <v>50</v>
      </c>
      <c r="CI76" s="429">
        <v>0</v>
      </c>
      <c r="CJ76" s="224" t="str">
        <f>IFERROR(VLOOKUP($A76,Devengado!$A$1:$AI$9038,22,FALSE),"")</f>
        <v/>
      </c>
      <c r="CK76" s="224" t="str">
        <f>IFERROR(VLOOKUP($A76,Devengado!$A$1:$AI$9038,23,FALSE),"")</f>
        <v/>
      </c>
      <c r="CL76" s="224" t="str">
        <f>IFERROR(VLOOKUP($A76,Devengado!$A$1:$AI$9038,24,FALSE),"")</f>
        <v/>
      </c>
      <c r="CM76" s="224" t="str">
        <f>IFERROR(VLOOKUP($A76,Devengado!$A$1:$AI$9038,25,FALSE),"")</f>
        <v/>
      </c>
      <c r="CN76" s="224" t="str">
        <f>IFERROR(VLOOKUP($A76,Devengado!$A$1:$AI$9038,26,FALSE),"")</f>
        <v/>
      </c>
      <c r="CO76" s="224" t="str">
        <f>IFERROR(VLOOKUP($A76,Devengado!$A$1:$AI$9038,27,FALSE),"")</f>
        <v/>
      </c>
      <c r="CP76" s="224" t="str">
        <f>IFERROR(VLOOKUP($A76,Devengado!$A$1:$AI$9038,28,FALSE),"")</f>
        <v/>
      </c>
      <c r="CQ76" s="224" t="str">
        <f>IFERROR(VLOOKUP($A76,Devengado!$A$1:$AI$9038,29,FALSE),"")</f>
        <v/>
      </c>
      <c r="CR76" s="224" t="str">
        <f>IFERROR(VLOOKUP($A76,Devengado!$A$1:$AI$9038,30,FALSE),"")</f>
        <v/>
      </c>
      <c r="CS76" s="224" t="str">
        <f>IFERROR(VLOOKUP($A76,Devengado!$A$1:$AI$9038,31,FALSE),"")</f>
        <v/>
      </c>
      <c r="CT76" s="224" t="str">
        <f>IFERROR(VLOOKUP($A76,Devengado!$A$1:$AI$9038,32,FALSE),"")</f>
        <v/>
      </c>
      <c r="CU76" s="224" t="str">
        <f>IFERROR(VLOOKUP($A76,Devengado!$A$1:$AI$9038,33,FALSE),"")</f>
        <v/>
      </c>
      <c r="CV76" s="224">
        <f t="shared" si="33"/>
        <v>0</v>
      </c>
      <c r="CW76" s="224" t="str">
        <f t="shared" si="34"/>
        <v/>
      </c>
      <c r="CX76" s="207"/>
      <c r="CY76" s="207" t="str">
        <f t="shared" si="35"/>
        <v>53</v>
      </c>
      <c r="CZ76" s="112" t="s">
        <v>916</v>
      </c>
    </row>
    <row r="77" spans="1:104" s="225" customFormat="1" ht="25.5" customHeight="1">
      <c r="A77" s="207">
        <v>487</v>
      </c>
      <c r="B77" s="207"/>
      <c r="C77" s="207"/>
      <c r="D77" s="207"/>
      <c r="E77" s="207"/>
      <c r="F77" s="207"/>
      <c r="G77" s="207"/>
      <c r="H77" s="207"/>
      <c r="I77" s="207"/>
      <c r="J77" s="207"/>
      <c r="K77" s="112" t="s">
        <v>429</v>
      </c>
      <c r="L77" s="112" t="s">
        <v>850</v>
      </c>
      <c r="M77" s="112" t="s">
        <v>850</v>
      </c>
      <c r="N77" s="112" t="s">
        <v>77</v>
      </c>
      <c r="O77" s="112" t="s">
        <v>77</v>
      </c>
      <c r="P77" s="112" t="s">
        <v>76</v>
      </c>
      <c r="Q77" s="112" t="s">
        <v>77</v>
      </c>
      <c r="R77" s="112" t="s">
        <v>77</v>
      </c>
      <c r="S77" s="112" t="s">
        <v>77</v>
      </c>
      <c r="T77" s="112" t="s">
        <v>77</v>
      </c>
      <c r="U77" s="112" t="s">
        <v>77</v>
      </c>
      <c r="V77" s="112" t="s">
        <v>77</v>
      </c>
      <c r="W77" s="112" t="s">
        <v>85</v>
      </c>
      <c r="X77" s="124" t="s">
        <v>503</v>
      </c>
      <c r="Y77" s="114" t="s">
        <v>430</v>
      </c>
      <c r="Z77" s="114" t="s">
        <v>111</v>
      </c>
      <c r="AA77" s="114" t="s">
        <v>81</v>
      </c>
      <c r="AB77" s="114" t="s">
        <v>112</v>
      </c>
      <c r="AC77" s="115" t="str">
        <f t="shared" si="23"/>
        <v>53</v>
      </c>
      <c r="AD77" s="112">
        <v>530303</v>
      </c>
      <c r="AE77" s="122" t="str">
        <f>VLOOKUP(AD77,ITEM!$C$1:$D$694,2,FALSE)</f>
        <v>Viáticos y Subsistencias en el Interior</v>
      </c>
      <c r="AF77" s="112">
        <v>1309</v>
      </c>
      <c r="AG77" s="114" t="s">
        <v>82</v>
      </c>
      <c r="AH77" s="114" t="s">
        <v>84</v>
      </c>
      <c r="AI77" s="114" t="s">
        <v>84</v>
      </c>
      <c r="AJ77" s="114" t="s">
        <v>914</v>
      </c>
      <c r="AK77" s="114" t="s">
        <v>77</v>
      </c>
      <c r="AL77" s="271">
        <v>1085.8800000000001</v>
      </c>
      <c r="AM77" s="272"/>
      <c r="AN77" s="272">
        <f t="shared" si="15"/>
        <v>1085.8800000000001</v>
      </c>
      <c r="AO77" s="224">
        <f>SUMIF(Reforma!$A$2:$A$8523,$A77,Reforma!$AB$2:$AB$8523)</f>
        <v>3715.7</v>
      </c>
      <c r="AP77" s="224">
        <f>SUMIF(Reforma!$A$2:$A$8523,$A77,Reforma!$AC$2:$AC$8523)</f>
        <v>-31.32</v>
      </c>
      <c r="AQ77" s="224">
        <f>SUMIF(Reforma!$A$2:$A$8523,$A77,Reforma!$AD$2:$AD$8523)</f>
        <v>0</v>
      </c>
      <c r="AR77" s="224">
        <f>SUMIF(Reforma!$A$2:$A$8523,$A77,Reforma!$AE$2:$AE$8523)</f>
        <v>0</v>
      </c>
      <c r="AS77" s="224">
        <f t="shared" si="24"/>
        <v>4770.26</v>
      </c>
      <c r="AT77" s="224">
        <f t="shared" si="25"/>
        <v>0</v>
      </c>
      <c r="AU77" s="224">
        <f t="shared" si="26"/>
        <v>4770.26</v>
      </c>
      <c r="AV77" s="481"/>
      <c r="AW77" s="481"/>
      <c r="AX77" s="224">
        <f>IFERROR(VLOOKUP($A77,[1]Devengado!$A$1:$AI$9044,24,FALSE),"")</f>
        <v>420</v>
      </c>
      <c r="AY77" s="224" t="str">
        <f>IFERROR(VLOOKUP($A77,[1]Devengado!$A$1:$AI$9044,25,FALSE),"")</f>
        <v/>
      </c>
      <c r="AZ77" s="224" t="str">
        <f>IFERROR(VLOOKUP($A77,[1]Devengado!$A$1:$AI$9044,26,FALSE),"")</f>
        <v/>
      </c>
      <c r="BA77" s="481"/>
      <c r="BB77" s="481">
        <v>1000</v>
      </c>
      <c r="BC77" s="481">
        <v>1000</v>
      </c>
      <c r="BD77" s="481">
        <v>1000</v>
      </c>
      <c r="BE77" s="481">
        <v>1000</v>
      </c>
      <c r="BF77" s="481">
        <v>350.26</v>
      </c>
      <c r="BG77" s="481"/>
      <c r="BH77" s="408">
        <f t="shared" si="16"/>
        <v>4801.58</v>
      </c>
      <c r="BI77" s="408">
        <f t="shared" si="29"/>
        <v>4770.26</v>
      </c>
      <c r="BJ77" s="408">
        <f t="shared" si="27"/>
        <v>0</v>
      </c>
      <c r="BK77" s="224"/>
      <c r="BL77" s="224"/>
      <c r="BM77" s="224"/>
      <c r="BN77" s="224">
        <f>IFERROR(VLOOKUP($A77,'Constancias POA'!$A$2:$DH$9993,18,FALSE),"")</f>
        <v>4801.58</v>
      </c>
      <c r="BO77" s="224">
        <f t="shared" si="30"/>
        <v>-31.319999999999709</v>
      </c>
      <c r="BP77" s="224">
        <f>IFERROR(VLOOKUP($A77,CP!$A$1:$U$7992,18,FALSE),"")</f>
        <v>4110.26</v>
      </c>
      <c r="BQ77" s="224">
        <f>IFERROR(VLOOKUP($A77,CP!$A$1:$U$7992,19,FALSE),"")</f>
        <v>3260</v>
      </c>
      <c r="BR77" s="224">
        <f>IFERROR(VLOOKUP($A77,CP!$A$1:$U$7992,20,FALSE),"")</f>
        <v>0</v>
      </c>
      <c r="BS77" s="224" t="str">
        <f>IFERROR(VLOOKUP($A77,CP!$A$1:$U$1,21,FALSE),"")</f>
        <v/>
      </c>
      <c r="BT77" s="224">
        <f>IFERROR(VLOOKUP(A77,Devengado!$A$1:AJ$9310,35,FALSE),"")</f>
        <v>3257.5</v>
      </c>
      <c r="BU77" s="224">
        <f t="shared" si="31"/>
        <v>1512.7600000000002</v>
      </c>
      <c r="BV77" s="224">
        <f t="shared" si="32"/>
        <v>0.68287682432404095</v>
      </c>
      <c r="BW77" s="224">
        <f t="shared" si="28"/>
        <v>4770.26</v>
      </c>
      <c r="BX77" s="326"/>
      <c r="BY77" s="326"/>
      <c r="BZ77" s="326">
        <v>420</v>
      </c>
      <c r="CA77" s="326"/>
      <c r="CB77" s="326"/>
      <c r="CC77" s="326"/>
      <c r="CD77" s="326">
        <v>1500</v>
      </c>
      <c r="CE77" s="326">
        <v>721.58</v>
      </c>
      <c r="CF77" s="326">
        <v>720</v>
      </c>
      <c r="CG77" s="326">
        <v>720</v>
      </c>
      <c r="CH77" s="326">
        <v>720</v>
      </c>
      <c r="CI77" s="326"/>
      <c r="CJ77" s="224">
        <f>IFERROR(VLOOKUP($A77,Devengado!$A$1:$AI$9038,22,FALSE),"")</f>
        <v>0</v>
      </c>
      <c r="CK77" s="224">
        <f>IFERROR(VLOOKUP($A77,Devengado!$A$1:$AI$9038,23,FALSE),"")</f>
        <v>0</v>
      </c>
      <c r="CL77" s="224">
        <f>IFERROR(VLOOKUP($A77,Devengado!$A$1:$AI$9038,24,FALSE),"")</f>
        <v>420</v>
      </c>
      <c r="CM77" s="224">
        <f>IFERROR(VLOOKUP($A77,Devengado!$A$1:$AI$9038,25,FALSE),"")</f>
        <v>0</v>
      </c>
      <c r="CN77" s="224">
        <f>IFERROR(VLOOKUP($A77,Devengado!$A$1:$AI$9038,26,FALSE),"")</f>
        <v>0</v>
      </c>
      <c r="CO77" s="224">
        <f>IFERROR(VLOOKUP($A77,Devengado!$A$1:$AI$9038,27,FALSE),"")</f>
        <v>0</v>
      </c>
      <c r="CP77" s="224">
        <f>IFERROR(VLOOKUP($A77,Devengado!$A$1:$AI$9038,28,FALSE),"")</f>
        <v>0</v>
      </c>
      <c r="CQ77" s="224">
        <f>IFERROR(VLOOKUP($A77,Devengado!$A$1:$AI$9038,29,FALSE),"")</f>
        <v>240</v>
      </c>
      <c r="CR77" s="224">
        <f>IFERROR(VLOOKUP($A77,Devengado!$A$1:$AI$9038,30,FALSE),"")</f>
        <v>157.5</v>
      </c>
      <c r="CS77" s="224">
        <f>IFERROR(VLOOKUP($A77,Devengado!$A$1:$AI$9038,31,FALSE),"")</f>
        <v>1480</v>
      </c>
      <c r="CT77" s="224">
        <f>IFERROR(VLOOKUP($A77,Devengado!$A$1:$AI$9038,32,FALSE),"")</f>
        <v>640</v>
      </c>
      <c r="CU77" s="224">
        <f>IFERROR(VLOOKUP($A77,Devengado!$A$1:$AI$9038,33,FALSE),"")</f>
        <v>320</v>
      </c>
      <c r="CV77" s="224">
        <f t="shared" si="33"/>
        <v>3257.5</v>
      </c>
      <c r="CW77" s="224">
        <f t="shared" si="34"/>
        <v>0</v>
      </c>
      <c r="CX77" s="207"/>
      <c r="CY77" s="207" t="str">
        <f t="shared" si="35"/>
        <v>53</v>
      </c>
      <c r="CZ77" s="112" t="s">
        <v>916</v>
      </c>
    </row>
    <row r="78" spans="1:104" s="225" customFormat="1" ht="25.5" customHeight="1">
      <c r="A78" s="207">
        <v>488</v>
      </c>
      <c r="B78" s="207"/>
      <c r="C78" s="207"/>
      <c r="D78" s="207"/>
      <c r="E78" s="207"/>
      <c r="F78" s="207"/>
      <c r="G78" s="207"/>
      <c r="H78" s="207"/>
      <c r="I78" s="207"/>
      <c r="J78" s="207"/>
      <c r="K78" s="112" t="s">
        <v>429</v>
      </c>
      <c r="L78" s="112" t="s">
        <v>850</v>
      </c>
      <c r="M78" s="112" t="s">
        <v>850</v>
      </c>
      <c r="N78" s="112" t="s">
        <v>77</v>
      </c>
      <c r="O78" s="112" t="s">
        <v>77</v>
      </c>
      <c r="P78" s="112" t="s">
        <v>76</v>
      </c>
      <c r="Q78" s="112" t="s">
        <v>77</v>
      </c>
      <c r="R78" s="112" t="s">
        <v>77</v>
      </c>
      <c r="S78" s="112" t="s">
        <v>77</v>
      </c>
      <c r="T78" s="112" t="s">
        <v>77</v>
      </c>
      <c r="U78" s="112" t="s">
        <v>77</v>
      </c>
      <c r="V78" s="112" t="s">
        <v>77</v>
      </c>
      <c r="W78" s="112" t="s">
        <v>85</v>
      </c>
      <c r="X78" s="124" t="s">
        <v>504</v>
      </c>
      <c r="Y78" s="114" t="s">
        <v>430</v>
      </c>
      <c r="Z78" s="114" t="s">
        <v>111</v>
      </c>
      <c r="AA78" s="114" t="s">
        <v>81</v>
      </c>
      <c r="AB78" s="114" t="s">
        <v>112</v>
      </c>
      <c r="AC78" s="115" t="str">
        <f t="shared" si="23"/>
        <v>53</v>
      </c>
      <c r="AD78" s="124">
        <v>530301</v>
      </c>
      <c r="AE78" s="122" t="str">
        <f>VLOOKUP(AD78,ITEM!$C$1:$D$694,2,FALSE)</f>
        <v>Pasajes al Interior</v>
      </c>
      <c r="AF78" s="112">
        <v>1309</v>
      </c>
      <c r="AG78" s="114" t="s">
        <v>82</v>
      </c>
      <c r="AH78" s="114" t="s">
        <v>84</v>
      </c>
      <c r="AI78" s="114" t="s">
        <v>84</v>
      </c>
      <c r="AJ78" s="114" t="s">
        <v>914</v>
      </c>
      <c r="AK78" s="114" t="s">
        <v>77</v>
      </c>
      <c r="AL78" s="271">
        <v>500</v>
      </c>
      <c r="AM78" s="272"/>
      <c r="AN78" s="272">
        <f t="shared" si="15"/>
        <v>500</v>
      </c>
      <c r="AO78" s="224">
        <f>SUMIF(Reforma!$A$2:$A$8523,$A78,Reforma!$AB$2:$AB$8523)</f>
        <v>1000</v>
      </c>
      <c r="AP78" s="224">
        <f>SUMIF(Reforma!$A$2:$A$8523,$A78,Reforma!$AC$2:$AC$8523)</f>
        <v>-1500</v>
      </c>
      <c r="AQ78" s="224">
        <f>SUMIF(Reforma!$A$2:$A$8523,$A78,Reforma!$AD$2:$AD$8523)</f>
        <v>0</v>
      </c>
      <c r="AR78" s="224">
        <f>SUMIF(Reforma!$A$2:$A$8523,$A78,Reforma!$AE$2:$AE$8523)</f>
        <v>0</v>
      </c>
      <c r="AS78" s="224">
        <f t="shared" si="24"/>
        <v>0</v>
      </c>
      <c r="AT78" s="224">
        <f t="shared" si="25"/>
        <v>0</v>
      </c>
      <c r="AU78" s="224">
        <f t="shared" si="26"/>
        <v>0</v>
      </c>
      <c r="AV78" s="326"/>
      <c r="AW78" s="326"/>
      <c r="AX78" s="326"/>
      <c r="AY78" s="326"/>
      <c r="AZ78" s="326"/>
      <c r="BA78" s="326"/>
      <c r="BB78" s="326"/>
      <c r="BC78" s="326"/>
      <c r="BD78" s="326"/>
      <c r="BE78" s="326"/>
      <c r="BF78" s="326"/>
      <c r="BG78" s="326"/>
      <c r="BH78" s="408">
        <f t="shared" si="16"/>
        <v>500</v>
      </c>
      <c r="BI78" s="408">
        <f t="shared" si="29"/>
        <v>0</v>
      </c>
      <c r="BJ78" s="408">
        <f t="shared" si="27"/>
        <v>0</v>
      </c>
      <c r="BK78" s="224"/>
      <c r="BL78" s="224"/>
      <c r="BM78" s="224"/>
      <c r="BN78" s="224">
        <f>IFERROR(VLOOKUP($A78,'Constancias POA'!$A$2:$DH$9993,18,FALSE),"")</f>
        <v>1500</v>
      </c>
      <c r="BO78" s="224">
        <f t="shared" si="30"/>
        <v>-1500</v>
      </c>
      <c r="BP78" s="224">
        <f>IFERROR(VLOOKUP($A78,CP!$A$1:$U$7992,18,FALSE),"")</f>
        <v>0</v>
      </c>
      <c r="BQ78" s="224">
        <f>IFERROR(VLOOKUP($A78,CP!$A$1:$U$7992,19,FALSE),"")</f>
        <v>0</v>
      </c>
      <c r="BR78" s="224">
        <f>IFERROR(VLOOKUP($A78,CP!$A$1:$U$7992,20,FALSE),"")</f>
        <v>0</v>
      </c>
      <c r="BS78" s="224" t="str">
        <f>IFERROR(VLOOKUP($A78,CP!$A$1:$U$1,21,FALSE),"")</f>
        <v/>
      </c>
      <c r="BT78" s="224" t="str">
        <f>IFERROR(VLOOKUP(A78,Devengado!$A$1:AJ$9310,35,FALSE),"")</f>
        <v/>
      </c>
      <c r="BU78" s="224" t="str">
        <f t="shared" si="31"/>
        <v/>
      </c>
      <c r="BV78" s="224" t="str">
        <f t="shared" si="32"/>
        <v/>
      </c>
      <c r="BW78" s="224">
        <f t="shared" si="28"/>
        <v>0</v>
      </c>
      <c r="BX78" s="429">
        <v>0</v>
      </c>
      <c r="BY78" s="429">
        <v>0</v>
      </c>
      <c r="BZ78" s="429">
        <v>200</v>
      </c>
      <c r="CA78" s="429">
        <v>0</v>
      </c>
      <c r="CB78" s="429">
        <v>0</v>
      </c>
      <c r="CC78" s="429">
        <v>0</v>
      </c>
      <c r="CD78" s="429">
        <v>200</v>
      </c>
      <c r="CE78" s="429">
        <v>0</v>
      </c>
      <c r="CF78" s="429">
        <v>0</v>
      </c>
      <c r="CG78" s="429">
        <v>100</v>
      </c>
      <c r="CH78" s="429">
        <v>0</v>
      </c>
      <c r="CI78" s="429">
        <v>0</v>
      </c>
      <c r="CJ78" s="224" t="str">
        <f>IFERROR(VLOOKUP($A78,Devengado!$A$1:$AI$9038,22,FALSE),"")</f>
        <v/>
      </c>
      <c r="CK78" s="224" t="str">
        <f>IFERROR(VLOOKUP($A78,Devengado!$A$1:$AI$9038,23,FALSE),"")</f>
        <v/>
      </c>
      <c r="CL78" s="224" t="str">
        <f>IFERROR(VLOOKUP($A78,Devengado!$A$1:$AI$9038,24,FALSE),"")</f>
        <v/>
      </c>
      <c r="CM78" s="224" t="str">
        <f>IFERROR(VLOOKUP($A78,Devengado!$A$1:$AI$9038,25,FALSE),"")</f>
        <v/>
      </c>
      <c r="CN78" s="224" t="str">
        <f>IFERROR(VLOOKUP($A78,Devengado!$A$1:$AI$9038,26,FALSE),"")</f>
        <v/>
      </c>
      <c r="CO78" s="224" t="str">
        <f>IFERROR(VLOOKUP($A78,Devengado!$A$1:$AI$9038,27,FALSE),"")</f>
        <v/>
      </c>
      <c r="CP78" s="224" t="str">
        <f>IFERROR(VLOOKUP($A78,Devengado!$A$1:$AI$9038,28,FALSE),"")</f>
        <v/>
      </c>
      <c r="CQ78" s="224" t="str">
        <f>IFERROR(VLOOKUP($A78,Devengado!$A$1:$AI$9038,29,FALSE),"")</f>
        <v/>
      </c>
      <c r="CR78" s="224" t="str">
        <f>IFERROR(VLOOKUP($A78,Devengado!$A$1:$AI$9038,30,FALSE),"")</f>
        <v/>
      </c>
      <c r="CS78" s="224" t="str">
        <f>IFERROR(VLOOKUP($A78,Devengado!$A$1:$AI$9038,31,FALSE),"")</f>
        <v/>
      </c>
      <c r="CT78" s="224" t="str">
        <f>IFERROR(VLOOKUP($A78,Devengado!$A$1:$AI$9038,32,FALSE),"")</f>
        <v/>
      </c>
      <c r="CU78" s="224" t="str">
        <f>IFERROR(VLOOKUP($A78,Devengado!$A$1:$AI$9038,33,FALSE),"")</f>
        <v/>
      </c>
      <c r="CV78" s="224">
        <f t="shared" si="33"/>
        <v>0</v>
      </c>
      <c r="CW78" s="224" t="str">
        <f t="shared" si="34"/>
        <v/>
      </c>
      <c r="CX78" s="207"/>
      <c r="CY78" s="207" t="str">
        <f t="shared" si="35"/>
        <v>53</v>
      </c>
      <c r="CZ78" s="112" t="s">
        <v>916</v>
      </c>
    </row>
    <row r="79" spans="1:104" s="225" customFormat="1" ht="15.75" customHeight="1">
      <c r="A79" s="207">
        <v>489</v>
      </c>
      <c r="B79" s="207"/>
      <c r="C79" s="207"/>
      <c r="D79" s="207"/>
      <c r="E79" s="207"/>
      <c r="F79" s="207"/>
      <c r="G79" s="207"/>
      <c r="H79" s="207"/>
      <c r="I79" s="207"/>
      <c r="J79" s="207"/>
      <c r="K79" s="112" t="s">
        <v>429</v>
      </c>
      <c r="L79" s="112" t="s">
        <v>850</v>
      </c>
      <c r="M79" s="112" t="s">
        <v>850</v>
      </c>
      <c r="N79" s="112" t="s">
        <v>77</v>
      </c>
      <c r="O79" s="112" t="s">
        <v>77</v>
      </c>
      <c r="P79" s="112" t="s">
        <v>76</v>
      </c>
      <c r="Q79" s="112" t="s">
        <v>77</v>
      </c>
      <c r="R79" s="112" t="s">
        <v>77</v>
      </c>
      <c r="S79" s="112" t="s">
        <v>77</v>
      </c>
      <c r="T79" s="112" t="s">
        <v>77</v>
      </c>
      <c r="U79" s="112" t="s">
        <v>77</v>
      </c>
      <c r="V79" s="112" t="s">
        <v>77</v>
      </c>
      <c r="W79" s="112" t="s">
        <v>85</v>
      </c>
      <c r="X79" s="124" t="s">
        <v>505</v>
      </c>
      <c r="Y79" s="114" t="s">
        <v>430</v>
      </c>
      <c r="Z79" s="114" t="s">
        <v>111</v>
      </c>
      <c r="AA79" s="114" t="s">
        <v>81</v>
      </c>
      <c r="AB79" s="114" t="s">
        <v>112</v>
      </c>
      <c r="AC79" s="115" t="str">
        <f t="shared" si="23"/>
        <v>53</v>
      </c>
      <c r="AD79" s="124">
        <v>530811</v>
      </c>
      <c r="AE79" s="122" t="str">
        <f>VLOOKUP(AD79,ITEM!$C$1:$D$694,2,FALSE)</f>
        <v>Insumos,   Materiales   y   Suministros   para   Construcción,   Electricidad,   Plomería,   Carpintería,   Señalización   Vial,
Navegación, Contra Incendios y Placas</v>
      </c>
      <c r="AF79" s="112">
        <v>1309</v>
      </c>
      <c r="AG79" s="114" t="s">
        <v>82</v>
      </c>
      <c r="AH79" s="114" t="s">
        <v>84</v>
      </c>
      <c r="AI79" s="114" t="s">
        <v>84</v>
      </c>
      <c r="AJ79" s="114" t="s">
        <v>914</v>
      </c>
      <c r="AK79" s="114" t="s">
        <v>77</v>
      </c>
      <c r="AL79" s="271">
        <v>3942.38</v>
      </c>
      <c r="AM79" s="272"/>
      <c r="AN79" s="272">
        <f t="shared" si="15"/>
        <v>3942.38</v>
      </c>
      <c r="AO79" s="224">
        <f>SUMIF(Reforma!$A$2:$A$8523,$A79,Reforma!$AB$2:$AB$8523)</f>
        <v>0</v>
      </c>
      <c r="AP79" s="224">
        <f>SUMIF(Reforma!$A$2:$A$8523,$A79,Reforma!$AC$2:$AC$8523)</f>
        <v>-3942.38</v>
      </c>
      <c r="AQ79" s="224">
        <f>SUMIF(Reforma!$A$2:$A$8523,$A79,Reforma!$AD$2:$AD$8523)</f>
        <v>0</v>
      </c>
      <c r="AR79" s="224">
        <f>SUMIF(Reforma!$A$2:$A$8523,$A79,Reforma!$AE$2:$AE$8523)</f>
        <v>0</v>
      </c>
      <c r="AS79" s="224">
        <f>+AL79+AO79+AP79</f>
        <v>0</v>
      </c>
      <c r="AT79" s="224">
        <f>+AM79+AQ79+AR79</f>
        <v>0</v>
      </c>
      <c r="AU79" s="224">
        <f>IFERROR(AS79+AT79,"")</f>
        <v>0</v>
      </c>
      <c r="AV79" s="409"/>
      <c r="AW79" s="409"/>
      <c r="AX79" s="409"/>
      <c r="AY79" s="409"/>
      <c r="AZ79" s="409"/>
      <c r="BA79" s="409"/>
      <c r="BB79" s="409"/>
      <c r="BC79" s="409"/>
      <c r="BD79" s="409"/>
      <c r="BE79" s="409"/>
      <c r="BF79" s="409"/>
      <c r="BG79" s="409"/>
      <c r="BH79" s="408">
        <f t="shared" si="16"/>
        <v>3942.38</v>
      </c>
      <c r="BI79" s="408">
        <f t="shared" si="29"/>
        <v>0</v>
      </c>
      <c r="BJ79" s="408">
        <f>+BI79-AU79</f>
        <v>0</v>
      </c>
      <c r="BK79" s="224"/>
      <c r="BL79" s="224"/>
      <c r="BM79" s="224"/>
      <c r="BN79" s="224">
        <f>IFERROR(VLOOKUP($A79,'Constancias POA'!$A$2:$DH$9993,18,FALSE),"")</f>
        <v>3942.38</v>
      </c>
      <c r="BO79" s="224">
        <f t="shared" si="30"/>
        <v>-3942.38</v>
      </c>
      <c r="BP79" s="224">
        <f>IFERROR(VLOOKUP($A79,CP!$A$1:$U$7992,18,FALSE),"")</f>
        <v>0</v>
      </c>
      <c r="BQ79" s="224">
        <f>IFERROR(VLOOKUP($A79,CP!$A$1:$U$7992,19,FALSE),"")</f>
        <v>0</v>
      </c>
      <c r="BR79" s="224">
        <f>IFERROR(VLOOKUP($A79,CP!$A$1:$U$7992,20,FALSE),"")</f>
        <v>0</v>
      </c>
      <c r="BS79" s="224" t="str">
        <f>IFERROR(VLOOKUP($A79,CP!$A$1:$U$1,21,FALSE),"")</f>
        <v/>
      </c>
      <c r="BT79" s="224" t="str">
        <f>IFERROR(VLOOKUP(A79,Devengado!$A$1:AJ$9310,35,FALSE),"")</f>
        <v/>
      </c>
      <c r="BU79" s="224" t="str">
        <f t="shared" si="31"/>
        <v/>
      </c>
      <c r="BV79" s="224" t="str">
        <f t="shared" si="32"/>
        <v/>
      </c>
      <c r="BW79" s="224">
        <f t="shared" si="28"/>
        <v>0</v>
      </c>
      <c r="BX79" s="429">
        <v>0</v>
      </c>
      <c r="BY79" s="429">
        <v>3942.38</v>
      </c>
      <c r="BZ79" s="429">
        <v>0</v>
      </c>
      <c r="CA79" s="429">
        <v>0</v>
      </c>
      <c r="CB79" s="429">
        <v>0</v>
      </c>
      <c r="CC79" s="429">
        <v>0</v>
      </c>
      <c r="CD79" s="429">
        <v>0</v>
      </c>
      <c r="CE79" s="429">
        <v>0</v>
      </c>
      <c r="CF79" s="429">
        <v>0</v>
      </c>
      <c r="CG79" s="429">
        <v>0</v>
      </c>
      <c r="CH79" s="429">
        <v>0</v>
      </c>
      <c r="CI79" s="429">
        <v>0</v>
      </c>
      <c r="CJ79" s="224" t="str">
        <f>IFERROR(VLOOKUP($A79,Devengado!$A$1:$AI$9038,22,FALSE),"")</f>
        <v/>
      </c>
      <c r="CK79" s="224" t="str">
        <f>IFERROR(VLOOKUP($A79,Devengado!$A$1:$AI$9038,23,FALSE),"")</f>
        <v/>
      </c>
      <c r="CL79" s="224" t="str">
        <f>IFERROR(VLOOKUP($A79,Devengado!$A$1:$AI$9038,24,FALSE),"")</f>
        <v/>
      </c>
      <c r="CM79" s="224" t="str">
        <f>IFERROR(VLOOKUP($A79,Devengado!$A$1:$AI$9038,25,FALSE),"")</f>
        <v/>
      </c>
      <c r="CN79" s="224" t="str">
        <f>IFERROR(VLOOKUP($A79,Devengado!$A$1:$AI$9038,26,FALSE),"")</f>
        <v/>
      </c>
      <c r="CO79" s="224" t="str">
        <f>IFERROR(VLOOKUP($A79,Devengado!$A$1:$AI$9038,27,FALSE),"")</f>
        <v/>
      </c>
      <c r="CP79" s="224" t="str">
        <f>IFERROR(VLOOKUP($A79,Devengado!$A$1:$AI$9038,28,FALSE),"")</f>
        <v/>
      </c>
      <c r="CQ79" s="224" t="str">
        <f>IFERROR(VLOOKUP($A79,Devengado!$A$1:$AI$9038,29,FALSE),"")</f>
        <v/>
      </c>
      <c r="CR79" s="224" t="str">
        <f>IFERROR(VLOOKUP($A79,Devengado!$A$1:$AI$9038,30,FALSE),"")</f>
        <v/>
      </c>
      <c r="CS79" s="224" t="str">
        <f>IFERROR(VLOOKUP($A79,Devengado!$A$1:$AI$9038,31,FALSE),"")</f>
        <v/>
      </c>
      <c r="CT79" s="224" t="str">
        <f>IFERROR(VLOOKUP($A79,Devengado!$A$1:$AI$9038,32,FALSE),"")</f>
        <v/>
      </c>
      <c r="CU79" s="224" t="str">
        <f>IFERROR(VLOOKUP($A79,Devengado!$A$1:$AI$9038,33,FALSE),"")</f>
        <v/>
      </c>
      <c r="CV79" s="224">
        <f t="shared" si="33"/>
        <v>0</v>
      </c>
      <c r="CW79" s="224" t="str">
        <f t="shared" si="34"/>
        <v/>
      </c>
      <c r="CX79" s="207"/>
      <c r="CY79" s="207" t="str">
        <f t="shared" si="35"/>
        <v>53</v>
      </c>
      <c r="CZ79" s="112" t="s">
        <v>915</v>
      </c>
    </row>
    <row r="80" spans="1:104" s="225" customFormat="1" ht="18" customHeight="1">
      <c r="A80" s="207">
        <v>490</v>
      </c>
      <c r="B80" s="207"/>
      <c r="C80" s="207"/>
      <c r="D80" s="207"/>
      <c r="E80" s="207"/>
      <c r="F80" s="207"/>
      <c r="G80" s="207"/>
      <c r="H80" s="207"/>
      <c r="I80" s="207"/>
      <c r="J80" s="207"/>
      <c r="K80" s="112" t="s">
        <v>429</v>
      </c>
      <c r="L80" s="112" t="s">
        <v>850</v>
      </c>
      <c r="M80" s="112" t="s">
        <v>850</v>
      </c>
      <c r="N80" s="112" t="s">
        <v>77</v>
      </c>
      <c r="O80" s="112" t="s">
        <v>77</v>
      </c>
      <c r="P80" s="112" t="s">
        <v>76</v>
      </c>
      <c r="Q80" s="112" t="s">
        <v>77</v>
      </c>
      <c r="R80" s="112" t="s">
        <v>77</v>
      </c>
      <c r="S80" s="112" t="s">
        <v>77</v>
      </c>
      <c r="T80" s="112" t="s">
        <v>77</v>
      </c>
      <c r="U80" s="112" t="s">
        <v>77</v>
      </c>
      <c r="V80" s="112" t="s">
        <v>77</v>
      </c>
      <c r="W80" s="112" t="s">
        <v>85</v>
      </c>
      <c r="X80" s="124" t="s">
        <v>506</v>
      </c>
      <c r="Y80" s="114" t="s">
        <v>430</v>
      </c>
      <c r="Z80" s="114" t="s">
        <v>111</v>
      </c>
      <c r="AA80" s="114" t="s">
        <v>81</v>
      </c>
      <c r="AB80" s="114" t="s">
        <v>112</v>
      </c>
      <c r="AC80" s="115" t="str">
        <f t="shared" si="23"/>
        <v>53</v>
      </c>
      <c r="AD80" s="124">
        <v>530209</v>
      </c>
      <c r="AE80" s="122" t="str">
        <f>VLOOKUP(AD80,ITEM!$C$1:$D$694,2,FALSE)</f>
        <v>Servicios de Aseo, Lavado de Vestimenta de Trabajo, Fumigación, Desinfección,  Limpieza de Instalaciones, manejo
de desechos contaminados, recuperación y clasificación de materiales reciclables.</v>
      </c>
      <c r="AF80" s="112">
        <v>1309</v>
      </c>
      <c r="AG80" s="114" t="s">
        <v>82</v>
      </c>
      <c r="AH80" s="114" t="s">
        <v>84</v>
      </c>
      <c r="AI80" s="114" t="s">
        <v>84</v>
      </c>
      <c r="AJ80" s="114" t="s">
        <v>914</v>
      </c>
      <c r="AK80" s="114" t="s">
        <v>77</v>
      </c>
      <c r="AL80" s="271">
        <v>2000</v>
      </c>
      <c r="AM80" s="272"/>
      <c r="AN80" s="272">
        <f t="shared" si="15"/>
        <v>2000</v>
      </c>
      <c r="AO80" s="224">
        <f>SUMIF(Reforma!$A$2:$A$8523,$A80,Reforma!$AB$2:$AB$8523)</f>
        <v>0</v>
      </c>
      <c r="AP80" s="224">
        <f>SUMIF(Reforma!$A$2:$A$8523,$A80,Reforma!$AC$2:$AC$8523)</f>
        <v>-491.5</v>
      </c>
      <c r="AQ80" s="224">
        <f>SUMIF(Reforma!$A$2:$A$8523,$A80,Reforma!$AD$2:$AD$8523)</f>
        <v>0</v>
      </c>
      <c r="AR80" s="224">
        <f>SUMIF(Reforma!$A$2:$A$8523,$A80,Reforma!$AE$2:$AE$8523)</f>
        <v>0</v>
      </c>
      <c r="AS80" s="224">
        <f t="shared" si="24"/>
        <v>1508.5</v>
      </c>
      <c r="AT80" s="224">
        <f t="shared" si="25"/>
        <v>0</v>
      </c>
      <c r="AU80" s="224">
        <f t="shared" si="26"/>
        <v>1508.5</v>
      </c>
      <c r="AV80" s="326"/>
      <c r="AW80" s="326"/>
      <c r="AX80" s="326">
        <v>1508.5</v>
      </c>
      <c r="AY80" s="326"/>
      <c r="AZ80" s="326"/>
      <c r="BA80" s="326"/>
      <c r="BB80" s="326"/>
      <c r="BC80" s="326"/>
      <c r="BD80" s="326"/>
      <c r="BE80" s="326"/>
      <c r="BF80" s="326"/>
      <c r="BG80" s="326"/>
      <c r="BH80" s="408">
        <f t="shared" si="16"/>
        <v>2000</v>
      </c>
      <c r="BI80" s="408">
        <f t="shared" si="29"/>
        <v>1508.5</v>
      </c>
      <c r="BJ80" s="408">
        <f t="shared" si="27"/>
        <v>0</v>
      </c>
      <c r="BK80" s="224"/>
      <c r="BL80" s="224"/>
      <c r="BM80" s="224"/>
      <c r="BN80" s="224">
        <f>IFERROR(VLOOKUP($A80,'Constancias POA'!$A$2:$DH$9993,18,FALSE),"")</f>
        <v>1508.5</v>
      </c>
      <c r="BO80" s="224">
        <f t="shared" si="30"/>
        <v>0</v>
      </c>
      <c r="BP80" s="224">
        <f>IFERROR(VLOOKUP($A80,CP!$A$1:$U$7992,18,FALSE),"")</f>
        <v>0</v>
      </c>
      <c r="BQ80" s="224">
        <f>IFERROR(VLOOKUP($A80,CP!$A$1:$U$7992,19,FALSE),"")</f>
        <v>1508.5</v>
      </c>
      <c r="BR80" s="224">
        <f>IFERROR(VLOOKUP($A80,CP!$A$1:$U$7992,20,FALSE),"")</f>
        <v>0</v>
      </c>
      <c r="BS80" s="224" t="str">
        <f>IFERROR(VLOOKUP($A80,CP!$A$1:$U$1,21,FALSE),"")</f>
        <v/>
      </c>
      <c r="BT80" s="224">
        <f>IFERROR(VLOOKUP(A80,Devengado!$A$1:AJ$9310,35,FALSE),"")</f>
        <v>1508.5</v>
      </c>
      <c r="BU80" s="224">
        <f t="shared" si="31"/>
        <v>0</v>
      </c>
      <c r="BV80" s="224">
        <f t="shared" si="32"/>
        <v>1</v>
      </c>
      <c r="BW80" s="224">
        <f t="shared" si="28"/>
        <v>1508.5</v>
      </c>
      <c r="BX80" s="429">
        <v>0</v>
      </c>
      <c r="BY80" s="429">
        <v>2000</v>
      </c>
      <c r="BZ80" s="429">
        <v>0</v>
      </c>
      <c r="CA80" s="429">
        <v>0</v>
      </c>
      <c r="CB80" s="429">
        <v>0</v>
      </c>
      <c r="CC80" s="429">
        <v>0</v>
      </c>
      <c r="CD80" s="429">
        <v>0</v>
      </c>
      <c r="CE80" s="429">
        <v>0</v>
      </c>
      <c r="CF80" s="429">
        <v>0</v>
      </c>
      <c r="CG80" s="429">
        <v>0</v>
      </c>
      <c r="CH80" s="429">
        <v>0</v>
      </c>
      <c r="CI80" s="429">
        <v>0</v>
      </c>
      <c r="CJ80" s="224">
        <f>IFERROR(VLOOKUP($A80,Devengado!$A$1:$AI$9038,22,FALSE),"")</f>
        <v>0</v>
      </c>
      <c r="CK80" s="224">
        <f>IFERROR(VLOOKUP($A80,Devengado!$A$1:$AI$9038,23,FALSE),"")</f>
        <v>0</v>
      </c>
      <c r="CL80" s="224">
        <f>IFERROR(VLOOKUP($A80,Devengado!$A$1:$AI$9038,24,FALSE),"")</f>
        <v>1508.5</v>
      </c>
      <c r="CM80" s="224">
        <f>IFERROR(VLOOKUP($A80,Devengado!$A$1:$AI$9038,25,FALSE),"")</f>
        <v>0</v>
      </c>
      <c r="CN80" s="224">
        <f>IFERROR(VLOOKUP($A80,Devengado!$A$1:$AI$9038,26,FALSE),"")</f>
        <v>0</v>
      </c>
      <c r="CO80" s="224">
        <f>IFERROR(VLOOKUP($A80,Devengado!$A$1:$AI$9038,27,FALSE),"")</f>
        <v>0</v>
      </c>
      <c r="CP80" s="224">
        <f>IFERROR(VLOOKUP($A80,Devengado!$A$1:$AI$9038,28,FALSE),"")</f>
        <v>0</v>
      </c>
      <c r="CQ80" s="224">
        <f>IFERROR(VLOOKUP($A80,Devengado!$A$1:$AI$9038,29,FALSE),"")</f>
        <v>0</v>
      </c>
      <c r="CR80" s="224">
        <f>IFERROR(VLOOKUP($A80,Devengado!$A$1:$AI$9038,30,FALSE),"")</f>
        <v>0</v>
      </c>
      <c r="CS80" s="224">
        <f>IFERROR(VLOOKUP($A80,Devengado!$A$1:$AI$9038,31,FALSE),"")</f>
        <v>0</v>
      </c>
      <c r="CT80" s="224">
        <f>IFERROR(VLOOKUP($A80,Devengado!$A$1:$AI$9038,32,FALSE),"")</f>
        <v>0</v>
      </c>
      <c r="CU80" s="224">
        <f>IFERROR(VLOOKUP($A80,Devengado!$A$1:$AI$9038,33,FALSE),"")</f>
        <v>0</v>
      </c>
      <c r="CV80" s="224">
        <f t="shared" si="33"/>
        <v>1508.5</v>
      </c>
      <c r="CW80" s="224">
        <f t="shared" si="34"/>
        <v>0</v>
      </c>
      <c r="CX80" s="207"/>
      <c r="CY80" s="207" t="str">
        <f t="shared" si="35"/>
        <v>53</v>
      </c>
      <c r="CZ80" s="112" t="s">
        <v>916</v>
      </c>
    </row>
    <row r="81" spans="1:104" s="225" customFormat="1" ht="16.5" customHeight="1">
      <c r="A81" s="207">
        <v>491</v>
      </c>
      <c r="B81" s="207"/>
      <c r="C81" s="207"/>
      <c r="D81" s="207"/>
      <c r="E81" s="207"/>
      <c r="F81" s="207"/>
      <c r="G81" s="207"/>
      <c r="H81" s="207"/>
      <c r="I81" s="207"/>
      <c r="J81" s="207"/>
      <c r="K81" s="112" t="s">
        <v>429</v>
      </c>
      <c r="L81" s="112" t="s">
        <v>850</v>
      </c>
      <c r="M81" s="112" t="s">
        <v>850</v>
      </c>
      <c r="N81" s="112" t="s">
        <v>77</v>
      </c>
      <c r="O81" s="112" t="s">
        <v>77</v>
      </c>
      <c r="P81" s="112" t="s">
        <v>76</v>
      </c>
      <c r="Q81" s="112" t="s">
        <v>77</v>
      </c>
      <c r="R81" s="112" t="s">
        <v>77</v>
      </c>
      <c r="S81" s="112" t="s">
        <v>77</v>
      </c>
      <c r="T81" s="112" t="s">
        <v>77</v>
      </c>
      <c r="U81" s="112" t="s">
        <v>77</v>
      </c>
      <c r="V81" s="112" t="s">
        <v>77</v>
      </c>
      <c r="W81" s="112" t="s">
        <v>85</v>
      </c>
      <c r="X81" s="124" t="s">
        <v>507</v>
      </c>
      <c r="Y81" s="114" t="s">
        <v>430</v>
      </c>
      <c r="Z81" s="114" t="s">
        <v>111</v>
      </c>
      <c r="AA81" s="114" t="s">
        <v>81</v>
      </c>
      <c r="AB81" s="114" t="s">
        <v>112</v>
      </c>
      <c r="AC81" s="115" t="str">
        <f t="shared" si="23"/>
        <v>53</v>
      </c>
      <c r="AD81" s="124">
        <v>530408</v>
      </c>
      <c r="AE81" s="122" t="str">
        <f>VLOOKUP(AD81,ITEM!$C$1:$D$694,2,FALSE)</f>
        <v>Bienes Artísticos y Culturales</v>
      </c>
      <c r="AF81" s="112">
        <v>1309</v>
      </c>
      <c r="AG81" s="114" t="s">
        <v>82</v>
      </c>
      <c r="AH81" s="114" t="s">
        <v>84</v>
      </c>
      <c r="AI81" s="114" t="s">
        <v>84</v>
      </c>
      <c r="AJ81" s="114" t="s">
        <v>914</v>
      </c>
      <c r="AK81" s="114" t="s">
        <v>77</v>
      </c>
      <c r="AL81" s="271">
        <v>5000</v>
      </c>
      <c r="AM81" s="272"/>
      <c r="AN81" s="272">
        <f t="shared" si="15"/>
        <v>5000</v>
      </c>
      <c r="AO81" s="224">
        <f>SUMIF(Reforma!$A$2:$A$8523,$A81,Reforma!$AB$2:$AB$8523)</f>
        <v>0</v>
      </c>
      <c r="AP81" s="224">
        <f>SUMIF(Reforma!$A$2:$A$8523,$A81,Reforma!$AC$2:$AC$8523)</f>
        <v>-5000</v>
      </c>
      <c r="AQ81" s="224">
        <f>SUMIF(Reforma!$A$2:$A$8523,$A81,Reforma!$AD$2:$AD$8523)</f>
        <v>0</v>
      </c>
      <c r="AR81" s="224">
        <f>SUMIF(Reforma!$A$2:$A$8523,$A81,Reforma!$AE$2:$AE$8523)</f>
        <v>0</v>
      </c>
      <c r="AS81" s="224">
        <f t="shared" si="24"/>
        <v>0</v>
      </c>
      <c r="AT81" s="224">
        <f t="shared" si="25"/>
        <v>0</v>
      </c>
      <c r="AU81" s="224">
        <f t="shared" si="26"/>
        <v>0</v>
      </c>
      <c r="AV81" s="326"/>
      <c r="AW81" s="326"/>
      <c r="AX81" s="326"/>
      <c r="AY81" s="326"/>
      <c r="AZ81" s="326"/>
      <c r="BA81" s="326"/>
      <c r="BB81" s="326"/>
      <c r="BC81" s="326"/>
      <c r="BD81" s="326"/>
      <c r="BE81" s="326"/>
      <c r="BF81" s="326"/>
      <c r="BG81" s="326"/>
      <c r="BH81" s="408">
        <f t="shared" si="16"/>
        <v>5000</v>
      </c>
      <c r="BI81" s="408">
        <f t="shared" si="29"/>
        <v>0</v>
      </c>
      <c r="BJ81" s="408">
        <f t="shared" si="27"/>
        <v>0</v>
      </c>
      <c r="BK81" s="224"/>
      <c r="BL81" s="224"/>
      <c r="BM81" s="224"/>
      <c r="BN81" s="224" t="str">
        <f>IFERROR(VLOOKUP($A81,'Constancias POA'!$A$2:$DH$9993,18,FALSE),"")</f>
        <v/>
      </c>
      <c r="BO81" s="224" t="str">
        <f t="shared" si="30"/>
        <v/>
      </c>
      <c r="BP81" s="224" t="str">
        <f>IFERROR(VLOOKUP($A81,CP!$A$1:$U$7992,18,FALSE),"")</f>
        <v/>
      </c>
      <c r="BQ81" s="224" t="str">
        <f>IFERROR(VLOOKUP($A81,CP!$A$1:$U$7992,19,FALSE),"")</f>
        <v/>
      </c>
      <c r="BR81" s="224" t="str">
        <f>IFERROR(VLOOKUP($A81,CP!$A$1:$U$7992,20,FALSE),"")</f>
        <v/>
      </c>
      <c r="BS81" s="224" t="str">
        <f>IFERROR(VLOOKUP($A81,CP!$A$1:$U$1,21,FALSE),"")</f>
        <v/>
      </c>
      <c r="BT81" s="224" t="str">
        <f>IFERROR(VLOOKUP(A81,Devengado!$A$1:AJ$9310,35,FALSE),"")</f>
        <v/>
      </c>
      <c r="BU81" s="224" t="str">
        <f t="shared" si="31"/>
        <v/>
      </c>
      <c r="BV81" s="224" t="str">
        <f t="shared" si="32"/>
        <v/>
      </c>
      <c r="BW81" s="224">
        <f t="shared" si="28"/>
        <v>0</v>
      </c>
      <c r="BX81" s="429">
        <v>0</v>
      </c>
      <c r="BY81" s="429">
        <v>5000</v>
      </c>
      <c r="BZ81" s="429">
        <v>0</v>
      </c>
      <c r="CA81" s="429">
        <v>0</v>
      </c>
      <c r="CB81" s="429">
        <v>0</v>
      </c>
      <c r="CC81" s="429">
        <v>0</v>
      </c>
      <c r="CD81" s="429">
        <v>0</v>
      </c>
      <c r="CE81" s="429">
        <v>0</v>
      </c>
      <c r="CF81" s="429">
        <v>0</v>
      </c>
      <c r="CG81" s="429">
        <v>0</v>
      </c>
      <c r="CH81" s="429">
        <v>0</v>
      </c>
      <c r="CI81" s="429">
        <v>0</v>
      </c>
      <c r="CJ81" s="224" t="str">
        <f>IFERROR(VLOOKUP($A81,Devengado!$A$1:$AI$9038,22,FALSE),"")</f>
        <v/>
      </c>
      <c r="CK81" s="224" t="str">
        <f>IFERROR(VLOOKUP($A81,Devengado!$A$1:$AI$9038,23,FALSE),"")</f>
        <v/>
      </c>
      <c r="CL81" s="224" t="str">
        <f>IFERROR(VLOOKUP($A81,Devengado!$A$1:$AI$9038,24,FALSE),"")</f>
        <v/>
      </c>
      <c r="CM81" s="224" t="str">
        <f>IFERROR(VLOOKUP($A81,Devengado!$A$1:$AI$9038,25,FALSE),"")</f>
        <v/>
      </c>
      <c r="CN81" s="224" t="str">
        <f>IFERROR(VLOOKUP($A81,Devengado!$A$1:$AI$9038,26,FALSE),"")</f>
        <v/>
      </c>
      <c r="CO81" s="224" t="str">
        <f>IFERROR(VLOOKUP($A81,Devengado!$A$1:$AI$9038,27,FALSE),"")</f>
        <v/>
      </c>
      <c r="CP81" s="224" t="str">
        <f>IFERROR(VLOOKUP($A81,Devengado!$A$1:$AI$9038,28,FALSE),"")</f>
        <v/>
      </c>
      <c r="CQ81" s="224" t="str">
        <f>IFERROR(VLOOKUP($A81,Devengado!$A$1:$AI$9038,29,FALSE),"")</f>
        <v/>
      </c>
      <c r="CR81" s="224" t="str">
        <f>IFERROR(VLOOKUP($A81,Devengado!$A$1:$AI$9038,30,FALSE),"")</f>
        <v/>
      </c>
      <c r="CS81" s="224" t="str">
        <f>IFERROR(VLOOKUP($A81,Devengado!$A$1:$AI$9038,31,FALSE),"")</f>
        <v/>
      </c>
      <c r="CT81" s="224" t="str">
        <f>IFERROR(VLOOKUP($A81,Devengado!$A$1:$AI$9038,32,FALSE),"")</f>
        <v/>
      </c>
      <c r="CU81" s="224" t="str">
        <f>IFERROR(VLOOKUP($A81,Devengado!$A$1:$AI$9038,33,FALSE),"")</f>
        <v/>
      </c>
      <c r="CV81" s="224">
        <f t="shared" si="33"/>
        <v>0</v>
      </c>
      <c r="CW81" s="224" t="str">
        <f t="shared" si="34"/>
        <v/>
      </c>
      <c r="CX81" s="207"/>
      <c r="CY81" s="207" t="str">
        <f t="shared" si="35"/>
        <v>53</v>
      </c>
      <c r="CZ81" s="112" t="s">
        <v>915</v>
      </c>
    </row>
    <row r="82" spans="1:104" s="225" customFormat="1" ht="32.25" customHeight="1">
      <c r="A82" s="207">
        <v>492</v>
      </c>
      <c r="B82" s="207"/>
      <c r="C82" s="207"/>
      <c r="D82" s="207"/>
      <c r="E82" s="207"/>
      <c r="F82" s="207"/>
      <c r="G82" s="207"/>
      <c r="H82" s="207"/>
      <c r="I82" s="207"/>
      <c r="J82" s="207"/>
      <c r="K82" s="112" t="s">
        <v>429</v>
      </c>
      <c r="L82" s="112" t="s">
        <v>850</v>
      </c>
      <c r="M82" s="112" t="s">
        <v>850</v>
      </c>
      <c r="N82" s="112" t="s">
        <v>77</v>
      </c>
      <c r="O82" s="112" t="s">
        <v>77</v>
      </c>
      <c r="P82" s="112" t="s">
        <v>76</v>
      </c>
      <c r="Q82" s="112" t="s">
        <v>77</v>
      </c>
      <c r="R82" s="112" t="s">
        <v>77</v>
      </c>
      <c r="S82" s="112" t="s">
        <v>77</v>
      </c>
      <c r="T82" s="112" t="s">
        <v>77</v>
      </c>
      <c r="U82" s="112" t="s">
        <v>77</v>
      </c>
      <c r="V82" s="112" t="s">
        <v>77</v>
      </c>
      <c r="W82" s="112" t="s">
        <v>85</v>
      </c>
      <c r="X82" s="124" t="s">
        <v>508</v>
      </c>
      <c r="Y82" s="114" t="s">
        <v>430</v>
      </c>
      <c r="Z82" s="114" t="s">
        <v>111</v>
      </c>
      <c r="AA82" s="114" t="s">
        <v>81</v>
      </c>
      <c r="AB82" s="114" t="s">
        <v>112</v>
      </c>
      <c r="AC82" s="115" t="str">
        <f t="shared" si="23"/>
        <v>53</v>
      </c>
      <c r="AD82" s="124">
        <v>530205</v>
      </c>
      <c r="AE82" s="122" t="str">
        <f>VLOOKUP(AD82,ITEM!$C$1:$D$694,2,FALSE)</f>
        <v>Espectáculos Culturales y Sociales</v>
      </c>
      <c r="AF82" s="112">
        <v>1309</v>
      </c>
      <c r="AG82" s="114" t="s">
        <v>112</v>
      </c>
      <c r="AH82" s="114" t="s">
        <v>84</v>
      </c>
      <c r="AI82" s="114" t="s">
        <v>84</v>
      </c>
      <c r="AJ82" s="114" t="s">
        <v>914</v>
      </c>
      <c r="AK82" s="114" t="s">
        <v>77</v>
      </c>
      <c r="AL82" s="271">
        <v>8057.62</v>
      </c>
      <c r="AM82" s="272"/>
      <c r="AN82" s="272">
        <f t="shared" si="15"/>
        <v>8057.62</v>
      </c>
      <c r="AO82" s="224">
        <f>SUMIF(Reforma!$A$2:$A$8523,$A82,Reforma!$AB$2:$AB$8523)</f>
        <v>0</v>
      </c>
      <c r="AP82" s="224">
        <f>SUMIF(Reforma!$A$2:$A$8523,$A82,Reforma!$AC$2:$AC$8523)</f>
        <v>-7829.92</v>
      </c>
      <c r="AQ82" s="224">
        <f>SUMIF(Reforma!$A$2:$A$8523,$A82,Reforma!$AD$2:$AD$8523)</f>
        <v>0</v>
      </c>
      <c r="AR82" s="224">
        <f>SUMIF(Reforma!$A$2:$A$8523,$A82,Reforma!$AE$2:$AE$8523)</f>
        <v>0</v>
      </c>
      <c r="AS82" s="224">
        <f t="shared" si="24"/>
        <v>227.69999999999982</v>
      </c>
      <c r="AT82" s="224">
        <f t="shared" si="25"/>
        <v>0</v>
      </c>
      <c r="AU82" s="224">
        <f t="shared" si="26"/>
        <v>227.69999999999982</v>
      </c>
      <c r="AV82" s="326"/>
      <c r="AW82" s="326"/>
      <c r="AX82" s="326"/>
      <c r="AY82" s="326"/>
      <c r="AZ82" s="326"/>
      <c r="BA82" s="326"/>
      <c r="BB82" s="326"/>
      <c r="BC82" s="326"/>
      <c r="BD82" s="326"/>
      <c r="BE82" s="326"/>
      <c r="BF82" s="326"/>
      <c r="BG82" s="326">
        <v>227.7</v>
      </c>
      <c r="BH82" s="408">
        <f t="shared" si="16"/>
        <v>8057.62</v>
      </c>
      <c r="BI82" s="408">
        <f t="shared" si="29"/>
        <v>227.7</v>
      </c>
      <c r="BJ82" s="408">
        <f t="shared" si="27"/>
        <v>0</v>
      </c>
      <c r="BK82" s="224"/>
      <c r="BL82" s="224"/>
      <c r="BM82" s="224"/>
      <c r="BN82" s="224" t="str">
        <f>IFERROR(VLOOKUP($A82,'Constancias POA'!$A$2:$DH$9993,18,FALSE),"")</f>
        <v/>
      </c>
      <c r="BO82" s="224" t="str">
        <f t="shared" si="30"/>
        <v/>
      </c>
      <c r="BP82" s="224" t="str">
        <f>IFERROR(VLOOKUP($A82,CP!$A$1:$U$7992,18,FALSE),"")</f>
        <v/>
      </c>
      <c r="BQ82" s="224" t="str">
        <f>IFERROR(VLOOKUP($A82,CP!$A$1:$U$7992,19,FALSE),"")</f>
        <v/>
      </c>
      <c r="BR82" s="224" t="str">
        <f>IFERROR(VLOOKUP($A82,CP!$A$1:$U$7992,20,FALSE),"")</f>
        <v/>
      </c>
      <c r="BS82" s="224" t="str">
        <f>IFERROR(VLOOKUP($A82,CP!$A$1:$U$1,21,FALSE),"")</f>
        <v/>
      </c>
      <c r="BT82" s="224" t="str">
        <f>IFERROR(VLOOKUP(A82,Devengado!$A$1:AJ$9310,35,FALSE),"")</f>
        <v/>
      </c>
      <c r="BU82" s="224" t="str">
        <f t="shared" si="31"/>
        <v/>
      </c>
      <c r="BV82" s="224" t="str">
        <f t="shared" si="32"/>
        <v/>
      </c>
      <c r="BW82" s="224">
        <f t="shared" si="28"/>
        <v>227.69999999999982</v>
      </c>
      <c r="BX82" s="429">
        <v>0</v>
      </c>
      <c r="BY82" s="429">
        <v>2000</v>
      </c>
      <c r="BZ82" s="429">
        <v>2057.62</v>
      </c>
      <c r="CA82" s="429">
        <v>0</v>
      </c>
      <c r="CB82" s="429">
        <v>2000</v>
      </c>
      <c r="CC82" s="429">
        <v>0</v>
      </c>
      <c r="CD82" s="429">
        <v>0</v>
      </c>
      <c r="CE82" s="429">
        <v>2000</v>
      </c>
      <c r="CF82" s="429">
        <v>0</v>
      </c>
      <c r="CG82" s="429">
        <v>0</v>
      </c>
      <c r="CH82" s="429">
        <v>0</v>
      </c>
      <c r="CI82" s="429">
        <v>0</v>
      </c>
      <c r="CJ82" s="224" t="str">
        <f>IFERROR(VLOOKUP($A82,Devengado!$A$1:$AI$9038,22,FALSE),"")</f>
        <v/>
      </c>
      <c r="CK82" s="224" t="str">
        <f>IFERROR(VLOOKUP($A82,Devengado!$A$1:$AI$9038,23,FALSE),"")</f>
        <v/>
      </c>
      <c r="CL82" s="224" t="str">
        <f>IFERROR(VLOOKUP($A82,Devengado!$A$1:$AI$9038,24,FALSE),"")</f>
        <v/>
      </c>
      <c r="CM82" s="224" t="str">
        <f>IFERROR(VLOOKUP($A82,Devengado!$A$1:$AI$9038,25,FALSE),"")</f>
        <v/>
      </c>
      <c r="CN82" s="224" t="str">
        <f>IFERROR(VLOOKUP($A82,Devengado!$A$1:$AI$9038,26,FALSE),"")</f>
        <v/>
      </c>
      <c r="CO82" s="224" t="str">
        <f>IFERROR(VLOOKUP($A82,Devengado!$A$1:$AI$9038,27,FALSE),"")</f>
        <v/>
      </c>
      <c r="CP82" s="224" t="str">
        <f>IFERROR(VLOOKUP($A82,Devengado!$A$1:$AI$9038,28,FALSE),"")</f>
        <v/>
      </c>
      <c r="CQ82" s="224" t="str">
        <f>IFERROR(VLOOKUP($A82,Devengado!$A$1:$AI$9038,29,FALSE),"")</f>
        <v/>
      </c>
      <c r="CR82" s="224" t="str">
        <f>IFERROR(VLOOKUP($A82,Devengado!$A$1:$AI$9038,30,FALSE),"")</f>
        <v/>
      </c>
      <c r="CS82" s="224" t="str">
        <f>IFERROR(VLOOKUP($A82,Devengado!$A$1:$AI$9038,31,FALSE),"")</f>
        <v/>
      </c>
      <c r="CT82" s="224" t="str">
        <f>IFERROR(VLOOKUP($A82,Devengado!$A$1:$AI$9038,32,FALSE),"")</f>
        <v/>
      </c>
      <c r="CU82" s="224" t="str">
        <f>IFERROR(VLOOKUP($A82,Devengado!$A$1:$AI$9038,33,FALSE),"")</f>
        <v/>
      </c>
      <c r="CV82" s="224">
        <f t="shared" si="33"/>
        <v>0</v>
      </c>
      <c r="CW82" s="224" t="str">
        <f t="shared" si="34"/>
        <v/>
      </c>
      <c r="CX82" s="207"/>
      <c r="CY82" s="207" t="str">
        <f t="shared" si="35"/>
        <v>53</v>
      </c>
      <c r="CZ82" s="112" t="s">
        <v>915</v>
      </c>
    </row>
    <row r="83" spans="1:104" s="225" customFormat="1" ht="17.25" customHeight="1">
      <c r="A83" s="207">
        <v>493</v>
      </c>
      <c r="B83" s="207"/>
      <c r="C83" s="207"/>
      <c r="D83" s="207"/>
      <c r="E83" s="207"/>
      <c r="F83" s="207"/>
      <c r="G83" s="207"/>
      <c r="H83" s="207"/>
      <c r="I83" s="207"/>
      <c r="J83" s="207"/>
      <c r="K83" s="112" t="s">
        <v>429</v>
      </c>
      <c r="L83" s="112" t="s">
        <v>850</v>
      </c>
      <c r="M83" s="112" t="s">
        <v>917</v>
      </c>
      <c r="N83" s="112" t="s">
        <v>77</v>
      </c>
      <c r="O83" s="112" t="s">
        <v>77</v>
      </c>
      <c r="P83" s="112" t="s">
        <v>76</v>
      </c>
      <c r="Q83" s="112" t="s">
        <v>77</v>
      </c>
      <c r="R83" s="112" t="s">
        <v>77</v>
      </c>
      <c r="S83" s="112" t="s">
        <v>77</v>
      </c>
      <c r="T83" s="112" t="s">
        <v>77</v>
      </c>
      <c r="U83" s="112" t="s">
        <v>77</v>
      </c>
      <c r="V83" s="112" t="s">
        <v>77</v>
      </c>
      <c r="W83" s="112" t="s">
        <v>85</v>
      </c>
      <c r="X83" s="124" t="s">
        <v>509</v>
      </c>
      <c r="Y83" s="114" t="s">
        <v>430</v>
      </c>
      <c r="Z83" s="114" t="s">
        <v>111</v>
      </c>
      <c r="AA83" s="114" t="s">
        <v>81</v>
      </c>
      <c r="AB83" s="114" t="s">
        <v>112</v>
      </c>
      <c r="AC83" s="115" t="str">
        <f t="shared" si="23"/>
        <v>53</v>
      </c>
      <c r="AD83" s="124">
        <v>530403</v>
      </c>
      <c r="AE83" s="122" t="str">
        <f>VLOOKUP(AD83,ITEM!$C$1:$D$694,2,FALSE)</f>
        <v>Mobiliarios  (Instalación, Mantenimiento y Reparación)</v>
      </c>
      <c r="AF83" s="112">
        <v>1308</v>
      </c>
      <c r="AG83" s="114" t="s">
        <v>82</v>
      </c>
      <c r="AH83" s="114" t="s">
        <v>84</v>
      </c>
      <c r="AI83" s="114" t="s">
        <v>84</v>
      </c>
      <c r="AJ83" s="114" t="s">
        <v>914</v>
      </c>
      <c r="AK83" s="114" t="s">
        <v>77</v>
      </c>
      <c r="AL83" s="271">
        <v>9788.9</v>
      </c>
      <c r="AM83" s="272"/>
      <c r="AN83" s="272">
        <f t="shared" si="15"/>
        <v>9788.9</v>
      </c>
      <c r="AO83" s="224">
        <f>SUMIF(Reforma!$A$2:$A$8523,$A83,Reforma!$AB$2:$AB$8523)</f>
        <v>0</v>
      </c>
      <c r="AP83" s="224">
        <f>SUMIF(Reforma!$A$2:$A$8523,$A83,Reforma!$AC$2:$AC$8523)</f>
        <v>-9788.9</v>
      </c>
      <c r="AQ83" s="224">
        <f>SUMIF(Reforma!$A$2:$A$8523,$A83,Reforma!$AD$2:$AD$8523)</f>
        <v>0</v>
      </c>
      <c r="AR83" s="224">
        <f>SUMIF(Reforma!$A$2:$A$8523,$A83,Reforma!$AE$2:$AE$8523)</f>
        <v>0</v>
      </c>
      <c r="AS83" s="224">
        <f t="shared" si="24"/>
        <v>0</v>
      </c>
      <c r="AT83" s="224">
        <f t="shared" si="25"/>
        <v>0</v>
      </c>
      <c r="AU83" s="224">
        <f t="shared" si="26"/>
        <v>0</v>
      </c>
      <c r="AV83" s="326"/>
      <c r="AW83" s="326"/>
      <c r="AX83" s="326"/>
      <c r="AY83" s="326"/>
      <c r="AZ83" s="326"/>
      <c r="BA83" s="326"/>
      <c r="BB83" s="326"/>
      <c r="BC83" s="326"/>
      <c r="BD83" s="326"/>
      <c r="BE83" s="326"/>
      <c r="BF83" s="326"/>
      <c r="BG83" s="326"/>
      <c r="BH83" s="408">
        <f t="shared" si="16"/>
        <v>9788.9</v>
      </c>
      <c r="BI83" s="408">
        <f t="shared" si="29"/>
        <v>0</v>
      </c>
      <c r="BJ83" s="408">
        <f t="shared" si="27"/>
        <v>0</v>
      </c>
      <c r="BK83" s="224"/>
      <c r="BL83" s="224"/>
      <c r="BM83" s="224"/>
      <c r="BN83" s="224">
        <f>IFERROR(VLOOKUP($A83,'Constancias POA'!$A$2:$DH$9993,18,FALSE),"")</f>
        <v>0</v>
      </c>
      <c r="BO83" s="224">
        <f t="shared" si="30"/>
        <v>0</v>
      </c>
      <c r="BP83" s="224">
        <f>IFERROR(VLOOKUP($A83,CP!$A$1:$U$7992,18,FALSE),"")</f>
        <v>0</v>
      </c>
      <c r="BQ83" s="224">
        <f>IFERROR(VLOOKUP($A83,CP!$A$1:$U$7992,19,FALSE),"")</f>
        <v>0</v>
      </c>
      <c r="BR83" s="224">
        <f>IFERROR(VLOOKUP($A83,CP!$A$1:$U$7992,20,FALSE),"")</f>
        <v>0</v>
      </c>
      <c r="BS83" s="224" t="str">
        <f>IFERROR(VLOOKUP($A83,CP!$A$1:$U$1,21,FALSE),"")</f>
        <v/>
      </c>
      <c r="BT83" s="224" t="str">
        <f>IFERROR(VLOOKUP(A83,Devengado!$A$1:AJ$9310,35,FALSE),"")</f>
        <v/>
      </c>
      <c r="BU83" s="224" t="str">
        <f t="shared" si="31"/>
        <v/>
      </c>
      <c r="BV83" s="224" t="str">
        <f t="shared" si="32"/>
        <v/>
      </c>
      <c r="BW83" s="224">
        <f t="shared" si="28"/>
        <v>0</v>
      </c>
      <c r="BX83" s="429">
        <v>9788.9</v>
      </c>
      <c r="BY83" s="429">
        <v>0</v>
      </c>
      <c r="BZ83" s="429">
        <v>0</v>
      </c>
      <c r="CA83" s="429">
        <v>0</v>
      </c>
      <c r="CB83" s="429">
        <v>0</v>
      </c>
      <c r="CC83" s="429">
        <v>0</v>
      </c>
      <c r="CD83" s="429">
        <v>0</v>
      </c>
      <c r="CE83" s="429">
        <v>0</v>
      </c>
      <c r="CF83" s="429">
        <v>0</v>
      </c>
      <c r="CG83" s="429">
        <v>0</v>
      </c>
      <c r="CH83" s="429">
        <v>0</v>
      </c>
      <c r="CI83" s="429">
        <v>0</v>
      </c>
      <c r="CJ83" s="224" t="str">
        <f>IFERROR(VLOOKUP($A83,Devengado!$A$1:$AI$9038,22,FALSE),"")</f>
        <v/>
      </c>
      <c r="CK83" s="224" t="str">
        <f>IFERROR(VLOOKUP($A83,Devengado!$A$1:$AI$9038,23,FALSE),"")</f>
        <v/>
      </c>
      <c r="CL83" s="224" t="str">
        <f>IFERROR(VLOOKUP($A83,Devengado!$A$1:$AI$9038,24,FALSE),"")</f>
        <v/>
      </c>
      <c r="CM83" s="224" t="str">
        <f>IFERROR(VLOOKUP($A83,Devengado!$A$1:$AI$9038,25,FALSE),"")</f>
        <v/>
      </c>
      <c r="CN83" s="224" t="str">
        <f>IFERROR(VLOOKUP($A83,Devengado!$A$1:$AI$9038,26,FALSE),"")</f>
        <v/>
      </c>
      <c r="CO83" s="224" t="str">
        <f>IFERROR(VLOOKUP($A83,Devengado!$A$1:$AI$9038,27,FALSE),"")</f>
        <v/>
      </c>
      <c r="CP83" s="224" t="str">
        <f>IFERROR(VLOOKUP($A83,Devengado!$A$1:$AI$9038,28,FALSE),"")</f>
        <v/>
      </c>
      <c r="CQ83" s="224" t="str">
        <f>IFERROR(VLOOKUP($A83,Devengado!$A$1:$AI$9038,29,FALSE),"")</f>
        <v/>
      </c>
      <c r="CR83" s="224" t="str">
        <f>IFERROR(VLOOKUP($A83,Devengado!$A$1:$AI$9038,30,FALSE),"")</f>
        <v/>
      </c>
      <c r="CS83" s="224" t="str">
        <f>IFERROR(VLOOKUP($A83,Devengado!$A$1:$AI$9038,31,FALSE),"")</f>
        <v/>
      </c>
      <c r="CT83" s="224" t="str">
        <f>IFERROR(VLOOKUP($A83,Devengado!$A$1:$AI$9038,32,FALSE),"")</f>
        <v/>
      </c>
      <c r="CU83" s="224" t="str">
        <f>IFERROR(VLOOKUP($A83,Devengado!$A$1:$AI$9038,33,FALSE),"")</f>
        <v/>
      </c>
      <c r="CV83" s="224">
        <f t="shared" si="33"/>
        <v>0</v>
      </c>
      <c r="CW83" s="224" t="str">
        <f t="shared" si="34"/>
        <v/>
      </c>
      <c r="CX83" s="207"/>
      <c r="CY83" s="207" t="str">
        <f t="shared" si="35"/>
        <v>53</v>
      </c>
      <c r="CZ83" s="112" t="s">
        <v>916</v>
      </c>
    </row>
    <row r="84" spans="1:104" s="225" customFormat="1" ht="31.5" customHeight="1">
      <c r="A84" s="207">
        <v>494</v>
      </c>
      <c r="B84" s="207"/>
      <c r="C84" s="207"/>
      <c r="D84" s="207"/>
      <c r="E84" s="207"/>
      <c r="F84" s="207"/>
      <c r="G84" s="207"/>
      <c r="H84" s="207"/>
      <c r="I84" s="207"/>
      <c r="J84" s="207"/>
      <c r="K84" s="112" t="s">
        <v>429</v>
      </c>
      <c r="L84" s="112" t="s">
        <v>850</v>
      </c>
      <c r="M84" s="112" t="s">
        <v>918</v>
      </c>
      <c r="N84" s="112" t="s">
        <v>77</v>
      </c>
      <c r="O84" s="112" t="s">
        <v>77</v>
      </c>
      <c r="P84" s="112" t="s">
        <v>76</v>
      </c>
      <c r="Q84" s="112" t="s">
        <v>77</v>
      </c>
      <c r="R84" s="112" t="s">
        <v>77</v>
      </c>
      <c r="S84" s="112" t="s">
        <v>77</v>
      </c>
      <c r="T84" s="112" t="s">
        <v>77</v>
      </c>
      <c r="U84" s="112" t="s">
        <v>77</v>
      </c>
      <c r="V84" s="112" t="s">
        <v>77</v>
      </c>
      <c r="W84" s="112" t="s">
        <v>85</v>
      </c>
      <c r="X84" s="124" t="s">
        <v>510</v>
      </c>
      <c r="Y84" s="114" t="s">
        <v>430</v>
      </c>
      <c r="Z84" s="114" t="s">
        <v>111</v>
      </c>
      <c r="AA84" s="114" t="s">
        <v>81</v>
      </c>
      <c r="AB84" s="114" t="s">
        <v>112</v>
      </c>
      <c r="AC84" s="115" t="str">
        <f t="shared" si="23"/>
        <v>53</v>
      </c>
      <c r="AD84" s="124">
        <v>530403</v>
      </c>
      <c r="AE84" s="122" t="str">
        <f>VLOOKUP(AD84,ITEM!$C$1:$D$694,2,FALSE)</f>
        <v>Mobiliarios  (Instalación, Mantenimiento y Reparación)</v>
      </c>
      <c r="AF84" s="112">
        <v>1314</v>
      </c>
      <c r="AG84" s="114" t="s">
        <v>82</v>
      </c>
      <c r="AH84" s="114" t="s">
        <v>84</v>
      </c>
      <c r="AI84" s="114" t="s">
        <v>84</v>
      </c>
      <c r="AJ84" s="114" t="s">
        <v>914</v>
      </c>
      <c r="AK84" s="114" t="s">
        <v>77</v>
      </c>
      <c r="AL84" s="271">
        <v>0</v>
      </c>
      <c r="AM84" s="272"/>
      <c r="AN84" s="272">
        <f t="shared" si="15"/>
        <v>0</v>
      </c>
      <c r="AO84" s="224">
        <f>SUMIF(Reforma!$A$2:$A$8523,$A84,Reforma!$AB$2:$AB$8523)</f>
        <v>0</v>
      </c>
      <c r="AP84" s="224">
        <f>SUMIF(Reforma!$A$2:$A$8523,$A84,Reforma!$AC$2:$AC$8523)</f>
        <v>0</v>
      </c>
      <c r="AQ84" s="224">
        <f>SUMIF(Reforma!$A$2:$A$8523,$A84,Reforma!$AD$2:$AD$8523)</f>
        <v>0</v>
      </c>
      <c r="AR84" s="224">
        <f>SUMIF(Reforma!$A$2:$A$8523,$A84,Reforma!$AE$2:$AE$8523)</f>
        <v>0</v>
      </c>
      <c r="AS84" s="224">
        <f t="shared" si="24"/>
        <v>0</v>
      </c>
      <c r="AT84" s="224">
        <f t="shared" si="25"/>
        <v>0</v>
      </c>
      <c r="AU84" s="224">
        <f t="shared" si="26"/>
        <v>0</v>
      </c>
      <c r="AV84" s="326">
        <v>0</v>
      </c>
      <c r="AW84" s="326">
        <v>0</v>
      </c>
      <c r="AX84" s="326">
        <v>0</v>
      </c>
      <c r="AY84" s="326">
        <v>0</v>
      </c>
      <c r="AZ84" s="326">
        <v>0</v>
      </c>
      <c r="BA84" s="326">
        <v>0</v>
      </c>
      <c r="BB84" s="326">
        <v>0</v>
      </c>
      <c r="BC84" s="326">
        <v>0</v>
      </c>
      <c r="BD84" s="326">
        <v>0</v>
      </c>
      <c r="BE84" s="326">
        <v>0</v>
      </c>
      <c r="BF84" s="326">
        <v>0</v>
      </c>
      <c r="BG84" s="326">
        <v>0</v>
      </c>
      <c r="BH84" s="408">
        <f t="shared" si="16"/>
        <v>0</v>
      </c>
      <c r="BI84" s="408">
        <f t="shared" si="29"/>
        <v>0</v>
      </c>
      <c r="BJ84" s="408">
        <f t="shared" si="27"/>
        <v>0</v>
      </c>
      <c r="BK84" s="224"/>
      <c r="BL84" s="224"/>
      <c r="BM84" s="224"/>
      <c r="BN84" s="224" t="str">
        <f>IFERROR(VLOOKUP($A84,'Constancias POA'!$A$2:$DH$9993,18,FALSE),"")</f>
        <v/>
      </c>
      <c r="BO84" s="224" t="str">
        <f t="shared" si="30"/>
        <v/>
      </c>
      <c r="BP84" s="224" t="str">
        <f>IFERROR(VLOOKUP($A84,CP!$A$1:$U$7992,18,FALSE),"")</f>
        <v/>
      </c>
      <c r="BQ84" s="224" t="str">
        <f>IFERROR(VLOOKUP($A84,CP!$A$1:$U$7992,19,FALSE),"")</f>
        <v/>
      </c>
      <c r="BR84" s="224" t="str">
        <f>IFERROR(VLOOKUP($A84,CP!$A$1:$U$7992,20,FALSE),"")</f>
        <v/>
      </c>
      <c r="BS84" s="224" t="str">
        <f>IFERROR(VLOOKUP($A84,CP!$A$1:$U$1,21,FALSE),"")</f>
        <v/>
      </c>
      <c r="BT84" s="224" t="str">
        <f>IFERROR(VLOOKUP(A84,Devengado!$A$1:AJ$9310,35,FALSE),"")</f>
        <v/>
      </c>
      <c r="BU84" s="224" t="str">
        <f t="shared" si="31"/>
        <v/>
      </c>
      <c r="BV84" s="224" t="str">
        <f t="shared" si="32"/>
        <v/>
      </c>
      <c r="BW84" s="224">
        <f t="shared" si="28"/>
        <v>0</v>
      </c>
      <c r="BX84" s="429">
        <v>0</v>
      </c>
      <c r="BY84" s="429">
        <v>0</v>
      </c>
      <c r="BZ84" s="429">
        <v>0</v>
      </c>
      <c r="CA84" s="429">
        <v>0</v>
      </c>
      <c r="CB84" s="429">
        <v>0</v>
      </c>
      <c r="CC84" s="429">
        <v>0</v>
      </c>
      <c r="CD84" s="429">
        <v>0</v>
      </c>
      <c r="CE84" s="429">
        <v>0</v>
      </c>
      <c r="CF84" s="429">
        <v>0</v>
      </c>
      <c r="CG84" s="429">
        <v>0</v>
      </c>
      <c r="CH84" s="429">
        <v>0</v>
      </c>
      <c r="CI84" s="429">
        <v>0</v>
      </c>
      <c r="CJ84" s="224" t="str">
        <f>IFERROR(VLOOKUP($A84,Devengado!$A$1:$AI$9038,22,FALSE),"")</f>
        <v/>
      </c>
      <c r="CK84" s="224" t="str">
        <f>IFERROR(VLOOKUP($A84,Devengado!$A$1:$AI$9038,23,FALSE),"")</f>
        <v/>
      </c>
      <c r="CL84" s="224" t="str">
        <f>IFERROR(VLOOKUP($A84,Devengado!$A$1:$AI$9038,24,FALSE),"")</f>
        <v/>
      </c>
      <c r="CM84" s="224" t="str">
        <f>IFERROR(VLOOKUP($A84,Devengado!$A$1:$AI$9038,25,FALSE),"")</f>
        <v/>
      </c>
      <c r="CN84" s="224" t="str">
        <f>IFERROR(VLOOKUP($A84,Devengado!$A$1:$AI$9038,26,FALSE),"")</f>
        <v/>
      </c>
      <c r="CO84" s="224" t="str">
        <f>IFERROR(VLOOKUP($A84,Devengado!$A$1:$AI$9038,27,FALSE),"")</f>
        <v/>
      </c>
      <c r="CP84" s="224" t="str">
        <f>IFERROR(VLOOKUP($A84,Devengado!$A$1:$AI$9038,28,FALSE),"")</f>
        <v/>
      </c>
      <c r="CQ84" s="224" t="str">
        <f>IFERROR(VLOOKUP($A84,Devengado!$A$1:$AI$9038,29,FALSE),"")</f>
        <v/>
      </c>
      <c r="CR84" s="224" t="str">
        <f>IFERROR(VLOOKUP($A84,Devengado!$A$1:$AI$9038,30,FALSE),"")</f>
        <v/>
      </c>
      <c r="CS84" s="224" t="str">
        <f>IFERROR(VLOOKUP($A84,Devengado!$A$1:$AI$9038,31,FALSE),"")</f>
        <v/>
      </c>
      <c r="CT84" s="224" t="str">
        <f>IFERROR(VLOOKUP($A84,Devengado!$A$1:$AI$9038,32,FALSE),"")</f>
        <v/>
      </c>
      <c r="CU84" s="224" t="str">
        <f>IFERROR(VLOOKUP($A84,Devengado!$A$1:$AI$9038,33,FALSE),"")</f>
        <v/>
      </c>
      <c r="CV84" s="224">
        <f t="shared" si="33"/>
        <v>0</v>
      </c>
      <c r="CW84" s="224" t="str">
        <f t="shared" si="34"/>
        <v/>
      </c>
      <c r="CX84" s="207"/>
      <c r="CY84" s="207" t="str">
        <f t="shared" si="35"/>
        <v>53</v>
      </c>
      <c r="CZ84" s="112" t="s">
        <v>915</v>
      </c>
    </row>
    <row r="85" spans="1:104" s="225" customFormat="1" ht="31.5" customHeight="1">
      <c r="A85" s="207">
        <v>495</v>
      </c>
      <c r="B85" s="207"/>
      <c r="C85" s="207"/>
      <c r="D85" s="207"/>
      <c r="E85" s="207"/>
      <c r="F85" s="207"/>
      <c r="G85" s="207"/>
      <c r="H85" s="207"/>
      <c r="I85" s="207"/>
      <c r="J85" s="207"/>
      <c r="K85" s="112" t="s">
        <v>429</v>
      </c>
      <c r="L85" s="112" t="s">
        <v>850</v>
      </c>
      <c r="M85" s="112" t="s">
        <v>917</v>
      </c>
      <c r="N85" s="112" t="s">
        <v>77</v>
      </c>
      <c r="O85" s="112" t="s">
        <v>77</v>
      </c>
      <c r="P85" s="112" t="s">
        <v>76</v>
      </c>
      <c r="Q85" s="112" t="s">
        <v>77</v>
      </c>
      <c r="R85" s="112" t="s">
        <v>77</v>
      </c>
      <c r="S85" s="112" t="s">
        <v>77</v>
      </c>
      <c r="T85" s="112" t="s">
        <v>77</v>
      </c>
      <c r="U85" s="112" t="s">
        <v>77</v>
      </c>
      <c r="V85" s="112" t="s">
        <v>77</v>
      </c>
      <c r="W85" s="112" t="s">
        <v>85</v>
      </c>
      <c r="X85" s="124" t="s">
        <v>511</v>
      </c>
      <c r="Y85" s="114" t="s">
        <v>430</v>
      </c>
      <c r="Z85" s="114" t="s">
        <v>111</v>
      </c>
      <c r="AA85" s="114" t="s">
        <v>81</v>
      </c>
      <c r="AB85" s="114" t="s">
        <v>112</v>
      </c>
      <c r="AC85" s="115" t="str">
        <f t="shared" si="23"/>
        <v>53</v>
      </c>
      <c r="AD85" s="124">
        <v>530404</v>
      </c>
      <c r="AE85" s="122" t="str">
        <f>VLOOKUP(AD85,ITEM!$C$1:$D$694,2,FALSE)</f>
        <v>Maquinarias y Equipos (Instalación, Mantenimiento y Reparación)</v>
      </c>
      <c r="AF85" s="112">
        <v>1308</v>
      </c>
      <c r="AG85" s="114" t="s">
        <v>82</v>
      </c>
      <c r="AH85" s="114" t="s">
        <v>84</v>
      </c>
      <c r="AI85" s="114" t="s">
        <v>84</v>
      </c>
      <c r="AJ85" s="114" t="s">
        <v>914</v>
      </c>
      <c r="AK85" s="114" t="s">
        <v>77</v>
      </c>
      <c r="AL85" s="271">
        <v>0</v>
      </c>
      <c r="AM85" s="272"/>
      <c r="AN85" s="272">
        <f t="shared" si="15"/>
        <v>0</v>
      </c>
      <c r="AO85" s="224">
        <f>SUMIF(Reforma!$A$2:$A$8523,$A85,Reforma!$AB$2:$AB$8523)</f>
        <v>0</v>
      </c>
      <c r="AP85" s="224">
        <f>SUMIF(Reforma!$A$2:$A$8523,$A85,Reforma!$AC$2:$AC$8523)</f>
        <v>0</v>
      </c>
      <c r="AQ85" s="224">
        <f>SUMIF(Reforma!$A$2:$A$8523,$A85,Reforma!$AD$2:$AD$8523)</f>
        <v>0</v>
      </c>
      <c r="AR85" s="224">
        <f>SUMIF(Reforma!$A$2:$A$8523,$A85,Reforma!$AE$2:$AE$8523)</f>
        <v>0</v>
      </c>
      <c r="AS85" s="224">
        <f t="shared" si="24"/>
        <v>0</v>
      </c>
      <c r="AT85" s="224">
        <f t="shared" si="25"/>
        <v>0</v>
      </c>
      <c r="AU85" s="224">
        <f t="shared" si="26"/>
        <v>0</v>
      </c>
      <c r="AV85" s="326">
        <v>0</v>
      </c>
      <c r="AW85" s="326">
        <v>0</v>
      </c>
      <c r="AX85" s="326">
        <v>0</v>
      </c>
      <c r="AY85" s="326">
        <v>0</v>
      </c>
      <c r="AZ85" s="326">
        <v>0</v>
      </c>
      <c r="BA85" s="326">
        <v>0</v>
      </c>
      <c r="BB85" s="326">
        <v>0</v>
      </c>
      <c r="BC85" s="326">
        <v>0</v>
      </c>
      <c r="BD85" s="326">
        <v>0</v>
      </c>
      <c r="BE85" s="326">
        <v>0</v>
      </c>
      <c r="BF85" s="326">
        <v>0</v>
      </c>
      <c r="BG85" s="326">
        <v>0</v>
      </c>
      <c r="BH85" s="408">
        <f t="shared" si="16"/>
        <v>0</v>
      </c>
      <c r="BI85" s="408">
        <f t="shared" si="29"/>
        <v>0</v>
      </c>
      <c r="BJ85" s="408">
        <f t="shared" si="27"/>
        <v>0</v>
      </c>
      <c r="BK85" s="224"/>
      <c r="BL85" s="224"/>
      <c r="BM85" s="224"/>
      <c r="BN85" s="224" t="str">
        <f>IFERROR(VLOOKUP($A85,'Constancias POA'!$A$2:$DH$9993,18,FALSE),"")</f>
        <v/>
      </c>
      <c r="BO85" s="224" t="str">
        <f t="shared" si="30"/>
        <v/>
      </c>
      <c r="BP85" s="224" t="str">
        <f>IFERROR(VLOOKUP($A85,CP!$A$1:$U$7992,18,FALSE),"")</f>
        <v/>
      </c>
      <c r="BQ85" s="224" t="str">
        <f>IFERROR(VLOOKUP($A85,CP!$A$1:$U$7992,19,FALSE),"")</f>
        <v/>
      </c>
      <c r="BR85" s="224" t="str">
        <f>IFERROR(VLOOKUP($A85,CP!$A$1:$U$7992,20,FALSE),"")</f>
        <v/>
      </c>
      <c r="BS85" s="224" t="str">
        <f>IFERROR(VLOOKUP($A85,CP!$A$1:$U$1,21,FALSE),"")</f>
        <v/>
      </c>
      <c r="BT85" s="224" t="str">
        <f>IFERROR(VLOOKUP(A85,Devengado!$A$1:AJ$9310,35,FALSE),"")</f>
        <v/>
      </c>
      <c r="BU85" s="224" t="str">
        <f t="shared" si="31"/>
        <v/>
      </c>
      <c r="BV85" s="224" t="str">
        <f t="shared" si="32"/>
        <v/>
      </c>
      <c r="BW85" s="224">
        <f t="shared" si="28"/>
        <v>0</v>
      </c>
      <c r="BX85" s="429">
        <v>0</v>
      </c>
      <c r="BY85" s="429">
        <v>0</v>
      </c>
      <c r="BZ85" s="429">
        <v>0</v>
      </c>
      <c r="CA85" s="429">
        <v>0</v>
      </c>
      <c r="CB85" s="429">
        <v>0</v>
      </c>
      <c r="CC85" s="429">
        <v>0</v>
      </c>
      <c r="CD85" s="429">
        <v>0</v>
      </c>
      <c r="CE85" s="429">
        <v>0</v>
      </c>
      <c r="CF85" s="429">
        <v>0</v>
      </c>
      <c r="CG85" s="429">
        <v>0</v>
      </c>
      <c r="CH85" s="429">
        <v>0</v>
      </c>
      <c r="CI85" s="429">
        <v>0</v>
      </c>
      <c r="CJ85" s="224" t="str">
        <f>IFERROR(VLOOKUP($A85,Devengado!$A$1:$AI$9038,22,FALSE),"")</f>
        <v/>
      </c>
      <c r="CK85" s="224" t="str">
        <f>IFERROR(VLOOKUP($A85,Devengado!$A$1:$AI$9038,23,FALSE),"")</f>
        <v/>
      </c>
      <c r="CL85" s="224" t="str">
        <f>IFERROR(VLOOKUP($A85,Devengado!$A$1:$AI$9038,24,FALSE),"")</f>
        <v/>
      </c>
      <c r="CM85" s="224" t="str">
        <f>IFERROR(VLOOKUP($A85,Devengado!$A$1:$AI$9038,25,FALSE),"")</f>
        <v/>
      </c>
      <c r="CN85" s="224" t="str">
        <f>IFERROR(VLOOKUP($A85,Devengado!$A$1:$AI$9038,26,FALSE),"")</f>
        <v/>
      </c>
      <c r="CO85" s="224" t="str">
        <f>IFERROR(VLOOKUP($A85,Devengado!$A$1:$AI$9038,27,FALSE),"")</f>
        <v/>
      </c>
      <c r="CP85" s="224" t="str">
        <f>IFERROR(VLOOKUP($A85,Devengado!$A$1:$AI$9038,28,FALSE),"")</f>
        <v/>
      </c>
      <c r="CQ85" s="224" t="str">
        <f>IFERROR(VLOOKUP($A85,Devengado!$A$1:$AI$9038,29,FALSE),"")</f>
        <v/>
      </c>
      <c r="CR85" s="224" t="str">
        <f>IFERROR(VLOOKUP($A85,Devengado!$A$1:$AI$9038,30,FALSE),"")</f>
        <v/>
      </c>
      <c r="CS85" s="224" t="str">
        <f>IFERROR(VLOOKUP($A85,Devengado!$A$1:$AI$9038,31,FALSE),"")</f>
        <v/>
      </c>
      <c r="CT85" s="224" t="str">
        <f>IFERROR(VLOOKUP($A85,Devengado!$A$1:$AI$9038,32,FALSE),"")</f>
        <v/>
      </c>
      <c r="CU85" s="224" t="str">
        <f>IFERROR(VLOOKUP($A85,Devengado!$A$1:$AI$9038,33,FALSE),"")</f>
        <v/>
      </c>
      <c r="CV85" s="224">
        <f t="shared" si="33"/>
        <v>0</v>
      </c>
      <c r="CW85" s="224" t="str">
        <f t="shared" si="34"/>
        <v/>
      </c>
      <c r="CX85" s="207"/>
      <c r="CY85" s="207" t="str">
        <f t="shared" si="35"/>
        <v>53</v>
      </c>
      <c r="CZ85" s="112" t="s">
        <v>915</v>
      </c>
    </row>
    <row r="86" spans="1:104" s="225" customFormat="1" ht="25.5" customHeight="1">
      <c r="A86" s="207">
        <v>496</v>
      </c>
      <c r="B86" s="207"/>
      <c r="C86" s="207"/>
      <c r="D86" s="207"/>
      <c r="E86" s="207"/>
      <c r="F86" s="207"/>
      <c r="G86" s="207"/>
      <c r="H86" s="207"/>
      <c r="I86" s="207"/>
      <c r="J86" s="207"/>
      <c r="K86" s="112" t="s">
        <v>429</v>
      </c>
      <c r="L86" s="112" t="s">
        <v>850</v>
      </c>
      <c r="M86" s="112" t="s">
        <v>918</v>
      </c>
      <c r="N86" s="112" t="s">
        <v>77</v>
      </c>
      <c r="O86" s="112" t="s">
        <v>77</v>
      </c>
      <c r="P86" s="112" t="s">
        <v>76</v>
      </c>
      <c r="Q86" s="112" t="s">
        <v>77</v>
      </c>
      <c r="R86" s="112" t="s">
        <v>77</v>
      </c>
      <c r="S86" s="112" t="s">
        <v>77</v>
      </c>
      <c r="T86" s="112" t="s">
        <v>77</v>
      </c>
      <c r="U86" s="112" t="s">
        <v>77</v>
      </c>
      <c r="V86" s="112" t="s">
        <v>77</v>
      </c>
      <c r="W86" s="112" t="s">
        <v>85</v>
      </c>
      <c r="X86" s="124" t="s">
        <v>512</v>
      </c>
      <c r="Y86" s="114" t="s">
        <v>430</v>
      </c>
      <c r="Z86" s="114" t="s">
        <v>111</v>
      </c>
      <c r="AA86" s="114" t="s">
        <v>81</v>
      </c>
      <c r="AB86" s="114" t="s">
        <v>112</v>
      </c>
      <c r="AC86" s="115" t="str">
        <f t="shared" si="23"/>
        <v>53</v>
      </c>
      <c r="AD86" s="124">
        <v>530404</v>
      </c>
      <c r="AE86" s="122" t="str">
        <f>VLOOKUP(AD86,ITEM!$C$1:$D$694,2,FALSE)</f>
        <v>Maquinarias y Equipos (Instalación, Mantenimiento y Reparación)</v>
      </c>
      <c r="AF86" s="112">
        <v>1314</v>
      </c>
      <c r="AG86" s="114" t="s">
        <v>82</v>
      </c>
      <c r="AH86" s="114" t="s">
        <v>84</v>
      </c>
      <c r="AI86" s="114" t="s">
        <v>84</v>
      </c>
      <c r="AJ86" s="114" t="s">
        <v>914</v>
      </c>
      <c r="AK86" s="114" t="s">
        <v>77</v>
      </c>
      <c r="AL86" s="271">
        <v>0</v>
      </c>
      <c r="AM86" s="272"/>
      <c r="AN86" s="272">
        <f t="shared" si="15"/>
        <v>0</v>
      </c>
      <c r="AO86" s="224">
        <f>SUMIF(Reforma!$A$2:$A$8523,$A86,Reforma!$AB$2:$AB$8523)</f>
        <v>0</v>
      </c>
      <c r="AP86" s="224">
        <f>SUMIF(Reforma!$A$2:$A$8523,$A86,Reforma!$AC$2:$AC$8523)</f>
        <v>0</v>
      </c>
      <c r="AQ86" s="224">
        <f>SUMIF(Reforma!$A$2:$A$8523,$A86,Reforma!$AD$2:$AD$8523)</f>
        <v>0</v>
      </c>
      <c r="AR86" s="224">
        <f>SUMIF(Reforma!$A$2:$A$8523,$A86,Reforma!$AE$2:$AE$8523)</f>
        <v>0</v>
      </c>
      <c r="AS86" s="224">
        <f t="shared" si="24"/>
        <v>0</v>
      </c>
      <c r="AT86" s="224">
        <f t="shared" si="25"/>
        <v>0</v>
      </c>
      <c r="AU86" s="224">
        <f t="shared" si="26"/>
        <v>0</v>
      </c>
      <c r="AV86" s="326">
        <v>0</v>
      </c>
      <c r="AW86" s="326">
        <v>0</v>
      </c>
      <c r="AX86" s="326">
        <v>0</v>
      </c>
      <c r="AY86" s="326">
        <v>0</v>
      </c>
      <c r="AZ86" s="326">
        <v>0</v>
      </c>
      <c r="BA86" s="326">
        <v>0</v>
      </c>
      <c r="BB86" s="326">
        <v>0</v>
      </c>
      <c r="BC86" s="326">
        <v>0</v>
      </c>
      <c r="BD86" s="326">
        <v>0</v>
      </c>
      <c r="BE86" s="326">
        <v>0</v>
      </c>
      <c r="BF86" s="326">
        <v>0</v>
      </c>
      <c r="BG86" s="326">
        <v>0</v>
      </c>
      <c r="BH86" s="408">
        <f t="shared" si="16"/>
        <v>0</v>
      </c>
      <c r="BI86" s="408">
        <f t="shared" si="29"/>
        <v>0</v>
      </c>
      <c r="BJ86" s="408">
        <f t="shared" si="27"/>
        <v>0</v>
      </c>
      <c r="BK86" s="224"/>
      <c r="BL86" s="224"/>
      <c r="BM86" s="224"/>
      <c r="BN86" s="224" t="str">
        <f>IFERROR(VLOOKUP($A86,'Constancias POA'!$A$2:$DH$9993,18,FALSE),"")</f>
        <v/>
      </c>
      <c r="BO86" s="224" t="str">
        <f t="shared" si="30"/>
        <v/>
      </c>
      <c r="BP86" s="224" t="str">
        <f>IFERROR(VLOOKUP($A86,CP!$A$1:$U$7992,18,FALSE),"")</f>
        <v/>
      </c>
      <c r="BQ86" s="224" t="str">
        <f>IFERROR(VLOOKUP($A86,CP!$A$1:$U$7992,19,FALSE),"")</f>
        <v/>
      </c>
      <c r="BR86" s="224" t="str">
        <f>IFERROR(VLOOKUP($A86,CP!$A$1:$U$7992,20,FALSE),"")</f>
        <v/>
      </c>
      <c r="BS86" s="224" t="str">
        <f>IFERROR(VLOOKUP($A86,CP!$A$1:$U$1,21,FALSE),"")</f>
        <v/>
      </c>
      <c r="BT86" s="224" t="str">
        <f>IFERROR(VLOOKUP(A86,Devengado!$A$1:AJ$9310,35,FALSE),"")</f>
        <v/>
      </c>
      <c r="BU86" s="224" t="str">
        <f t="shared" si="31"/>
        <v/>
      </c>
      <c r="BV86" s="224" t="str">
        <f t="shared" si="32"/>
        <v/>
      </c>
      <c r="BW86" s="224">
        <f t="shared" si="28"/>
        <v>0</v>
      </c>
      <c r="BX86" s="429">
        <v>0</v>
      </c>
      <c r="BY86" s="429">
        <v>0</v>
      </c>
      <c r="BZ86" s="429">
        <v>0</v>
      </c>
      <c r="CA86" s="429">
        <v>0</v>
      </c>
      <c r="CB86" s="429">
        <v>0</v>
      </c>
      <c r="CC86" s="429">
        <v>0</v>
      </c>
      <c r="CD86" s="429">
        <v>0</v>
      </c>
      <c r="CE86" s="429">
        <v>0</v>
      </c>
      <c r="CF86" s="429">
        <v>0</v>
      </c>
      <c r="CG86" s="429">
        <v>0</v>
      </c>
      <c r="CH86" s="429">
        <v>0</v>
      </c>
      <c r="CI86" s="429">
        <v>0</v>
      </c>
      <c r="CJ86" s="224" t="str">
        <f>IFERROR(VLOOKUP($A86,Devengado!$A$1:$AI$9038,22,FALSE),"")</f>
        <v/>
      </c>
      <c r="CK86" s="224" t="str">
        <f>IFERROR(VLOOKUP($A86,Devengado!$A$1:$AI$9038,23,FALSE),"")</f>
        <v/>
      </c>
      <c r="CL86" s="224" t="str">
        <f>IFERROR(VLOOKUP($A86,Devengado!$A$1:$AI$9038,24,FALSE),"")</f>
        <v/>
      </c>
      <c r="CM86" s="224" t="str">
        <f>IFERROR(VLOOKUP($A86,Devengado!$A$1:$AI$9038,25,FALSE),"")</f>
        <v/>
      </c>
      <c r="CN86" s="224" t="str">
        <f>IFERROR(VLOOKUP($A86,Devengado!$A$1:$AI$9038,26,FALSE),"")</f>
        <v/>
      </c>
      <c r="CO86" s="224" t="str">
        <f>IFERROR(VLOOKUP($A86,Devengado!$A$1:$AI$9038,27,FALSE),"")</f>
        <v/>
      </c>
      <c r="CP86" s="224" t="str">
        <f>IFERROR(VLOOKUP($A86,Devengado!$A$1:$AI$9038,28,FALSE),"")</f>
        <v/>
      </c>
      <c r="CQ86" s="224" t="str">
        <f>IFERROR(VLOOKUP($A86,Devengado!$A$1:$AI$9038,29,FALSE),"")</f>
        <v/>
      </c>
      <c r="CR86" s="224" t="str">
        <f>IFERROR(VLOOKUP($A86,Devengado!$A$1:$AI$9038,30,FALSE),"")</f>
        <v/>
      </c>
      <c r="CS86" s="224" t="str">
        <f>IFERROR(VLOOKUP($A86,Devengado!$A$1:$AI$9038,31,FALSE),"")</f>
        <v/>
      </c>
      <c r="CT86" s="224" t="str">
        <f>IFERROR(VLOOKUP($A86,Devengado!$A$1:$AI$9038,32,FALSE),"")</f>
        <v/>
      </c>
      <c r="CU86" s="224" t="str">
        <f>IFERROR(VLOOKUP($A86,Devengado!$A$1:$AI$9038,33,FALSE),"")</f>
        <v/>
      </c>
      <c r="CV86" s="224">
        <f t="shared" si="33"/>
        <v>0</v>
      </c>
      <c r="CW86" s="224" t="str">
        <f t="shared" si="34"/>
        <v/>
      </c>
      <c r="CX86" s="207"/>
      <c r="CY86" s="207" t="str">
        <f t="shared" si="35"/>
        <v>53</v>
      </c>
      <c r="CZ86" s="112" t="s">
        <v>915</v>
      </c>
    </row>
    <row r="87" spans="1:104" s="225" customFormat="1" ht="24" customHeight="1">
      <c r="A87" s="207">
        <v>497</v>
      </c>
      <c r="B87" s="207"/>
      <c r="C87" s="207"/>
      <c r="D87" s="207"/>
      <c r="E87" s="207"/>
      <c r="F87" s="207"/>
      <c r="G87" s="207"/>
      <c r="H87" s="207"/>
      <c r="I87" s="207"/>
      <c r="J87" s="207"/>
      <c r="K87" s="112" t="s">
        <v>429</v>
      </c>
      <c r="L87" s="112" t="s">
        <v>850</v>
      </c>
      <c r="M87" s="112" t="s">
        <v>850</v>
      </c>
      <c r="N87" s="112" t="s">
        <v>77</v>
      </c>
      <c r="O87" s="112" t="s">
        <v>77</v>
      </c>
      <c r="P87" s="112" t="s">
        <v>76</v>
      </c>
      <c r="Q87" s="112" t="s">
        <v>77</v>
      </c>
      <c r="R87" s="112" t="s">
        <v>77</v>
      </c>
      <c r="S87" s="112" t="s">
        <v>77</v>
      </c>
      <c r="T87" s="112" t="s">
        <v>77</v>
      </c>
      <c r="U87" s="112" t="s">
        <v>77</v>
      </c>
      <c r="V87" s="112" t="s">
        <v>77</v>
      </c>
      <c r="W87" s="112" t="s">
        <v>85</v>
      </c>
      <c r="X87" s="124" t="s">
        <v>513</v>
      </c>
      <c r="Y87" s="114" t="s">
        <v>430</v>
      </c>
      <c r="Z87" s="114" t="s">
        <v>111</v>
      </c>
      <c r="AA87" s="114" t="s">
        <v>81</v>
      </c>
      <c r="AB87" s="114" t="s">
        <v>112</v>
      </c>
      <c r="AC87" s="115" t="str">
        <f t="shared" si="23"/>
        <v>53</v>
      </c>
      <c r="AD87" s="124">
        <v>530204</v>
      </c>
      <c r="AE87" s="122" t="str">
        <f>VLOOKUP(AD87,ITEM!$C$1:$D$694,2,FALSE)</f>
        <v>Edición, Impresión, Reproducción, Publicaciones, Suscripciones, Fotocopiado, Traducción, Empastado, Enmarcación,
Serigrafía, Fotografía, Carnetización, Filmación e Imágenes Satelitales.</v>
      </c>
      <c r="AF87" s="112">
        <v>1309</v>
      </c>
      <c r="AG87" s="114" t="s">
        <v>82</v>
      </c>
      <c r="AH87" s="114" t="s">
        <v>84</v>
      </c>
      <c r="AI87" s="114" t="s">
        <v>84</v>
      </c>
      <c r="AJ87" s="114" t="s">
        <v>914</v>
      </c>
      <c r="AK87" s="114" t="s">
        <v>77</v>
      </c>
      <c r="AL87" s="271">
        <v>0</v>
      </c>
      <c r="AM87" s="272"/>
      <c r="AN87" s="272">
        <f t="shared" si="15"/>
        <v>0</v>
      </c>
      <c r="AO87" s="224">
        <f>SUMIF(Reforma!$A$2:$A$8523,$A87,Reforma!$AB$2:$AB$8523)</f>
        <v>0</v>
      </c>
      <c r="AP87" s="224">
        <f>SUMIF(Reforma!$A$2:$A$8523,$A87,Reforma!$AC$2:$AC$8523)</f>
        <v>0</v>
      </c>
      <c r="AQ87" s="224">
        <f>SUMIF(Reforma!$A$2:$A$8523,$A87,Reforma!$AD$2:$AD$8523)</f>
        <v>0</v>
      </c>
      <c r="AR87" s="224">
        <f>SUMIF(Reforma!$A$2:$A$8523,$A87,Reforma!$AE$2:$AE$8523)</f>
        <v>0</v>
      </c>
      <c r="AS87" s="224">
        <f t="shared" si="24"/>
        <v>0</v>
      </c>
      <c r="AT87" s="224">
        <f t="shared" si="25"/>
        <v>0</v>
      </c>
      <c r="AU87" s="224">
        <f t="shared" si="26"/>
        <v>0</v>
      </c>
      <c r="AV87" s="326">
        <v>0</v>
      </c>
      <c r="AW87" s="326">
        <v>0</v>
      </c>
      <c r="AX87" s="326">
        <v>0</v>
      </c>
      <c r="AY87" s="326">
        <v>0</v>
      </c>
      <c r="AZ87" s="326">
        <v>0</v>
      </c>
      <c r="BA87" s="326">
        <v>0</v>
      </c>
      <c r="BB87" s="326">
        <v>0</v>
      </c>
      <c r="BC87" s="326">
        <v>0</v>
      </c>
      <c r="BD87" s="326">
        <v>0</v>
      </c>
      <c r="BE87" s="326">
        <v>0</v>
      </c>
      <c r="BF87" s="326">
        <v>0</v>
      </c>
      <c r="BG87" s="326">
        <v>0</v>
      </c>
      <c r="BH87" s="408">
        <f t="shared" si="16"/>
        <v>0</v>
      </c>
      <c r="BI87" s="408">
        <f t="shared" si="29"/>
        <v>0</v>
      </c>
      <c r="BJ87" s="408">
        <f t="shared" si="27"/>
        <v>0</v>
      </c>
      <c r="BK87" s="224"/>
      <c r="BL87" s="224"/>
      <c r="BM87" s="224"/>
      <c r="BN87" s="224" t="str">
        <f>IFERROR(VLOOKUP($A87,'Constancias POA'!$A$2:$DH$9993,18,FALSE),"")</f>
        <v/>
      </c>
      <c r="BO87" s="224" t="str">
        <f t="shared" si="30"/>
        <v/>
      </c>
      <c r="BP87" s="224" t="str">
        <f>IFERROR(VLOOKUP($A87,CP!$A$1:$U$7992,18,FALSE),"")</f>
        <v/>
      </c>
      <c r="BQ87" s="224" t="str">
        <f>IFERROR(VLOOKUP($A87,CP!$A$1:$U$7992,19,FALSE),"")</f>
        <v/>
      </c>
      <c r="BR87" s="224" t="str">
        <f>IFERROR(VLOOKUP($A87,CP!$A$1:$U$7992,20,FALSE),"")</f>
        <v/>
      </c>
      <c r="BS87" s="224" t="str">
        <f>IFERROR(VLOOKUP($A87,CP!$A$1:$U$1,21,FALSE),"")</f>
        <v/>
      </c>
      <c r="BT87" s="224" t="str">
        <f>IFERROR(VLOOKUP(A87,Devengado!$A$1:AJ$9310,35,FALSE),"")</f>
        <v/>
      </c>
      <c r="BU87" s="224" t="str">
        <f t="shared" si="31"/>
        <v/>
      </c>
      <c r="BV87" s="224" t="str">
        <f t="shared" si="32"/>
        <v/>
      </c>
      <c r="BW87" s="224">
        <f t="shared" si="28"/>
        <v>0</v>
      </c>
      <c r="BX87" s="429">
        <v>0</v>
      </c>
      <c r="BY87" s="429">
        <v>0</v>
      </c>
      <c r="BZ87" s="429">
        <v>0</v>
      </c>
      <c r="CA87" s="429">
        <v>0</v>
      </c>
      <c r="CB87" s="429">
        <v>0</v>
      </c>
      <c r="CC87" s="429">
        <v>0</v>
      </c>
      <c r="CD87" s="429">
        <v>0</v>
      </c>
      <c r="CE87" s="429">
        <v>0</v>
      </c>
      <c r="CF87" s="429">
        <v>0</v>
      </c>
      <c r="CG87" s="429">
        <v>0</v>
      </c>
      <c r="CH87" s="429">
        <v>0</v>
      </c>
      <c r="CI87" s="429">
        <v>0</v>
      </c>
      <c r="CJ87" s="224" t="str">
        <f>IFERROR(VLOOKUP($A87,Devengado!$A$1:$AI$9038,22,FALSE),"")</f>
        <v/>
      </c>
      <c r="CK87" s="224" t="str">
        <f>IFERROR(VLOOKUP($A87,Devengado!$A$1:$AI$9038,23,FALSE),"")</f>
        <v/>
      </c>
      <c r="CL87" s="224" t="str">
        <f>IFERROR(VLOOKUP($A87,Devengado!$A$1:$AI$9038,24,FALSE),"")</f>
        <v/>
      </c>
      <c r="CM87" s="224" t="str">
        <f>IFERROR(VLOOKUP($A87,Devengado!$A$1:$AI$9038,25,FALSE),"")</f>
        <v/>
      </c>
      <c r="CN87" s="224" t="str">
        <f>IFERROR(VLOOKUP($A87,Devengado!$A$1:$AI$9038,26,FALSE),"")</f>
        <v/>
      </c>
      <c r="CO87" s="224" t="str">
        <f>IFERROR(VLOOKUP($A87,Devengado!$A$1:$AI$9038,27,FALSE),"")</f>
        <v/>
      </c>
      <c r="CP87" s="224" t="str">
        <f>IFERROR(VLOOKUP($A87,Devengado!$A$1:$AI$9038,28,FALSE),"")</f>
        <v/>
      </c>
      <c r="CQ87" s="224" t="str">
        <f>IFERROR(VLOOKUP($A87,Devengado!$A$1:$AI$9038,29,FALSE),"")</f>
        <v/>
      </c>
      <c r="CR87" s="224" t="str">
        <f>IFERROR(VLOOKUP($A87,Devengado!$A$1:$AI$9038,30,FALSE),"")</f>
        <v/>
      </c>
      <c r="CS87" s="224" t="str">
        <f>IFERROR(VLOOKUP($A87,Devengado!$A$1:$AI$9038,31,FALSE),"")</f>
        <v/>
      </c>
      <c r="CT87" s="224" t="str">
        <f>IFERROR(VLOOKUP($A87,Devengado!$A$1:$AI$9038,32,FALSE),"")</f>
        <v/>
      </c>
      <c r="CU87" s="224" t="str">
        <f>IFERROR(VLOOKUP($A87,Devengado!$A$1:$AI$9038,33,FALSE),"")</f>
        <v/>
      </c>
      <c r="CV87" s="224">
        <f t="shared" si="33"/>
        <v>0</v>
      </c>
      <c r="CW87" s="224" t="str">
        <f t="shared" si="34"/>
        <v/>
      </c>
      <c r="CX87" s="207"/>
      <c r="CY87" s="207" t="str">
        <f t="shared" si="35"/>
        <v>53</v>
      </c>
      <c r="CZ87" s="112" t="s">
        <v>915</v>
      </c>
    </row>
    <row r="88" spans="1:104" s="225" customFormat="1" ht="27.75" customHeight="1">
      <c r="A88" s="207">
        <v>498</v>
      </c>
      <c r="B88" s="207"/>
      <c r="C88" s="207"/>
      <c r="D88" s="207"/>
      <c r="E88" s="207"/>
      <c r="F88" s="207"/>
      <c r="G88" s="207"/>
      <c r="H88" s="207"/>
      <c r="I88" s="207"/>
      <c r="J88" s="207"/>
      <c r="K88" s="112" t="s">
        <v>429</v>
      </c>
      <c r="L88" s="112" t="s">
        <v>850</v>
      </c>
      <c r="M88" s="112" t="s">
        <v>850</v>
      </c>
      <c r="N88" s="112" t="s">
        <v>77</v>
      </c>
      <c r="O88" s="112" t="s">
        <v>77</v>
      </c>
      <c r="P88" s="112" t="s">
        <v>76</v>
      </c>
      <c r="Q88" s="112" t="s">
        <v>77</v>
      </c>
      <c r="R88" s="112" t="s">
        <v>77</v>
      </c>
      <c r="S88" s="112" t="s">
        <v>77</v>
      </c>
      <c r="T88" s="112" t="s">
        <v>77</v>
      </c>
      <c r="U88" s="112" t="s">
        <v>77</v>
      </c>
      <c r="V88" s="112" t="s">
        <v>77</v>
      </c>
      <c r="W88" s="112" t="s">
        <v>85</v>
      </c>
      <c r="X88" s="124" t="s">
        <v>514</v>
      </c>
      <c r="Y88" s="114" t="s">
        <v>430</v>
      </c>
      <c r="Z88" s="114" t="s">
        <v>111</v>
      </c>
      <c r="AA88" s="114" t="s">
        <v>81</v>
      </c>
      <c r="AB88" s="114" t="s">
        <v>112</v>
      </c>
      <c r="AC88" s="115" t="str">
        <f t="shared" si="23"/>
        <v>53</v>
      </c>
      <c r="AD88" s="133">
        <v>530420</v>
      </c>
      <c r="AE88" s="122" t="e">
        <f>VLOOKUP(AD88,ITEM!$C$1:$D$694,2,FALSE)</f>
        <v>#N/A</v>
      </c>
      <c r="AF88" s="112">
        <v>1309</v>
      </c>
      <c r="AG88" s="114" t="s">
        <v>82</v>
      </c>
      <c r="AH88" s="114" t="s">
        <v>84</v>
      </c>
      <c r="AI88" s="114" t="s">
        <v>84</v>
      </c>
      <c r="AJ88" s="114" t="s">
        <v>914</v>
      </c>
      <c r="AK88" s="114" t="s">
        <v>77</v>
      </c>
      <c r="AL88" s="271">
        <v>0</v>
      </c>
      <c r="AM88" s="272"/>
      <c r="AN88" s="272">
        <f t="shared" si="15"/>
        <v>0</v>
      </c>
      <c r="AO88" s="224">
        <f>SUMIF(Reforma!$A$2:$A$8523,$A88,Reforma!$AB$2:$AB$8523)</f>
        <v>0</v>
      </c>
      <c r="AP88" s="224">
        <f>SUMIF(Reforma!$A$2:$A$8523,$A88,Reforma!$AC$2:$AC$8523)</f>
        <v>0</v>
      </c>
      <c r="AQ88" s="224">
        <f>SUMIF(Reforma!$A$2:$A$8523,$A88,Reforma!$AD$2:$AD$8523)</f>
        <v>0</v>
      </c>
      <c r="AR88" s="224">
        <f>SUMIF(Reforma!$A$2:$A$8523,$A88,Reforma!$AE$2:$AE$8523)</f>
        <v>0</v>
      </c>
      <c r="AS88" s="224">
        <f t="shared" si="24"/>
        <v>0</v>
      </c>
      <c r="AT88" s="224">
        <f t="shared" si="25"/>
        <v>0</v>
      </c>
      <c r="AU88" s="224">
        <f t="shared" si="26"/>
        <v>0</v>
      </c>
      <c r="AV88" s="326">
        <v>0</v>
      </c>
      <c r="AW88" s="326">
        <v>0</v>
      </c>
      <c r="AX88" s="326">
        <v>0</v>
      </c>
      <c r="AY88" s="326">
        <v>0</v>
      </c>
      <c r="AZ88" s="326">
        <v>0</v>
      </c>
      <c r="BA88" s="326">
        <v>0</v>
      </c>
      <c r="BB88" s="326">
        <v>0</v>
      </c>
      <c r="BC88" s="326">
        <v>0</v>
      </c>
      <c r="BD88" s="326">
        <v>0</v>
      </c>
      <c r="BE88" s="326">
        <v>0</v>
      </c>
      <c r="BF88" s="326">
        <v>0</v>
      </c>
      <c r="BG88" s="326">
        <v>0</v>
      </c>
      <c r="BH88" s="408">
        <f t="shared" si="16"/>
        <v>0</v>
      </c>
      <c r="BI88" s="408">
        <f t="shared" si="29"/>
        <v>0</v>
      </c>
      <c r="BJ88" s="408">
        <f t="shared" si="27"/>
        <v>0</v>
      </c>
      <c r="BK88" s="224"/>
      <c r="BL88" s="224"/>
      <c r="BM88" s="224"/>
      <c r="BN88" s="224" t="str">
        <f>IFERROR(VLOOKUP($A88,'Constancias POA'!$A$2:$DH$9993,18,FALSE),"")</f>
        <v/>
      </c>
      <c r="BO88" s="224" t="str">
        <f t="shared" si="30"/>
        <v/>
      </c>
      <c r="BP88" s="224" t="str">
        <f>IFERROR(VLOOKUP($A88,CP!$A$1:$U$7992,18,FALSE),"")</f>
        <v/>
      </c>
      <c r="BQ88" s="224" t="str">
        <f>IFERROR(VLOOKUP($A88,CP!$A$1:$U$7992,19,FALSE),"")</f>
        <v/>
      </c>
      <c r="BR88" s="224" t="str">
        <f>IFERROR(VLOOKUP($A88,CP!$A$1:$U$7992,20,FALSE),"")</f>
        <v/>
      </c>
      <c r="BS88" s="224" t="str">
        <f>IFERROR(VLOOKUP($A88,CP!$A$1:$U$1,21,FALSE),"")</f>
        <v/>
      </c>
      <c r="BT88" s="224" t="str">
        <f>IFERROR(VLOOKUP(A88,Devengado!$A$1:AJ$9310,35,FALSE),"")</f>
        <v/>
      </c>
      <c r="BU88" s="224" t="str">
        <f t="shared" si="31"/>
        <v/>
      </c>
      <c r="BV88" s="224" t="str">
        <f t="shared" si="32"/>
        <v/>
      </c>
      <c r="BW88" s="224">
        <f t="shared" si="28"/>
        <v>0</v>
      </c>
      <c r="BX88" s="429">
        <v>0</v>
      </c>
      <c r="BY88" s="429">
        <v>0</v>
      </c>
      <c r="BZ88" s="429">
        <v>0</v>
      </c>
      <c r="CA88" s="429">
        <v>0</v>
      </c>
      <c r="CB88" s="429">
        <v>0</v>
      </c>
      <c r="CC88" s="429">
        <v>0</v>
      </c>
      <c r="CD88" s="429">
        <v>0</v>
      </c>
      <c r="CE88" s="429">
        <v>0</v>
      </c>
      <c r="CF88" s="429">
        <v>0</v>
      </c>
      <c r="CG88" s="429">
        <v>0</v>
      </c>
      <c r="CH88" s="429">
        <v>0</v>
      </c>
      <c r="CI88" s="429">
        <v>0</v>
      </c>
      <c r="CJ88" s="224" t="str">
        <f>IFERROR(VLOOKUP($A88,Devengado!$A$1:$AI$9038,22,FALSE),"")</f>
        <v/>
      </c>
      <c r="CK88" s="224" t="str">
        <f>IFERROR(VLOOKUP($A88,Devengado!$A$1:$AI$9038,23,FALSE),"")</f>
        <v/>
      </c>
      <c r="CL88" s="224" t="str">
        <f>IFERROR(VLOOKUP($A88,Devengado!$A$1:$AI$9038,24,FALSE),"")</f>
        <v/>
      </c>
      <c r="CM88" s="224" t="str">
        <f>IFERROR(VLOOKUP($A88,Devengado!$A$1:$AI$9038,25,FALSE),"")</f>
        <v/>
      </c>
      <c r="CN88" s="224" t="str">
        <f>IFERROR(VLOOKUP($A88,Devengado!$A$1:$AI$9038,26,FALSE),"")</f>
        <v/>
      </c>
      <c r="CO88" s="224" t="str">
        <f>IFERROR(VLOOKUP($A88,Devengado!$A$1:$AI$9038,27,FALSE),"")</f>
        <v/>
      </c>
      <c r="CP88" s="224" t="str">
        <f>IFERROR(VLOOKUP($A88,Devengado!$A$1:$AI$9038,28,FALSE),"")</f>
        <v/>
      </c>
      <c r="CQ88" s="224" t="str">
        <f>IFERROR(VLOOKUP($A88,Devengado!$A$1:$AI$9038,29,FALSE),"")</f>
        <v/>
      </c>
      <c r="CR88" s="224" t="str">
        <f>IFERROR(VLOOKUP($A88,Devengado!$A$1:$AI$9038,30,FALSE),"")</f>
        <v/>
      </c>
      <c r="CS88" s="224" t="str">
        <f>IFERROR(VLOOKUP($A88,Devengado!$A$1:$AI$9038,31,FALSE),"")</f>
        <v/>
      </c>
      <c r="CT88" s="224" t="str">
        <f>IFERROR(VLOOKUP($A88,Devengado!$A$1:$AI$9038,32,FALSE),"")</f>
        <v/>
      </c>
      <c r="CU88" s="224" t="str">
        <f>IFERROR(VLOOKUP($A88,Devengado!$A$1:$AI$9038,33,FALSE),"")</f>
        <v/>
      </c>
      <c r="CV88" s="224">
        <f t="shared" si="33"/>
        <v>0</v>
      </c>
      <c r="CW88" s="224" t="str">
        <f t="shared" si="34"/>
        <v/>
      </c>
      <c r="CX88" s="207"/>
      <c r="CY88" s="207" t="str">
        <f t="shared" si="35"/>
        <v>53</v>
      </c>
      <c r="CZ88" s="112" t="s">
        <v>915</v>
      </c>
    </row>
    <row r="89" spans="1:104" s="225" customFormat="1" ht="33" customHeight="1">
      <c r="A89" s="207">
        <v>499</v>
      </c>
      <c r="B89" s="207"/>
      <c r="C89" s="207"/>
      <c r="D89" s="207"/>
      <c r="E89" s="207"/>
      <c r="F89" s="207"/>
      <c r="G89" s="207"/>
      <c r="H89" s="207"/>
      <c r="I89" s="207"/>
      <c r="J89" s="207"/>
      <c r="K89" s="112" t="s">
        <v>429</v>
      </c>
      <c r="L89" s="112" t="s">
        <v>850</v>
      </c>
      <c r="M89" s="112"/>
      <c r="N89" s="112" t="s">
        <v>77</v>
      </c>
      <c r="O89" s="112" t="s">
        <v>77</v>
      </c>
      <c r="P89" s="112" t="s">
        <v>76</v>
      </c>
      <c r="Q89" s="112" t="s">
        <v>77</v>
      </c>
      <c r="R89" s="112" t="s">
        <v>77</v>
      </c>
      <c r="S89" s="112" t="s">
        <v>77</v>
      </c>
      <c r="T89" s="112" t="s">
        <v>77</v>
      </c>
      <c r="U89" s="112" t="s">
        <v>77</v>
      </c>
      <c r="V89" s="112" t="s">
        <v>77</v>
      </c>
      <c r="W89" s="112" t="s">
        <v>85</v>
      </c>
      <c r="X89" s="124" t="s">
        <v>512</v>
      </c>
      <c r="Y89" s="114" t="s">
        <v>430</v>
      </c>
      <c r="Z89" s="114" t="s">
        <v>111</v>
      </c>
      <c r="AA89" s="114" t="s">
        <v>81</v>
      </c>
      <c r="AB89" s="114" t="s">
        <v>112</v>
      </c>
      <c r="AC89" s="115" t="str">
        <f t="shared" si="23"/>
        <v>53</v>
      </c>
      <c r="AD89" s="124">
        <v>530403</v>
      </c>
      <c r="AE89" s="122" t="str">
        <f>VLOOKUP(AD89,ITEM!$C$1:$D$694,2,FALSE)</f>
        <v>Mobiliarios  (Instalación, Mantenimiento y Reparación)</v>
      </c>
      <c r="AF89" s="112">
        <v>1309</v>
      </c>
      <c r="AG89" s="114" t="s">
        <v>82</v>
      </c>
      <c r="AH89" s="114" t="s">
        <v>84</v>
      </c>
      <c r="AI89" s="114" t="s">
        <v>84</v>
      </c>
      <c r="AJ89" s="114" t="s">
        <v>914</v>
      </c>
      <c r="AK89" s="114" t="s">
        <v>77</v>
      </c>
      <c r="AL89" s="271">
        <v>0</v>
      </c>
      <c r="AM89" s="272"/>
      <c r="AN89" s="272">
        <f t="shared" si="15"/>
        <v>0</v>
      </c>
      <c r="AO89" s="224">
        <f>SUMIF(Reforma!$A$2:$A$8523,$A89,Reforma!$AB$2:$AB$8523)</f>
        <v>0</v>
      </c>
      <c r="AP89" s="224">
        <f>SUMIF(Reforma!$A$2:$A$8523,$A89,Reforma!$AC$2:$AC$8523)</f>
        <v>0</v>
      </c>
      <c r="AQ89" s="224">
        <f>SUMIF(Reforma!$A$2:$A$8523,$A89,Reforma!$AD$2:$AD$8523)</f>
        <v>0</v>
      </c>
      <c r="AR89" s="224">
        <f>SUMIF(Reforma!$A$2:$A$8523,$A89,Reforma!$AE$2:$AE$8523)</f>
        <v>0</v>
      </c>
      <c r="AS89" s="224">
        <f t="shared" si="24"/>
        <v>0</v>
      </c>
      <c r="AT89" s="224">
        <f t="shared" si="25"/>
        <v>0</v>
      </c>
      <c r="AU89" s="224">
        <f t="shared" si="26"/>
        <v>0</v>
      </c>
      <c r="AV89" s="326">
        <v>0</v>
      </c>
      <c r="AW89" s="326">
        <v>0</v>
      </c>
      <c r="AX89" s="326">
        <v>0</v>
      </c>
      <c r="AY89" s="326">
        <v>0</v>
      </c>
      <c r="AZ89" s="326">
        <v>0</v>
      </c>
      <c r="BA89" s="326">
        <v>0</v>
      </c>
      <c r="BB89" s="326">
        <v>0</v>
      </c>
      <c r="BC89" s="326">
        <v>0</v>
      </c>
      <c r="BD89" s="326">
        <v>0</v>
      </c>
      <c r="BE89" s="326">
        <v>0</v>
      </c>
      <c r="BF89" s="326">
        <v>0</v>
      </c>
      <c r="BG89" s="326">
        <v>0</v>
      </c>
      <c r="BH89" s="408">
        <f t="shared" si="16"/>
        <v>0</v>
      </c>
      <c r="BI89" s="408">
        <f t="shared" si="29"/>
        <v>0</v>
      </c>
      <c r="BJ89" s="408">
        <f t="shared" si="27"/>
        <v>0</v>
      </c>
      <c r="BK89" s="224"/>
      <c r="BL89" s="224"/>
      <c r="BM89" s="224"/>
      <c r="BN89" s="224" t="str">
        <f>IFERROR(VLOOKUP($A89,'Constancias POA'!$A$2:$DH$9993,18,FALSE),"")</f>
        <v/>
      </c>
      <c r="BO89" s="224" t="str">
        <f t="shared" si="30"/>
        <v/>
      </c>
      <c r="BP89" s="224" t="str">
        <f>IFERROR(VLOOKUP($A89,CP!$A$1:$U$7992,18,FALSE),"")</f>
        <v/>
      </c>
      <c r="BQ89" s="224" t="str">
        <f>IFERROR(VLOOKUP($A89,CP!$A$1:$U$7992,19,FALSE),"")</f>
        <v/>
      </c>
      <c r="BR89" s="224" t="str">
        <f>IFERROR(VLOOKUP($A89,CP!$A$1:$U$7992,20,FALSE),"")</f>
        <v/>
      </c>
      <c r="BS89" s="224" t="str">
        <f>IFERROR(VLOOKUP($A89,CP!$A$1:$U$1,21,FALSE),"")</f>
        <v/>
      </c>
      <c r="BT89" s="224" t="str">
        <f>IFERROR(VLOOKUP(A89,Devengado!$A$1:AJ$9310,35,FALSE),"")</f>
        <v/>
      </c>
      <c r="BU89" s="224" t="str">
        <f t="shared" si="31"/>
        <v/>
      </c>
      <c r="BV89" s="224" t="str">
        <f t="shared" si="32"/>
        <v/>
      </c>
      <c r="BW89" s="224">
        <f t="shared" si="28"/>
        <v>0</v>
      </c>
      <c r="BX89" s="429">
        <v>0</v>
      </c>
      <c r="BY89" s="429">
        <v>0</v>
      </c>
      <c r="BZ89" s="429">
        <v>0</v>
      </c>
      <c r="CA89" s="429">
        <v>0</v>
      </c>
      <c r="CB89" s="429">
        <v>0</v>
      </c>
      <c r="CC89" s="429">
        <v>0</v>
      </c>
      <c r="CD89" s="429">
        <v>0</v>
      </c>
      <c r="CE89" s="429">
        <v>0</v>
      </c>
      <c r="CF89" s="429">
        <v>0</v>
      </c>
      <c r="CG89" s="429">
        <v>0</v>
      </c>
      <c r="CH89" s="429">
        <v>0</v>
      </c>
      <c r="CI89" s="429">
        <v>0</v>
      </c>
      <c r="CJ89" s="224" t="str">
        <f>IFERROR(VLOOKUP($A89,Devengado!$A$1:$AI$9038,22,FALSE),"")</f>
        <v/>
      </c>
      <c r="CK89" s="224" t="str">
        <f>IFERROR(VLOOKUP($A89,Devengado!$A$1:$AI$9038,23,FALSE),"")</f>
        <v/>
      </c>
      <c r="CL89" s="224" t="str">
        <f>IFERROR(VLOOKUP($A89,Devengado!$A$1:$AI$9038,24,FALSE),"")</f>
        <v/>
      </c>
      <c r="CM89" s="224" t="str">
        <f>IFERROR(VLOOKUP($A89,Devengado!$A$1:$AI$9038,25,FALSE),"")</f>
        <v/>
      </c>
      <c r="CN89" s="224" t="str">
        <f>IFERROR(VLOOKUP($A89,Devengado!$A$1:$AI$9038,26,FALSE),"")</f>
        <v/>
      </c>
      <c r="CO89" s="224" t="str">
        <f>IFERROR(VLOOKUP($A89,Devengado!$A$1:$AI$9038,27,FALSE),"")</f>
        <v/>
      </c>
      <c r="CP89" s="224" t="str">
        <f>IFERROR(VLOOKUP($A89,Devengado!$A$1:$AI$9038,28,FALSE),"")</f>
        <v/>
      </c>
      <c r="CQ89" s="224" t="str">
        <f>IFERROR(VLOOKUP($A89,Devengado!$A$1:$AI$9038,29,FALSE),"")</f>
        <v/>
      </c>
      <c r="CR89" s="224" t="str">
        <f>IFERROR(VLOOKUP($A89,Devengado!$A$1:$AI$9038,30,FALSE),"")</f>
        <v/>
      </c>
      <c r="CS89" s="224" t="str">
        <f>IFERROR(VLOOKUP($A89,Devengado!$A$1:$AI$9038,31,FALSE),"")</f>
        <v/>
      </c>
      <c r="CT89" s="224" t="str">
        <f>IFERROR(VLOOKUP($A89,Devengado!$A$1:$AI$9038,32,FALSE),"")</f>
        <v/>
      </c>
      <c r="CU89" s="224" t="str">
        <f>IFERROR(VLOOKUP($A89,Devengado!$A$1:$AI$9038,33,FALSE),"")</f>
        <v/>
      </c>
      <c r="CV89" s="224">
        <f t="shared" si="33"/>
        <v>0</v>
      </c>
      <c r="CW89" s="224" t="str">
        <f t="shared" si="34"/>
        <v/>
      </c>
      <c r="CX89" s="207"/>
      <c r="CY89" s="207" t="str">
        <f t="shared" si="35"/>
        <v>53</v>
      </c>
      <c r="CZ89" s="112" t="s">
        <v>915</v>
      </c>
    </row>
    <row r="90" spans="1:104" s="225" customFormat="1" ht="25.5" customHeight="1">
      <c r="A90" s="207">
        <v>731</v>
      </c>
      <c r="B90" s="207"/>
      <c r="C90" s="207"/>
      <c r="D90" s="207"/>
      <c r="E90" s="207"/>
      <c r="F90" s="207"/>
      <c r="G90" s="207"/>
      <c r="H90" s="207"/>
      <c r="I90" s="207"/>
      <c r="J90" s="207"/>
      <c r="K90" s="112" t="s">
        <v>429</v>
      </c>
      <c r="L90" s="112" t="s">
        <v>850</v>
      </c>
      <c r="M90" s="112" t="s">
        <v>850</v>
      </c>
      <c r="N90" s="112" t="s">
        <v>77</v>
      </c>
      <c r="O90" s="112" t="s">
        <v>77</v>
      </c>
      <c r="P90" s="112" t="s">
        <v>76</v>
      </c>
      <c r="Q90" s="112" t="s">
        <v>77</v>
      </c>
      <c r="R90" s="112" t="s">
        <v>77</v>
      </c>
      <c r="S90" s="112" t="s">
        <v>77</v>
      </c>
      <c r="T90" s="112" t="s">
        <v>77</v>
      </c>
      <c r="U90" s="112" t="s">
        <v>77</v>
      </c>
      <c r="V90" s="112" t="s">
        <v>77</v>
      </c>
      <c r="W90" s="112" t="s">
        <v>85</v>
      </c>
      <c r="X90" s="207" t="s">
        <v>252</v>
      </c>
      <c r="Y90" s="114" t="s">
        <v>430</v>
      </c>
      <c r="Z90" s="114" t="s">
        <v>111</v>
      </c>
      <c r="AA90" s="114" t="s">
        <v>81</v>
      </c>
      <c r="AB90" s="114" t="s">
        <v>112</v>
      </c>
      <c r="AC90" s="115" t="str">
        <f t="shared" ref="AC90:AC95" si="36">LEFT(AD90,2)</f>
        <v>51</v>
      </c>
      <c r="AD90" s="269">
        <v>510512</v>
      </c>
      <c r="AE90" s="122" t="str">
        <f>VLOOKUP(AD90,ITEM!$C$1:$D$694,2,FALSE)</f>
        <v>Subrogación</v>
      </c>
      <c r="AF90" s="112">
        <v>1300</v>
      </c>
      <c r="AG90" s="114" t="s">
        <v>82</v>
      </c>
      <c r="AH90" s="114" t="s">
        <v>84</v>
      </c>
      <c r="AI90" s="114" t="s">
        <v>84</v>
      </c>
      <c r="AJ90" s="114" t="s">
        <v>914</v>
      </c>
      <c r="AK90" s="114" t="s">
        <v>77</v>
      </c>
      <c r="AL90" s="272">
        <v>0</v>
      </c>
      <c r="AM90" s="272">
        <v>0</v>
      </c>
      <c r="AN90" s="272">
        <v>0</v>
      </c>
      <c r="AO90" s="207">
        <f>SUMIF(Reforma!$A$2:$A$8523,$A90,Reforma!$AB$2:$AB$8523)</f>
        <v>5707.83</v>
      </c>
      <c r="AP90" s="207">
        <f>SUMIF(Reforma!$A$2:$A$8523,$A90,Reforma!$AC$2:$AC$8523)</f>
        <v>-507.83</v>
      </c>
      <c r="AQ90" s="207">
        <f>SUMIF(Reforma!$A$2:$A$8523,$A90,Reforma!$AD$2:$AD$8523)</f>
        <v>0</v>
      </c>
      <c r="AR90" s="207">
        <f>SUMIF(Reforma!$A$2:$A$8523,$A90,Reforma!$AE$2:$AE$8523)</f>
        <v>0</v>
      </c>
      <c r="AS90" s="298">
        <f t="shared" ref="AS90:AS94" si="37">+AL90+AO90+AP90</f>
        <v>5200</v>
      </c>
      <c r="AT90" s="298">
        <f t="shared" ref="AT90:AT94" si="38">+AM90+AQ90+AR90</f>
        <v>0</v>
      </c>
      <c r="AU90" s="207">
        <f t="shared" ref="AU90:AU94" si="39">IFERROR(AS90+AT90,"")</f>
        <v>5200</v>
      </c>
      <c r="AV90" s="502"/>
      <c r="AW90" s="502"/>
      <c r="AX90" s="502"/>
      <c r="AY90" s="502"/>
      <c r="AZ90" s="481"/>
      <c r="BA90" s="502"/>
      <c r="BB90" s="502">
        <v>1246</v>
      </c>
      <c r="BC90" s="502"/>
      <c r="BD90" s="502">
        <v>1138.5</v>
      </c>
      <c r="BE90" s="502">
        <v>938.5</v>
      </c>
      <c r="BF90" s="502">
        <v>938.5</v>
      </c>
      <c r="BG90" s="502">
        <v>938.5</v>
      </c>
      <c r="BH90" s="408"/>
      <c r="BI90" s="408">
        <f t="shared" ref="BI90:BI95" si="40">SUM(AV90:BG90)</f>
        <v>5200</v>
      </c>
      <c r="BJ90" s="408">
        <f t="shared" ref="BJ90:BJ94" si="41">+BI90-AU90</f>
        <v>0</v>
      </c>
      <c r="BK90" s="207"/>
      <c r="BL90" s="207"/>
      <c r="BM90" s="207"/>
      <c r="BN90" s="224" t="str">
        <f>IFERROR(VLOOKUP($A90,'Constancias POA'!$A$2:$DH$9993,18,FALSE),"")</f>
        <v/>
      </c>
      <c r="BO90" s="224" t="str">
        <f t="shared" ref="BO90:BO94" si="42">IFERROR(AU90-BN90,"")</f>
        <v/>
      </c>
      <c r="BP90" s="224">
        <f>IFERROR(VLOOKUP($A90,CP!$A$1:$U$7992,18,FALSE),"")</f>
        <v>0</v>
      </c>
      <c r="BQ90" s="224">
        <f>IFERROR(VLOOKUP($A90,CP!$A$1:$U$7992,19,FALSE),"")</f>
        <v>3357.21</v>
      </c>
      <c r="BR90" s="224">
        <f>IFERROR(VLOOKUP($A90,CP!$A$1:$U$7992,20,FALSE),"")</f>
        <v>0</v>
      </c>
      <c r="BS90" s="224" t="str">
        <f>IFERROR(VLOOKUP($A90,CP!$A$1:$U$1,21,FALSE),"")</f>
        <v/>
      </c>
      <c r="BT90" s="224">
        <f>IFERROR(VLOOKUP(A90,Devengado!$A$1:AJ$9310,35,FALSE),"")</f>
        <v>3357.21</v>
      </c>
      <c r="BU90" s="224">
        <f t="shared" ref="BU90:BU94" si="43">IFERROR((AU90-BT90),"")</f>
        <v>1842.79</v>
      </c>
      <c r="BV90" s="224">
        <f t="shared" ref="BV90:BV94" si="44">IFERROR(BT90/BW90,"")</f>
        <v>0.64561730769230774</v>
      </c>
      <c r="BW90" s="224">
        <f t="shared" ref="BW90:BW95" si="45">AU90</f>
        <v>5200</v>
      </c>
      <c r="BX90" s="296"/>
      <c r="BY90" s="296"/>
      <c r="BZ90" s="296"/>
      <c r="CA90" s="296"/>
      <c r="CB90" s="296"/>
      <c r="CC90" s="296"/>
      <c r="CD90" s="296">
        <v>507.83</v>
      </c>
      <c r="CE90" s="296"/>
      <c r="CF90" s="296"/>
      <c r="CG90" s="296"/>
      <c r="CH90" s="296"/>
      <c r="CI90" s="296"/>
      <c r="CJ90" s="224">
        <f>IFERROR(VLOOKUP($A90,Devengado!$A$1:$AI$9038,22,FALSE),"")</f>
        <v>0</v>
      </c>
      <c r="CK90" s="224">
        <f>IFERROR(VLOOKUP($A90,Devengado!$A$1:$AI$9038,23,FALSE),"")</f>
        <v>0</v>
      </c>
      <c r="CL90" s="224">
        <f>IFERROR(VLOOKUP($A90,Devengado!$A$1:$AI$9038,24,FALSE),"")</f>
        <v>0</v>
      </c>
      <c r="CM90" s="224">
        <f>IFERROR(VLOOKUP($A90,Devengado!$A$1:$AI$9038,25,FALSE),"")</f>
        <v>0</v>
      </c>
      <c r="CN90" s="224">
        <f>IFERROR(VLOOKUP($A90,Devengado!$A$1:$AI$9038,26,FALSE),"")</f>
        <v>0</v>
      </c>
      <c r="CO90" s="224">
        <f>IFERROR(VLOOKUP($A90,Devengado!$A$1:$AI$9038,27,FALSE),"")</f>
        <v>0</v>
      </c>
      <c r="CP90" s="224">
        <f>IFERROR(VLOOKUP($A90,Devengado!$A$1:$AI$9038,28,FALSE),"")</f>
        <v>0</v>
      </c>
      <c r="CQ90" s="224">
        <f>IFERROR(VLOOKUP($A90,Devengado!$A$1:$AI$9038,29,FALSE),"")</f>
        <v>1246</v>
      </c>
      <c r="CR90" s="224">
        <f>IFERROR(VLOOKUP($A90,Devengado!$A$1:$AI$9038,30,FALSE),"")</f>
        <v>1305.3399999999999</v>
      </c>
      <c r="CS90" s="224">
        <f>IFERROR(VLOOKUP($A90,Devengado!$A$1:$AI$9038,31,FALSE),"")</f>
        <v>0</v>
      </c>
      <c r="CT90" s="224">
        <f>IFERROR(VLOOKUP($A90,Devengado!$A$1:$AI$9038,32,FALSE),"")</f>
        <v>0</v>
      </c>
      <c r="CU90" s="224">
        <f>IFERROR(VLOOKUP($A90,Devengado!$A$1:$AI$9038,33,FALSE),"")</f>
        <v>805.87</v>
      </c>
      <c r="CV90" s="224">
        <f t="shared" ref="CV90:CV94" si="46">SUM(CJ90:CU90)</f>
        <v>3357.21</v>
      </c>
      <c r="CW90" s="224">
        <f t="shared" ref="CW90:CW94" si="47">IFERROR(CV90-BT90,"")</f>
        <v>0</v>
      </c>
      <c r="CX90" s="207"/>
      <c r="CY90" s="207" t="str">
        <f t="shared" ref="CY90:CY94" si="48">LEFT(AC90,4)</f>
        <v>51</v>
      </c>
      <c r="CZ90" s="112" t="s">
        <v>915</v>
      </c>
    </row>
    <row r="91" spans="1:104" s="225" customFormat="1" ht="25.5" customHeight="1">
      <c r="A91" s="207">
        <v>732</v>
      </c>
      <c r="B91" s="207"/>
      <c r="C91" s="207"/>
      <c r="D91" s="207"/>
      <c r="E91" s="207"/>
      <c r="F91" s="207"/>
      <c r="G91" s="207"/>
      <c r="H91" s="207"/>
      <c r="I91" s="207"/>
      <c r="J91" s="207"/>
      <c r="K91" s="207" t="s">
        <v>429</v>
      </c>
      <c r="L91" s="207" t="s">
        <v>850</v>
      </c>
      <c r="M91" s="207" t="s">
        <v>850</v>
      </c>
      <c r="N91" s="207" t="s">
        <v>77</v>
      </c>
      <c r="O91" s="207" t="s">
        <v>77</v>
      </c>
      <c r="P91" s="207" t="s">
        <v>76</v>
      </c>
      <c r="Q91" s="207" t="s">
        <v>77</v>
      </c>
      <c r="R91" s="207" t="s">
        <v>77</v>
      </c>
      <c r="S91" s="207" t="s">
        <v>77</v>
      </c>
      <c r="T91" s="207" t="s">
        <v>77</v>
      </c>
      <c r="U91" s="207" t="s">
        <v>77</v>
      </c>
      <c r="V91" s="207" t="s">
        <v>77</v>
      </c>
      <c r="W91" s="207" t="s">
        <v>87</v>
      </c>
      <c r="X91" s="207" t="s">
        <v>708</v>
      </c>
      <c r="Y91" s="114" t="s">
        <v>430</v>
      </c>
      <c r="Z91" s="114" t="s">
        <v>111</v>
      </c>
      <c r="AA91" s="114" t="s">
        <v>81</v>
      </c>
      <c r="AB91" s="114" t="s">
        <v>112</v>
      </c>
      <c r="AC91" s="115" t="str">
        <f t="shared" si="36"/>
        <v>53</v>
      </c>
      <c r="AD91" s="269">
        <v>530105</v>
      </c>
      <c r="AE91" s="207" t="str">
        <f>VLOOKUP(AD91,ITEM!$C$1:$D$694,2,FALSE)</f>
        <v>Telecomunicaciones</v>
      </c>
      <c r="AF91" s="221">
        <v>1309</v>
      </c>
      <c r="AG91" s="207" t="s">
        <v>82</v>
      </c>
      <c r="AH91" s="207" t="s">
        <v>84</v>
      </c>
      <c r="AI91" s="207" t="s">
        <v>84</v>
      </c>
      <c r="AJ91" s="114" t="s">
        <v>914</v>
      </c>
      <c r="AK91" s="114" t="s">
        <v>77</v>
      </c>
      <c r="AL91" s="272">
        <v>0</v>
      </c>
      <c r="AM91" s="272">
        <v>0</v>
      </c>
      <c r="AN91" s="272">
        <v>0</v>
      </c>
      <c r="AO91" s="207">
        <f>SUMIF(Reforma!$A$2:$A$8523,$A91,Reforma!$AB$2:$AB$8523)</f>
        <v>1600</v>
      </c>
      <c r="AP91" s="207">
        <f>SUMIF(Reforma!$A$2:$A$8523,$A91,Reforma!$AC$2:$AC$8523)</f>
        <v>-405.23</v>
      </c>
      <c r="AQ91" s="207">
        <f>SUMIF(Reforma!$A$2:$A$8523,$A91,Reforma!$AD$2:$AD$8523)</f>
        <v>0</v>
      </c>
      <c r="AR91" s="207">
        <f>SUMIF(Reforma!$A$2:$A$8523,$A91,Reforma!$AE$2:$AE$8523)</f>
        <v>0</v>
      </c>
      <c r="AS91" s="298">
        <f t="shared" si="37"/>
        <v>1194.77</v>
      </c>
      <c r="AT91" s="298">
        <f t="shared" si="38"/>
        <v>0</v>
      </c>
      <c r="AU91" s="207">
        <f t="shared" si="39"/>
        <v>1194.77</v>
      </c>
      <c r="AV91" s="408"/>
      <c r="AW91" s="326"/>
      <c r="AX91" s="326">
        <v>1194.77</v>
      </c>
      <c r="AY91" s="326"/>
      <c r="AZ91" s="326"/>
      <c r="BA91" s="326"/>
      <c r="BB91" s="326"/>
      <c r="BC91" s="326"/>
      <c r="BD91" s="326"/>
      <c r="BE91" s="326"/>
      <c r="BF91" s="326"/>
      <c r="BG91" s="326"/>
      <c r="BH91" s="408"/>
      <c r="BI91" s="408">
        <f t="shared" si="40"/>
        <v>1194.77</v>
      </c>
      <c r="BJ91" s="408">
        <f t="shared" si="41"/>
        <v>0</v>
      </c>
      <c r="BK91" s="207"/>
      <c r="BL91" s="207"/>
      <c r="BM91" s="207"/>
      <c r="BN91" s="224">
        <f>IFERROR(VLOOKUP($A91,'Constancias POA'!$A$2:$DH$9993,18,FALSE),"")</f>
        <v>1194.77</v>
      </c>
      <c r="BO91" s="224">
        <f t="shared" si="42"/>
        <v>0</v>
      </c>
      <c r="BP91" s="224">
        <f>IFERROR(VLOOKUP($A91,CP!$A$1:$U$7992,18,FALSE),"")</f>
        <v>0</v>
      </c>
      <c r="BQ91" s="224">
        <f>IFERROR(VLOOKUP($A91,CP!$A$1:$U$7992,19,FALSE),"")</f>
        <v>1194.77</v>
      </c>
      <c r="BR91" s="224">
        <f>IFERROR(VLOOKUP($A91,CP!$A$1:$U$7992,20,FALSE),"")</f>
        <v>0</v>
      </c>
      <c r="BS91" s="224" t="str">
        <f>IFERROR(VLOOKUP($A91,CP!$A$1:$U$1,21,FALSE),"")</f>
        <v/>
      </c>
      <c r="BT91" s="224">
        <f>IFERROR(VLOOKUP(A91,Devengado!$A$1:AJ$9310,35,FALSE),"")</f>
        <v>1066.76</v>
      </c>
      <c r="BU91" s="224">
        <f t="shared" si="43"/>
        <v>128.01</v>
      </c>
      <c r="BV91" s="224">
        <f t="shared" si="44"/>
        <v>0.89285803962268884</v>
      </c>
      <c r="BW91" s="224">
        <f t="shared" si="45"/>
        <v>1194.77</v>
      </c>
      <c r="BX91" s="296"/>
      <c r="BY91" s="296"/>
      <c r="BZ91" s="296"/>
      <c r="CA91" s="296"/>
      <c r="CB91" s="296"/>
      <c r="CC91" s="296"/>
      <c r="CD91" s="296"/>
      <c r="CE91" s="296"/>
      <c r="CF91" s="296"/>
      <c r="CG91" s="296"/>
      <c r="CH91" s="296"/>
      <c r="CI91" s="296"/>
      <c r="CJ91" s="224">
        <f>IFERROR(VLOOKUP($A91,Devengado!$A$1:$AI$9038,22,FALSE),"")</f>
        <v>0</v>
      </c>
      <c r="CK91" s="224">
        <f>IFERROR(VLOOKUP($A91,Devengado!$A$1:$AI$9038,23,FALSE),"")</f>
        <v>0</v>
      </c>
      <c r="CL91" s="224">
        <f>IFERROR(VLOOKUP($A91,Devengado!$A$1:$AI$9038,24,FALSE),"")</f>
        <v>1066.76</v>
      </c>
      <c r="CM91" s="224">
        <f>IFERROR(VLOOKUP($A91,Devengado!$A$1:$AI$9038,25,FALSE),"")</f>
        <v>0</v>
      </c>
      <c r="CN91" s="224">
        <f>IFERROR(VLOOKUP($A91,Devengado!$A$1:$AI$9038,26,FALSE),"")</f>
        <v>0</v>
      </c>
      <c r="CO91" s="224">
        <f>IFERROR(VLOOKUP($A91,Devengado!$A$1:$AI$9038,27,FALSE),"")</f>
        <v>0</v>
      </c>
      <c r="CP91" s="224">
        <f>IFERROR(VLOOKUP($A91,Devengado!$A$1:$AI$9038,28,FALSE),"")</f>
        <v>0</v>
      </c>
      <c r="CQ91" s="224">
        <f>IFERROR(VLOOKUP($A91,Devengado!$A$1:$AI$9038,29,FALSE),"")</f>
        <v>0</v>
      </c>
      <c r="CR91" s="224">
        <f>IFERROR(VLOOKUP($A91,Devengado!$A$1:$AI$9038,30,FALSE),"")</f>
        <v>0</v>
      </c>
      <c r="CS91" s="224">
        <f>IFERROR(VLOOKUP($A91,Devengado!$A$1:$AI$9038,31,FALSE),"")</f>
        <v>0</v>
      </c>
      <c r="CT91" s="224">
        <f>IFERROR(VLOOKUP($A91,Devengado!$A$1:$AI$9038,32,FALSE),"")</f>
        <v>0</v>
      </c>
      <c r="CU91" s="224">
        <f>IFERROR(VLOOKUP($A91,Devengado!$A$1:$AI$9038,33,FALSE),"")</f>
        <v>0</v>
      </c>
      <c r="CV91" s="224">
        <f t="shared" si="46"/>
        <v>1066.76</v>
      </c>
      <c r="CW91" s="224">
        <f t="shared" si="47"/>
        <v>0</v>
      </c>
      <c r="CX91" s="207"/>
      <c r="CY91" s="207" t="str">
        <f t="shared" si="48"/>
        <v>53</v>
      </c>
      <c r="CZ91" s="112" t="s">
        <v>916</v>
      </c>
    </row>
    <row r="92" spans="1:104" s="225" customFormat="1" ht="25.5" customHeight="1">
      <c r="A92" s="207">
        <v>733</v>
      </c>
      <c r="B92" s="207"/>
      <c r="C92" s="207"/>
      <c r="D92" s="207"/>
      <c r="E92" s="207"/>
      <c r="F92" s="207"/>
      <c r="G92" s="207"/>
      <c r="H92" s="207"/>
      <c r="I92" s="207"/>
      <c r="J92" s="207"/>
      <c r="K92" s="207" t="s">
        <v>429</v>
      </c>
      <c r="L92" s="207" t="s">
        <v>850</v>
      </c>
      <c r="M92" s="207" t="s">
        <v>850</v>
      </c>
      <c r="N92" s="207" t="s">
        <v>77</v>
      </c>
      <c r="O92" s="207" t="s">
        <v>77</v>
      </c>
      <c r="P92" s="207" t="s">
        <v>76</v>
      </c>
      <c r="Q92" s="207" t="s">
        <v>77</v>
      </c>
      <c r="R92" s="207" t="s">
        <v>77</v>
      </c>
      <c r="S92" s="207" t="s">
        <v>77</v>
      </c>
      <c r="T92" s="207" t="s">
        <v>77</v>
      </c>
      <c r="U92" s="207" t="s">
        <v>77</v>
      </c>
      <c r="V92" s="207" t="s">
        <v>77</v>
      </c>
      <c r="W92" s="207" t="s">
        <v>85</v>
      </c>
      <c r="X92" s="207" t="s">
        <v>709</v>
      </c>
      <c r="Y92" s="114" t="s">
        <v>430</v>
      </c>
      <c r="Z92" s="114" t="s">
        <v>111</v>
      </c>
      <c r="AA92" s="114" t="s">
        <v>81</v>
      </c>
      <c r="AB92" s="114" t="s">
        <v>112</v>
      </c>
      <c r="AC92" s="115" t="str">
        <f t="shared" si="36"/>
        <v>53</v>
      </c>
      <c r="AD92" s="269">
        <v>530104</v>
      </c>
      <c r="AE92" s="207" t="str">
        <f>VLOOKUP(AD92,ITEM!$C$1:$D$694,2,FALSE)</f>
        <v>Energía Eléctrica</v>
      </c>
      <c r="AF92" s="221">
        <v>1308</v>
      </c>
      <c r="AG92" s="207" t="s">
        <v>82</v>
      </c>
      <c r="AH92" s="207" t="s">
        <v>84</v>
      </c>
      <c r="AI92" s="207" t="s">
        <v>84</v>
      </c>
      <c r="AJ92" s="114" t="s">
        <v>914</v>
      </c>
      <c r="AK92" s="114" t="s">
        <v>77</v>
      </c>
      <c r="AL92" s="272">
        <v>0</v>
      </c>
      <c r="AM92" s="272">
        <v>0</v>
      </c>
      <c r="AN92" s="272">
        <v>0</v>
      </c>
      <c r="AO92" s="207">
        <f>SUMIF(Reforma!$A$2:$A$8523,$A92,Reforma!$AB$2:$AB$8523)</f>
        <v>14999.67</v>
      </c>
      <c r="AP92" s="207">
        <f>SUMIF(Reforma!$A$2:$A$8523,$A92,Reforma!$AC$2:$AC$8523)</f>
        <v>0</v>
      </c>
      <c r="AQ92" s="207">
        <f>SUMIF(Reforma!$A$2:$A$8523,$A92,Reforma!$AD$2:$AD$8523)</f>
        <v>0</v>
      </c>
      <c r="AR92" s="207">
        <f>SUMIF(Reforma!$A$2:$A$8523,$A92,Reforma!$AE$2:$AE$8523)</f>
        <v>0</v>
      </c>
      <c r="AS92" s="298">
        <f t="shared" si="37"/>
        <v>14999.67</v>
      </c>
      <c r="AT92" s="298">
        <f t="shared" si="38"/>
        <v>0</v>
      </c>
      <c r="AU92" s="207">
        <f t="shared" si="39"/>
        <v>14999.67</v>
      </c>
      <c r="AV92" s="462"/>
      <c r="AW92" s="462"/>
      <c r="AX92" s="462">
        <v>1062.32</v>
      </c>
      <c r="AY92" s="462"/>
      <c r="AZ92" s="462">
        <v>2736.39</v>
      </c>
      <c r="BA92" s="462"/>
      <c r="BB92" s="462">
        <v>1479.79</v>
      </c>
      <c r="BC92" s="462">
        <v>782.11</v>
      </c>
      <c r="BD92" s="462"/>
      <c r="BE92" s="462"/>
      <c r="BF92" s="462"/>
      <c r="BG92" s="462">
        <v>8939.06</v>
      </c>
      <c r="BH92" s="408"/>
      <c r="BI92" s="408">
        <f t="shared" si="40"/>
        <v>14999.669999999998</v>
      </c>
      <c r="BJ92" s="408">
        <f t="shared" si="41"/>
        <v>0</v>
      </c>
      <c r="BK92" s="207"/>
      <c r="BL92" s="207"/>
      <c r="BM92" s="207"/>
      <c r="BN92" s="224">
        <f>IFERROR(VLOOKUP($A92,'Constancias POA'!$A$2:$DH$9993,18,FALSE),"")</f>
        <v>14500</v>
      </c>
      <c r="BO92" s="224">
        <f t="shared" si="42"/>
        <v>499.67000000000007</v>
      </c>
      <c r="BP92" s="224">
        <f>IFERROR(VLOOKUP($A92,CP!$A$1:$U$7992,18,FALSE),"")</f>
        <v>8938.76</v>
      </c>
      <c r="BQ92" s="224">
        <f>IFERROR(VLOOKUP($A92,CP!$A$1:$U$7992,19,FALSE),"")</f>
        <v>14500</v>
      </c>
      <c r="BR92" s="224">
        <f>IFERROR(VLOOKUP($A92,CP!$A$1:$U$7992,20,FALSE),"")</f>
        <v>499.67</v>
      </c>
      <c r="BS92" s="224" t="str">
        <f>IFERROR(VLOOKUP($A92,CP!$A$1:$U$1,21,FALSE),"")</f>
        <v/>
      </c>
      <c r="BT92" s="224">
        <f>IFERROR(VLOOKUP(A92,Devengado!$A$1:AJ$9310,35,FALSE),"")</f>
        <v>8388.9699999999993</v>
      </c>
      <c r="BU92" s="224">
        <f t="shared" si="43"/>
        <v>6610.7000000000007</v>
      </c>
      <c r="BV92" s="224">
        <f t="shared" si="44"/>
        <v>0.55927697076002336</v>
      </c>
      <c r="BW92" s="224">
        <f t="shared" si="45"/>
        <v>14999.67</v>
      </c>
      <c r="BX92" s="296"/>
      <c r="BY92" s="296"/>
      <c r="BZ92" s="296"/>
      <c r="CA92" s="296"/>
      <c r="CB92" s="296"/>
      <c r="CC92" s="296"/>
      <c r="CD92" s="296"/>
      <c r="CE92" s="296"/>
      <c r="CF92" s="296"/>
      <c r="CG92" s="296"/>
      <c r="CH92" s="296"/>
      <c r="CI92" s="296"/>
      <c r="CJ92" s="224">
        <f>IFERROR(VLOOKUP($A92,Devengado!$A$1:$AI$9038,22,FALSE),"")</f>
        <v>0</v>
      </c>
      <c r="CK92" s="224">
        <f>IFERROR(VLOOKUP($A92,Devengado!$A$1:$AI$9038,23,FALSE),"")</f>
        <v>0</v>
      </c>
      <c r="CL92" s="224">
        <f>IFERROR(VLOOKUP($A92,Devengado!$A$1:$AI$9038,24,FALSE),"")</f>
        <v>1062.32</v>
      </c>
      <c r="CM92" s="224">
        <f>IFERROR(VLOOKUP($A92,Devengado!$A$1:$AI$9038,25,FALSE),"")</f>
        <v>0</v>
      </c>
      <c r="CN92" s="224">
        <f>IFERROR(VLOOKUP($A92,Devengado!$A$1:$AI$9038,26,FALSE),"")</f>
        <v>2736.69</v>
      </c>
      <c r="CO92" s="224">
        <f>IFERROR(VLOOKUP($A92,Devengado!$A$1:$AI$9038,27,FALSE),"")</f>
        <v>0</v>
      </c>
      <c r="CP92" s="224">
        <f>IFERROR(VLOOKUP($A92,Devengado!$A$1:$AI$9038,28,FALSE),"")</f>
        <v>1479.79</v>
      </c>
      <c r="CQ92" s="224">
        <f>IFERROR(VLOOKUP($A92,Devengado!$A$1:$AI$9038,29,FALSE),"")</f>
        <v>782.11</v>
      </c>
      <c r="CR92" s="224">
        <f>IFERROR(VLOOKUP($A92,Devengado!$A$1:$AI$9038,30,FALSE),"")</f>
        <v>0</v>
      </c>
      <c r="CS92" s="224">
        <f>IFERROR(VLOOKUP($A92,Devengado!$A$1:$AI$9038,31,FALSE),"")</f>
        <v>0</v>
      </c>
      <c r="CT92" s="224">
        <f>IFERROR(VLOOKUP($A92,Devengado!$A$1:$AI$9038,32,FALSE),"")</f>
        <v>2328.06</v>
      </c>
      <c r="CU92" s="224">
        <f>IFERROR(VLOOKUP($A92,Devengado!$A$1:$AI$9038,33,FALSE),"")</f>
        <v>0</v>
      </c>
      <c r="CV92" s="224">
        <f t="shared" si="46"/>
        <v>8388.9699999999993</v>
      </c>
      <c r="CW92" s="224">
        <f t="shared" si="47"/>
        <v>0</v>
      </c>
      <c r="CX92" s="207"/>
      <c r="CY92" s="207" t="str">
        <f t="shared" si="48"/>
        <v>53</v>
      </c>
      <c r="CZ92" s="112" t="s">
        <v>916</v>
      </c>
    </row>
    <row r="93" spans="1:104" s="225" customFormat="1" ht="25.5" customHeight="1">
      <c r="A93" s="207">
        <v>734</v>
      </c>
      <c r="B93" s="207"/>
      <c r="C93" s="207"/>
      <c r="D93" s="207"/>
      <c r="E93" s="207"/>
      <c r="F93" s="207"/>
      <c r="G93" s="207"/>
      <c r="H93" s="207"/>
      <c r="I93" s="207"/>
      <c r="J93" s="207"/>
      <c r="K93" s="207" t="s">
        <v>429</v>
      </c>
      <c r="L93" s="207" t="s">
        <v>850</v>
      </c>
      <c r="M93" s="207" t="s">
        <v>850</v>
      </c>
      <c r="N93" s="207" t="s">
        <v>77</v>
      </c>
      <c r="O93" s="207" t="s">
        <v>77</v>
      </c>
      <c r="P93" s="207" t="s">
        <v>76</v>
      </c>
      <c r="Q93" s="207" t="s">
        <v>77</v>
      </c>
      <c r="R93" s="207" t="s">
        <v>77</v>
      </c>
      <c r="S93" s="207" t="s">
        <v>77</v>
      </c>
      <c r="T93" s="207" t="s">
        <v>77</v>
      </c>
      <c r="U93" s="207" t="s">
        <v>77</v>
      </c>
      <c r="V93" s="207" t="s">
        <v>77</v>
      </c>
      <c r="W93" s="207" t="s">
        <v>85</v>
      </c>
      <c r="X93" s="207" t="s">
        <v>710</v>
      </c>
      <c r="Y93" s="114" t="s">
        <v>430</v>
      </c>
      <c r="Z93" s="114" t="s">
        <v>111</v>
      </c>
      <c r="AA93" s="114" t="s">
        <v>81</v>
      </c>
      <c r="AB93" s="114" t="s">
        <v>112</v>
      </c>
      <c r="AC93" s="115" t="str">
        <f t="shared" si="36"/>
        <v>53</v>
      </c>
      <c r="AD93" s="269">
        <v>530255</v>
      </c>
      <c r="AE93" s="207" t="str">
        <f>VLOOKUP(AD93,ITEM!$C$1:$D$694,2,FALSE)</f>
        <v>Combustibles</v>
      </c>
      <c r="AF93" s="221">
        <v>1309</v>
      </c>
      <c r="AG93" s="207" t="s">
        <v>82</v>
      </c>
      <c r="AH93" s="207" t="s">
        <v>84</v>
      </c>
      <c r="AI93" s="207" t="s">
        <v>84</v>
      </c>
      <c r="AJ93" s="114" t="s">
        <v>914</v>
      </c>
      <c r="AK93" s="114" t="s">
        <v>77</v>
      </c>
      <c r="AL93" s="272">
        <v>0</v>
      </c>
      <c r="AM93" s="272">
        <v>0</v>
      </c>
      <c r="AN93" s="272">
        <v>0</v>
      </c>
      <c r="AO93" s="207">
        <f>SUMIF(Reforma!$A$2:$A$8523,$A93,Reforma!$AB$2:$AB$8523)</f>
        <v>6659.36</v>
      </c>
      <c r="AP93" s="207">
        <f>SUMIF(Reforma!$A$2:$A$8523,$A93,Reforma!$AC$2:$AC$8523)</f>
        <v>0</v>
      </c>
      <c r="AQ93" s="207">
        <f>SUMIF(Reforma!$A$2:$A$8523,$A93,Reforma!$AD$2:$AD$8523)</f>
        <v>0</v>
      </c>
      <c r="AR93" s="207">
        <f>SUMIF(Reforma!$A$2:$A$8523,$A93,Reforma!$AE$2:$AE$8523)</f>
        <v>0</v>
      </c>
      <c r="AS93" s="298">
        <f t="shared" si="37"/>
        <v>6659.36</v>
      </c>
      <c r="AT93" s="298">
        <f t="shared" si="38"/>
        <v>0</v>
      </c>
      <c r="AU93" s="207">
        <f t="shared" si="39"/>
        <v>6659.36</v>
      </c>
      <c r="AV93" s="408"/>
      <c r="AW93" s="326">
        <v>605.39</v>
      </c>
      <c r="AX93" s="326">
        <v>605.39</v>
      </c>
      <c r="AY93" s="326">
        <v>605.39</v>
      </c>
      <c r="AZ93" s="326">
        <v>605.39</v>
      </c>
      <c r="BA93" s="326">
        <v>605.39</v>
      </c>
      <c r="BB93" s="326">
        <v>605.39</v>
      </c>
      <c r="BC93" s="326">
        <v>605.39</v>
      </c>
      <c r="BD93" s="326">
        <v>605.39</v>
      </c>
      <c r="BE93" s="326">
        <v>605.39</v>
      </c>
      <c r="BF93" s="326">
        <v>605.39</v>
      </c>
      <c r="BG93" s="326">
        <v>605.46</v>
      </c>
      <c r="BH93" s="408"/>
      <c r="BI93" s="408">
        <f t="shared" si="40"/>
        <v>6659.3600000000006</v>
      </c>
      <c r="BJ93" s="408">
        <f t="shared" si="41"/>
        <v>0</v>
      </c>
      <c r="BK93" s="207"/>
      <c r="BL93" s="207"/>
      <c r="BM93" s="207"/>
      <c r="BN93" s="224">
        <f>IFERROR(VLOOKUP($A93,'Constancias POA'!$A$2:$DH$9993,18,FALSE),"")</f>
        <v>6659.36</v>
      </c>
      <c r="BO93" s="224">
        <f t="shared" si="42"/>
        <v>0</v>
      </c>
      <c r="BP93" s="224">
        <f>IFERROR(VLOOKUP($A93,CP!$A$1:$U$7992,18,FALSE),"")</f>
        <v>6659.36</v>
      </c>
      <c r="BQ93" s="224">
        <f>IFERROR(VLOOKUP($A93,CP!$A$1:$U$7992,19,FALSE),"")</f>
        <v>6659.36</v>
      </c>
      <c r="BR93" s="224">
        <f>IFERROR(VLOOKUP($A93,CP!$A$1:$U$7992,20,FALSE),"")</f>
        <v>0</v>
      </c>
      <c r="BS93" s="224" t="str">
        <f>IFERROR(VLOOKUP($A93,CP!$A$1:$U$1,21,FALSE),"")</f>
        <v/>
      </c>
      <c r="BT93" s="224">
        <f>IFERROR(VLOOKUP(A93,Devengado!$A$1:AJ$9310,35,FALSE),"")</f>
        <v>3278.5299999999997</v>
      </c>
      <c r="BU93" s="224">
        <f t="shared" si="43"/>
        <v>3380.83</v>
      </c>
      <c r="BV93" s="224">
        <f t="shared" si="44"/>
        <v>0.49231908171355804</v>
      </c>
      <c r="BW93" s="224">
        <f t="shared" si="45"/>
        <v>6659.36</v>
      </c>
      <c r="BX93" s="296"/>
      <c r="BY93" s="296"/>
      <c r="BZ93" s="296"/>
      <c r="CA93" s="296"/>
      <c r="CB93" s="296"/>
      <c r="CC93" s="296"/>
      <c r="CD93" s="296"/>
      <c r="CE93" s="296"/>
      <c r="CF93" s="296"/>
      <c r="CG93" s="296"/>
      <c r="CH93" s="296"/>
      <c r="CI93" s="296"/>
      <c r="CJ93" s="224">
        <f>IFERROR(VLOOKUP($A93,Devengado!$A$1:$AI$9038,22,FALSE),"")</f>
        <v>0</v>
      </c>
      <c r="CK93" s="224">
        <f>IFERROR(VLOOKUP($A93,Devengado!$A$1:$AI$9038,23,FALSE),"")</f>
        <v>0</v>
      </c>
      <c r="CL93" s="224">
        <f>IFERROR(VLOOKUP($A93,Devengado!$A$1:$AI$9038,24,FALSE),"")</f>
        <v>550.28</v>
      </c>
      <c r="CM93" s="224">
        <f>IFERROR(VLOOKUP($A93,Devengado!$A$1:$AI$9038,25,FALSE),"")</f>
        <v>0</v>
      </c>
      <c r="CN93" s="224">
        <f>IFERROR(VLOOKUP($A93,Devengado!$A$1:$AI$9038,26,FALSE),"")</f>
        <v>218.45000000000002</v>
      </c>
      <c r="CO93" s="224">
        <f>IFERROR(VLOOKUP($A93,Devengado!$A$1:$AI$9038,27,FALSE),"")</f>
        <v>280.48</v>
      </c>
      <c r="CP93" s="224">
        <f>IFERROR(VLOOKUP($A93,Devengado!$A$1:$AI$9038,28,FALSE),"")</f>
        <v>235.59</v>
      </c>
      <c r="CQ93" s="224">
        <f>IFERROR(VLOOKUP($A93,Devengado!$A$1:$AI$9038,29,FALSE),"")</f>
        <v>378.23</v>
      </c>
      <c r="CR93" s="224">
        <f>IFERROR(VLOOKUP($A93,Devengado!$A$1:$AI$9038,30,FALSE),"")</f>
        <v>0</v>
      </c>
      <c r="CS93" s="224">
        <f>IFERROR(VLOOKUP($A93,Devengado!$A$1:$AI$9038,31,FALSE),"")</f>
        <v>0</v>
      </c>
      <c r="CT93" s="224">
        <f>IFERROR(VLOOKUP($A93,Devengado!$A$1:$AI$9038,32,FALSE),"")</f>
        <v>433.18</v>
      </c>
      <c r="CU93" s="224">
        <f>IFERROR(VLOOKUP($A93,Devengado!$A$1:$AI$9038,33,FALSE),"")</f>
        <v>1182.32</v>
      </c>
      <c r="CV93" s="224">
        <f t="shared" si="46"/>
        <v>3278.5299999999997</v>
      </c>
      <c r="CW93" s="224">
        <f t="shared" si="47"/>
        <v>0</v>
      </c>
      <c r="CX93" s="207"/>
      <c r="CY93" s="207" t="str">
        <f t="shared" si="48"/>
        <v>53</v>
      </c>
      <c r="CZ93" s="112" t="s">
        <v>916</v>
      </c>
    </row>
    <row r="94" spans="1:104" s="225" customFormat="1" ht="14.25" customHeight="1">
      <c r="A94" s="207">
        <v>735</v>
      </c>
      <c r="B94" s="207"/>
      <c r="C94" s="207"/>
      <c r="D94" s="207"/>
      <c r="E94" s="207"/>
      <c r="F94" s="207"/>
      <c r="G94" s="207"/>
      <c r="H94" s="207"/>
      <c r="I94" s="207"/>
      <c r="J94" s="207"/>
      <c r="K94" s="207" t="s">
        <v>429</v>
      </c>
      <c r="L94" s="207" t="s">
        <v>850</v>
      </c>
      <c r="M94" s="207" t="s">
        <v>850</v>
      </c>
      <c r="N94" s="207" t="s">
        <v>77</v>
      </c>
      <c r="O94" s="207" t="s">
        <v>77</v>
      </c>
      <c r="P94" s="207" t="s">
        <v>76</v>
      </c>
      <c r="Q94" s="207" t="s">
        <v>77</v>
      </c>
      <c r="R94" s="207" t="s">
        <v>77</v>
      </c>
      <c r="S94" s="207" t="s">
        <v>77</v>
      </c>
      <c r="T94" s="207" t="s">
        <v>77</v>
      </c>
      <c r="U94" s="207" t="s">
        <v>77</v>
      </c>
      <c r="V94" s="207" t="s">
        <v>77</v>
      </c>
      <c r="W94" s="207" t="s">
        <v>85</v>
      </c>
      <c r="X94" s="207" t="s">
        <v>391</v>
      </c>
      <c r="Y94" s="114" t="s">
        <v>430</v>
      </c>
      <c r="Z94" s="114" t="s">
        <v>111</v>
      </c>
      <c r="AA94" s="114" t="s">
        <v>81</v>
      </c>
      <c r="AB94" s="114" t="s">
        <v>112</v>
      </c>
      <c r="AC94" s="115" t="str">
        <f t="shared" si="36"/>
        <v>99</v>
      </c>
      <c r="AD94" s="269">
        <v>990101</v>
      </c>
      <c r="AE94" s="207" t="str">
        <f>VLOOKUP(AD94,ITEM!$C$1:$D$694,2,FALSE)</f>
        <v>Obligaciones de Ejercicios Anteriores por Egresos de Personal</v>
      </c>
      <c r="AF94" s="221">
        <v>1300</v>
      </c>
      <c r="AG94" s="207" t="s">
        <v>82</v>
      </c>
      <c r="AH94" s="207" t="s">
        <v>84</v>
      </c>
      <c r="AI94" s="207" t="s">
        <v>84</v>
      </c>
      <c r="AJ94" s="114" t="s">
        <v>914</v>
      </c>
      <c r="AK94" s="114" t="s">
        <v>77</v>
      </c>
      <c r="AL94" s="272">
        <v>0</v>
      </c>
      <c r="AM94" s="272">
        <v>0</v>
      </c>
      <c r="AN94" s="272">
        <v>0</v>
      </c>
      <c r="AO94" s="207">
        <f>SUMIF(Reforma!$A$2:$A$8523,$A94,Reforma!$AB$2:$AB$8523)</f>
        <v>5558.56</v>
      </c>
      <c r="AP94" s="207">
        <f>SUMIF(Reforma!$A$2:$A$8523,$A94,Reforma!$AC$2:$AC$8523)</f>
        <v>-5558.56</v>
      </c>
      <c r="AQ94" s="207">
        <f>SUMIF(Reforma!$A$2:$A$8523,$A94,Reforma!$AD$2:$AD$8523)</f>
        <v>0</v>
      </c>
      <c r="AR94" s="207">
        <f>SUMIF(Reforma!$A$2:$A$8523,$A94,Reforma!$AE$2:$AE$8523)</f>
        <v>0</v>
      </c>
      <c r="AS94" s="298">
        <f t="shared" si="37"/>
        <v>0</v>
      </c>
      <c r="AT94" s="298">
        <f t="shared" si="38"/>
        <v>0</v>
      </c>
      <c r="AU94" s="207">
        <f t="shared" si="39"/>
        <v>0</v>
      </c>
      <c r="AV94" s="408"/>
      <c r="AW94" s="326"/>
      <c r="AX94" s="326"/>
      <c r="AY94" s="326"/>
      <c r="AZ94" s="326"/>
      <c r="BA94" s="326"/>
      <c r="BB94" s="326"/>
      <c r="BC94" s="326"/>
      <c r="BD94" s="326"/>
      <c r="BE94" s="326"/>
      <c r="BF94" s="326"/>
      <c r="BG94" s="326"/>
      <c r="BH94" s="408"/>
      <c r="BI94" s="408">
        <f t="shared" si="40"/>
        <v>0</v>
      </c>
      <c r="BJ94" s="408">
        <f t="shared" si="41"/>
        <v>0</v>
      </c>
      <c r="BK94" s="207"/>
      <c r="BL94" s="207"/>
      <c r="BM94" s="207"/>
      <c r="BN94" s="224" t="str">
        <f>IFERROR(VLOOKUP($A94,'Constancias POA'!$A$2:$DH$9993,18,FALSE),"")</f>
        <v/>
      </c>
      <c r="BO94" s="224" t="str">
        <f t="shared" si="42"/>
        <v/>
      </c>
      <c r="BP94" s="224" t="str">
        <f>IFERROR(VLOOKUP($A94,CP!$A$1:$U$7992,18,FALSE),"")</f>
        <v/>
      </c>
      <c r="BQ94" s="224" t="str">
        <f>IFERROR(VLOOKUP($A94,CP!$A$1:$U$7992,19,FALSE),"")</f>
        <v/>
      </c>
      <c r="BR94" s="224" t="str">
        <f>IFERROR(VLOOKUP($A94,CP!$A$1:$U$7992,20,FALSE),"")</f>
        <v/>
      </c>
      <c r="BS94" s="224" t="str">
        <f>IFERROR(VLOOKUP($A94,CP!$A$1:$U$1,21,FALSE),"")</f>
        <v/>
      </c>
      <c r="BT94" s="224" t="str">
        <f>IFERROR(VLOOKUP(A94,Devengado!$A$1:AJ$9310,35,FALSE),"")</f>
        <v/>
      </c>
      <c r="BU94" s="224" t="str">
        <f t="shared" si="43"/>
        <v/>
      </c>
      <c r="BV94" s="224" t="str">
        <f t="shared" si="44"/>
        <v/>
      </c>
      <c r="BW94" s="224">
        <f t="shared" si="45"/>
        <v>0</v>
      </c>
      <c r="BX94" s="296"/>
      <c r="BY94" s="296"/>
      <c r="BZ94" s="296"/>
      <c r="CA94" s="296"/>
      <c r="CB94" s="296"/>
      <c r="CC94" s="296"/>
      <c r="CD94" s="296"/>
      <c r="CE94" s="296"/>
      <c r="CF94" s="296"/>
      <c r="CG94" s="296"/>
      <c r="CH94" s="296"/>
      <c r="CI94" s="296"/>
      <c r="CJ94" s="224" t="str">
        <f>IFERROR(VLOOKUP($A94,Devengado!$A$1:$AI$9038,22,FALSE),"")</f>
        <v/>
      </c>
      <c r="CK94" s="224" t="str">
        <f>IFERROR(VLOOKUP($A94,Devengado!$A$1:$AI$9038,23,FALSE),"")</f>
        <v/>
      </c>
      <c r="CL94" s="224" t="str">
        <f>IFERROR(VLOOKUP($A94,Devengado!$A$1:$AI$9038,24,FALSE),"")</f>
        <v/>
      </c>
      <c r="CM94" s="224" t="str">
        <f>IFERROR(VLOOKUP($A94,Devengado!$A$1:$AI$9038,25,FALSE),"")</f>
        <v/>
      </c>
      <c r="CN94" s="224" t="str">
        <f>IFERROR(VLOOKUP($A94,Devengado!$A$1:$AI$9038,26,FALSE),"")</f>
        <v/>
      </c>
      <c r="CO94" s="224" t="str">
        <f>IFERROR(VLOOKUP($A94,Devengado!$A$1:$AI$9038,27,FALSE),"")</f>
        <v/>
      </c>
      <c r="CP94" s="224" t="str">
        <f>IFERROR(VLOOKUP($A94,Devengado!$A$1:$AI$9038,28,FALSE),"")</f>
        <v/>
      </c>
      <c r="CQ94" s="224" t="str">
        <f>IFERROR(VLOOKUP($A94,Devengado!$A$1:$AI$9038,29,FALSE),"")</f>
        <v/>
      </c>
      <c r="CR94" s="224" t="str">
        <f>IFERROR(VLOOKUP($A94,Devengado!$A$1:$AI$9038,30,FALSE),"")</f>
        <v/>
      </c>
      <c r="CS94" s="224" t="str">
        <f>IFERROR(VLOOKUP($A94,Devengado!$A$1:$AI$9038,31,FALSE),"")</f>
        <v/>
      </c>
      <c r="CT94" s="224" t="str">
        <f>IFERROR(VLOOKUP($A94,Devengado!$A$1:$AI$9038,32,FALSE),"")</f>
        <v/>
      </c>
      <c r="CU94" s="224" t="str">
        <f>IFERROR(VLOOKUP($A94,Devengado!$A$1:$AI$9038,33,FALSE),"")</f>
        <v/>
      </c>
      <c r="CV94" s="224">
        <f t="shared" si="46"/>
        <v>0</v>
      </c>
      <c r="CW94" s="224" t="str">
        <f t="shared" si="47"/>
        <v/>
      </c>
      <c r="CX94" s="207"/>
      <c r="CY94" s="207" t="str">
        <f t="shared" si="48"/>
        <v>99</v>
      </c>
      <c r="CZ94" s="112" t="s">
        <v>915</v>
      </c>
    </row>
    <row r="95" spans="1:104" s="225" customFormat="1" ht="15.75" customHeight="1">
      <c r="A95" s="207">
        <v>741</v>
      </c>
      <c r="B95" s="207"/>
      <c r="C95" s="207"/>
      <c r="D95" s="207"/>
      <c r="E95" s="207"/>
      <c r="F95" s="207"/>
      <c r="G95" s="207"/>
      <c r="H95" s="207"/>
      <c r="I95" s="207"/>
      <c r="J95" s="207"/>
      <c r="K95" s="207" t="s">
        <v>429</v>
      </c>
      <c r="L95" s="207" t="s">
        <v>850</v>
      </c>
      <c r="M95" s="207" t="s">
        <v>850</v>
      </c>
      <c r="N95" s="207" t="s">
        <v>77</v>
      </c>
      <c r="O95" s="207" t="s">
        <v>77</v>
      </c>
      <c r="P95" s="207" t="s">
        <v>76</v>
      </c>
      <c r="Q95" s="207" t="s">
        <v>77</v>
      </c>
      <c r="R95" s="207" t="s">
        <v>77</v>
      </c>
      <c r="S95" s="207" t="s">
        <v>77</v>
      </c>
      <c r="T95" s="207" t="s">
        <v>77</v>
      </c>
      <c r="U95" s="207" t="s">
        <v>77</v>
      </c>
      <c r="V95" s="207" t="s">
        <v>77</v>
      </c>
      <c r="W95" s="207" t="s">
        <v>85</v>
      </c>
      <c r="X95" s="207" t="s">
        <v>391</v>
      </c>
      <c r="Y95" s="208" t="s">
        <v>430</v>
      </c>
      <c r="Z95" s="208" t="s">
        <v>111</v>
      </c>
      <c r="AA95" s="208" t="s">
        <v>81</v>
      </c>
      <c r="AB95" s="208" t="s">
        <v>112</v>
      </c>
      <c r="AC95" s="115" t="str">
        <f t="shared" si="36"/>
        <v>99</v>
      </c>
      <c r="AD95" s="269">
        <v>990101</v>
      </c>
      <c r="AE95" s="207" t="str">
        <f>VLOOKUP(AD95,ITEM!$C$1:$D$694,2,FALSE)</f>
        <v>Obligaciones de Ejercicios Anteriores por Egresos de Personal</v>
      </c>
      <c r="AF95" s="207">
        <v>1309</v>
      </c>
      <c r="AG95" s="207" t="s">
        <v>82</v>
      </c>
      <c r="AH95" s="207" t="s">
        <v>84</v>
      </c>
      <c r="AI95" s="207" t="s">
        <v>84</v>
      </c>
      <c r="AJ95" s="207" t="s">
        <v>914</v>
      </c>
      <c r="AK95" s="207" t="s">
        <v>77</v>
      </c>
      <c r="AL95" s="272">
        <v>0</v>
      </c>
      <c r="AM95" s="272">
        <v>0</v>
      </c>
      <c r="AN95" s="272">
        <v>0</v>
      </c>
      <c r="AO95" s="207">
        <f>SUMIF(Reforma!$A$2:$A$8523,$A95,Reforma!$AB$2:$AB$8523)</f>
        <v>11119.02</v>
      </c>
      <c r="AP95" s="207">
        <f>SUMIF(Reforma!$A$2:$A$8523,$A95,Reforma!$AC$2:$AC$8523)</f>
        <v>-5558.56</v>
      </c>
      <c r="AQ95" s="207">
        <f>SUMIF(Reforma!$A$2:$A$8523,$A95,Reforma!$AD$2:$AD$8523)</f>
        <v>0</v>
      </c>
      <c r="AR95" s="207">
        <f>SUMIF(Reforma!$A$2:$A$8523,$A95,Reforma!$AE$2:$AE$8523)</f>
        <v>0</v>
      </c>
      <c r="AS95" s="298">
        <f>+AL95+AO95+AP95</f>
        <v>5560.46</v>
      </c>
      <c r="AT95" s="298">
        <f>+AM95+AQ95+AR95</f>
        <v>0</v>
      </c>
      <c r="AU95" s="207">
        <f>IFERROR(AS95+AT95,"")</f>
        <v>5560.46</v>
      </c>
      <c r="AV95" s="409"/>
      <c r="AW95" s="326"/>
      <c r="AX95" s="326"/>
      <c r="AY95" s="326"/>
      <c r="AZ95" s="326"/>
      <c r="BA95" s="326">
        <v>5560.46</v>
      </c>
      <c r="BB95" s="326"/>
      <c r="BC95" s="326"/>
      <c r="BD95" s="326"/>
      <c r="BE95" s="326"/>
      <c r="BF95" s="326"/>
      <c r="BG95" s="326"/>
      <c r="BH95" s="408"/>
      <c r="BI95" s="408">
        <f t="shared" si="40"/>
        <v>5560.46</v>
      </c>
      <c r="BJ95" s="408">
        <f>+BI95-AU95</f>
        <v>0</v>
      </c>
      <c r="BK95" s="207"/>
      <c r="BL95" s="207"/>
      <c r="BM95" s="207"/>
      <c r="BN95" s="224">
        <f>IFERROR(VLOOKUP($A95,'Constancias POA'!$A$2:$DH$9993,18,FALSE),"")</f>
        <v>11120.92</v>
      </c>
      <c r="BO95" s="224">
        <f>IFERROR(AU95-BN95,"")</f>
        <v>-5560.46</v>
      </c>
      <c r="BP95" s="224">
        <f>IFERROR(VLOOKUP($A95,CP!$A$1:$U$7992,18,FALSE),"")</f>
        <v>0</v>
      </c>
      <c r="BQ95" s="224">
        <f>IFERROR(VLOOKUP($A95,CP!$A$1:$U$7992,19,FALSE),"")</f>
        <v>5560.46</v>
      </c>
      <c r="BR95" s="224">
        <f>IFERROR(VLOOKUP($A95,CP!$A$1:$U$7992,20,FALSE),"")</f>
        <v>0</v>
      </c>
      <c r="BS95" s="224" t="str">
        <f>IFERROR(VLOOKUP($A95,CP!$A$1:$U$1,21,FALSE),"")</f>
        <v/>
      </c>
      <c r="BT95" s="224">
        <f>IFERROR(VLOOKUP(A95,Devengado!$A$1:AJ$9310,35,FALSE),"")</f>
        <v>5560.46</v>
      </c>
      <c r="BU95" s="224">
        <f>IFERROR((AU95-BT95),"")</f>
        <v>0</v>
      </c>
      <c r="BV95" s="224">
        <f>IFERROR(BT95/BW95,"")</f>
        <v>1</v>
      </c>
      <c r="BW95" s="224">
        <f t="shared" si="45"/>
        <v>5560.46</v>
      </c>
      <c r="BX95" s="296"/>
      <c r="BY95" s="296"/>
      <c r="BZ95" s="296"/>
      <c r="CA95" s="296"/>
      <c r="CB95" s="296"/>
      <c r="CC95" s="296"/>
      <c r="CD95" s="296"/>
      <c r="CE95" s="296"/>
      <c r="CF95" s="296"/>
      <c r="CG95" s="296"/>
      <c r="CH95" s="296"/>
      <c r="CI95" s="296"/>
      <c r="CJ95" s="224">
        <f>IFERROR(VLOOKUP($A95,Devengado!$A$1:$AI$9038,22,FALSE),"")</f>
        <v>0</v>
      </c>
      <c r="CK95" s="224">
        <f>IFERROR(VLOOKUP($A95,Devengado!$A$1:$AI$9038,23,FALSE),"")</f>
        <v>0</v>
      </c>
      <c r="CL95" s="224">
        <f>IFERROR(VLOOKUP($A95,Devengado!$A$1:$AI$9038,24,FALSE),"")</f>
        <v>0</v>
      </c>
      <c r="CM95" s="224">
        <f>IFERROR(VLOOKUP($A95,Devengado!$A$1:$AI$9038,25,FALSE),"")</f>
        <v>0</v>
      </c>
      <c r="CN95" s="224">
        <f>IFERROR(VLOOKUP($A95,Devengado!$A$1:$AI$9038,26,FALSE),"")</f>
        <v>0</v>
      </c>
      <c r="CO95" s="224">
        <f>IFERROR(VLOOKUP($A95,Devengado!$A$1:$AI$9038,27,FALSE),"")</f>
        <v>5560.46</v>
      </c>
      <c r="CP95" s="224">
        <f>IFERROR(VLOOKUP($A95,Devengado!$A$1:$AI$9038,28,FALSE),"")</f>
        <v>0</v>
      </c>
      <c r="CQ95" s="224">
        <f>IFERROR(VLOOKUP($A95,Devengado!$A$1:$AI$9038,29,FALSE),"")</f>
        <v>0</v>
      </c>
      <c r="CR95" s="224">
        <f>IFERROR(VLOOKUP($A95,Devengado!$A$1:$AI$9038,30,FALSE),"")</f>
        <v>0</v>
      </c>
      <c r="CS95" s="224">
        <f>IFERROR(VLOOKUP($A95,Devengado!$A$1:$AI$9038,31,FALSE),"")</f>
        <v>0</v>
      </c>
      <c r="CT95" s="224">
        <f>IFERROR(VLOOKUP($A95,Devengado!$A$1:$AI$9038,32,FALSE),"")</f>
        <v>0</v>
      </c>
      <c r="CU95" s="224">
        <f>IFERROR(VLOOKUP($A95,Devengado!$A$1:$AI$9038,33,FALSE),"")</f>
        <v>0</v>
      </c>
      <c r="CV95" s="224">
        <f>SUM(CJ95:CU95)</f>
        <v>5560.46</v>
      </c>
      <c r="CW95" s="224">
        <f>IFERROR(CV95-BT95,"")</f>
        <v>0</v>
      </c>
      <c r="CX95" s="207"/>
      <c r="CY95" s="207" t="str">
        <f>LEFT(AC95,4)</f>
        <v>99</v>
      </c>
      <c r="CZ95" s="112" t="s">
        <v>915</v>
      </c>
    </row>
    <row r="96" spans="1:104" s="225" customFormat="1" ht="33.75" customHeight="1">
      <c r="A96" s="207">
        <v>780</v>
      </c>
      <c r="B96" s="207"/>
      <c r="C96" s="207"/>
      <c r="D96" s="207"/>
      <c r="E96" s="207"/>
      <c r="F96" s="207"/>
      <c r="G96" s="207"/>
      <c r="H96" s="207"/>
      <c r="I96" s="207"/>
      <c r="J96" s="207"/>
      <c r="K96" s="112" t="s">
        <v>429</v>
      </c>
      <c r="L96" s="112" t="s">
        <v>850</v>
      </c>
      <c r="M96" s="112" t="s">
        <v>917</v>
      </c>
      <c r="N96" s="112" t="s">
        <v>77</v>
      </c>
      <c r="O96" s="112" t="s">
        <v>77</v>
      </c>
      <c r="P96" s="112" t="s">
        <v>76</v>
      </c>
      <c r="Q96" s="112" t="s">
        <v>77</v>
      </c>
      <c r="R96" s="112" t="s">
        <v>77</v>
      </c>
      <c r="S96" s="112" t="s">
        <v>77</v>
      </c>
      <c r="T96" s="112" t="s">
        <v>77</v>
      </c>
      <c r="U96" s="112" t="s">
        <v>77</v>
      </c>
      <c r="V96" s="112" t="s">
        <v>77</v>
      </c>
      <c r="W96" s="112" t="s">
        <v>85</v>
      </c>
      <c r="X96" s="207" t="s">
        <v>749</v>
      </c>
      <c r="Y96" s="114" t="s">
        <v>430</v>
      </c>
      <c r="Z96" s="114" t="s">
        <v>111</v>
      </c>
      <c r="AA96" s="114" t="s">
        <v>81</v>
      </c>
      <c r="AB96" s="114" t="s">
        <v>112</v>
      </c>
      <c r="AC96" s="115" t="str">
        <f t="shared" ref="AC96:AC115" si="49">LEFT(AD96,2)</f>
        <v>57</v>
      </c>
      <c r="AD96" s="269">
        <v>570102</v>
      </c>
      <c r="AE96" s="207" t="str">
        <f>VLOOKUP(AD96,ITEM!$C$1:$D$694,2,FALSE)</f>
        <v>Tasas Generales, Impuestos, Contribuciones, Permisos, Licencias y Patentes.</v>
      </c>
      <c r="AF96" s="207">
        <v>1308</v>
      </c>
      <c r="AG96" s="207" t="s">
        <v>82</v>
      </c>
      <c r="AH96" s="207" t="s">
        <v>84</v>
      </c>
      <c r="AI96" s="207" t="s">
        <v>84</v>
      </c>
      <c r="AJ96" s="207" t="s">
        <v>914</v>
      </c>
      <c r="AK96" s="207" t="s">
        <v>77</v>
      </c>
      <c r="AL96" s="272">
        <v>0</v>
      </c>
      <c r="AM96" s="272">
        <v>0</v>
      </c>
      <c r="AN96" s="272">
        <v>0</v>
      </c>
      <c r="AO96" s="207">
        <f>SUMIF(Reforma!$A$2:$A$8523,$A96,Reforma!$AB$2:$AB$8523)</f>
        <v>7224.44</v>
      </c>
      <c r="AP96" s="207">
        <f>SUMIF(Reforma!$A$2:$A$8523,$A96,Reforma!$AC$2:$AC$8523)</f>
        <v>-941.33</v>
      </c>
      <c r="AQ96" s="207">
        <f>SUMIF(Reforma!$A$2:$A$8523,$A96,Reforma!$AD$2:$AD$8523)</f>
        <v>0</v>
      </c>
      <c r="AR96" s="207">
        <f>SUMIF(Reforma!$A$2:$A$8523,$A96,Reforma!$AE$2:$AE$8523)</f>
        <v>0</v>
      </c>
      <c r="AS96" s="298">
        <f t="shared" ref="AS96:AS115" si="50">+AL96+AO96+AP96</f>
        <v>6283.11</v>
      </c>
      <c r="AT96" s="298">
        <f t="shared" ref="AT96:AT115" si="51">+AM96+AQ96+AR96</f>
        <v>0</v>
      </c>
      <c r="AU96" s="207">
        <f t="shared" ref="AU96:AU115" si="52">IFERROR(AS96+AT96,"")</f>
        <v>6283.11</v>
      </c>
      <c r="AV96" s="408"/>
      <c r="AW96" s="326">
        <v>6283.11</v>
      </c>
      <c r="AX96" s="326"/>
      <c r="AY96" s="326"/>
      <c r="AZ96" s="326"/>
      <c r="BA96" s="326"/>
      <c r="BB96" s="326"/>
      <c r="BC96" s="326"/>
      <c r="BD96" s="326"/>
      <c r="BE96" s="326"/>
      <c r="BF96" s="326"/>
      <c r="BG96" s="326"/>
      <c r="BH96" s="408"/>
      <c r="BI96" s="408">
        <f t="shared" ref="BI96:BI115" si="53">SUM(AV96:BG96)</f>
        <v>6283.11</v>
      </c>
      <c r="BJ96" s="408">
        <f t="shared" ref="BJ96:BJ115" si="54">+BI96-AU96</f>
        <v>0</v>
      </c>
      <c r="BK96" s="207"/>
      <c r="BL96" s="207"/>
      <c r="BM96" s="207"/>
      <c r="BN96" s="224">
        <f>IFERROR(VLOOKUP($A96,'Constancias POA'!$A$2:$DH$9993,18,FALSE),"")</f>
        <v>6283.11</v>
      </c>
      <c r="BO96" s="224">
        <f>IFERROR(AU96-BN96,"")</f>
        <v>0</v>
      </c>
      <c r="BP96" s="224">
        <f>IFERROR(VLOOKUP($A96,CP!$A$1:$U$7992,18,FALSE),"")</f>
        <v>0</v>
      </c>
      <c r="BQ96" s="224">
        <f>IFERROR(VLOOKUP($A96,CP!$A$1:$U$7992,19,FALSE),"")</f>
        <v>6283.11</v>
      </c>
      <c r="BR96" s="224">
        <f>IFERROR(VLOOKUP($A96,CP!$A$1:$U$7992,20,FALSE),"")</f>
        <v>0</v>
      </c>
      <c r="BS96" s="224" t="str">
        <f>IFERROR(VLOOKUP($A96,CP!$A$1:$U$1,21,FALSE),"")</f>
        <v/>
      </c>
      <c r="BT96" s="224">
        <f>IFERROR(VLOOKUP(A96,Devengado!$A$1:AJ$9310,35,FALSE),"")</f>
        <v>6283.11</v>
      </c>
      <c r="BU96" s="224">
        <f>IFERROR((AU96-BT96),"")</f>
        <v>0</v>
      </c>
      <c r="BV96" s="224">
        <f>IFERROR(BT96/BW96,"")</f>
        <v>1</v>
      </c>
      <c r="BW96" s="224">
        <f t="shared" ref="BW96:BW115" si="55">AU96</f>
        <v>6283.11</v>
      </c>
      <c r="BX96" s="296"/>
      <c r="BY96" s="296"/>
      <c r="BZ96" s="296"/>
      <c r="CA96" s="296"/>
      <c r="CB96" s="296"/>
      <c r="CC96" s="296"/>
      <c r="CD96" s="296"/>
      <c r="CE96" s="296"/>
      <c r="CF96" s="296"/>
      <c r="CG96" s="296"/>
      <c r="CH96" s="296"/>
      <c r="CI96" s="296"/>
      <c r="CJ96" s="224">
        <f>IFERROR(VLOOKUP($A96,Devengado!$A$1:$AI$9038,22,FALSE),"")</f>
        <v>0</v>
      </c>
      <c r="CK96" s="224">
        <f>IFERROR(VLOOKUP($A96,Devengado!$A$1:$AI$9038,23,FALSE),"")</f>
        <v>6283.11</v>
      </c>
      <c r="CL96" s="224">
        <f>IFERROR(VLOOKUP($A96,Devengado!$A$1:$AI$9038,24,FALSE),"")</f>
        <v>0</v>
      </c>
      <c r="CM96" s="224">
        <f>IFERROR(VLOOKUP($A96,Devengado!$A$1:$AI$9038,25,FALSE),"")</f>
        <v>0</v>
      </c>
      <c r="CN96" s="224">
        <f>IFERROR(VLOOKUP($A96,Devengado!$A$1:$AI$9038,26,FALSE),"")</f>
        <v>0</v>
      </c>
      <c r="CO96" s="224">
        <f>IFERROR(VLOOKUP($A96,Devengado!$A$1:$AI$9038,27,FALSE),"")</f>
        <v>0</v>
      </c>
      <c r="CP96" s="224">
        <f>IFERROR(VLOOKUP($A96,Devengado!$A$1:$AI$9038,28,FALSE),"")</f>
        <v>0</v>
      </c>
      <c r="CQ96" s="224">
        <f>IFERROR(VLOOKUP($A96,Devengado!$A$1:$AI$9038,29,FALSE),"")</f>
        <v>0</v>
      </c>
      <c r="CR96" s="224">
        <f>IFERROR(VLOOKUP($A96,Devengado!$A$1:$AI$9038,30,FALSE),"")</f>
        <v>0</v>
      </c>
      <c r="CS96" s="224">
        <f>IFERROR(VLOOKUP($A96,Devengado!$A$1:$AI$9038,31,FALSE),"")</f>
        <v>0</v>
      </c>
      <c r="CT96" s="224">
        <f>IFERROR(VLOOKUP($A96,Devengado!$A$1:$AI$9038,32,FALSE),"")</f>
        <v>0</v>
      </c>
      <c r="CU96" s="224">
        <f>IFERROR(VLOOKUP($A96,Devengado!$A$1:$AI$9038,33,FALSE),"")</f>
        <v>0</v>
      </c>
      <c r="CV96" s="224">
        <f>SUM(CJ96:CU96)</f>
        <v>6283.11</v>
      </c>
      <c r="CW96" s="224">
        <f>IFERROR(CV96-BT96,"")</f>
        <v>0</v>
      </c>
      <c r="CX96" s="207"/>
      <c r="CY96" s="207" t="str">
        <f>LEFT(AC96,4)</f>
        <v>57</v>
      </c>
      <c r="CZ96" s="112" t="s">
        <v>916</v>
      </c>
    </row>
    <row r="97" spans="1:104" s="225" customFormat="1" ht="21" customHeight="1">
      <c r="A97" s="207">
        <v>786</v>
      </c>
      <c r="B97" s="207"/>
      <c r="C97" s="207"/>
      <c r="D97" s="207"/>
      <c r="E97" s="207"/>
      <c r="F97" s="207"/>
      <c r="G97" s="207"/>
      <c r="H97" s="207"/>
      <c r="I97" s="207"/>
      <c r="J97" s="207"/>
      <c r="K97" s="207" t="s">
        <v>429</v>
      </c>
      <c r="L97" s="207" t="s">
        <v>850</v>
      </c>
      <c r="M97" s="207" t="s">
        <v>850</v>
      </c>
      <c r="N97" s="207" t="s">
        <v>77</v>
      </c>
      <c r="O97" s="207" t="s">
        <v>77</v>
      </c>
      <c r="P97" s="207" t="s">
        <v>76</v>
      </c>
      <c r="Q97" s="207" t="s">
        <v>77</v>
      </c>
      <c r="R97" s="207" t="s">
        <v>77</v>
      </c>
      <c r="S97" s="207" t="s">
        <v>77</v>
      </c>
      <c r="T97" s="207" t="s">
        <v>77</v>
      </c>
      <c r="U97" s="207" t="s">
        <v>77</v>
      </c>
      <c r="V97" s="207" t="s">
        <v>77</v>
      </c>
      <c r="W97" s="207" t="s">
        <v>85</v>
      </c>
      <c r="X97" s="207" t="s">
        <v>752</v>
      </c>
      <c r="Y97" s="303" t="s">
        <v>430</v>
      </c>
      <c r="Z97" s="303">
        <v>80</v>
      </c>
      <c r="AA97" s="303" t="s">
        <v>81</v>
      </c>
      <c r="AB97" s="118" t="s">
        <v>112</v>
      </c>
      <c r="AC97" s="115" t="str">
        <f t="shared" si="49"/>
        <v>53</v>
      </c>
      <c r="AD97" s="269">
        <v>530811</v>
      </c>
      <c r="AE97" s="207" t="str">
        <f>VLOOKUP(AD97,ITEM!$C$1:$D$694,2,FALSE)</f>
        <v>Insumos,   Materiales   y   Suministros   para   Construcción,   Electricidad,   Plomería,   Carpintería,   Señalización   Vial,
Navegación, Contra Incendios y Placas</v>
      </c>
      <c r="AF97" s="207">
        <v>1314</v>
      </c>
      <c r="AG97" s="207" t="s">
        <v>82</v>
      </c>
      <c r="AH97" s="207" t="s">
        <v>84</v>
      </c>
      <c r="AI97" s="207" t="s">
        <v>84</v>
      </c>
      <c r="AJ97" s="118" t="s">
        <v>914</v>
      </c>
      <c r="AK97" s="114" t="s">
        <v>77</v>
      </c>
      <c r="AL97" s="272">
        <v>0</v>
      </c>
      <c r="AM97" s="272">
        <v>0</v>
      </c>
      <c r="AN97" s="272">
        <v>0</v>
      </c>
      <c r="AO97" s="207">
        <f>SUMIF(Reforma!$A$2:$A$8523,$A97,Reforma!$AB$2:$AB$8523)</f>
        <v>0</v>
      </c>
      <c r="AP97" s="207">
        <f>SUMIF(Reforma!$A$2:$A$8523,$A97,Reforma!$AC$2:$AC$8523)</f>
        <v>0</v>
      </c>
      <c r="AQ97" s="207">
        <f>SUMIF(Reforma!$A$2:$A$8523,$A97,Reforma!$AD$2:$AD$8523)</f>
        <v>0</v>
      </c>
      <c r="AR97" s="207">
        <f>SUMIF(Reforma!$A$2:$A$8523,$A97,Reforma!$AE$2:$AE$8523)</f>
        <v>0</v>
      </c>
      <c r="AS97" s="298">
        <f t="shared" ref="AS97:AS102" si="56">+AL97+AO97+AP97</f>
        <v>0</v>
      </c>
      <c r="AT97" s="298">
        <f t="shared" ref="AT97:AT102" si="57">+AM97+AQ97+AR97</f>
        <v>0</v>
      </c>
      <c r="AU97" s="207">
        <f t="shared" ref="AU97:AU102" si="58">IFERROR(AS97+AT97,"")</f>
        <v>0</v>
      </c>
      <c r="AV97" s="409"/>
      <c r="AW97" s="326"/>
      <c r="AX97" s="326"/>
      <c r="AY97" s="326"/>
      <c r="AZ97" s="326"/>
      <c r="BA97" s="326"/>
      <c r="BB97" s="326"/>
      <c r="BC97" s="326"/>
      <c r="BD97" s="326"/>
      <c r="BE97" s="326"/>
      <c r="BF97" s="326"/>
      <c r="BG97" s="326"/>
      <c r="BH97" s="408"/>
      <c r="BI97" s="408">
        <f t="shared" si="53"/>
        <v>0</v>
      </c>
      <c r="BJ97" s="408">
        <f t="shared" ref="BJ97:BJ102" si="59">+BI97-AU97</f>
        <v>0</v>
      </c>
      <c r="BK97" s="207"/>
      <c r="BL97" s="207"/>
      <c r="BM97" s="207"/>
      <c r="BN97" s="224" t="str">
        <f>IFERROR(VLOOKUP($A97,'Constancias POA'!$A$2:$DH$9993,18,FALSE),"")</f>
        <v/>
      </c>
      <c r="BO97" s="224" t="str">
        <f t="shared" ref="BO97:BO102" si="60">IFERROR(AU97-BN97,"")</f>
        <v/>
      </c>
      <c r="BP97" s="224" t="str">
        <f>IFERROR(VLOOKUP($A97,CP!$A$1:$U$7992,18,FALSE),"")</f>
        <v/>
      </c>
      <c r="BQ97" s="224" t="str">
        <f>IFERROR(VLOOKUP($A97,CP!$A$1:$U$7992,19,FALSE),"")</f>
        <v/>
      </c>
      <c r="BR97" s="224" t="str">
        <f>IFERROR(VLOOKUP($A97,CP!$A$1:$U$7992,20,FALSE),"")</f>
        <v/>
      </c>
      <c r="BS97" s="224" t="str">
        <f>IFERROR(VLOOKUP($A97,CP!$A$1:$U$1,21,FALSE),"")</f>
        <v/>
      </c>
      <c r="BT97" s="224" t="str">
        <f>IFERROR(VLOOKUP(A97,Devengado!$A$1:AJ$9310,35,FALSE),"")</f>
        <v/>
      </c>
      <c r="BU97" s="224" t="str">
        <f t="shared" ref="BU97:BU102" si="61">IFERROR((AU97-BT97),"")</f>
        <v/>
      </c>
      <c r="BV97" s="224" t="str">
        <f t="shared" ref="BV97:BV102" si="62">IFERROR(BT97/BW97,"")</f>
        <v/>
      </c>
      <c r="BW97" s="224">
        <f t="shared" si="55"/>
        <v>0</v>
      </c>
      <c r="BX97" s="296"/>
      <c r="BY97" s="296"/>
      <c r="BZ97" s="296"/>
      <c r="CA97" s="296"/>
      <c r="CB97" s="296"/>
      <c r="CC97" s="296"/>
      <c r="CD97" s="296"/>
      <c r="CE97" s="296"/>
      <c r="CF97" s="296"/>
      <c r="CG97" s="296"/>
      <c r="CH97" s="296"/>
      <c r="CI97" s="296"/>
      <c r="CJ97" s="224" t="str">
        <f>IFERROR(VLOOKUP($A97,Devengado!$A$1:$AI$9038,22,FALSE),"")</f>
        <v/>
      </c>
      <c r="CK97" s="224" t="str">
        <f>IFERROR(VLOOKUP($A97,Devengado!$A$1:$AI$9038,23,FALSE),"")</f>
        <v/>
      </c>
      <c r="CL97" s="224" t="str">
        <f>IFERROR(VLOOKUP($A97,Devengado!$A$1:$AI$9038,24,FALSE),"")</f>
        <v/>
      </c>
      <c r="CM97" s="224" t="str">
        <f>IFERROR(VLOOKUP($A97,Devengado!$A$1:$AI$9038,25,FALSE),"")</f>
        <v/>
      </c>
      <c r="CN97" s="224" t="str">
        <f>IFERROR(VLOOKUP($A97,Devengado!$A$1:$AI$9038,26,FALSE),"")</f>
        <v/>
      </c>
      <c r="CO97" s="224" t="str">
        <f>IFERROR(VLOOKUP($A97,Devengado!$A$1:$AI$9038,27,FALSE),"")</f>
        <v/>
      </c>
      <c r="CP97" s="224" t="str">
        <f>IFERROR(VLOOKUP($A97,Devengado!$A$1:$AI$9038,28,FALSE),"")</f>
        <v/>
      </c>
      <c r="CQ97" s="224" t="str">
        <f>IFERROR(VLOOKUP($A97,Devengado!$A$1:$AI$9038,29,FALSE),"")</f>
        <v/>
      </c>
      <c r="CR97" s="224" t="str">
        <f>IFERROR(VLOOKUP($A97,Devengado!$A$1:$AI$9038,30,FALSE),"")</f>
        <v/>
      </c>
      <c r="CS97" s="224" t="str">
        <f>IFERROR(VLOOKUP($A97,Devengado!$A$1:$AI$9038,31,FALSE),"")</f>
        <v/>
      </c>
      <c r="CT97" s="224" t="str">
        <f>IFERROR(VLOOKUP($A97,Devengado!$A$1:$AI$9038,32,FALSE),"")</f>
        <v/>
      </c>
      <c r="CU97" s="224" t="str">
        <f>IFERROR(VLOOKUP($A97,Devengado!$A$1:$AI$9038,33,FALSE),"")</f>
        <v/>
      </c>
      <c r="CV97" s="224">
        <f t="shared" ref="CV97:CV102" si="63">SUM(CJ97:CU97)</f>
        <v>0</v>
      </c>
      <c r="CW97" s="224" t="str">
        <f t="shared" ref="CW97:CW102" si="64">IFERROR(CV97-BT97,"")</f>
        <v/>
      </c>
      <c r="CX97" s="207"/>
      <c r="CY97" s="207" t="str">
        <f t="shared" ref="CY97:CY102" si="65">LEFT(AC97,4)</f>
        <v>53</v>
      </c>
      <c r="CZ97" s="112" t="s">
        <v>915</v>
      </c>
    </row>
    <row r="98" spans="1:104" s="225" customFormat="1" ht="24" customHeight="1">
      <c r="A98" s="207">
        <v>787</v>
      </c>
      <c r="B98" s="207"/>
      <c r="C98" s="207"/>
      <c r="D98" s="207"/>
      <c r="E98" s="207"/>
      <c r="F98" s="207"/>
      <c r="G98" s="207"/>
      <c r="H98" s="207"/>
      <c r="I98" s="207"/>
      <c r="J98" s="207"/>
      <c r="K98" s="207" t="s">
        <v>429</v>
      </c>
      <c r="L98" s="207" t="s">
        <v>850</v>
      </c>
      <c r="M98" s="207" t="s">
        <v>850</v>
      </c>
      <c r="N98" s="207" t="s">
        <v>77</v>
      </c>
      <c r="O98" s="207" t="s">
        <v>77</v>
      </c>
      <c r="P98" s="207" t="s">
        <v>76</v>
      </c>
      <c r="Q98" s="207" t="s">
        <v>77</v>
      </c>
      <c r="R98" s="207" t="s">
        <v>77</v>
      </c>
      <c r="S98" s="207" t="s">
        <v>77</v>
      </c>
      <c r="T98" s="207" t="s">
        <v>77</v>
      </c>
      <c r="U98" s="207" t="s">
        <v>77</v>
      </c>
      <c r="V98" s="207" t="s">
        <v>77</v>
      </c>
      <c r="W98" s="207" t="s">
        <v>85</v>
      </c>
      <c r="X98" s="207" t="s">
        <v>753</v>
      </c>
      <c r="Y98" s="303" t="s">
        <v>430</v>
      </c>
      <c r="Z98" s="303">
        <v>80</v>
      </c>
      <c r="AA98" s="303" t="s">
        <v>81</v>
      </c>
      <c r="AB98" s="118" t="s">
        <v>112</v>
      </c>
      <c r="AC98" s="115" t="str">
        <f t="shared" si="49"/>
        <v>53</v>
      </c>
      <c r="AD98" s="269">
        <v>530402</v>
      </c>
      <c r="AE98" s="207" t="str">
        <f>VLOOKUP(AD98,ITEM!$C$1:$D$694,2,FALSE)</f>
        <v>Edificios, Locales, Residencias y Cableado Estructurado (Instalación, Mantenimiento y Reparación)</v>
      </c>
      <c r="AF98" s="207">
        <v>1314</v>
      </c>
      <c r="AG98" s="207" t="s">
        <v>82</v>
      </c>
      <c r="AH98" s="207" t="s">
        <v>84</v>
      </c>
      <c r="AI98" s="207" t="s">
        <v>84</v>
      </c>
      <c r="AJ98" s="118" t="s">
        <v>914</v>
      </c>
      <c r="AK98" s="114" t="s">
        <v>77</v>
      </c>
      <c r="AL98" s="272">
        <v>0</v>
      </c>
      <c r="AM98" s="272">
        <v>0</v>
      </c>
      <c r="AN98" s="272">
        <v>0</v>
      </c>
      <c r="AO98" s="207">
        <f>SUMIF(Reforma!$A$2:$A$8523,$A98,Reforma!$AB$2:$AB$8523)</f>
        <v>0</v>
      </c>
      <c r="AP98" s="207">
        <f>SUMIF(Reforma!$A$2:$A$8523,$A98,Reforma!$AC$2:$AC$8523)</f>
        <v>0</v>
      </c>
      <c r="AQ98" s="207">
        <f>SUMIF(Reforma!$A$2:$A$8523,$A98,Reforma!$AD$2:$AD$8523)</f>
        <v>0</v>
      </c>
      <c r="AR98" s="207">
        <f>SUMIF(Reforma!$A$2:$A$8523,$A98,Reforma!$AE$2:$AE$8523)</f>
        <v>0</v>
      </c>
      <c r="AS98" s="298">
        <f t="shared" si="56"/>
        <v>0</v>
      </c>
      <c r="AT98" s="298">
        <f t="shared" si="57"/>
        <v>0</v>
      </c>
      <c r="AU98" s="207">
        <f t="shared" si="58"/>
        <v>0</v>
      </c>
      <c r="AV98" s="409"/>
      <c r="AW98" s="326"/>
      <c r="AX98" s="326"/>
      <c r="AY98" s="326"/>
      <c r="AZ98" s="326"/>
      <c r="BA98" s="326"/>
      <c r="BB98" s="326"/>
      <c r="BC98" s="326"/>
      <c r="BD98" s="326"/>
      <c r="BE98" s="326"/>
      <c r="BF98" s="326"/>
      <c r="BG98" s="326"/>
      <c r="BH98" s="408"/>
      <c r="BI98" s="408">
        <f t="shared" si="53"/>
        <v>0</v>
      </c>
      <c r="BJ98" s="408">
        <f t="shared" si="59"/>
        <v>0</v>
      </c>
      <c r="BK98" s="207"/>
      <c r="BL98" s="207"/>
      <c r="BM98" s="207"/>
      <c r="BN98" s="224" t="str">
        <f>IFERROR(VLOOKUP($A98,'Constancias POA'!$A$2:$DH$9993,18,FALSE),"")</f>
        <v/>
      </c>
      <c r="BO98" s="224" t="str">
        <f t="shared" si="60"/>
        <v/>
      </c>
      <c r="BP98" s="224" t="str">
        <f>IFERROR(VLOOKUP($A98,CP!$A$1:$U$7992,18,FALSE),"")</f>
        <v/>
      </c>
      <c r="BQ98" s="224" t="str">
        <f>IFERROR(VLOOKUP($A98,CP!$A$1:$U$7992,19,FALSE),"")</f>
        <v/>
      </c>
      <c r="BR98" s="224" t="str">
        <f>IFERROR(VLOOKUP($A98,CP!$A$1:$U$7992,20,FALSE),"")</f>
        <v/>
      </c>
      <c r="BS98" s="224" t="str">
        <f>IFERROR(VLOOKUP($A98,CP!$A$1:$U$1,21,FALSE),"")</f>
        <v/>
      </c>
      <c r="BT98" s="224" t="str">
        <f>IFERROR(VLOOKUP(A98,Devengado!$A$1:AJ$9310,35,FALSE),"")</f>
        <v/>
      </c>
      <c r="BU98" s="224" t="str">
        <f t="shared" si="61"/>
        <v/>
      </c>
      <c r="BV98" s="224" t="str">
        <f t="shared" si="62"/>
        <v/>
      </c>
      <c r="BW98" s="224">
        <f t="shared" si="55"/>
        <v>0</v>
      </c>
      <c r="BX98" s="296"/>
      <c r="BY98" s="296"/>
      <c r="BZ98" s="296"/>
      <c r="CA98" s="296"/>
      <c r="CB98" s="296"/>
      <c r="CC98" s="296"/>
      <c r="CD98" s="296"/>
      <c r="CE98" s="296"/>
      <c r="CF98" s="296"/>
      <c r="CG98" s="296"/>
      <c r="CH98" s="296"/>
      <c r="CI98" s="296"/>
      <c r="CJ98" s="224" t="str">
        <f>IFERROR(VLOOKUP($A98,Devengado!$A$1:$AI$9038,22,FALSE),"")</f>
        <v/>
      </c>
      <c r="CK98" s="224" t="str">
        <f>IFERROR(VLOOKUP($A98,Devengado!$A$1:$AI$9038,23,FALSE),"")</f>
        <v/>
      </c>
      <c r="CL98" s="224" t="str">
        <f>IFERROR(VLOOKUP($A98,Devengado!$A$1:$AI$9038,24,FALSE),"")</f>
        <v/>
      </c>
      <c r="CM98" s="224" t="str">
        <f>IFERROR(VLOOKUP($A98,Devengado!$A$1:$AI$9038,25,FALSE),"")</f>
        <v/>
      </c>
      <c r="CN98" s="224" t="str">
        <f>IFERROR(VLOOKUP($A98,Devengado!$A$1:$AI$9038,26,FALSE),"")</f>
        <v/>
      </c>
      <c r="CO98" s="224" t="str">
        <f>IFERROR(VLOOKUP($A98,Devengado!$A$1:$AI$9038,27,FALSE),"")</f>
        <v/>
      </c>
      <c r="CP98" s="224" t="str">
        <f>IFERROR(VLOOKUP($A98,Devengado!$A$1:$AI$9038,28,FALSE),"")</f>
        <v/>
      </c>
      <c r="CQ98" s="224" t="str">
        <f>IFERROR(VLOOKUP($A98,Devengado!$A$1:$AI$9038,29,FALSE),"")</f>
        <v/>
      </c>
      <c r="CR98" s="224" t="str">
        <f>IFERROR(VLOOKUP($A98,Devengado!$A$1:$AI$9038,30,FALSE),"")</f>
        <v/>
      </c>
      <c r="CS98" s="224" t="str">
        <f>IFERROR(VLOOKUP($A98,Devengado!$A$1:$AI$9038,31,FALSE),"")</f>
        <v/>
      </c>
      <c r="CT98" s="224" t="str">
        <f>IFERROR(VLOOKUP($A98,Devengado!$A$1:$AI$9038,32,FALSE),"")</f>
        <v/>
      </c>
      <c r="CU98" s="224" t="str">
        <f>IFERROR(VLOOKUP($A98,Devengado!$A$1:$AI$9038,33,FALSE),"")</f>
        <v/>
      </c>
      <c r="CV98" s="224">
        <f t="shared" si="63"/>
        <v>0</v>
      </c>
      <c r="CW98" s="224" t="str">
        <f t="shared" si="64"/>
        <v/>
      </c>
      <c r="CX98" s="207"/>
      <c r="CY98" s="207" t="str">
        <f t="shared" si="65"/>
        <v>53</v>
      </c>
      <c r="CZ98" s="112" t="s">
        <v>915</v>
      </c>
    </row>
    <row r="99" spans="1:104" s="225" customFormat="1" ht="18" customHeight="1">
      <c r="A99" s="207">
        <v>788</v>
      </c>
      <c r="B99" s="207"/>
      <c r="C99" s="207"/>
      <c r="D99" s="207"/>
      <c r="E99" s="207"/>
      <c r="F99" s="207"/>
      <c r="G99" s="207"/>
      <c r="H99" s="207"/>
      <c r="I99" s="207"/>
      <c r="J99" s="207"/>
      <c r="K99" s="207" t="s">
        <v>429</v>
      </c>
      <c r="L99" s="207" t="s">
        <v>850</v>
      </c>
      <c r="M99" s="207" t="s">
        <v>850</v>
      </c>
      <c r="N99" s="207" t="s">
        <v>77</v>
      </c>
      <c r="O99" s="207" t="s">
        <v>77</v>
      </c>
      <c r="P99" s="207" t="s">
        <v>76</v>
      </c>
      <c r="Q99" s="207" t="s">
        <v>77</v>
      </c>
      <c r="R99" s="207" t="s">
        <v>77</v>
      </c>
      <c r="S99" s="207" t="s">
        <v>77</v>
      </c>
      <c r="T99" s="207" t="s">
        <v>77</v>
      </c>
      <c r="U99" s="207" t="s">
        <v>77</v>
      </c>
      <c r="V99" s="207" t="s">
        <v>77</v>
      </c>
      <c r="W99" s="207" t="s">
        <v>85</v>
      </c>
      <c r="X99" s="207" t="s">
        <v>754</v>
      </c>
      <c r="Y99" s="303" t="s">
        <v>430</v>
      </c>
      <c r="Z99" s="303">
        <v>80</v>
      </c>
      <c r="AA99" s="303" t="s">
        <v>81</v>
      </c>
      <c r="AB99" s="118" t="s">
        <v>112</v>
      </c>
      <c r="AC99" s="115" t="str">
        <f t="shared" si="49"/>
        <v>53</v>
      </c>
      <c r="AD99" s="269">
        <v>530205</v>
      </c>
      <c r="AE99" s="207" t="str">
        <f>VLOOKUP(AD99,ITEM!$C$1:$D$694,2,FALSE)</f>
        <v>Espectáculos Culturales y Sociales</v>
      </c>
      <c r="AF99" s="207">
        <v>1309</v>
      </c>
      <c r="AG99" s="207" t="s">
        <v>82</v>
      </c>
      <c r="AH99" s="207" t="s">
        <v>84</v>
      </c>
      <c r="AI99" s="207" t="s">
        <v>84</v>
      </c>
      <c r="AJ99" s="118" t="s">
        <v>914</v>
      </c>
      <c r="AK99" s="114" t="s">
        <v>77</v>
      </c>
      <c r="AL99" s="272">
        <v>0</v>
      </c>
      <c r="AM99" s="272">
        <v>0</v>
      </c>
      <c r="AN99" s="272">
        <v>0</v>
      </c>
      <c r="AO99" s="207">
        <f>SUMIF(Reforma!$A$2:$A$8523,$A99,Reforma!$AB$2:$AB$8523)</f>
        <v>0</v>
      </c>
      <c r="AP99" s="207">
        <f>SUMIF(Reforma!$A$2:$A$8523,$A99,Reforma!$AC$2:$AC$8523)</f>
        <v>0</v>
      </c>
      <c r="AQ99" s="207">
        <f>SUMIF(Reforma!$A$2:$A$8523,$A99,Reforma!$AD$2:$AD$8523)</f>
        <v>0</v>
      </c>
      <c r="AR99" s="207">
        <f>SUMIF(Reforma!$A$2:$A$8523,$A99,Reforma!$AE$2:$AE$8523)</f>
        <v>0</v>
      </c>
      <c r="AS99" s="298">
        <f t="shared" si="56"/>
        <v>0</v>
      </c>
      <c r="AT99" s="298">
        <f t="shared" si="57"/>
        <v>0</v>
      </c>
      <c r="AU99" s="207">
        <f t="shared" si="58"/>
        <v>0</v>
      </c>
      <c r="AV99" s="408"/>
      <c r="AW99" s="326"/>
      <c r="AX99" s="326"/>
      <c r="AY99" s="326"/>
      <c r="AZ99" s="326"/>
      <c r="BA99" s="326"/>
      <c r="BB99" s="326"/>
      <c r="BC99" s="326"/>
      <c r="BD99" s="326"/>
      <c r="BE99" s="326"/>
      <c r="BF99" s="326"/>
      <c r="BG99" s="326"/>
      <c r="BH99" s="408"/>
      <c r="BI99" s="408">
        <f t="shared" si="53"/>
        <v>0</v>
      </c>
      <c r="BJ99" s="408">
        <f t="shared" si="59"/>
        <v>0</v>
      </c>
      <c r="BK99" s="207"/>
      <c r="BL99" s="207"/>
      <c r="BM99" s="207"/>
      <c r="BN99" s="224" t="str">
        <f>IFERROR(VLOOKUP($A99,'Constancias POA'!$A$2:$DH$9993,18,FALSE),"")</f>
        <v/>
      </c>
      <c r="BO99" s="224" t="str">
        <f t="shared" si="60"/>
        <v/>
      </c>
      <c r="BP99" s="224" t="str">
        <f>IFERROR(VLOOKUP($A99,CP!$A$1:$U$7992,18,FALSE),"")</f>
        <v/>
      </c>
      <c r="BQ99" s="224" t="str">
        <f>IFERROR(VLOOKUP($A99,CP!$A$1:$U$7992,19,FALSE),"")</f>
        <v/>
      </c>
      <c r="BR99" s="224" t="str">
        <f>IFERROR(VLOOKUP($A99,CP!$A$1:$U$7992,20,FALSE),"")</f>
        <v/>
      </c>
      <c r="BS99" s="224" t="str">
        <f>IFERROR(VLOOKUP($A99,CP!$A$1:$U$1,21,FALSE),"")</f>
        <v/>
      </c>
      <c r="BT99" s="224" t="str">
        <f>IFERROR(VLOOKUP(A99,Devengado!$A$1:AJ$9310,35,FALSE),"")</f>
        <v/>
      </c>
      <c r="BU99" s="224" t="str">
        <f t="shared" si="61"/>
        <v/>
      </c>
      <c r="BV99" s="224" t="str">
        <f t="shared" si="62"/>
        <v/>
      </c>
      <c r="BW99" s="224">
        <f t="shared" si="55"/>
        <v>0</v>
      </c>
      <c r="BX99" s="296"/>
      <c r="BY99" s="296"/>
      <c r="BZ99" s="296"/>
      <c r="CA99" s="296"/>
      <c r="CB99" s="296"/>
      <c r="CC99" s="296"/>
      <c r="CD99" s="296"/>
      <c r="CE99" s="296"/>
      <c r="CF99" s="296"/>
      <c r="CG99" s="296"/>
      <c r="CH99" s="296"/>
      <c r="CI99" s="296"/>
      <c r="CJ99" s="224" t="str">
        <f>IFERROR(VLOOKUP($A99,Devengado!$A$1:$AI$9038,22,FALSE),"")</f>
        <v/>
      </c>
      <c r="CK99" s="224" t="str">
        <f>IFERROR(VLOOKUP($A99,Devengado!$A$1:$AI$9038,23,FALSE),"")</f>
        <v/>
      </c>
      <c r="CL99" s="224" t="str">
        <f>IFERROR(VLOOKUP($A99,Devengado!$A$1:$AI$9038,24,FALSE),"")</f>
        <v/>
      </c>
      <c r="CM99" s="224" t="str">
        <f>IFERROR(VLOOKUP($A99,Devengado!$A$1:$AI$9038,25,FALSE),"")</f>
        <v/>
      </c>
      <c r="CN99" s="224" t="str">
        <f>IFERROR(VLOOKUP($A99,Devengado!$A$1:$AI$9038,26,FALSE),"")</f>
        <v/>
      </c>
      <c r="CO99" s="224" t="str">
        <f>IFERROR(VLOOKUP($A99,Devengado!$A$1:$AI$9038,27,FALSE),"")</f>
        <v/>
      </c>
      <c r="CP99" s="224" t="str">
        <f>IFERROR(VLOOKUP($A99,Devengado!$A$1:$AI$9038,28,FALSE),"")</f>
        <v/>
      </c>
      <c r="CQ99" s="224" t="str">
        <f>IFERROR(VLOOKUP($A99,Devengado!$A$1:$AI$9038,29,FALSE),"")</f>
        <v/>
      </c>
      <c r="CR99" s="224" t="str">
        <f>IFERROR(VLOOKUP($A99,Devengado!$A$1:$AI$9038,30,FALSE),"")</f>
        <v/>
      </c>
      <c r="CS99" s="224" t="str">
        <f>IFERROR(VLOOKUP($A99,Devengado!$A$1:$AI$9038,31,FALSE),"")</f>
        <v/>
      </c>
      <c r="CT99" s="224" t="str">
        <f>IFERROR(VLOOKUP($A99,Devengado!$A$1:$AI$9038,32,FALSE),"")</f>
        <v/>
      </c>
      <c r="CU99" s="224" t="str">
        <f>IFERROR(VLOOKUP($A99,Devengado!$A$1:$AI$9038,33,FALSE),"")</f>
        <v/>
      </c>
      <c r="CV99" s="224">
        <f t="shared" si="63"/>
        <v>0</v>
      </c>
      <c r="CW99" s="224" t="str">
        <f t="shared" si="64"/>
        <v/>
      </c>
      <c r="CX99" s="207"/>
      <c r="CY99" s="207" t="str">
        <f t="shared" si="65"/>
        <v>53</v>
      </c>
      <c r="CZ99" s="112" t="s">
        <v>915</v>
      </c>
    </row>
    <row r="100" spans="1:104" s="225" customFormat="1" ht="18.75" customHeight="1">
      <c r="A100" s="207">
        <v>789</v>
      </c>
      <c r="B100" s="207"/>
      <c r="C100" s="207"/>
      <c r="D100" s="207"/>
      <c r="E100" s="207"/>
      <c r="F100" s="207"/>
      <c r="G100" s="207"/>
      <c r="H100" s="207"/>
      <c r="I100" s="207"/>
      <c r="J100" s="207"/>
      <c r="K100" s="207" t="s">
        <v>429</v>
      </c>
      <c r="L100" s="207" t="s">
        <v>850</v>
      </c>
      <c r="M100" s="207" t="s">
        <v>850</v>
      </c>
      <c r="N100" s="207" t="s">
        <v>77</v>
      </c>
      <c r="O100" s="207" t="s">
        <v>77</v>
      </c>
      <c r="P100" s="207" t="s">
        <v>76</v>
      </c>
      <c r="Q100" s="207" t="s">
        <v>77</v>
      </c>
      <c r="R100" s="207" t="s">
        <v>77</v>
      </c>
      <c r="S100" s="207" t="s">
        <v>77</v>
      </c>
      <c r="T100" s="207" t="s">
        <v>77</v>
      </c>
      <c r="U100" s="207" t="s">
        <v>77</v>
      </c>
      <c r="V100" s="207" t="s">
        <v>77</v>
      </c>
      <c r="W100" s="207" t="s">
        <v>85</v>
      </c>
      <c r="X100" s="207" t="s">
        <v>755</v>
      </c>
      <c r="Y100" s="303" t="s">
        <v>430</v>
      </c>
      <c r="Z100" s="303">
        <v>80</v>
      </c>
      <c r="AA100" s="303" t="s">
        <v>81</v>
      </c>
      <c r="AB100" s="118" t="s">
        <v>112</v>
      </c>
      <c r="AC100" s="115" t="str">
        <f t="shared" si="49"/>
        <v>53</v>
      </c>
      <c r="AD100" s="269">
        <v>530403</v>
      </c>
      <c r="AE100" s="207" t="str">
        <f>VLOOKUP(AD100,ITEM!$C$1:$D$694,2,FALSE)</f>
        <v>Mobiliarios  (Instalación, Mantenimiento y Reparación)</v>
      </c>
      <c r="AF100" s="207">
        <v>1309</v>
      </c>
      <c r="AG100" s="207" t="s">
        <v>82</v>
      </c>
      <c r="AH100" s="207" t="s">
        <v>84</v>
      </c>
      <c r="AI100" s="207" t="s">
        <v>84</v>
      </c>
      <c r="AJ100" s="118" t="s">
        <v>914</v>
      </c>
      <c r="AK100" s="114" t="s">
        <v>77</v>
      </c>
      <c r="AL100" s="272">
        <v>0</v>
      </c>
      <c r="AM100" s="272">
        <v>0</v>
      </c>
      <c r="AN100" s="272">
        <v>0</v>
      </c>
      <c r="AO100" s="207">
        <f>SUMIF(Reforma!$A$2:$A$8523,$A100,Reforma!$AB$2:$AB$8523)</f>
        <v>0</v>
      </c>
      <c r="AP100" s="207">
        <f>SUMIF(Reforma!$A$2:$A$8523,$A100,Reforma!$AC$2:$AC$8523)</f>
        <v>0</v>
      </c>
      <c r="AQ100" s="207">
        <f>SUMIF(Reforma!$A$2:$A$8523,$A100,Reforma!$AD$2:$AD$8523)</f>
        <v>0</v>
      </c>
      <c r="AR100" s="207">
        <f>SUMIF(Reforma!$A$2:$A$8523,$A100,Reforma!$AE$2:$AE$8523)</f>
        <v>0</v>
      </c>
      <c r="AS100" s="298">
        <f t="shared" si="56"/>
        <v>0</v>
      </c>
      <c r="AT100" s="298">
        <f t="shared" si="57"/>
        <v>0</v>
      </c>
      <c r="AU100" s="207">
        <f t="shared" si="58"/>
        <v>0</v>
      </c>
      <c r="AV100" s="408"/>
      <c r="AW100" s="326"/>
      <c r="AX100" s="326"/>
      <c r="AY100" s="326"/>
      <c r="AZ100" s="326"/>
      <c r="BA100" s="326"/>
      <c r="BB100" s="326"/>
      <c r="BC100" s="326"/>
      <c r="BD100" s="326"/>
      <c r="BE100" s="326"/>
      <c r="BF100" s="326"/>
      <c r="BG100" s="326"/>
      <c r="BH100" s="408"/>
      <c r="BI100" s="408">
        <f t="shared" si="53"/>
        <v>0</v>
      </c>
      <c r="BJ100" s="408">
        <f t="shared" si="59"/>
        <v>0</v>
      </c>
      <c r="BK100" s="207"/>
      <c r="BL100" s="207"/>
      <c r="BM100" s="207"/>
      <c r="BN100" s="224" t="str">
        <f>IFERROR(VLOOKUP($A100,'Constancias POA'!$A$2:$DH$9993,18,FALSE),"")</f>
        <v/>
      </c>
      <c r="BO100" s="224" t="str">
        <f t="shared" si="60"/>
        <v/>
      </c>
      <c r="BP100" s="224" t="str">
        <f>IFERROR(VLOOKUP($A100,CP!$A$1:$U$7992,18,FALSE),"")</f>
        <v/>
      </c>
      <c r="BQ100" s="224" t="str">
        <f>IFERROR(VLOOKUP($A100,CP!$A$1:$U$7992,19,FALSE),"")</f>
        <v/>
      </c>
      <c r="BR100" s="224" t="str">
        <f>IFERROR(VLOOKUP($A100,CP!$A$1:$U$7992,20,FALSE),"")</f>
        <v/>
      </c>
      <c r="BS100" s="224" t="str">
        <f>IFERROR(VLOOKUP($A100,CP!$A$1:$U$1,21,FALSE),"")</f>
        <v/>
      </c>
      <c r="BT100" s="224" t="str">
        <f>IFERROR(VLOOKUP(A100,Devengado!$A$1:AJ$9310,35,FALSE),"")</f>
        <v/>
      </c>
      <c r="BU100" s="224" t="str">
        <f t="shared" si="61"/>
        <v/>
      </c>
      <c r="BV100" s="224" t="str">
        <f t="shared" si="62"/>
        <v/>
      </c>
      <c r="BW100" s="224">
        <f t="shared" si="55"/>
        <v>0</v>
      </c>
      <c r="BX100" s="296"/>
      <c r="BY100" s="296"/>
      <c r="BZ100" s="296"/>
      <c r="CA100" s="296"/>
      <c r="CB100" s="296"/>
      <c r="CC100" s="296"/>
      <c r="CD100" s="296"/>
      <c r="CE100" s="296"/>
      <c r="CF100" s="296"/>
      <c r="CG100" s="296"/>
      <c r="CH100" s="296"/>
      <c r="CI100" s="296"/>
      <c r="CJ100" s="224" t="str">
        <f>IFERROR(VLOOKUP($A100,Devengado!$A$1:$AI$9038,22,FALSE),"")</f>
        <v/>
      </c>
      <c r="CK100" s="224" t="str">
        <f>IFERROR(VLOOKUP($A100,Devengado!$A$1:$AI$9038,23,FALSE),"")</f>
        <v/>
      </c>
      <c r="CL100" s="224" t="str">
        <f>IFERROR(VLOOKUP($A100,Devengado!$A$1:$AI$9038,24,FALSE),"")</f>
        <v/>
      </c>
      <c r="CM100" s="224" t="str">
        <f>IFERROR(VLOOKUP($A100,Devengado!$A$1:$AI$9038,25,FALSE),"")</f>
        <v/>
      </c>
      <c r="CN100" s="224" t="str">
        <f>IFERROR(VLOOKUP($A100,Devengado!$A$1:$AI$9038,26,FALSE),"")</f>
        <v/>
      </c>
      <c r="CO100" s="224" t="str">
        <f>IFERROR(VLOOKUP($A100,Devengado!$A$1:$AI$9038,27,FALSE),"")</f>
        <v/>
      </c>
      <c r="CP100" s="224" t="str">
        <f>IFERROR(VLOOKUP($A100,Devengado!$A$1:$AI$9038,28,FALSE),"")</f>
        <v/>
      </c>
      <c r="CQ100" s="224" t="str">
        <f>IFERROR(VLOOKUP($A100,Devengado!$A$1:$AI$9038,29,FALSE),"")</f>
        <v/>
      </c>
      <c r="CR100" s="224" t="str">
        <f>IFERROR(VLOOKUP($A100,Devengado!$A$1:$AI$9038,30,FALSE),"")</f>
        <v/>
      </c>
      <c r="CS100" s="224" t="str">
        <f>IFERROR(VLOOKUP($A100,Devengado!$A$1:$AI$9038,31,FALSE),"")</f>
        <v/>
      </c>
      <c r="CT100" s="224" t="str">
        <f>IFERROR(VLOOKUP($A100,Devengado!$A$1:$AI$9038,32,FALSE),"")</f>
        <v/>
      </c>
      <c r="CU100" s="224" t="str">
        <f>IFERROR(VLOOKUP($A100,Devengado!$A$1:$AI$9038,33,FALSE),"")</f>
        <v/>
      </c>
      <c r="CV100" s="224">
        <f t="shared" si="63"/>
        <v>0</v>
      </c>
      <c r="CW100" s="224" t="str">
        <f t="shared" si="64"/>
        <v/>
      </c>
      <c r="CX100" s="207"/>
      <c r="CY100" s="207" t="str">
        <f t="shared" si="65"/>
        <v>53</v>
      </c>
      <c r="CZ100" s="112" t="s">
        <v>915</v>
      </c>
    </row>
    <row r="101" spans="1:104" s="225" customFormat="1" ht="21" customHeight="1">
      <c r="A101" s="207">
        <v>790</v>
      </c>
      <c r="B101" s="207"/>
      <c r="C101" s="207"/>
      <c r="D101" s="207"/>
      <c r="E101" s="207"/>
      <c r="F101" s="207"/>
      <c r="G101" s="207"/>
      <c r="H101" s="207"/>
      <c r="I101" s="207"/>
      <c r="J101" s="207"/>
      <c r="K101" s="207" t="s">
        <v>429</v>
      </c>
      <c r="L101" s="207" t="s">
        <v>850</v>
      </c>
      <c r="M101" s="207" t="s">
        <v>850</v>
      </c>
      <c r="N101" s="207" t="s">
        <v>77</v>
      </c>
      <c r="O101" s="207" t="s">
        <v>77</v>
      </c>
      <c r="P101" s="207" t="s">
        <v>76</v>
      </c>
      <c r="Q101" s="207" t="s">
        <v>77</v>
      </c>
      <c r="R101" s="207" t="s">
        <v>77</v>
      </c>
      <c r="S101" s="207" t="s">
        <v>77</v>
      </c>
      <c r="T101" s="207" t="s">
        <v>77</v>
      </c>
      <c r="U101" s="207" t="s">
        <v>77</v>
      </c>
      <c r="V101" s="207" t="s">
        <v>77</v>
      </c>
      <c r="W101" s="207" t="s">
        <v>85</v>
      </c>
      <c r="X101" s="207" t="s">
        <v>756</v>
      </c>
      <c r="Y101" s="303" t="s">
        <v>430</v>
      </c>
      <c r="Z101" s="303">
        <v>80</v>
      </c>
      <c r="AA101" s="303" t="s">
        <v>81</v>
      </c>
      <c r="AB101" s="118" t="s">
        <v>112</v>
      </c>
      <c r="AC101" s="115" t="str">
        <f t="shared" si="49"/>
        <v>53</v>
      </c>
      <c r="AD101" s="269">
        <v>530425</v>
      </c>
      <c r="AE101" s="207" t="str">
        <f>VLOOKUP(AD101,ITEM!$C$1:$D$694,2,FALSE)</f>
        <v>Instalación, Readecuación, Montaje de Exposiciones, Mantenimiento y Reparación de Espacios y Bienes Culturales</v>
      </c>
      <c r="AF101" s="207">
        <v>1309</v>
      </c>
      <c r="AG101" s="207" t="s">
        <v>82</v>
      </c>
      <c r="AH101" s="207" t="s">
        <v>84</v>
      </c>
      <c r="AI101" s="207" t="s">
        <v>84</v>
      </c>
      <c r="AJ101" s="118" t="s">
        <v>914</v>
      </c>
      <c r="AK101" s="114" t="s">
        <v>77</v>
      </c>
      <c r="AL101" s="272">
        <v>0</v>
      </c>
      <c r="AM101" s="272">
        <v>0</v>
      </c>
      <c r="AN101" s="272">
        <v>0</v>
      </c>
      <c r="AO101" s="207">
        <f>SUMIF(Reforma!$A$2:$A$8523,$A101,Reforma!$AB$2:$AB$8523)</f>
        <v>0</v>
      </c>
      <c r="AP101" s="207">
        <f>SUMIF(Reforma!$A$2:$A$8523,$A101,Reforma!$AC$2:$AC$8523)</f>
        <v>0</v>
      </c>
      <c r="AQ101" s="207">
        <f>SUMIF(Reforma!$A$2:$A$8523,$A101,Reforma!$AD$2:$AD$8523)</f>
        <v>0</v>
      </c>
      <c r="AR101" s="207">
        <f>SUMIF(Reforma!$A$2:$A$8523,$A101,Reforma!$AE$2:$AE$8523)</f>
        <v>0</v>
      </c>
      <c r="AS101" s="298">
        <f t="shared" si="56"/>
        <v>0</v>
      </c>
      <c r="AT101" s="298">
        <f t="shared" si="57"/>
        <v>0</v>
      </c>
      <c r="AU101" s="207">
        <f t="shared" si="58"/>
        <v>0</v>
      </c>
      <c r="AV101" s="408"/>
      <c r="AW101" s="326"/>
      <c r="AX101" s="326"/>
      <c r="AY101" s="326"/>
      <c r="AZ101" s="326"/>
      <c r="BA101" s="326"/>
      <c r="BB101" s="326"/>
      <c r="BC101" s="326"/>
      <c r="BD101" s="326"/>
      <c r="BE101" s="326"/>
      <c r="BF101" s="326"/>
      <c r="BG101" s="326"/>
      <c r="BH101" s="408"/>
      <c r="BI101" s="408">
        <f t="shared" si="53"/>
        <v>0</v>
      </c>
      <c r="BJ101" s="408">
        <f t="shared" si="59"/>
        <v>0</v>
      </c>
      <c r="BK101" s="207"/>
      <c r="BL101" s="207"/>
      <c r="BM101" s="207"/>
      <c r="BN101" s="224" t="str">
        <f>IFERROR(VLOOKUP($A101,'Constancias POA'!$A$2:$DH$9993,18,FALSE),"")</f>
        <v/>
      </c>
      <c r="BO101" s="224" t="str">
        <f t="shared" si="60"/>
        <v/>
      </c>
      <c r="BP101" s="224" t="str">
        <f>IFERROR(VLOOKUP($A101,CP!$A$1:$U$7992,18,FALSE),"")</f>
        <v/>
      </c>
      <c r="BQ101" s="224" t="str">
        <f>IFERROR(VLOOKUP($A101,CP!$A$1:$U$7992,19,FALSE),"")</f>
        <v/>
      </c>
      <c r="BR101" s="224" t="str">
        <f>IFERROR(VLOOKUP($A101,CP!$A$1:$U$7992,20,FALSE),"")</f>
        <v/>
      </c>
      <c r="BS101" s="224" t="str">
        <f>IFERROR(VLOOKUP($A101,CP!$A$1:$U$1,21,FALSE),"")</f>
        <v/>
      </c>
      <c r="BT101" s="224" t="str">
        <f>IFERROR(VLOOKUP(A101,Devengado!$A$1:AJ$9310,35,FALSE),"")</f>
        <v/>
      </c>
      <c r="BU101" s="224" t="str">
        <f t="shared" si="61"/>
        <v/>
      </c>
      <c r="BV101" s="224" t="str">
        <f t="shared" si="62"/>
        <v/>
      </c>
      <c r="BW101" s="224">
        <f t="shared" si="55"/>
        <v>0</v>
      </c>
      <c r="BX101" s="296"/>
      <c r="BY101" s="296"/>
      <c r="BZ101" s="296"/>
      <c r="CA101" s="296"/>
      <c r="CB101" s="296"/>
      <c r="CC101" s="296"/>
      <c r="CD101" s="296"/>
      <c r="CE101" s="296"/>
      <c r="CF101" s="296"/>
      <c r="CG101" s="296"/>
      <c r="CH101" s="296"/>
      <c r="CI101" s="296"/>
      <c r="CJ101" s="224" t="str">
        <f>IFERROR(VLOOKUP($A101,Devengado!$A$1:$AI$9038,22,FALSE),"")</f>
        <v/>
      </c>
      <c r="CK101" s="224" t="str">
        <f>IFERROR(VLOOKUP($A101,Devengado!$A$1:$AI$9038,23,FALSE),"")</f>
        <v/>
      </c>
      <c r="CL101" s="224" t="str">
        <f>IFERROR(VLOOKUP($A101,Devengado!$A$1:$AI$9038,24,FALSE),"")</f>
        <v/>
      </c>
      <c r="CM101" s="224" t="str">
        <f>IFERROR(VLOOKUP($A101,Devengado!$A$1:$AI$9038,25,FALSE),"")</f>
        <v/>
      </c>
      <c r="CN101" s="224" t="str">
        <f>IFERROR(VLOOKUP($A101,Devengado!$A$1:$AI$9038,26,FALSE),"")</f>
        <v/>
      </c>
      <c r="CO101" s="224" t="str">
        <f>IFERROR(VLOOKUP($A101,Devengado!$A$1:$AI$9038,27,FALSE),"")</f>
        <v/>
      </c>
      <c r="CP101" s="224" t="str">
        <f>IFERROR(VLOOKUP($A101,Devengado!$A$1:$AI$9038,28,FALSE),"")</f>
        <v/>
      </c>
      <c r="CQ101" s="224" t="str">
        <f>IFERROR(VLOOKUP($A101,Devengado!$A$1:$AI$9038,29,FALSE),"")</f>
        <v/>
      </c>
      <c r="CR101" s="224" t="str">
        <f>IFERROR(VLOOKUP($A101,Devengado!$A$1:$AI$9038,30,FALSE),"")</f>
        <v/>
      </c>
      <c r="CS101" s="224" t="str">
        <f>IFERROR(VLOOKUP($A101,Devengado!$A$1:$AI$9038,31,FALSE),"")</f>
        <v/>
      </c>
      <c r="CT101" s="224" t="str">
        <f>IFERROR(VLOOKUP($A101,Devengado!$A$1:$AI$9038,32,FALSE),"")</f>
        <v/>
      </c>
      <c r="CU101" s="224" t="str">
        <f>IFERROR(VLOOKUP($A101,Devengado!$A$1:$AI$9038,33,FALSE),"")</f>
        <v/>
      </c>
      <c r="CV101" s="224">
        <f t="shared" si="63"/>
        <v>0</v>
      </c>
      <c r="CW101" s="224" t="str">
        <f t="shared" si="64"/>
        <v/>
      </c>
      <c r="CX101" s="207"/>
      <c r="CY101" s="207" t="str">
        <f t="shared" si="65"/>
        <v>53</v>
      </c>
      <c r="CZ101" s="112" t="s">
        <v>915</v>
      </c>
    </row>
    <row r="102" spans="1:104" s="225" customFormat="1" ht="22.5" customHeight="1">
      <c r="A102" s="207">
        <v>791</v>
      </c>
      <c r="B102" s="207"/>
      <c r="C102" s="207"/>
      <c r="D102" s="207"/>
      <c r="E102" s="207"/>
      <c r="F102" s="207"/>
      <c r="G102" s="207"/>
      <c r="H102" s="207"/>
      <c r="I102" s="207"/>
      <c r="J102" s="207"/>
      <c r="K102" s="207" t="s">
        <v>429</v>
      </c>
      <c r="L102" s="207" t="s">
        <v>850</v>
      </c>
      <c r="M102" s="207" t="s">
        <v>850</v>
      </c>
      <c r="N102" s="207" t="s">
        <v>77</v>
      </c>
      <c r="O102" s="207" t="s">
        <v>77</v>
      </c>
      <c r="P102" s="207" t="s">
        <v>76</v>
      </c>
      <c r="Q102" s="207" t="s">
        <v>77</v>
      </c>
      <c r="R102" s="207" t="s">
        <v>77</v>
      </c>
      <c r="S102" s="207" t="s">
        <v>77</v>
      </c>
      <c r="T102" s="207" t="s">
        <v>77</v>
      </c>
      <c r="U102" s="207" t="s">
        <v>77</v>
      </c>
      <c r="V102" s="207" t="s">
        <v>77</v>
      </c>
      <c r="W102" s="207" t="s">
        <v>85</v>
      </c>
      <c r="X102" s="207" t="s">
        <v>757</v>
      </c>
      <c r="Y102" s="303" t="s">
        <v>430</v>
      </c>
      <c r="Z102" s="303">
        <v>80</v>
      </c>
      <c r="AA102" s="303" t="s">
        <v>81</v>
      </c>
      <c r="AB102" s="118" t="s">
        <v>112</v>
      </c>
      <c r="AC102" s="115" t="str">
        <f t="shared" si="49"/>
        <v>99</v>
      </c>
      <c r="AD102" s="269">
        <v>990102</v>
      </c>
      <c r="AE102" s="207" t="str">
        <f>VLOOKUP(AD102,ITEM!$C$1:$D$694,2,FALSE)</f>
        <v>Obligaciones de Ejercicios Anteriores por Egresos en Servicios</v>
      </c>
      <c r="AF102" s="207">
        <v>1309</v>
      </c>
      <c r="AG102" s="207" t="s">
        <v>82</v>
      </c>
      <c r="AH102" s="207" t="s">
        <v>84</v>
      </c>
      <c r="AI102" s="207" t="s">
        <v>84</v>
      </c>
      <c r="AJ102" s="118" t="s">
        <v>914</v>
      </c>
      <c r="AK102" s="114" t="s">
        <v>77</v>
      </c>
      <c r="AL102" s="272">
        <v>0</v>
      </c>
      <c r="AM102" s="272">
        <v>0</v>
      </c>
      <c r="AN102" s="272">
        <v>0</v>
      </c>
      <c r="AO102" s="207">
        <f>SUMIF(Reforma!$A$2:$A$8523,$A102,Reforma!$AB$2:$AB$8523)</f>
        <v>0</v>
      </c>
      <c r="AP102" s="207">
        <f>SUMIF(Reforma!$A$2:$A$8523,$A102,Reforma!$AC$2:$AC$8523)</f>
        <v>0</v>
      </c>
      <c r="AQ102" s="207">
        <f>SUMIF(Reforma!$A$2:$A$8523,$A102,Reforma!$AD$2:$AD$8523)</f>
        <v>0</v>
      </c>
      <c r="AR102" s="207">
        <f>SUMIF(Reforma!$A$2:$A$8523,$A102,Reforma!$AE$2:$AE$8523)</f>
        <v>0</v>
      </c>
      <c r="AS102" s="298">
        <f t="shared" si="56"/>
        <v>0</v>
      </c>
      <c r="AT102" s="298">
        <f t="shared" si="57"/>
        <v>0</v>
      </c>
      <c r="AU102" s="207">
        <f t="shared" si="58"/>
        <v>0</v>
      </c>
      <c r="AV102" s="408"/>
      <c r="AW102" s="326"/>
      <c r="AX102" s="326"/>
      <c r="AY102" s="326"/>
      <c r="AZ102" s="326"/>
      <c r="BA102" s="326"/>
      <c r="BB102" s="326"/>
      <c r="BC102" s="326"/>
      <c r="BD102" s="326"/>
      <c r="BE102" s="326"/>
      <c r="BF102" s="326"/>
      <c r="BG102" s="326"/>
      <c r="BH102" s="408"/>
      <c r="BI102" s="408">
        <f t="shared" si="53"/>
        <v>0</v>
      </c>
      <c r="BJ102" s="408">
        <f t="shared" si="59"/>
        <v>0</v>
      </c>
      <c r="BK102" s="207"/>
      <c r="BL102" s="207"/>
      <c r="BM102" s="207"/>
      <c r="BN102" s="224" t="str">
        <f>IFERROR(VLOOKUP($A102,'Constancias POA'!$A$2:$DH$9993,18,FALSE),"")</f>
        <v/>
      </c>
      <c r="BO102" s="224" t="str">
        <f t="shared" si="60"/>
        <v/>
      </c>
      <c r="BP102" s="224" t="str">
        <f>IFERROR(VLOOKUP($A102,CP!$A$1:$U$7992,18,FALSE),"")</f>
        <v/>
      </c>
      <c r="BQ102" s="224" t="str">
        <f>IFERROR(VLOOKUP($A102,CP!$A$1:$U$7992,19,FALSE),"")</f>
        <v/>
      </c>
      <c r="BR102" s="224" t="str">
        <f>IFERROR(VLOOKUP($A102,CP!$A$1:$U$7992,20,FALSE),"")</f>
        <v/>
      </c>
      <c r="BS102" s="224" t="str">
        <f>IFERROR(VLOOKUP($A102,CP!$A$1:$U$1,21,FALSE),"")</f>
        <v/>
      </c>
      <c r="BT102" s="224" t="str">
        <f>IFERROR(VLOOKUP(A102,Devengado!$A$1:AJ$9310,35,FALSE),"")</f>
        <v/>
      </c>
      <c r="BU102" s="224" t="str">
        <f t="shared" si="61"/>
        <v/>
      </c>
      <c r="BV102" s="224" t="str">
        <f t="shared" si="62"/>
        <v/>
      </c>
      <c r="BW102" s="224">
        <f t="shared" si="55"/>
        <v>0</v>
      </c>
      <c r="BX102" s="296"/>
      <c r="BY102" s="296"/>
      <c r="BZ102" s="296"/>
      <c r="CA102" s="296"/>
      <c r="CB102" s="296"/>
      <c r="CC102" s="296"/>
      <c r="CD102" s="296"/>
      <c r="CE102" s="296"/>
      <c r="CF102" s="296"/>
      <c r="CG102" s="296"/>
      <c r="CH102" s="296"/>
      <c r="CI102" s="296"/>
      <c r="CJ102" s="224" t="str">
        <f>IFERROR(VLOOKUP($A102,Devengado!$A$1:$AI$9038,22,FALSE),"")</f>
        <v/>
      </c>
      <c r="CK102" s="224" t="str">
        <f>IFERROR(VLOOKUP($A102,Devengado!$A$1:$AI$9038,23,FALSE),"")</f>
        <v/>
      </c>
      <c r="CL102" s="224" t="str">
        <f>IFERROR(VLOOKUP($A102,Devengado!$A$1:$AI$9038,24,FALSE),"")</f>
        <v/>
      </c>
      <c r="CM102" s="224" t="str">
        <f>IFERROR(VLOOKUP($A102,Devengado!$A$1:$AI$9038,25,FALSE),"")</f>
        <v/>
      </c>
      <c r="CN102" s="224" t="str">
        <f>IFERROR(VLOOKUP($A102,Devengado!$A$1:$AI$9038,26,FALSE),"")</f>
        <v/>
      </c>
      <c r="CO102" s="224" t="str">
        <f>IFERROR(VLOOKUP($A102,Devengado!$A$1:$AI$9038,27,FALSE),"")</f>
        <v/>
      </c>
      <c r="CP102" s="224" t="str">
        <f>IFERROR(VLOOKUP($A102,Devengado!$A$1:$AI$9038,28,FALSE),"")</f>
        <v/>
      </c>
      <c r="CQ102" s="224" t="str">
        <f>IFERROR(VLOOKUP($A102,Devengado!$A$1:$AI$9038,29,FALSE),"")</f>
        <v/>
      </c>
      <c r="CR102" s="224" t="str">
        <f>IFERROR(VLOOKUP($A102,Devengado!$A$1:$AI$9038,30,FALSE),"")</f>
        <v/>
      </c>
      <c r="CS102" s="224" t="str">
        <f>IFERROR(VLOOKUP($A102,Devengado!$A$1:$AI$9038,31,FALSE),"")</f>
        <v/>
      </c>
      <c r="CT102" s="224" t="str">
        <f>IFERROR(VLOOKUP($A102,Devengado!$A$1:$AI$9038,32,FALSE),"")</f>
        <v/>
      </c>
      <c r="CU102" s="224" t="str">
        <f>IFERROR(VLOOKUP($A102,Devengado!$A$1:$AI$9038,33,FALSE),"")</f>
        <v/>
      </c>
      <c r="CV102" s="224">
        <f t="shared" si="63"/>
        <v>0</v>
      </c>
      <c r="CW102" s="224" t="str">
        <f t="shared" si="64"/>
        <v/>
      </c>
      <c r="CX102" s="207"/>
      <c r="CY102" s="207" t="str">
        <f t="shared" si="65"/>
        <v>99</v>
      </c>
      <c r="CZ102" s="112" t="s">
        <v>915</v>
      </c>
    </row>
    <row r="103" spans="1:104" s="225" customFormat="1" ht="20.25" customHeight="1">
      <c r="A103" s="207">
        <v>811</v>
      </c>
      <c r="B103" s="207"/>
      <c r="C103" s="207"/>
      <c r="D103" s="207"/>
      <c r="E103" s="207"/>
      <c r="F103" s="207"/>
      <c r="G103" s="207"/>
      <c r="H103" s="207"/>
      <c r="I103" s="207"/>
      <c r="J103" s="207"/>
      <c r="K103" s="112" t="s">
        <v>429</v>
      </c>
      <c r="L103" s="112" t="s">
        <v>850</v>
      </c>
      <c r="M103" s="112" t="s">
        <v>850</v>
      </c>
      <c r="N103" s="112" t="s">
        <v>77</v>
      </c>
      <c r="O103" s="112" t="s">
        <v>77</v>
      </c>
      <c r="P103" s="112" t="s">
        <v>76</v>
      </c>
      <c r="Q103" s="112" t="s">
        <v>77</v>
      </c>
      <c r="R103" s="112" t="s">
        <v>77</v>
      </c>
      <c r="S103" s="112" t="s">
        <v>77</v>
      </c>
      <c r="T103" s="112" t="s">
        <v>77</v>
      </c>
      <c r="U103" s="112" t="s">
        <v>77</v>
      </c>
      <c r="V103" s="112" t="s">
        <v>77</v>
      </c>
      <c r="W103" s="112" t="s">
        <v>85</v>
      </c>
      <c r="X103" s="207" t="s">
        <v>752</v>
      </c>
      <c r="Y103" s="114" t="s">
        <v>430</v>
      </c>
      <c r="Z103" s="114" t="s">
        <v>111</v>
      </c>
      <c r="AA103" s="114" t="s">
        <v>81</v>
      </c>
      <c r="AB103" s="114" t="s">
        <v>112</v>
      </c>
      <c r="AC103" s="115" t="str">
        <f t="shared" si="49"/>
        <v>53</v>
      </c>
      <c r="AD103" s="269">
        <v>530811</v>
      </c>
      <c r="AE103" s="207" t="str">
        <f>VLOOKUP(AD103,ITEM!$C$1:$D$694,2,FALSE)</f>
        <v>Insumos,   Materiales   y   Suministros   para   Construcción,   Electricidad,   Plomería,   Carpintería,   Señalización   Vial,
Navegación, Contra Incendios y Placas</v>
      </c>
      <c r="AF103" s="207">
        <v>1314</v>
      </c>
      <c r="AG103" s="114" t="s">
        <v>82</v>
      </c>
      <c r="AH103" s="114" t="s">
        <v>84</v>
      </c>
      <c r="AI103" s="114" t="s">
        <v>84</v>
      </c>
      <c r="AJ103" s="114" t="s">
        <v>914</v>
      </c>
      <c r="AK103" s="114" t="s">
        <v>77</v>
      </c>
      <c r="AL103" s="207">
        <v>0</v>
      </c>
      <c r="AM103" s="207">
        <v>0</v>
      </c>
      <c r="AN103" s="207">
        <v>0</v>
      </c>
      <c r="AO103" s="207">
        <f>SUMIF(Reforma!$A$2:$A$8523,$A103,Reforma!$AB$2:$AB$8523)</f>
        <v>3600</v>
      </c>
      <c r="AP103" s="207">
        <f>SUMIF(Reforma!$A$2:$A$8523,$A103,Reforma!$AC$2:$AC$8523)</f>
        <v>-3600</v>
      </c>
      <c r="AQ103" s="207">
        <f>SUMIF(Reforma!$A$2:$A$8523,$A103,Reforma!$AD$2:$AD$8523)</f>
        <v>0</v>
      </c>
      <c r="AR103" s="207">
        <f>SUMIF(Reforma!$A$2:$A$8523,$A103,Reforma!$AE$2:$AE$8523)</f>
        <v>0</v>
      </c>
      <c r="AS103" s="298">
        <f t="shared" si="50"/>
        <v>0</v>
      </c>
      <c r="AT103" s="298">
        <f t="shared" si="51"/>
        <v>0</v>
      </c>
      <c r="AU103" s="207">
        <f t="shared" si="52"/>
        <v>0</v>
      </c>
      <c r="AV103" s="408"/>
      <c r="AW103" s="326"/>
      <c r="AX103" s="326"/>
      <c r="AY103" s="326"/>
      <c r="AZ103" s="326"/>
      <c r="BA103" s="326"/>
      <c r="BB103" s="326"/>
      <c r="BC103" s="326"/>
      <c r="BD103" s="326"/>
      <c r="BE103" s="326"/>
      <c r="BF103" s="326"/>
      <c r="BG103" s="326"/>
      <c r="BH103" s="408">
        <f t="shared" ref="BH103:BH113" si="66">SUM(BX103:CI103)</f>
        <v>0</v>
      </c>
      <c r="BI103" s="408">
        <f t="shared" si="53"/>
        <v>0</v>
      </c>
      <c r="BJ103" s="408">
        <f t="shared" si="54"/>
        <v>0</v>
      </c>
      <c r="BK103" s="207"/>
      <c r="BL103" s="207"/>
      <c r="BM103" s="207"/>
      <c r="BN103" s="224" t="str">
        <f>IFERROR(VLOOKUP($A103,'Constancias POA'!$A$2:$DH$9993,18,FALSE),"")</f>
        <v/>
      </c>
      <c r="BO103" s="224" t="str">
        <f t="shared" ref="BO103:BO113" si="67">IFERROR(AU103-BN103,"")</f>
        <v/>
      </c>
      <c r="BP103" s="224" t="str">
        <f>IFERROR(VLOOKUP($A103,CP!$A$1:$U$7992,18,FALSE),"")</f>
        <v/>
      </c>
      <c r="BQ103" s="224" t="str">
        <f>IFERROR(VLOOKUP($A103,CP!$A$1:$U$7992,19,FALSE),"")</f>
        <v/>
      </c>
      <c r="BR103" s="224" t="str">
        <f>IFERROR(VLOOKUP($A103,CP!$A$1:$U$7992,20,FALSE),"")</f>
        <v/>
      </c>
      <c r="BS103" s="224" t="str">
        <f>IFERROR(VLOOKUP($A103,CP!$A$1:$U$1,21,FALSE),"")</f>
        <v/>
      </c>
      <c r="BT103" s="224" t="str">
        <f>IFERROR(VLOOKUP(A103,Devengado!$A$1:AJ$9310,35,FALSE),"")</f>
        <v/>
      </c>
      <c r="BU103" s="224" t="str">
        <f t="shared" ref="BU103:BU113" si="68">IFERROR((AU103-BT103),"")</f>
        <v/>
      </c>
      <c r="BV103" s="224" t="str">
        <f t="shared" ref="BV103:BV113" si="69">IFERROR(BT103/BW103,"")</f>
        <v/>
      </c>
      <c r="BW103" s="224">
        <f t="shared" si="55"/>
        <v>0</v>
      </c>
      <c r="BX103" s="296">
        <v>0</v>
      </c>
      <c r="BY103" s="296">
        <v>0</v>
      </c>
      <c r="BZ103" s="296">
        <v>0</v>
      </c>
      <c r="CA103" s="296"/>
      <c r="CB103" s="296"/>
      <c r="CC103" s="296"/>
      <c r="CD103" s="296"/>
      <c r="CE103" s="296">
        <v>0</v>
      </c>
      <c r="CF103" s="296">
        <v>0</v>
      </c>
      <c r="CG103" s="296">
        <v>0</v>
      </c>
      <c r="CH103" s="296">
        <v>0</v>
      </c>
      <c r="CI103" s="296">
        <v>0</v>
      </c>
      <c r="CJ103" s="224" t="str">
        <f>IFERROR(VLOOKUP($A103,Devengado!$A$1:$AI$9038,22,FALSE),"")</f>
        <v/>
      </c>
      <c r="CK103" s="224" t="str">
        <f>IFERROR(VLOOKUP($A103,Devengado!$A$1:$AI$9038,23,FALSE),"")</f>
        <v/>
      </c>
      <c r="CL103" s="224" t="str">
        <f>IFERROR(VLOOKUP($A103,Devengado!$A$1:$AI$9038,24,FALSE),"")</f>
        <v/>
      </c>
      <c r="CM103" s="224" t="str">
        <f>IFERROR(VLOOKUP($A103,Devengado!$A$1:$AI$9038,25,FALSE),"")</f>
        <v/>
      </c>
      <c r="CN103" s="224" t="str">
        <f>IFERROR(VLOOKUP($A103,Devengado!$A$1:$AI$9038,26,FALSE),"")</f>
        <v/>
      </c>
      <c r="CO103" s="224" t="str">
        <f>IFERROR(VLOOKUP($A103,Devengado!$A$1:$AI$9038,27,FALSE),"")</f>
        <v/>
      </c>
      <c r="CP103" s="224" t="str">
        <f>IFERROR(VLOOKUP($A103,Devengado!$A$1:$AI$9038,28,FALSE),"")</f>
        <v/>
      </c>
      <c r="CQ103" s="224" t="str">
        <f>IFERROR(VLOOKUP($A103,Devengado!$A$1:$AI$9038,29,FALSE),"")</f>
        <v/>
      </c>
      <c r="CR103" s="224" t="str">
        <f>IFERROR(VLOOKUP($A103,Devengado!$A$1:$AI$9038,30,FALSE),"")</f>
        <v/>
      </c>
      <c r="CS103" s="224" t="str">
        <f>IFERROR(VLOOKUP($A103,Devengado!$A$1:$AI$9038,31,FALSE),"")</f>
        <v/>
      </c>
      <c r="CT103" s="224" t="str">
        <f>IFERROR(VLOOKUP($A103,Devengado!$A$1:$AI$9038,32,FALSE),"")</f>
        <v/>
      </c>
      <c r="CU103" s="224" t="str">
        <f>IFERROR(VLOOKUP($A103,Devengado!$A$1:$AI$9038,33,FALSE),"")</f>
        <v/>
      </c>
      <c r="CV103" s="224">
        <f t="shared" ref="CV103:CV113" si="70">SUM(CJ103:CU103)</f>
        <v>0</v>
      </c>
      <c r="CW103" s="224" t="str">
        <f t="shared" ref="CW103:CW113" si="71">IFERROR(CV103-BT103,"")</f>
        <v/>
      </c>
      <c r="CX103" s="207"/>
      <c r="CY103" s="207" t="str">
        <f t="shared" ref="CY103:CY113" si="72">LEFT(AC103,4)</f>
        <v>53</v>
      </c>
      <c r="CZ103" s="112" t="s">
        <v>915</v>
      </c>
    </row>
    <row r="104" spans="1:104" ht="28.5" customHeight="1">
      <c r="A104" s="207">
        <v>812</v>
      </c>
      <c r="B104" s="207"/>
      <c r="C104" s="207"/>
      <c r="D104" s="207"/>
      <c r="E104" s="207"/>
      <c r="F104" s="207"/>
      <c r="G104" s="207"/>
      <c r="H104" s="207"/>
      <c r="I104" s="207"/>
      <c r="J104" s="207"/>
      <c r="K104" s="112" t="s">
        <v>429</v>
      </c>
      <c r="L104" s="112" t="s">
        <v>850</v>
      </c>
      <c r="M104" s="112" t="s">
        <v>850</v>
      </c>
      <c r="N104" s="112" t="s">
        <v>77</v>
      </c>
      <c r="O104" s="112" t="s">
        <v>77</v>
      </c>
      <c r="P104" s="112" t="s">
        <v>76</v>
      </c>
      <c r="Q104" s="112" t="s">
        <v>77</v>
      </c>
      <c r="R104" s="112" t="s">
        <v>77</v>
      </c>
      <c r="S104" s="112" t="s">
        <v>77</v>
      </c>
      <c r="T104" s="112" t="s">
        <v>77</v>
      </c>
      <c r="U104" s="112" t="s">
        <v>77</v>
      </c>
      <c r="V104" s="112" t="s">
        <v>77</v>
      </c>
      <c r="W104" s="112" t="s">
        <v>85</v>
      </c>
      <c r="X104" s="207" t="s">
        <v>778</v>
      </c>
      <c r="Y104" s="114" t="s">
        <v>430</v>
      </c>
      <c r="Z104" s="114" t="s">
        <v>111</v>
      </c>
      <c r="AA104" s="114" t="s">
        <v>81</v>
      </c>
      <c r="AB104" s="114" t="s">
        <v>112</v>
      </c>
      <c r="AC104" s="115" t="str">
        <f t="shared" si="49"/>
        <v>53</v>
      </c>
      <c r="AD104" s="269">
        <v>530402</v>
      </c>
      <c r="AE104" s="207" t="str">
        <f>VLOOKUP(AD104,ITEM!$C$1:$D$694,2,FALSE)</f>
        <v>Edificios, Locales, Residencias y Cableado Estructurado (Instalación, Mantenimiento y Reparación)</v>
      </c>
      <c r="AF104" s="207">
        <v>1314</v>
      </c>
      <c r="AG104" s="114" t="s">
        <v>82</v>
      </c>
      <c r="AH104" s="114" t="s">
        <v>84</v>
      </c>
      <c r="AI104" s="114" t="s">
        <v>84</v>
      </c>
      <c r="AJ104" s="114" t="s">
        <v>914</v>
      </c>
      <c r="AK104" s="114" t="s">
        <v>77</v>
      </c>
      <c r="AL104" s="207">
        <v>0</v>
      </c>
      <c r="AM104" s="207">
        <v>0</v>
      </c>
      <c r="AN104" s="207">
        <v>0</v>
      </c>
      <c r="AO104" s="272">
        <f>SUMIF(Reforma!$A$2:$A$8523,$A104,Reforma!$AB$2:$AB$8523)</f>
        <v>8000</v>
      </c>
      <c r="AP104" s="272">
        <f>SUMIF(Reforma!$A$2:$A$8523,$A104,Reforma!$AC$2:$AC$8523)</f>
        <v>-8000</v>
      </c>
      <c r="AQ104" s="272">
        <f>SUMIF(Reforma!$A$2:$A$8523,$A104,Reforma!$AD$2:$AD$8523)</f>
        <v>0</v>
      </c>
      <c r="AR104" s="272">
        <f>SUMIF(Reforma!$A$2:$A$8523,$A104,Reforma!$AE$2:$AE$8523)</f>
        <v>0</v>
      </c>
      <c r="AS104" s="272">
        <f t="shared" si="50"/>
        <v>0</v>
      </c>
      <c r="AT104" s="272">
        <f t="shared" si="51"/>
        <v>0</v>
      </c>
      <c r="AU104" s="272">
        <f t="shared" si="52"/>
        <v>0</v>
      </c>
      <c r="AV104" s="408"/>
      <c r="AW104" s="326"/>
      <c r="AX104" s="326"/>
      <c r="AY104" s="326"/>
      <c r="AZ104" s="326"/>
      <c r="BA104" s="326"/>
      <c r="BB104" s="326"/>
      <c r="BC104" s="326"/>
      <c r="BD104" s="326"/>
      <c r="BE104" s="326"/>
      <c r="BF104" s="326"/>
      <c r="BG104" s="326"/>
      <c r="BH104" s="408">
        <f t="shared" si="66"/>
        <v>0</v>
      </c>
      <c r="BI104" s="408">
        <f t="shared" si="53"/>
        <v>0</v>
      </c>
      <c r="BJ104" s="408">
        <f t="shared" si="54"/>
        <v>0</v>
      </c>
      <c r="BK104" s="272"/>
      <c r="BL104" s="272"/>
      <c r="BM104" s="272"/>
      <c r="BN104" s="224" t="str">
        <f>IFERROR(VLOOKUP($A104,'Constancias POA'!$A$2:$DH$9993,18,FALSE),"")</f>
        <v/>
      </c>
      <c r="BO104" s="224" t="str">
        <f t="shared" si="67"/>
        <v/>
      </c>
      <c r="BP104" s="224" t="str">
        <f>IFERROR(VLOOKUP($A104,CP!$A$1:$U$7992,18,FALSE),"")</f>
        <v/>
      </c>
      <c r="BQ104" s="224" t="str">
        <f>IFERROR(VLOOKUP($A104,CP!$A$1:$U$7992,19,FALSE),"")</f>
        <v/>
      </c>
      <c r="BR104" s="224" t="str">
        <f>IFERROR(VLOOKUP($A104,CP!$A$1:$U$7992,20,FALSE),"")</f>
        <v/>
      </c>
      <c r="BS104" s="224" t="str">
        <f>IFERROR(VLOOKUP($A104,CP!$A$1:$U$1,21,FALSE),"")</f>
        <v/>
      </c>
      <c r="BT104" s="224" t="str">
        <f>IFERROR(VLOOKUP(A104,Devengado!$A$1:AJ$9310,35,FALSE),"")</f>
        <v/>
      </c>
      <c r="BU104" s="224" t="str">
        <f t="shared" si="68"/>
        <v/>
      </c>
      <c r="BV104" s="224" t="str">
        <f t="shared" si="69"/>
        <v/>
      </c>
      <c r="BW104" s="224">
        <f t="shared" si="55"/>
        <v>0</v>
      </c>
      <c r="BX104" s="296">
        <v>0</v>
      </c>
      <c r="BY104" s="296">
        <v>0</v>
      </c>
      <c r="BZ104" s="296">
        <v>0</v>
      </c>
      <c r="CA104" s="296">
        <v>0</v>
      </c>
      <c r="CB104" s="296"/>
      <c r="CC104" s="296">
        <v>0</v>
      </c>
      <c r="CD104" s="296"/>
      <c r="CE104" s="296">
        <v>0</v>
      </c>
      <c r="CF104" s="296">
        <v>0</v>
      </c>
      <c r="CG104" s="296">
        <v>0</v>
      </c>
      <c r="CH104" s="296">
        <v>0</v>
      </c>
      <c r="CI104" s="296">
        <v>0</v>
      </c>
      <c r="CJ104" s="224" t="str">
        <f>IFERROR(VLOOKUP($A104,Devengado!$A$1:$AI$9038,22,FALSE),"")</f>
        <v/>
      </c>
      <c r="CK104" s="224" t="str">
        <f>IFERROR(VLOOKUP($A104,Devengado!$A$1:$AI$9038,23,FALSE),"")</f>
        <v/>
      </c>
      <c r="CL104" s="224" t="str">
        <f>IFERROR(VLOOKUP($A104,Devengado!$A$1:$AI$9038,24,FALSE),"")</f>
        <v/>
      </c>
      <c r="CM104" s="224" t="str">
        <f>IFERROR(VLOOKUP($A104,Devengado!$A$1:$AI$9038,25,FALSE),"")</f>
        <v/>
      </c>
      <c r="CN104" s="224" t="str">
        <f>IFERROR(VLOOKUP($A104,Devengado!$A$1:$AI$9038,26,FALSE),"")</f>
        <v/>
      </c>
      <c r="CO104" s="224" t="str">
        <f>IFERROR(VLOOKUP($A104,Devengado!$A$1:$AI$9038,27,FALSE),"")</f>
        <v/>
      </c>
      <c r="CP104" s="224" t="str">
        <f>IFERROR(VLOOKUP($A104,Devengado!$A$1:$AI$9038,28,FALSE),"")</f>
        <v/>
      </c>
      <c r="CQ104" s="224" t="str">
        <f>IFERROR(VLOOKUP($A104,Devengado!$A$1:$AI$9038,29,FALSE),"")</f>
        <v/>
      </c>
      <c r="CR104" s="224" t="str">
        <f>IFERROR(VLOOKUP($A104,Devengado!$A$1:$AI$9038,30,FALSE),"")</f>
        <v/>
      </c>
      <c r="CS104" s="224" t="str">
        <f>IFERROR(VLOOKUP($A104,Devengado!$A$1:$AI$9038,31,FALSE),"")</f>
        <v/>
      </c>
      <c r="CT104" s="224" t="str">
        <f>IFERROR(VLOOKUP($A104,Devengado!$A$1:$AI$9038,32,FALSE),"")</f>
        <v/>
      </c>
      <c r="CU104" s="224" t="str">
        <f>IFERROR(VLOOKUP($A104,Devengado!$A$1:$AI$9038,33,FALSE),"")</f>
        <v/>
      </c>
      <c r="CV104" s="224">
        <f t="shared" si="70"/>
        <v>0</v>
      </c>
      <c r="CW104" s="224" t="str">
        <f t="shared" si="71"/>
        <v/>
      </c>
      <c r="CX104" s="207"/>
      <c r="CY104" s="207" t="str">
        <f t="shared" si="72"/>
        <v>53</v>
      </c>
      <c r="CZ104" s="112" t="s">
        <v>915</v>
      </c>
    </row>
    <row r="105" spans="1:104" ht="24" customHeight="1">
      <c r="A105" s="207">
        <v>813</v>
      </c>
      <c r="B105" s="207"/>
      <c r="C105" s="207"/>
      <c r="D105" s="207"/>
      <c r="E105" s="207"/>
      <c r="F105" s="207"/>
      <c r="G105" s="207"/>
      <c r="H105" s="207"/>
      <c r="I105" s="207"/>
      <c r="J105" s="207"/>
      <c r="K105" s="112" t="s">
        <v>429</v>
      </c>
      <c r="L105" s="112" t="s">
        <v>850</v>
      </c>
      <c r="M105" s="112" t="s">
        <v>850</v>
      </c>
      <c r="N105" s="112" t="s">
        <v>77</v>
      </c>
      <c r="O105" s="112" t="s">
        <v>77</v>
      </c>
      <c r="P105" s="112" t="s">
        <v>76</v>
      </c>
      <c r="Q105" s="112" t="s">
        <v>77</v>
      </c>
      <c r="R105" s="112" t="s">
        <v>77</v>
      </c>
      <c r="S105" s="112" t="s">
        <v>77</v>
      </c>
      <c r="T105" s="112" t="s">
        <v>77</v>
      </c>
      <c r="U105" s="112" t="s">
        <v>77</v>
      </c>
      <c r="V105" s="112" t="s">
        <v>77</v>
      </c>
      <c r="W105" s="112" t="s">
        <v>85</v>
      </c>
      <c r="X105" s="207" t="s">
        <v>779</v>
      </c>
      <c r="Y105" s="114" t="s">
        <v>430</v>
      </c>
      <c r="Z105" s="114" t="s">
        <v>111</v>
      </c>
      <c r="AA105" s="114" t="s">
        <v>81</v>
      </c>
      <c r="AB105" s="114" t="s">
        <v>112</v>
      </c>
      <c r="AC105" s="115" t="str">
        <f t="shared" si="49"/>
        <v>53</v>
      </c>
      <c r="AD105" s="269">
        <v>530203</v>
      </c>
      <c r="AE105" s="207" t="str">
        <f>VLOOKUP(AD105,ITEM!$C$1:$D$694,2,FALSE)</f>
        <v>Almacenamiento, Embalaje, Desembalaje, Envase, Desenvase y Recarga de Extintores</v>
      </c>
      <c r="AF105" s="207">
        <v>1309</v>
      </c>
      <c r="AG105" s="114" t="s">
        <v>82</v>
      </c>
      <c r="AH105" s="114" t="s">
        <v>84</v>
      </c>
      <c r="AI105" s="114" t="s">
        <v>84</v>
      </c>
      <c r="AJ105" s="114" t="s">
        <v>914</v>
      </c>
      <c r="AK105" s="114" t="s">
        <v>77</v>
      </c>
      <c r="AL105" s="207">
        <v>0</v>
      </c>
      <c r="AM105" s="207">
        <v>0</v>
      </c>
      <c r="AN105" s="207">
        <v>0</v>
      </c>
      <c r="AO105" s="272">
        <f>SUMIF(Reforma!$A$2:$A$8523,$A105,Reforma!$AB$2:$AB$8523)</f>
        <v>1500</v>
      </c>
      <c r="AP105" s="272">
        <f>SUMIF(Reforma!$A$2:$A$8523,$A105,Reforma!$AC$2:$AC$8523)</f>
        <v>-1500</v>
      </c>
      <c r="AQ105" s="272">
        <f>SUMIF(Reforma!$A$2:$A$8523,$A105,Reforma!$AD$2:$AD$8523)</f>
        <v>0</v>
      </c>
      <c r="AR105" s="272">
        <f>SUMIF(Reforma!$A$2:$A$8523,$A105,Reforma!$AE$2:$AE$8523)</f>
        <v>0</v>
      </c>
      <c r="AS105" s="272">
        <f t="shared" si="50"/>
        <v>0</v>
      </c>
      <c r="AT105" s="272">
        <f t="shared" si="51"/>
        <v>0</v>
      </c>
      <c r="AU105" s="272">
        <f t="shared" si="52"/>
        <v>0</v>
      </c>
      <c r="AV105" s="326">
        <v>0</v>
      </c>
      <c r="AW105" s="326">
        <v>0</v>
      </c>
      <c r="AX105" s="326">
        <v>0</v>
      </c>
      <c r="AY105" s="326">
        <v>0</v>
      </c>
      <c r="AZ105" s="326">
        <v>0</v>
      </c>
      <c r="BA105" s="326">
        <v>0</v>
      </c>
      <c r="BB105" s="326">
        <v>0</v>
      </c>
      <c r="BC105" s="326">
        <v>0</v>
      </c>
      <c r="BD105" s="326">
        <v>0</v>
      </c>
      <c r="BE105" s="326">
        <v>0</v>
      </c>
      <c r="BF105" s="326">
        <v>0</v>
      </c>
      <c r="BG105" s="326">
        <v>0</v>
      </c>
      <c r="BH105" s="408">
        <f t="shared" si="66"/>
        <v>0</v>
      </c>
      <c r="BI105" s="408">
        <f t="shared" si="53"/>
        <v>0</v>
      </c>
      <c r="BJ105" s="408">
        <f t="shared" si="54"/>
        <v>0</v>
      </c>
      <c r="BK105" s="272"/>
      <c r="BL105" s="272"/>
      <c r="BM105" s="272"/>
      <c r="BN105" s="224" t="str">
        <f>IFERROR(VLOOKUP($A105,'Constancias POA'!$A$2:$DH$9993,18,FALSE),"")</f>
        <v/>
      </c>
      <c r="BO105" s="224" t="str">
        <f t="shared" si="67"/>
        <v/>
      </c>
      <c r="BP105" s="224" t="str">
        <f>IFERROR(VLOOKUP($A105,CP!$A$1:$U$7992,18,FALSE),"")</f>
        <v/>
      </c>
      <c r="BQ105" s="224" t="str">
        <f>IFERROR(VLOOKUP($A105,CP!$A$1:$U$7992,19,FALSE),"")</f>
        <v/>
      </c>
      <c r="BR105" s="224" t="str">
        <f>IFERROR(VLOOKUP($A105,CP!$A$1:$U$7992,20,FALSE),"")</f>
        <v/>
      </c>
      <c r="BS105" s="224" t="str">
        <f>IFERROR(VLOOKUP($A105,CP!$A$1:$U$1,21,FALSE),"")</f>
        <v/>
      </c>
      <c r="BT105" s="224" t="str">
        <f>IFERROR(VLOOKUP(A105,Devengado!$A$1:AJ$9310,35,FALSE),"")</f>
        <v/>
      </c>
      <c r="BU105" s="224" t="str">
        <f t="shared" si="68"/>
        <v/>
      </c>
      <c r="BV105" s="224" t="str">
        <f t="shared" si="69"/>
        <v/>
      </c>
      <c r="BW105" s="224">
        <f t="shared" si="55"/>
        <v>0</v>
      </c>
      <c r="BX105" s="296">
        <v>0</v>
      </c>
      <c r="BY105" s="296">
        <v>0</v>
      </c>
      <c r="BZ105" s="296">
        <v>0</v>
      </c>
      <c r="CA105" s="296">
        <v>0</v>
      </c>
      <c r="CB105" s="296"/>
      <c r="CC105" s="296">
        <v>0</v>
      </c>
      <c r="CD105" s="296"/>
      <c r="CE105" s="296">
        <v>0</v>
      </c>
      <c r="CF105" s="296">
        <v>0</v>
      </c>
      <c r="CG105" s="296">
        <v>0</v>
      </c>
      <c r="CH105" s="296">
        <v>0</v>
      </c>
      <c r="CI105" s="296">
        <v>0</v>
      </c>
      <c r="CJ105" s="224" t="str">
        <f>IFERROR(VLOOKUP($A105,Devengado!$A$1:$AI$9038,22,FALSE),"")</f>
        <v/>
      </c>
      <c r="CK105" s="224" t="str">
        <f>IFERROR(VLOOKUP($A105,Devengado!$A$1:$AI$9038,23,FALSE),"")</f>
        <v/>
      </c>
      <c r="CL105" s="224" t="str">
        <f>IFERROR(VLOOKUP($A105,Devengado!$A$1:$AI$9038,24,FALSE),"")</f>
        <v/>
      </c>
      <c r="CM105" s="224" t="str">
        <f>IFERROR(VLOOKUP($A105,Devengado!$A$1:$AI$9038,25,FALSE),"")</f>
        <v/>
      </c>
      <c r="CN105" s="224" t="str">
        <f>IFERROR(VLOOKUP($A105,Devengado!$A$1:$AI$9038,26,FALSE),"")</f>
        <v/>
      </c>
      <c r="CO105" s="224" t="str">
        <f>IFERROR(VLOOKUP($A105,Devengado!$A$1:$AI$9038,27,FALSE),"")</f>
        <v/>
      </c>
      <c r="CP105" s="224" t="str">
        <f>IFERROR(VLOOKUP($A105,Devengado!$A$1:$AI$9038,28,FALSE),"")</f>
        <v/>
      </c>
      <c r="CQ105" s="224" t="str">
        <f>IFERROR(VLOOKUP($A105,Devengado!$A$1:$AI$9038,29,FALSE),"")</f>
        <v/>
      </c>
      <c r="CR105" s="224" t="str">
        <f>IFERROR(VLOOKUP($A105,Devengado!$A$1:$AI$9038,30,FALSE),"")</f>
        <v/>
      </c>
      <c r="CS105" s="224" t="str">
        <f>IFERROR(VLOOKUP($A105,Devengado!$A$1:$AI$9038,31,FALSE),"")</f>
        <v/>
      </c>
      <c r="CT105" s="224" t="str">
        <f>IFERROR(VLOOKUP($A105,Devengado!$A$1:$AI$9038,32,FALSE),"")</f>
        <v/>
      </c>
      <c r="CU105" s="224" t="str">
        <f>IFERROR(VLOOKUP($A105,Devengado!$A$1:$AI$9038,33,FALSE),"")</f>
        <v/>
      </c>
      <c r="CV105" s="224">
        <f t="shared" si="70"/>
        <v>0</v>
      </c>
      <c r="CW105" s="224" t="str">
        <f t="shared" si="71"/>
        <v/>
      </c>
      <c r="CX105" s="207"/>
      <c r="CY105" s="207" t="str">
        <f t="shared" si="72"/>
        <v>53</v>
      </c>
      <c r="CZ105" s="112" t="s">
        <v>915</v>
      </c>
    </row>
    <row r="106" spans="1:104" ht="28.5" customHeight="1">
      <c r="A106" s="207">
        <v>814</v>
      </c>
      <c r="B106" s="207"/>
      <c r="C106" s="207"/>
      <c r="D106" s="207"/>
      <c r="E106" s="207"/>
      <c r="F106" s="207"/>
      <c r="G106" s="207"/>
      <c r="H106" s="207"/>
      <c r="I106" s="207"/>
      <c r="J106" s="207"/>
      <c r="K106" s="112" t="s">
        <v>429</v>
      </c>
      <c r="L106" s="112" t="s">
        <v>850</v>
      </c>
      <c r="M106" s="112" t="s">
        <v>850</v>
      </c>
      <c r="N106" s="112" t="s">
        <v>77</v>
      </c>
      <c r="O106" s="112" t="s">
        <v>77</v>
      </c>
      <c r="P106" s="112" t="s">
        <v>76</v>
      </c>
      <c r="Q106" s="112" t="s">
        <v>77</v>
      </c>
      <c r="R106" s="112" t="s">
        <v>77</v>
      </c>
      <c r="S106" s="112" t="s">
        <v>77</v>
      </c>
      <c r="T106" s="112" t="s">
        <v>77</v>
      </c>
      <c r="U106" s="112" t="s">
        <v>77</v>
      </c>
      <c r="V106" s="112" t="s">
        <v>77</v>
      </c>
      <c r="W106" s="112" t="s">
        <v>85</v>
      </c>
      <c r="X106" s="207" t="s">
        <v>780</v>
      </c>
      <c r="Y106" s="114" t="s">
        <v>430</v>
      </c>
      <c r="Z106" s="114" t="s">
        <v>111</v>
      </c>
      <c r="AA106" s="114" t="s">
        <v>81</v>
      </c>
      <c r="AB106" s="114" t="s">
        <v>112</v>
      </c>
      <c r="AC106" s="115" t="str">
        <f t="shared" si="49"/>
        <v>53</v>
      </c>
      <c r="AD106" s="269">
        <v>530106</v>
      </c>
      <c r="AE106" s="207" t="str">
        <f>VLOOKUP(AD106,ITEM!$C$1:$D$694,2,FALSE)</f>
        <v>Servicio de Correo</v>
      </c>
      <c r="AF106" s="207">
        <v>1309</v>
      </c>
      <c r="AG106" s="114" t="s">
        <v>82</v>
      </c>
      <c r="AH106" s="114" t="s">
        <v>84</v>
      </c>
      <c r="AI106" s="114" t="s">
        <v>84</v>
      </c>
      <c r="AJ106" s="114" t="s">
        <v>914</v>
      </c>
      <c r="AK106" s="114" t="s">
        <v>77</v>
      </c>
      <c r="AL106" s="207">
        <v>0</v>
      </c>
      <c r="AM106" s="207">
        <v>0</v>
      </c>
      <c r="AN106" s="207">
        <v>0</v>
      </c>
      <c r="AO106" s="272">
        <f>SUMIF(Reforma!$A$2:$A$8523,$A106,Reforma!$AB$2:$AB$8523)</f>
        <v>1000</v>
      </c>
      <c r="AP106" s="272">
        <f>SUMIF(Reforma!$A$2:$A$8523,$A106,Reforma!$AC$2:$AC$8523)</f>
        <v>-1000</v>
      </c>
      <c r="AQ106" s="272">
        <f>SUMIF(Reforma!$A$2:$A$8523,$A106,Reforma!$AD$2:$AD$8523)</f>
        <v>0</v>
      </c>
      <c r="AR106" s="272">
        <f>SUMIF(Reforma!$A$2:$A$8523,$A106,Reforma!$AE$2:$AE$8523)</f>
        <v>0</v>
      </c>
      <c r="AS106" s="272">
        <f t="shared" si="50"/>
        <v>0</v>
      </c>
      <c r="AT106" s="272">
        <f t="shared" si="51"/>
        <v>0</v>
      </c>
      <c r="AU106" s="272">
        <f t="shared" si="52"/>
        <v>0</v>
      </c>
      <c r="AV106" s="408"/>
      <c r="AW106" s="326"/>
      <c r="AX106" s="326"/>
      <c r="AY106" s="326"/>
      <c r="AZ106" s="326"/>
      <c r="BA106" s="326"/>
      <c r="BB106" s="326"/>
      <c r="BC106" s="326"/>
      <c r="BD106" s="326"/>
      <c r="BE106" s="326"/>
      <c r="BF106" s="326"/>
      <c r="BG106" s="326"/>
      <c r="BH106" s="408">
        <f t="shared" si="66"/>
        <v>1000.0000000000001</v>
      </c>
      <c r="BI106" s="408">
        <f t="shared" si="53"/>
        <v>0</v>
      </c>
      <c r="BJ106" s="408">
        <f t="shared" si="54"/>
        <v>0</v>
      </c>
      <c r="BK106" s="272"/>
      <c r="BL106" s="272"/>
      <c r="BM106" s="272"/>
      <c r="BN106" s="224">
        <f>IFERROR(VLOOKUP($A106,'Constancias POA'!$A$2:$DH$9993,18,FALSE),"")</f>
        <v>1000</v>
      </c>
      <c r="BO106" s="224">
        <f t="shared" si="67"/>
        <v>-1000</v>
      </c>
      <c r="BP106" s="224">
        <f>IFERROR(VLOOKUP($A106,CP!$A$1:$U$7992,18,FALSE),"")</f>
        <v>0</v>
      </c>
      <c r="BQ106" s="224">
        <f>IFERROR(VLOOKUP($A106,CP!$A$1:$U$7992,19,FALSE),"")</f>
        <v>0</v>
      </c>
      <c r="BR106" s="224">
        <f>IFERROR(VLOOKUP($A106,CP!$A$1:$U$7992,20,FALSE),"")</f>
        <v>0</v>
      </c>
      <c r="BS106" s="224" t="str">
        <f>IFERROR(VLOOKUP($A106,CP!$A$1:$U$1,21,FALSE),"")</f>
        <v/>
      </c>
      <c r="BT106" s="224" t="str">
        <f>IFERROR(VLOOKUP(A106,Devengado!$A$1:AJ$9310,35,FALSE),"")</f>
        <v/>
      </c>
      <c r="BU106" s="224" t="str">
        <f t="shared" si="68"/>
        <v/>
      </c>
      <c r="BV106" s="224" t="str">
        <f t="shared" si="69"/>
        <v/>
      </c>
      <c r="BW106" s="224">
        <f t="shared" si="55"/>
        <v>0</v>
      </c>
      <c r="BX106" s="296">
        <v>0</v>
      </c>
      <c r="BY106" s="296">
        <v>0</v>
      </c>
      <c r="BZ106" s="296">
        <v>0</v>
      </c>
      <c r="CA106" s="296">
        <v>0</v>
      </c>
      <c r="CB106" s="296"/>
      <c r="CC106" s="326">
        <v>142.86000000000001</v>
      </c>
      <c r="CD106" s="326">
        <v>142.86000000000001</v>
      </c>
      <c r="CE106" s="326">
        <v>142.86000000000001</v>
      </c>
      <c r="CF106" s="326">
        <v>142.86000000000001</v>
      </c>
      <c r="CG106" s="326">
        <v>142.86000000000001</v>
      </c>
      <c r="CH106" s="326">
        <v>142.86000000000001</v>
      </c>
      <c r="CI106" s="326">
        <v>142.84</v>
      </c>
      <c r="CJ106" s="224" t="str">
        <f>IFERROR(VLOOKUP($A106,Devengado!$A$1:$AI$9038,22,FALSE),"")</f>
        <v/>
      </c>
      <c r="CK106" s="224" t="str">
        <f>IFERROR(VLOOKUP($A106,Devengado!$A$1:$AI$9038,23,FALSE),"")</f>
        <v/>
      </c>
      <c r="CL106" s="224" t="str">
        <f>IFERROR(VLOOKUP($A106,Devengado!$A$1:$AI$9038,24,FALSE),"")</f>
        <v/>
      </c>
      <c r="CM106" s="224" t="str">
        <f>IFERROR(VLOOKUP($A106,Devengado!$A$1:$AI$9038,25,FALSE),"")</f>
        <v/>
      </c>
      <c r="CN106" s="224" t="str">
        <f>IFERROR(VLOOKUP($A106,Devengado!$A$1:$AI$9038,26,FALSE),"")</f>
        <v/>
      </c>
      <c r="CO106" s="224" t="str">
        <f>IFERROR(VLOOKUP($A106,Devengado!$A$1:$AI$9038,27,FALSE),"")</f>
        <v/>
      </c>
      <c r="CP106" s="224" t="str">
        <f>IFERROR(VLOOKUP($A106,Devengado!$A$1:$AI$9038,28,FALSE),"")</f>
        <v/>
      </c>
      <c r="CQ106" s="224" t="str">
        <f>IFERROR(VLOOKUP($A106,Devengado!$A$1:$AI$9038,29,FALSE),"")</f>
        <v/>
      </c>
      <c r="CR106" s="224" t="str">
        <f>IFERROR(VLOOKUP($A106,Devengado!$A$1:$AI$9038,30,FALSE),"")</f>
        <v/>
      </c>
      <c r="CS106" s="224" t="str">
        <f>IFERROR(VLOOKUP($A106,Devengado!$A$1:$AI$9038,31,FALSE),"")</f>
        <v/>
      </c>
      <c r="CT106" s="224" t="str">
        <f>IFERROR(VLOOKUP($A106,Devengado!$A$1:$AI$9038,32,FALSE),"")</f>
        <v/>
      </c>
      <c r="CU106" s="224" t="str">
        <f>IFERROR(VLOOKUP($A106,Devengado!$A$1:$AI$9038,33,FALSE),"")</f>
        <v/>
      </c>
      <c r="CV106" s="224">
        <f t="shared" si="70"/>
        <v>0</v>
      </c>
      <c r="CW106" s="224" t="str">
        <f t="shared" si="71"/>
        <v/>
      </c>
      <c r="CX106" s="207"/>
      <c r="CY106" s="207" t="str">
        <f t="shared" si="72"/>
        <v>53</v>
      </c>
      <c r="CZ106" s="112" t="s">
        <v>915</v>
      </c>
    </row>
    <row r="107" spans="1:104" ht="25.5" customHeight="1">
      <c r="A107" s="207">
        <v>815</v>
      </c>
      <c r="B107" s="207"/>
      <c r="C107" s="207"/>
      <c r="D107" s="207"/>
      <c r="E107" s="207"/>
      <c r="F107" s="207"/>
      <c r="G107" s="207"/>
      <c r="H107" s="207"/>
      <c r="I107" s="207"/>
      <c r="J107" s="207"/>
      <c r="K107" s="112" t="s">
        <v>429</v>
      </c>
      <c r="L107" s="112" t="s">
        <v>850</v>
      </c>
      <c r="M107" s="112" t="s">
        <v>850</v>
      </c>
      <c r="N107" s="112" t="s">
        <v>77</v>
      </c>
      <c r="O107" s="112" t="s">
        <v>77</v>
      </c>
      <c r="P107" s="112" t="s">
        <v>76</v>
      </c>
      <c r="Q107" s="112" t="s">
        <v>77</v>
      </c>
      <c r="R107" s="112" t="s">
        <v>77</v>
      </c>
      <c r="S107" s="112" t="s">
        <v>77</v>
      </c>
      <c r="T107" s="112" t="s">
        <v>77</v>
      </c>
      <c r="U107" s="112" t="s">
        <v>77</v>
      </c>
      <c r="V107" s="112" t="s">
        <v>77</v>
      </c>
      <c r="W107" s="112" t="s">
        <v>85</v>
      </c>
      <c r="X107" s="207" t="s">
        <v>781</v>
      </c>
      <c r="Y107" s="114" t="s">
        <v>430</v>
      </c>
      <c r="Z107" s="114" t="s">
        <v>111</v>
      </c>
      <c r="AA107" s="114" t="s">
        <v>81</v>
      </c>
      <c r="AB107" s="114" t="s">
        <v>112</v>
      </c>
      <c r="AC107" s="115" t="str">
        <f t="shared" si="49"/>
        <v>53</v>
      </c>
      <c r="AD107" s="269">
        <v>530408</v>
      </c>
      <c r="AE107" s="207" t="str">
        <f>VLOOKUP(AD107,ITEM!$C$1:$D$694,2,FALSE)</f>
        <v>Bienes Artísticos y Culturales</v>
      </c>
      <c r="AF107" s="207">
        <v>1309</v>
      </c>
      <c r="AG107" s="114" t="s">
        <v>82</v>
      </c>
      <c r="AH107" s="114" t="s">
        <v>84</v>
      </c>
      <c r="AI107" s="114" t="s">
        <v>84</v>
      </c>
      <c r="AJ107" s="114" t="s">
        <v>914</v>
      </c>
      <c r="AK107" s="114" t="s">
        <v>77</v>
      </c>
      <c r="AL107" s="207">
        <v>0</v>
      </c>
      <c r="AM107" s="207">
        <v>0</v>
      </c>
      <c r="AN107" s="207">
        <v>0</v>
      </c>
      <c r="AO107" s="272">
        <f>SUMIF(Reforma!$A$2:$A$8523,$A107,Reforma!$AB$2:$AB$8523)</f>
        <v>5000</v>
      </c>
      <c r="AP107" s="272">
        <f>SUMIF(Reforma!$A$2:$A$8523,$A107,Reforma!$AC$2:$AC$8523)</f>
        <v>-5000</v>
      </c>
      <c r="AQ107" s="272">
        <f>SUMIF(Reforma!$A$2:$A$8523,$A107,Reforma!$AD$2:$AD$8523)</f>
        <v>0</v>
      </c>
      <c r="AR107" s="272">
        <f>SUMIF(Reforma!$A$2:$A$8523,$A107,Reforma!$AE$2:$AE$8523)</f>
        <v>0</v>
      </c>
      <c r="AS107" s="272">
        <f t="shared" si="50"/>
        <v>0</v>
      </c>
      <c r="AT107" s="272">
        <f t="shared" si="51"/>
        <v>0</v>
      </c>
      <c r="AU107" s="272">
        <f t="shared" si="52"/>
        <v>0</v>
      </c>
      <c r="AV107" s="408"/>
      <c r="AW107" s="326"/>
      <c r="AX107" s="326"/>
      <c r="AY107" s="326"/>
      <c r="AZ107" s="326"/>
      <c r="BA107" s="326"/>
      <c r="BB107" s="326"/>
      <c r="BC107" s="326"/>
      <c r="BD107" s="326"/>
      <c r="BE107" s="326"/>
      <c r="BF107" s="326"/>
      <c r="BG107" s="326"/>
      <c r="BH107" s="408">
        <f t="shared" si="66"/>
        <v>5000</v>
      </c>
      <c r="BI107" s="408">
        <f t="shared" si="53"/>
        <v>0</v>
      </c>
      <c r="BJ107" s="408">
        <f t="shared" si="54"/>
        <v>0</v>
      </c>
      <c r="BK107" s="272"/>
      <c r="BL107" s="272"/>
      <c r="BM107" s="272"/>
      <c r="BN107" s="224">
        <f>IFERROR(VLOOKUP($A107,'Constancias POA'!$A$2:$DH$9993,18,FALSE),"")</f>
        <v>5000</v>
      </c>
      <c r="BO107" s="224">
        <f t="shared" si="67"/>
        <v>-5000</v>
      </c>
      <c r="BP107" s="224">
        <f>IFERROR(VLOOKUP($A107,CP!$A$1:$U$7992,18,FALSE),"")</f>
        <v>0</v>
      </c>
      <c r="BQ107" s="224">
        <f>IFERROR(VLOOKUP($A107,CP!$A$1:$U$7992,19,FALSE),"")</f>
        <v>0</v>
      </c>
      <c r="BR107" s="224">
        <f>IFERROR(VLOOKUP($A107,CP!$A$1:$U$7992,20,FALSE),"")</f>
        <v>0</v>
      </c>
      <c r="BS107" s="224" t="str">
        <f>IFERROR(VLOOKUP($A107,CP!$A$1:$U$1,21,FALSE),"")</f>
        <v/>
      </c>
      <c r="BT107" s="224" t="str">
        <f>IFERROR(VLOOKUP(A107,Devengado!$A$1:AJ$9310,35,FALSE),"")</f>
        <v/>
      </c>
      <c r="BU107" s="224" t="str">
        <f t="shared" si="68"/>
        <v/>
      </c>
      <c r="BV107" s="224" t="str">
        <f t="shared" si="69"/>
        <v/>
      </c>
      <c r="BW107" s="224">
        <f t="shared" si="55"/>
        <v>0</v>
      </c>
      <c r="BX107" s="296">
        <v>0</v>
      </c>
      <c r="BY107" s="296">
        <v>0</v>
      </c>
      <c r="BZ107" s="296">
        <v>0</v>
      </c>
      <c r="CA107" s="296">
        <v>0</v>
      </c>
      <c r="CB107" s="296">
        <v>2500</v>
      </c>
      <c r="CC107" s="296">
        <v>2500</v>
      </c>
      <c r="CD107" s="296"/>
      <c r="CE107" s="296">
        <v>0</v>
      </c>
      <c r="CF107" s="296">
        <v>0</v>
      </c>
      <c r="CG107" s="296">
        <v>0</v>
      </c>
      <c r="CH107" s="296">
        <v>0</v>
      </c>
      <c r="CI107" s="296">
        <v>0</v>
      </c>
      <c r="CJ107" s="224" t="str">
        <f>IFERROR(VLOOKUP($A107,Devengado!$A$1:$AI$9038,22,FALSE),"")</f>
        <v/>
      </c>
      <c r="CK107" s="224" t="str">
        <f>IFERROR(VLOOKUP($A107,Devengado!$A$1:$AI$9038,23,FALSE),"")</f>
        <v/>
      </c>
      <c r="CL107" s="224" t="str">
        <f>IFERROR(VLOOKUP($A107,Devengado!$A$1:$AI$9038,24,FALSE),"")</f>
        <v/>
      </c>
      <c r="CM107" s="224" t="str">
        <f>IFERROR(VLOOKUP($A107,Devengado!$A$1:$AI$9038,25,FALSE),"")</f>
        <v/>
      </c>
      <c r="CN107" s="224" t="str">
        <f>IFERROR(VLOOKUP($A107,Devengado!$A$1:$AI$9038,26,FALSE),"")</f>
        <v/>
      </c>
      <c r="CO107" s="224" t="str">
        <f>IFERROR(VLOOKUP($A107,Devengado!$A$1:$AI$9038,27,FALSE),"")</f>
        <v/>
      </c>
      <c r="CP107" s="224" t="str">
        <f>IFERROR(VLOOKUP($A107,Devengado!$A$1:$AI$9038,28,FALSE),"")</f>
        <v/>
      </c>
      <c r="CQ107" s="224" t="str">
        <f>IFERROR(VLOOKUP($A107,Devengado!$A$1:$AI$9038,29,FALSE),"")</f>
        <v/>
      </c>
      <c r="CR107" s="224" t="str">
        <f>IFERROR(VLOOKUP($A107,Devengado!$A$1:$AI$9038,30,FALSE),"")</f>
        <v/>
      </c>
      <c r="CS107" s="224" t="str">
        <f>IFERROR(VLOOKUP($A107,Devengado!$A$1:$AI$9038,31,FALSE),"")</f>
        <v/>
      </c>
      <c r="CT107" s="224" t="str">
        <f>IFERROR(VLOOKUP($A107,Devengado!$A$1:$AI$9038,32,FALSE),"")</f>
        <v/>
      </c>
      <c r="CU107" s="224" t="str">
        <f>IFERROR(VLOOKUP($A107,Devengado!$A$1:$AI$9038,33,FALSE),"")</f>
        <v/>
      </c>
      <c r="CV107" s="224">
        <f t="shared" si="70"/>
        <v>0</v>
      </c>
      <c r="CW107" s="224" t="str">
        <f t="shared" si="71"/>
        <v/>
      </c>
      <c r="CX107" s="207"/>
      <c r="CY107" s="207" t="str">
        <f t="shared" si="72"/>
        <v>53</v>
      </c>
      <c r="CZ107" s="112" t="s">
        <v>915</v>
      </c>
    </row>
    <row r="108" spans="1:104" ht="25.5" customHeight="1">
      <c r="A108" s="207">
        <v>816</v>
      </c>
      <c r="B108" s="207"/>
      <c r="C108" s="207"/>
      <c r="D108" s="207"/>
      <c r="E108" s="207"/>
      <c r="F108" s="207"/>
      <c r="G108" s="207"/>
      <c r="H108" s="207"/>
      <c r="I108" s="207"/>
      <c r="J108" s="207"/>
      <c r="K108" s="112" t="s">
        <v>429</v>
      </c>
      <c r="L108" s="112" t="s">
        <v>850</v>
      </c>
      <c r="M108" s="112" t="s">
        <v>850</v>
      </c>
      <c r="N108" s="112" t="s">
        <v>77</v>
      </c>
      <c r="O108" s="112" t="s">
        <v>77</v>
      </c>
      <c r="P108" s="112" t="s">
        <v>76</v>
      </c>
      <c r="Q108" s="112" t="s">
        <v>77</v>
      </c>
      <c r="R108" s="112" t="s">
        <v>77</v>
      </c>
      <c r="S108" s="112" t="s">
        <v>77</v>
      </c>
      <c r="T108" s="112" t="s">
        <v>77</v>
      </c>
      <c r="U108" s="112" t="s">
        <v>77</v>
      </c>
      <c r="V108" s="112" t="s">
        <v>77</v>
      </c>
      <c r="W108" s="112" t="s">
        <v>85</v>
      </c>
      <c r="X108" s="207" t="s">
        <v>782</v>
      </c>
      <c r="Y108" s="114" t="s">
        <v>430</v>
      </c>
      <c r="Z108" s="114" t="s">
        <v>111</v>
      </c>
      <c r="AA108" s="114" t="s">
        <v>81</v>
      </c>
      <c r="AB108" s="114" t="s">
        <v>112</v>
      </c>
      <c r="AC108" s="115" t="str">
        <f t="shared" si="49"/>
        <v>53</v>
      </c>
      <c r="AD108" s="269">
        <v>530403</v>
      </c>
      <c r="AE108" s="207" t="str">
        <f>VLOOKUP(AD108,ITEM!$C$1:$D$694,2,FALSE)</f>
        <v>Mobiliarios  (Instalación, Mantenimiento y Reparación)</v>
      </c>
      <c r="AF108" s="207">
        <v>1308</v>
      </c>
      <c r="AG108" s="114" t="s">
        <v>82</v>
      </c>
      <c r="AH108" s="114" t="s">
        <v>84</v>
      </c>
      <c r="AI108" s="114" t="s">
        <v>84</v>
      </c>
      <c r="AJ108" s="114" t="s">
        <v>914</v>
      </c>
      <c r="AK108" s="114" t="s">
        <v>77</v>
      </c>
      <c r="AL108" s="207">
        <v>0</v>
      </c>
      <c r="AM108" s="207">
        <v>0</v>
      </c>
      <c r="AN108" s="207">
        <v>0</v>
      </c>
      <c r="AO108" s="272">
        <f>SUMIF(Reforma!$A$2:$A$8523,$A108,Reforma!$AB$2:$AB$8523)</f>
        <v>9788.9</v>
      </c>
      <c r="AP108" s="272">
        <f>SUMIF(Reforma!$A$2:$A$8523,$A108,Reforma!$AC$2:$AC$8523)</f>
        <v>-9788.9</v>
      </c>
      <c r="AQ108" s="272">
        <f>SUMIF(Reforma!$A$2:$A$8523,$A108,Reforma!$AD$2:$AD$8523)</f>
        <v>0</v>
      </c>
      <c r="AR108" s="272">
        <f>SUMIF(Reforma!$A$2:$A$8523,$A108,Reforma!$AE$2:$AE$8523)</f>
        <v>0</v>
      </c>
      <c r="AS108" s="272">
        <f t="shared" si="50"/>
        <v>0</v>
      </c>
      <c r="AT108" s="272">
        <f t="shared" si="51"/>
        <v>0</v>
      </c>
      <c r="AU108" s="272">
        <f t="shared" si="52"/>
        <v>0</v>
      </c>
      <c r="AV108" s="408"/>
      <c r="AW108" s="326"/>
      <c r="AX108" s="326"/>
      <c r="AY108" s="326"/>
      <c r="AZ108" s="326"/>
      <c r="BA108" s="326"/>
      <c r="BB108" s="326"/>
      <c r="BC108" s="326"/>
      <c r="BD108" s="326"/>
      <c r="BE108" s="326"/>
      <c r="BF108" s="326"/>
      <c r="BG108" s="326"/>
      <c r="BH108" s="408">
        <f t="shared" si="66"/>
        <v>4800</v>
      </c>
      <c r="BI108" s="408">
        <f t="shared" si="53"/>
        <v>0</v>
      </c>
      <c r="BJ108" s="408">
        <f t="shared" si="54"/>
        <v>0</v>
      </c>
      <c r="BK108" s="272"/>
      <c r="BL108" s="272"/>
      <c r="BM108" s="272"/>
      <c r="BN108" s="224">
        <f>IFERROR(VLOOKUP($A108,'Constancias POA'!$A$2:$DH$9993,18,FALSE),"")</f>
        <v>4800</v>
      </c>
      <c r="BO108" s="224">
        <f t="shared" si="67"/>
        <v>-4800</v>
      </c>
      <c r="BP108" s="224">
        <f>IFERROR(VLOOKUP($A108,CP!$A$1:$U$7992,18,FALSE),"")</f>
        <v>0</v>
      </c>
      <c r="BQ108" s="224">
        <f>IFERROR(VLOOKUP($A108,CP!$A$1:$U$7992,19,FALSE),"")</f>
        <v>0</v>
      </c>
      <c r="BR108" s="224">
        <f>IFERROR(VLOOKUP($A108,CP!$A$1:$U$7992,20,FALSE),"")</f>
        <v>0</v>
      </c>
      <c r="BS108" s="224" t="str">
        <f>IFERROR(VLOOKUP($A108,CP!$A$1:$U$1,21,FALSE),"")</f>
        <v/>
      </c>
      <c r="BT108" s="224" t="str">
        <f>IFERROR(VLOOKUP(A108,Devengado!$A$1:AJ$9310,35,FALSE),"")</f>
        <v/>
      </c>
      <c r="BU108" s="224" t="str">
        <f t="shared" si="68"/>
        <v/>
      </c>
      <c r="BV108" s="224" t="str">
        <f t="shared" si="69"/>
        <v/>
      </c>
      <c r="BW108" s="224">
        <f t="shared" si="55"/>
        <v>0</v>
      </c>
      <c r="BX108" s="296">
        <v>0</v>
      </c>
      <c r="BY108" s="296">
        <v>0</v>
      </c>
      <c r="BZ108" s="296">
        <v>0</v>
      </c>
      <c r="CA108" s="296">
        <v>0</v>
      </c>
      <c r="CB108" s="296">
        <v>4800</v>
      </c>
      <c r="CC108" s="296">
        <v>0</v>
      </c>
      <c r="CD108" s="296"/>
      <c r="CE108" s="296">
        <v>0</v>
      </c>
      <c r="CF108" s="296">
        <v>0</v>
      </c>
      <c r="CG108" s="296">
        <v>0</v>
      </c>
      <c r="CH108" s="296">
        <v>0</v>
      </c>
      <c r="CI108" s="296">
        <v>0</v>
      </c>
      <c r="CJ108" s="224" t="str">
        <f>IFERROR(VLOOKUP($A108,Devengado!$A$1:$AI$9038,22,FALSE),"")</f>
        <v/>
      </c>
      <c r="CK108" s="224" t="str">
        <f>IFERROR(VLOOKUP($A108,Devengado!$A$1:$AI$9038,23,FALSE),"")</f>
        <v/>
      </c>
      <c r="CL108" s="224" t="str">
        <f>IFERROR(VLOOKUP($A108,Devengado!$A$1:$AI$9038,24,FALSE),"")</f>
        <v/>
      </c>
      <c r="CM108" s="224" t="str">
        <f>IFERROR(VLOOKUP($A108,Devengado!$A$1:$AI$9038,25,FALSE),"")</f>
        <v/>
      </c>
      <c r="CN108" s="224" t="str">
        <f>IFERROR(VLOOKUP($A108,Devengado!$A$1:$AI$9038,26,FALSE),"")</f>
        <v/>
      </c>
      <c r="CO108" s="224" t="str">
        <f>IFERROR(VLOOKUP($A108,Devengado!$A$1:$AI$9038,27,FALSE),"")</f>
        <v/>
      </c>
      <c r="CP108" s="224" t="str">
        <f>IFERROR(VLOOKUP($A108,Devengado!$A$1:$AI$9038,28,FALSE),"")</f>
        <v/>
      </c>
      <c r="CQ108" s="224" t="str">
        <f>IFERROR(VLOOKUP($A108,Devengado!$A$1:$AI$9038,29,FALSE),"")</f>
        <v/>
      </c>
      <c r="CR108" s="224" t="str">
        <f>IFERROR(VLOOKUP($A108,Devengado!$A$1:$AI$9038,30,FALSE),"")</f>
        <v/>
      </c>
      <c r="CS108" s="224" t="str">
        <f>IFERROR(VLOOKUP($A108,Devengado!$A$1:$AI$9038,31,FALSE),"")</f>
        <v/>
      </c>
      <c r="CT108" s="224" t="str">
        <f>IFERROR(VLOOKUP($A108,Devengado!$A$1:$AI$9038,32,FALSE),"")</f>
        <v/>
      </c>
      <c r="CU108" s="224" t="str">
        <f>IFERROR(VLOOKUP($A108,Devengado!$A$1:$AI$9038,33,FALSE),"")</f>
        <v/>
      </c>
      <c r="CV108" s="224">
        <f t="shared" si="70"/>
        <v>0</v>
      </c>
      <c r="CW108" s="224" t="str">
        <f t="shared" si="71"/>
        <v/>
      </c>
      <c r="CX108" s="207"/>
      <c r="CY108" s="207" t="str">
        <f t="shared" si="72"/>
        <v>53</v>
      </c>
      <c r="CZ108" s="112" t="s">
        <v>915</v>
      </c>
    </row>
    <row r="109" spans="1:104" ht="25.5" customHeight="1">
      <c r="A109" s="207">
        <v>817</v>
      </c>
      <c r="B109" s="207"/>
      <c r="C109" s="207"/>
      <c r="D109" s="207"/>
      <c r="E109" s="207"/>
      <c r="F109" s="207"/>
      <c r="G109" s="207"/>
      <c r="H109" s="207"/>
      <c r="I109" s="207"/>
      <c r="J109" s="207"/>
      <c r="K109" s="112" t="s">
        <v>429</v>
      </c>
      <c r="L109" s="112" t="s">
        <v>850</v>
      </c>
      <c r="M109" s="112" t="s">
        <v>850</v>
      </c>
      <c r="N109" s="112" t="s">
        <v>77</v>
      </c>
      <c r="O109" s="112" t="s">
        <v>77</v>
      </c>
      <c r="P109" s="112" t="s">
        <v>76</v>
      </c>
      <c r="Q109" s="112" t="s">
        <v>77</v>
      </c>
      <c r="R109" s="112" t="s">
        <v>77</v>
      </c>
      <c r="S109" s="112" t="s">
        <v>77</v>
      </c>
      <c r="T109" s="112" t="s">
        <v>77</v>
      </c>
      <c r="U109" s="112" t="s">
        <v>77</v>
      </c>
      <c r="V109" s="112" t="s">
        <v>77</v>
      </c>
      <c r="W109" s="112" t="s">
        <v>85</v>
      </c>
      <c r="X109" s="207" t="s">
        <v>783</v>
      </c>
      <c r="Y109" s="114" t="s">
        <v>430</v>
      </c>
      <c r="Z109" s="114" t="s">
        <v>111</v>
      </c>
      <c r="AA109" s="114" t="s">
        <v>81</v>
      </c>
      <c r="AB109" s="114" t="s">
        <v>112</v>
      </c>
      <c r="AC109" s="115" t="str">
        <f t="shared" si="49"/>
        <v>53</v>
      </c>
      <c r="AD109" s="269">
        <v>530701</v>
      </c>
      <c r="AE109" s="207" t="str">
        <f>VLOOKUP(AD109,ITEM!$C$1:$D$694,2,FALSE)</f>
        <v>Desarrollo, Actualización, Asistencia Técnica y Soporte de Sistemas Informáticos</v>
      </c>
      <c r="AF109" s="207">
        <v>1309</v>
      </c>
      <c r="AG109" s="114" t="s">
        <v>82</v>
      </c>
      <c r="AH109" s="114" t="s">
        <v>84</v>
      </c>
      <c r="AI109" s="114" t="s">
        <v>84</v>
      </c>
      <c r="AJ109" s="114" t="s">
        <v>914</v>
      </c>
      <c r="AK109" s="114" t="s">
        <v>77</v>
      </c>
      <c r="AL109" s="207">
        <v>0</v>
      </c>
      <c r="AM109" s="207">
        <v>0</v>
      </c>
      <c r="AN109" s="207">
        <v>0</v>
      </c>
      <c r="AO109" s="272">
        <f>SUMIF(Reforma!$A$2:$A$8523,$A109,Reforma!$AB$2:$AB$8523)</f>
        <v>400</v>
      </c>
      <c r="AP109" s="272">
        <f>SUMIF(Reforma!$A$2:$A$8523,$A109,Reforma!$AC$2:$AC$8523)</f>
        <v>-400</v>
      </c>
      <c r="AQ109" s="272">
        <f>SUMIF(Reforma!$A$2:$A$8523,$A109,Reforma!$AD$2:$AD$8523)</f>
        <v>0</v>
      </c>
      <c r="AR109" s="272">
        <f>SUMIF(Reforma!$A$2:$A$8523,$A109,Reforma!$AE$2:$AE$8523)</f>
        <v>0</v>
      </c>
      <c r="AS109" s="272">
        <f t="shared" si="50"/>
        <v>0</v>
      </c>
      <c r="AT109" s="272">
        <f t="shared" si="51"/>
        <v>0</v>
      </c>
      <c r="AU109" s="272">
        <f t="shared" si="52"/>
        <v>0</v>
      </c>
      <c r="AV109" s="408"/>
      <c r="AW109" s="326"/>
      <c r="AX109" s="326"/>
      <c r="AY109" s="326"/>
      <c r="AZ109" s="326"/>
      <c r="BA109" s="326"/>
      <c r="BB109" s="326"/>
      <c r="BC109" s="326"/>
      <c r="BD109" s="326"/>
      <c r="BE109" s="326"/>
      <c r="BF109" s="326"/>
      <c r="BG109" s="326"/>
      <c r="BH109" s="408">
        <f t="shared" si="66"/>
        <v>400</v>
      </c>
      <c r="BI109" s="408">
        <f t="shared" si="53"/>
        <v>0</v>
      </c>
      <c r="BJ109" s="408">
        <f t="shared" si="54"/>
        <v>0</v>
      </c>
      <c r="BK109" s="272"/>
      <c r="BL109" s="272"/>
      <c r="BM109" s="272"/>
      <c r="BN109" s="224">
        <f>IFERROR(VLOOKUP($A109,'Constancias POA'!$A$2:$DH$9993,18,FALSE),"")</f>
        <v>400</v>
      </c>
      <c r="BO109" s="224">
        <f t="shared" si="67"/>
        <v>-400</v>
      </c>
      <c r="BP109" s="224">
        <f>IFERROR(VLOOKUP($A109,CP!$A$1:$U$7992,18,FALSE),"")</f>
        <v>0</v>
      </c>
      <c r="BQ109" s="224">
        <f>IFERROR(VLOOKUP($A109,CP!$A$1:$U$7992,19,FALSE),"")</f>
        <v>0</v>
      </c>
      <c r="BR109" s="224">
        <f>IFERROR(VLOOKUP($A109,CP!$A$1:$U$7992,20,FALSE),"")</f>
        <v>0</v>
      </c>
      <c r="BS109" s="224" t="str">
        <f>IFERROR(VLOOKUP($A109,CP!$A$1:$U$1,21,FALSE),"")</f>
        <v/>
      </c>
      <c r="BT109" s="224" t="str">
        <f>IFERROR(VLOOKUP(A109,Devengado!$A$1:AJ$9310,35,FALSE),"")</f>
        <v/>
      </c>
      <c r="BU109" s="224" t="str">
        <f t="shared" si="68"/>
        <v/>
      </c>
      <c r="BV109" s="224" t="str">
        <f t="shared" si="69"/>
        <v/>
      </c>
      <c r="BW109" s="224">
        <f t="shared" si="55"/>
        <v>0</v>
      </c>
      <c r="BX109" s="296">
        <v>0</v>
      </c>
      <c r="BY109" s="296">
        <v>0</v>
      </c>
      <c r="BZ109" s="296">
        <v>0</v>
      </c>
      <c r="CA109" s="296">
        <v>0</v>
      </c>
      <c r="CB109" s="296">
        <v>400</v>
      </c>
      <c r="CC109" s="296">
        <v>0</v>
      </c>
      <c r="CD109" s="296"/>
      <c r="CE109" s="296">
        <v>0</v>
      </c>
      <c r="CF109" s="296">
        <v>0</v>
      </c>
      <c r="CG109" s="296">
        <v>0</v>
      </c>
      <c r="CH109" s="296">
        <v>0</v>
      </c>
      <c r="CI109" s="296">
        <v>0</v>
      </c>
      <c r="CJ109" s="224" t="str">
        <f>IFERROR(VLOOKUP($A109,Devengado!$A$1:$AI$9038,22,FALSE),"")</f>
        <v/>
      </c>
      <c r="CK109" s="224" t="str">
        <f>IFERROR(VLOOKUP($A109,Devengado!$A$1:$AI$9038,23,FALSE),"")</f>
        <v/>
      </c>
      <c r="CL109" s="224" t="str">
        <f>IFERROR(VLOOKUP($A109,Devengado!$A$1:$AI$9038,24,FALSE),"")</f>
        <v/>
      </c>
      <c r="CM109" s="224" t="str">
        <f>IFERROR(VLOOKUP($A109,Devengado!$A$1:$AI$9038,25,FALSE),"")</f>
        <v/>
      </c>
      <c r="CN109" s="224" t="str">
        <f>IFERROR(VLOOKUP($A109,Devengado!$A$1:$AI$9038,26,FALSE),"")</f>
        <v/>
      </c>
      <c r="CO109" s="224" t="str">
        <f>IFERROR(VLOOKUP($A109,Devengado!$A$1:$AI$9038,27,FALSE),"")</f>
        <v/>
      </c>
      <c r="CP109" s="224" t="str">
        <f>IFERROR(VLOOKUP($A109,Devengado!$A$1:$AI$9038,28,FALSE),"")</f>
        <v/>
      </c>
      <c r="CQ109" s="224" t="str">
        <f>IFERROR(VLOOKUP($A109,Devengado!$A$1:$AI$9038,29,FALSE),"")</f>
        <v/>
      </c>
      <c r="CR109" s="224" t="str">
        <f>IFERROR(VLOOKUP($A109,Devengado!$A$1:$AI$9038,30,FALSE),"")</f>
        <v/>
      </c>
      <c r="CS109" s="224" t="str">
        <f>IFERROR(VLOOKUP($A109,Devengado!$A$1:$AI$9038,31,FALSE),"")</f>
        <v/>
      </c>
      <c r="CT109" s="224" t="str">
        <f>IFERROR(VLOOKUP($A109,Devengado!$A$1:$AI$9038,32,FALSE),"")</f>
        <v/>
      </c>
      <c r="CU109" s="224" t="str">
        <f>IFERROR(VLOOKUP($A109,Devengado!$A$1:$AI$9038,33,FALSE),"")</f>
        <v/>
      </c>
      <c r="CV109" s="224">
        <f t="shared" si="70"/>
        <v>0</v>
      </c>
      <c r="CW109" s="224" t="str">
        <f t="shared" si="71"/>
        <v/>
      </c>
      <c r="CX109" s="207"/>
      <c r="CY109" s="207" t="str">
        <f t="shared" si="72"/>
        <v>53</v>
      </c>
      <c r="CZ109" s="112" t="s">
        <v>915</v>
      </c>
    </row>
    <row r="110" spans="1:104" ht="24.75" customHeight="1">
      <c r="A110" s="207">
        <v>818</v>
      </c>
      <c r="B110" s="207"/>
      <c r="C110" s="207"/>
      <c r="D110" s="207"/>
      <c r="E110" s="207"/>
      <c r="F110" s="207"/>
      <c r="G110" s="207"/>
      <c r="H110" s="207"/>
      <c r="I110" s="207"/>
      <c r="J110" s="207"/>
      <c r="K110" s="207" t="s">
        <v>429</v>
      </c>
      <c r="L110" s="207" t="s">
        <v>850</v>
      </c>
      <c r="M110" s="207" t="s">
        <v>850</v>
      </c>
      <c r="N110" s="207" t="s">
        <v>77</v>
      </c>
      <c r="O110" s="207" t="s">
        <v>77</v>
      </c>
      <c r="P110" s="207" t="s">
        <v>76</v>
      </c>
      <c r="Q110" s="207" t="s">
        <v>77</v>
      </c>
      <c r="R110" s="207" t="s">
        <v>77</v>
      </c>
      <c r="S110" s="207" t="s">
        <v>77</v>
      </c>
      <c r="T110" s="207" t="s">
        <v>77</v>
      </c>
      <c r="U110" s="207" t="s">
        <v>77</v>
      </c>
      <c r="V110" s="207" t="s">
        <v>77</v>
      </c>
      <c r="W110" s="207" t="s">
        <v>85</v>
      </c>
      <c r="X110" s="207" t="s">
        <v>754</v>
      </c>
      <c r="Y110" s="114" t="s">
        <v>430</v>
      </c>
      <c r="Z110" s="114" t="s">
        <v>111</v>
      </c>
      <c r="AA110" s="114" t="s">
        <v>81</v>
      </c>
      <c r="AB110" s="114" t="s">
        <v>112</v>
      </c>
      <c r="AC110" s="115" t="str">
        <f t="shared" si="49"/>
        <v>53</v>
      </c>
      <c r="AD110" s="269">
        <v>530205</v>
      </c>
      <c r="AE110" s="207" t="str">
        <f>VLOOKUP(AD110,ITEM!$C$1:$D$694,2,FALSE)</f>
        <v>Espectáculos Culturales y Sociales</v>
      </c>
      <c r="AF110" s="207">
        <v>1309</v>
      </c>
      <c r="AG110" s="114" t="s">
        <v>82</v>
      </c>
      <c r="AH110" s="114" t="s">
        <v>84</v>
      </c>
      <c r="AI110" s="114" t="s">
        <v>84</v>
      </c>
      <c r="AJ110" s="114" t="s">
        <v>914</v>
      </c>
      <c r="AK110" s="114" t="s">
        <v>77</v>
      </c>
      <c r="AL110" s="207">
        <v>0</v>
      </c>
      <c r="AM110" s="207">
        <v>0</v>
      </c>
      <c r="AN110" s="207">
        <v>0</v>
      </c>
      <c r="AO110" s="272">
        <f>SUMIF(Reforma!$A$2:$A$8523,$A110,Reforma!$AB$2:$AB$8523)</f>
        <v>5991.5</v>
      </c>
      <c r="AP110" s="272">
        <f>SUMIF(Reforma!$A$2:$A$8523,$A110,Reforma!$AC$2:$AC$8523)</f>
        <v>0</v>
      </c>
      <c r="AQ110" s="272">
        <f>SUMIF(Reforma!$A$2:$A$8523,$A110,Reforma!$AD$2:$AD$8523)</f>
        <v>0</v>
      </c>
      <c r="AR110" s="272">
        <f>SUMIF(Reforma!$A$2:$A$8523,$A110,Reforma!$AE$2:$AE$8523)</f>
        <v>0</v>
      </c>
      <c r="AS110" s="272">
        <f>+AL110+AO110+AP110</f>
        <v>5991.5</v>
      </c>
      <c r="AT110" s="272">
        <f t="shared" si="51"/>
        <v>0</v>
      </c>
      <c r="AU110" s="272">
        <f t="shared" si="52"/>
        <v>5991.5</v>
      </c>
      <c r="AV110" s="408"/>
      <c r="AW110" s="326"/>
      <c r="AX110" s="326"/>
      <c r="AY110" s="326"/>
      <c r="AZ110" s="326"/>
      <c r="BA110" s="326"/>
      <c r="BB110" s="326">
        <v>2396.6</v>
      </c>
      <c r="BC110" s="326"/>
      <c r="BD110" s="326">
        <v>3594.9</v>
      </c>
      <c r="BE110" s="326"/>
      <c r="BF110" s="326"/>
      <c r="BG110" s="326"/>
      <c r="BH110" s="408">
        <f t="shared" si="66"/>
        <v>5991.5</v>
      </c>
      <c r="BI110" s="408">
        <f t="shared" si="53"/>
        <v>5991.5</v>
      </c>
      <c r="BJ110" s="408">
        <f t="shared" si="54"/>
        <v>0</v>
      </c>
      <c r="BK110" s="272"/>
      <c r="BL110" s="272"/>
      <c r="BM110" s="272"/>
      <c r="BN110" s="224">
        <f>IFERROR(VLOOKUP($A110,'Constancias POA'!$A$2:$DH$9993,18,FALSE),"")</f>
        <v>5000</v>
      </c>
      <c r="BO110" s="224">
        <f t="shared" si="67"/>
        <v>991.5</v>
      </c>
      <c r="BP110" s="224">
        <f>IFERROR(VLOOKUP($A110,CP!$A$1:$U$7992,18,FALSE),"")</f>
        <v>5991.5</v>
      </c>
      <c r="BQ110" s="224">
        <f>IFERROR(VLOOKUP($A110,CP!$A$1:$U$7992,19,FALSE),"")</f>
        <v>5990</v>
      </c>
      <c r="BR110" s="224">
        <f>IFERROR(VLOOKUP($A110,CP!$A$1:$U$7992,20,FALSE),"")</f>
        <v>1.5</v>
      </c>
      <c r="BS110" s="224" t="str">
        <f>IFERROR(VLOOKUP($A110,CP!$A$1:$U$1,21,FALSE),"")</f>
        <v/>
      </c>
      <c r="BT110" s="224">
        <f>IFERROR(VLOOKUP(A110,Devengado!$A$1:AJ$9310,35,FALSE),"")</f>
        <v>5990</v>
      </c>
      <c r="BU110" s="224">
        <f t="shared" si="68"/>
        <v>1.5</v>
      </c>
      <c r="BV110" s="224">
        <f t="shared" si="69"/>
        <v>0.99974964533088539</v>
      </c>
      <c r="BW110" s="224">
        <f t="shared" si="55"/>
        <v>5991.5</v>
      </c>
      <c r="BX110" s="296">
        <v>0</v>
      </c>
      <c r="BY110" s="296">
        <v>0</v>
      </c>
      <c r="BZ110" s="296">
        <v>0</v>
      </c>
      <c r="CA110" s="296">
        <v>0</v>
      </c>
      <c r="CB110" s="326">
        <v>2995.75</v>
      </c>
      <c r="CC110" s="326">
        <v>2995.75</v>
      </c>
      <c r="CD110" s="296"/>
      <c r="CE110" s="296">
        <v>0</v>
      </c>
      <c r="CF110" s="296">
        <v>0</v>
      </c>
      <c r="CG110" s="296">
        <v>0</v>
      </c>
      <c r="CH110" s="296">
        <v>0</v>
      </c>
      <c r="CI110" s="296">
        <v>0</v>
      </c>
      <c r="CJ110" s="224">
        <f>IFERROR(VLOOKUP($A110,Devengado!$A$1:$AI$9038,22,FALSE),"")</f>
        <v>0</v>
      </c>
      <c r="CK110" s="224">
        <f>IFERROR(VLOOKUP($A110,Devengado!$A$1:$AI$9038,23,FALSE),"")</f>
        <v>0</v>
      </c>
      <c r="CL110" s="224">
        <f>IFERROR(VLOOKUP($A110,Devengado!$A$1:$AI$9038,24,FALSE),"")</f>
        <v>0</v>
      </c>
      <c r="CM110" s="224">
        <f>IFERROR(VLOOKUP($A110,Devengado!$A$1:$AI$9038,25,FALSE),"")</f>
        <v>0</v>
      </c>
      <c r="CN110" s="224">
        <f>IFERROR(VLOOKUP($A110,Devengado!$A$1:$AI$9038,26,FALSE),"")</f>
        <v>0</v>
      </c>
      <c r="CO110" s="224">
        <f>IFERROR(VLOOKUP($A110,Devengado!$A$1:$AI$9038,27,FALSE),"")</f>
        <v>0</v>
      </c>
      <c r="CP110" s="224">
        <f>IFERROR(VLOOKUP($A110,Devengado!$A$1:$AI$9038,28,FALSE),"")</f>
        <v>2396</v>
      </c>
      <c r="CQ110" s="224">
        <f>IFERROR(VLOOKUP($A110,Devengado!$A$1:$AI$9038,29,FALSE),"")</f>
        <v>0</v>
      </c>
      <c r="CR110" s="224">
        <f>IFERROR(VLOOKUP($A110,Devengado!$A$1:$AI$9038,30,FALSE),"")</f>
        <v>1797</v>
      </c>
      <c r="CS110" s="224">
        <f>IFERROR(VLOOKUP($A110,Devengado!$A$1:$AI$9038,31,FALSE),"")</f>
        <v>0</v>
      </c>
      <c r="CT110" s="224">
        <f>IFERROR(VLOOKUP($A110,Devengado!$A$1:$AI$9038,32,FALSE),"")</f>
        <v>0</v>
      </c>
      <c r="CU110" s="224">
        <f>IFERROR(VLOOKUP($A110,Devengado!$A$1:$AI$9038,33,FALSE),"")</f>
        <v>1797</v>
      </c>
      <c r="CV110" s="224">
        <f t="shared" si="70"/>
        <v>5990</v>
      </c>
      <c r="CW110" s="224">
        <f t="shared" si="71"/>
        <v>0</v>
      </c>
      <c r="CX110" s="207"/>
      <c r="CY110" s="207" t="str">
        <f t="shared" si="72"/>
        <v>53</v>
      </c>
      <c r="CZ110" s="112" t="s">
        <v>915</v>
      </c>
    </row>
    <row r="111" spans="1:104" ht="24" customHeight="1">
      <c r="A111" s="207">
        <v>819</v>
      </c>
      <c r="B111" s="207"/>
      <c r="C111" s="207"/>
      <c r="D111" s="207"/>
      <c r="E111" s="207"/>
      <c r="F111" s="207"/>
      <c r="G111" s="207"/>
      <c r="H111" s="207"/>
      <c r="I111" s="207"/>
      <c r="J111" s="207"/>
      <c r="K111" s="207" t="s">
        <v>429</v>
      </c>
      <c r="L111" s="207" t="s">
        <v>850</v>
      </c>
      <c r="M111" s="207" t="s">
        <v>850</v>
      </c>
      <c r="N111" s="207" t="s">
        <v>77</v>
      </c>
      <c r="O111" s="207" t="s">
        <v>77</v>
      </c>
      <c r="P111" s="207" t="s">
        <v>76</v>
      </c>
      <c r="Q111" s="207" t="s">
        <v>77</v>
      </c>
      <c r="R111" s="207" t="s">
        <v>77</v>
      </c>
      <c r="S111" s="207" t="s">
        <v>77</v>
      </c>
      <c r="T111" s="207" t="s">
        <v>77</v>
      </c>
      <c r="U111" s="207" t="s">
        <v>77</v>
      </c>
      <c r="V111" s="207" t="s">
        <v>77</v>
      </c>
      <c r="W111" s="207" t="s">
        <v>85</v>
      </c>
      <c r="X111" s="207" t="s">
        <v>784</v>
      </c>
      <c r="Y111" s="114" t="s">
        <v>430</v>
      </c>
      <c r="Z111" s="114" t="s">
        <v>111</v>
      </c>
      <c r="AA111" s="114" t="s">
        <v>81</v>
      </c>
      <c r="AB111" s="114" t="s">
        <v>112</v>
      </c>
      <c r="AC111" s="115" t="str">
        <f t="shared" si="49"/>
        <v>53</v>
      </c>
      <c r="AD111" s="269">
        <v>530402</v>
      </c>
      <c r="AE111" s="207" t="str">
        <f>VLOOKUP(AD111,ITEM!$C$1:$D$694,2,FALSE)</f>
        <v>Edificios, Locales, Residencias y Cableado Estructurado (Instalación, Mantenimiento y Reparación)</v>
      </c>
      <c r="AF111" s="207">
        <v>1308</v>
      </c>
      <c r="AG111" s="114" t="s">
        <v>82</v>
      </c>
      <c r="AH111" s="114" t="s">
        <v>84</v>
      </c>
      <c r="AI111" s="114" t="s">
        <v>84</v>
      </c>
      <c r="AJ111" s="114" t="s">
        <v>914</v>
      </c>
      <c r="AK111" s="114" t="s">
        <v>77</v>
      </c>
      <c r="AL111" s="207">
        <v>0</v>
      </c>
      <c r="AM111" s="207">
        <v>0</v>
      </c>
      <c r="AN111" s="207">
        <v>0</v>
      </c>
      <c r="AO111" s="272">
        <f>SUMIF(Reforma!$A$2:$A$8523,$A111,Reforma!$AB$2:$AB$8523)</f>
        <v>5000</v>
      </c>
      <c r="AP111" s="272">
        <f>SUMIF(Reforma!$A$2:$A$8523,$A111,Reforma!$AC$2:$AC$8523)</f>
        <v>-170</v>
      </c>
      <c r="AQ111" s="272">
        <f>SUMIF(Reforma!$A$2:$A$8523,$A111,Reforma!$AD$2:$AD$8523)</f>
        <v>0</v>
      </c>
      <c r="AR111" s="272">
        <f>SUMIF(Reforma!$A$2:$A$8523,$A111,Reforma!$AE$2:$AE$8523)</f>
        <v>0</v>
      </c>
      <c r="AS111" s="272">
        <f t="shared" si="50"/>
        <v>4830</v>
      </c>
      <c r="AT111" s="272">
        <f t="shared" si="51"/>
        <v>0</v>
      </c>
      <c r="AU111" s="272">
        <f t="shared" si="52"/>
        <v>4830</v>
      </c>
      <c r="AV111" s="408"/>
      <c r="AW111" s="326"/>
      <c r="AX111" s="326"/>
      <c r="AY111" s="326"/>
      <c r="AZ111" s="326">
        <v>0</v>
      </c>
      <c r="BA111" s="326"/>
      <c r="BB111" s="326">
        <v>4830</v>
      </c>
      <c r="BC111" s="326"/>
      <c r="BD111" s="326"/>
      <c r="BE111" s="326"/>
      <c r="BF111" s="326"/>
      <c r="BG111" s="326"/>
      <c r="BH111" s="408">
        <f t="shared" si="66"/>
        <v>5000</v>
      </c>
      <c r="BI111" s="408">
        <f t="shared" si="53"/>
        <v>4830</v>
      </c>
      <c r="BJ111" s="408">
        <f t="shared" si="54"/>
        <v>0</v>
      </c>
      <c r="BK111" s="272"/>
      <c r="BL111" s="272"/>
      <c r="BM111" s="272"/>
      <c r="BN111" s="224">
        <f>IFERROR(VLOOKUP($A111,'Constancias POA'!$A$2:$DH$9993,18,FALSE),"")</f>
        <v>5000</v>
      </c>
      <c r="BO111" s="224">
        <f t="shared" si="67"/>
        <v>-170</v>
      </c>
      <c r="BP111" s="224">
        <f>IFERROR(VLOOKUP($A111,CP!$A$1:$U$7992,18,FALSE),"")</f>
        <v>0</v>
      </c>
      <c r="BQ111" s="224">
        <f>IFERROR(VLOOKUP($A111,CP!$A$1:$U$7992,19,FALSE),"")</f>
        <v>4830</v>
      </c>
      <c r="BR111" s="224">
        <f>IFERROR(VLOOKUP($A111,CP!$A$1:$U$7992,20,FALSE),"")</f>
        <v>0</v>
      </c>
      <c r="BS111" s="224" t="str">
        <f>IFERROR(VLOOKUP($A111,CP!$A$1:$U$1,21,FALSE),"")</f>
        <v/>
      </c>
      <c r="BT111" s="224">
        <f>IFERROR(VLOOKUP(A111,Devengado!$A$1:AJ$9310,35,FALSE),"")</f>
        <v>4830</v>
      </c>
      <c r="BU111" s="224">
        <f t="shared" si="68"/>
        <v>0</v>
      </c>
      <c r="BV111" s="224">
        <f t="shared" si="69"/>
        <v>1</v>
      </c>
      <c r="BW111" s="224">
        <f t="shared" si="55"/>
        <v>4830</v>
      </c>
      <c r="BX111" s="296">
        <v>0</v>
      </c>
      <c r="BY111" s="296">
        <v>0</v>
      </c>
      <c r="BZ111" s="296">
        <v>0</v>
      </c>
      <c r="CA111" s="296">
        <v>0</v>
      </c>
      <c r="CB111" s="296">
        <v>5000</v>
      </c>
      <c r="CC111" s="296">
        <v>0</v>
      </c>
      <c r="CD111" s="296"/>
      <c r="CE111" s="296">
        <v>0</v>
      </c>
      <c r="CF111" s="296">
        <v>0</v>
      </c>
      <c r="CG111" s="296">
        <v>0</v>
      </c>
      <c r="CH111" s="296">
        <v>0</v>
      </c>
      <c r="CI111" s="296">
        <v>0</v>
      </c>
      <c r="CJ111" s="224">
        <f>IFERROR(VLOOKUP($A111,Devengado!$A$1:$AI$9038,22,FALSE),"")</f>
        <v>0</v>
      </c>
      <c r="CK111" s="224">
        <f>IFERROR(VLOOKUP($A111,Devengado!$A$1:$AI$9038,23,FALSE),"")</f>
        <v>0</v>
      </c>
      <c r="CL111" s="224">
        <f>IFERROR(VLOOKUP($A111,Devengado!$A$1:$AI$9038,24,FALSE),"")</f>
        <v>0</v>
      </c>
      <c r="CM111" s="224">
        <f>IFERROR(VLOOKUP($A111,Devengado!$A$1:$AI$9038,25,FALSE),"")</f>
        <v>0</v>
      </c>
      <c r="CN111" s="224">
        <f>IFERROR(VLOOKUP($A111,Devengado!$A$1:$AI$9038,26,FALSE),"")</f>
        <v>0</v>
      </c>
      <c r="CO111" s="224">
        <f>IFERROR(VLOOKUP($A111,Devengado!$A$1:$AI$9038,27,FALSE),"")</f>
        <v>0</v>
      </c>
      <c r="CP111" s="224">
        <f>IFERROR(VLOOKUP($A111,Devengado!$A$1:$AI$9038,28,FALSE),"")</f>
        <v>4830</v>
      </c>
      <c r="CQ111" s="224">
        <f>IFERROR(VLOOKUP($A111,Devengado!$A$1:$AI$9038,29,FALSE),"")</f>
        <v>0</v>
      </c>
      <c r="CR111" s="224">
        <f>IFERROR(VLOOKUP($A111,Devengado!$A$1:$AI$9038,30,FALSE),"")</f>
        <v>0</v>
      </c>
      <c r="CS111" s="224">
        <f>IFERROR(VLOOKUP($A111,Devengado!$A$1:$AI$9038,31,FALSE),"")</f>
        <v>0</v>
      </c>
      <c r="CT111" s="224">
        <f>IFERROR(VLOOKUP($A111,Devengado!$A$1:$AI$9038,32,FALSE),"")</f>
        <v>0</v>
      </c>
      <c r="CU111" s="224">
        <f>IFERROR(VLOOKUP($A111,Devengado!$A$1:$AI$9038,33,FALSE),"")</f>
        <v>0</v>
      </c>
      <c r="CV111" s="224">
        <f t="shared" si="70"/>
        <v>4830</v>
      </c>
      <c r="CW111" s="224">
        <f t="shared" si="71"/>
        <v>0</v>
      </c>
      <c r="CX111" s="207"/>
      <c r="CY111" s="207" t="str">
        <f t="shared" si="72"/>
        <v>53</v>
      </c>
      <c r="CZ111" s="112" t="s">
        <v>915</v>
      </c>
    </row>
    <row r="112" spans="1:104" ht="24.75" customHeight="1">
      <c r="A112" s="207">
        <v>820</v>
      </c>
      <c r="B112" s="207"/>
      <c r="C112" s="207"/>
      <c r="D112" s="207"/>
      <c r="E112" s="207"/>
      <c r="F112" s="207"/>
      <c r="G112" s="207"/>
      <c r="H112" s="207"/>
      <c r="I112" s="207"/>
      <c r="J112" s="207"/>
      <c r="K112" s="207" t="s">
        <v>429</v>
      </c>
      <c r="L112" s="207" t="s">
        <v>850</v>
      </c>
      <c r="M112" s="207" t="s">
        <v>850</v>
      </c>
      <c r="N112" s="207" t="s">
        <v>77</v>
      </c>
      <c r="O112" s="207" t="s">
        <v>77</v>
      </c>
      <c r="P112" s="207" t="s">
        <v>76</v>
      </c>
      <c r="Q112" s="207" t="s">
        <v>77</v>
      </c>
      <c r="R112" s="207" t="s">
        <v>77</v>
      </c>
      <c r="S112" s="207" t="s">
        <v>77</v>
      </c>
      <c r="T112" s="207" t="s">
        <v>77</v>
      </c>
      <c r="U112" s="207" t="s">
        <v>77</v>
      </c>
      <c r="V112" s="207" t="s">
        <v>77</v>
      </c>
      <c r="W112" s="207" t="s">
        <v>85</v>
      </c>
      <c r="X112" s="207" t="s">
        <v>785</v>
      </c>
      <c r="Y112" s="114" t="s">
        <v>430</v>
      </c>
      <c r="Z112" s="114" t="s">
        <v>111</v>
      </c>
      <c r="AA112" s="114" t="s">
        <v>81</v>
      </c>
      <c r="AB112" s="114" t="s">
        <v>112</v>
      </c>
      <c r="AC112" s="115" t="str">
        <f t="shared" si="49"/>
        <v>53</v>
      </c>
      <c r="AD112" s="269">
        <v>530403</v>
      </c>
      <c r="AE112" s="207" t="str">
        <f>VLOOKUP(AD112,ITEM!$C$1:$D$694,2,FALSE)</f>
        <v>Mobiliarios  (Instalación, Mantenimiento y Reparación)</v>
      </c>
      <c r="AF112" s="207">
        <v>1301</v>
      </c>
      <c r="AG112" s="114" t="s">
        <v>82</v>
      </c>
      <c r="AH112" s="114" t="s">
        <v>84</v>
      </c>
      <c r="AI112" s="114" t="s">
        <v>84</v>
      </c>
      <c r="AJ112" s="114" t="s">
        <v>914</v>
      </c>
      <c r="AK112" s="114" t="s">
        <v>77</v>
      </c>
      <c r="AL112" s="207">
        <v>0</v>
      </c>
      <c r="AM112" s="207">
        <v>0</v>
      </c>
      <c r="AN112" s="207">
        <v>0</v>
      </c>
      <c r="AO112" s="272">
        <f>SUMIF(Reforma!$A$2:$A$8523,$A112,Reforma!$AB$2:$AB$8523)</f>
        <v>5000</v>
      </c>
      <c r="AP112" s="272">
        <f>SUMIF(Reforma!$A$2:$A$8523,$A112,Reforma!$AC$2:$AC$8523)</f>
        <v>-5000</v>
      </c>
      <c r="AQ112" s="272">
        <f>SUMIF(Reforma!$A$2:$A$8523,$A112,Reforma!$AD$2:$AD$8523)</f>
        <v>0</v>
      </c>
      <c r="AR112" s="272">
        <f>SUMIF(Reforma!$A$2:$A$8523,$A112,Reforma!$AE$2:$AE$8523)</f>
        <v>0</v>
      </c>
      <c r="AS112" s="272">
        <f t="shared" si="50"/>
        <v>0</v>
      </c>
      <c r="AT112" s="272">
        <f t="shared" si="51"/>
        <v>0</v>
      </c>
      <c r="AU112" s="272">
        <f t="shared" si="52"/>
        <v>0</v>
      </c>
      <c r="AV112" s="408"/>
      <c r="AW112" s="326"/>
      <c r="AX112" s="326"/>
      <c r="AY112" s="326"/>
      <c r="AZ112" s="326"/>
      <c r="BA112" s="326"/>
      <c r="BB112" s="326"/>
      <c r="BC112" s="326"/>
      <c r="BD112" s="326"/>
      <c r="BE112" s="326"/>
      <c r="BF112" s="326"/>
      <c r="BG112" s="326"/>
      <c r="BH112" s="408">
        <f t="shared" si="66"/>
        <v>0</v>
      </c>
      <c r="BI112" s="408">
        <f t="shared" si="53"/>
        <v>0</v>
      </c>
      <c r="BJ112" s="408">
        <f t="shared" si="54"/>
        <v>0</v>
      </c>
      <c r="BK112" s="272"/>
      <c r="BL112" s="272"/>
      <c r="BM112" s="272"/>
      <c r="BN112" s="224">
        <f>IFERROR(VLOOKUP($A112,'Constancias POA'!$A$2:$DH$9993,18,FALSE),"")</f>
        <v>5000</v>
      </c>
      <c r="BO112" s="224">
        <f t="shared" si="67"/>
        <v>-5000</v>
      </c>
      <c r="BP112" s="224">
        <f>IFERROR(VLOOKUP($A112,CP!$A$1:$U$7992,18,FALSE),"")</f>
        <v>0</v>
      </c>
      <c r="BQ112" s="224">
        <f>IFERROR(VLOOKUP($A112,CP!$A$1:$U$7992,19,FALSE),"")</f>
        <v>0</v>
      </c>
      <c r="BR112" s="224">
        <f>IFERROR(VLOOKUP($A112,CP!$A$1:$U$7992,20,FALSE),"")</f>
        <v>0</v>
      </c>
      <c r="BS112" s="224" t="str">
        <f>IFERROR(VLOOKUP($A112,CP!$A$1:$U$1,21,FALSE),"")</f>
        <v/>
      </c>
      <c r="BT112" s="224" t="str">
        <f>IFERROR(VLOOKUP(A112,Devengado!$A$1:AJ$9310,35,FALSE),"")</f>
        <v/>
      </c>
      <c r="BU112" s="224" t="str">
        <f t="shared" si="68"/>
        <v/>
      </c>
      <c r="BV112" s="224" t="str">
        <f t="shared" si="69"/>
        <v/>
      </c>
      <c r="BW112" s="224">
        <f t="shared" si="55"/>
        <v>0</v>
      </c>
      <c r="BX112" s="296">
        <v>0</v>
      </c>
      <c r="BY112" s="296">
        <v>0</v>
      </c>
      <c r="BZ112" s="296">
        <v>0</v>
      </c>
      <c r="CA112" s="296">
        <v>0</v>
      </c>
      <c r="CB112" s="296"/>
      <c r="CC112" s="296">
        <v>0</v>
      </c>
      <c r="CD112" s="296"/>
      <c r="CE112" s="296">
        <v>0</v>
      </c>
      <c r="CF112" s="296">
        <v>0</v>
      </c>
      <c r="CG112" s="296">
        <v>0</v>
      </c>
      <c r="CH112" s="296">
        <v>0</v>
      </c>
      <c r="CI112" s="296">
        <v>0</v>
      </c>
      <c r="CJ112" s="224" t="str">
        <f>IFERROR(VLOOKUP($A112,Devengado!$A$1:$AI$9038,22,FALSE),"")</f>
        <v/>
      </c>
      <c r="CK112" s="224" t="str">
        <f>IFERROR(VLOOKUP($A112,Devengado!$A$1:$AI$9038,23,FALSE),"")</f>
        <v/>
      </c>
      <c r="CL112" s="224" t="str">
        <f>IFERROR(VLOOKUP($A112,Devengado!$A$1:$AI$9038,24,FALSE),"")</f>
        <v/>
      </c>
      <c r="CM112" s="224" t="str">
        <f>IFERROR(VLOOKUP($A112,Devengado!$A$1:$AI$9038,25,FALSE),"")</f>
        <v/>
      </c>
      <c r="CN112" s="224" t="str">
        <f>IFERROR(VLOOKUP($A112,Devengado!$A$1:$AI$9038,26,FALSE),"")</f>
        <v/>
      </c>
      <c r="CO112" s="224" t="str">
        <f>IFERROR(VLOOKUP($A112,Devengado!$A$1:$AI$9038,27,FALSE),"")</f>
        <v/>
      </c>
      <c r="CP112" s="224" t="str">
        <f>IFERROR(VLOOKUP($A112,Devengado!$A$1:$AI$9038,28,FALSE),"")</f>
        <v/>
      </c>
      <c r="CQ112" s="224" t="str">
        <f>IFERROR(VLOOKUP($A112,Devengado!$A$1:$AI$9038,29,FALSE),"")</f>
        <v/>
      </c>
      <c r="CR112" s="224" t="str">
        <f>IFERROR(VLOOKUP($A112,Devengado!$A$1:$AI$9038,30,FALSE),"")</f>
        <v/>
      </c>
      <c r="CS112" s="224" t="str">
        <f>IFERROR(VLOOKUP($A112,Devengado!$A$1:$AI$9038,31,FALSE),"")</f>
        <v/>
      </c>
      <c r="CT112" s="224" t="str">
        <f>IFERROR(VLOOKUP($A112,Devengado!$A$1:$AI$9038,32,FALSE),"")</f>
        <v/>
      </c>
      <c r="CU112" s="224" t="str">
        <f>IFERROR(VLOOKUP($A112,Devengado!$A$1:$AI$9038,33,FALSE),"")</f>
        <v/>
      </c>
      <c r="CV112" s="224">
        <f t="shared" si="70"/>
        <v>0</v>
      </c>
      <c r="CW112" s="224" t="str">
        <f t="shared" si="71"/>
        <v/>
      </c>
      <c r="CX112" s="207"/>
      <c r="CY112" s="207" t="str">
        <f t="shared" si="72"/>
        <v>53</v>
      </c>
      <c r="CZ112" s="112" t="s">
        <v>915</v>
      </c>
    </row>
    <row r="113" spans="1:104" ht="21" customHeight="1">
      <c r="A113" s="207">
        <v>821</v>
      </c>
      <c r="B113" s="207"/>
      <c r="C113" s="207"/>
      <c r="D113" s="207"/>
      <c r="E113" s="207"/>
      <c r="F113" s="207"/>
      <c r="G113" s="207"/>
      <c r="H113" s="207"/>
      <c r="I113" s="207"/>
      <c r="J113" s="207"/>
      <c r="K113" s="207" t="s">
        <v>429</v>
      </c>
      <c r="L113" s="207" t="s">
        <v>850</v>
      </c>
      <c r="M113" s="207" t="s">
        <v>850</v>
      </c>
      <c r="N113" s="207" t="s">
        <v>77</v>
      </c>
      <c r="O113" s="207" t="s">
        <v>77</v>
      </c>
      <c r="P113" s="207" t="s">
        <v>76</v>
      </c>
      <c r="Q113" s="207" t="s">
        <v>77</v>
      </c>
      <c r="R113" s="207" t="s">
        <v>77</v>
      </c>
      <c r="S113" s="207" t="s">
        <v>77</v>
      </c>
      <c r="T113" s="207" t="s">
        <v>77</v>
      </c>
      <c r="U113" s="207" t="s">
        <v>77</v>
      </c>
      <c r="V113" s="207" t="s">
        <v>77</v>
      </c>
      <c r="W113" s="207" t="s">
        <v>85</v>
      </c>
      <c r="X113" s="207" t="s">
        <v>786</v>
      </c>
      <c r="Y113" s="114" t="s">
        <v>430</v>
      </c>
      <c r="Z113" s="114" t="s">
        <v>111</v>
      </c>
      <c r="AA113" s="114" t="s">
        <v>81</v>
      </c>
      <c r="AB113" s="114" t="s">
        <v>112</v>
      </c>
      <c r="AC113" s="115" t="str">
        <f t="shared" si="49"/>
        <v>53</v>
      </c>
      <c r="AD113" s="269">
        <v>530404</v>
      </c>
      <c r="AE113" s="207" t="str">
        <f>VLOOKUP(AD113,ITEM!$C$1:$D$694,2,FALSE)</f>
        <v>Maquinarias y Equipos (Instalación, Mantenimiento y Reparación)</v>
      </c>
      <c r="AF113" s="207">
        <v>1314</v>
      </c>
      <c r="AG113" s="114" t="s">
        <v>82</v>
      </c>
      <c r="AH113" s="114" t="s">
        <v>84</v>
      </c>
      <c r="AI113" s="114" t="s">
        <v>84</v>
      </c>
      <c r="AJ113" s="114" t="s">
        <v>914</v>
      </c>
      <c r="AK113" s="114" t="s">
        <v>77</v>
      </c>
      <c r="AL113" s="207">
        <v>0</v>
      </c>
      <c r="AM113" s="207">
        <v>0</v>
      </c>
      <c r="AN113" s="207">
        <v>0</v>
      </c>
      <c r="AO113" s="272">
        <f>SUMIF(Reforma!$A$2:$A$8523,$A113,Reforma!$AB$2:$AB$8523)</f>
        <v>5000</v>
      </c>
      <c r="AP113" s="272">
        <f>SUMIF(Reforma!$A$2:$A$8523,$A113,Reforma!$AC$2:$AC$8523)</f>
        <v>-5000</v>
      </c>
      <c r="AQ113" s="272">
        <f>SUMIF(Reforma!$A$2:$A$8523,$A113,Reforma!$AD$2:$AD$8523)</f>
        <v>0</v>
      </c>
      <c r="AR113" s="272">
        <f>SUMIF(Reforma!$A$2:$A$8523,$A113,Reforma!$AE$2:$AE$8523)</f>
        <v>0</v>
      </c>
      <c r="AS113" s="272">
        <f t="shared" si="50"/>
        <v>0</v>
      </c>
      <c r="AT113" s="272">
        <f t="shared" si="51"/>
        <v>0</v>
      </c>
      <c r="AU113" s="272">
        <f t="shared" si="52"/>
        <v>0</v>
      </c>
      <c r="AV113" s="408"/>
      <c r="AW113" s="326"/>
      <c r="AX113" s="326"/>
      <c r="AY113" s="326"/>
      <c r="AZ113" s="326"/>
      <c r="BA113" s="326"/>
      <c r="BB113" s="326"/>
      <c r="BC113" s="326"/>
      <c r="BD113" s="326"/>
      <c r="BE113" s="326"/>
      <c r="BF113" s="326"/>
      <c r="BG113" s="326"/>
      <c r="BH113" s="408">
        <f t="shared" si="66"/>
        <v>0</v>
      </c>
      <c r="BI113" s="408">
        <f t="shared" si="53"/>
        <v>0</v>
      </c>
      <c r="BJ113" s="408">
        <f t="shared" si="54"/>
        <v>0</v>
      </c>
      <c r="BK113" s="272"/>
      <c r="BL113" s="272"/>
      <c r="BM113" s="272"/>
      <c r="BN113" s="224" t="str">
        <f>IFERROR(VLOOKUP($A113,'Constancias POA'!$A$2:$DH$9993,18,FALSE),"")</f>
        <v/>
      </c>
      <c r="BO113" s="224" t="str">
        <f t="shared" si="67"/>
        <v/>
      </c>
      <c r="BP113" s="224" t="str">
        <f>IFERROR(VLOOKUP($A113,CP!$A$1:$U$7992,18,FALSE),"")</f>
        <v/>
      </c>
      <c r="BQ113" s="224" t="str">
        <f>IFERROR(VLOOKUP($A113,CP!$A$1:$U$7992,19,FALSE),"")</f>
        <v/>
      </c>
      <c r="BR113" s="224" t="str">
        <f>IFERROR(VLOOKUP($A113,CP!$A$1:$U$7992,20,FALSE),"")</f>
        <v/>
      </c>
      <c r="BS113" s="224" t="str">
        <f>IFERROR(VLOOKUP($A113,CP!$A$1:$U$1,21,FALSE),"")</f>
        <v/>
      </c>
      <c r="BT113" s="224" t="str">
        <f>IFERROR(VLOOKUP(A113,Devengado!$A$1:AJ$9310,35,FALSE),"")</f>
        <v/>
      </c>
      <c r="BU113" s="224" t="str">
        <f t="shared" si="68"/>
        <v/>
      </c>
      <c r="BV113" s="224" t="str">
        <f t="shared" si="69"/>
        <v/>
      </c>
      <c r="BW113" s="224">
        <f t="shared" si="55"/>
        <v>0</v>
      </c>
      <c r="BX113" s="296">
        <v>0</v>
      </c>
      <c r="BY113" s="296">
        <v>0</v>
      </c>
      <c r="BZ113" s="296">
        <v>0</v>
      </c>
      <c r="CA113" s="296">
        <v>0</v>
      </c>
      <c r="CB113" s="296"/>
      <c r="CC113" s="296">
        <v>0</v>
      </c>
      <c r="CD113" s="296"/>
      <c r="CE113" s="296">
        <v>0</v>
      </c>
      <c r="CF113" s="296">
        <v>0</v>
      </c>
      <c r="CG113" s="296">
        <v>0</v>
      </c>
      <c r="CH113" s="296">
        <v>0</v>
      </c>
      <c r="CI113" s="296">
        <v>0</v>
      </c>
      <c r="CJ113" s="224" t="str">
        <f>IFERROR(VLOOKUP($A113,Devengado!$A$1:$AI$9038,22,FALSE),"")</f>
        <v/>
      </c>
      <c r="CK113" s="224" t="str">
        <f>IFERROR(VLOOKUP($A113,Devengado!$A$1:$AI$9038,23,FALSE),"")</f>
        <v/>
      </c>
      <c r="CL113" s="224" t="str">
        <f>IFERROR(VLOOKUP($A113,Devengado!$A$1:$AI$9038,24,FALSE),"")</f>
        <v/>
      </c>
      <c r="CM113" s="224" t="str">
        <f>IFERROR(VLOOKUP($A113,Devengado!$A$1:$AI$9038,25,FALSE),"")</f>
        <v/>
      </c>
      <c r="CN113" s="224" t="str">
        <f>IFERROR(VLOOKUP($A113,Devengado!$A$1:$AI$9038,26,FALSE),"")</f>
        <v/>
      </c>
      <c r="CO113" s="224" t="str">
        <f>IFERROR(VLOOKUP($A113,Devengado!$A$1:$AI$9038,27,FALSE),"")</f>
        <v/>
      </c>
      <c r="CP113" s="224" t="str">
        <f>IFERROR(VLOOKUP($A113,Devengado!$A$1:$AI$9038,28,FALSE),"")</f>
        <v/>
      </c>
      <c r="CQ113" s="224" t="str">
        <f>IFERROR(VLOOKUP($A113,Devengado!$A$1:$AI$9038,29,FALSE),"")</f>
        <v/>
      </c>
      <c r="CR113" s="224" t="str">
        <f>IFERROR(VLOOKUP($A113,Devengado!$A$1:$AI$9038,30,FALSE),"")</f>
        <v/>
      </c>
      <c r="CS113" s="224" t="str">
        <f>IFERROR(VLOOKUP($A113,Devengado!$A$1:$AI$9038,31,FALSE),"")</f>
        <v/>
      </c>
      <c r="CT113" s="224" t="str">
        <f>IFERROR(VLOOKUP($A113,Devengado!$A$1:$AI$9038,32,FALSE),"")</f>
        <v/>
      </c>
      <c r="CU113" s="224" t="str">
        <f>IFERROR(VLOOKUP($A113,Devengado!$A$1:$AI$9038,33,FALSE),"")</f>
        <v/>
      </c>
      <c r="CV113" s="224">
        <f t="shared" si="70"/>
        <v>0</v>
      </c>
      <c r="CW113" s="224" t="str">
        <f t="shared" si="71"/>
        <v/>
      </c>
      <c r="CX113" s="207"/>
      <c r="CY113" s="207" t="str">
        <f t="shared" si="72"/>
        <v>53</v>
      </c>
      <c r="CZ113" s="112" t="s">
        <v>915</v>
      </c>
    </row>
    <row r="114" spans="1:104" ht="32.25" customHeight="1">
      <c r="A114" s="207">
        <v>828</v>
      </c>
      <c r="B114" s="207"/>
      <c r="C114" s="207"/>
      <c r="D114" s="207"/>
      <c r="E114" s="207"/>
      <c r="F114" s="207"/>
      <c r="G114" s="207"/>
      <c r="H114" s="207"/>
      <c r="I114" s="207"/>
      <c r="J114" s="207"/>
      <c r="K114" s="112" t="s">
        <v>429</v>
      </c>
      <c r="L114" s="112" t="s">
        <v>850</v>
      </c>
      <c r="M114" s="119" t="s">
        <v>850</v>
      </c>
      <c r="N114" s="112" t="s">
        <v>77</v>
      </c>
      <c r="O114" s="112" t="s">
        <v>77</v>
      </c>
      <c r="P114" s="112" t="s">
        <v>76</v>
      </c>
      <c r="Q114" s="112" t="s">
        <v>77</v>
      </c>
      <c r="R114" s="112" t="s">
        <v>77</v>
      </c>
      <c r="S114" s="112" t="s">
        <v>77</v>
      </c>
      <c r="T114" s="112" t="s">
        <v>77</v>
      </c>
      <c r="U114" s="112" t="s">
        <v>77</v>
      </c>
      <c r="V114" s="112" t="s">
        <v>77</v>
      </c>
      <c r="W114" s="112" t="s">
        <v>85</v>
      </c>
      <c r="X114" s="207" t="s">
        <v>793</v>
      </c>
      <c r="Y114" s="126" t="s">
        <v>430</v>
      </c>
      <c r="Z114" s="114" t="s">
        <v>111</v>
      </c>
      <c r="AA114" s="127" t="s">
        <v>81</v>
      </c>
      <c r="AB114" s="127" t="s">
        <v>112</v>
      </c>
      <c r="AC114" s="115" t="str">
        <f t="shared" si="49"/>
        <v>53</v>
      </c>
      <c r="AD114" s="269">
        <v>530104</v>
      </c>
      <c r="AE114" s="207" t="str">
        <f>VLOOKUP(AD114,ITEM!$C$1:$D$694,2,FALSE)</f>
        <v>Energía Eléctrica</v>
      </c>
      <c r="AF114" s="207">
        <v>1309</v>
      </c>
      <c r="AG114" s="207" t="s">
        <v>82</v>
      </c>
      <c r="AH114" s="207" t="s">
        <v>84</v>
      </c>
      <c r="AI114" s="207" t="s">
        <v>84</v>
      </c>
      <c r="AJ114" s="114" t="s">
        <v>914</v>
      </c>
      <c r="AK114" s="114" t="s">
        <v>77</v>
      </c>
      <c r="AL114" s="207">
        <v>0</v>
      </c>
      <c r="AM114" s="207">
        <v>0</v>
      </c>
      <c r="AN114" s="207">
        <v>0</v>
      </c>
      <c r="AO114" s="272">
        <f>SUMIF(Reforma!$A$2:$A$8523,$A114,Reforma!$AB$2:$AB$8523)</f>
        <v>5922</v>
      </c>
      <c r="AP114" s="272">
        <f>SUMIF(Reforma!$A$2:$A$8523,$A114,Reforma!$AC$2:$AC$8523)</f>
        <v>-5922</v>
      </c>
      <c r="AQ114" s="272">
        <f>SUMIF(Reforma!$A$2:$A$8523,$A114,Reforma!$AD$2:$AD$8523)</f>
        <v>0</v>
      </c>
      <c r="AR114" s="272">
        <f>SUMIF(Reforma!$A$2:$A$8523,$A114,Reforma!$AE$2:$AE$8523)</f>
        <v>0</v>
      </c>
      <c r="AS114" s="272">
        <f t="shared" si="50"/>
        <v>0</v>
      </c>
      <c r="AT114" s="272">
        <f t="shared" si="51"/>
        <v>0</v>
      </c>
      <c r="AU114" s="272">
        <f t="shared" si="52"/>
        <v>0</v>
      </c>
      <c r="AV114" s="326"/>
      <c r="AW114" s="326"/>
      <c r="AX114" s="326"/>
      <c r="AY114" s="326"/>
      <c r="AZ114" s="326"/>
      <c r="BA114" s="326"/>
      <c r="BB114" s="326"/>
      <c r="BC114" s="326"/>
      <c r="BD114" s="326"/>
      <c r="BE114" s="326"/>
      <c r="BF114" s="326"/>
      <c r="BG114" s="326"/>
      <c r="BH114" s="408">
        <f t="shared" ref="BH114:BH115" si="73">SUM(BX114:CI114)</f>
        <v>0</v>
      </c>
      <c r="BI114" s="408">
        <f t="shared" si="53"/>
        <v>0</v>
      </c>
      <c r="BJ114" s="408">
        <f t="shared" si="54"/>
        <v>0</v>
      </c>
      <c r="BK114" s="272"/>
      <c r="BL114" s="272"/>
      <c r="BM114" s="272"/>
      <c r="BN114" s="224">
        <f>IFERROR(VLOOKUP($A114,'Constancias POA'!$A$2:$DH$9993,18,FALSE),"")</f>
        <v>3422</v>
      </c>
      <c r="BO114" s="224">
        <f t="shared" ref="BO114:BO115" si="74">IFERROR(AU114-BN114,"")</f>
        <v>-3422</v>
      </c>
      <c r="BP114" s="224" t="str">
        <f>IFERROR(VLOOKUP($A114,CP!$A$1:$U$7992,18,FALSE),"")</f>
        <v/>
      </c>
      <c r="BQ114" s="224" t="str">
        <f>IFERROR(VLOOKUP($A114,CP!$A$1:$U$7992,19,FALSE),"")</f>
        <v/>
      </c>
      <c r="BR114" s="224" t="str">
        <f>IFERROR(VLOOKUP($A114,CP!$A$1:$U$7992,20,FALSE),"")</f>
        <v/>
      </c>
      <c r="BS114" s="224" t="str">
        <f>IFERROR(VLOOKUP($A114,CP!$A$1:$U$1,21,FALSE),"")</f>
        <v/>
      </c>
      <c r="BT114" s="224" t="str">
        <f>IFERROR(VLOOKUP(A114,Devengado!$A$1:AJ$9310,35,FALSE),"")</f>
        <v/>
      </c>
      <c r="BU114" s="224" t="str">
        <f t="shared" ref="BU114:BU115" si="75">IFERROR((AU114-BT114),"")</f>
        <v/>
      </c>
      <c r="BV114" s="224" t="str">
        <f t="shared" ref="BV114:BV115" si="76">IFERROR(BT114/BW114,"")</f>
        <v/>
      </c>
      <c r="BW114" s="224">
        <f t="shared" si="55"/>
        <v>0</v>
      </c>
      <c r="BX114" s="296">
        <v>0</v>
      </c>
      <c r="BY114" s="296">
        <v>0</v>
      </c>
      <c r="BZ114" s="296">
        <v>0</v>
      </c>
      <c r="CA114" s="296">
        <v>0</v>
      </c>
      <c r="CB114" s="296"/>
      <c r="CC114" s="296">
        <v>0</v>
      </c>
      <c r="CD114" s="296"/>
      <c r="CE114" s="296">
        <v>0</v>
      </c>
      <c r="CF114" s="296">
        <v>0</v>
      </c>
      <c r="CG114" s="296">
        <v>0</v>
      </c>
      <c r="CH114" s="296">
        <v>0</v>
      </c>
      <c r="CI114" s="296">
        <v>0</v>
      </c>
      <c r="CJ114" s="224" t="str">
        <f>IFERROR(VLOOKUP($A114,Devengado!$A$1:$AI$9038,22,FALSE),"")</f>
        <v/>
      </c>
      <c r="CK114" s="224" t="str">
        <f>IFERROR(VLOOKUP($A114,Devengado!$A$1:$AI$9038,23,FALSE),"")</f>
        <v/>
      </c>
      <c r="CL114" s="224" t="str">
        <f>IFERROR(VLOOKUP($A114,Devengado!$A$1:$AI$9038,24,FALSE),"")</f>
        <v/>
      </c>
      <c r="CM114" s="224" t="str">
        <f>IFERROR(VLOOKUP($A114,Devengado!$A$1:$AI$9038,25,FALSE),"")</f>
        <v/>
      </c>
      <c r="CN114" s="224" t="str">
        <f>IFERROR(VLOOKUP($A114,Devengado!$A$1:$AI$9038,26,FALSE),"")</f>
        <v/>
      </c>
      <c r="CO114" s="224" t="str">
        <f>IFERROR(VLOOKUP($A114,Devengado!$A$1:$AI$9038,27,FALSE),"")</f>
        <v/>
      </c>
      <c r="CP114" s="224" t="str">
        <f>IFERROR(VLOOKUP($A114,Devengado!$A$1:$AI$9038,28,FALSE),"")</f>
        <v/>
      </c>
      <c r="CQ114" s="224" t="str">
        <f>IFERROR(VLOOKUP($A114,Devengado!$A$1:$AI$9038,29,FALSE),"")</f>
        <v/>
      </c>
      <c r="CR114" s="224" t="str">
        <f>IFERROR(VLOOKUP($A114,Devengado!$A$1:$AI$9038,30,FALSE),"")</f>
        <v/>
      </c>
      <c r="CS114" s="224" t="str">
        <f>IFERROR(VLOOKUP($A114,Devengado!$A$1:$AI$9038,31,FALSE),"")</f>
        <v/>
      </c>
      <c r="CT114" s="224" t="str">
        <f>IFERROR(VLOOKUP($A114,Devengado!$A$1:$AI$9038,32,FALSE),"")</f>
        <v/>
      </c>
      <c r="CU114" s="224" t="str">
        <f>IFERROR(VLOOKUP($A114,Devengado!$A$1:$AI$9038,33,FALSE),"")</f>
        <v/>
      </c>
      <c r="CV114" s="224">
        <f t="shared" ref="CV114:CV115" si="77">SUM(CJ114:CU114)</f>
        <v>0</v>
      </c>
      <c r="CW114" s="224" t="str">
        <f t="shared" ref="CW114:CW115" si="78">IFERROR(CV114-BT114,"")</f>
        <v/>
      </c>
      <c r="CX114" s="207"/>
      <c r="CY114" s="207" t="str">
        <f t="shared" ref="CY114:CY115" si="79">LEFT(AC114,4)</f>
        <v>53</v>
      </c>
      <c r="CZ114" s="112" t="s">
        <v>915</v>
      </c>
    </row>
    <row r="115" spans="1:104" ht="32.25" customHeight="1">
      <c r="A115" s="207">
        <v>829</v>
      </c>
      <c r="B115" s="207"/>
      <c r="C115" s="207"/>
      <c r="D115" s="207"/>
      <c r="E115" s="207"/>
      <c r="F115" s="207"/>
      <c r="G115" s="207"/>
      <c r="H115" s="207"/>
      <c r="I115" s="207"/>
      <c r="J115" s="207"/>
      <c r="K115" s="112" t="s">
        <v>429</v>
      </c>
      <c r="L115" s="112" t="s">
        <v>850</v>
      </c>
      <c r="M115" s="119" t="s">
        <v>850</v>
      </c>
      <c r="N115" s="112" t="s">
        <v>77</v>
      </c>
      <c r="O115" s="112" t="s">
        <v>77</v>
      </c>
      <c r="P115" s="112" t="s">
        <v>76</v>
      </c>
      <c r="Q115" s="112" t="s">
        <v>77</v>
      </c>
      <c r="R115" s="112" t="s">
        <v>77</v>
      </c>
      <c r="S115" s="112" t="s">
        <v>77</v>
      </c>
      <c r="T115" s="112" t="s">
        <v>77</v>
      </c>
      <c r="U115" s="112" t="s">
        <v>77</v>
      </c>
      <c r="V115" s="112" t="s">
        <v>77</v>
      </c>
      <c r="W115" s="112" t="s">
        <v>85</v>
      </c>
      <c r="X115" s="207" t="s">
        <v>757</v>
      </c>
      <c r="Y115" s="126" t="s">
        <v>430</v>
      </c>
      <c r="Z115" s="114" t="s">
        <v>111</v>
      </c>
      <c r="AA115" s="127" t="s">
        <v>81</v>
      </c>
      <c r="AB115" s="127" t="s">
        <v>112</v>
      </c>
      <c r="AC115" s="115" t="str">
        <f t="shared" si="49"/>
        <v>99</v>
      </c>
      <c r="AD115" s="269">
        <v>990102</v>
      </c>
      <c r="AE115" s="207" t="str">
        <f>VLOOKUP(AD115,ITEM!$C$1:$D$694,2,FALSE)</f>
        <v>Obligaciones de Ejercicios Anteriores por Egresos en Servicios</v>
      </c>
      <c r="AF115" s="207">
        <v>1309</v>
      </c>
      <c r="AG115" s="207" t="s">
        <v>82</v>
      </c>
      <c r="AH115" s="207" t="s">
        <v>84</v>
      </c>
      <c r="AI115" s="207" t="s">
        <v>84</v>
      </c>
      <c r="AJ115" s="114" t="s">
        <v>914</v>
      </c>
      <c r="AK115" s="114" t="s">
        <v>77</v>
      </c>
      <c r="AL115" s="207">
        <v>0</v>
      </c>
      <c r="AM115" s="207">
        <v>0</v>
      </c>
      <c r="AN115" s="207">
        <v>0</v>
      </c>
      <c r="AO115" s="272">
        <f>SUMIF(Reforma!$A$2:$A$8523,$A115,Reforma!$AB$2:$AB$8523)</f>
        <v>1350</v>
      </c>
      <c r="AP115" s="272">
        <f>SUMIF(Reforma!$A$2:$A$8523,$A115,Reforma!$AC$2:$AC$8523)</f>
        <v>-1350</v>
      </c>
      <c r="AQ115" s="272">
        <f>SUMIF(Reforma!$A$2:$A$8523,$A115,Reforma!$AD$2:$AD$8523)</f>
        <v>0</v>
      </c>
      <c r="AR115" s="272">
        <f>SUMIF(Reforma!$A$2:$A$8523,$A115,Reforma!$AE$2:$AE$8523)</f>
        <v>0</v>
      </c>
      <c r="AS115" s="272">
        <f t="shared" si="50"/>
        <v>0</v>
      </c>
      <c r="AT115" s="272">
        <f t="shared" si="51"/>
        <v>0</v>
      </c>
      <c r="AU115" s="272">
        <f t="shared" si="52"/>
        <v>0</v>
      </c>
      <c r="AV115" s="408"/>
      <c r="AW115" s="326"/>
      <c r="AX115" s="326"/>
      <c r="AY115" s="326"/>
      <c r="AZ115" s="326"/>
      <c r="BA115" s="326"/>
      <c r="BB115" s="326"/>
      <c r="BC115" s="326"/>
      <c r="BD115" s="326"/>
      <c r="BE115" s="326"/>
      <c r="BF115" s="326"/>
      <c r="BG115" s="326"/>
      <c r="BH115" s="408">
        <f t="shared" si="73"/>
        <v>1350</v>
      </c>
      <c r="BI115" s="408">
        <f t="shared" si="53"/>
        <v>0</v>
      </c>
      <c r="BJ115" s="408">
        <f t="shared" si="54"/>
        <v>0</v>
      </c>
      <c r="BK115" s="272"/>
      <c r="BL115" s="272"/>
      <c r="BM115" s="272"/>
      <c r="BN115" s="224">
        <f>IFERROR(VLOOKUP($A115,'Constancias POA'!$A$2:$DH$9993,18,FALSE),"")</f>
        <v>1350</v>
      </c>
      <c r="BO115" s="224">
        <f t="shared" si="74"/>
        <v>-1350</v>
      </c>
      <c r="BP115" s="224">
        <f>IFERROR(VLOOKUP($A115,CP!$A$1:$U$7992,18,FALSE),"")</f>
        <v>0</v>
      </c>
      <c r="BQ115" s="224">
        <f>IFERROR(VLOOKUP($A115,CP!$A$1:$U$7992,19,FALSE),"")</f>
        <v>0</v>
      </c>
      <c r="BR115" s="224">
        <f>IFERROR(VLOOKUP($A115,CP!$A$1:$U$7992,20,FALSE),"")</f>
        <v>0</v>
      </c>
      <c r="BS115" s="224" t="str">
        <f>IFERROR(VLOOKUP($A115,CP!$A$1:$U$1,21,FALSE),"")</f>
        <v/>
      </c>
      <c r="BT115" s="224" t="str">
        <f>IFERROR(VLOOKUP(A115,Devengado!$A$1:AJ$9310,35,FALSE),"")</f>
        <v/>
      </c>
      <c r="BU115" s="224" t="str">
        <f t="shared" si="75"/>
        <v/>
      </c>
      <c r="BV115" s="224" t="str">
        <f t="shared" si="76"/>
        <v/>
      </c>
      <c r="BW115" s="224">
        <f t="shared" si="55"/>
        <v>0</v>
      </c>
      <c r="BX115" s="296">
        <v>0</v>
      </c>
      <c r="BY115" s="296">
        <v>0</v>
      </c>
      <c r="BZ115" s="296">
        <v>0</v>
      </c>
      <c r="CA115" s="296">
        <v>0</v>
      </c>
      <c r="CB115" s="296">
        <v>1350</v>
      </c>
      <c r="CC115" s="296">
        <v>0</v>
      </c>
      <c r="CD115" s="296"/>
      <c r="CE115" s="296">
        <v>0</v>
      </c>
      <c r="CF115" s="296">
        <v>0</v>
      </c>
      <c r="CG115" s="296">
        <v>0</v>
      </c>
      <c r="CH115" s="296">
        <v>0</v>
      </c>
      <c r="CI115" s="296">
        <v>0</v>
      </c>
      <c r="CJ115" s="224" t="str">
        <f>IFERROR(VLOOKUP($A115,Devengado!$A$1:$AI$9038,22,FALSE),"")</f>
        <v/>
      </c>
      <c r="CK115" s="224" t="str">
        <f>IFERROR(VLOOKUP($A115,Devengado!$A$1:$AI$9038,23,FALSE),"")</f>
        <v/>
      </c>
      <c r="CL115" s="224" t="str">
        <f>IFERROR(VLOOKUP($A115,Devengado!$A$1:$AI$9038,24,FALSE),"")</f>
        <v/>
      </c>
      <c r="CM115" s="224" t="str">
        <f>IFERROR(VLOOKUP($A115,Devengado!$A$1:$AI$9038,25,FALSE),"")</f>
        <v/>
      </c>
      <c r="CN115" s="224" t="str">
        <f>IFERROR(VLOOKUP($A115,Devengado!$A$1:$AI$9038,26,FALSE),"")</f>
        <v/>
      </c>
      <c r="CO115" s="224" t="str">
        <f>IFERROR(VLOOKUP($A115,Devengado!$A$1:$AI$9038,27,FALSE),"")</f>
        <v/>
      </c>
      <c r="CP115" s="224" t="str">
        <f>IFERROR(VLOOKUP($A115,Devengado!$A$1:$AI$9038,28,FALSE),"")</f>
        <v/>
      </c>
      <c r="CQ115" s="224" t="str">
        <f>IFERROR(VLOOKUP($A115,Devengado!$A$1:$AI$9038,29,FALSE),"")</f>
        <v/>
      </c>
      <c r="CR115" s="224" t="str">
        <f>IFERROR(VLOOKUP($A115,Devengado!$A$1:$AI$9038,30,FALSE),"")</f>
        <v/>
      </c>
      <c r="CS115" s="224" t="str">
        <f>IFERROR(VLOOKUP($A115,Devengado!$A$1:$AI$9038,31,FALSE),"")</f>
        <v/>
      </c>
      <c r="CT115" s="224" t="str">
        <f>IFERROR(VLOOKUP($A115,Devengado!$A$1:$AI$9038,32,FALSE),"")</f>
        <v/>
      </c>
      <c r="CU115" s="224" t="str">
        <f>IFERROR(VLOOKUP($A115,Devengado!$A$1:$AI$9038,33,FALSE),"")</f>
        <v/>
      </c>
      <c r="CV115" s="224">
        <f t="shared" si="77"/>
        <v>0</v>
      </c>
      <c r="CW115" s="224" t="str">
        <f t="shared" si="78"/>
        <v/>
      </c>
      <c r="CX115" s="207"/>
      <c r="CY115" s="207" t="str">
        <f t="shared" si="79"/>
        <v>99</v>
      </c>
      <c r="CZ115" s="112" t="s">
        <v>915</v>
      </c>
    </row>
    <row r="116" spans="1:104" ht="56.25" customHeight="1">
      <c r="A116" s="207">
        <v>849</v>
      </c>
      <c r="B116" s="207"/>
      <c r="C116" s="207"/>
      <c r="D116" s="207"/>
      <c r="E116" s="207"/>
      <c r="F116" s="207"/>
      <c r="G116" s="207"/>
      <c r="H116" s="207"/>
      <c r="I116" s="207"/>
      <c r="J116" s="207"/>
      <c r="K116" s="207" t="s">
        <v>429</v>
      </c>
      <c r="L116" s="207" t="s">
        <v>850</v>
      </c>
      <c r="M116" s="207" t="s">
        <v>850</v>
      </c>
      <c r="N116" s="207" t="s">
        <v>77</v>
      </c>
      <c r="O116" s="207" t="s">
        <v>77</v>
      </c>
      <c r="P116" s="207" t="s">
        <v>76</v>
      </c>
      <c r="Q116" s="207" t="s">
        <v>77</v>
      </c>
      <c r="R116" s="207" t="s">
        <v>77</v>
      </c>
      <c r="S116" s="207" t="s">
        <v>77</v>
      </c>
      <c r="T116" s="207" t="s">
        <v>77</v>
      </c>
      <c r="U116" s="207" t="s">
        <v>77</v>
      </c>
      <c r="V116" s="207" t="s">
        <v>77</v>
      </c>
      <c r="W116" s="207" t="s">
        <v>85</v>
      </c>
      <c r="X116" s="207" t="s">
        <v>920</v>
      </c>
      <c r="Y116" s="114" t="s">
        <v>430</v>
      </c>
      <c r="Z116" s="114" t="s">
        <v>111</v>
      </c>
      <c r="AA116" s="114" t="s">
        <v>81</v>
      </c>
      <c r="AB116" s="114" t="s">
        <v>112</v>
      </c>
      <c r="AC116" s="207" t="str">
        <f t="shared" ref="AC116" si="80">LEFT(AD116,2)</f>
        <v>53</v>
      </c>
      <c r="AD116" s="269">
        <v>530402</v>
      </c>
      <c r="AE116" s="207" t="str">
        <f>VLOOKUP(AD116,ITEM!$C$1:$D$694,2,FALSE)</f>
        <v>Edificios, Locales, Residencias y Cableado Estructurado (Instalación, Mantenimiento y Reparación)</v>
      </c>
      <c r="AF116" s="207">
        <v>1314</v>
      </c>
      <c r="AG116" s="207" t="s">
        <v>82</v>
      </c>
      <c r="AH116" s="207" t="s">
        <v>84</v>
      </c>
      <c r="AI116" s="207" t="s">
        <v>84</v>
      </c>
      <c r="AJ116" s="207" t="s">
        <v>914</v>
      </c>
      <c r="AK116" s="207" t="s">
        <v>77</v>
      </c>
      <c r="AL116" s="272">
        <v>0</v>
      </c>
      <c r="AM116" s="272">
        <v>0</v>
      </c>
      <c r="AN116" s="272">
        <v>0</v>
      </c>
      <c r="AO116" s="272">
        <f>SUMIF(Reforma!$A$2:$A$8523,$A116,Reforma!$AB$2:$AB$8523)</f>
        <v>8600</v>
      </c>
      <c r="AP116" s="272">
        <f>SUMIF(Reforma!$A$2:$A$8523,$A116,Reforma!$AC$2:$AC$8523)</f>
        <v>-8600</v>
      </c>
      <c r="AQ116" s="272">
        <f>SUMIF(Reforma!$A$2:$A$8523,$A116,Reforma!$AD$2:$AD$8523)</f>
        <v>0</v>
      </c>
      <c r="AR116" s="272">
        <f>SUMIF(Reforma!$A$2:$A$8523,$A116,Reforma!$AE$2:$AE$8523)</f>
        <v>0</v>
      </c>
      <c r="AS116" s="272">
        <f t="shared" ref="AS116" si="81">+AL116+AO116+AP116</f>
        <v>0</v>
      </c>
      <c r="AT116" s="272">
        <f t="shared" ref="AT116" si="82">+AM116+AQ116+AR116</f>
        <v>0</v>
      </c>
      <c r="AU116" s="272">
        <f t="shared" ref="AU116" si="83">IFERROR(AS116+AT116,"")</f>
        <v>0</v>
      </c>
      <c r="AV116" s="408"/>
      <c r="AW116" s="326"/>
      <c r="AX116" s="326"/>
      <c r="AY116" s="326"/>
      <c r="AZ116" s="326"/>
      <c r="BA116" s="326"/>
      <c r="BB116" s="326"/>
      <c r="BC116" s="326"/>
      <c r="BD116" s="326"/>
      <c r="BE116" s="326"/>
      <c r="BF116" s="326"/>
      <c r="BG116" s="326"/>
      <c r="BH116" s="408">
        <f>SUM(BX116:CI116)</f>
        <v>8600</v>
      </c>
      <c r="BI116" s="408">
        <f t="shared" ref="BI116" si="84">SUM(AV116:BG116)</f>
        <v>0</v>
      </c>
      <c r="BJ116" s="408">
        <f t="shared" ref="BJ116" si="85">+BI116-AU116</f>
        <v>0</v>
      </c>
      <c r="BK116" s="272"/>
      <c r="BL116" s="272"/>
      <c r="BM116" s="272"/>
      <c r="BN116" s="224">
        <f>IFERROR(VLOOKUP($A116,'Constancias POA'!$A$2:$DH$9993,18,FALSE),"")</f>
        <v>8600</v>
      </c>
      <c r="BO116" s="224">
        <f>IFERROR(AU116-BN116,"")</f>
        <v>-8600</v>
      </c>
      <c r="BP116" s="224">
        <f>IFERROR(VLOOKUP($A116,CP!$A$1:$U$7992,18,FALSE),"")</f>
        <v>0</v>
      </c>
      <c r="BQ116" s="224">
        <f>IFERROR(VLOOKUP($A116,CP!$A$1:$U$7992,19,FALSE),"")</f>
        <v>0</v>
      </c>
      <c r="BR116" s="224">
        <f>IFERROR(VLOOKUP($A116,CP!$A$1:$U$7992,20,FALSE),"")</f>
        <v>0</v>
      </c>
      <c r="BS116" s="224" t="str">
        <f>IFERROR(VLOOKUP($A116,CP!$A$1:$U$1,21,FALSE),"")</f>
        <v/>
      </c>
      <c r="BT116" s="224" t="str">
        <f>IFERROR(VLOOKUP(A116,Devengado!$A$1:AJ$9310,35,FALSE),"")</f>
        <v/>
      </c>
      <c r="BU116" s="224" t="str">
        <f>IFERROR((AU116-BT116),"")</f>
        <v/>
      </c>
      <c r="BV116" s="224" t="str">
        <f>IFERROR(BT116/BW116,"")</f>
        <v/>
      </c>
      <c r="BW116" s="224">
        <f t="shared" ref="BW116" si="86">AU116</f>
        <v>0</v>
      </c>
      <c r="BX116" s="296"/>
      <c r="BY116" s="296"/>
      <c r="BZ116" s="296"/>
      <c r="CA116" s="296"/>
      <c r="CB116" s="296">
        <v>8600</v>
      </c>
      <c r="CC116" s="296"/>
      <c r="CD116" s="296"/>
      <c r="CE116" s="296"/>
      <c r="CF116" s="296"/>
      <c r="CG116" s="296"/>
      <c r="CH116" s="296"/>
      <c r="CI116" s="296">
        <v>0</v>
      </c>
      <c r="CJ116" s="224" t="str">
        <f>IFERROR(VLOOKUP($A116,Devengado!$A$1:$AI$9038,22,FALSE),"")</f>
        <v/>
      </c>
      <c r="CK116" s="224" t="str">
        <f>IFERROR(VLOOKUP($A116,Devengado!$A$1:$AI$9038,23,FALSE),"")</f>
        <v/>
      </c>
      <c r="CL116" s="224" t="str">
        <f>IFERROR(VLOOKUP($A116,Devengado!$A$1:$AI$9038,24,FALSE),"")</f>
        <v/>
      </c>
      <c r="CM116" s="224" t="str">
        <f>IFERROR(VLOOKUP($A116,Devengado!$A$1:$AI$9038,25,FALSE),"")</f>
        <v/>
      </c>
      <c r="CN116" s="224" t="str">
        <f>IFERROR(VLOOKUP($A116,Devengado!$A$1:$AI$9038,26,FALSE),"")</f>
        <v/>
      </c>
      <c r="CO116" s="224" t="str">
        <f>IFERROR(VLOOKUP($A116,Devengado!$A$1:$AI$9038,27,FALSE),"")</f>
        <v/>
      </c>
      <c r="CP116" s="224" t="str">
        <f>IFERROR(VLOOKUP($A116,Devengado!$A$1:$AI$9038,28,FALSE),"")</f>
        <v/>
      </c>
      <c r="CQ116" s="224" t="str">
        <f>IFERROR(VLOOKUP($A116,Devengado!$A$1:$AI$9038,29,FALSE),"")</f>
        <v/>
      </c>
      <c r="CR116" s="224" t="str">
        <f>IFERROR(VLOOKUP($A116,Devengado!$A$1:$AI$9038,30,FALSE),"")</f>
        <v/>
      </c>
      <c r="CS116" s="224" t="str">
        <f>IFERROR(VLOOKUP($A116,Devengado!$A$1:$AI$9038,31,FALSE),"")</f>
        <v/>
      </c>
      <c r="CT116" s="224" t="str">
        <f>IFERROR(VLOOKUP($A116,Devengado!$A$1:$AI$9038,32,FALSE),"")</f>
        <v/>
      </c>
      <c r="CU116" s="224" t="str">
        <f>IFERROR(VLOOKUP($A116,Devengado!$A$1:$AI$9038,33,FALSE),"")</f>
        <v/>
      </c>
      <c r="CV116" s="224">
        <f>SUM(CJ116:CU116)</f>
        <v>0</v>
      </c>
      <c r="CW116" s="224" t="str">
        <f>IFERROR(CV116-BT116,"")</f>
        <v/>
      </c>
      <c r="CX116" s="207"/>
      <c r="CY116" s="207" t="str">
        <f>LEFT(AC116,4)</f>
        <v>53</v>
      </c>
      <c r="CZ116" s="207" t="s">
        <v>915</v>
      </c>
    </row>
    <row r="117" spans="1:104" s="421" customFormat="1" ht="30.75" customHeight="1">
      <c r="A117" s="164">
        <v>869</v>
      </c>
      <c r="B117" s="207"/>
      <c r="C117" s="207"/>
      <c r="D117" s="207"/>
      <c r="E117" s="207"/>
      <c r="F117" s="207"/>
      <c r="G117" s="207"/>
      <c r="H117" s="207"/>
      <c r="I117" s="207"/>
      <c r="J117" s="207"/>
      <c r="K117" s="112" t="s">
        <v>429</v>
      </c>
      <c r="L117" s="112" t="s">
        <v>850</v>
      </c>
      <c r="M117" s="112" t="s">
        <v>850</v>
      </c>
      <c r="N117" s="112" t="s">
        <v>77</v>
      </c>
      <c r="O117" s="112" t="s">
        <v>77</v>
      </c>
      <c r="P117" s="112" t="s">
        <v>76</v>
      </c>
      <c r="Q117" s="112" t="s">
        <v>77</v>
      </c>
      <c r="R117" s="112" t="s">
        <v>77</v>
      </c>
      <c r="S117" s="112" t="s">
        <v>77</v>
      </c>
      <c r="T117" s="112" t="s">
        <v>77</v>
      </c>
      <c r="U117" s="112" t="s">
        <v>77</v>
      </c>
      <c r="V117" s="112" t="s">
        <v>77</v>
      </c>
      <c r="W117" s="164" t="s">
        <v>85</v>
      </c>
      <c r="X117" s="164" t="s">
        <v>1817</v>
      </c>
      <c r="Y117" s="114" t="s">
        <v>430</v>
      </c>
      <c r="Z117" s="114" t="s">
        <v>111</v>
      </c>
      <c r="AA117" s="114" t="s">
        <v>81</v>
      </c>
      <c r="AB117" s="114" t="s">
        <v>112</v>
      </c>
      <c r="AC117" s="164" t="str">
        <f t="shared" ref="AC117:AC125" si="87">LEFT(AD117,2)</f>
        <v>53</v>
      </c>
      <c r="AD117" s="417">
        <v>530402</v>
      </c>
      <c r="AE117" s="164" t="str">
        <f>VLOOKUP(AD117,ITEM!$C$1:$D$694,2,FALSE)</f>
        <v>Edificios, Locales, Residencias y Cableado Estructurado (Instalación, Mantenimiento y Reparación)</v>
      </c>
      <c r="AF117" s="164">
        <v>1309</v>
      </c>
      <c r="AG117" s="114" t="s">
        <v>82</v>
      </c>
      <c r="AH117" s="114" t="s">
        <v>84</v>
      </c>
      <c r="AI117" s="114" t="s">
        <v>84</v>
      </c>
      <c r="AJ117" s="114" t="s">
        <v>914</v>
      </c>
      <c r="AK117" s="114" t="s">
        <v>77</v>
      </c>
      <c r="AL117" s="418">
        <v>0</v>
      </c>
      <c r="AM117" s="418">
        <v>0</v>
      </c>
      <c r="AN117" s="418">
        <v>0</v>
      </c>
      <c r="AO117" s="419">
        <f>SUMIF(Reforma!$A$2:$A$8523,$A117,Reforma!$AB$2:$AB$8523)</f>
        <v>15000</v>
      </c>
      <c r="AP117" s="419">
        <f>SUMIF(Reforma!$A$2:$A$8523,$A117,Reforma!$AC$2:$AC$8523)</f>
        <v>-15000</v>
      </c>
      <c r="AQ117" s="419">
        <f>SUMIF(Reforma!$A$2:$A$8523,$A117,Reforma!$AD$2:$AD$8523)</f>
        <v>0</v>
      </c>
      <c r="AR117" s="419">
        <f>SUMIF(Reforma!$A$2:$A$8523,$A117,Reforma!$AE$2:$AE$8523)</f>
        <v>0</v>
      </c>
      <c r="AS117" s="418">
        <f>+AL117+AO117+AP117</f>
        <v>0</v>
      </c>
      <c r="AT117" s="418">
        <f>+AM117+AQ117+AR117</f>
        <v>0</v>
      </c>
      <c r="AU117" s="418">
        <f>IFERROR(AS117+AT117,"")</f>
        <v>0</v>
      </c>
      <c r="AV117" s="418"/>
      <c r="AW117" s="431"/>
      <c r="AX117" s="418"/>
      <c r="AY117" s="418"/>
      <c r="AZ117" s="418"/>
      <c r="BA117" s="418"/>
      <c r="BB117" s="418"/>
      <c r="BC117" s="418"/>
      <c r="BD117" s="418"/>
      <c r="BE117" s="418"/>
      <c r="BF117" s="418"/>
      <c r="BG117" s="418"/>
      <c r="BH117" s="420">
        <f>SUM(BX117:CI117)</f>
        <v>15000</v>
      </c>
      <c r="BI117" s="420">
        <f>SUM(AV117:BG117)</f>
        <v>0</v>
      </c>
      <c r="BJ117" s="420">
        <f>+BI117-AU117</f>
        <v>0</v>
      </c>
      <c r="BK117" s="419"/>
      <c r="BL117" s="419"/>
      <c r="BM117" s="419"/>
      <c r="BN117" s="419" t="str">
        <f>IFERROR(VLOOKUP($A117,'Constancias POA'!$A$2:$DH$9993,18,FALSE),"")</f>
        <v/>
      </c>
      <c r="BO117" s="419" t="str">
        <f t="shared" ref="BO117:BO125" si="88">IFERROR(AU117-BN117,"")</f>
        <v/>
      </c>
      <c r="BP117" s="419">
        <f>IFERROR(VLOOKUP($A117,CP!$A$1:$U$7992,18,FALSE),"")</f>
        <v>0</v>
      </c>
      <c r="BQ117" s="419">
        <f>IFERROR(VLOOKUP($A117,CP!$A$1:$U$7992,19,FALSE),"")</f>
        <v>0</v>
      </c>
      <c r="BR117" s="419">
        <f>IFERROR(VLOOKUP($A117,CP!$A$1:$U$7992,20,FALSE),"")</f>
        <v>0</v>
      </c>
      <c r="BS117" s="419" t="str">
        <f>IFERROR(VLOOKUP($A117,CP!$A$1:$U$1,21,FALSE),"")</f>
        <v/>
      </c>
      <c r="BT117" s="419" t="str">
        <f>IFERROR(VLOOKUP(A117,Devengado!$A$1:AJ$9310,35,FALSE),"")</f>
        <v/>
      </c>
      <c r="BU117" s="419" t="str">
        <f t="shared" ref="BU117:BU125" si="89">IFERROR((AU117-BT117),"")</f>
        <v/>
      </c>
      <c r="BV117" s="419" t="str">
        <f t="shared" ref="BV117:BV125" si="90">IFERROR(BT117/BW117,"")</f>
        <v/>
      </c>
      <c r="BW117" s="419">
        <f>AU117</f>
        <v>0</v>
      </c>
      <c r="BX117" s="419"/>
      <c r="BY117" s="419"/>
      <c r="BZ117" s="419"/>
      <c r="CA117" s="419"/>
      <c r="CB117" s="419"/>
      <c r="CC117" s="419"/>
      <c r="CD117" s="419">
        <v>15000</v>
      </c>
      <c r="CE117" s="419"/>
      <c r="CF117" s="419"/>
      <c r="CG117" s="419"/>
      <c r="CH117" s="419"/>
      <c r="CI117" s="419">
        <v>0</v>
      </c>
      <c r="CJ117" s="419" t="str">
        <f>IFERROR(VLOOKUP($A117,Devengado!$A$1:$AI$9038,22,FALSE),"")</f>
        <v/>
      </c>
      <c r="CK117" s="419" t="str">
        <f>IFERROR(VLOOKUP($A117,Devengado!$A$1:$AI$9038,23,FALSE),"")</f>
        <v/>
      </c>
      <c r="CL117" s="419" t="str">
        <f>IFERROR(VLOOKUP($A117,Devengado!$A$1:$AI$9038,24,FALSE),"")</f>
        <v/>
      </c>
      <c r="CM117" s="419" t="str">
        <f>IFERROR(VLOOKUP($A117,Devengado!$A$1:$AI$9038,25,FALSE),"")</f>
        <v/>
      </c>
      <c r="CN117" s="419" t="str">
        <f>IFERROR(VLOOKUP($A117,Devengado!$A$1:$AI$9038,26,FALSE),"")</f>
        <v/>
      </c>
      <c r="CO117" s="419" t="str">
        <f>IFERROR(VLOOKUP($A117,Devengado!$A$1:$AI$9038,27,FALSE),"")</f>
        <v/>
      </c>
      <c r="CP117" s="419" t="str">
        <f>IFERROR(VLOOKUP($A117,Devengado!$A$1:$AI$9038,28,FALSE),"")</f>
        <v/>
      </c>
      <c r="CQ117" s="419" t="str">
        <f>IFERROR(VLOOKUP($A117,Devengado!$A$1:$AI$9038,29,FALSE),"")</f>
        <v/>
      </c>
      <c r="CR117" s="419" t="str">
        <f>IFERROR(VLOOKUP($A117,Devengado!$A$1:$AI$9038,30,FALSE),"")</f>
        <v/>
      </c>
      <c r="CS117" s="419" t="str">
        <f>IFERROR(VLOOKUP($A117,Devengado!$A$1:$AI$9038,31,FALSE),"")</f>
        <v/>
      </c>
      <c r="CT117" s="419" t="str">
        <f>IFERROR(VLOOKUP($A117,Devengado!$A$1:$AI$9038,32,FALSE),"")</f>
        <v/>
      </c>
      <c r="CU117" s="419" t="str">
        <f>IFERROR(VLOOKUP($A117,Devengado!$A$1:$AI$9038,33,FALSE),"")</f>
        <v/>
      </c>
      <c r="CV117" s="419">
        <f t="shared" ref="CV117:CV125" si="91">SUM(CJ117:CU117)</f>
        <v>0</v>
      </c>
      <c r="CW117" s="419" t="str">
        <f t="shared" ref="CW117:CW125" si="92">IFERROR(CV117-BT117,"")</f>
        <v/>
      </c>
      <c r="CX117" s="164"/>
      <c r="CY117" s="164" t="str">
        <f t="shared" ref="CY117:CY125" si="93">LEFT(AC117,4)</f>
        <v>53</v>
      </c>
      <c r="CZ117" s="164"/>
    </row>
    <row r="118" spans="1:104" s="421" customFormat="1" ht="30.75" customHeight="1">
      <c r="A118" s="164">
        <v>870</v>
      </c>
      <c r="B118" s="207"/>
      <c r="C118" s="207"/>
      <c r="D118" s="207"/>
      <c r="E118" s="207"/>
      <c r="F118" s="207"/>
      <c r="G118" s="207"/>
      <c r="H118" s="207"/>
      <c r="I118" s="207"/>
      <c r="J118" s="207"/>
      <c r="K118" s="112" t="s">
        <v>429</v>
      </c>
      <c r="L118" s="112" t="s">
        <v>850</v>
      </c>
      <c r="M118" s="112" t="s">
        <v>850</v>
      </c>
      <c r="N118" s="112" t="s">
        <v>77</v>
      </c>
      <c r="O118" s="112" t="s">
        <v>77</v>
      </c>
      <c r="P118" s="112" t="s">
        <v>76</v>
      </c>
      <c r="Q118" s="112" t="s">
        <v>77</v>
      </c>
      <c r="R118" s="112" t="s">
        <v>77</v>
      </c>
      <c r="S118" s="112" t="s">
        <v>77</v>
      </c>
      <c r="T118" s="112" t="s">
        <v>77</v>
      </c>
      <c r="U118" s="112" t="s">
        <v>77</v>
      </c>
      <c r="V118" s="112" t="s">
        <v>77</v>
      </c>
      <c r="W118" s="164" t="s">
        <v>85</v>
      </c>
      <c r="X118" s="164" t="s">
        <v>1818</v>
      </c>
      <c r="Y118" s="114" t="s">
        <v>430</v>
      </c>
      <c r="Z118" s="114" t="s">
        <v>111</v>
      </c>
      <c r="AA118" s="114" t="s">
        <v>81</v>
      </c>
      <c r="AB118" s="114" t="s">
        <v>112</v>
      </c>
      <c r="AC118" s="164" t="str">
        <f t="shared" si="87"/>
        <v>53</v>
      </c>
      <c r="AD118" s="417">
        <v>530404</v>
      </c>
      <c r="AE118" s="164" t="str">
        <f>VLOOKUP(AD118,ITEM!$C$1:$D$694,2,FALSE)</f>
        <v>Maquinarias y Equipos (Instalación, Mantenimiento y Reparación)</v>
      </c>
      <c r="AF118" s="164">
        <v>1308</v>
      </c>
      <c r="AG118" s="114" t="s">
        <v>82</v>
      </c>
      <c r="AH118" s="114" t="s">
        <v>84</v>
      </c>
      <c r="AI118" s="114" t="s">
        <v>84</v>
      </c>
      <c r="AJ118" s="114" t="s">
        <v>914</v>
      </c>
      <c r="AK118" s="114" t="s">
        <v>77</v>
      </c>
      <c r="AL118" s="418">
        <v>0</v>
      </c>
      <c r="AM118" s="418">
        <v>0</v>
      </c>
      <c r="AN118" s="418">
        <v>0</v>
      </c>
      <c r="AO118" s="419">
        <f>SUMIF(Reforma!$A$2:$A$8523,$A118,Reforma!$AB$2:$AB$8523)</f>
        <v>9788.9</v>
      </c>
      <c r="AP118" s="419">
        <f>SUMIF(Reforma!$A$2:$A$8523,$A118,Reforma!$AC$2:$AC$8523)</f>
        <v>-4913.8999999999996</v>
      </c>
      <c r="AQ118" s="419">
        <f>SUMIF(Reforma!$A$2:$A$8523,$A118,Reforma!$AD$2:$AD$8523)</f>
        <v>0</v>
      </c>
      <c r="AR118" s="419">
        <f>SUMIF(Reforma!$A$2:$A$8523,$A118,Reforma!$AE$2:$AE$8523)</f>
        <v>0</v>
      </c>
      <c r="AS118" s="418">
        <f t="shared" ref="AS118:AS125" si="94">+AL118+AO118+AP118</f>
        <v>4875</v>
      </c>
      <c r="AT118" s="418">
        <f t="shared" ref="AT118:AT125" si="95">+AM118+AQ118+AR118</f>
        <v>0</v>
      </c>
      <c r="AU118" s="418">
        <f t="shared" ref="AU118:AU125" si="96">IFERROR(AS118+AT118,"")</f>
        <v>4875</v>
      </c>
      <c r="AV118" s="462"/>
      <c r="AW118" s="462"/>
      <c r="AX118" s="462"/>
      <c r="AY118" s="462"/>
      <c r="AZ118" s="462"/>
      <c r="BA118" s="462"/>
      <c r="BB118" s="462"/>
      <c r="BC118" s="462"/>
      <c r="BD118" s="462"/>
      <c r="BE118" s="462"/>
      <c r="BF118" s="462"/>
      <c r="BG118" s="462">
        <v>4875</v>
      </c>
      <c r="BH118" s="420">
        <f t="shared" ref="BH118:BH125" si="97">SUM(BX118:CI118)</f>
        <v>0</v>
      </c>
      <c r="BI118" s="420">
        <f t="shared" ref="BI118:BI125" si="98">SUM(AV118:BG118)</f>
        <v>4875</v>
      </c>
      <c r="BJ118" s="420">
        <f t="shared" ref="BJ118:BJ125" si="99">+BI118-AU118</f>
        <v>0</v>
      </c>
      <c r="BK118" s="419"/>
      <c r="BL118" s="419"/>
      <c r="BM118" s="419"/>
      <c r="BN118" s="419">
        <f>IFERROR(VLOOKUP($A118,'Constancias POA'!$A$2:$DH$9993,18,FALSE),"")</f>
        <v>4988.8999999999996</v>
      </c>
      <c r="BO118" s="419">
        <f t="shared" si="88"/>
        <v>-113.89999999999964</v>
      </c>
      <c r="BP118" s="419">
        <f>IFERROR(VLOOKUP($A118,CP!$A$1:$U$7992,18,FALSE),"")</f>
        <v>4875</v>
      </c>
      <c r="BQ118" s="419">
        <f>IFERROR(VLOOKUP($A118,CP!$A$1:$U$7992,19,FALSE),"")</f>
        <v>4875</v>
      </c>
      <c r="BR118" s="419">
        <f>IFERROR(VLOOKUP($A118,CP!$A$1:$U$7992,20,FALSE),"")</f>
        <v>0</v>
      </c>
      <c r="BS118" s="419" t="str">
        <f>IFERROR(VLOOKUP($A118,CP!$A$1:$U$1,21,FALSE),"")</f>
        <v/>
      </c>
      <c r="BT118" s="419">
        <f>IFERROR(VLOOKUP(A118,Devengado!$A$1:AJ$9310,35,FALSE),"")</f>
        <v>4875</v>
      </c>
      <c r="BU118" s="419">
        <f t="shared" si="89"/>
        <v>0</v>
      </c>
      <c r="BV118" s="419">
        <f t="shared" si="90"/>
        <v>1</v>
      </c>
      <c r="BW118" s="419">
        <f t="shared" ref="BW118:BW125" si="100">AU118</f>
        <v>4875</v>
      </c>
      <c r="BX118" s="419"/>
      <c r="BY118" s="419"/>
      <c r="BZ118" s="419"/>
      <c r="CA118" s="419"/>
      <c r="CB118" s="419"/>
      <c r="CC118" s="419"/>
      <c r="CD118" s="419"/>
      <c r="CE118" s="419"/>
      <c r="CF118" s="419"/>
      <c r="CG118" s="419"/>
      <c r="CH118" s="419"/>
      <c r="CI118" s="419">
        <v>0</v>
      </c>
      <c r="CJ118" s="419">
        <f>IFERROR(VLOOKUP($A118,Devengado!$A$1:$AI$9038,22,FALSE),"")</f>
        <v>0</v>
      </c>
      <c r="CK118" s="419">
        <f>IFERROR(VLOOKUP($A118,Devengado!$A$1:$AI$9038,23,FALSE),"")</f>
        <v>0</v>
      </c>
      <c r="CL118" s="419">
        <f>IFERROR(VLOOKUP($A118,Devengado!$A$1:$AI$9038,24,FALSE),"")</f>
        <v>0</v>
      </c>
      <c r="CM118" s="419">
        <f>IFERROR(VLOOKUP($A118,Devengado!$A$1:$AI$9038,25,FALSE),"")</f>
        <v>0</v>
      </c>
      <c r="CN118" s="419">
        <f>IFERROR(VLOOKUP($A118,Devengado!$A$1:$AI$9038,26,FALSE),"")</f>
        <v>0</v>
      </c>
      <c r="CO118" s="419">
        <f>IFERROR(VLOOKUP($A118,Devengado!$A$1:$AI$9038,27,FALSE),"")</f>
        <v>0</v>
      </c>
      <c r="CP118" s="419">
        <f>IFERROR(VLOOKUP($A118,Devengado!$A$1:$AI$9038,28,FALSE),"")</f>
        <v>0</v>
      </c>
      <c r="CQ118" s="419">
        <f>IFERROR(VLOOKUP($A118,Devengado!$A$1:$AI$9038,29,FALSE),"")</f>
        <v>0</v>
      </c>
      <c r="CR118" s="419">
        <f>IFERROR(VLOOKUP($A118,Devengado!$A$1:$AI$9038,30,FALSE),"")</f>
        <v>0</v>
      </c>
      <c r="CS118" s="419">
        <f>IFERROR(VLOOKUP($A118,Devengado!$A$1:$AI$9038,31,FALSE),"")</f>
        <v>0</v>
      </c>
      <c r="CT118" s="419">
        <f>IFERROR(VLOOKUP($A118,Devengado!$A$1:$AI$9038,32,FALSE),"")</f>
        <v>0</v>
      </c>
      <c r="CU118" s="419">
        <f>IFERROR(VLOOKUP($A118,Devengado!$A$1:$AI$9038,33,FALSE),"")</f>
        <v>4875</v>
      </c>
      <c r="CV118" s="419">
        <f t="shared" si="91"/>
        <v>4875</v>
      </c>
      <c r="CW118" s="419">
        <f t="shared" si="92"/>
        <v>0</v>
      </c>
      <c r="CX118" s="164"/>
      <c r="CY118" s="164" t="str">
        <f t="shared" si="93"/>
        <v>53</v>
      </c>
      <c r="CZ118" s="164"/>
    </row>
    <row r="119" spans="1:104" s="421" customFormat="1" ht="27.75" customHeight="1">
      <c r="A119" s="164">
        <v>871</v>
      </c>
      <c r="B119" s="207"/>
      <c r="C119" s="207"/>
      <c r="D119" s="207"/>
      <c r="E119" s="207"/>
      <c r="F119" s="207"/>
      <c r="G119" s="207"/>
      <c r="H119" s="207"/>
      <c r="I119" s="207"/>
      <c r="J119" s="207"/>
      <c r="K119" s="112" t="s">
        <v>429</v>
      </c>
      <c r="L119" s="112" t="s">
        <v>850</v>
      </c>
      <c r="M119" s="112" t="s">
        <v>850</v>
      </c>
      <c r="N119" s="112" t="s">
        <v>77</v>
      </c>
      <c r="O119" s="112" t="s">
        <v>77</v>
      </c>
      <c r="P119" s="112" t="s">
        <v>76</v>
      </c>
      <c r="Q119" s="112" t="s">
        <v>77</v>
      </c>
      <c r="R119" s="112" t="s">
        <v>77</v>
      </c>
      <c r="S119" s="112" t="s">
        <v>77</v>
      </c>
      <c r="T119" s="112" t="s">
        <v>77</v>
      </c>
      <c r="U119" s="112" t="s">
        <v>77</v>
      </c>
      <c r="V119" s="112" t="s">
        <v>77</v>
      </c>
      <c r="W119" s="164" t="s">
        <v>85</v>
      </c>
      <c r="X119" s="164" t="s">
        <v>1819</v>
      </c>
      <c r="Y119" s="114" t="s">
        <v>430</v>
      </c>
      <c r="Z119" s="114" t="s">
        <v>111</v>
      </c>
      <c r="AA119" s="114" t="s">
        <v>81</v>
      </c>
      <c r="AB119" s="114" t="s">
        <v>112</v>
      </c>
      <c r="AC119" s="164" t="str">
        <f t="shared" si="87"/>
        <v>53</v>
      </c>
      <c r="AD119" s="417">
        <v>530105</v>
      </c>
      <c r="AE119" s="164" t="str">
        <f>VLOOKUP(AD119,ITEM!$C$1:$D$694,2,FALSE)</f>
        <v>Telecomunicaciones</v>
      </c>
      <c r="AF119" s="164">
        <v>1309</v>
      </c>
      <c r="AG119" s="114" t="s">
        <v>82</v>
      </c>
      <c r="AH119" s="114" t="s">
        <v>84</v>
      </c>
      <c r="AI119" s="114" t="s">
        <v>84</v>
      </c>
      <c r="AJ119" s="114" t="s">
        <v>914</v>
      </c>
      <c r="AK119" s="114" t="s">
        <v>77</v>
      </c>
      <c r="AL119" s="418">
        <v>0</v>
      </c>
      <c r="AM119" s="418">
        <v>0</v>
      </c>
      <c r="AN119" s="418">
        <v>0</v>
      </c>
      <c r="AO119" s="419">
        <f>SUMIF(Reforma!$A$2:$A$8523,$A119,Reforma!$AB$2:$AB$8523)</f>
        <v>3000</v>
      </c>
      <c r="AP119" s="419">
        <f>SUMIF(Reforma!$A$2:$A$8523,$A119,Reforma!$AC$2:$AC$8523)</f>
        <v>-3000</v>
      </c>
      <c r="AQ119" s="419">
        <f>SUMIF(Reforma!$A$2:$A$8523,$A119,Reforma!$AD$2:$AD$8523)</f>
        <v>0</v>
      </c>
      <c r="AR119" s="419">
        <f>SUMIF(Reforma!$A$2:$A$8523,$A119,Reforma!$AE$2:$AE$8523)</f>
        <v>0</v>
      </c>
      <c r="AS119" s="418">
        <f t="shared" si="94"/>
        <v>0</v>
      </c>
      <c r="AT119" s="418">
        <f t="shared" si="95"/>
        <v>0</v>
      </c>
      <c r="AU119" s="418">
        <f t="shared" si="96"/>
        <v>0</v>
      </c>
      <c r="AV119" s="326">
        <v>0</v>
      </c>
      <c r="AW119" s="326">
        <v>0</v>
      </c>
      <c r="AX119" s="326">
        <v>0</v>
      </c>
      <c r="AY119" s="326">
        <v>0</v>
      </c>
      <c r="AZ119" s="326">
        <v>0</v>
      </c>
      <c r="BA119" s="326">
        <v>0</v>
      </c>
      <c r="BB119" s="326">
        <v>0</v>
      </c>
      <c r="BC119" s="326">
        <v>0</v>
      </c>
      <c r="BD119" s="326">
        <v>0</v>
      </c>
      <c r="BE119" s="326">
        <v>0</v>
      </c>
      <c r="BF119" s="326">
        <v>0</v>
      </c>
      <c r="BG119" s="326">
        <v>0</v>
      </c>
      <c r="BH119" s="420">
        <f t="shared" si="97"/>
        <v>0</v>
      </c>
      <c r="BI119" s="420">
        <f t="shared" si="98"/>
        <v>0</v>
      </c>
      <c r="BJ119" s="420">
        <f t="shared" si="99"/>
        <v>0</v>
      </c>
      <c r="BK119" s="419"/>
      <c r="BL119" s="419"/>
      <c r="BM119" s="419"/>
      <c r="BN119" s="419" t="str">
        <f>IFERROR(VLOOKUP($A119,'Constancias POA'!$A$2:$DH$9993,18,FALSE),"")</f>
        <v/>
      </c>
      <c r="BO119" s="419" t="str">
        <f t="shared" si="88"/>
        <v/>
      </c>
      <c r="BP119" s="419" t="str">
        <f>IFERROR(VLOOKUP($A119,CP!$A$1:$U$7992,18,FALSE),"")</f>
        <v/>
      </c>
      <c r="BQ119" s="419" t="str">
        <f>IFERROR(VLOOKUP($A119,CP!$A$1:$U$7992,19,FALSE),"")</f>
        <v/>
      </c>
      <c r="BR119" s="419" t="str">
        <f>IFERROR(VLOOKUP($A119,CP!$A$1:$U$7992,20,FALSE),"")</f>
        <v/>
      </c>
      <c r="BS119" s="419" t="str">
        <f>IFERROR(VLOOKUP($A119,CP!$A$1:$U$1,21,FALSE),"")</f>
        <v/>
      </c>
      <c r="BT119" s="419" t="str">
        <f>IFERROR(VLOOKUP(A119,Devengado!$A$1:AJ$9310,35,FALSE),"")</f>
        <v/>
      </c>
      <c r="BU119" s="419" t="str">
        <f t="shared" si="89"/>
        <v/>
      </c>
      <c r="BV119" s="419" t="str">
        <f t="shared" si="90"/>
        <v/>
      </c>
      <c r="BW119" s="419">
        <f t="shared" si="100"/>
        <v>0</v>
      </c>
      <c r="BX119" s="419"/>
      <c r="BY119" s="419"/>
      <c r="BZ119" s="419"/>
      <c r="CA119" s="419"/>
      <c r="CB119" s="419"/>
      <c r="CC119" s="419"/>
      <c r="CD119" s="419"/>
      <c r="CE119" s="419"/>
      <c r="CF119" s="419"/>
      <c r="CG119" s="419"/>
      <c r="CH119" s="419"/>
      <c r="CI119" s="419">
        <v>0</v>
      </c>
      <c r="CJ119" s="419" t="str">
        <f>IFERROR(VLOOKUP($A119,Devengado!$A$1:$AI$9038,22,FALSE),"")</f>
        <v/>
      </c>
      <c r="CK119" s="419" t="str">
        <f>IFERROR(VLOOKUP($A119,Devengado!$A$1:$AI$9038,23,FALSE),"")</f>
        <v/>
      </c>
      <c r="CL119" s="419" t="str">
        <f>IFERROR(VLOOKUP($A119,Devengado!$A$1:$AI$9038,24,FALSE),"")</f>
        <v/>
      </c>
      <c r="CM119" s="419" t="str">
        <f>IFERROR(VLOOKUP($A119,Devengado!$A$1:$AI$9038,25,FALSE),"")</f>
        <v/>
      </c>
      <c r="CN119" s="419" t="str">
        <f>IFERROR(VLOOKUP($A119,Devengado!$A$1:$AI$9038,26,FALSE),"")</f>
        <v/>
      </c>
      <c r="CO119" s="419" t="str">
        <f>IFERROR(VLOOKUP($A119,Devengado!$A$1:$AI$9038,27,FALSE),"")</f>
        <v/>
      </c>
      <c r="CP119" s="419" t="str">
        <f>IFERROR(VLOOKUP($A119,Devengado!$A$1:$AI$9038,28,FALSE),"")</f>
        <v/>
      </c>
      <c r="CQ119" s="419" t="str">
        <f>IFERROR(VLOOKUP($A119,Devengado!$A$1:$AI$9038,29,FALSE),"")</f>
        <v/>
      </c>
      <c r="CR119" s="419" t="str">
        <f>IFERROR(VLOOKUP($A119,Devengado!$A$1:$AI$9038,30,FALSE),"")</f>
        <v/>
      </c>
      <c r="CS119" s="419" t="str">
        <f>IFERROR(VLOOKUP($A119,Devengado!$A$1:$AI$9038,31,FALSE),"")</f>
        <v/>
      </c>
      <c r="CT119" s="419" t="str">
        <f>IFERROR(VLOOKUP($A119,Devengado!$A$1:$AI$9038,32,FALSE),"")</f>
        <v/>
      </c>
      <c r="CU119" s="419" t="str">
        <f>IFERROR(VLOOKUP($A119,Devengado!$A$1:$AI$9038,33,FALSE),"")</f>
        <v/>
      </c>
      <c r="CV119" s="419">
        <f t="shared" si="91"/>
        <v>0</v>
      </c>
      <c r="CW119" s="419" t="str">
        <f t="shared" si="92"/>
        <v/>
      </c>
      <c r="CX119" s="164"/>
      <c r="CY119" s="164" t="str">
        <f t="shared" si="93"/>
        <v>53</v>
      </c>
      <c r="CZ119" s="164"/>
    </row>
    <row r="120" spans="1:104" s="421" customFormat="1" ht="25.5" customHeight="1">
      <c r="A120" s="164">
        <v>872</v>
      </c>
      <c r="B120" s="207"/>
      <c r="C120" s="207"/>
      <c r="D120" s="207"/>
      <c r="E120" s="207"/>
      <c r="F120" s="207"/>
      <c r="G120" s="207"/>
      <c r="H120" s="207"/>
      <c r="I120" s="207"/>
      <c r="J120" s="207"/>
      <c r="K120" s="112" t="s">
        <v>429</v>
      </c>
      <c r="L120" s="112" t="s">
        <v>850</v>
      </c>
      <c r="M120" s="112" t="s">
        <v>850</v>
      </c>
      <c r="N120" s="112" t="s">
        <v>77</v>
      </c>
      <c r="O120" s="112" t="s">
        <v>77</v>
      </c>
      <c r="P120" s="112" t="s">
        <v>76</v>
      </c>
      <c r="Q120" s="112" t="s">
        <v>77</v>
      </c>
      <c r="R120" s="112" t="s">
        <v>77</v>
      </c>
      <c r="S120" s="112" t="s">
        <v>77</v>
      </c>
      <c r="T120" s="112" t="s">
        <v>77</v>
      </c>
      <c r="U120" s="112" t="s">
        <v>77</v>
      </c>
      <c r="V120" s="112" t="s">
        <v>77</v>
      </c>
      <c r="W120" s="164" t="s">
        <v>85</v>
      </c>
      <c r="X120" s="164" t="s">
        <v>1820</v>
      </c>
      <c r="Y120" s="114" t="s">
        <v>430</v>
      </c>
      <c r="Z120" s="114" t="s">
        <v>111</v>
      </c>
      <c r="AA120" s="114" t="s">
        <v>81</v>
      </c>
      <c r="AB120" s="114" t="s">
        <v>112</v>
      </c>
      <c r="AC120" s="164" t="str">
        <f t="shared" si="87"/>
        <v>53</v>
      </c>
      <c r="AD120" s="417">
        <v>530813</v>
      </c>
      <c r="AE120" s="164" t="str">
        <f>VLOOKUP(AD120,ITEM!$C$1:$D$694,2,FALSE)</f>
        <v>Repuestos y Accesorios</v>
      </c>
      <c r="AF120" s="164">
        <v>1309</v>
      </c>
      <c r="AG120" s="114" t="s">
        <v>82</v>
      </c>
      <c r="AH120" s="114" t="s">
        <v>84</v>
      </c>
      <c r="AI120" s="114" t="s">
        <v>84</v>
      </c>
      <c r="AJ120" s="114" t="s">
        <v>914</v>
      </c>
      <c r="AK120" s="114" t="s">
        <v>77</v>
      </c>
      <c r="AL120" s="418">
        <v>0</v>
      </c>
      <c r="AM120" s="418">
        <v>0</v>
      </c>
      <c r="AN120" s="418">
        <v>0</v>
      </c>
      <c r="AO120" s="419">
        <f>SUMIF(Reforma!$A$2:$A$8523,$A120,Reforma!$AB$2:$AB$8523)</f>
        <v>115</v>
      </c>
      <c r="AP120" s="419">
        <f>SUMIF(Reforma!$A$2:$A$8523,$A120,Reforma!$AC$2:$AC$8523)</f>
        <v>-0.96</v>
      </c>
      <c r="AQ120" s="419">
        <f>SUMIF(Reforma!$A$2:$A$8523,$A120,Reforma!$AD$2:$AD$8523)</f>
        <v>0</v>
      </c>
      <c r="AR120" s="419">
        <f>SUMIF(Reforma!$A$2:$A$8523,$A120,Reforma!$AE$2:$AE$8523)</f>
        <v>0</v>
      </c>
      <c r="AS120" s="418">
        <f t="shared" si="94"/>
        <v>114.04</v>
      </c>
      <c r="AT120" s="418">
        <f t="shared" si="95"/>
        <v>0</v>
      </c>
      <c r="AU120" s="418">
        <f t="shared" si="96"/>
        <v>114.04</v>
      </c>
      <c r="AV120" s="418"/>
      <c r="AW120" s="431"/>
      <c r="AX120" s="418"/>
      <c r="AY120" s="418"/>
      <c r="AZ120" s="418">
        <v>114.04</v>
      </c>
      <c r="BA120" s="418"/>
      <c r="BB120" s="418"/>
      <c r="BC120" s="418"/>
      <c r="BD120" s="418"/>
      <c r="BE120" s="418"/>
      <c r="BF120" s="418"/>
      <c r="BG120" s="418"/>
      <c r="BH120" s="420">
        <f t="shared" si="97"/>
        <v>0</v>
      </c>
      <c r="BI120" s="420">
        <f t="shared" si="98"/>
        <v>114.04</v>
      </c>
      <c r="BJ120" s="420">
        <f t="shared" si="99"/>
        <v>0</v>
      </c>
      <c r="BK120" s="419">
        <v>1308</v>
      </c>
      <c r="BL120" s="419"/>
      <c r="BM120" s="419"/>
      <c r="BN120" s="419">
        <f>IFERROR(VLOOKUP($A120,'Constancias POA'!$A$2:$DH$9993,18,FALSE),"")</f>
        <v>115</v>
      </c>
      <c r="BO120" s="419">
        <f t="shared" si="88"/>
        <v>-0.95999999999999375</v>
      </c>
      <c r="BP120" s="419">
        <f>IFERROR(VLOOKUP($A120,CP!$A$1:$U$7992,18,FALSE),"")</f>
        <v>0</v>
      </c>
      <c r="BQ120" s="419">
        <f>IFERROR(VLOOKUP($A120,CP!$A$1:$U$7992,19,FALSE),"")</f>
        <v>114.04</v>
      </c>
      <c r="BR120" s="419">
        <f>IFERROR(VLOOKUP($A120,CP!$A$1:$U$7992,20,FALSE),"")</f>
        <v>0</v>
      </c>
      <c r="BS120" s="419" t="str">
        <f>IFERROR(VLOOKUP($A120,CP!$A$1:$U$1,21,FALSE),"")</f>
        <v/>
      </c>
      <c r="BT120" s="419">
        <f>IFERROR(VLOOKUP(A120,Devengado!$A$1:AJ$9310,35,FALSE),"")</f>
        <v>114.04</v>
      </c>
      <c r="BU120" s="419">
        <f t="shared" si="89"/>
        <v>0</v>
      </c>
      <c r="BV120" s="419">
        <f t="shared" si="90"/>
        <v>1</v>
      </c>
      <c r="BW120" s="419">
        <f t="shared" si="100"/>
        <v>114.04</v>
      </c>
      <c r="BX120" s="419"/>
      <c r="BY120" s="419"/>
      <c r="BZ120" s="419"/>
      <c r="CA120" s="419"/>
      <c r="CB120" s="419"/>
      <c r="CC120" s="419"/>
      <c r="CD120" s="419"/>
      <c r="CE120" s="419"/>
      <c r="CF120" s="419"/>
      <c r="CG120" s="419"/>
      <c r="CH120" s="419"/>
      <c r="CI120" s="419">
        <v>0</v>
      </c>
      <c r="CJ120" s="419">
        <f>IFERROR(VLOOKUP($A120,Devengado!$A$1:$AI$9038,22,FALSE),"")</f>
        <v>0</v>
      </c>
      <c r="CK120" s="419">
        <f>IFERROR(VLOOKUP($A120,Devengado!$A$1:$AI$9038,23,FALSE),"")</f>
        <v>0</v>
      </c>
      <c r="CL120" s="419">
        <f>IFERROR(VLOOKUP($A120,Devengado!$A$1:$AI$9038,24,FALSE),"")</f>
        <v>0</v>
      </c>
      <c r="CM120" s="419">
        <f>IFERROR(VLOOKUP($A120,Devengado!$A$1:$AI$9038,25,FALSE),"")</f>
        <v>0</v>
      </c>
      <c r="CN120" s="419">
        <f>IFERROR(VLOOKUP($A120,Devengado!$A$1:$AI$9038,26,FALSE),"")</f>
        <v>114.04</v>
      </c>
      <c r="CO120" s="419">
        <f>IFERROR(VLOOKUP($A120,Devengado!$A$1:$AI$9038,27,FALSE),"")</f>
        <v>0</v>
      </c>
      <c r="CP120" s="419">
        <f>IFERROR(VLOOKUP($A120,Devengado!$A$1:$AI$9038,28,FALSE),"")</f>
        <v>0</v>
      </c>
      <c r="CQ120" s="419">
        <f>IFERROR(VLOOKUP($A120,Devengado!$A$1:$AI$9038,29,FALSE),"")</f>
        <v>0</v>
      </c>
      <c r="CR120" s="419">
        <f>IFERROR(VLOOKUP($A120,Devengado!$A$1:$AI$9038,30,FALSE),"")</f>
        <v>0</v>
      </c>
      <c r="CS120" s="419">
        <f>IFERROR(VLOOKUP($A120,Devengado!$A$1:$AI$9038,31,FALSE),"")</f>
        <v>0</v>
      </c>
      <c r="CT120" s="419">
        <f>IFERROR(VLOOKUP($A120,Devengado!$A$1:$AI$9038,32,FALSE),"")</f>
        <v>0</v>
      </c>
      <c r="CU120" s="419">
        <f>IFERROR(VLOOKUP($A120,Devengado!$A$1:$AI$9038,33,FALSE),"")</f>
        <v>0</v>
      </c>
      <c r="CV120" s="419">
        <f t="shared" si="91"/>
        <v>114.04</v>
      </c>
      <c r="CW120" s="419">
        <f t="shared" si="92"/>
        <v>0</v>
      </c>
      <c r="CX120" s="164"/>
      <c r="CY120" s="164" t="str">
        <f t="shared" si="93"/>
        <v>53</v>
      </c>
      <c r="CZ120" s="164"/>
    </row>
    <row r="121" spans="1:104" s="421" customFormat="1" ht="26.25" customHeight="1">
      <c r="A121" s="164">
        <v>873</v>
      </c>
      <c r="B121" s="207"/>
      <c r="C121" s="207"/>
      <c r="D121" s="207"/>
      <c r="E121" s="207"/>
      <c r="F121" s="207"/>
      <c r="G121" s="207"/>
      <c r="H121" s="207"/>
      <c r="I121" s="207"/>
      <c r="J121" s="207"/>
      <c r="K121" s="112" t="s">
        <v>429</v>
      </c>
      <c r="L121" s="112" t="s">
        <v>850</v>
      </c>
      <c r="M121" s="112" t="s">
        <v>850</v>
      </c>
      <c r="N121" s="112" t="s">
        <v>77</v>
      </c>
      <c r="O121" s="112" t="s">
        <v>77</v>
      </c>
      <c r="P121" s="112" t="s">
        <v>76</v>
      </c>
      <c r="Q121" s="112" t="s">
        <v>77</v>
      </c>
      <c r="R121" s="112" t="s">
        <v>77</v>
      </c>
      <c r="S121" s="112" t="s">
        <v>77</v>
      </c>
      <c r="T121" s="112" t="s">
        <v>77</v>
      </c>
      <c r="U121" s="112" t="s">
        <v>77</v>
      </c>
      <c r="V121" s="112" t="s">
        <v>77</v>
      </c>
      <c r="W121" s="164" t="s">
        <v>85</v>
      </c>
      <c r="X121" s="164" t="s">
        <v>1821</v>
      </c>
      <c r="Y121" s="114" t="s">
        <v>430</v>
      </c>
      <c r="Z121" s="114" t="s">
        <v>111</v>
      </c>
      <c r="AA121" s="114" t="s">
        <v>81</v>
      </c>
      <c r="AB121" s="114" t="s">
        <v>112</v>
      </c>
      <c r="AC121" s="164" t="str">
        <f t="shared" si="87"/>
        <v>53</v>
      </c>
      <c r="AD121" s="417">
        <v>530404</v>
      </c>
      <c r="AE121" s="164" t="str">
        <f>VLOOKUP(AD121,ITEM!$C$1:$D$694,2,FALSE)</f>
        <v>Maquinarias y Equipos (Instalación, Mantenimiento y Reparación)</v>
      </c>
      <c r="AF121" s="164">
        <v>1309</v>
      </c>
      <c r="AG121" s="114" t="s">
        <v>82</v>
      </c>
      <c r="AH121" s="114" t="s">
        <v>84</v>
      </c>
      <c r="AI121" s="114" t="s">
        <v>84</v>
      </c>
      <c r="AJ121" s="114" t="s">
        <v>914</v>
      </c>
      <c r="AK121" s="114" t="s">
        <v>77</v>
      </c>
      <c r="AL121" s="418">
        <v>0</v>
      </c>
      <c r="AM121" s="418">
        <v>0</v>
      </c>
      <c r="AN121" s="418">
        <v>0</v>
      </c>
      <c r="AO121" s="419">
        <f>SUMIF(Reforma!$A$2:$A$8523,$A121,Reforma!$AB$2:$AB$8523)</f>
        <v>500</v>
      </c>
      <c r="AP121" s="419">
        <f>SUMIF(Reforma!$A$2:$A$8523,$A121,Reforma!$AC$2:$AC$8523)</f>
        <v>-500</v>
      </c>
      <c r="AQ121" s="419">
        <f>SUMIF(Reforma!$A$2:$A$8523,$A121,Reforma!$AD$2:$AD$8523)</f>
        <v>0</v>
      </c>
      <c r="AR121" s="419">
        <f>SUMIF(Reforma!$A$2:$A$8523,$A121,Reforma!$AE$2:$AE$8523)</f>
        <v>0</v>
      </c>
      <c r="AS121" s="418">
        <f t="shared" si="94"/>
        <v>0</v>
      </c>
      <c r="AT121" s="418">
        <f t="shared" si="95"/>
        <v>0</v>
      </c>
      <c r="AU121" s="418">
        <f t="shared" si="96"/>
        <v>0</v>
      </c>
      <c r="AV121" s="326">
        <v>0</v>
      </c>
      <c r="AW121" s="326">
        <v>0</v>
      </c>
      <c r="AX121" s="326">
        <v>0</v>
      </c>
      <c r="AY121" s="326">
        <v>0</v>
      </c>
      <c r="AZ121" s="326">
        <v>0</v>
      </c>
      <c r="BA121" s="326">
        <v>0</v>
      </c>
      <c r="BB121" s="326">
        <v>0</v>
      </c>
      <c r="BC121" s="326">
        <v>0</v>
      </c>
      <c r="BD121" s="326">
        <v>0</v>
      </c>
      <c r="BE121" s="326">
        <v>0</v>
      </c>
      <c r="BF121" s="326">
        <v>0</v>
      </c>
      <c r="BG121" s="326">
        <v>0</v>
      </c>
      <c r="BH121" s="420">
        <f t="shared" si="97"/>
        <v>0</v>
      </c>
      <c r="BI121" s="420">
        <f t="shared" si="98"/>
        <v>0</v>
      </c>
      <c r="BJ121" s="420">
        <f t="shared" si="99"/>
        <v>0</v>
      </c>
      <c r="BK121" s="419"/>
      <c r="BL121" s="419"/>
      <c r="BM121" s="419"/>
      <c r="BN121" s="419">
        <f>IFERROR(VLOOKUP($A121,'Constancias POA'!$A$2:$DH$9993,18,FALSE),"")</f>
        <v>500</v>
      </c>
      <c r="BO121" s="419">
        <f t="shared" si="88"/>
        <v>-500</v>
      </c>
      <c r="BP121" s="419">
        <f>IFERROR(VLOOKUP($A121,CP!$A$1:$U$7992,18,FALSE),"")</f>
        <v>0</v>
      </c>
      <c r="BQ121" s="419">
        <f>IFERROR(VLOOKUP($A121,CP!$A$1:$U$7992,19,FALSE),"")</f>
        <v>0</v>
      </c>
      <c r="BR121" s="419">
        <f>IFERROR(VLOOKUP($A121,CP!$A$1:$U$7992,20,FALSE),"")</f>
        <v>0</v>
      </c>
      <c r="BS121" s="419" t="str">
        <f>IFERROR(VLOOKUP($A121,CP!$A$1:$U$1,21,FALSE),"")</f>
        <v/>
      </c>
      <c r="BT121" s="419" t="str">
        <f>IFERROR(VLOOKUP(A121,Devengado!$A$1:AJ$9310,35,FALSE),"")</f>
        <v/>
      </c>
      <c r="BU121" s="419" t="str">
        <f t="shared" si="89"/>
        <v/>
      </c>
      <c r="BV121" s="419" t="str">
        <f t="shared" si="90"/>
        <v/>
      </c>
      <c r="BW121" s="419">
        <f t="shared" si="100"/>
        <v>0</v>
      </c>
      <c r="BX121" s="419"/>
      <c r="BY121" s="419"/>
      <c r="BZ121" s="419"/>
      <c r="CA121" s="419"/>
      <c r="CB121" s="419"/>
      <c r="CC121" s="419"/>
      <c r="CD121" s="419"/>
      <c r="CE121" s="419"/>
      <c r="CF121" s="419"/>
      <c r="CG121" s="419"/>
      <c r="CH121" s="419"/>
      <c r="CI121" s="419">
        <v>0</v>
      </c>
      <c r="CJ121" s="419" t="str">
        <f>IFERROR(VLOOKUP($A121,Devengado!$A$1:$AI$9038,22,FALSE),"")</f>
        <v/>
      </c>
      <c r="CK121" s="419" t="str">
        <f>IFERROR(VLOOKUP($A121,Devengado!$A$1:$AI$9038,23,FALSE),"")</f>
        <v/>
      </c>
      <c r="CL121" s="419" t="str">
        <f>IFERROR(VLOOKUP($A121,Devengado!$A$1:$AI$9038,24,FALSE),"")</f>
        <v/>
      </c>
      <c r="CM121" s="419" t="str">
        <f>IFERROR(VLOOKUP($A121,Devengado!$A$1:$AI$9038,25,FALSE),"")</f>
        <v/>
      </c>
      <c r="CN121" s="419" t="str">
        <f>IFERROR(VLOOKUP($A121,Devengado!$A$1:$AI$9038,26,FALSE),"")</f>
        <v/>
      </c>
      <c r="CO121" s="419" t="str">
        <f>IFERROR(VLOOKUP($A121,Devengado!$A$1:$AI$9038,27,FALSE),"")</f>
        <v/>
      </c>
      <c r="CP121" s="419" t="str">
        <f>IFERROR(VLOOKUP($A121,Devengado!$A$1:$AI$9038,28,FALSE),"")</f>
        <v/>
      </c>
      <c r="CQ121" s="419" t="str">
        <f>IFERROR(VLOOKUP($A121,Devengado!$A$1:$AI$9038,29,FALSE),"")</f>
        <v/>
      </c>
      <c r="CR121" s="419" t="str">
        <f>IFERROR(VLOOKUP($A121,Devengado!$A$1:$AI$9038,30,FALSE),"")</f>
        <v/>
      </c>
      <c r="CS121" s="419" t="str">
        <f>IFERROR(VLOOKUP($A121,Devengado!$A$1:$AI$9038,31,FALSE),"")</f>
        <v/>
      </c>
      <c r="CT121" s="419" t="str">
        <f>IFERROR(VLOOKUP($A121,Devengado!$A$1:$AI$9038,32,FALSE),"")</f>
        <v/>
      </c>
      <c r="CU121" s="419" t="str">
        <f>IFERROR(VLOOKUP($A121,Devengado!$A$1:$AI$9038,33,FALSE),"")</f>
        <v/>
      </c>
      <c r="CV121" s="419">
        <f t="shared" si="91"/>
        <v>0</v>
      </c>
      <c r="CW121" s="419" t="str">
        <f t="shared" si="92"/>
        <v/>
      </c>
      <c r="CX121" s="164"/>
      <c r="CY121" s="164" t="str">
        <f t="shared" si="93"/>
        <v>53</v>
      </c>
      <c r="CZ121" s="164"/>
    </row>
    <row r="122" spans="1:104" s="421" customFormat="1" ht="48.75" customHeight="1">
      <c r="A122" s="164">
        <v>874</v>
      </c>
      <c r="B122" s="207"/>
      <c r="C122" s="207"/>
      <c r="D122" s="207"/>
      <c r="E122" s="207"/>
      <c r="F122" s="207"/>
      <c r="G122" s="207"/>
      <c r="H122" s="207"/>
      <c r="I122" s="207"/>
      <c r="J122" s="207"/>
      <c r="K122" s="112" t="s">
        <v>429</v>
      </c>
      <c r="L122" s="112" t="s">
        <v>850</v>
      </c>
      <c r="M122" s="112" t="s">
        <v>850</v>
      </c>
      <c r="N122" s="112" t="s">
        <v>77</v>
      </c>
      <c r="O122" s="112" t="s">
        <v>77</v>
      </c>
      <c r="P122" s="112" t="s">
        <v>76</v>
      </c>
      <c r="Q122" s="112" t="s">
        <v>77</v>
      </c>
      <c r="R122" s="112" t="s">
        <v>77</v>
      </c>
      <c r="S122" s="112" t="s">
        <v>77</v>
      </c>
      <c r="T122" s="112" t="s">
        <v>77</v>
      </c>
      <c r="U122" s="112" t="s">
        <v>77</v>
      </c>
      <c r="V122" s="112" t="s">
        <v>77</v>
      </c>
      <c r="W122" s="164" t="s">
        <v>1816</v>
      </c>
      <c r="X122" s="164" t="s">
        <v>1822</v>
      </c>
      <c r="Y122" s="114" t="s">
        <v>430</v>
      </c>
      <c r="Z122" s="114" t="s">
        <v>111</v>
      </c>
      <c r="AA122" s="114" t="s">
        <v>81</v>
      </c>
      <c r="AB122" s="114" t="s">
        <v>112</v>
      </c>
      <c r="AC122" s="164" t="str">
        <f t="shared" si="87"/>
        <v>53</v>
      </c>
      <c r="AD122" s="417">
        <v>530209</v>
      </c>
      <c r="AE122" s="164" t="str">
        <f>VLOOKUP(AD122,ITEM!$C$1:$D$694,2,FALSE)</f>
        <v>Servicios de Aseo, Lavado de Vestimenta de Trabajo, Fumigación, Desinfección,  Limpieza de Instalaciones, manejo
de desechos contaminados, recuperación y clasificación de materiales reciclables.</v>
      </c>
      <c r="AF122" s="164">
        <v>1309</v>
      </c>
      <c r="AG122" s="114" t="s">
        <v>82</v>
      </c>
      <c r="AH122" s="114" t="s">
        <v>84</v>
      </c>
      <c r="AI122" s="114" t="s">
        <v>84</v>
      </c>
      <c r="AJ122" s="114" t="s">
        <v>914</v>
      </c>
      <c r="AK122" s="114" t="s">
        <v>77</v>
      </c>
      <c r="AL122" s="418">
        <v>0</v>
      </c>
      <c r="AM122" s="418">
        <v>0</v>
      </c>
      <c r="AN122" s="418">
        <v>0</v>
      </c>
      <c r="AO122" s="419">
        <f>SUMIF(Reforma!$A$2:$A$8523,$A122,Reforma!$AB$2:$AB$8523)</f>
        <v>5344</v>
      </c>
      <c r="AP122" s="419">
        <f>SUMIF(Reforma!$A$2:$A$8523,$A122,Reforma!$AC$2:$AC$8523)</f>
        <v>-3.4</v>
      </c>
      <c r="AQ122" s="419">
        <f>SUMIF(Reforma!$A$2:$A$8523,$A122,Reforma!$AD$2:$AD$8523)</f>
        <v>0</v>
      </c>
      <c r="AR122" s="419">
        <f>SUMIF(Reforma!$A$2:$A$8523,$A122,Reforma!$AE$2:$AE$8523)</f>
        <v>0</v>
      </c>
      <c r="AS122" s="418">
        <f t="shared" si="94"/>
        <v>5340.6</v>
      </c>
      <c r="AT122" s="418">
        <f t="shared" si="95"/>
        <v>0</v>
      </c>
      <c r="AU122" s="418">
        <f t="shared" si="96"/>
        <v>5340.6</v>
      </c>
      <c r="AV122" s="418"/>
      <c r="AW122" s="431"/>
      <c r="AX122" s="418"/>
      <c r="AY122" s="418"/>
      <c r="AZ122" s="418"/>
      <c r="BA122" s="418"/>
      <c r="BB122" s="418"/>
      <c r="BC122" s="418"/>
      <c r="BD122" s="418"/>
      <c r="BE122" s="498">
        <v>700</v>
      </c>
      <c r="BF122" s="498">
        <v>2322</v>
      </c>
      <c r="BG122" s="498">
        <v>2318.6</v>
      </c>
      <c r="BH122" s="420">
        <f t="shared" si="97"/>
        <v>0</v>
      </c>
      <c r="BI122" s="420">
        <f t="shared" si="98"/>
        <v>5340.6</v>
      </c>
      <c r="BJ122" s="420">
        <f t="shared" si="99"/>
        <v>0</v>
      </c>
      <c r="BK122" s="419"/>
      <c r="BL122" s="419"/>
      <c r="BM122" s="419"/>
      <c r="BN122" s="419">
        <f>IFERROR(VLOOKUP($A122,'Constancias POA'!$A$2:$DH$9993,18,FALSE),"")</f>
        <v>5344</v>
      </c>
      <c r="BO122" s="419">
        <f t="shared" si="88"/>
        <v>-3.3999999999996362</v>
      </c>
      <c r="BP122" s="419">
        <f>IFERROR(VLOOKUP($A122,CP!$A$1:$U$7992,18,FALSE),"")</f>
        <v>5340.6</v>
      </c>
      <c r="BQ122" s="419">
        <f>IFERROR(VLOOKUP($A122,CP!$A$1:$U$7992,19,FALSE),"")</f>
        <v>5340.6</v>
      </c>
      <c r="BR122" s="419">
        <f>IFERROR(VLOOKUP($A122,CP!$A$1:$U$7992,20,FALSE),"")</f>
        <v>0</v>
      </c>
      <c r="BS122" s="419" t="str">
        <f>IFERROR(VLOOKUP($A122,CP!$A$1:$U$1,21,FALSE),"")</f>
        <v/>
      </c>
      <c r="BT122" s="419">
        <f>IFERROR(VLOOKUP(A122,Devengado!$A$1:AJ$9310,35,FALSE),"")</f>
        <v>5185.8</v>
      </c>
      <c r="BU122" s="419">
        <f t="shared" si="89"/>
        <v>154.80000000000018</v>
      </c>
      <c r="BV122" s="419">
        <f t="shared" si="90"/>
        <v>0.97101449275362317</v>
      </c>
      <c r="BW122" s="419">
        <f t="shared" si="100"/>
        <v>5340.6</v>
      </c>
      <c r="BX122" s="419"/>
      <c r="BY122" s="419"/>
      <c r="BZ122" s="419"/>
      <c r="CA122" s="419"/>
      <c r="CB122" s="419"/>
      <c r="CC122" s="419"/>
      <c r="CD122" s="419"/>
      <c r="CE122" s="419"/>
      <c r="CF122" s="419"/>
      <c r="CG122" s="419"/>
      <c r="CH122" s="419"/>
      <c r="CI122" s="419">
        <v>0</v>
      </c>
      <c r="CJ122" s="419">
        <f>IFERROR(VLOOKUP($A122,Devengado!$A$1:$AI$9038,22,FALSE),"")</f>
        <v>0</v>
      </c>
      <c r="CK122" s="419">
        <f>IFERROR(VLOOKUP($A122,Devengado!$A$1:$AI$9038,23,FALSE),"")</f>
        <v>0</v>
      </c>
      <c r="CL122" s="419">
        <f>IFERROR(VLOOKUP($A122,Devengado!$A$1:$AI$9038,24,FALSE),"")</f>
        <v>0</v>
      </c>
      <c r="CM122" s="419">
        <f>IFERROR(VLOOKUP($A122,Devengado!$A$1:$AI$9038,25,FALSE),"")</f>
        <v>0</v>
      </c>
      <c r="CN122" s="419">
        <f>IFERROR(VLOOKUP($A122,Devengado!$A$1:$AI$9038,26,FALSE),"")</f>
        <v>0</v>
      </c>
      <c r="CO122" s="419">
        <f>IFERROR(VLOOKUP($A122,Devengado!$A$1:$AI$9038,27,FALSE),"")</f>
        <v>0</v>
      </c>
      <c r="CP122" s="419">
        <f>IFERROR(VLOOKUP($A122,Devengado!$A$1:$AI$9038,28,FALSE),"")</f>
        <v>0</v>
      </c>
      <c r="CQ122" s="419">
        <f>IFERROR(VLOOKUP($A122,Devengado!$A$1:$AI$9038,29,FALSE),"")</f>
        <v>0</v>
      </c>
      <c r="CR122" s="419">
        <f>IFERROR(VLOOKUP($A122,Devengado!$A$1:$AI$9038,30,FALSE),"")</f>
        <v>0</v>
      </c>
      <c r="CS122" s="419">
        <f>IFERROR(VLOOKUP($A122,Devengado!$A$1:$AI$9038,31,FALSE),"")</f>
        <v>0</v>
      </c>
      <c r="CT122" s="419">
        <f>IFERROR(VLOOKUP($A122,Devengado!$A$1:$AI$9038,32,FALSE),"")</f>
        <v>2863.8</v>
      </c>
      <c r="CU122" s="419">
        <f>IFERROR(VLOOKUP($A122,Devengado!$A$1:$AI$9038,33,FALSE),"")</f>
        <v>2322</v>
      </c>
      <c r="CV122" s="419">
        <f t="shared" si="91"/>
        <v>5185.8</v>
      </c>
      <c r="CW122" s="419">
        <f t="shared" si="92"/>
        <v>0</v>
      </c>
      <c r="CX122" s="164"/>
      <c r="CY122" s="164" t="str">
        <f t="shared" si="93"/>
        <v>53</v>
      </c>
      <c r="CZ122" s="164"/>
    </row>
    <row r="123" spans="1:104" s="421" customFormat="1" ht="25.5" customHeight="1">
      <c r="A123" s="164">
        <v>875</v>
      </c>
      <c r="B123" s="207"/>
      <c r="C123" s="207"/>
      <c r="D123" s="207"/>
      <c r="E123" s="207"/>
      <c r="F123" s="207"/>
      <c r="G123" s="207"/>
      <c r="H123" s="207"/>
      <c r="I123" s="207"/>
      <c r="J123" s="207"/>
      <c r="K123" s="112" t="s">
        <v>429</v>
      </c>
      <c r="L123" s="112" t="s">
        <v>850</v>
      </c>
      <c r="M123" s="112" t="s">
        <v>850</v>
      </c>
      <c r="N123" s="112" t="s">
        <v>77</v>
      </c>
      <c r="O123" s="112" t="s">
        <v>77</v>
      </c>
      <c r="P123" s="112" t="s">
        <v>76</v>
      </c>
      <c r="Q123" s="112" t="s">
        <v>77</v>
      </c>
      <c r="R123" s="112" t="s">
        <v>77</v>
      </c>
      <c r="S123" s="112" t="s">
        <v>77</v>
      </c>
      <c r="T123" s="112" t="s">
        <v>77</v>
      </c>
      <c r="U123" s="112" t="s">
        <v>77</v>
      </c>
      <c r="V123" s="112" t="s">
        <v>77</v>
      </c>
      <c r="W123" s="164" t="s">
        <v>1816</v>
      </c>
      <c r="X123" s="164" t="s">
        <v>1823</v>
      </c>
      <c r="Y123" s="114" t="s">
        <v>430</v>
      </c>
      <c r="Z123" s="114" t="s">
        <v>111</v>
      </c>
      <c r="AA123" s="114" t="s">
        <v>81</v>
      </c>
      <c r="AB123" s="114" t="s">
        <v>112</v>
      </c>
      <c r="AC123" s="164" t="str">
        <f t="shared" si="87"/>
        <v>53</v>
      </c>
      <c r="AD123" s="417">
        <v>530209</v>
      </c>
      <c r="AE123" s="164" t="str">
        <f>VLOOKUP(AD123,ITEM!$C$1:$D$694,2,FALSE)</f>
        <v>Servicios de Aseo, Lavado de Vestimenta de Trabajo, Fumigación, Desinfección,  Limpieza de Instalaciones, manejo
de desechos contaminados, recuperación y clasificación de materiales reciclables.</v>
      </c>
      <c r="AF123" s="164">
        <v>1308</v>
      </c>
      <c r="AG123" s="114" t="s">
        <v>82</v>
      </c>
      <c r="AH123" s="114" t="s">
        <v>84</v>
      </c>
      <c r="AI123" s="114" t="s">
        <v>84</v>
      </c>
      <c r="AJ123" s="114" t="s">
        <v>914</v>
      </c>
      <c r="AK123" s="114" t="s">
        <v>77</v>
      </c>
      <c r="AL123" s="418">
        <v>0</v>
      </c>
      <c r="AM123" s="418">
        <v>0</v>
      </c>
      <c r="AN123" s="418">
        <v>0</v>
      </c>
      <c r="AO123" s="419">
        <f>SUMIF(Reforma!$A$2:$A$8523,$A123,Reforma!$AB$2:$AB$8523)</f>
        <v>5344</v>
      </c>
      <c r="AP123" s="419">
        <f>SUMIF(Reforma!$A$2:$A$8523,$A123,Reforma!$AC$2:$AC$8523)</f>
        <v>-3.4</v>
      </c>
      <c r="AQ123" s="419">
        <f>SUMIF(Reforma!$A$2:$A$8523,$A123,Reforma!$AD$2:$AD$8523)</f>
        <v>0</v>
      </c>
      <c r="AR123" s="419">
        <f>SUMIF(Reforma!$A$2:$A$8523,$A123,Reforma!$AE$2:$AE$8523)</f>
        <v>0</v>
      </c>
      <c r="AS123" s="418">
        <f t="shared" si="94"/>
        <v>5340.6</v>
      </c>
      <c r="AT123" s="418">
        <f t="shared" si="95"/>
        <v>0</v>
      </c>
      <c r="AU123" s="418">
        <f t="shared" si="96"/>
        <v>5340.6</v>
      </c>
      <c r="AV123" s="418"/>
      <c r="AW123" s="431"/>
      <c r="AX123" s="418"/>
      <c r="AY123" s="418"/>
      <c r="AZ123" s="418"/>
      <c r="BA123" s="418"/>
      <c r="BB123" s="418"/>
      <c r="BC123" s="418"/>
      <c r="BD123" s="418"/>
      <c r="BE123" s="498">
        <v>700</v>
      </c>
      <c r="BF123" s="498">
        <v>2322</v>
      </c>
      <c r="BG123" s="498">
        <v>2318.6</v>
      </c>
      <c r="BH123" s="420">
        <f t="shared" si="97"/>
        <v>0</v>
      </c>
      <c r="BI123" s="420">
        <f t="shared" si="98"/>
        <v>5340.6</v>
      </c>
      <c r="BJ123" s="420">
        <f t="shared" si="99"/>
        <v>0</v>
      </c>
      <c r="BK123" s="419"/>
      <c r="BL123" s="419"/>
      <c r="BM123" s="419"/>
      <c r="BN123" s="419">
        <f>IFERROR(VLOOKUP($A123,'Constancias POA'!$A$2:$DH$9993,18,FALSE),"")</f>
        <v>5344</v>
      </c>
      <c r="BO123" s="419">
        <f t="shared" si="88"/>
        <v>-3.3999999999996362</v>
      </c>
      <c r="BP123" s="419">
        <f>IFERROR(VLOOKUP($A123,CP!$A$1:$U$7992,18,FALSE),"")</f>
        <v>5340.6</v>
      </c>
      <c r="BQ123" s="419">
        <f>IFERROR(VLOOKUP($A123,CP!$A$1:$U$7992,19,FALSE),"")</f>
        <v>5340.6</v>
      </c>
      <c r="BR123" s="419">
        <f>IFERROR(VLOOKUP($A123,CP!$A$1:$U$7992,20,FALSE),"")</f>
        <v>0</v>
      </c>
      <c r="BS123" s="419" t="str">
        <f>IFERROR(VLOOKUP($A123,CP!$A$1:$U$1,21,FALSE),"")</f>
        <v/>
      </c>
      <c r="BT123" s="419">
        <f>IFERROR(VLOOKUP(A123,Devengado!$A$1:AJ$9310,35,FALSE),"")</f>
        <v>6733.8</v>
      </c>
      <c r="BU123" s="419">
        <f t="shared" si="89"/>
        <v>-1393.1999999999998</v>
      </c>
      <c r="BV123" s="419">
        <f t="shared" si="90"/>
        <v>1.2608695652173914</v>
      </c>
      <c r="BW123" s="419">
        <f t="shared" si="100"/>
        <v>5340.6</v>
      </c>
      <c r="BX123" s="419"/>
      <c r="BY123" s="419"/>
      <c r="BZ123" s="419"/>
      <c r="CA123" s="419"/>
      <c r="CB123" s="419"/>
      <c r="CC123" s="419"/>
      <c r="CD123" s="419"/>
      <c r="CE123" s="419"/>
      <c r="CF123" s="419"/>
      <c r="CG123" s="419"/>
      <c r="CH123" s="419"/>
      <c r="CI123" s="419">
        <v>0</v>
      </c>
      <c r="CJ123" s="419">
        <f>IFERROR(VLOOKUP($A123,Devengado!$A$1:$AI$9038,22,FALSE),"")</f>
        <v>0</v>
      </c>
      <c r="CK123" s="419">
        <f>IFERROR(VLOOKUP($A123,Devengado!$A$1:$AI$9038,23,FALSE),"")</f>
        <v>0</v>
      </c>
      <c r="CL123" s="419">
        <f>IFERROR(VLOOKUP($A123,Devengado!$A$1:$AI$9038,24,FALSE),"")</f>
        <v>0</v>
      </c>
      <c r="CM123" s="419">
        <f>IFERROR(VLOOKUP($A123,Devengado!$A$1:$AI$9038,25,FALSE),"")</f>
        <v>0</v>
      </c>
      <c r="CN123" s="419">
        <f>IFERROR(VLOOKUP($A123,Devengado!$A$1:$AI$9038,26,FALSE),"")</f>
        <v>0</v>
      </c>
      <c r="CO123" s="419">
        <f>IFERROR(VLOOKUP($A123,Devengado!$A$1:$AI$9038,27,FALSE),"")</f>
        <v>0</v>
      </c>
      <c r="CP123" s="419">
        <f>IFERROR(VLOOKUP($A123,Devengado!$A$1:$AI$9038,28,FALSE),"")</f>
        <v>0</v>
      </c>
      <c r="CQ123" s="419">
        <f>IFERROR(VLOOKUP($A123,Devengado!$A$1:$AI$9038,29,FALSE),"")</f>
        <v>0</v>
      </c>
      <c r="CR123" s="419">
        <f>IFERROR(VLOOKUP($A123,Devengado!$A$1:$AI$9038,30,FALSE),"")</f>
        <v>0</v>
      </c>
      <c r="CS123" s="419">
        <f>IFERROR(VLOOKUP($A123,Devengado!$A$1:$AI$9038,31,FALSE),"")</f>
        <v>1548</v>
      </c>
      <c r="CT123" s="419">
        <f>IFERROR(VLOOKUP($A123,Devengado!$A$1:$AI$9038,32,FALSE),"")</f>
        <v>2863.8</v>
      </c>
      <c r="CU123" s="419">
        <f>IFERROR(VLOOKUP($A123,Devengado!$A$1:$AI$9038,33,FALSE),"")</f>
        <v>2322</v>
      </c>
      <c r="CV123" s="419">
        <f t="shared" si="91"/>
        <v>6733.8</v>
      </c>
      <c r="CW123" s="419">
        <f t="shared" si="92"/>
        <v>0</v>
      </c>
      <c r="CX123" s="164"/>
      <c r="CY123" s="164" t="str">
        <f t="shared" si="93"/>
        <v>53</v>
      </c>
      <c r="CZ123" s="164"/>
    </row>
    <row r="124" spans="1:104" s="421" customFormat="1" ht="24.75" customHeight="1">
      <c r="A124" s="164">
        <v>876</v>
      </c>
      <c r="B124" s="207"/>
      <c r="C124" s="207"/>
      <c r="D124" s="207"/>
      <c r="E124" s="207"/>
      <c r="F124" s="207"/>
      <c r="G124" s="207"/>
      <c r="H124" s="207"/>
      <c r="I124" s="207"/>
      <c r="J124" s="207"/>
      <c r="K124" s="112" t="s">
        <v>429</v>
      </c>
      <c r="L124" s="112" t="s">
        <v>850</v>
      </c>
      <c r="M124" s="112" t="s">
        <v>850</v>
      </c>
      <c r="N124" s="112" t="s">
        <v>77</v>
      </c>
      <c r="O124" s="112" t="s">
        <v>77</v>
      </c>
      <c r="P124" s="112" t="s">
        <v>76</v>
      </c>
      <c r="Q124" s="112" t="s">
        <v>77</v>
      </c>
      <c r="R124" s="112" t="s">
        <v>77</v>
      </c>
      <c r="S124" s="112" t="s">
        <v>77</v>
      </c>
      <c r="T124" s="112" t="s">
        <v>77</v>
      </c>
      <c r="U124" s="112" t="s">
        <v>77</v>
      </c>
      <c r="V124" s="112" t="s">
        <v>77</v>
      </c>
      <c r="W124" s="164" t="s">
        <v>1816</v>
      </c>
      <c r="X124" s="164" t="s">
        <v>1824</v>
      </c>
      <c r="Y124" s="114" t="s">
        <v>430</v>
      </c>
      <c r="Z124" s="114" t="s">
        <v>111</v>
      </c>
      <c r="AA124" s="114" t="s">
        <v>81</v>
      </c>
      <c r="AB124" s="114" t="s">
        <v>112</v>
      </c>
      <c r="AC124" s="164" t="str">
        <f t="shared" si="87"/>
        <v>53</v>
      </c>
      <c r="AD124" s="417">
        <v>530209</v>
      </c>
      <c r="AE124" s="164" t="str">
        <f>VLOOKUP(AD124,ITEM!$C$1:$D$694,2,FALSE)</f>
        <v>Servicios de Aseo, Lavado de Vestimenta de Trabajo, Fumigación, Desinfección,  Limpieza de Instalaciones, manejo
de desechos contaminados, recuperación y clasificación de materiales reciclables.</v>
      </c>
      <c r="AF124" s="164">
        <v>1314</v>
      </c>
      <c r="AG124" s="114" t="s">
        <v>82</v>
      </c>
      <c r="AH124" s="114" t="s">
        <v>84</v>
      </c>
      <c r="AI124" s="114" t="s">
        <v>84</v>
      </c>
      <c r="AJ124" s="114" t="s">
        <v>914</v>
      </c>
      <c r="AK124" s="114" t="s">
        <v>77</v>
      </c>
      <c r="AL124" s="418">
        <v>0</v>
      </c>
      <c r="AM124" s="418">
        <v>0</v>
      </c>
      <c r="AN124" s="418">
        <v>0</v>
      </c>
      <c r="AO124" s="419">
        <f>SUMIF(Reforma!$A$2:$A$8523,$A124,Reforma!$AB$2:$AB$8523)</f>
        <v>5344</v>
      </c>
      <c r="AP124" s="419">
        <f>SUMIF(Reforma!$A$2:$A$8523,$A124,Reforma!$AC$2:$AC$8523)</f>
        <v>-3.4</v>
      </c>
      <c r="AQ124" s="419">
        <f>SUMIF(Reforma!$A$2:$A$8523,$A124,Reforma!$AD$2:$AD$8523)</f>
        <v>0</v>
      </c>
      <c r="AR124" s="419">
        <f>SUMIF(Reforma!$A$2:$A$8523,$A124,Reforma!$AE$2:$AE$8523)</f>
        <v>0</v>
      </c>
      <c r="AS124" s="418">
        <f t="shared" si="94"/>
        <v>5340.6</v>
      </c>
      <c r="AT124" s="418">
        <f t="shared" si="95"/>
        <v>0</v>
      </c>
      <c r="AU124" s="418">
        <f t="shared" si="96"/>
        <v>5340.6</v>
      </c>
      <c r="AV124" s="418"/>
      <c r="AW124" s="431"/>
      <c r="AX124" s="418"/>
      <c r="AY124" s="418"/>
      <c r="AZ124" s="418"/>
      <c r="BA124" s="418"/>
      <c r="BB124" s="418"/>
      <c r="BC124" s="418"/>
      <c r="BD124" s="418"/>
      <c r="BE124" s="498">
        <v>700</v>
      </c>
      <c r="BF124" s="498">
        <v>2322</v>
      </c>
      <c r="BG124" s="498">
        <v>2318.6</v>
      </c>
      <c r="BH124" s="420">
        <f t="shared" si="97"/>
        <v>0</v>
      </c>
      <c r="BI124" s="420">
        <f t="shared" si="98"/>
        <v>5340.6</v>
      </c>
      <c r="BJ124" s="420">
        <f t="shared" si="99"/>
        <v>0</v>
      </c>
      <c r="BK124" s="419"/>
      <c r="BL124" s="419"/>
      <c r="BM124" s="419"/>
      <c r="BN124" s="419">
        <f>IFERROR(VLOOKUP($A124,'Constancias POA'!$A$2:$DH$9993,18,FALSE),"")</f>
        <v>5344</v>
      </c>
      <c r="BO124" s="419">
        <f t="shared" si="88"/>
        <v>-3.3999999999996362</v>
      </c>
      <c r="BP124" s="419">
        <f>IFERROR(VLOOKUP($A124,CP!$A$1:$U$7992,18,FALSE),"")</f>
        <v>5340.6</v>
      </c>
      <c r="BQ124" s="419">
        <f>IFERROR(VLOOKUP($A124,CP!$A$1:$U$7992,19,FALSE),"")</f>
        <v>5340.6</v>
      </c>
      <c r="BR124" s="419">
        <f>IFERROR(VLOOKUP($A124,CP!$A$1:$U$7992,20,FALSE),"")</f>
        <v>0</v>
      </c>
      <c r="BS124" s="419" t="str">
        <f>IFERROR(VLOOKUP($A124,CP!$A$1:$U$1,21,FALSE),"")</f>
        <v/>
      </c>
      <c r="BT124" s="419">
        <f>IFERROR(VLOOKUP(A124,Devengado!$A$1:AJ$9310,35,FALSE),"")</f>
        <v>5185.8</v>
      </c>
      <c r="BU124" s="419">
        <f t="shared" si="89"/>
        <v>154.80000000000018</v>
      </c>
      <c r="BV124" s="419">
        <f t="shared" si="90"/>
        <v>0.97101449275362317</v>
      </c>
      <c r="BW124" s="419">
        <f t="shared" si="100"/>
        <v>5340.6</v>
      </c>
      <c r="BX124" s="419"/>
      <c r="BY124" s="419"/>
      <c r="BZ124" s="419"/>
      <c r="CA124" s="419"/>
      <c r="CB124" s="419"/>
      <c r="CC124" s="419"/>
      <c r="CD124" s="419"/>
      <c r="CE124" s="419"/>
      <c r="CF124" s="419"/>
      <c r="CG124" s="419"/>
      <c r="CH124" s="419"/>
      <c r="CI124" s="419">
        <v>0</v>
      </c>
      <c r="CJ124" s="419">
        <f>IFERROR(VLOOKUP($A124,Devengado!$A$1:$AI$9038,22,FALSE),"")</f>
        <v>0</v>
      </c>
      <c r="CK124" s="419">
        <f>IFERROR(VLOOKUP($A124,Devengado!$A$1:$AI$9038,23,FALSE),"")</f>
        <v>0</v>
      </c>
      <c r="CL124" s="419">
        <f>IFERROR(VLOOKUP($A124,Devengado!$A$1:$AI$9038,24,FALSE),"")</f>
        <v>0</v>
      </c>
      <c r="CM124" s="419">
        <f>IFERROR(VLOOKUP($A124,Devengado!$A$1:$AI$9038,25,FALSE),"")</f>
        <v>0</v>
      </c>
      <c r="CN124" s="419">
        <f>IFERROR(VLOOKUP($A124,Devengado!$A$1:$AI$9038,26,FALSE),"")</f>
        <v>0</v>
      </c>
      <c r="CO124" s="419">
        <f>IFERROR(VLOOKUP($A124,Devengado!$A$1:$AI$9038,27,FALSE),"")</f>
        <v>0</v>
      </c>
      <c r="CP124" s="419">
        <f>IFERROR(VLOOKUP($A124,Devengado!$A$1:$AI$9038,28,FALSE),"")</f>
        <v>0</v>
      </c>
      <c r="CQ124" s="419">
        <f>IFERROR(VLOOKUP($A124,Devengado!$A$1:$AI$9038,29,FALSE),"")</f>
        <v>0</v>
      </c>
      <c r="CR124" s="419">
        <f>IFERROR(VLOOKUP($A124,Devengado!$A$1:$AI$9038,30,FALSE),"")</f>
        <v>0</v>
      </c>
      <c r="CS124" s="419">
        <f>IFERROR(VLOOKUP($A124,Devengado!$A$1:$AI$9038,31,FALSE),"")</f>
        <v>0</v>
      </c>
      <c r="CT124" s="419">
        <f>IFERROR(VLOOKUP($A124,Devengado!$A$1:$AI$9038,32,FALSE),"")</f>
        <v>2863.8</v>
      </c>
      <c r="CU124" s="419">
        <f>IFERROR(VLOOKUP($A124,Devengado!$A$1:$AI$9038,33,FALSE),"")</f>
        <v>2322</v>
      </c>
      <c r="CV124" s="419">
        <f t="shared" si="91"/>
        <v>5185.8</v>
      </c>
      <c r="CW124" s="419">
        <f t="shared" si="92"/>
        <v>0</v>
      </c>
      <c r="CX124" s="164"/>
      <c r="CY124" s="164" t="str">
        <f t="shared" si="93"/>
        <v>53</v>
      </c>
      <c r="CZ124" s="164"/>
    </row>
    <row r="125" spans="1:104" s="421" customFormat="1" ht="24.75" customHeight="1">
      <c r="A125" s="164">
        <v>877</v>
      </c>
      <c r="B125" s="207"/>
      <c r="C125" s="207"/>
      <c r="D125" s="207"/>
      <c r="E125" s="207"/>
      <c r="F125" s="207"/>
      <c r="G125" s="207"/>
      <c r="H125" s="207"/>
      <c r="I125" s="207"/>
      <c r="J125" s="207"/>
      <c r="K125" s="112" t="s">
        <v>429</v>
      </c>
      <c r="L125" s="112" t="s">
        <v>850</v>
      </c>
      <c r="M125" s="112" t="s">
        <v>850</v>
      </c>
      <c r="N125" s="112" t="s">
        <v>77</v>
      </c>
      <c r="O125" s="112" t="s">
        <v>77</v>
      </c>
      <c r="P125" s="112" t="s">
        <v>76</v>
      </c>
      <c r="Q125" s="112" t="s">
        <v>77</v>
      </c>
      <c r="R125" s="112" t="s">
        <v>77</v>
      </c>
      <c r="S125" s="112" t="s">
        <v>77</v>
      </c>
      <c r="T125" s="112" t="s">
        <v>77</v>
      </c>
      <c r="U125" s="112" t="s">
        <v>77</v>
      </c>
      <c r="V125" s="112" t="s">
        <v>77</v>
      </c>
      <c r="W125" s="164" t="s">
        <v>1816</v>
      </c>
      <c r="X125" s="164" t="s">
        <v>1825</v>
      </c>
      <c r="Y125" s="114" t="s">
        <v>430</v>
      </c>
      <c r="Z125" s="114" t="s">
        <v>111</v>
      </c>
      <c r="AA125" s="114" t="s">
        <v>81</v>
      </c>
      <c r="AB125" s="114" t="s">
        <v>112</v>
      </c>
      <c r="AC125" s="164" t="str">
        <f t="shared" si="87"/>
        <v>53</v>
      </c>
      <c r="AD125" s="417">
        <v>530208</v>
      </c>
      <c r="AE125" s="164" t="str">
        <f>VLOOKUP(AD125,ITEM!$C$1:$D$694,2,FALSE)</f>
        <v>Servicio de Seguridad y Vigilancia</v>
      </c>
      <c r="AF125" s="164">
        <v>1309</v>
      </c>
      <c r="AG125" s="114" t="s">
        <v>82</v>
      </c>
      <c r="AH125" s="114" t="s">
        <v>84</v>
      </c>
      <c r="AI125" s="114" t="s">
        <v>84</v>
      </c>
      <c r="AJ125" s="114" t="s">
        <v>914</v>
      </c>
      <c r="AK125" s="114" t="s">
        <v>77</v>
      </c>
      <c r="AL125" s="418">
        <v>0</v>
      </c>
      <c r="AM125" s="418">
        <v>0</v>
      </c>
      <c r="AN125" s="418">
        <v>0</v>
      </c>
      <c r="AO125" s="419">
        <f>SUMIF(Reforma!$A$2:$A$8523,$A125,Reforma!$AB$2:$AB$8523)</f>
        <v>9204</v>
      </c>
      <c r="AP125" s="419">
        <f>SUMIF(Reforma!$A$2:$A$8523,$A125,Reforma!$AC$2:$AC$8523)</f>
        <v>-134.66999999999999</v>
      </c>
      <c r="AQ125" s="419">
        <f>SUMIF(Reforma!$A$2:$A$8523,$A125,Reforma!$AD$2:$AD$8523)</f>
        <v>0</v>
      </c>
      <c r="AR125" s="419">
        <f>SUMIF(Reforma!$A$2:$A$8523,$A125,Reforma!$AE$2:$AE$8523)</f>
        <v>0</v>
      </c>
      <c r="AS125" s="418">
        <f t="shared" si="94"/>
        <v>9069.33</v>
      </c>
      <c r="AT125" s="418">
        <f t="shared" si="95"/>
        <v>0</v>
      </c>
      <c r="AU125" s="418">
        <f t="shared" si="96"/>
        <v>9069.33</v>
      </c>
      <c r="AV125" s="418"/>
      <c r="AW125" s="431"/>
      <c r="AX125" s="418"/>
      <c r="AY125" s="418"/>
      <c r="AZ125" s="418"/>
      <c r="BA125" s="418"/>
      <c r="BB125" s="418"/>
      <c r="BC125" s="418"/>
      <c r="BD125" s="418"/>
      <c r="BE125" s="418"/>
      <c r="BF125" s="418"/>
      <c r="BG125" s="418">
        <v>9069.33</v>
      </c>
      <c r="BH125" s="420">
        <f t="shared" si="97"/>
        <v>0</v>
      </c>
      <c r="BI125" s="420">
        <f t="shared" si="98"/>
        <v>9069.33</v>
      </c>
      <c r="BJ125" s="420">
        <f t="shared" si="99"/>
        <v>0</v>
      </c>
      <c r="BK125" s="419"/>
      <c r="BL125" s="419"/>
      <c r="BM125" s="419"/>
      <c r="BN125" s="419">
        <f>IFERROR(VLOOKUP($A125,'Constancias POA'!$A$2:$DH$9993,18,FALSE),"")</f>
        <v>16</v>
      </c>
      <c r="BO125" s="419">
        <f t="shared" si="88"/>
        <v>9053.33</v>
      </c>
      <c r="BP125" s="419">
        <f>IFERROR(VLOOKUP($A125,CP!$A$1:$U$7992,18,FALSE),"")</f>
        <v>9069.33</v>
      </c>
      <c r="BQ125" s="419">
        <f>IFERROR(VLOOKUP($A125,CP!$A$1:$U$7992,19,FALSE),"")</f>
        <v>9069.33</v>
      </c>
      <c r="BR125" s="419">
        <f>IFERROR(VLOOKUP($A125,CP!$A$1:$U$7992,20,FALSE),"")</f>
        <v>0</v>
      </c>
      <c r="BS125" s="419" t="str">
        <f>IFERROR(VLOOKUP($A125,CP!$A$1:$U$1,21,FALSE),"")</f>
        <v/>
      </c>
      <c r="BT125" s="419">
        <f>IFERROR(VLOOKUP(A125,Devengado!$A$1:AJ$9310,35,FALSE),"")</f>
        <v>8053.57</v>
      </c>
      <c r="BU125" s="419">
        <f t="shared" si="89"/>
        <v>1015.7600000000002</v>
      </c>
      <c r="BV125" s="419">
        <f t="shared" si="90"/>
        <v>0.8880005468981722</v>
      </c>
      <c r="BW125" s="419">
        <f t="shared" si="100"/>
        <v>9069.33</v>
      </c>
      <c r="BX125" s="419"/>
      <c r="BY125" s="419"/>
      <c r="BZ125" s="419"/>
      <c r="CA125" s="419"/>
      <c r="CB125" s="419"/>
      <c r="CC125" s="419"/>
      <c r="CD125" s="419"/>
      <c r="CE125" s="419"/>
      <c r="CF125" s="419"/>
      <c r="CG125" s="419"/>
      <c r="CH125" s="419"/>
      <c r="CI125" s="419">
        <v>0</v>
      </c>
      <c r="CJ125" s="419">
        <f>IFERROR(VLOOKUP($A125,Devengado!$A$1:$AI$9038,22,FALSE),"")</f>
        <v>0</v>
      </c>
      <c r="CK125" s="419">
        <f>IFERROR(VLOOKUP($A125,Devengado!$A$1:$AI$9038,23,FALSE),"")</f>
        <v>0</v>
      </c>
      <c r="CL125" s="419">
        <f>IFERROR(VLOOKUP($A125,Devengado!$A$1:$AI$9038,24,FALSE),"")</f>
        <v>0</v>
      </c>
      <c r="CM125" s="419">
        <f>IFERROR(VLOOKUP($A125,Devengado!$A$1:$AI$9038,25,FALSE),"")</f>
        <v>0</v>
      </c>
      <c r="CN125" s="419">
        <f>IFERROR(VLOOKUP($A125,Devengado!$A$1:$AI$9038,26,FALSE),"")</f>
        <v>0</v>
      </c>
      <c r="CO125" s="419">
        <f>IFERROR(VLOOKUP($A125,Devengado!$A$1:$AI$9038,27,FALSE),"")</f>
        <v>0</v>
      </c>
      <c r="CP125" s="419">
        <f>IFERROR(VLOOKUP($A125,Devengado!$A$1:$AI$9038,28,FALSE),"")</f>
        <v>0</v>
      </c>
      <c r="CQ125" s="419">
        <f>IFERROR(VLOOKUP($A125,Devengado!$A$1:$AI$9038,29,FALSE),"")</f>
        <v>0</v>
      </c>
      <c r="CR125" s="419">
        <f>IFERROR(VLOOKUP($A125,Devengado!$A$1:$AI$9038,30,FALSE),"")</f>
        <v>0</v>
      </c>
      <c r="CS125" s="419">
        <f>IFERROR(VLOOKUP($A125,Devengado!$A$1:$AI$9038,31,FALSE),"")</f>
        <v>0</v>
      </c>
      <c r="CT125" s="419">
        <f>IFERROR(VLOOKUP($A125,Devengado!$A$1:$AI$9038,32,FALSE),"")</f>
        <v>0</v>
      </c>
      <c r="CU125" s="419">
        <f>IFERROR(VLOOKUP($A125,Devengado!$A$1:$AI$9038,33,FALSE),"")</f>
        <v>8053.57</v>
      </c>
      <c r="CV125" s="419">
        <f t="shared" si="91"/>
        <v>8053.57</v>
      </c>
      <c r="CW125" s="419">
        <f t="shared" si="92"/>
        <v>0</v>
      </c>
      <c r="CX125" s="164"/>
      <c r="CY125" s="164" t="str">
        <f t="shared" si="93"/>
        <v>53</v>
      </c>
      <c r="CZ125" s="164"/>
    </row>
    <row r="126" spans="1:104" ht="45">
      <c r="A126" s="164">
        <v>931</v>
      </c>
      <c r="B126" s="396"/>
      <c r="C126" s="396"/>
      <c r="D126" s="396"/>
      <c r="E126" s="396"/>
      <c r="F126" s="396"/>
      <c r="G126" s="396"/>
      <c r="H126" s="396"/>
      <c r="I126" s="396"/>
      <c r="J126" s="396"/>
      <c r="K126" s="112" t="s">
        <v>429</v>
      </c>
      <c r="L126" s="112" t="s">
        <v>850</v>
      </c>
      <c r="M126" s="112" t="s">
        <v>850</v>
      </c>
      <c r="N126" s="112" t="s">
        <v>77</v>
      </c>
      <c r="O126" s="112" t="s">
        <v>77</v>
      </c>
      <c r="P126" s="112" t="s">
        <v>76</v>
      </c>
      <c r="Q126" s="112" t="s">
        <v>77</v>
      </c>
      <c r="R126" s="112" t="s">
        <v>77</v>
      </c>
      <c r="S126" s="112" t="s">
        <v>77</v>
      </c>
      <c r="T126" s="112" t="s">
        <v>77</v>
      </c>
      <c r="U126" s="112" t="s">
        <v>77</v>
      </c>
      <c r="V126" s="112" t="s">
        <v>77</v>
      </c>
      <c r="W126" s="112" t="s">
        <v>85</v>
      </c>
      <c r="X126" s="112" t="s">
        <v>1961</v>
      </c>
      <c r="Y126" s="114" t="s">
        <v>430</v>
      </c>
      <c r="Z126" s="114" t="s">
        <v>111</v>
      </c>
      <c r="AA126" s="114" t="s">
        <v>81</v>
      </c>
      <c r="AB126" s="114" t="s">
        <v>112</v>
      </c>
      <c r="AC126" s="164">
        <v>53</v>
      </c>
      <c r="AD126" s="417">
        <v>530701</v>
      </c>
      <c r="AE126" s="164" t="str">
        <f>VLOOKUP(AD126,ITEM!$C$1:$D$694,2,FALSE)</f>
        <v>Desarrollo, Actualización, Asistencia Técnica y Soporte de Sistemas Informáticos</v>
      </c>
      <c r="AF126" s="164">
        <v>1309</v>
      </c>
      <c r="AG126" s="114" t="s">
        <v>82</v>
      </c>
      <c r="AH126" s="114" t="s">
        <v>84</v>
      </c>
      <c r="AI126" s="114" t="s">
        <v>84</v>
      </c>
      <c r="AJ126" s="114" t="s">
        <v>914</v>
      </c>
      <c r="AK126" s="114" t="s">
        <v>77</v>
      </c>
      <c r="AL126" s="418">
        <v>0</v>
      </c>
      <c r="AM126" s="418">
        <v>0</v>
      </c>
      <c r="AN126" s="418">
        <v>0</v>
      </c>
      <c r="AO126" s="419">
        <f>SUMIF(Reforma!$A$2:$A$8523,$A126,Reforma!$AB$2:$AB$8523)</f>
        <v>400</v>
      </c>
      <c r="AP126" s="419">
        <f>SUMIF(Reforma!$A$2:$A$8523,$A126,Reforma!$AC$2:$AC$8523)</f>
        <v>-400</v>
      </c>
      <c r="AQ126" s="419">
        <f>SUMIF(Reforma!$A$2:$A$8523,$A126,Reforma!$AD$2:$AD$8523)</f>
        <v>0</v>
      </c>
      <c r="AR126" s="419">
        <f>SUMIF(Reforma!$A$2:$A$8523,$A126,Reforma!$AE$2:$AE$8523)</f>
        <v>0</v>
      </c>
      <c r="AS126" s="418">
        <f t="shared" ref="AS126:AS130" si="101">+AL126+AO126+AP126</f>
        <v>0</v>
      </c>
      <c r="AT126" s="418">
        <f t="shared" ref="AT126:AT141" si="102">+AM126+AQ126+AR126</f>
        <v>0</v>
      </c>
      <c r="AU126" s="418">
        <f t="shared" ref="AU126:AU132" si="103">IFERROR(AS126+AT126,"")</f>
        <v>0</v>
      </c>
      <c r="AV126" s="418"/>
      <c r="AW126" s="431"/>
      <c r="AX126" s="418"/>
      <c r="AY126" s="418"/>
      <c r="AZ126" s="418"/>
      <c r="BA126" s="418"/>
      <c r="BB126" s="418"/>
      <c r="BC126" s="418"/>
      <c r="BD126" s="418"/>
      <c r="BE126" s="418"/>
      <c r="BF126" s="418"/>
      <c r="BG126" s="418"/>
      <c r="BH126" s="420">
        <f t="shared" ref="BH126:BH139" si="104">SUM(BX126:CI126)</f>
        <v>0</v>
      </c>
      <c r="BI126" s="420">
        <f t="shared" ref="BI126:BI139" si="105">SUM(AV126:BG126)</f>
        <v>0</v>
      </c>
      <c r="BJ126" s="420">
        <f t="shared" ref="BJ126:BJ139" si="106">+BI126-AU126</f>
        <v>0</v>
      </c>
      <c r="BK126" s="419"/>
      <c r="BL126" s="419"/>
      <c r="BM126" s="419"/>
      <c r="BN126" s="419" t="str">
        <f>IFERROR(VLOOKUP($A126,'Constancias POA'!$A$2:$DH$9993,18,FALSE),"")</f>
        <v/>
      </c>
      <c r="BO126" s="419" t="str">
        <f t="shared" ref="BO126:BO141" si="107">IFERROR(AU126-BN126,"")</f>
        <v/>
      </c>
      <c r="BP126" s="419" t="str">
        <f>IFERROR(VLOOKUP($A126,CP!$A$1:$U$7992,18,FALSE),"")</f>
        <v/>
      </c>
      <c r="BQ126" s="419" t="str">
        <f>IFERROR(VLOOKUP($A126,CP!$A$1:$U$7992,19,FALSE),"")</f>
        <v/>
      </c>
      <c r="BR126" s="419" t="str">
        <f>IFERROR(VLOOKUP($A126,CP!$A$1:$U$7992,20,FALSE),"")</f>
        <v/>
      </c>
      <c r="BS126" s="419" t="str">
        <f>IFERROR(VLOOKUP($A126,CP!$A$1:$U$1,21,FALSE),"")</f>
        <v/>
      </c>
      <c r="BT126" s="419" t="str">
        <f>IFERROR(VLOOKUP(A126,Devengado!$A$1:AJ$9310,35,FALSE),"")</f>
        <v/>
      </c>
      <c r="BU126" s="419" t="str">
        <f t="shared" ref="BU126:BU139" si="108">IFERROR((AU126-BT126),"")</f>
        <v/>
      </c>
      <c r="BV126" s="419" t="str">
        <f t="shared" ref="BV126:BV139" si="109">IFERROR(BT126/BW126,"")</f>
        <v/>
      </c>
      <c r="BW126" s="419">
        <f t="shared" ref="BW126:BW131" si="110">AU126</f>
        <v>0</v>
      </c>
      <c r="BX126" s="419"/>
      <c r="BY126" s="419"/>
      <c r="BZ126" s="419"/>
      <c r="CA126" s="419"/>
      <c r="CB126" s="419"/>
      <c r="CC126" s="419"/>
      <c r="CD126" s="419"/>
      <c r="CE126" s="419"/>
      <c r="CF126" s="419"/>
      <c r="CG126" s="419"/>
      <c r="CH126" s="419"/>
      <c r="CI126" s="419">
        <v>0</v>
      </c>
      <c r="CJ126" s="419" t="str">
        <f>IFERROR(VLOOKUP($A126,Devengado!$A$1:$AI$9038,22,FALSE),"")</f>
        <v/>
      </c>
      <c r="CK126" s="419" t="str">
        <f>IFERROR(VLOOKUP($A126,Devengado!$A$1:$AI$9038,23,FALSE),"")</f>
        <v/>
      </c>
      <c r="CL126" s="419" t="str">
        <f>IFERROR(VLOOKUP($A126,Devengado!$A$1:$AI$9038,24,FALSE),"")</f>
        <v/>
      </c>
      <c r="CM126" s="419" t="str">
        <f>IFERROR(VLOOKUP($A126,Devengado!$A$1:$AI$9038,25,FALSE),"")</f>
        <v/>
      </c>
      <c r="CN126" s="419" t="str">
        <f>IFERROR(VLOOKUP($A126,Devengado!$A$1:$AI$9038,26,FALSE),"")</f>
        <v/>
      </c>
      <c r="CO126" s="419" t="str">
        <f>IFERROR(VLOOKUP($A126,Devengado!$A$1:$AI$9038,27,FALSE),"")</f>
        <v/>
      </c>
      <c r="CP126" s="419" t="str">
        <f>IFERROR(VLOOKUP($A126,Devengado!$A$1:$AI$9038,28,FALSE),"")</f>
        <v/>
      </c>
      <c r="CQ126" s="419" t="str">
        <f>IFERROR(VLOOKUP($A126,Devengado!$A$1:$AI$9038,29,FALSE),"")</f>
        <v/>
      </c>
      <c r="CR126" s="419" t="str">
        <f>IFERROR(VLOOKUP($A126,Devengado!$A$1:$AI$9038,30,FALSE),"")</f>
        <v/>
      </c>
      <c r="CS126" s="419" t="str">
        <f>IFERROR(VLOOKUP($A126,Devengado!$A$1:$AI$9038,31,FALSE),"")</f>
        <v/>
      </c>
      <c r="CT126" s="419" t="str">
        <f>IFERROR(VLOOKUP($A126,Devengado!$A$1:$AI$9038,32,FALSE),"")</f>
        <v/>
      </c>
      <c r="CU126" s="419" t="str">
        <f>IFERROR(VLOOKUP($A126,Devengado!$A$1:$AI$9038,33,FALSE),"")</f>
        <v/>
      </c>
      <c r="CV126" s="419">
        <f t="shared" ref="CV126:CV140" si="111">SUM(CJ126:CU126)</f>
        <v>0</v>
      </c>
      <c r="CW126" s="419" t="str">
        <f t="shared" ref="CW126:CW139" si="112">IFERROR(CV126-BT126,"")</f>
        <v/>
      </c>
      <c r="CX126" s="164"/>
      <c r="CY126" s="164" t="str">
        <f t="shared" ref="CY126:CY139" si="113">LEFT(AC126,4)</f>
        <v>53</v>
      </c>
      <c r="CZ126" s="164"/>
    </row>
    <row r="127" spans="1:104" ht="45">
      <c r="A127" s="164">
        <v>932</v>
      </c>
      <c r="B127" s="396"/>
      <c r="C127" s="396"/>
      <c r="D127" s="396"/>
      <c r="E127" s="396"/>
      <c r="F127" s="396"/>
      <c r="G127" s="396"/>
      <c r="H127" s="396"/>
      <c r="I127" s="396"/>
      <c r="J127" s="396"/>
      <c r="K127" s="112" t="s">
        <v>429</v>
      </c>
      <c r="L127" s="112" t="s">
        <v>850</v>
      </c>
      <c r="M127" s="112" t="s">
        <v>850</v>
      </c>
      <c r="N127" s="112" t="s">
        <v>77</v>
      </c>
      <c r="O127" s="112" t="s">
        <v>77</v>
      </c>
      <c r="P127" s="112" t="s">
        <v>76</v>
      </c>
      <c r="Q127" s="112" t="s">
        <v>77</v>
      </c>
      <c r="R127" s="112" t="s">
        <v>77</v>
      </c>
      <c r="S127" s="112" t="s">
        <v>77</v>
      </c>
      <c r="T127" s="112" t="s">
        <v>77</v>
      </c>
      <c r="U127" s="112" t="s">
        <v>77</v>
      </c>
      <c r="V127" s="112" t="s">
        <v>77</v>
      </c>
      <c r="W127" s="112" t="s">
        <v>85</v>
      </c>
      <c r="X127" s="112" t="s">
        <v>2004</v>
      </c>
      <c r="Y127" s="114" t="s">
        <v>430</v>
      </c>
      <c r="Z127" s="114" t="s">
        <v>111</v>
      </c>
      <c r="AA127" s="114" t="s">
        <v>81</v>
      </c>
      <c r="AB127" s="114" t="s">
        <v>112</v>
      </c>
      <c r="AC127" s="164">
        <v>53</v>
      </c>
      <c r="AD127" s="417">
        <v>530255</v>
      </c>
      <c r="AE127" s="164" t="str">
        <f>VLOOKUP(AD127,ITEM!$C$1:$D$694,2,FALSE)</f>
        <v>Combustibles</v>
      </c>
      <c r="AF127" s="164">
        <v>1309</v>
      </c>
      <c r="AG127" s="114" t="s">
        <v>82</v>
      </c>
      <c r="AH127" s="114" t="s">
        <v>84</v>
      </c>
      <c r="AI127" s="114" t="s">
        <v>84</v>
      </c>
      <c r="AJ127" s="114" t="s">
        <v>914</v>
      </c>
      <c r="AK127" s="114" t="s">
        <v>77</v>
      </c>
      <c r="AL127" s="418">
        <v>0</v>
      </c>
      <c r="AM127" s="418">
        <v>0</v>
      </c>
      <c r="AN127" s="418">
        <v>0</v>
      </c>
      <c r="AO127" s="419">
        <f>SUMIF(Reforma!$A$2:$A$8523,$A127,Reforma!$AB$2:$AB$8523)</f>
        <v>1000</v>
      </c>
      <c r="AP127" s="419">
        <f>SUMIF(Reforma!$A$2:$A$8523,$A127,Reforma!$AC$2:$AC$8523)</f>
        <v>0</v>
      </c>
      <c r="AQ127" s="419">
        <f>SUMIF(Reforma!$A$2:$A$8523,$A127,Reforma!$AD$2:$AD$8523)</f>
        <v>0</v>
      </c>
      <c r="AR127" s="419">
        <f>SUMIF(Reforma!$A$2:$A$8523,$A127,Reforma!$AE$2:$AE$8523)</f>
        <v>0</v>
      </c>
      <c r="AS127" s="418">
        <f t="shared" si="101"/>
        <v>1000</v>
      </c>
      <c r="AT127" s="418">
        <f t="shared" si="102"/>
        <v>0</v>
      </c>
      <c r="AU127" s="418">
        <f t="shared" si="103"/>
        <v>1000</v>
      </c>
      <c r="AV127" s="418"/>
      <c r="AW127" s="431"/>
      <c r="AX127" s="418"/>
      <c r="AY127" s="418"/>
      <c r="AZ127" s="418"/>
      <c r="BA127" s="418"/>
      <c r="BB127" s="418">
        <v>166.67</v>
      </c>
      <c r="BC127" s="418">
        <v>166.67</v>
      </c>
      <c r="BD127" s="418">
        <v>166.67</v>
      </c>
      <c r="BE127" s="418">
        <v>166.67</v>
      </c>
      <c r="BF127" s="418">
        <v>166.67</v>
      </c>
      <c r="BG127" s="418">
        <v>166.65</v>
      </c>
      <c r="BH127" s="420">
        <f t="shared" si="104"/>
        <v>0</v>
      </c>
      <c r="BI127" s="420">
        <f t="shared" si="105"/>
        <v>999.99999999999989</v>
      </c>
      <c r="BJ127" s="420">
        <f t="shared" si="106"/>
        <v>0</v>
      </c>
      <c r="BK127" s="419"/>
      <c r="BL127" s="419"/>
      <c r="BM127" s="419"/>
      <c r="BN127" s="419" t="str">
        <f>IFERROR(VLOOKUP($A127,'Constancias POA'!$A$2:$DH$9993,18,FALSE),"")</f>
        <v/>
      </c>
      <c r="BO127" s="419" t="str">
        <f t="shared" si="107"/>
        <v/>
      </c>
      <c r="BP127" s="419">
        <f>IFERROR(VLOOKUP($A127,CP!$A$1:$U$7992,18,FALSE),"")</f>
        <v>1000</v>
      </c>
      <c r="BQ127" s="419">
        <f>IFERROR(VLOOKUP($A127,CP!$A$1:$U$7992,19,FALSE),"")</f>
        <v>62.19</v>
      </c>
      <c r="BR127" s="419">
        <f>IFERROR(VLOOKUP($A127,CP!$A$1:$U$7992,20,FALSE),"")</f>
        <v>0</v>
      </c>
      <c r="BS127" s="419" t="str">
        <f>IFERROR(VLOOKUP($A127,CP!$A$1:$U$1,21,FALSE),"")</f>
        <v/>
      </c>
      <c r="BT127" s="419">
        <f>IFERROR(VLOOKUP(A127,Devengado!$A$1:AJ$9310,35,FALSE),"")</f>
        <v>55</v>
      </c>
      <c r="BU127" s="419">
        <f t="shared" si="108"/>
        <v>945</v>
      </c>
      <c r="BV127" s="419">
        <f t="shared" si="109"/>
        <v>5.5E-2</v>
      </c>
      <c r="BW127" s="419">
        <f t="shared" si="110"/>
        <v>1000</v>
      </c>
      <c r="BX127" s="419"/>
      <c r="BY127" s="419"/>
      <c r="BZ127" s="419"/>
      <c r="CA127" s="419"/>
      <c r="CB127" s="419"/>
      <c r="CC127" s="419"/>
      <c r="CD127" s="419"/>
      <c r="CE127" s="419"/>
      <c r="CF127" s="419"/>
      <c r="CG127" s="419"/>
      <c r="CH127" s="419"/>
      <c r="CI127" s="419">
        <v>0</v>
      </c>
      <c r="CJ127" s="419">
        <f>IFERROR(VLOOKUP($A127,Devengado!$A$1:$AI$9038,22,FALSE),"")</f>
        <v>0</v>
      </c>
      <c r="CK127" s="419">
        <f>IFERROR(VLOOKUP($A127,Devengado!$A$1:$AI$9038,23,FALSE),"")</f>
        <v>0</v>
      </c>
      <c r="CL127" s="419">
        <f>IFERROR(VLOOKUP($A127,Devengado!$A$1:$AI$9038,24,FALSE),"")</f>
        <v>0</v>
      </c>
      <c r="CM127" s="419">
        <f>IFERROR(VLOOKUP($A127,Devengado!$A$1:$AI$9038,25,FALSE),"")</f>
        <v>0</v>
      </c>
      <c r="CN127" s="419">
        <f>IFERROR(VLOOKUP($A127,Devengado!$A$1:$AI$9038,26,FALSE),"")</f>
        <v>0</v>
      </c>
      <c r="CO127" s="419">
        <f>IFERROR(VLOOKUP($A127,Devengado!$A$1:$AI$9038,27,FALSE),"")</f>
        <v>0</v>
      </c>
      <c r="CP127" s="419">
        <f>IFERROR(VLOOKUP($A127,Devengado!$A$1:$AI$9038,28,FALSE),"")</f>
        <v>0</v>
      </c>
      <c r="CQ127" s="419">
        <f>IFERROR(VLOOKUP($A127,Devengado!$A$1:$AI$9038,29,FALSE),"")</f>
        <v>0</v>
      </c>
      <c r="CR127" s="419">
        <f>IFERROR(VLOOKUP($A127,Devengado!$A$1:$AI$9038,30,FALSE),"")</f>
        <v>0</v>
      </c>
      <c r="CS127" s="419">
        <f>IFERROR(VLOOKUP($A127,Devengado!$A$1:$AI$9038,31,FALSE),"")</f>
        <v>0</v>
      </c>
      <c r="CT127" s="419">
        <f>IFERROR(VLOOKUP($A127,Devengado!$A$1:$AI$9038,32,FALSE),"")</f>
        <v>55</v>
      </c>
      <c r="CU127" s="419">
        <f>IFERROR(VLOOKUP($A127,Devengado!$A$1:$AI$9038,33,FALSE),"")</f>
        <v>0</v>
      </c>
      <c r="CV127" s="419">
        <f t="shared" si="111"/>
        <v>55</v>
      </c>
      <c r="CW127" s="419">
        <f t="shared" si="112"/>
        <v>0</v>
      </c>
      <c r="CX127" s="164"/>
      <c r="CY127" s="164" t="str">
        <f t="shared" si="113"/>
        <v>53</v>
      </c>
      <c r="CZ127" s="164"/>
    </row>
    <row r="128" spans="1:104" ht="56.25">
      <c r="A128" s="164">
        <v>933</v>
      </c>
      <c r="B128" s="396"/>
      <c r="C128" s="396"/>
      <c r="D128" s="396"/>
      <c r="E128" s="396"/>
      <c r="F128" s="396"/>
      <c r="G128" s="396"/>
      <c r="H128" s="396"/>
      <c r="I128" s="396"/>
      <c r="J128" s="396"/>
      <c r="K128" s="112" t="s">
        <v>429</v>
      </c>
      <c r="L128" s="112" t="s">
        <v>850</v>
      </c>
      <c r="M128" s="112" t="s">
        <v>850</v>
      </c>
      <c r="N128" s="112" t="s">
        <v>77</v>
      </c>
      <c r="O128" s="112" t="s">
        <v>77</v>
      </c>
      <c r="P128" s="112" t="s">
        <v>76</v>
      </c>
      <c r="Q128" s="112" t="s">
        <v>77</v>
      </c>
      <c r="R128" s="112" t="s">
        <v>77</v>
      </c>
      <c r="S128" s="112" t="s">
        <v>77</v>
      </c>
      <c r="T128" s="112" t="s">
        <v>77</v>
      </c>
      <c r="U128" s="112" t="s">
        <v>77</v>
      </c>
      <c r="V128" s="112" t="s">
        <v>77</v>
      </c>
      <c r="W128" s="112" t="s">
        <v>85</v>
      </c>
      <c r="X128" s="112" t="s">
        <v>2003</v>
      </c>
      <c r="Y128" s="114" t="s">
        <v>430</v>
      </c>
      <c r="Z128" s="114" t="s">
        <v>111</v>
      </c>
      <c r="AA128" s="114" t="s">
        <v>81</v>
      </c>
      <c r="AB128" s="114" t="s">
        <v>112</v>
      </c>
      <c r="AC128" s="164">
        <v>53</v>
      </c>
      <c r="AD128" s="417">
        <v>530404</v>
      </c>
      <c r="AE128" s="164" t="str">
        <f>VLOOKUP(AD128,ITEM!$C$1:$D$694,2,FALSE)</f>
        <v>Maquinarias y Equipos (Instalación, Mantenimiento y Reparación)</v>
      </c>
      <c r="AF128" s="164">
        <v>1308</v>
      </c>
      <c r="AG128" s="114" t="s">
        <v>82</v>
      </c>
      <c r="AH128" s="114" t="s">
        <v>84</v>
      </c>
      <c r="AI128" s="114" t="s">
        <v>84</v>
      </c>
      <c r="AJ128" s="114" t="s">
        <v>914</v>
      </c>
      <c r="AK128" s="114" t="s">
        <v>77</v>
      </c>
      <c r="AL128" s="418"/>
      <c r="AM128" s="418"/>
      <c r="AN128" s="418"/>
      <c r="AO128" s="419">
        <f>SUMIF(Reforma!$A$2:$A$8523,$A128,Reforma!$AB$2:$AB$8523)</f>
        <v>4800</v>
      </c>
      <c r="AP128" s="419">
        <f>SUMIF(Reforma!$A$2:$A$8523,$A128,Reforma!$AC$2:$AC$8523)</f>
        <v>-4800</v>
      </c>
      <c r="AQ128" s="419">
        <f>SUMIF(Reforma!$A$2:$A$8523,$A128,Reforma!$AD$2:$AD$8523)</f>
        <v>0</v>
      </c>
      <c r="AR128" s="419">
        <f>SUMIF(Reforma!$A$2:$A$8523,$A128,Reforma!$AE$2:$AE$8523)</f>
        <v>0</v>
      </c>
      <c r="AS128" s="418">
        <f t="shared" si="101"/>
        <v>0</v>
      </c>
      <c r="AT128" s="418">
        <f t="shared" si="102"/>
        <v>0</v>
      </c>
      <c r="AU128" s="418">
        <f t="shared" si="103"/>
        <v>0</v>
      </c>
      <c r="AV128" s="418"/>
      <c r="AW128" s="431"/>
      <c r="AX128" s="418"/>
      <c r="AY128" s="418"/>
      <c r="AZ128" s="418"/>
      <c r="BA128" s="418"/>
      <c r="BB128" s="418"/>
      <c r="BC128" s="418"/>
      <c r="BD128" s="418"/>
      <c r="BE128" s="418"/>
      <c r="BF128" s="418"/>
      <c r="BG128" s="418"/>
      <c r="BH128" s="420">
        <f t="shared" si="104"/>
        <v>0</v>
      </c>
      <c r="BI128" s="420">
        <f t="shared" si="105"/>
        <v>0</v>
      </c>
      <c r="BJ128" s="420">
        <f t="shared" si="106"/>
        <v>0</v>
      </c>
      <c r="BK128" s="419"/>
      <c r="BL128" s="419"/>
      <c r="BM128" s="419"/>
      <c r="BN128" s="419" t="str">
        <f>IFERROR(VLOOKUP($A128,'Constancias POA'!$A$2:$DH$9993,18,FALSE),"")</f>
        <v/>
      </c>
      <c r="BO128" s="419" t="str">
        <f t="shared" si="107"/>
        <v/>
      </c>
      <c r="BP128" s="419" t="str">
        <f>IFERROR(VLOOKUP($A128,CP!$A$1:$U$7992,18,FALSE),"")</f>
        <v/>
      </c>
      <c r="BQ128" s="419" t="str">
        <f>IFERROR(VLOOKUP($A128,CP!$A$1:$U$7992,19,FALSE),"")</f>
        <v/>
      </c>
      <c r="BR128" s="419" t="str">
        <f>IFERROR(VLOOKUP($A128,CP!$A$1:$U$7992,20,FALSE),"")</f>
        <v/>
      </c>
      <c r="BS128" s="419" t="str">
        <f>IFERROR(VLOOKUP($A128,CP!$A$1:$U$1,21,FALSE),"")</f>
        <v/>
      </c>
      <c r="BT128" s="419" t="str">
        <f>IFERROR(VLOOKUP(A128,Devengado!$A$1:AJ$9310,35,FALSE),"")</f>
        <v/>
      </c>
      <c r="BU128" s="272" t="str">
        <f t="shared" si="108"/>
        <v/>
      </c>
      <c r="BV128" s="419" t="str">
        <f t="shared" si="109"/>
        <v/>
      </c>
      <c r="BW128" s="419">
        <f t="shared" si="110"/>
        <v>0</v>
      </c>
      <c r="BX128" s="419"/>
      <c r="BY128" s="419"/>
      <c r="BZ128" s="419"/>
      <c r="CA128" s="419"/>
      <c r="CB128" s="419"/>
      <c r="CC128" s="419"/>
      <c r="CD128" s="419"/>
      <c r="CE128" s="419"/>
      <c r="CF128" s="419"/>
      <c r="CG128" s="419"/>
      <c r="CH128" s="419"/>
      <c r="CI128" s="419"/>
      <c r="CJ128" s="419" t="str">
        <f>IFERROR(VLOOKUP($A128,Devengado!$A$1:$AI$9038,22,FALSE),"")</f>
        <v/>
      </c>
      <c r="CK128" s="419" t="str">
        <f>IFERROR(VLOOKUP($A128,Devengado!$A$1:$AI$9038,23,FALSE),"")</f>
        <v/>
      </c>
      <c r="CL128" s="419" t="str">
        <f>IFERROR(VLOOKUP($A128,Devengado!$A$1:$AI$9038,24,FALSE),"")</f>
        <v/>
      </c>
      <c r="CM128" s="419" t="str">
        <f>IFERROR(VLOOKUP($A128,Devengado!$A$1:$AI$9038,25,FALSE),"")</f>
        <v/>
      </c>
      <c r="CN128" s="419" t="str">
        <f>IFERROR(VLOOKUP($A128,Devengado!$A$1:$AI$9038,26,FALSE),"")</f>
        <v/>
      </c>
      <c r="CO128" s="419" t="str">
        <f>IFERROR(VLOOKUP($A128,Devengado!$A$1:$AI$9038,27,FALSE),"")</f>
        <v/>
      </c>
      <c r="CP128" s="419" t="str">
        <f>IFERROR(VLOOKUP($A128,Devengado!$A$1:$AI$9038,28,FALSE),"")</f>
        <v/>
      </c>
      <c r="CQ128" s="419" t="str">
        <f>IFERROR(VLOOKUP($A128,Devengado!$A$1:$AI$9038,29,FALSE),"")</f>
        <v/>
      </c>
      <c r="CR128" s="419" t="str">
        <f>IFERROR(VLOOKUP($A128,Devengado!$A$1:$AI$9038,30,FALSE),"")</f>
        <v/>
      </c>
      <c r="CS128" s="419" t="str">
        <f>IFERROR(VLOOKUP($A128,Devengado!$A$1:$AI$9038,31,FALSE),"")</f>
        <v/>
      </c>
      <c r="CT128" s="419" t="str">
        <f>IFERROR(VLOOKUP($A128,Devengado!$A$1:$AI$9038,32,FALSE),"")</f>
        <v/>
      </c>
      <c r="CU128" s="419" t="str">
        <f>IFERROR(VLOOKUP($A128,Devengado!$A$1:$AI$9038,33,FALSE),"")</f>
        <v/>
      </c>
      <c r="CV128" s="419">
        <f t="shared" si="111"/>
        <v>0</v>
      </c>
      <c r="CW128" s="419" t="str">
        <f t="shared" si="112"/>
        <v/>
      </c>
      <c r="CX128" s="164"/>
      <c r="CY128" s="164" t="str">
        <f t="shared" si="113"/>
        <v>53</v>
      </c>
      <c r="CZ128" s="164"/>
    </row>
    <row r="129" spans="1:104" ht="33.75">
      <c r="A129" s="396">
        <v>956</v>
      </c>
      <c r="B129" s="396"/>
      <c r="C129" s="396"/>
      <c r="D129" s="396"/>
      <c r="E129" s="396"/>
      <c r="F129" s="396"/>
      <c r="G129" s="396"/>
      <c r="H129" s="396"/>
      <c r="I129" s="396"/>
      <c r="J129" s="396"/>
      <c r="K129" s="396" t="s">
        <v>429</v>
      </c>
      <c r="L129" s="396" t="s">
        <v>850</v>
      </c>
      <c r="M129" s="396" t="s">
        <v>850</v>
      </c>
      <c r="N129" s="396" t="s">
        <v>77</v>
      </c>
      <c r="O129" s="396" t="s">
        <v>77</v>
      </c>
      <c r="P129" s="396" t="s">
        <v>76</v>
      </c>
      <c r="Q129" s="396" t="s">
        <v>77</v>
      </c>
      <c r="R129" s="396" t="s">
        <v>77</v>
      </c>
      <c r="S129" s="396" t="s">
        <v>77</v>
      </c>
      <c r="T129" s="396" t="s">
        <v>77</v>
      </c>
      <c r="U129" s="396" t="s">
        <v>77</v>
      </c>
      <c r="V129" s="396" t="s">
        <v>77</v>
      </c>
      <c r="W129" s="396" t="s">
        <v>85</v>
      </c>
      <c r="X129" s="396" t="s">
        <v>1971</v>
      </c>
      <c r="Y129" s="482" t="s">
        <v>430</v>
      </c>
      <c r="Z129" s="482" t="s">
        <v>111</v>
      </c>
      <c r="AA129" s="482" t="s">
        <v>81</v>
      </c>
      <c r="AB129" s="482" t="s">
        <v>112</v>
      </c>
      <c r="AC129" s="396">
        <v>53</v>
      </c>
      <c r="AD129" s="413">
        <v>530402</v>
      </c>
      <c r="AE129" s="396" t="str">
        <f>VLOOKUP(AD129,ITEM!$C$1:$D$694,2,FALSE)</f>
        <v>Edificios, Locales, Residencias y Cableado Estructurado (Instalación, Mantenimiento y Reparación)</v>
      </c>
      <c r="AF129" s="396">
        <v>1308</v>
      </c>
      <c r="AG129" s="482" t="s">
        <v>82</v>
      </c>
      <c r="AH129" s="482" t="s">
        <v>84</v>
      </c>
      <c r="AI129" s="482" t="s">
        <v>84</v>
      </c>
      <c r="AJ129" s="482" t="s">
        <v>914</v>
      </c>
      <c r="AK129" s="482" t="s">
        <v>77</v>
      </c>
      <c r="AL129" s="410"/>
      <c r="AM129" s="410"/>
      <c r="AN129" s="410"/>
      <c r="AO129" s="412">
        <f>SUMIF(Reforma!$A$2:$A$8523,$A129,Reforma!$AB$2:$AB$8523)</f>
        <v>2500</v>
      </c>
      <c r="AP129" s="412">
        <f>SUMIF(Reforma!$A$2:$A$8523,$A129,Reforma!$AC$2:$AC$8523)</f>
        <v>-2500</v>
      </c>
      <c r="AQ129" s="412">
        <f>SUMIF(Reforma!$A$2:$A$8523,$A129,Reforma!$AD$2:$AD$8523)</f>
        <v>0</v>
      </c>
      <c r="AR129" s="412">
        <f>SUMIF(Reforma!$A$2:$A$8523,$A129,Reforma!$AE$2:$AE$8523)</f>
        <v>0</v>
      </c>
      <c r="AS129" s="410">
        <f t="shared" si="101"/>
        <v>0</v>
      </c>
      <c r="AT129" s="410">
        <f t="shared" si="102"/>
        <v>0</v>
      </c>
      <c r="AU129" s="410">
        <f t="shared" si="103"/>
        <v>0</v>
      </c>
      <c r="AV129" s="410"/>
      <c r="AW129" s="410"/>
      <c r="AX129" s="410"/>
      <c r="AY129" s="410"/>
      <c r="AZ129" s="410"/>
      <c r="BA129" s="410"/>
      <c r="BB129" s="410"/>
      <c r="BC129" s="410"/>
      <c r="BD129" s="410"/>
      <c r="BE129" s="410"/>
      <c r="BF129" s="410"/>
      <c r="BG129" s="410"/>
      <c r="BH129" s="411">
        <f t="shared" si="104"/>
        <v>0</v>
      </c>
      <c r="BI129" s="411">
        <f t="shared" si="105"/>
        <v>0</v>
      </c>
      <c r="BJ129" s="411">
        <f t="shared" si="106"/>
        <v>0</v>
      </c>
      <c r="BK129" s="410"/>
      <c r="BL129" s="412"/>
      <c r="BM129" s="412"/>
      <c r="BN129" s="412" t="str">
        <f>IFERROR(VLOOKUP($A129,'Constancias POA'!$A$2:$DH$9993,18,FALSE),"")</f>
        <v/>
      </c>
      <c r="BO129" s="412" t="str">
        <f t="shared" si="107"/>
        <v/>
      </c>
      <c r="BP129" s="412" t="str">
        <f>IFERROR(VLOOKUP($A129,CP!$A$1:$U$7992,18,FALSE),"")</f>
        <v/>
      </c>
      <c r="BQ129" s="412" t="str">
        <f>IFERROR(VLOOKUP($A129,CP!$A$1:$U$7992,19,FALSE),"")</f>
        <v/>
      </c>
      <c r="BR129" s="412" t="str">
        <f>IFERROR(VLOOKUP($A129,CP!$A$1:$U$7992,20,FALSE),"")</f>
        <v/>
      </c>
      <c r="BS129" s="412" t="str">
        <f>IFERROR(VLOOKUP($A129,CP!$A$1:$U$1,21,FALSE),"")</f>
        <v/>
      </c>
      <c r="BT129" s="412" t="str">
        <f>IFERROR(VLOOKUP(A129,Devengado!$A$1:AJ$9310,35,FALSE),"")</f>
        <v/>
      </c>
      <c r="BU129" s="272" t="str">
        <f t="shared" si="108"/>
        <v/>
      </c>
      <c r="BV129" s="412" t="str">
        <f t="shared" si="109"/>
        <v/>
      </c>
      <c r="BW129" s="412">
        <f t="shared" si="110"/>
        <v>0</v>
      </c>
      <c r="BX129" s="410"/>
      <c r="BY129" s="410"/>
      <c r="BZ129" s="410"/>
      <c r="CA129" s="410"/>
      <c r="CB129" s="410"/>
      <c r="CC129" s="410"/>
      <c r="CD129" s="410"/>
      <c r="CE129" s="410"/>
      <c r="CF129" s="410"/>
      <c r="CG129" s="410"/>
      <c r="CH129" s="410"/>
      <c r="CI129" s="410"/>
      <c r="CJ129" s="412" t="str">
        <f>IFERROR(VLOOKUP($A129,Devengado!$A$1:$AI$9038,22,FALSE),"")</f>
        <v/>
      </c>
      <c r="CK129" s="412" t="str">
        <f>IFERROR(VLOOKUP($A129,Devengado!$A$1:$AI$9038,23,FALSE),"")</f>
        <v/>
      </c>
      <c r="CL129" s="412" t="str">
        <f>IFERROR(VLOOKUP($A129,Devengado!$A$1:$AI$9038,24,FALSE),"")</f>
        <v/>
      </c>
      <c r="CM129" s="412" t="str">
        <f>IFERROR(VLOOKUP($A129,Devengado!$A$1:$AI$9038,25,FALSE),"")</f>
        <v/>
      </c>
      <c r="CN129" s="412" t="str">
        <f>IFERROR(VLOOKUP($A129,Devengado!$A$1:$AI$9038,26,FALSE),"")</f>
        <v/>
      </c>
      <c r="CO129" s="412" t="str">
        <f>IFERROR(VLOOKUP($A129,Devengado!$A$1:$AI$9038,27,FALSE),"")</f>
        <v/>
      </c>
      <c r="CP129" s="412" t="str">
        <f>IFERROR(VLOOKUP($A129,Devengado!$A$1:$AI$9038,28,FALSE),"")</f>
        <v/>
      </c>
      <c r="CQ129" s="412" t="str">
        <f>IFERROR(VLOOKUP($A129,Devengado!$A$1:$AI$9038,29,FALSE),"")</f>
        <v/>
      </c>
      <c r="CR129" s="412" t="str">
        <f>IFERROR(VLOOKUP($A129,Devengado!$A$1:$AI$9038,30,FALSE),"")</f>
        <v/>
      </c>
      <c r="CS129" s="412" t="str">
        <f>IFERROR(VLOOKUP($A129,Devengado!$A$1:$AI$9038,31,FALSE),"")</f>
        <v/>
      </c>
      <c r="CT129" s="412" t="str">
        <f>IFERROR(VLOOKUP($A129,Devengado!$A$1:$AI$9038,32,FALSE),"")</f>
        <v/>
      </c>
      <c r="CU129" s="412" t="str">
        <f>IFERROR(VLOOKUP($A129,Devengado!$A$1:$AI$9038,33,FALSE),"")</f>
        <v/>
      </c>
      <c r="CV129" s="412">
        <f t="shared" si="111"/>
        <v>0</v>
      </c>
      <c r="CW129" s="412" t="str">
        <f t="shared" si="112"/>
        <v/>
      </c>
      <c r="CX129" s="396"/>
      <c r="CY129" s="396" t="str">
        <f t="shared" si="113"/>
        <v>53</v>
      </c>
      <c r="CZ129" s="396"/>
    </row>
    <row r="130" spans="1:104" ht="33.75">
      <c r="A130" s="396">
        <v>957</v>
      </c>
      <c r="B130" s="396"/>
      <c r="C130" s="396"/>
      <c r="D130" s="396"/>
      <c r="E130" s="396"/>
      <c r="F130" s="396"/>
      <c r="G130" s="396"/>
      <c r="H130" s="396"/>
      <c r="I130" s="396"/>
      <c r="J130" s="396"/>
      <c r="K130" s="396" t="s">
        <v>429</v>
      </c>
      <c r="L130" s="396" t="s">
        <v>850</v>
      </c>
      <c r="M130" s="396" t="s">
        <v>850</v>
      </c>
      <c r="N130" s="396" t="s">
        <v>77</v>
      </c>
      <c r="O130" s="396" t="s">
        <v>77</v>
      </c>
      <c r="P130" s="396" t="s">
        <v>76</v>
      </c>
      <c r="Q130" s="396" t="s">
        <v>77</v>
      </c>
      <c r="R130" s="396" t="s">
        <v>77</v>
      </c>
      <c r="S130" s="396" t="s">
        <v>77</v>
      </c>
      <c r="T130" s="396" t="s">
        <v>77</v>
      </c>
      <c r="U130" s="413" t="s">
        <v>77</v>
      </c>
      <c r="V130" s="396" t="s">
        <v>77</v>
      </c>
      <c r="W130" s="396" t="s">
        <v>85</v>
      </c>
      <c r="X130" s="396" t="s">
        <v>1972</v>
      </c>
      <c r="Y130" s="482" t="s">
        <v>430</v>
      </c>
      <c r="Z130" s="482" t="s">
        <v>111</v>
      </c>
      <c r="AA130" s="482" t="s">
        <v>81</v>
      </c>
      <c r="AB130" s="482" t="s">
        <v>112</v>
      </c>
      <c r="AC130" s="396">
        <v>53</v>
      </c>
      <c r="AD130" s="413">
        <v>530402</v>
      </c>
      <c r="AE130" s="396" t="str">
        <f>VLOOKUP(AD130,ITEM!$C$1:$D$694,2,FALSE)</f>
        <v>Edificios, Locales, Residencias y Cableado Estructurado (Instalación, Mantenimiento y Reparación)</v>
      </c>
      <c r="AF130" s="396">
        <v>1308</v>
      </c>
      <c r="AG130" s="482" t="s">
        <v>82</v>
      </c>
      <c r="AH130" s="482" t="s">
        <v>84</v>
      </c>
      <c r="AI130" s="482" t="s">
        <v>84</v>
      </c>
      <c r="AJ130" s="482" t="s">
        <v>914</v>
      </c>
      <c r="AK130" s="482" t="s">
        <v>77</v>
      </c>
      <c r="AL130" s="410"/>
      <c r="AM130" s="410"/>
      <c r="AN130" s="410"/>
      <c r="AO130" s="412">
        <f>SUMIF(Reforma!$A$2:$A$8523,$A130,Reforma!$AB$2:$AB$8523)</f>
        <v>12500</v>
      </c>
      <c r="AP130" s="412">
        <f>SUMIF(Reforma!$A$2:$A$8523,$A130,Reforma!$AC$2:$AC$8523)</f>
        <v>7613.2500000000009</v>
      </c>
      <c r="AQ130" s="412">
        <f>SUMIF(Reforma!$A$2:$A$8523,$A130,Reforma!$AD$2:$AD$8523)</f>
        <v>0</v>
      </c>
      <c r="AR130" s="412">
        <f>SUMIF(Reforma!$A$2:$A$8523,$A130,Reforma!$AE$2:$AE$8523)</f>
        <v>0</v>
      </c>
      <c r="AS130" s="410">
        <f t="shared" si="101"/>
        <v>20113.25</v>
      </c>
      <c r="AT130" s="410">
        <f t="shared" si="102"/>
        <v>0</v>
      </c>
      <c r="AU130" s="410">
        <f t="shared" si="103"/>
        <v>20113.25</v>
      </c>
      <c r="AV130" s="410"/>
      <c r="AW130" s="410"/>
      <c r="AX130" s="410"/>
      <c r="AY130" s="410"/>
      <c r="AZ130" s="410"/>
      <c r="BA130" s="410"/>
      <c r="BB130" s="410"/>
      <c r="BC130" s="410"/>
      <c r="BD130" s="410"/>
      <c r="BE130" s="410"/>
      <c r="BF130" s="410">
        <v>20113.25</v>
      </c>
      <c r="BG130" s="410"/>
      <c r="BH130" s="411">
        <f t="shared" si="104"/>
        <v>0</v>
      </c>
      <c r="BI130" s="411">
        <f t="shared" si="105"/>
        <v>20113.25</v>
      </c>
      <c r="BJ130" s="411">
        <f t="shared" si="106"/>
        <v>0</v>
      </c>
      <c r="BK130" s="410"/>
      <c r="BL130" s="412"/>
      <c r="BM130" s="412"/>
      <c r="BN130" s="412" t="str">
        <f>IFERROR(VLOOKUP($A130,'Constancias POA'!$A$2:$DH$9993,18,FALSE),"")</f>
        <v/>
      </c>
      <c r="BO130" s="412" t="str">
        <f t="shared" si="107"/>
        <v/>
      </c>
      <c r="BP130" s="412">
        <f>IFERROR(VLOOKUP($A130,CP!$A$1:$U$7992,18,FALSE),"")</f>
        <v>20113.25</v>
      </c>
      <c r="BQ130" s="412">
        <f>IFERROR(VLOOKUP($A130,CP!$A$1:$U$7992,19,FALSE),"")</f>
        <v>19107.580000000002</v>
      </c>
      <c r="BR130" s="412">
        <f>IFERROR(VLOOKUP($A130,CP!$A$1:$U$7992,20,FALSE),"")</f>
        <v>0</v>
      </c>
      <c r="BS130" s="412" t="str">
        <f>IFERROR(VLOOKUP($A130,CP!$A$1:$U$1,21,FALSE),"")</f>
        <v/>
      </c>
      <c r="BT130" s="412">
        <f>IFERROR(VLOOKUP(A130,Devengado!$A$1:AJ$9310,35,FALSE),"")</f>
        <v>19107.580000000002</v>
      </c>
      <c r="BU130" s="410">
        <f t="shared" si="108"/>
        <v>1005.6699999999983</v>
      </c>
      <c r="BV130" s="412">
        <f t="shared" si="109"/>
        <v>0.94999962711148134</v>
      </c>
      <c r="BW130" s="412">
        <f t="shared" si="110"/>
        <v>20113.25</v>
      </c>
      <c r="BX130" s="410"/>
      <c r="BY130" s="410"/>
      <c r="BZ130" s="410">
        <v>0</v>
      </c>
      <c r="CA130" s="410"/>
      <c r="CB130" s="410"/>
      <c r="CC130" s="410"/>
      <c r="CD130" s="410"/>
      <c r="CE130" s="410"/>
      <c r="CF130" s="410"/>
      <c r="CG130" s="410"/>
      <c r="CH130" s="410"/>
      <c r="CI130" s="410"/>
      <c r="CJ130" s="412">
        <f>IFERROR(VLOOKUP($A130,Devengado!$A$1:$AI$9038,22,FALSE),"")</f>
        <v>0</v>
      </c>
      <c r="CK130" s="412">
        <f>IFERROR(VLOOKUP($A130,Devengado!$A$1:$AI$9038,23,FALSE),"")</f>
        <v>0</v>
      </c>
      <c r="CL130" s="412">
        <f>IFERROR(VLOOKUP($A130,Devengado!$A$1:$AI$9038,24,FALSE),"")</f>
        <v>0</v>
      </c>
      <c r="CM130" s="412">
        <f>IFERROR(VLOOKUP($A130,Devengado!$A$1:$AI$9038,25,FALSE),"")</f>
        <v>0</v>
      </c>
      <c r="CN130" s="412">
        <f>IFERROR(VLOOKUP($A130,Devengado!$A$1:$AI$9038,26,FALSE),"")</f>
        <v>0</v>
      </c>
      <c r="CO130" s="412">
        <f>IFERROR(VLOOKUP($A130,Devengado!$A$1:$AI$9038,27,FALSE),"")</f>
        <v>0</v>
      </c>
      <c r="CP130" s="412">
        <f>IFERROR(VLOOKUP($A130,Devengado!$A$1:$AI$9038,28,FALSE),"")</f>
        <v>0</v>
      </c>
      <c r="CQ130" s="412">
        <f>IFERROR(VLOOKUP($A130,Devengado!$A$1:$AI$9038,29,FALSE),"")</f>
        <v>0</v>
      </c>
      <c r="CR130" s="412">
        <f>IFERROR(VLOOKUP($A130,Devengado!$A$1:$AI$9038,30,FALSE),"")</f>
        <v>0</v>
      </c>
      <c r="CS130" s="412">
        <f>IFERROR(VLOOKUP($A130,Devengado!$A$1:$AI$9038,31,FALSE),"")</f>
        <v>0</v>
      </c>
      <c r="CT130" s="412">
        <f>IFERROR(VLOOKUP($A130,Devengado!$A$1:$AI$9038,32,FALSE),"")</f>
        <v>0</v>
      </c>
      <c r="CU130" s="412">
        <f>IFERROR(VLOOKUP($A130,Devengado!$A$1:$AI$9038,33,FALSE),"")</f>
        <v>19107.580000000002</v>
      </c>
      <c r="CV130" s="412">
        <f t="shared" si="111"/>
        <v>19107.580000000002</v>
      </c>
      <c r="CW130" s="412">
        <f t="shared" si="112"/>
        <v>0</v>
      </c>
      <c r="CX130" s="396"/>
      <c r="CY130" s="396" t="str">
        <f t="shared" si="113"/>
        <v>53</v>
      </c>
      <c r="CZ130" s="396"/>
    </row>
    <row r="131" spans="1:104" ht="56.25">
      <c r="A131" s="396">
        <v>958</v>
      </c>
      <c r="B131" s="396"/>
      <c r="C131" s="396"/>
      <c r="D131" s="396"/>
      <c r="E131" s="396"/>
      <c r="F131" s="396"/>
      <c r="G131" s="396"/>
      <c r="H131" s="396"/>
      <c r="I131" s="396"/>
      <c r="J131" s="396"/>
      <c r="K131" s="396" t="s">
        <v>429</v>
      </c>
      <c r="L131" s="396" t="s">
        <v>850</v>
      </c>
      <c r="M131" s="396" t="s">
        <v>850</v>
      </c>
      <c r="N131" s="396" t="s">
        <v>77</v>
      </c>
      <c r="O131" s="396" t="s">
        <v>77</v>
      </c>
      <c r="P131" s="396" t="s">
        <v>76</v>
      </c>
      <c r="Q131" s="396" t="s">
        <v>77</v>
      </c>
      <c r="R131" s="396" t="s">
        <v>77</v>
      </c>
      <c r="S131" s="396" t="s">
        <v>77</v>
      </c>
      <c r="T131" s="396" t="s">
        <v>77</v>
      </c>
      <c r="U131" s="413" t="s">
        <v>77</v>
      </c>
      <c r="V131" s="396" t="s">
        <v>77</v>
      </c>
      <c r="W131" s="396" t="s">
        <v>85</v>
      </c>
      <c r="X131" s="396" t="s">
        <v>1973</v>
      </c>
      <c r="Y131" s="482" t="s">
        <v>430</v>
      </c>
      <c r="Z131" s="482" t="s">
        <v>111</v>
      </c>
      <c r="AA131" s="482" t="s">
        <v>81</v>
      </c>
      <c r="AB131" s="482" t="s">
        <v>112</v>
      </c>
      <c r="AC131" s="396">
        <v>53</v>
      </c>
      <c r="AD131" s="413">
        <v>530402</v>
      </c>
      <c r="AE131" s="396" t="str">
        <f>VLOOKUP(AD131,ITEM!$C$1:$D$694,2,FALSE)</f>
        <v>Edificios, Locales, Residencias y Cableado Estructurado (Instalación, Mantenimiento y Reparación)</v>
      </c>
      <c r="AF131" s="396">
        <v>1309</v>
      </c>
      <c r="AG131" s="482" t="s">
        <v>82</v>
      </c>
      <c r="AH131" s="482" t="s">
        <v>84</v>
      </c>
      <c r="AI131" s="482" t="s">
        <v>84</v>
      </c>
      <c r="AJ131" s="482" t="s">
        <v>914</v>
      </c>
      <c r="AK131" s="482" t="s">
        <v>77</v>
      </c>
      <c r="AL131" s="410"/>
      <c r="AM131" s="410"/>
      <c r="AN131" s="410"/>
      <c r="AO131" s="412">
        <f>SUMIF(Reforma!$A$2:$A$8523,$A131,Reforma!$AB$2:$AB$8523)</f>
        <v>15000</v>
      </c>
      <c r="AP131" s="412">
        <f>SUMIF(Reforma!$A$2:$A$8523,$A131,Reforma!$AC$2:$AC$8523)</f>
        <v>-15000</v>
      </c>
      <c r="AQ131" s="412">
        <f>SUMIF(Reforma!$A$2:$A$8523,$A131,Reforma!$AD$2:$AD$8523)</f>
        <v>0</v>
      </c>
      <c r="AR131" s="412">
        <f>SUMIF(Reforma!$A$2:$A$8523,$A131,Reforma!$AE$2:$AE$8523)</f>
        <v>0</v>
      </c>
      <c r="AS131" s="410">
        <f>+AL131+AO131+AP131</f>
        <v>0</v>
      </c>
      <c r="AT131" s="410">
        <f t="shared" si="102"/>
        <v>0</v>
      </c>
      <c r="AU131" s="410">
        <f t="shared" si="103"/>
        <v>0</v>
      </c>
      <c r="AV131" s="410"/>
      <c r="AW131" s="410"/>
      <c r="AX131" s="410"/>
      <c r="AY131" s="410"/>
      <c r="AZ131" s="410"/>
      <c r="BA131" s="410"/>
      <c r="BB131" s="410"/>
      <c r="BC131" s="410"/>
      <c r="BD131" s="410"/>
      <c r="BE131" s="410"/>
      <c r="BF131" s="410"/>
      <c r="BG131" s="410"/>
      <c r="BH131" s="411">
        <f t="shared" si="104"/>
        <v>0</v>
      </c>
      <c r="BI131" s="411">
        <f t="shared" si="105"/>
        <v>0</v>
      </c>
      <c r="BJ131" s="411">
        <f t="shared" si="106"/>
        <v>0</v>
      </c>
      <c r="BK131" s="410"/>
      <c r="BL131" s="410"/>
      <c r="BM131" s="412"/>
      <c r="BN131" s="412" t="str">
        <f>IFERROR(VLOOKUP($A131,'Constancias POA'!$A$2:$DH$9993,18,FALSE),"")</f>
        <v/>
      </c>
      <c r="BO131" s="412" t="str">
        <f t="shared" si="107"/>
        <v/>
      </c>
      <c r="BP131" s="412" t="str">
        <f>IFERROR(VLOOKUP($A131,CP!$A$1:$U$7992,18,FALSE),"")</f>
        <v/>
      </c>
      <c r="BQ131" s="412" t="str">
        <f>IFERROR(VLOOKUP($A131,CP!$A$1:$U$7992,19,FALSE),"")</f>
        <v/>
      </c>
      <c r="BR131" s="412" t="str">
        <f>IFERROR(VLOOKUP($A131,CP!$A$1:$U$7992,20,FALSE),"")</f>
        <v/>
      </c>
      <c r="BS131" s="412" t="str">
        <f>IFERROR(VLOOKUP($A131,CP!$A$1:$U$1,21,FALSE),"")</f>
        <v/>
      </c>
      <c r="BT131" s="412" t="str">
        <f>IFERROR(VLOOKUP(A131,Devengado!$A$1:AJ$9310,35,FALSE),"")</f>
        <v/>
      </c>
      <c r="BU131" s="410" t="str">
        <f t="shared" si="108"/>
        <v/>
      </c>
      <c r="BV131" s="412" t="str">
        <f t="shared" si="109"/>
        <v/>
      </c>
      <c r="BW131" s="412">
        <f t="shared" si="110"/>
        <v>0</v>
      </c>
      <c r="BX131" s="410"/>
      <c r="BY131" s="410"/>
      <c r="BZ131" s="410"/>
      <c r="CA131" s="410"/>
      <c r="CB131" s="410"/>
      <c r="CC131" s="412"/>
      <c r="CD131" s="412"/>
      <c r="CE131" s="412"/>
      <c r="CF131" s="412"/>
      <c r="CG131" s="412"/>
      <c r="CH131" s="412"/>
      <c r="CI131" s="412"/>
      <c r="CJ131" s="412" t="str">
        <f>IFERROR(VLOOKUP($A131,Devengado!$A$1:$AI$9038,22,FALSE),"")</f>
        <v/>
      </c>
      <c r="CK131" s="412" t="str">
        <f>IFERROR(VLOOKUP($A131,Devengado!$A$1:$AI$9038,23,FALSE),"")</f>
        <v/>
      </c>
      <c r="CL131" s="412" t="str">
        <f>IFERROR(VLOOKUP($A131,Devengado!$A$1:$AI$9038,24,FALSE),"")</f>
        <v/>
      </c>
      <c r="CM131" s="412" t="str">
        <f>IFERROR(VLOOKUP($A131,Devengado!$A$1:$AI$9038,25,FALSE),"")</f>
        <v/>
      </c>
      <c r="CN131" s="412" t="str">
        <f>IFERROR(VLOOKUP($A131,Devengado!$A$1:$AI$9038,26,FALSE),"")</f>
        <v/>
      </c>
      <c r="CO131" s="412" t="str">
        <f>IFERROR(VLOOKUP($A131,Devengado!$A$1:$AI$9038,27,FALSE),"")</f>
        <v/>
      </c>
      <c r="CP131" s="412" t="str">
        <f>IFERROR(VLOOKUP($A131,Devengado!$A$1:$AI$9038,28,FALSE),"")</f>
        <v/>
      </c>
      <c r="CQ131" s="412" t="str">
        <f>IFERROR(VLOOKUP($A131,Devengado!$A$1:$AI$9038,29,FALSE),"")</f>
        <v/>
      </c>
      <c r="CR131" s="412" t="str">
        <f>IFERROR(VLOOKUP($A131,Devengado!$A$1:$AI$9038,30,FALSE),"")</f>
        <v/>
      </c>
      <c r="CS131" s="412" t="str">
        <f>IFERROR(VLOOKUP($A131,Devengado!$A$1:$AI$9038,31,FALSE),"")</f>
        <v/>
      </c>
      <c r="CT131" s="412" t="str">
        <f>IFERROR(VLOOKUP($A131,Devengado!$A$1:$AI$9038,32,FALSE),"")</f>
        <v/>
      </c>
      <c r="CU131" s="412" t="str">
        <f>IFERROR(VLOOKUP($A131,Devengado!$A$1:$AI$9038,33,FALSE),"")</f>
        <v/>
      </c>
      <c r="CV131" s="412">
        <f t="shared" si="111"/>
        <v>0</v>
      </c>
      <c r="CW131" s="412" t="str">
        <f t="shared" si="112"/>
        <v/>
      </c>
      <c r="CX131" s="396"/>
      <c r="CY131" s="396" t="str">
        <f t="shared" si="113"/>
        <v>53</v>
      </c>
      <c r="CZ131" s="396"/>
    </row>
    <row r="132" spans="1:104" ht="25.5" customHeight="1">
      <c r="A132" s="396">
        <v>1001</v>
      </c>
      <c r="B132" s="396"/>
      <c r="C132" s="396"/>
      <c r="D132" s="396"/>
      <c r="E132" s="396"/>
      <c r="F132" s="396"/>
      <c r="G132" s="451"/>
      <c r="H132" s="451"/>
      <c r="I132" s="451"/>
      <c r="J132" s="451"/>
      <c r="K132" s="396" t="s">
        <v>429</v>
      </c>
      <c r="L132" s="413" t="s">
        <v>850</v>
      </c>
      <c r="M132" s="396" t="s">
        <v>850</v>
      </c>
      <c r="N132" s="396" t="s">
        <v>77</v>
      </c>
      <c r="O132" s="396" t="s">
        <v>77</v>
      </c>
      <c r="P132" s="396" t="s">
        <v>76</v>
      </c>
      <c r="Q132" s="396"/>
      <c r="R132" s="396" t="s">
        <v>77</v>
      </c>
      <c r="S132" s="396" t="s">
        <v>77</v>
      </c>
      <c r="T132" s="396" t="s">
        <v>77</v>
      </c>
      <c r="U132" s="413" t="s">
        <v>77</v>
      </c>
      <c r="V132" s="396" t="s">
        <v>77</v>
      </c>
      <c r="W132" s="410" t="s">
        <v>85</v>
      </c>
      <c r="X132" s="410" t="s">
        <v>1999</v>
      </c>
      <c r="Y132" s="482" t="s">
        <v>430</v>
      </c>
      <c r="Z132" s="482" t="s">
        <v>111</v>
      </c>
      <c r="AA132" s="482" t="s">
        <v>81</v>
      </c>
      <c r="AB132" s="482" t="s">
        <v>112</v>
      </c>
      <c r="AC132" s="396">
        <v>51</v>
      </c>
      <c r="AD132" s="413">
        <v>510509</v>
      </c>
      <c r="AE132" s="410" t="str">
        <f>VLOOKUP(AD132,ITEM!$C$1:$D$694,2,FALSE)</f>
        <v>Horas Extraordinarias y Suplementarias</v>
      </c>
      <c r="AF132" s="396">
        <v>1309</v>
      </c>
      <c r="AG132" s="482" t="s">
        <v>82</v>
      </c>
      <c r="AH132" s="482" t="s">
        <v>84</v>
      </c>
      <c r="AI132" s="482" t="s">
        <v>84</v>
      </c>
      <c r="AJ132" s="482" t="s">
        <v>914</v>
      </c>
      <c r="AK132" s="482" t="s">
        <v>77</v>
      </c>
      <c r="AL132" s="410"/>
      <c r="AM132" s="410"/>
      <c r="AN132" s="410"/>
      <c r="AO132" s="412">
        <f>SUMIF(Reforma!$A$2:$A$8523,$A132,Reforma!$AB$2:$AB$8523)</f>
        <v>1000</v>
      </c>
      <c r="AP132" s="412">
        <f>SUMIF(Reforma!$A$2:$A$8523,$A132,Reforma!$AC$2:$AC$8523)</f>
        <v>0</v>
      </c>
      <c r="AQ132" s="412">
        <f>SUMIF(Reforma!$A$2:$A$8523,$A132,Reforma!$AD$2:$AD$8523)</f>
        <v>0</v>
      </c>
      <c r="AR132" s="412">
        <f>SUMIF(Reforma!$A$2:$A$8523,$A132,Reforma!$AE$2:$AE$8523)</f>
        <v>0</v>
      </c>
      <c r="AS132" s="410">
        <f>+AL132+AO132+AP132</f>
        <v>1000</v>
      </c>
      <c r="AT132" s="410">
        <f t="shared" si="102"/>
        <v>0</v>
      </c>
      <c r="AU132" s="410">
        <f t="shared" si="103"/>
        <v>1000</v>
      </c>
      <c r="AV132" s="410"/>
      <c r="AW132" s="410"/>
      <c r="AX132" s="410"/>
      <c r="AY132" s="410"/>
      <c r="AZ132" s="410"/>
      <c r="BA132" s="410"/>
      <c r="BB132" s="410"/>
      <c r="BC132" s="410"/>
      <c r="BD132" s="502">
        <v>100</v>
      </c>
      <c r="BE132" s="502">
        <v>300</v>
      </c>
      <c r="BF132" s="502">
        <v>300</v>
      </c>
      <c r="BG132" s="502">
        <v>300</v>
      </c>
      <c r="BH132" s="420">
        <f t="shared" si="104"/>
        <v>0</v>
      </c>
      <c r="BI132" s="420">
        <f t="shared" si="105"/>
        <v>1000</v>
      </c>
      <c r="BJ132" s="420">
        <f t="shared" si="106"/>
        <v>0</v>
      </c>
      <c r="BK132" s="410"/>
      <c r="BL132" s="410"/>
      <c r="BM132" s="410"/>
      <c r="BN132" s="410" t="str">
        <f>IFERROR(VLOOKUP($A132,'Constancias POA'!$A$2:$DH$9993,18,FALSE),"")</f>
        <v/>
      </c>
      <c r="BO132" s="410" t="str">
        <f t="shared" si="107"/>
        <v/>
      </c>
      <c r="BP132" s="410">
        <f>IFERROR(VLOOKUP($A132,CP!$A$1:$U$7992,18,FALSE),"")</f>
        <v>0</v>
      </c>
      <c r="BQ132" s="410">
        <f>IFERROR(VLOOKUP($A132,CP!$A$1:$U$7992,19,FALSE),"")</f>
        <v>70.05</v>
      </c>
      <c r="BR132" s="410">
        <f>IFERROR(VLOOKUP($A132,CP!$A$1:$U$7992,20,FALSE),"")</f>
        <v>0</v>
      </c>
      <c r="BS132" s="412" t="str">
        <f>IFERROR(VLOOKUP($A132,CP!$A$1:$U$1,21,FALSE),"")</f>
        <v/>
      </c>
      <c r="BT132" s="410">
        <f>IFERROR(VLOOKUP(A132,Devengado!$A$1:AJ$9310,35,FALSE),"")</f>
        <v>70.05</v>
      </c>
      <c r="BU132" s="410">
        <f t="shared" si="108"/>
        <v>929.95</v>
      </c>
      <c r="BV132" s="410" t="str">
        <f t="shared" si="109"/>
        <v/>
      </c>
      <c r="BW132" s="410">
        <f>IFERROR(VLOOKUP($A132,Devengado!$A$1:$AI$9038,27,FALSE),"")</f>
        <v>0</v>
      </c>
      <c r="BX132" s="410"/>
      <c r="BY132" s="410"/>
      <c r="BZ132" s="410"/>
      <c r="CA132" s="410"/>
      <c r="CB132" s="410"/>
      <c r="CC132" s="419"/>
      <c r="CD132" s="419"/>
      <c r="CE132" s="419"/>
      <c r="CF132" s="419"/>
      <c r="CG132" s="419"/>
      <c r="CH132" s="419"/>
      <c r="CI132" s="419"/>
      <c r="CJ132" s="419">
        <f>IFERROR(VLOOKUP($A132,Devengado!$A$1:$AI$9038,22,FALSE),"")</f>
        <v>0</v>
      </c>
      <c r="CK132" s="419">
        <f>IFERROR(VLOOKUP($A132,Devengado!$A$1:$AI$9038,23,FALSE),"")</f>
        <v>0</v>
      </c>
      <c r="CL132" s="419">
        <f>IFERROR(VLOOKUP($A132,Devengado!$A$1:$AI$9038,24,FALSE),"")</f>
        <v>0</v>
      </c>
      <c r="CM132" s="419">
        <f>IFERROR(VLOOKUP($A132,Devengado!$A$1:$AI$9038,25,FALSE),"")</f>
        <v>0</v>
      </c>
      <c r="CN132" s="419">
        <f>IFERROR(VLOOKUP($A132,Devengado!$A$1:$AI$9038,26,FALSE),"")</f>
        <v>0</v>
      </c>
      <c r="CO132" s="419">
        <f>IFERROR(VLOOKUP($A132,Devengado!$A$1:$AI$9038,27,FALSE),"")</f>
        <v>0</v>
      </c>
      <c r="CP132" s="419">
        <f>IFERROR(VLOOKUP($A132,Devengado!$A$1:$AI$9038,28,FALSE),"")</f>
        <v>0</v>
      </c>
      <c r="CQ132" s="419">
        <f>IFERROR(VLOOKUP($A132,Devengado!$A$1:$AI$9038,29,FALSE),"")</f>
        <v>0</v>
      </c>
      <c r="CR132" s="419">
        <f>IFERROR(VLOOKUP($A132,Devengado!$A$1:$AI$9038,30,FALSE),"")</f>
        <v>0</v>
      </c>
      <c r="CS132" s="419">
        <f>IFERROR(VLOOKUP($A132,Devengado!$A$1:$AI$9038,31,FALSE),"")</f>
        <v>0</v>
      </c>
      <c r="CT132" s="419">
        <f>IFERROR(VLOOKUP($A132,Devengado!$A$1:$AI$9038,32,FALSE),"")</f>
        <v>0</v>
      </c>
      <c r="CU132" s="419">
        <f>IFERROR(VLOOKUP($A132,Devengado!$A$1:$AI$9038,33,FALSE),"")</f>
        <v>70.05</v>
      </c>
      <c r="CV132" s="419">
        <f t="shared" si="111"/>
        <v>70.05</v>
      </c>
      <c r="CW132" s="419">
        <f t="shared" si="112"/>
        <v>0</v>
      </c>
      <c r="CX132" s="164"/>
      <c r="CY132" s="164" t="str">
        <f t="shared" si="113"/>
        <v>51</v>
      </c>
      <c r="CZ132" s="164"/>
    </row>
    <row r="133" spans="1:104" ht="25.5" customHeight="1">
      <c r="A133" s="396">
        <v>1076</v>
      </c>
      <c r="B133" s="396"/>
      <c r="C133" s="396"/>
      <c r="D133" s="396"/>
      <c r="E133" s="396"/>
      <c r="F133" s="396"/>
      <c r="G133" s="451"/>
      <c r="H133" s="451"/>
      <c r="I133" s="451"/>
      <c r="J133" s="451"/>
      <c r="K133" s="396" t="s">
        <v>429</v>
      </c>
      <c r="L133" s="413" t="s">
        <v>850</v>
      </c>
      <c r="M133" s="396" t="s">
        <v>850</v>
      </c>
      <c r="N133" s="396" t="s">
        <v>77</v>
      </c>
      <c r="O133" s="396" t="s">
        <v>77</v>
      </c>
      <c r="P133" s="396" t="s">
        <v>76</v>
      </c>
      <c r="Q133" s="396"/>
      <c r="R133" s="396" t="s">
        <v>77</v>
      </c>
      <c r="S133" s="396" t="s">
        <v>77</v>
      </c>
      <c r="T133" s="396" t="s">
        <v>77</v>
      </c>
      <c r="U133" s="413" t="s">
        <v>77</v>
      </c>
      <c r="V133" s="396" t="s">
        <v>77</v>
      </c>
      <c r="W133" s="410" t="s">
        <v>85</v>
      </c>
      <c r="X133" s="396" t="s">
        <v>2010</v>
      </c>
      <c r="Y133" s="482" t="s">
        <v>430</v>
      </c>
      <c r="Z133" s="482" t="s">
        <v>111</v>
      </c>
      <c r="AA133" s="482" t="s">
        <v>81</v>
      </c>
      <c r="AB133" s="482" t="s">
        <v>112</v>
      </c>
      <c r="AC133" s="396">
        <v>53</v>
      </c>
      <c r="AD133" s="413">
        <v>530210</v>
      </c>
      <c r="AE133" s="410" t="str">
        <f>VLOOKUP(AD133,ITEM!$C$1:$D$694,2,FALSE)</f>
        <v>Servicio de Guardería</v>
      </c>
      <c r="AF133" s="396">
        <v>1309</v>
      </c>
      <c r="AG133" s="482" t="s">
        <v>82</v>
      </c>
      <c r="AH133" s="482" t="s">
        <v>84</v>
      </c>
      <c r="AI133" s="482" t="s">
        <v>84</v>
      </c>
      <c r="AJ133" s="482" t="s">
        <v>914</v>
      </c>
      <c r="AK133" s="482" t="s">
        <v>77</v>
      </c>
      <c r="AL133" s="410"/>
      <c r="AM133" s="410"/>
      <c r="AN133" s="410"/>
      <c r="AO133" s="412">
        <f>SUMIF(Reforma!$A$2:$A$8523,$A133,Reforma!$AB$2:$AB$8523)</f>
        <v>1860</v>
      </c>
      <c r="AP133" s="412">
        <f>SUMIF(Reforma!$A$2:$A$8523,$A133,Reforma!$AC$2:$AC$8523)</f>
        <v>0</v>
      </c>
      <c r="AQ133" s="412">
        <f>SUMIF(Reforma!$A$2:$A$8523,$A133,Reforma!$AD$2:$AD$8523)</f>
        <v>0</v>
      </c>
      <c r="AR133" s="412">
        <f>SUMIF(Reforma!$A$2:$A$8523,$A133,Reforma!$AE$2:$AE$8523)</f>
        <v>0</v>
      </c>
      <c r="AS133" s="410">
        <f>+AL133+AO133+AP133</f>
        <v>1860</v>
      </c>
      <c r="AT133" s="410">
        <f t="shared" si="102"/>
        <v>0</v>
      </c>
      <c r="AU133" s="410">
        <f>IFERROR(AS133+AT133,"")</f>
        <v>1860</v>
      </c>
      <c r="AV133" s="410"/>
      <c r="AW133" s="410"/>
      <c r="AX133" s="410"/>
      <c r="AY133" s="410"/>
      <c r="AZ133" s="410"/>
      <c r="BA133" s="410"/>
      <c r="BB133" s="410"/>
      <c r="BC133" s="410"/>
      <c r="BD133" s="410"/>
      <c r="BE133" s="410"/>
      <c r="BF133" s="410">
        <v>930</v>
      </c>
      <c r="BG133" s="410">
        <v>930</v>
      </c>
      <c r="BH133" s="420">
        <f t="shared" si="104"/>
        <v>0</v>
      </c>
      <c r="BI133" s="420">
        <f t="shared" si="105"/>
        <v>1860</v>
      </c>
      <c r="BJ133" s="420">
        <f t="shared" si="106"/>
        <v>0</v>
      </c>
      <c r="BK133" s="410"/>
      <c r="BL133" s="410"/>
      <c r="BM133" s="410"/>
      <c r="BN133" s="410" t="str">
        <f>IFERROR(VLOOKUP($A133,'Constancias POA'!$A$2:$DH$9993,18,FALSE),"")</f>
        <v/>
      </c>
      <c r="BO133" s="410" t="str">
        <f t="shared" si="107"/>
        <v/>
      </c>
      <c r="BP133" s="410">
        <f>IFERROR(VLOOKUP($A133,CP!$A$1:$U$7992,18,FALSE),"")</f>
        <v>0</v>
      </c>
      <c r="BQ133" s="410">
        <f>IFERROR(VLOOKUP($A133,CP!$A$1:$U$7992,19,FALSE),"")</f>
        <v>1302</v>
      </c>
      <c r="BR133" s="410">
        <f>IFERROR(VLOOKUP($A133,CP!$A$1:$U$7992,20,FALSE),"")</f>
        <v>0</v>
      </c>
      <c r="BS133" s="412" t="str">
        <f>IFERROR(VLOOKUP($A133,CP!$A$1:$U$1,21,FALSE),"")</f>
        <v/>
      </c>
      <c r="BT133" s="410">
        <f>IFERROR(VLOOKUP(A133,Devengado!$A$1:AJ$9310,35,FALSE),"")</f>
        <v>1302</v>
      </c>
      <c r="BU133" s="410">
        <f t="shared" si="108"/>
        <v>558</v>
      </c>
      <c r="BV133" s="410" t="str">
        <f t="shared" si="109"/>
        <v/>
      </c>
      <c r="BW133" s="410">
        <f>IFERROR(VLOOKUP($A133,Devengado!$A$1:$AI$9038,27,FALSE),"")</f>
        <v>0</v>
      </c>
      <c r="BX133" s="410"/>
      <c r="BY133" s="410"/>
      <c r="BZ133" s="410"/>
      <c r="CA133" s="410"/>
      <c r="CB133" s="410"/>
      <c r="CC133" s="419"/>
      <c r="CD133" s="419"/>
      <c r="CE133" s="419"/>
      <c r="CF133" s="419"/>
      <c r="CG133" s="419"/>
      <c r="CH133" s="419"/>
      <c r="CI133" s="419"/>
      <c r="CJ133" s="419">
        <f>IFERROR(VLOOKUP($A133,Devengado!$A$1:$AI$9038,22,FALSE),"")</f>
        <v>0</v>
      </c>
      <c r="CK133" s="419">
        <f>IFERROR(VLOOKUP($A133,Devengado!$A$1:$AI$9038,23,FALSE),"")</f>
        <v>0</v>
      </c>
      <c r="CL133" s="419">
        <f>IFERROR(VLOOKUP($A133,Devengado!$A$1:$AI$9038,24,FALSE),"")</f>
        <v>0</v>
      </c>
      <c r="CM133" s="419">
        <f>IFERROR(VLOOKUP($A133,Devengado!$A$1:$AI$9038,25,FALSE),"")</f>
        <v>0</v>
      </c>
      <c r="CN133" s="419">
        <f>IFERROR(VLOOKUP($A133,Devengado!$A$1:$AI$9038,26,FALSE),"")</f>
        <v>0</v>
      </c>
      <c r="CO133" s="419">
        <f>IFERROR(VLOOKUP($A133,Devengado!$A$1:$AI$9038,27,FALSE),"")</f>
        <v>0</v>
      </c>
      <c r="CP133" s="419">
        <f>IFERROR(VLOOKUP($A133,Devengado!$A$1:$AI$9038,28,FALSE),"")</f>
        <v>0</v>
      </c>
      <c r="CQ133" s="419">
        <f>IFERROR(VLOOKUP($A133,Devengado!$A$1:$AI$9038,29,FALSE),"")</f>
        <v>0</v>
      </c>
      <c r="CR133" s="419">
        <f>IFERROR(VLOOKUP($A133,Devengado!$A$1:$AI$9038,30,FALSE),"")</f>
        <v>0</v>
      </c>
      <c r="CS133" s="419">
        <f>IFERROR(VLOOKUP($A133,Devengado!$A$1:$AI$9038,31,FALSE),"")</f>
        <v>0</v>
      </c>
      <c r="CT133" s="419">
        <f>IFERROR(VLOOKUP($A133,Devengado!$A$1:$AI$9038,32,FALSE),"")</f>
        <v>0</v>
      </c>
      <c r="CU133" s="419">
        <f>IFERROR(VLOOKUP($A133,Devengado!$A$1:$AI$9038,33,FALSE),"")</f>
        <v>1302</v>
      </c>
      <c r="CV133" s="419">
        <f t="shared" si="111"/>
        <v>1302</v>
      </c>
      <c r="CW133" s="419">
        <f t="shared" si="112"/>
        <v>0</v>
      </c>
      <c r="CX133" s="164"/>
      <c r="CY133" s="164" t="str">
        <f t="shared" si="113"/>
        <v>53</v>
      </c>
      <c r="CZ133" s="164"/>
    </row>
    <row r="134" spans="1:104" ht="25.5" customHeight="1">
      <c r="A134" s="396">
        <v>1083</v>
      </c>
      <c r="B134" s="396"/>
      <c r="C134" s="396"/>
      <c r="D134" s="396"/>
      <c r="E134" s="396"/>
      <c r="F134" s="396"/>
      <c r="G134" s="451"/>
      <c r="H134" s="451"/>
      <c r="I134" s="451"/>
      <c r="J134" s="451"/>
      <c r="K134" s="396" t="s">
        <v>429</v>
      </c>
      <c r="L134" s="413" t="s">
        <v>850</v>
      </c>
      <c r="M134" s="396" t="s">
        <v>850</v>
      </c>
      <c r="N134" s="396" t="s">
        <v>77</v>
      </c>
      <c r="O134" s="396" t="s">
        <v>77</v>
      </c>
      <c r="P134" s="396" t="s">
        <v>76</v>
      </c>
      <c r="Q134" s="396"/>
      <c r="R134" s="396" t="s">
        <v>77</v>
      </c>
      <c r="S134" s="396" t="s">
        <v>77</v>
      </c>
      <c r="T134" s="396" t="s">
        <v>77</v>
      </c>
      <c r="U134" s="413" t="s">
        <v>77</v>
      </c>
      <c r="V134" s="396" t="s">
        <v>77</v>
      </c>
      <c r="W134" s="410" t="s">
        <v>85</v>
      </c>
      <c r="X134" s="396" t="s">
        <v>2014</v>
      </c>
      <c r="Y134" s="482" t="s">
        <v>430</v>
      </c>
      <c r="Z134" s="482" t="s">
        <v>111</v>
      </c>
      <c r="AA134" s="482" t="s">
        <v>81</v>
      </c>
      <c r="AB134" s="482" t="s">
        <v>112</v>
      </c>
      <c r="AC134" s="396">
        <v>57</v>
      </c>
      <c r="AD134" s="413">
        <v>570216</v>
      </c>
      <c r="AE134" s="396" t="str">
        <f>VLOOKUP(AD134,ITEM!$C$1:$D$694,2,FALSE)</f>
        <v>Obligaciones con el IESS por Responsabilidad Patronal</v>
      </c>
      <c r="AF134" s="396">
        <v>1309</v>
      </c>
      <c r="AG134" s="482" t="s">
        <v>82</v>
      </c>
      <c r="AH134" s="482" t="s">
        <v>84</v>
      </c>
      <c r="AI134" s="482" t="s">
        <v>84</v>
      </c>
      <c r="AJ134" s="482" t="s">
        <v>914</v>
      </c>
      <c r="AK134" s="482" t="s">
        <v>77</v>
      </c>
      <c r="AL134" s="410"/>
      <c r="AM134" s="410"/>
      <c r="AN134" s="410"/>
      <c r="AO134" s="412">
        <f>SUMIF(Reforma!$A$2:$A$8523,$A134,Reforma!$AB$2:$AB$8523)</f>
        <v>1000</v>
      </c>
      <c r="AP134" s="412">
        <f>SUMIF(Reforma!$A$2:$A$8523,$A134,Reforma!$AC$2:$AC$8523)</f>
        <v>0</v>
      </c>
      <c r="AQ134" s="412">
        <f>SUMIF(Reforma!$A$2:$A$8523,$A134,Reforma!$AD$2:$AD$8523)</f>
        <v>0</v>
      </c>
      <c r="AR134" s="412">
        <f>SUMIF(Reforma!$A$2:$A$8523,$A134,Reforma!$AE$2:$AE$8523)</f>
        <v>0</v>
      </c>
      <c r="AS134" s="410">
        <f t="shared" ref="AS134:AS138" si="114">+AL134+AO134+AP134</f>
        <v>1000</v>
      </c>
      <c r="AT134" s="410">
        <f t="shared" si="102"/>
        <v>0</v>
      </c>
      <c r="AU134" s="410">
        <f t="shared" ref="AU134:AU141" si="115">IFERROR(AS134+AT134,"")</f>
        <v>1000</v>
      </c>
      <c r="AV134" s="410"/>
      <c r="AW134" s="410"/>
      <c r="AX134" s="410"/>
      <c r="AY134" s="410"/>
      <c r="AZ134" s="410"/>
      <c r="BA134" s="410"/>
      <c r="BB134" s="410"/>
      <c r="BC134" s="410"/>
      <c r="BD134" s="410"/>
      <c r="BE134" s="410"/>
      <c r="BF134" s="410">
        <v>1000</v>
      </c>
      <c r="BG134" s="410"/>
      <c r="BH134" s="420">
        <f t="shared" si="104"/>
        <v>0</v>
      </c>
      <c r="BI134" s="420">
        <f t="shared" si="105"/>
        <v>1000</v>
      </c>
      <c r="BJ134" s="420">
        <f t="shared" si="106"/>
        <v>0</v>
      </c>
      <c r="BK134" s="410"/>
      <c r="BL134" s="410"/>
      <c r="BM134" s="410"/>
      <c r="BN134" s="410" t="str">
        <f>IFERROR(VLOOKUP($A134,'Constancias POA'!$A$2:$DH$9993,18,FALSE),"")</f>
        <v/>
      </c>
      <c r="BO134" s="410" t="str">
        <f t="shared" si="107"/>
        <v/>
      </c>
      <c r="BP134" s="410">
        <f>IFERROR(VLOOKUP($A134,CP!$A$1:$U$7992,18,FALSE),"")</f>
        <v>1000</v>
      </c>
      <c r="BQ134" s="410">
        <f>IFERROR(VLOOKUP($A134,CP!$A$1:$U$7992,19,FALSE),"")</f>
        <v>936.25</v>
      </c>
      <c r="BR134" s="410">
        <f>IFERROR(VLOOKUP($A134,CP!$A$1:$U$7992,20,FALSE),"")</f>
        <v>63.75</v>
      </c>
      <c r="BS134" s="412" t="str">
        <f>IFERROR(VLOOKUP($A134,CP!$A$1:$U$1,21,FALSE),"")</f>
        <v/>
      </c>
      <c r="BT134" s="410">
        <f>IFERROR(VLOOKUP(A134,Devengado!$A$1:AJ$9310,35,FALSE),"")</f>
        <v>936.25</v>
      </c>
      <c r="BU134" s="410">
        <f t="shared" si="108"/>
        <v>63.75</v>
      </c>
      <c r="BV134" s="410" t="str">
        <f t="shared" si="109"/>
        <v/>
      </c>
      <c r="BW134" s="410">
        <f>IFERROR(VLOOKUP($A134,Devengado!$A$1:$AI$9038,27,FALSE),"")</f>
        <v>0</v>
      </c>
      <c r="BX134" s="410"/>
      <c r="BY134" s="410"/>
      <c r="BZ134" s="410"/>
      <c r="CA134" s="410"/>
      <c r="CB134" s="410"/>
      <c r="CC134" s="419"/>
      <c r="CD134" s="419"/>
      <c r="CE134" s="419"/>
      <c r="CF134" s="419"/>
      <c r="CG134" s="419"/>
      <c r="CH134" s="419"/>
      <c r="CI134" s="419"/>
      <c r="CJ134" s="419">
        <f>IFERROR(VLOOKUP($A134,Devengado!$A$1:$AI$9038,22,FALSE),"")</f>
        <v>0</v>
      </c>
      <c r="CK134" s="419">
        <f>IFERROR(VLOOKUP($A134,Devengado!$A$1:$AI$9038,23,FALSE),"")</f>
        <v>0</v>
      </c>
      <c r="CL134" s="419">
        <f>IFERROR(VLOOKUP($A134,Devengado!$A$1:$AI$9038,24,FALSE),"")</f>
        <v>0</v>
      </c>
      <c r="CM134" s="419">
        <f>IFERROR(VLOOKUP($A134,Devengado!$A$1:$AI$9038,25,FALSE),"")</f>
        <v>0</v>
      </c>
      <c r="CN134" s="419">
        <f>IFERROR(VLOOKUP($A134,Devengado!$A$1:$AI$9038,26,FALSE),"")</f>
        <v>0</v>
      </c>
      <c r="CO134" s="419">
        <f>IFERROR(VLOOKUP($A134,Devengado!$A$1:$AI$9038,27,FALSE),"")</f>
        <v>0</v>
      </c>
      <c r="CP134" s="419">
        <f>IFERROR(VLOOKUP($A134,Devengado!$A$1:$AI$9038,28,FALSE),"")</f>
        <v>0</v>
      </c>
      <c r="CQ134" s="419">
        <f>IFERROR(VLOOKUP($A134,Devengado!$A$1:$AI$9038,29,FALSE),"")</f>
        <v>0</v>
      </c>
      <c r="CR134" s="419">
        <f>IFERROR(VLOOKUP($A134,Devengado!$A$1:$AI$9038,30,FALSE),"")</f>
        <v>0</v>
      </c>
      <c r="CS134" s="419">
        <f>IFERROR(VLOOKUP($A134,Devengado!$A$1:$AI$9038,31,FALSE),"")</f>
        <v>0</v>
      </c>
      <c r="CT134" s="419">
        <f>IFERROR(VLOOKUP($A134,Devengado!$A$1:$AI$9038,32,FALSE),"")</f>
        <v>936.25</v>
      </c>
      <c r="CU134" s="419">
        <f>IFERROR(VLOOKUP($A134,Devengado!$A$1:$AI$9038,33,FALSE),"")</f>
        <v>0</v>
      </c>
      <c r="CV134" s="419">
        <f t="shared" si="111"/>
        <v>936.25</v>
      </c>
      <c r="CW134" s="419">
        <f t="shared" si="112"/>
        <v>0</v>
      </c>
      <c r="CX134" s="164"/>
      <c r="CY134" s="164" t="str">
        <f t="shared" si="113"/>
        <v>57</v>
      </c>
      <c r="CZ134" s="164"/>
    </row>
    <row r="135" spans="1:104" ht="25.5" customHeight="1">
      <c r="A135" s="396">
        <v>1084</v>
      </c>
      <c r="B135" s="396"/>
      <c r="C135" s="396"/>
      <c r="D135" s="396"/>
      <c r="E135" s="396"/>
      <c r="F135" s="396"/>
      <c r="G135" s="451"/>
      <c r="H135" s="451"/>
      <c r="I135" s="451"/>
      <c r="J135" s="451"/>
      <c r="K135" s="396" t="s">
        <v>429</v>
      </c>
      <c r="L135" s="413" t="s">
        <v>850</v>
      </c>
      <c r="M135" s="396" t="s">
        <v>850</v>
      </c>
      <c r="N135" s="396" t="s">
        <v>77</v>
      </c>
      <c r="O135" s="396" t="s">
        <v>77</v>
      </c>
      <c r="P135" s="396" t="s">
        <v>76</v>
      </c>
      <c r="Q135" s="396"/>
      <c r="R135" s="396" t="s">
        <v>77</v>
      </c>
      <c r="S135" s="396" t="s">
        <v>77</v>
      </c>
      <c r="T135" s="396" t="s">
        <v>77</v>
      </c>
      <c r="U135" s="413" t="s">
        <v>77</v>
      </c>
      <c r="V135" s="396" t="s">
        <v>77</v>
      </c>
      <c r="W135" s="410" t="s">
        <v>85</v>
      </c>
      <c r="X135" s="396" t="s">
        <v>2015</v>
      </c>
      <c r="Y135" s="482" t="s">
        <v>430</v>
      </c>
      <c r="Z135" s="482" t="s">
        <v>111</v>
      </c>
      <c r="AA135" s="482" t="s">
        <v>81</v>
      </c>
      <c r="AB135" s="482" t="s">
        <v>112</v>
      </c>
      <c r="AC135" s="396">
        <v>57</v>
      </c>
      <c r="AD135" s="413">
        <v>570218</v>
      </c>
      <c r="AE135" s="396" t="str">
        <f>VLOOKUP(AD135,ITEM!$C$1:$D$694,2,FALSE)</f>
        <v>Intereses por Mora Patronal al IESS</v>
      </c>
      <c r="AF135" s="396">
        <v>1309</v>
      </c>
      <c r="AG135" s="482" t="s">
        <v>82</v>
      </c>
      <c r="AH135" s="482" t="s">
        <v>84</v>
      </c>
      <c r="AI135" s="482" t="s">
        <v>84</v>
      </c>
      <c r="AJ135" s="482" t="s">
        <v>914</v>
      </c>
      <c r="AK135" s="482" t="s">
        <v>77</v>
      </c>
      <c r="AL135" s="410"/>
      <c r="AM135" s="410"/>
      <c r="AN135" s="410"/>
      <c r="AO135" s="412">
        <f>SUMIF(Reforma!$A$2:$A$8523,$A135,Reforma!$AB$2:$AB$8523)</f>
        <v>1200</v>
      </c>
      <c r="AP135" s="412">
        <f>SUMIF(Reforma!$A$2:$A$8523,$A135,Reforma!$AC$2:$AC$8523)</f>
        <v>0</v>
      </c>
      <c r="AQ135" s="412">
        <f>SUMIF(Reforma!$A$2:$A$8523,$A135,Reforma!$AD$2:$AD$8523)</f>
        <v>0</v>
      </c>
      <c r="AR135" s="412">
        <f>SUMIF(Reforma!$A$2:$A$8523,$A135,Reforma!$AE$2:$AE$8523)</f>
        <v>0</v>
      </c>
      <c r="AS135" s="410">
        <f t="shared" si="114"/>
        <v>1200</v>
      </c>
      <c r="AT135" s="410">
        <f t="shared" si="102"/>
        <v>0</v>
      </c>
      <c r="AU135" s="410">
        <f t="shared" si="115"/>
        <v>1200</v>
      </c>
      <c r="AV135" s="410"/>
      <c r="AW135" s="410"/>
      <c r="AX135" s="410"/>
      <c r="AY135" s="410"/>
      <c r="AZ135" s="410"/>
      <c r="BA135" s="410"/>
      <c r="BB135" s="410"/>
      <c r="BC135" s="410"/>
      <c r="BD135" s="410"/>
      <c r="BE135" s="410"/>
      <c r="BF135" s="410">
        <v>1200</v>
      </c>
      <c r="BG135" s="410"/>
      <c r="BH135" s="420">
        <f t="shared" si="104"/>
        <v>0</v>
      </c>
      <c r="BI135" s="420">
        <f t="shared" si="105"/>
        <v>1200</v>
      </c>
      <c r="BJ135" s="420">
        <f t="shared" si="106"/>
        <v>0</v>
      </c>
      <c r="BK135" s="410"/>
      <c r="BL135" s="410"/>
      <c r="BM135" s="410"/>
      <c r="BN135" s="410" t="str">
        <f>IFERROR(VLOOKUP($A135,'Constancias POA'!$A$2:$DH$9993,18,FALSE),"")</f>
        <v/>
      </c>
      <c r="BO135" s="410" t="str">
        <f t="shared" si="107"/>
        <v/>
      </c>
      <c r="BP135" s="410">
        <f>IFERROR(VLOOKUP($A135,CP!$A$1:$U$7992,18,FALSE),"")</f>
        <v>1200</v>
      </c>
      <c r="BQ135" s="410">
        <f>IFERROR(VLOOKUP($A135,CP!$A$1:$U$7992,19,FALSE),"")</f>
        <v>959.7</v>
      </c>
      <c r="BR135" s="410">
        <f>IFERROR(VLOOKUP($A135,CP!$A$1:$U$7992,20,FALSE),"")</f>
        <v>240.29999999999995</v>
      </c>
      <c r="BS135" s="412" t="str">
        <f>IFERROR(VLOOKUP($A135,CP!$A$1:$U$1,21,FALSE),"")</f>
        <v/>
      </c>
      <c r="BT135" s="410">
        <f>IFERROR(VLOOKUP(A135,Devengado!$A$1:AJ$9310,35,FALSE),"")</f>
        <v>959.7</v>
      </c>
      <c r="BU135" s="410">
        <f t="shared" si="108"/>
        <v>240.29999999999995</v>
      </c>
      <c r="BV135" s="410" t="str">
        <f t="shared" si="109"/>
        <v/>
      </c>
      <c r="BW135" s="410">
        <f>IFERROR(VLOOKUP($A135,Devengado!$A$1:$AI$9038,27,FALSE),"")</f>
        <v>0</v>
      </c>
      <c r="BX135" s="410"/>
      <c r="BY135" s="410"/>
      <c r="BZ135" s="410"/>
      <c r="CA135" s="410"/>
      <c r="CB135" s="410"/>
      <c r="CC135" s="419"/>
      <c r="CD135" s="419"/>
      <c r="CE135" s="419"/>
      <c r="CF135" s="419"/>
      <c r="CG135" s="419"/>
      <c r="CH135" s="419"/>
      <c r="CI135" s="419"/>
      <c r="CJ135" s="419">
        <f>IFERROR(VLOOKUP($A135,Devengado!$A$1:$AI$9038,22,FALSE),"")</f>
        <v>0</v>
      </c>
      <c r="CK135" s="419">
        <f>IFERROR(VLOOKUP($A135,Devengado!$A$1:$AI$9038,23,FALSE),"")</f>
        <v>0</v>
      </c>
      <c r="CL135" s="419">
        <f>IFERROR(VLOOKUP($A135,Devengado!$A$1:$AI$9038,24,FALSE),"")</f>
        <v>0</v>
      </c>
      <c r="CM135" s="419">
        <f>IFERROR(VLOOKUP($A135,Devengado!$A$1:$AI$9038,25,FALSE),"")</f>
        <v>0</v>
      </c>
      <c r="CN135" s="419">
        <f>IFERROR(VLOOKUP($A135,Devengado!$A$1:$AI$9038,26,FALSE),"")</f>
        <v>0</v>
      </c>
      <c r="CO135" s="419">
        <f>IFERROR(VLOOKUP($A135,Devengado!$A$1:$AI$9038,27,FALSE),"")</f>
        <v>0</v>
      </c>
      <c r="CP135" s="419">
        <f>IFERROR(VLOOKUP($A135,Devengado!$A$1:$AI$9038,28,FALSE),"")</f>
        <v>0</v>
      </c>
      <c r="CQ135" s="419">
        <f>IFERROR(VLOOKUP($A135,Devengado!$A$1:$AI$9038,29,FALSE),"")</f>
        <v>0</v>
      </c>
      <c r="CR135" s="419">
        <f>IFERROR(VLOOKUP($A135,Devengado!$A$1:$AI$9038,30,FALSE),"")</f>
        <v>0</v>
      </c>
      <c r="CS135" s="419">
        <f>IFERROR(VLOOKUP($A135,Devengado!$A$1:$AI$9038,31,FALSE),"")</f>
        <v>0</v>
      </c>
      <c r="CT135" s="419">
        <f>IFERROR(VLOOKUP($A135,Devengado!$A$1:$AI$9038,32,FALSE),"")</f>
        <v>959.7</v>
      </c>
      <c r="CU135" s="419">
        <f>IFERROR(VLOOKUP($A135,Devengado!$A$1:$AI$9038,33,FALSE),"")</f>
        <v>0</v>
      </c>
      <c r="CV135" s="419">
        <f t="shared" si="111"/>
        <v>959.7</v>
      </c>
      <c r="CW135" s="419">
        <f t="shared" si="112"/>
        <v>0</v>
      </c>
      <c r="CX135" s="164"/>
      <c r="CY135" s="164" t="str">
        <f t="shared" si="113"/>
        <v>57</v>
      </c>
      <c r="CZ135" s="164"/>
    </row>
    <row r="136" spans="1:104" ht="25.5" customHeight="1">
      <c r="A136" s="396">
        <v>1085</v>
      </c>
      <c r="B136" s="396"/>
      <c r="C136" s="396"/>
      <c r="D136" s="396"/>
      <c r="E136" s="396"/>
      <c r="F136" s="396"/>
      <c r="G136" s="451"/>
      <c r="H136" s="451"/>
      <c r="I136" s="451"/>
      <c r="J136" s="451"/>
      <c r="K136" s="396" t="s">
        <v>429</v>
      </c>
      <c r="L136" s="413" t="s">
        <v>850</v>
      </c>
      <c r="M136" s="396" t="s">
        <v>850</v>
      </c>
      <c r="N136" s="396" t="s">
        <v>77</v>
      </c>
      <c r="O136" s="396" t="s">
        <v>77</v>
      </c>
      <c r="P136" s="396" t="s">
        <v>76</v>
      </c>
      <c r="Q136" s="396"/>
      <c r="R136" s="396" t="s">
        <v>77</v>
      </c>
      <c r="S136" s="396" t="s">
        <v>77</v>
      </c>
      <c r="T136" s="396" t="s">
        <v>77</v>
      </c>
      <c r="U136" s="413" t="s">
        <v>77</v>
      </c>
      <c r="V136" s="396" t="s">
        <v>77</v>
      </c>
      <c r="W136" s="410" t="s">
        <v>85</v>
      </c>
      <c r="X136" s="396" t="s">
        <v>2016</v>
      </c>
      <c r="Y136" s="482" t="s">
        <v>430</v>
      </c>
      <c r="Z136" s="482" t="s">
        <v>111</v>
      </c>
      <c r="AA136" s="482" t="s">
        <v>81</v>
      </c>
      <c r="AB136" s="482" t="s">
        <v>112</v>
      </c>
      <c r="AC136" s="396">
        <v>53</v>
      </c>
      <c r="AD136" s="413">
        <v>530402</v>
      </c>
      <c r="AE136" s="396" t="str">
        <f>VLOOKUP(AD136,ITEM!$C$1:$D$694,2,FALSE)</f>
        <v>Edificios, Locales, Residencias y Cableado Estructurado (Instalación, Mantenimiento y Reparación)</v>
      </c>
      <c r="AF136" s="396">
        <v>1308</v>
      </c>
      <c r="AG136" s="482" t="s">
        <v>82</v>
      </c>
      <c r="AH136" s="482" t="s">
        <v>84</v>
      </c>
      <c r="AI136" s="482" t="s">
        <v>84</v>
      </c>
      <c r="AJ136" s="482" t="s">
        <v>914</v>
      </c>
      <c r="AK136" s="482" t="s">
        <v>77</v>
      </c>
      <c r="AL136" s="410"/>
      <c r="AM136" s="410"/>
      <c r="AN136" s="410"/>
      <c r="AO136" s="412">
        <f>SUMIF(Reforma!$A$2:$A$8523,$A136,Reforma!$AB$2:$AB$8523)</f>
        <v>2900</v>
      </c>
      <c r="AP136" s="412">
        <f>SUMIF(Reforma!$A$2:$A$8523,$A136,Reforma!$AC$2:$AC$8523)</f>
        <v>-507</v>
      </c>
      <c r="AQ136" s="412">
        <f>SUMIF(Reforma!$A$2:$A$8523,$A136,Reforma!$AD$2:$AD$8523)</f>
        <v>0</v>
      </c>
      <c r="AR136" s="412">
        <f>SUMIF(Reforma!$A$2:$A$8523,$A136,Reforma!$AE$2:$AE$8523)</f>
        <v>0</v>
      </c>
      <c r="AS136" s="410">
        <f t="shared" si="114"/>
        <v>2393</v>
      </c>
      <c r="AT136" s="410">
        <f t="shared" si="102"/>
        <v>0</v>
      </c>
      <c r="AU136" s="410">
        <f t="shared" si="115"/>
        <v>2393</v>
      </c>
      <c r="AV136" s="461"/>
      <c r="AW136" s="461"/>
      <c r="AX136" s="461"/>
      <c r="AY136" s="461"/>
      <c r="AZ136" s="461"/>
      <c r="BA136" s="462"/>
      <c r="BB136" s="462"/>
      <c r="BC136" s="462"/>
      <c r="BD136" s="462"/>
      <c r="BE136" s="461"/>
      <c r="BF136" s="461"/>
      <c r="BG136" s="461">
        <v>2393</v>
      </c>
      <c r="BH136" s="420">
        <f t="shared" si="104"/>
        <v>0</v>
      </c>
      <c r="BI136" s="420">
        <f t="shared" si="105"/>
        <v>2393</v>
      </c>
      <c r="BJ136" s="420">
        <f t="shared" si="106"/>
        <v>0</v>
      </c>
      <c r="BK136" s="410"/>
      <c r="BL136" s="410"/>
      <c r="BM136" s="410"/>
      <c r="BN136" s="410" t="str">
        <f>IFERROR(VLOOKUP($A136,'Constancias POA'!$A$2:$DH$9993,18,FALSE),"")</f>
        <v/>
      </c>
      <c r="BO136" s="410" t="str">
        <f t="shared" si="107"/>
        <v/>
      </c>
      <c r="BP136" s="410">
        <f>IFERROR(VLOOKUP($A136,CP!$A$1:$U$7992,18,FALSE),"")</f>
        <v>2392.0300000000002</v>
      </c>
      <c r="BQ136" s="410">
        <f>IFERROR(VLOOKUP($A136,CP!$A$1:$U$7992,19,FALSE),"")</f>
        <v>1350</v>
      </c>
      <c r="BR136" s="410">
        <f>IFERROR(VLOOKUP($A136,CP!$A$1:$U$7992,20,FALSE),"")</f>
        <v>1042.0300000000002</v>
      </c>
      <c r="BS136" s="412" t="str">
        <f>IFERROR(VLOOKUP($A136,CP!$A$1:$U$1,21,FALSE),"")</f>
        <v/>
      </c>
      <c r="BT136" s="410">
        <f>IFERROR(VLOOKUP(A136,Devengado!$A$1:AJ$9310,35,FALSE),"")</f>
        <v>1350</v>
      </c>
      <c r="BU136" s="410">
        <f t="shared" si="108"/>
        <v>1043</v>
      </c>
      <c r="BV136" s="410" t="str">
        <f t="shared" si="109"/>
        <v/>
      </c>
      <c r="BW136" s="410">
        <f>IFERROR(VLOOKUP($A136,Devengado!$A$1:$AI$9038,27,FALSE),"")</f>
        <v>0</v>
      </c>
      <c r="BX136" s="410"/>
      <c r="BY136" s="410"/>
      <c r="BZ136" s="410"/>
      <c r="CA136" s="410"/>
      <c r="CB136" s="410"/>
      <c r="CC136" s="419"/>
      <c r="CD136" s="419"/>
      <c r="CE136" s="419"/>
      <c r="CF136" s="419"/>
      <c r="CG136" s="419"/>
      <c r="CH136" s="419"/>
      <c r="CI136" s="419"/>
      <c r="CJ136" s="419">
        <f>IFERROR(VLOOKUP($A136,Devengado!$A$1:$AI$9038,22,FALSE),"")</f>
        <v>0</v>
      </c>
      <c r="CK136" s="419">
        <f>IFERROR(VLOOKUP($A136,Devengado!$A$1:$AI$9038,23,FALSE),"")</f>
        <v>0</v>
      </c>
      <c r="CL136" s="419">
        <f>IFERROR(VLOOKUP($A136,Devengado!$A$1:$AI$9038,24,FALSE),"")</f>
        <v>0</v>
      </c>
      <c r="CM136" s="419">
        <f>IFERROR(VLOOKUP($A136,Devengado!$A$1:$AI$9038,25,FALSE),"")</f>
        <v>0</v>
      </c>
      <c r="CN136" s="419">
        <f>IFERROR(VLOOKUP($A136,Devengado!$A$1:$AI$9038,26,FALSE),"")</f>
        <v>0</v>
      </c>
      <c r="CO136" s="419">
        <f>IFERROR(VLOOKUP($A136,Devengado!$A$1:$AI$9038,27,FALSE),"")</f>
        <v>0</v>
      </c>
      <c r="CP136" s="419">
        <f>IFERROR(VLOOKUP($A136,Devengado!$A$1:$AI$9038,28,FALSE),"")</f>
        <v>0</v>
      </c>
      <c r="CQ136" s="419">
        <f>IFERROR(VLOOKUP($A136,Devengado!$A$1:$AI$9038,29,FALSE),"")</f>
        <v>0</v>
      </c>
      <c r="CR136" s="419">
        <f>IFERROR(VLOOKUP($A136,Devengado!$A$1:$AI$9038,30,FALSE),"")</f>
        <v>0</v>
      </c>
      <c r="CS136" s="419">
        <f>IFERROR(VLOOKUP($A136,Devengado!$A$1:$AI$9038,31,FALSE),"")</f>
        <v>0</v>
      </c>
      <c r="CT136" s="419">
        <f>IFERROR(VLOOKUP($A136,Devengado!$A$1:$AI$9038,32,FALSE),"")</f>
        <v>0</v>
      </c>
      <c r="CU136" s="419">
        <f>IFERROR(VLOOKUP($A136,Devengado!$A$1:$AI$9038,33,FALSE),"")</f>
        <v>1350</v>
      </c>
      <c r="CV136" s="419">
        <f t="shared" si="111"/>
        <v>1350</v>
      </c>
      <c r="CW136" s="419">
        <f t="shared" si="112"/>
        <v>0</v>
      </c>
      <c r="CX136" s="164"/>
      <c r="CY136" s="164" t="str">
        <f t="shared" si="113"/>
        <v>53</v>
      </c>
      <c r="CZ136" s="164"/>
    </row>
    <row r="137" spans="1:104" ht="25.5" customHeight="1">
      <c r="A137" s="396">
        <v>1086</v>
      </c>
      <c r="B137" s="396"/>
      <c r="C137" s="396"/>
      <c r="D137" s="396"/>
      <c r="E137" s="396"/>
      <c r="F137" s="396"/>
      <c r="G137" s="451"/>
      <c r="H137" s="451"/>
      <c r="I137" s="451"/>
      <c r="J137" s="451"/>
      <c r="K137" s="396" t="s">
        <v>429</v>
      </c>
      <c r="L137" s="413" t="s">
        <v>850</v>
      </c>
      <c r="M137" s="396" t="s">
        <v>850</v>
      </c>
      <c r="N137" s="396" t="s">
        <v>77</v>
      </c>
      <c r="O137" s="396" t="s">
        <v>77</v>
      </c>
      <c r="P137" s="396" t="s">
        <v>76</v>
      </c>
      <c r="Q137" s="396"/>
      <c r="R137" s="396" t="s">
        <v>77</v>
      </c>
      <c r="S137" s="396" t="s">
        <v>77</v>
      </c>
      <c r="T137" s="396" t="s">
        <v>77</v>
      </c>
      <c r="U137" s="413" t="s">
        <v>77</v>
      </c>
      <c r="V137" s="396" t="s">
        <v>77</v>
      </c>
      <c r="W137" s="410" t="s">
        <v>85</v>
      </c>
      <c r="X137" s="396" t="s">
        <v>2017</v>
      </c>
      <c r="Y137" s="482" t="s">
        <v>430</v>
      </c>
      <c r="Z137" s="482" t="s">
        <v>111</v>
      </c>
      <c r="AA137" s="482" t="s">
        <v>81</v>
      </c>
      <c r="AB137" s="482" t="s">
        <v>112</v>
      </c>
      <c r="AC137" s="396">
        <v>57</v>
      </c>
      <c r="AD137" s="413">
        <v>570102</v>
      </c>
      <c r="AE137" s="396" t="str">
        <f>VLOOKUP(AD137,ITEM!$C$1:$D$694,2,FALSE)</f>
        <v>Tasas Generales, Impuestos, Contribuciones, Permisos, Licencias y Patentes.</v>
      </c>
      <c r="AF137" s="396">
        <v>1309</v>
      </c>
      <c r="AG137" s="482" t="s">
        <v>82</v>
      </c>
      <c r="AH137" s="482" t="s">
        <v>84</v>
      </c>
      <c r="AI137" s="482" t="s">
        <v>84</v>
      </c>
      <c r="AJ137" s="482" t="s">
        <v>914</v>
      </c>
      <c r="AK137" s="482" t="s">
        <v>77</v>
      </c>
      <c r="AL137" s="410"/>
      <c r="AM137" s="410"/>
      <c r="AN137" s="410"/>
      <c r="AO137" s="412">
        <f>SUMIF(Reforma!$A$2:$A$8523,$A137,Reforma!$AB$2:$AB$8523)</f>
        <v>200</v>
      </c>
      <c r="AP137" s="412">
        <f>SUMIF(Reforma!$A$2:$A$8523,$A137,Reforma!$AC$2:$AC$8523)</f>
        <v>0</v>
      </c>
      <c r="AQ137" s="412">
        <f>SUMIF(Reforma!$A$2:$A$8523,$A137,Reforma!$AD$2:$AD$8523)</f>
        <v>0</v>
      </c>
      <c r="AR137" s="412">
        <f>SUMIF(Reforma!$A$2:$A$8523,$A137,Reforma!$AE$2:$AE$8523)</f>
        <v>0</v>
      </c>
      <c r="AS137" s="410">
        <f t="shared" si="114"/>
        <v>200</v>
      </c>
      <c r="AT137" s="410">
        <f t="shared" si="102"/>
        <v>0</v>
      </c>
      <c r="AU137" s="410">
        <f t="shared" si="115"/>
        <v>200</v>
      </c>
      <c r="AV137" s="410"/>
      <c r="AW137" s="410"/>
      <c r="AX137" s="410"/>
      <c r="AY137" s="410"/>
      <c r="AZ137" s="410"/>
      <c r="BA137" s="410"/>
      <c r="BB137" s="410"/>
      <c r="BC137" s="410"/>
      <c r="BD137" s="410"/>
      <c r="BE137" s="410"/>
      <c r="BF137" s="410">
        <v>200</v>
      </c>
      <c r="BG137" s="410"/>
      <c r="BH137" s="420">
        <f t="shared" si="104"/>
        <v>0</v>
      </c>
      <c r="BI137" s="420">
        <f t="shared" si="105"/>
        <v>200</v>
      </c>
      <c r="BJ137" s="420">
        <f t="shared" si="106"/>
        <v>0</v>
      </c>
      <c r="BK137" s="410"/>
      <c r="BL137" s="410"/>
      <c r="BM137" s="410"/>
      <c r="BN137" s="410" t="str">
        <f>IFERROR(VLOOKUP($A137,'Constancias POA'!$A$2:$DH$9993,18,FALSE),"")</f>
        <v/>
      </c>
      <c r="BO137" s="410" t="str">
        <f t="shared" si="107"/>
        <v/>
      </c>
      <c r="BP137" s="410">
        <f>IFERROR(VLOOKUP($A137,CP!$A$1:$U$7992,18,FALSE),"")</f>
        <v>200</v>
      </c>
      <c r="BQ137" s="410">
        <f>IFERROR(VLOOKUP($A137,CP!$A$1:$U$7992,19,FALSE),"")</f>
        <v>0</v>
      </c>
      <c r="BR137" s="410">
        <f>IFERROR(VLOOKUP($A137,CP!$A$1:$U$7992,20,FALSE),"")</f>
        <v>200</v>
      </c>
      <c r="BS137" s="412" t="str">
        <f>IFERROR(VLOOKUP($A137,CP!$A$1:$U$1,21,FALSE),"")</f>
        <v/>
      </c>
      <c r="BT137" s="410" t="str">
        <f>IFERROR(VLOOKUP(A137,Devengado!$A$1:AJ$9310,35,FALSE),"")</f>
        <v/>
      </c>
      <c r="BU137" s="410" t="str">
        <f t="shared" si="108"/>
        <v/>
      </c>
      <c r="BV137" s="410" t="str">
        <f t="shared" si="109"/>
        <v/>
      </c>
      <c r="BW137" s="410" t="str">
        <f>IFERROR(VLOOKUP($A137,Devengado!$A$1:$AI$9038,27,FALSE),"")</f>
        <v/>
      </c>
      <c r="BX137" s="410"/>
      <c r="BY137" s="410"/>
      <c r="BZ137" s="410"/>
      <c r="CA137" s="410"/>
      <c r="CB137" s="410"/>
      <c r="CC137" s="419"/>
      <c r="CD137" s="419"/>
      <c r="CE137" s="419"/>
      <c r="CF137" s="419"/>
      <c r="CG137" s="419"/>
      <c r="CH137" s="419"/>
      <c r="CI137" s="419"/>
      <c r="CJ137" s="419" t="str">
        <f>IFERROR(VLOOKUP($A137,Devengado!$A$1:$AI$9038,22,FALSE),"")</f>
        <v/>
      </c>
      <c r="CK137" s="419" t="str">
        <f>IFERROR(VLOOKUP($A137,Devengado!$A$1:$AI$9038,23,FALSE),"")</f>
        <v/>
      </c>
      <c r="CL137" s="419" t="str">
        <f>IFERROR(VLOOKUP($A137,Devengado!$A$1:$AI$9038,24,FALSE),"")</f>
        <v/>
      </c>
      <c r="CM137" s="419" t="str">
        <f>IFERROR(VLOOKUP($A137,Devengado!$A$1:$AI$9038,25,FALSE),"")</f>
        <v/>
      </c>
      <c r="CN137" s="419" t="str">
        <f>IFERROR(VLOOKUP($A137,Devengado!$A$1:$AI$9038,26,FALSE),"")</f>
        <v/>
      </c>
      <c r="CO137" s="419" t="str">
        <f>IFERROR(VLOOKUP($A137,Devengado!$A$1:$AI$9038,27,FALSE),"")</f>
        <v/>
      </c>
      <c r="CP137" s="419" t="str">
        <f>IFERROR(VLOOKUP($A137,Devengado!$A$1:$AI$9038,28,FALSE),"")</f>
        <v/>
      </c>
      <c r="CQ137" s="419" t="str">
        <f>IFERROR(VLOOKUP($A137,Devengado!$A$1:$AI$9038,29,FALSE),"")</f>
        <v/>
      </c>
      <c r="CR137" s="419" t="str">
        <f>IFERROR(VLOOKUP($A137,Devengado!$A$1:$AI$9038,30,FALSE),"")</f>
        <v/>
      </c>
      <c r="CS137" s="419" t="str">
        <f>IFERROR(VLOOKUP($A137,Devengado!$A$1:$AI$9038,31,FALSE),"")</f>
        <v/>
      </c>
      <c r="CT137" s="419" t="str">
        <f>IFERROR(VLOOKUP($A137,Devengado!$A$1:$AI$9038,32,FALSE),"")</f>
        <v/>
      </c>
      <c r="CU137" s="419" t="str">
        <f>IFERROR(VLOOKUP($A137,Devengado!$A$1:$AI$9038,33,FALSE),"")</f>
        <v/>
      </c>
      <c r="CV137" s="419">
        <f t="shared" si="111"/>
        <v>0</v>
      </c>
      <c r="CW137" s="419" t="str">
        <f t="shared" si="112"/>
        <v/>
      </c>
      <c r="CX137" s="164"/>
      <c r="CY137" s="164" t="str">
        <f t="shared" si="113"/>
        <v>57</v>
      </c>
      <c r="CZ137" s="164"/>
    </row>
    <row r="138" spans="1:104" ht="25.5" customHeight="1">
      <c r="A138" s="396">
        <v>1087</v>
      </c>
      <c r="B138" s="396"/>
      <c r="C138" s="396"/>
      <c r="D138" s="396"/>
      <c r="E138" s="396"/>
      <c r="F138" s="396"/>
      <c r="G138" s="451"/>
      <c r="H138" s="451"/>
      <c r="I138" s="451"/>
      <c r="J138" s="451"/>
      <c r="K138" s="396" t="s">
        <v>429</v>
      </c>
      <c r="L138" s="413" t="s">
        <v>850</v>
      </c>
      <c r="M138" s="396" t="s">
        <v>850</v>
      </c>
      <c r="N138" s="396" t="s">
        <v>77</v>
      </c>
      <c r="O138" s="396" t="s">
        <v>77</v>
      </c>
      <c r="P138" s="396" t="s">
        <v>76</v>
      </c>
      <c r="Q138" s="396"/>
      <c r="R138" s="396" t="s">
        <v>77</v>
      </c>
      <c r="S138" s="396" t="s">
        <v>77</v>
      </c>
      <c r="T138" s="396" t="s">
        <v>77</v>
      </c>
      <c r="U138" s="413" t="s">
        <v>77</v>
      </c>
      <c r="V138" s="396" t="s">
        <v>77</v>
      </c>
      <c r="W138" s="410" t="s">
        <v>85</v>
      </c>
      <c r="X138" s="396" t="s">
        <v>2018</v>
      </c>
      <c r="Y138" s="482" t="s">
        <v>430</v>
      </c>
      <c r="Z138" s="482" t="s">
        <v>111</v>
      </c>
      <c r="AA138" s="482" t="s">
        <v>81</v>
      </c>
      <c r="AB138" s="482" t="s">
        <v>112</v>
      </c>
      <c r="AC138" s="396">
        <v>57</v>
      </c>
      <c r="AD138" s="413">
        <v>570102</v>
      </c>
      <c r="AE138" s="396" t="str">
        <f>VLOOKUP(AD138,ITEM!$C$1:$D$694,2,FALSE)</f>
        <v>Tasas Generales, Impuestos, Contribuciones, Permisos, Licencias y Patentes.</v>
      </c>
      <c r="AF138" s="396">
        <v>1309</v>
      </c>
      <c r="AG138" s="482" t="s">
        <v>82</v>
      </c>
      <c r="AH138" s="482" t="s">
        <v>84</v>
      </c>
      <c r="AI138" s="482" t="s">
        <v>84</v>
      </c>
      <c r="AJ138" s="482" t="s">
        <v>914</v>
      </c>
      <c r="AK138" s="482" t="s">
        <v>77</v>
      </c>
      <c r="AL138" s="410"/>
      <c r="AM138" s="410"/>
      <c r="AN138" s="410"/>
      <c r="AO138" s="412">
        <f>SUMIF(Reforma!$A$2:$A$8523,$A138,Reforma!$AB$2:$AB$8523)</f>
        <v>350</v>
      </c>
      <c r="AP138" s="412">
        <f>SUMIF(Reforma!$A$2:$A$8523,$A138,Reforma!$AC$2:$AC$8523)</f>
        <v>0</v>
      </c>
      <c r="AQ138" s="412">
        <f>SUMIF(Reforma!$A$2:$A$8523,$A138,Reforma!$AD$2:$AD$8523)</f>
        <v>0</v>
      </c>
      <c r="AR138" s="412">
        <f>SUMIF(Reforma!$A$2:$A$8523,$A138,Reforma!$AE$2:$AE$8523)</f>
        <v>0</v>
      </c>
      <c r="AS138" s="410">
        <f t="shared" si="114"/>
        <v>350</v>
      </c>
      <c r="AT138" s="410">
        <f t="shared" si="102"/>
        <v>0</v>
      </c>
      <c r="AU138" s="410">
        <f t="shared" si="115"/>
        <v>350</v>
      </c>
      <c r="AV138" s="410"/>
      <c r="AW138" s="410"/>
      <c r="AX138" s="410"/>
      <c r="AY138" s="410"/>
      <c r="AZ138" s="410"/>
      <c r="BA138" s="410"/>
      <c r="BB138" s="410"/>
      <c r="BC138" s="410"/>
      <c r="BD138" s="410"/>
      <c r="BE138" s="410"/>
      <c r="BF138" s="410">
        <v>350</v>
      </c>
      <c r="BG138" s="410"/>
      <c r="BH138" s="420">
        <f t="shared" si="104"/>
        <v>0</v>
      </c>
      <c r="BI138" s="420">
        <f t="shared" si="105"/>
        <v>350</v>
      </c>
      <c r="BJ138" s="420">
        <f t="shared" si="106"/>
        <v>0</v>
      </c>
      <c r="BK138" s="410"/>
      <c r="BL138" s="410"/>
      <c r="BM138" s="410"/>
      <c r="BN138" s="410" t="str">
        <f>IFERROR(VLOOKUP($A138,'Constancias POA'!$A$2:$DH$9993,18,FALSE),"")</f>
        <v/>
      </c>
      <c r="BO138" s="410" t="str">
        <f t="shared" si="107"/>
        <v/>
      </c>
      <c r="BP138" s="410">
        <f>IFERROR(VLOOKUP($A138,CP!$A$1:$U$7992,18,FALSE),"")</f>
        <v>350</v>
      </c>
      <c r="BQ138" s="410">
        <f>IFERROR(VLOOKUP($A138,CP!$A$1:$U$7992,19,FALSE),"")</f>
        <v>0</v>
      </c>
      <c r="BR138" s="410">
        <f>IFERROR(VLOOKUP($A138,CP!$A$1:$U$7992,20,FALSE),"")</f>
        <v>350</v>
      </c>
      <c r="BS138" s="412" t="str">
        <f>IFERROR(VLOOKUP($A138,CP!$A$1:$U$1,21,FALSE),"")</f>
        <v/>
      </c>
      <c r="BT138" s="410" t="str">
        <f>IFERROR(VLOOKUP(A138,Devengado!$A$1:AJ$9310,35,FALSE),"")</f>
        <v/>
      </c>
      <c r="BU138" s="410" t="str">
        <f t="shared" si="108"/>
        <v/>
      </c>
      <c r="BV138" s="410" t="str">
        <f t="shared" si="109"/>
        <v/>
      </c>
      <c r="BW138" s="410" t="str">
        <f>IFERROR(VLOOKUP($A138,Devengado!$A$1:$AI$9038,27,FALSE),"")</f>
        <v/>
      </c>
      <c r="BX138" s="410"/>
      <c r="BY138" s="410"/>
      <c r="BZ138" s="410"/>
      <c r="CA138" s="410"/>
      <c r="CB138" s="410"/>
      <c r="CC138" s="419"/>
      <c r="CD138" s="419"/>
      <c r="CE138" s="419"/>
      <c r="CF138" s="419"/>
      <c r="CG138" s="419"/>
      <c r="CH138" s="419"/>
      <c r="CI138" s="419"/>
      <c r="CJ138" s="419" t="str">
        <f>IFERROR(VLOOKUP($A138,Devengado!$A$1:$AI$9038,22,FALSE),"")</f>
        <v/>
      </c>
      <c r="CK138" s="419" t="str">
        <f>IFERROR(VLOOKUP($A138,Devengado!$A$1:$AI$9038,23,FALSE),"")</f>
        <v/>
      </c>
      <c r="CL138" s="419" t="str">
        <f>IFERROR(VLOOKUP($A138,Devengado!$A$1:$AI$9038,24,FALSE),"")</f>
        <v/>
      </c>
      <c r="CM138" s="419" t="str">
        <f>IFERROR(VLOOKUP($A138,Devengado!$A$1:$AI$9038,25,FALSE),"")</f>
        <v/>
      </c>
      <c r="CN138" s="419" t="str">
        <f>IFERROR(VLOOKUP($A138,Devengado!$A$1:$AI$9038,26,FALSE),"")</f>
        <v/>
      </c>
      <c r="CO138" s="419" t="str">
        <f>IFERROR(VLOOKUP($A138,Devengado!$A$1:$AI$9038,27,FALSE),"")</f>
        <v/>
      </c>
      <c r="CP138" s="419" t="str">
        <f>IFERROR(VLOOKUP($A138,Devengado!$A$1:$AI$9038,28,FALSE),"")</f>
        <v/>
      </c>
      <c r="CQ138" s="419" t="str">
        <f>IFERROR(VLOOKUP($A138,Devengado!$A$1:$AI$9038,29,FALSE),"")</f>
        <v/>
      </c>
      <c r="CR138" s="419" t="str">
        <f>IFERROR(VLOOKUP($A138,Devengado!$A$1:$AI$9038,30,FALSE),"")</f>
        <v/>
      </c>
      <c r="CS138" s="419" t="str">
        <f>IFERROR(VLOOKUP($A138,Devengado!$A$1:$AI$9038,31,FALSE),"")</f>
        <v/>
      </c>
      <c r="CT138" s="419" t="str">
        <f>IFERROR(VLOOKUP($A138,Devengado!$A$1:$AI$9038,32,FALSE),"")</f>
        <v/>
      </c>
      <c r="CU138" s="419" t="str">
        <f>IFERROR(VLOOKUP($A138,Devengado!$A$1:$AI$9038,33,FALSE),"")</f>
        <v/>
      </c>
      <c r="CV138" s="419">
        <f t="shared" si="111"/>
        <v>0</v>
      </c>
      <c r="CW138" s="419" t="str">
        <f t="shared" si="112"/>
        <v/>
      </c>
      <c r="CX138" s="164"/>
      <c r="CY138" s="164" t="str">
        <f t="shared" si="113"/>
        <v>57</v>
      </c>
      <c r="CZ138" s="164"/>
    </row>
    <row r="139" spans="1:104" ht="25.5" customHeight="1">
      <c r="A139" s="396">
        <v>1088</v>
      </c>
      <c r="B139" s="396"/>
      <c r="C139" s="396"/>
      <c r="D139" s="396"/>
      <c r="E139" s="396"/>
      <c r="F139" s="396"/>
      <c r="G139" s="451"/>
      <c r="H139" s="451"/>
      <c r="I139" s="451"/>
      <c r="J139" s="451"/>
      <c r="K139" s="396" t="s">
        <v>429</v>
      </c>
      <c r="L139" s="413" t="s">
        <v>850</v>
      </c>
      <c r="M139" s="396" t="s">
        <v>850</v>
      </c>
      <c r="N139" s="396" t="s">
        <v>77</v>
      </c>
      <c r="O139" s="396" t="s">
        <v>77</v>
      </c>
      <c r="P139" s="396" t="s">
        <v>76</v>
      </c>
      <c r="Q139" s="396"/>
      <c r="R139" s="396" t="s">
        <v>77</v>
      </c>
      <c r="S139" s="396" t="s">
        <v>77</v>
      </c>
      <c r="T139" s="396" t="s">
        <v>77</v>
      </c>
      <c r="U139" s="413" t="s">
        <v>77</v>
      </c>
      <c r="V139" s="396" t="s">
        <v>77</v>
      </c>
      <c r="W139" s="410" t="s">
        <v>85</v>
      </c>
      <c r="X139" s="396" t="s">
        <v>2022</v>
      </c>
      <c r="Y139" s="482" t="s">
        <v>430</v>
      </c>
      <c r="Z139" s="482" t="s">
        <v>111</v>
      </c>
      <c r="AA139" s="482" t="s">
        <v>81</v>
      </c>
      <c r="AB139" s="482" t="s">
        <v>112</v>
      </c>
      <c r="AC139" s="396">
        <v>53</v>
      </c>
      <c r="AD139" s="413">
        <v>530204</v>
      </c>
      <c r="AE139" s="396" t="str">
        <f>VLOOKUP(AD139,ITEM!$C$1:$D$694,2,FALSE)</f>
        <v>Edición, Impresión, Reproducción, Publicaciones, Suscripciones, Fotocopiado, Traducción, Empastado, Enmarcación,
Serigrafía, Fotografía, Carnetización, Filmación e Imágenes Satelitales.</v>
      </c>
      <c r="AF139" s="396">
        <v>1308</v>
      </c>
      <c r="AG139" s="482" t="s">
        <v>112</v>
      </c>
      <c r="AH139" s="482" t="s">
        <v>84</v>
      </c>
      <c r="AI139" s="482" t="s">
        <v>84</v>
      </c>
      <c r="AJ139" s="482" t="s">
        <v>914</v>
      </c>
      <c r="AK139" s="482" t="s">
        <v>77</v>
      </c>
      <c r="AL139" s="410"/>
      <c r="AM139" s="410"/>
      <c r="AN139" s="410"/>
      <c r="AO139" s="412">
        <f>SUMIF(Reforma!$A$2:$A$8523,$A139,Reforma!$AB$2:$AB$8523)</f>
        <v>1000</v>
      </c>
      <c r="AP139" s="412">
        <f>SUMIF(Reforma!$A$2:$A$8523,$A139,Reforma!$AC$2:$AC$8523)</f>
        <v>0</v>
      </c>
      <c r="AQ139" s="412">
        <f>SUMIF(Reforma!$A$2:$A$8523,$A139,Reforma!$AD$2:$AD$8523)</f>
        <v>0</v>
      </c>
      <c r="AR139" s="412">
        <f>SUMIF(Reforma!$A$2:$A$8523,$A139,Reforma!$AE$2:$AE$8523)</f>
        <v>0</v>
      </c>
      <c r="AS139" s="410">
        <f>+AL139+AO139+AP139</f>
        <v>1000</v>
      </c>
      <c r="AT139" s="410">
        <f t="shared" si="102"/>
        <v>0</v>
      </c>
      <c r="AU139" s="410">
        <f t="shared" si="115"/>
        <v>1000</v>
      </c>
      <c r="AV139" s="410"/>
      <c r="AW139" s="410"/>
      <c r="AX139" s="410"/>
      <c r="AY139" s="410"/>
      <c r="AZ139" s="410"/>
      <c r="BA139" s="410"/>
      <c r="BB139" s="410"/>
      <c r="BC139" s="410"/>
      <c r="BD139" s="410"/>
      <c r="BE139" s="410"/>
      <c r="BF139" s="410">
        <v>1000</v>
      </c>
      <c r="BG139" s="410"/>
      <c r="BH139" s="420">
        <f t="shared" si="104"/>
        <v>0</v>
      </c>
      <c r="BI139" s="420">
        <f t="shared" si="105"/>
        <v>1000</v>
      </c>
      <c r="BJ139" s="420">
        <f t="shared" si="106"/>
        <v>0</v>
      </c>
      <c r="BK139" s="410"/>
      <c r="BL139" s="410"/>
      <c r="BM139" s="410"/>
      <c r="BN139" s="410" t="str">
        <f>IFERROR(VLOOKUP($A139,'Constancias POA'!$A$2:$DH$9993,18,FALSE),"")</f>
        <v/>
      </c>
      <c r="BO139" s="410" t="str">
        <f t="shared" si="107"/>
        <v/>
      </c>
      <c r="BP139" s="410">
        <f>IFERROR(VLOOKUP($A139,CP!$A$1:$U$7992,18,FALSE),"")</f>
        <v>1000</v>
      </c>
      <c r="BQ139" s="410">
        <f>IFERROR(VLOOKUP($A139,CP!$A$1:$U$7992,19,FALSE),"")</f>
        <v>1000</v>
      </c>
      <c r="BR139" s="410">
        <f>IFERROR(VLOOKUP($A139,CP!$A$1:$U$7992,20,FALSE),"")</f>
        <v>0</v>
      </c>
      <c r="BS139" s="412" t="str">
        <f>IFERROR(VLOOKUP($A139,CP!$A$1:$U$1,21,FALSE),"")</f>
        <v/>
      </c>
      <c r="BT139" s="410">
        <f>IFERROR(VLOOKUP(A139,Devengado!$A$1:AJ$9310,35,FALSE),"")</f>
        <v>1000</v>
      </c>
      <c r="BU139" s="410">
        <f t="shared" si="108"/>
        <v>0</v>
      </c>
      <c r="BV139" s="410" t="str">
        <f t="shared" si="109"/>
        <v/>
      </c>
      <c r="BW139" s="410">
        <f>IFERROR(VLOOKUP($A139,Devengado!$A$1:$AI$9038,27,FALSE),"")</f>
        <v>0</v>
      </c>
      <c r="BX139" s="410"/>
      <c r="BY139" s="410"/>
      <c r="BZ139" s="410"/>
      <c r="CA139" s="410"/>
      <c r="CB139" s="410"/>
      <c r="CC139" s="419"/>
      <c r="CD139" s="419"/>
      <c r="CE139" s="419"/>
      <c r="CF139" s="419"/>
      <c r="CG139" s="419"/>
      <c r="CH139" s="419"/>
      <c r="CI139" s="419"/>
      <c r="CJ139" s="419">
        <f>IFERROR(VLOOKUP($A139,Devengado!$A$1:$AI$9038,22,FALSE),"")</f>
        <v>0</v>
      </c>
      <c r="CK139" s="419">
        <f>IFERROR(VLOOKUP($A139,Devengado!$A$1:$AI$9038,23,FALSE),"")</f>
        <v>0</v>
      </c>
      <c r="CL139" s="419">
        <f>IFERROR(VLOOKUP($A139,Devengado!$A$1:$AI$9038,24,FALSE),"")</f>
        <v>0</v>
      </c>
      <c r="CM139" s="419">
        <f>IFERROR(VLOOKUP($A139,Devengado!$A$1:$AI$9038,25,FALSE),"")</f>
        <v>0</v>
      </c>
      <c r="CN139" s="419">
        <f>IFERROR(VLOOKUP($A139,Devengado!$A$1:$AI$9038,26,FALSE),"")</f>
        <v>0</v>
      </c>
      <c r="CO139" s="419">
        <f>IFERROR(VLOOKUP($A139,Devengado!$A$1:$AI$9038,27,FALSE),"")</f>
        <v>0</v>
      </c>
      <c r="CP139" s="419">
        <f>IFERROR(VLOOKUP($A139,Devengado!$A$1:$AI$9038,28,FALSE),"")</f>
        <v>0</v>
      </c>
      <c r="CQ139" s="419">
        <f>IFERROR(VLOOKUP($A139,Devengado!$A$1:$AI$9038,29,FALSE),"")</f>
        <v>0</v>
      </c>
      <c r="CR139" s="419">
        <f>IFERROR(VLOOKUP($A139,Devengado!$A$1:$AI$9038,30,FALSE),"")</f>
        <v>0</v>
      </c>
      <c r="CS139" s="419">
        <f>IFERROR(VLOOKUP($A139,Devengado!$A$1:$AI$9038,31,FALSE),"")</f>
        <v>0</v>
      </c>
      <c r="CT139" s="419">
        <f>IFERROR(VLOOKUP($A139,Devengado!$A$1:$AI$9038,32,FALSE),"")</f>
        <v>0</v>
      </c>
      <c r="CU139" s="419">
        <f>IFERROR(VLOOKUP($A139,Devengado!$A$1:$AI$9038,33,FALSE),"")</f>
        <v>1000</v>
      </c>
      <c r="CV139" s="419">
        <f t="shared" si="111"/>
        <v>1000</v>
      </c>
      <c r="CW139" s="419">
        <f t="shared" si="112"/>
        <v>0</v>
      </c>
      <c r="CX139" s="164"/>
      <c r="CY139" s="164" t="str">
        <f t="shared" si="113"/>
        <v>53</v>
      </c>
      <c r="CZ139" s="164"/>
    </row>
    <row r="140" spans="1:104" ht="25.5" customHeight="1">
      <c r="A140" s="396">
        <v>1106</v>
      </c>
      <c r="B140" s="396"/>
      <c r="C140" s="396"/>
      <c r="D140" s="396"/>
      <c r="E140" s="396"/>
      <c r="F140" s="396"/>
      <c r="G140" s="451"/>
      <c r="H140" s="451"/>
      <c r="I140" s="451"/>
      <c r="J140" s="451"/>
      <c r="K140" s="396" t="s">
        <v>429</v>
      </c>
      <c r="L140" s="413" t="s">
        <v>850</v>
      </c>
      <c r="M140" s="396" t="s">
        <v>850</v>
      </c>
      <c r="N140" s="396" t="s">
        <v>77</v>
      </c>
      <c r="O140" s="396" t="s">
        <v>77</v>
      </c>
      <c r="P140" s="396" t="s">
        <v>76</v>
      </c>
      <c r="Q140" s="396"/>
      <c r="R140" s="396"/>
      <c r="S140" s="396"/>
      <c r="T140" s="410"/>
      <c r="U140" s="410"/>
      <c r="V140" s="396" t="s">
        <v>77</v>
      </c>
      <c r="W140" s="410" t="s">
        <v>85</v>
      </c>
      <c r="X140" s="396" t="s">
        <v>442</v>
      </c>
      <c r="Y140" s="482" t="s">
        <v>430</v>
      </c>
      <c r="Z140" s="482" t="s">
        <v>111</v>
      </c>
      <c r="AA140" s="482" t="s">
        <v>81</v>
      </c>
      <c r="AB140" s="482" t="s">
        <v>112</v>
      </c>
      <c r="AC140" s="396">
        <v>53</v>
      </c>
      <c r="AD140" s="413">
        <v>530402</v>
      </c>
      <c r="AE140" s="396" t="str">
        <f>VLOOKUP(AD140,ITEM!$C$1:$D$694,2,FALSE)</f>
        <v>Edificios, Locales, Residencias y Cableado Estructurado (Instalación, Mantenimiento y Reparación)</v>
      </c>
      <c r="AF140" s="396">
        <v>1301</v>
      </c>
      <c r="AG140" s="482" t="s">
        <v>112</v>
      </c>
      <c r="AH140" s="482" t="s">
        <v>84</v>
      </c>
      <c r="AI140" s="482" t="s">
        <v>84</v>
      </c>
      <c r="AJ140" s="482" t="s">
        <v>914</v>
      </c>
      <c r="AK140" s="482" t="s">
        <v>77</v>
      </c>
      <c r="AL140" s="410"/>
      <c r="AM140" s="410"/>
      <c r="AN140" s="410"/>
      <c r="AO140" s="412">
        <f>SUMIF(Reforma!$A$2:$A$8523,$A140,Reforma!$AB$2:$AB$8523)</f>
        <v>43344.979999999996</v>
      </c>
      <c r="AP140" s="412">
        <f>SUMIF(Reforma!$A$2:$A$8523,$A140,Reforma!$AC$2:$AC$8523)</f>
        <v>-36515.06</v>
      </c>
      <c r="AQ140" s="412">
        <f>SUMIF(Reforma!$A$2:$A$8523,$A140,Reforma!$AD$2:$AD$8523)</f>
        <v>0</v>
      </c>
      <c r="AR140" s="412">
        <f>SUMIF(Reforma!$A$2:$A$8523,$A140,Reforma!$AE$2:$AE$8523)</f>
        <v>0</v>
      </c>
      <c r="AS140" s="410">
        <f>+AL140+AO140+AP140</f>
        <v>6829.9199999999983</v>
      </c>
      <c r="AT140" s="410">
        <f t="shared" si="102"/>
        <v>0</v>
      </c>
      <c r="AU140" s="410">
        <f t="shared" si="115"/>
        <v>6829.9199999999983</v>
      </c>
      <c r="AV140" s="410"/>
      <c r="AW140" s="410"/>
      <c r="AX140" s="410"/>
      <c r="AY140" s="410"/>
      <c r="AZ140" s="410"/>
      <c r="BA140" s="410"/>
      <c r="BB140" s="410"/>
      <c r="BC140" s="410"/>
      <c r="BD140" s="410"/>
      <c r="BE140" s="410"/>
      <c r="BF140" s="410">
        <v>6829.92</v>
      </c>
      <c r="BG140" s="410"/>
      <c r="BH140" s="420">
        <f t="shared" ref="BH140:BH141" si="116">SUM(BX140:CI140)</f>
        <v>0</v>
      </c>
      <c r="BI140" s="420">
        <f t="shared" ref="BI140:BI141" si="117">SUM(AV140:BG140)</f>
        <v>6829.92</v>
      </c>
      <c r="BJ140" s="420">
        <f t="shared" ref="BJ140:BJ141" si="118">+BI140-AU140</f>
        <v>0</v>
      </c>
      <c r="BK140" s="410"/>
      <c r="BL140" s="410"/>
      <c r="BM140" s="410"/>
      <c r="BN140" s="410" t="str">
        <f>IFERROR(VLOOKUP($A140,'Constancias POA'!$A$2:$DH$9993,18,FALSE),"")</f>
        <v/>
      </c>
      <c r="BO140" s="410" t="str">
        <f t="shared" si="107"/>
        <v/>
      </c>
      <c r="BP140" s="410">
        <f>IFERROR(VLOOKUP($A140,CP!$A$1:$U$7992,18,FALSE),"")</f>
        <v>6829.92</v>
      </c>
      <c r="BQ140" s="410">
        <f>IFERROR(VLOOKUP($A140,CP!$A$1:$U$7992,19,FALSE),"")</f>
        <v>6624</v>
      </c>
      <c r="BR140" s="410">
        <f>IFERROR(VLOOKUP($A140,CP!$A$1:$U$7992,20,FALSE),"")</f>
        <v>205.92000000000007</v>
      </c>
      <c r="BS140" s="412" t="str">
        <f>IFERROR(VLOOKUP($A140,CP!$A$1:$U$1,21,FALSE),"")</f>
        <v/>
      </c>
      <c r="BT140" s="410">
        <f>IFERROR(VLOOKUP(A140,Devengado!$A$1:AJ$9310,35,FALSE),"")</f>
        <v>6624</v>
      </c>
      <c r="BU140" s="410">
        <f t="shared" ref="BU140:BU141" si="119">IFERROR((AU140-BT140),"")</f>
        <v>205.91999999999825</v>
      </c>
      <c r="BV140" s="410" t="str">
        <f t="shared" ref="BV140:BV141" si="120">IFERROR(BT140/BW140,"")</f>
        <v/>
      </c>
      <c r="BW140" s="410">
        <f>IFERROR(VLOOKUP($A140,Devengado!$A$1:$AI$9038,27,FALSE),"")</f>
        <v>0</v>
      </c>
      <c r="BX140" s="410"/>
      <c r="BY140" s="410"/>
      <c r="BZ140" s="410"/>
      <c r="CA140" s="410"/>
      <c r="CB140" s="410"/>
      <c r="CC140" s="419"/>
      <c r="CD140" s="419"/>
      <c r="CE140" s="419"/>
      <c r="CF140" s="419"/>
      <c r="CG140" s="419"/>
      <c r="CH140" s="419"/>
      <c r="CI140" s="419"/>
      <c r="CJ140" s="419">
        <f>IFERROR(VLOOKUP($A140,Devengado!$A$1:$AI$9038,22,FALSE),"")</f>
        <v>0</v>
      </c>
      <c r="CK140" s="419">
        <f>IFERROR(VLOOKUP($A140,Devengado!$A$1:$AI$9038,23,FALSE),"")</f>
        <v>0</v>
      </c>
      <c r="CL140" s="419">
        <f>IFERROR(VLOOKUP($A140,Devengado!$A$1:$AI$9038,24,FALSE),"")</f>
        <v>0</v>
      </c>
      <c r="CM140" s="419">
        <f>IFERROR(VLOOKUP($A140,Devengado!$A$1:$AI$9038,25,FALSE),"")</f>
        <v>0</v>
      </c>
      <c r="CN140" s="419">
        <f>IFERROR(VLOOKUP($A140,Devengado!$A$1:$AI$9038,26,FALSE),"")</f>
        <v>0</v>
      </c>
      <c r="CO140" s="419">
        <f>IFERROR(VLOOKUP($A140,Devengado!$A$1:$AI$9038,27,FALSE),"")</f>
        <v>0</v>
      </c>
      <c r="CP140" s="419">
        <f>IFERROR(VLOOKUP($A140,Devengado!$A$1:$AI$9038,28,FALSE),"")</f>
        <v>0</v>
      </c>
      <c r="CQ140" s="419">
        <f>IFERROR(VLOOKUP($A140,Devengado!$A$1:$AI$9038,29,FALSE),"")</f>
        <v>0</v>
      </c>
      <c r="CR140" s="419">
        <f>IFERROR(VLOOKUP($A140,Devengado!$A$1:$AI$9038,30,FALSE),"")</f>
        <v>0</v>
      </c>
      <c r="CS140" s="419">
        <f>IFERROR(VLOOKUP($A140,Devengado!$A$1:$AI$9038,31,FALSE),"")</f>
        <v>0</v>
      </c>
      <c r="CT140" s="419">
        <f>IFERROR(VLOOKUP($A140,Devengado!$A$1:$AI$9038,32,FALSE),"")</f>
        <v>0</v>
      </c>
      <c r="CU140" s="419">
        <f>IFERROR(VLOOKUP($A140,Devengado!$A$1:$AI$9038,33,FALSE),"")</f>
        <v>6624</v>
      </c>
      <c r="CV140" s="419">
        <f t="shared" si="111"/>
        <v>6624</v>
      </c>
      <c r="CW140" s="419">
        <f t="shared" ref="CW140" si="121">IFERROR(CV140-BT140,"")</f>
        <v>0</v>
      </c>
      <c r="CX140" s="164"/>
      <c r="CY140" s="164" t="str">
        <f t="shared" ref="CY140" si="122">LEFT(AC140,4)</f>
        <v>53</v>
      </c>
      <c r="CZ140" s="164"/>
    </row>
    <row r="141" spans="1:104" ht="25.5" customHeight="1">
      <c r="A141" s="396">
        <v>1107</v>
      </c>
      <c r="B141" s="396"/>
      <c r="C141" s="413"/>
      <c r="D141" s="396"/>
      <c r="E141" s="396"/>
      <c r="F141" s="396"/>
      <c r="G141" s="396"/>
      <c r="H141" s="410"/>
      <c r="I141" s="410"/>
      <c r="J141" s="410"/>
      <c r="K141" s="396" t="s">
        <v>429</v>
      </c>
      <c r="L141" s="413" t="s">
        <v>850</v>
      </c>
      <c r="M141" s="396" t="s">
        <v>850</v>
      </c>
      <c r="N141" s="396" t="s">
        <v>77</v>
      </c>
      <c r="O141" s="396" t="s">
        <v>77</v>
      </c>
      <c r="P141" s="396" t="s">
        <v>76</v>
      </c>
      <c r="Q141" s="410"/>
      <c r="R141" s="410"/>
      <c r="S141" s="410"/>
      <c r="T141" s="410"/>
      <c r="U141" s="410"/>
      <c r="V141" s="396" t="s">
        <v>77</v>
      </c>
      <c r="W141" s="410" t="s">
        <v>85</v>
      </c>
      <c r="X141" s="396" t="s">
        <v>2026</v>
      </c>
      <c r="Y141" s="482" t="s">
        <v>430</v>
      </c>
      <c r="Z141" s="482" t="s">
        <v>111</v>
      </c>
      <c r="AA141" s="482" t="s">
        <v>81</v>
      </c>
      <c r="AB141" s="482" t="s">
        <v>112</v>
      </c>
      <c r="AC141" s="396">
        <v>99</v>
      </c>
      <c r="AD141" s="413">
        <v>990101</v>
      </c>
      <c r="AE141" s="396" t="str">
        <f>VLOOKUP(AD141,ITEM!$C$1:$D$694,2,FALSE)</f>
        <v>Obligaciones de Ejercicios Anteriores por Egresos de Personal</v>
      </c>
      <c r="AF141" s="396">
        <v>1309</v>
      </c>
      <c r="AG141" s="482" t="s">
        <v>82</v>
      </c>
      <c r="AH141" s="482" t="s">
        <v>84</v>
      </c>
      <c r="AI141" s="482" t="s">
        <v>84</v>
      </c>
      <c r="AJ141" s="482" t="s">
        <v>914</v>
      </c>
      <c r="AK141" s="482" t="s">
        <v>77</v>
      </c>
      <c r="AL141" s="410"/>
      <c r="AM141" s="410"/>
      <c r="AN141" s="410"/>
      <c r="AO141" s="412">
        <f>SUMIF(Reforma!$A$2:$A$8523,$A141,Reforma!$AB$2:$AB$8523)</f>
        <v>1350</v>
      </c>
      <c r="AP141" s="412">
        <f>SUMIF(Reforma!$A$2:$A$8523,$A141,Reforma!$AC$2:$AC$8523)</f>
        <v>0</v>
      </c>
      <c r="AQ141" s="412">
        <f>SUMIF(Reforma!$A$2:$A$8523,$A141,Reforma!$AD$2:$AD$8523)</f>
        <v>0</v>
      </c>
      <c r="AR141" s="412">
        <f>SUMIF(Reforma!$A$2:$A$8523,$A141,Reforma!$AE$2:$AE$8523)</f>
        <v>0</v>
      </c>
      <c r="AS141" s="410">
        <f>+AL141+AO141+AP141</f>
        <v>1350</v>
      </c>
      <c r="AT141" s="410">
        <f t="shared" si="102"/>
        <v>0</v>
      </c>
      <c r="AU141" s="410">
        <f t="shared" si="115"/>
        <v>1350</v>
      </c>
      <c r="AV141" s="420"/>
      <c r="AW141" s="410"/>
      <c r="AX141" s="410"/>
      <c r="AY141" s="410"/>
      <c r="AZ141" s="410"/>
      <c r="BA141" s="410"/>
      <c r="BB141" s="410"/>
      <c r="BC141" s="410"/>
      <c r="BD141" s="410"/>
      <c r="BE141" s="412"/>
      <c r="BF141" s="410">
        <v>1350</v>
      </c>
      <c r="BG141" s="410"/>
      <c r="BH141" s="420">
        <f t="shared" si="116"/>
        <v>0</v>
      </c>
      <c r="BI141" s="420">
        <f t="shared" si="117"/>
        <v>1350</v>
      </c>
      <c r="BJ141" s="420">
        <f t="shared" si="118"/>
        <v>0</v>
      </c>
      <c r="BK141" s="410"/>
      <c r="BL141" s="410"/>
      <c r="BM141" s="410"/>
      <c r="BN141" s="410" t="str">
        <f>IFERROR(VLOOKUP($A141,'Constancias POA'!$A$2:$DH$9993,18,FALSE),"")</f>
        <v/>
      </c>
      <c r="BO141" s="410" t="str">
        <f t="shared" si="107"/>
        <v/>
      </c>
      <c r="BP141" s="410">
        <f>IFERROR(VLOOKUP($A141,CP!$A$1:$U$7992,18,FALSE),"")</f>
        <v>0</v>
      </c>
      <c r="BQ141" s="410">
        <f>IFERROR(VLOOKUP($A141,CP!$A$1:$U$7992,19,FALSE),"")</f>
        <v>1350</v>
      </c>
      <c r="BR141" s="410">
        <f>IFERROR(VLOOKUP($A141,CP!$A$1:$U$7992,20,FALSE),"")</f>
        <v>0</v>
      </c>
      <c r="BS141" s="412" t="str">
        <f>IFERROR(VLOOKUP($A141,CP!$A$1:$U$1,21,FALSE),"")</f>
        <v/>
      </c>
      <c r="BT141" s="410">
        <f>IFERROR(VLOOKUP(A141,Devengado!$A$1:AJ$9310,35,FALSE),"")</f>
        <v>1350</v>
      </c>
      <c r="BU141" s="410">
        <f t="shared" si="119"/>
        <v>0</v>
      </c>
      <c r="BV141" s="410" t="str">
        <f t="shared" si="120"/>
        <v/>
      </c>
      <c r="BW141" s="419">
        <f>IFERROR(VLOOKUP($A141,Devengado!$A$1:$AI$9038,23,FALSE),"")</f>
        <v>0</v>
      </c>
      <c r="BX141" s="410"/>
      <c r="BY141" s="410"/>
      <c r="BZ141" s="410"/>
      <c r="CA141" s="410"/>
      <c r="CB141" s="410"/>
      <c r="CC141" s="419"/>
      <c r="CD141" s="419"/>
      <c r="CE141" s="419"/>
      <c r="CF141" s="419"/>
      <c r="CG141" s="419"/>
      <c r="CH141" s="419"/>
      <c r="CI141" s="419"/>
      <c r="CJ141" s="164"/>
      <c r="CK141" s="164" t="str">
        <f t="shared" ref="CK141" si="123">LEFT(O141,4)</f>
        <v>N/A</v>
      </c>
      <c r="CL141" s="164"/>
      <c r="CM141" s="213"/>
      <c r="CN141" s="213"/>
      <c r="CO141" s="213"/>
      <c r="CP141" s="213"/>
      <c r="CQ141" s="213"/>
      <c r="CR141" s="213"/>
      <c r="CS141" s="213"/>
      <c r="CT141" s="213"/>
      <c r="CU141" s="213"/>
      <c r="CV141" s="213"/>
      <c r="CW141" s="213"/>
      <c r="CX141" s="213"/>
    </row>
    <row r="142" spans="1:104" ht="25.5" customHeight="1">
      <c r="A142" s="396"/>
      <c r="B142" s="410"/>
      <c r="C142" s="410"/>
      <c r="D142" s="410"/>
      <c r="E142" s="410"/>
      <c r="F142" s="410"/>
      <c r="G142" s="410"/>
      <c r="H142" s="410"/>
      <c r="I142" s="410"/>
      <c r="J142" s="410"/>
      <c r="K142" s="410"/>
      <c r="L142" s="410"/>
      <c r="M142" s="410"/>
      <c r="N142" s="410"/>
      <c r="O142" s="412">
        <f>SUMIF(Reforma!$A$2:$A$8523,$A142,Reforma!$AD$2:$AD$8523)</f>
        <v>0</v>
      </c>
      <c r="P142" s="412">
        <f>SUMIF(Reforma!$A$2:$A$8523,$A142,Reforma!$AE$2:$AE$8523)</f>
        <v>0</v>
      </c>
      <c r="Q142" s="410">
        <f t="shared" ref="Q142" si="124">+J142+M142+N142</f>
        <v>0</v>
      </c>
      <c r="R142" s="410">
        <f t="shared" ref="R142" si="125">+K142+O142+P142</f>
        <v>0</v>
      </c>
      <c r="S142" s="410">
        <f t="shared" ref="S142" si="126">IFERROR(Q142+R142,"")</f>
        <v>0</v>
      </c>
      <c r="T142" s="410"/>
      <c r="U142" s="410"/>
      <c r="V142" s="410"/>
      <c r="W142" s="410"/>
      <c r="X142" s="410"/>
      <c r="Y142" s="410"/>
      <c r="Z142" s="410"/>
      <c r="AA142" s="410"/>
      <c r="AB142" s="410"/>
      <c r="AC142" s="410"/>
      <c r="AD142" s="410"/>
      <c r="AE142" s="410"/>
      <c r="AF142" s="420">
        <f t="shared" ref="AF142" si="127">SUM(AV142:BG142)</f>
        <v>0</v>
      </c>
      <c r="AG142" s="420">
        <f t="shared" ref="AG142" si="128">SUM(T142:AE142)</f>
        <v>0</v>
      </c>
      <c r="AH142" s="420">
        <f t="shared" ref="AH142" si="129">+AG142-S142</f>
        <v>0</v>
      </c>
      <c r="AI142" s="410"/>
      <c r="AJ142" s="410"/>
      <c r="AK142" s="410"/>
      <c r="AL142" s="410" t="str">
        <f>IFERROR(VLOOKUP($A142,'Constancias POA'!$A$2:$DH$9993,18,FALSE),"")</f>
        <v/>
      </c>
      <c r="AM142" s="410" t="str">
        <f t="shared" ref="AM142" si="130">IFERROR(S142-AL142,"")</f>
        <v/>
      </c>
      <c r="AN142" s="410" t="str">
        <f>IFERROR(VLOOKUP($A142,CP!$A$1:$U$7992,18,FALSE),"")</f>
        <v/>
      </c>
      <c r="AO142" s="410" t="str">
        <f>IFERROR(VLOOKUP($A142,CP!$A$1:$U$7992,19,FALSE),"")</f>
        <v/>
      </c>
      <c r="AP142" s="410" t="str">
        <f>IFERROR(VLOOKUP($A142,CP!$A$1:$U$7992,20,FALSE),"")</f>
        <v/>
      </c>
      <c r="AQ142" s="412" t="str">
        <f>IFERROR(VLOOKUP($A142,CP!$A$1:$U$1,21,FALSE),"")</f>
        <v/>
      </c>
      <c r="AR142" s="410" t="str">
        <f>IFERROR(VLOOKUP(#REF!,Devengado!$A$1:H$9310,35,FALSE),"")</f>
        <v/>
      </c>
      <c r="AS142" s="410" t="str">
        <f t="shared" ref="AS142" si="131">IFERROR((S142-AR142),"")</f>
        <v/>
      </c>
      <c r="AT142" s="410" t="str">
        <f t="shared" ref="AT142" si="132">IFERROR(AR142/AU142,"")</f>
        <v/>
      </c>
      <c r="AU142" s="410" t="str">
        <f>IFERROR(VLOOKUP($A142,Devengado!$A$1:$AI$9038,27,FALSE),"")</f>
        <v/>
      </c>
      <c r="AV142" s="410"/>
      <c r="AW142" s="410"/>
      <c r="AX142" s="410"/>
      <c r="AY142" s="410"/>
      <c r="AZ142" s="410"/>
      <c r="BA142" s="419"/>
      <c r="BB142" s="419"/>
      <c r="BC142" s="419"/>
      <c r="BD142" s="419"/>
      <c r="BE142" s="419"/>
      <c r="BF142" s="419"/>
      <c r="BG142" s="419"/>
      <c r="BH142" s="419" t="str">
        <f>IFERROR(VLOOKUP($A142,Devengado!$A$1:$AI$9038,22,FALSE),"")</f>
        <v/>
      </c>
      <c r="BI142" s="419" t="str">
        <f>IFERROR(VLOOKUP($A142,Devengado!$A$1:$AI$9038,23,FALSE),"")</f>
        <v/>
      </c>
      <c r="BJ142" s="419" t="str">
        <f>IFERROR(VLOOKUP($A142,Devengado!$A$1:$AI$9038,24,FALSE),"")</f>
        <v/>
      </c>
      <c r="BK142" s="419" t="str">
        <f>IFERROR(VLOOKUP($A142,Devengado!$A$1:$AI$9038,25,FALSE),"")</f>
        <v/>
      </c>
      <c r="BL142" s="419" t="str">
        <f>IFERROR(VLOOKUP($A142,Devengado!$A$1:$AI$9038,26,FALSE),"")</f>
        <v/>
      </c>
      <c r="BM142" s="419" t="str">
        <f>IFERROR(VLOOKUP($A142,Devengado!$A$1:$AI$9038,27,FALSE),"")</f>
        <v/>
      </c>
      <c r="BN142" s="419" t="str">
        <f>IFERROR(VLOOKUP($A142,Devengado!$A$1:$AI$9038,28,FALSE),"")</f>
        <v/>
      </c>
      <c r="BO142" s="419" t="str">
        <f>IFERROR(VLOOKUP($A142,Devengado!$A$1:$AI$9038,29,FALSE),"")</f>
        <v/>
      </c>
      <c r="BP142" s="419" t="str">
        <f>IFERROR(VLOOKUP($A142,Devengado!$A$1:$AI$9038,30,FALSE),"")</f>
        <v/>
      </c>
      <c r="BQ142" s="419" t="str">
        <f>IFERROR(VLOOKUP($A142,Devengado!$A$1:$AI$9038,31,FALSE),"")</f>
        <v/>
      </c>
      <c r="BR142" s="419" t="str">
        <f>IFERROR(VLOOKUP($A142,Devengado!$A$1:$AI$9038,32,FALSE),"")</f>
        <v/>
      </c>
      <c r="BS142" s="419" t="str">
        <f>IFERROR(VLOOKUP($A142,Devengado!$A$1:$AI$9038,33,FALSE),"")</f>
        <v/>
      </c>
      <c r="BT142" s="419">
        <f t="shared" ref="BT142" si="133">SUM(BH142:BS142)</f>
        <v>0</v>
      </c>
      <c r="BU142" s="419" t="str">
        <f t="shared" ref="BU142" si="134">IFERROR(BT142-AR142,"")</f>
        <v/>
      </c>
      <c r="BV142" s="164"/>
      <c r="BW142" s="164" t="str">
        <f t="shared" ref="BW142" si="135">LEFT(A142,4)</f>
        <v/>
      </c>
      <c r="BX142" s="164"/>
      <c r="BY142" s="213"/>
      <c r="BZ142" s="213"/>
      <c r="CA142" s="213"/>
      <c r="CB142" s="213"/>
      <c r="CC142" s="213"/>
      <c r="CD142" s="213"/>
      <c r="CE142" s="213"/>
      <c r="CF142" s="213"/>
      <c r="CG142" s="213"/>
      <c r="CH142" s="213"/>
      <c r="CI142" s="213"/>
      <c r="CJ142" s="213"/>
      <c r="CK142" s="213"/>
      <c r="CL142" s="213"/>
      <c r="CM142" s="213"/>
      <c r="CN142" s="213"/>
      <c r="CO142" s="213"/>
      <c r="CP142" s="213"/>
      <c r="CQ142" s="213"/>
      <c r="CR142" s="213"/>
      <c r="CS142" s="213"/>
      <c r="CT142" s="213"/>
      <c r="CU142" s="213"/>
      <c r="CV142" s="213"/>
      <c r="CW142" s="213"/>
      <c r="CX142" s="213"/>
    </row>
    <row r="143" spans="1:104" ht="25.5" customHeight="1">
      <c r="AS143" s="275">
        <f>SUBTOTAL(9,AS5:AS142)</f>
        <v>1001971.57</v>
      </c>
      <c r="BQ143" s="483">
        <f>SUBTOTAL(9,BQ9:BQ142)</f>
        <v>603704.7899999998</v>
      </c>
      <c r="BR143" s="508"/>
      <c r="BS143" s="508"/>
      <c r="BT143" s="483">
        <f t="shared" ref="BT143" si="136">SUBTOTAL(9,BT9:BT142)</f>
        <v>579203.77</v>
      </c>
      <c r="BW143" s="275">
        <f>SUBTOTAL(9,BW5:BW142)</f>
        <v>984788.64999999991</v>
      </c>
    </row>
  </sheetData>
  <sheetProtection autoFilter="0" pivotTables="0"/>
  <autoFilter ref="A4:CZ142"/>
  <mergeCells count="3">
    <mergeCell ref="A1:BJ1"/>
    <mergeCell ref="A2:BJ2"/>
    <mergeCell ref="A3:BJ3"/>
  </mergeCells>
  <pageMargins left="0.7" right="0.7" top="0.75" bottom="0.75" header="0.3" footer="0.3"/>
  <pageSetup paperSize="9" scale="9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BI349"/>
  <sheetViews>
    <sheetView zoomScale="83" zoomScaleNormal="83" workbookViewId="0">
      <pane ySplit="1" topLeftCell="A336" activePane="bottomLeft" state="frozen"/>
      <selection activeCell="Z1600" sqref="Z1600"/>
      <selection pane="bottomLeft" activeCell="A345" sqref="A345"/>
    </sheetView>
  </sheetViews>
  <sheetFormatPr baseColWidth="10" defaultRowHeight="13.7" customHeight="1"/>
  <cols>
    <col min="1" max="1" width="8" style="8" customWidth="1"/>
    <col min="2" max="2" width="22.42578125" style="9" customWidth="1"/>
    <col min="3" max="3" width="46.5703125" style="9" customWidth="1"/>
    <col min="4" max="4" width="37.7109375" style="9" customWidth="1"/>
    <col min="5" max="5" width="26.85546875" style="9" customWidth="1"/>
    <col min="6" max="8" width="15.42578125" style="9" customWidth="1"/>
    <col min="9" max="9" width="11.28515625" style="9" customWidth="1"/>
    <col min="10" max="10" width="42.42578125" style="10" customWidth="1"/>
    <col min="11" max="11" width="10.42578125" style="9" customWidth="1"/>
    <col min="12" max="12" width="14.28515625" style="9" customWidth="1"/>
    <col min="13" max="14" width="11.42578125" style="9" customWidth="1"/>
    <col min="15" max="15" width="7" style="9" customWidth="1"/>
    <col min="16" max="16" width="10" style="9" customWidth="1"/>
    <col min="17" max="17" width="13.140625" style="9" customWidth="1"/>
    <col min="18" max="18" width="13.42578125" style="9" customWidth="1"/>
    <col min="19" max="19" width="12.42578125" style="9" customWidth="1"/>
    <col min="20" max="20" width="13.7109375" style="9" customWidth="1"/>
    <col min="21" max="21" width="13.28515625" style="63" customWidth="1"/>
    <col min="22" max="23" width="14" style="63" customWidth="1"/>
    <col min="24" max="24" width="16" style="63" customWidth="1"/>
    <col min="25" max="27" width="14.140625" style="395" customWidth="1"/>
    <col min="28" max="29" width="24" style="394" customWidth="1"/>
    <col min="30" max="31" width="24" style="11" customWidth="1"/>
    <col min="32" max="32" width="15.140625" style="11" customWidth="1"/>
    <col min="33" max="33" width="10.42578125" style="11" customWidth="1"/>
    <col min="34" max="34" width="15.140625" style="11" customWidth="1"/>
    <col min="35" max="46" width="15.140625" style="11" hidden="1" customWidth="1"/>
    <col min="47" max="48" width="15.140625" style="11" customWidth="1"/>
    <col min="49" max="49" width="46.140625" style="10" customWidth="1"/>
    <col min="50" max="50" width="17.85546875" style="9" customWidth="1"/>
    <col min="51" max="51" width="21.85546875" style="9" customWidth="1"/>
    <col min="52" max="52" width="17.85546875" style="10" customWidth="1"/>
    <col min="53" max="53" width="17.85546875" style="9" customWidth="1"/>
    <col min="54" max="54" width="12.85546875" style="9" customWidth="1"/>
    <col min="55" max="55" width="12.5703125" style="9" bestFit="1" customWidth="1"/>
    <col min="56" max="56" width="20.85546875" style="9" bestFit="1" customWidth="1"/>
    <col min="57" max="57" width="12" style="9" bestFit="1" customWidth="1"/>
    <col min="58" max="58" width="12.42578125" style="9" bestFit="1" customWidth="1"/>
    <col min="59" max="59" width="6" style="9" bestFit="1" customWidth="1"/>
    <col min="60" max="60" width="41.140625" style="9" bestFit="1" customWidth="1"/>
    <col min="61" max="61" width="35.85546875" style="9" customWidth="1"/>
    <col min="62" max="62" width="11" style="7" customWidth="1"/>
    <col min="63" max="16384" width="11.42578125" style="7"/>
  </cols>
  <sheetData>
    <row r="1" spans="1:61" ht="63.75">
      <c r="A1" s="75" t="s">
        <v>921</v>
      </c>
      <c r="B1" s="75" t="s">
        <v>889</v>
      </c>
      <c r="C1" s="76" t="s">
        <v>5</v>
      </c>
      <c r="D1" s="76" t="s">
        <v>6</v>
      </c>
      <c r="E1" s="76" t="s">
        <v>922</v>
      </c>
      <c r="F1" s="76" t="s">
        <v>923</v>
      </c>
      <c r="G1" s="76" t="s">
        <v>924</v>
      </c>
      <c r="H1" s="76" t="s">
        <v>925</v>
      </c>
      <c r="I1" s="76" t="s">
        <v>14</v>
      </c>
      <c r="J1" s="77" t="s">
        <v>15</v>
      </c>
      <c r="K1" s="76" t="s">
        <v>4</v>
      </c>
      <c r="L1" s="78" t="s">
        <v>17</v>
      </c>
      <c r="M1" s="76" t="s">
        <v>18</v>
      </c>
      <c r="N1" s="78" t="s">
        <v>19</v>
      </c>
      <c r="O1" s="76" t="s">
        <v>926</v>
      </c>
      <c r="P1" s="75" t="s">
        <v>927</v>
      </c>
      <c r="Q1" s="79" t="s">
        <v>23</v>
      </c>
      <c r="R1" s="78" t="s">
        <v>24</v>
      </c>
      <c r="S1" s="78" t="s">
        <v>25</v>
      </c>
      <c r="T1" s="75" t="s">
        <v>26</v>
      </c>
      <c r="U1" s="499" t="s">
        <v>928</v>
      </c>
      <c r="V1" s="500" t="s">
        <v>49</v>
      </c>
      <c r="W1" s="80" t="s">
        <v>1832</v>
      </c>
      <c r="X1" s="81" t="s">
        <v>54</v>
      </c>
      <c r="Y1" s="501" t="s">
        <v>893</v>
      </c>
      <c r="Z1" s="501" t="s">
        <v>894</v>
      </c>
      <c r="AA1" s="501" t="s">
        <v>929</v>
      </c>
      <c r="AB1" s="386" t="s">
        <v>896</v>
      </c>
      <c r="AC1" s="387" t="s">
        <v>930</v>
      </c>
      <c r="AD1" s="82" t="s">
        <v>898</v>
      </c>
      <c r="AE1" s="82" t="s">
        <v>931</v>
      </c>
      <c r="AF1" s="83" t="s">
        <v>932</v>
      </c>
      <c r="AG1" s="84" t="s">
        <v>933</v>
      </c>
      <c r="AH1" s="83" t="s">
        <v>934</v>
      </c>
      <c r="AI1" s="111" t="s">
        <v>935</v>
      </c>
      <c r="AJ1" s="111" t="s">
        <v>936</v>
      </c>
      <c r="AK1" s="111" t="s">
        <v>937</v>
      </c>
      <c r="AL1" s="111" t="s">
        <v>938</v>
      </c>
      <c r="AM1" s="111" t="s">
        <v>939</v>
      </c>
      <c r="AN1" s="111" t="s">
        <v>940</v>
      </c>
      <c r="AO1" s="111" t="s">
        <v>941</v>
      </c>
      <c r="AP1" s="111" t="s">
        <v>942</v>
      </c>
      <c r="AQ1" s="111" t="s">
        <v>943</v>
      </c>
      <c r="AR1" s="111" t="s">
        <v>944</v>
      </c>
      <c r="AS1" s="111" t="s">
        <v>945</v>
      </c>
      <c r="AT1" s="111" t="s">
        <v>946</v>
      </c>
      <c r="AU1" s="83" t="s">
        <v>947</v>
      </c>
      <c r="AV1" s="83" t="s">
        <v>948</v>
      </c>
      <c r="AW1" s="85" t="s">
        <v>949</v>
      </c>
      <c r="AX1" s="85" t="s">
        <v>950</v>
      </c>
      <c r="AY1" s="86" t="s">
        <v>951</v>
      </c>
      <c r="AZ1" s="87" t="s">
        <v>952</v>
      </c>
      <c r="BA1" s="86" t="s">
        <v>953</v>
      </c>
      <c r="BB1" s="87" t="s">
        <v>954</v>
      </c>
      <c r="BC1" s="90" t="s">
        <v>955</v>
      </c>
      <c r="BD1" s="88" t="s">
        <v>956</v>
      </c>
      <c r="BE1" s="89" t="s">
        <v>957</v>
      </c>
      <c r="BF1" s="88" t="s">
        <v>958</v>
      </c>
      <c r="BG1" s="90" t="s">
        <v>959</v>
      </c>
      <c r="BH1" s="90" t="s">
        <v>960</v>
      </c>
      <c r="BI1" s="90" t="s">
        <v>7</v>
      </c>
    </row>
    <row r="2" spans="1:61" ht="24.95" customHeight="1">
      <c r="A2" s="4">
        <v>415</v>
      </c>
      <c r="B2" s="12" t="str">
        <f>VLOOKUP($A2,'Matriz POA 2024-TRABAJO'!$A$5:$CD$9142,11,FALSE)</f>
        <v>Corporación Ciudad Alfaro</v>
      </c>
      <c r="C2" s="12" t="str">
        <f>VLOOKUP($A2,'Matriz POA 2024-TRABAJO'!$A$5:$CD$9142,14,FALSE)</f>
        <v>N/A</v>
      </c>
      <c r="D2" s="12" t="str">
        <f>VLOOKUP($A2,'Matriz POA 2024-TRABAJO'!$A$5:$CD$9142,15,FALSE)</f>
        <v>N/A</v>
      </c>
      <c r="E2" s="12" t="str">
        <f>VLOOKUP($A2,'Matriz POA 2024-TRABAJO'!$A$5:$CD$9142,18,FALSE)</f>
        <v>N/A</v>
      </c>
      <c r="F2" s="12" t="str">
        <f>VLOOKUP($A2,'Matriz POA 2024-TRABAJO'!$A$5:$CD$9142,20,FALSE)</f>
        <v>N/A</v>
      </c>
      <c r="G2" s="12" t="str">
        <f>VLOOKUP($A2,'Matriz POA 2024-TRABAJO'!$A$5:$CD$9142,21,FALSE)</f>
        <v>N/A</v>
      </c>
      <c r="H2" s="12" t="str">
        <f>VLOOKUP($A2,'Matriz POA 2024-TRABAJO'!$A$5:$CD$9142,22,FALSE)</f>
        <v>N/A</v>
      </c>
      <c r="I2" s="12" t="str">
        <f>VLOOKUP($A2,'Matriz POA 2024-TRABAJO'!$A$5:$CD$9142,23,FALSE)</f>
        <v>NUEVA</v>
      </c>
      <c r="J2" s="12" t="str">
        <f>VLOOKUP($A2,'Matriz POA 2024-TRABAJO'!$A$5:$CD$9142,24,FALSE)</f>
        <v>REMUNERACIONES UNIFICADAS</v>
      </c>
      <c r="K2" s="12" t="str">
        <f>VLOOKUP($A2,'Matriz POA 2024-TRABAJO'!$A$5:$CD$9142,25,FALSE)</f>
        <v>0035</v>
      </c>
      <c r="L2" s="12" t="str">
        <f>VLOOKUP($A2,'Matriz POA 2024-TRABAJO'!$A$5:$CD$9142,26,FALSE)</f>
        <v>80</v>
      </c>
      <c r="M2" s="12" t="str">
        <f>VLOOKUP($A2,'Matriz POA 2024-TRABAJO'!$A$5:$CD$9142,27,FALSE)</f>
        <v>000</v>
      </c>
      <c r="N2" s="12" t="str">
        <f>VLOOKUP($A2,'Matriz POA 2024-TRABAJO'!$A$5:$CD$9142,28,FALSE)</f>
        <v>002</v>
      </c>
      <c r="O2" s="12" t="str">
        <f>VLOOKUP($A2,'Matriz POA 2024-TRABAJO'!$A$5:$CD$9142,29,FALSE)</f>
        <v>51</v>
      </c>
      <c r="P2" s="12">
        <f>VLOOKUP($A2,'Matriz POA 2024-TRABAJO'!$A$5:$CD$9142,30,FALSE)</f>
        <v>510105</v>
      </c>
      <c r="Q2" s="12">
        <f>VLOOKUP($A2,'Matriz POA 2024-TRABAJO'!$A$5:$CD$9142,32,FALSE)</f>
        <v>1300</v>
      </c>
      <c r="R2" s="12" t="str">
        <f>VLOOKUP($A2,'Matriz POA 2024-TRABAJO'!$A$5:$CD$9142,33,FALSE)</f>
        <v>001</v>
      </c>
      <c r="S2" s="12" t="str">
        <f>VLOOKUP($A2,'Matriz POA 2024-TRABAJO'!$A$5:$CD$9142,34,FALSE)</f>
        <v>0000</v>
      </c>
      <c r="T2" s="12" t="str">
        <f>VLOOKUP($A2,'Matriz POA 2024-TRABAJO'!$A$5:$CD$9142,35,FALSE)</f>
        <v>0000</v>
      </c>
      <c r="U2" s="62">
        <f>VLOOKUP($A2,'Matriz POA 2024-TRABAJO'!$A$5:$CD$9142,66,FALSE)</f>
        <v>280176.77</v>
      </c>
      <c r="V2" s="62">
        <f>VLOOKUP($A2,'Matriz POA 2024-TRABAJO'!$A$5:$CD$9142,67,FALSE)</f>
        <v>-12424.770000000019</v>
      </c>
      <c r="W2" s="62">
        <f>VLOOKUP($A2,'Matriz POA 2024-TRABAJO'!$A$5:$CD$9142,68,FALSE)</f>
        <v>0</v>
      </c>
      <c r="X2" s="62">
        <f>VLOOKUP($A2,'Matriz POA 2024-TRABAJO'!$A$5:$CD$9142,72,FALSE)</f>
        <v>266098.39899999998</v>
      </c>
      <c r="Y2" s="388">
        <v>275247.09999999998</v>
      </c>
      <c r="Z2" s="388">
        <v>0</v>
      </c>
      <c r="AA2" s="388">
        <v>275247.09999999998</v>
      </c>
      <c r="AB2" s="389"/>
      <c r="AC2" s="389"/>
      <c r="AD2" s="13"/>
      <c r="AE2" s="13"/>
      <c r="AF2" s="13">
        <f t="shared" ref="AF2:AF35" si="0">Y2+AB2+AC2</f>
        <v>275247.09999999998</v>
      </c>
      <c r="AG2" s="13">
        <f t="shared" ref="AG2:AG35" si="1">Z2+AD2+AE2</f>
        <v>0</v>
      </c>
      <c r="AH2" s="13">
        <f t="shared" ref="AH2:AH36" si="2">+AF2+AG2</f>
        <v>275247.09999999998</v>
      </c>
      <c r="AI2" s="129">
        <v>23753</v>
      </c>
      <c r="AJ2" s="129">
        <v>23753</v>
      </c>
      <c r="AK2" s="129">
        <v>23753</v>
      </c>
      <c r="AL2" s="129">
        <v>23753</v>
      </c>
      <c r="AM2" s="129">
        <v>23753</v>
      </c>
      <c r="AN2" s="129">
        <v>23753</v>
      </c>
      <c r="AO2" s="129">
        <v>23753</v>
      </c>
      <c r="AP2" s="129">
        <v>23753</v>
      </c>
      <c r="AQ2" s="129">
        <v>23753</v>
      </c>
      <c r="AR2" s="129">
        <v>23753</v>
      </c>
      <c r="AS2" s="129">
        <v>23753</v>
      </c>
      <c r="AT2" s="129">
        <v>13964.1</v>
      </c>
      <c r="AU2" s="129"/>
      <c r="AV2" s="13" t="b">
        <f t="shared" ref="AV2:AV35" si="3">SUM(AI2:AT2)=AH2</f>
        <v>1</v>
      </c>
      <c r="AW2" s="14"/>
      <c r="AX2" s="15"/>
      <c r="AY2" s="16"/>
      <c r="AZ2" s="15"/>
      <c r="BA2" s="16"/>
      <c r="BB2" s="17">
        <f t="shared" ref="BB2:BB36" si="4">BA2-AY2</f>
        <v>0</v>
      </c>
      <c r="BC2" s="12"/>
      <c r="BD2" s="15"/>
      <c r="BE2" s="18"/>
      <c r="BF2" s="12"/>
      <c r="BG2" s="19" t="str">
        <f t="shared" ref="BG2:BG36" si="5">TEXT(BA2,"MMMM")</f>
        <v>enero</v>
      </c>
      <c r="BH2" s="12" t="str">
        <f t="shared" ref="BH2:BH35" si="6">B2</f>
        <v>Corporación Ciudad Alfaro</v>
      </c>
      <c r="BI2" s="20" t="str">
        <f t="shared" ref="BI2:BI35" si="7">E2</f>
        <v>N/A</v>
      </c>
    </row>
    <row r="3" spans="1:61" ht="24.95" customHeight="1">
      <c r="A3" s="4">
        <v>416</v>
      </c>
      <c r="B3" s="12" t="str">
        <f>VLOOKUP($A3,'Matriz POA 2024-TRABAJO'!$A$5:$CD$9142,11,FALSE)</f>
        <v>Corporación Ciudad Alfaro</v>
      </c>
      <c r="C3" s="12" t="str">
        <f>VLOOKUP($A3,'Matriz POA 2024-TRABAJO'!$A$5:$CD$9142,14,FALSE)</f>
        <v>N/A</v>
      </c>
      <c r="D3" s="12" t="str">
        <f>VLOOKUP($A3,'Matriz POA 2024-TRABAJO'!$A$5:$CD$9142,15,FALSE)</f>
        <v>N/A</v>
      </c>
      <c r="E3" s="12" t="str">
        <f>VLOOKUP($A3,'Matriz POA 2024-TRABAJO'!$A$5:$CD$9142,18,FALSE)</f>
        <v>N/A</v>
      </c>
      <c r="F3" s="12" t="str">
        <f>VLOOKUP($A3,'Matriz POA 2024-TRABAJO'!$A$5:$CD$9142,20,FALSE)</f>
        <v>N/A</v>
      </c>
      <c r="G3" s="12" t="str">
        <f>VLOOKUP($A3,'Matriz POA 2024-TRABAJO'!$A$5:$CD$9142,21,FALSE)</f>
        <v>N/A</v>
      </c>
      <c r="H3" s="12" t="str">
        <f>VLOOKUP($A3,'Matriz POA 2024-TRABAJO'!$A$5:$CD$9142,22,FALSE)</f>
        <v>N/A</v>
      </c>
      <c r="I3" s="12" t="str">
        <f>VLOOKUP($A3,'Matriz POA 2024-TRABAJO'!$A$5:$CD$9142,23,FALSE)</f>
        <v>NUEVA</v>
      </c>
      <c r="J3" s="12" t="str">
        <f>VLOOKUP($A3,'Matriz POA 2024-TRABAJO'!$A$5:$CD$9142,24,FALSE)</f>
        <v>Salarios Unificados</v>
      </c>
      <c r="K3" s="12" t="str">
        <f>VLOOKUP($A3,'Matriz POA 2024-TRABAJO'!$A$5:$CD$9142,25,FALSE)</f>
        <v>0035</v>
      </c>
      <c r="L3" s="12" t="str">
        <f>VLOOKUP($A3,'Matriz POA 2024-TRABAJO'!$A$5:$CD$9142,26,FALSE)</f>
        <v>80</v>
      </c>
      <c r="M3" s="12" t="str">
        <f>VLOOKUP($A3,'Matriz POA 2024-TRABAJO'!$A$5:$CD$9142,27,FALSE)</f>
        <v>000</v>
      </c>
      <c r="N3" s="12" t="str">
        <f>VLOOKUP($A3,'Matriz POA 2024-TRABAJO'!$A$5:$CD$9142,28,FALSE)</f>
        <v>002</v>
      </c>
      <c r="O3" s="12" t="str">
        <f>VLOOKUP($A3,'Matriz POA 2024-TRABAJO'!$A$5:$CD$9142,29,FALSE)</f>
        <v>51</v>
      </c>
      <c r="P3" s="12">
        <f>VLOOKUP($A3,'Matriz POA 2024-TRABAJO'!$A$5:$CD$9142,30,FALSE)</f>
        <v>510106</v>
      </c>
      <c r="Q3" s="12">
        <f>VLOOKUP($A3,'Matriz POA 2024-TRABAJO'!$A$5:$CD$9142,32,FALSE)</f>
        <v>1300</v>
      </c>
      <c r="R3" s="12" t="str">
        <f>VLOOKUP($A3,'Matriz POA 2024-TRABAJO'!$A$5:$CD$9142,33,FALSE)</f>
        <v>001</v>
      </c>
      <c r="S3" s="12" t="str">
        <f>VLOOKUP($A3,'Matriz POA 2024-TRABAJO'!$A$5:$CD$9142,34,FALSE)</f>
        <v>0000</v>
      </c>
      <c r="T3" s="12" t="str">
        <f>VLOOKUP($A3,'Matriz POA 2024-TRABAJO'!$A$5:$CD$9142,35,FALSE)</f>
        <v>0000</v>
      </c>
      <c r="U3" s="62">
        <f>VLOOKUP($A3,'Matriz POA 2024-TRABAJO'!$A$5:$CD$9142,66,FALSE)</f>
        <v>68580</v>
      </c>
      <c r="V3" s="62">
        <f>VLOOKUP($A3,'Matriz POA 2024-TRABAJO'!$A$5:$CD$9142,67,FALSE)</f>
        <v>0</v>
      </c>
      <c r="W3" s="62">
        <f>VLOOKUP($A3,'Matriz POA 2024-TRABAJO'!$A$5:$CD$9142,68,FALSE)</f>
        <v>0</v>
      </c>
      <c r="X3" s="62">
        <f>VLOOKUP($A3,'Matriz POA 2024-TRABAJO'!$A$5:$CD$9142,72,FALSE)</f>
        <v>68580</v>
      </c>
      <c r="Y3" s="388">
        <v>68580</v>
      </c>
      <c r="Z3" s="388">
        <v>0</v>
      </c>
      <c r="AA3" s="388">
        <v>68580</v>
      </c>
      <c r="AB3" s="389"/>
      <c r="AC3" s="389"/>
      <c r="AD3" s="13"/>
      <c r="AE3" s="13"/>
      <c r="AF3" s="13">
        <f t="shared" si="0"/>
        <v>68580</v>
      </c>
      <c r="AG3" s="13">
        <f t="shared" si="1"/>
        <v>0</v>
      </c>
      <c r="AH3" s="13">
        <f t="shared" si="2"/>
        <v>68580</v>
      </c>
      <c r="AI3" s="129">
        <v>5715</v>
      </c>
      <c r="AJ3" s="129">
        <v>5715</v>
      </c>
      <c r="AK3" s="129">
        <v>5715</v>
      </c>
      <c r="AL3" s="129">
        <v>5715</v>
      </c>
      <c r="AM3" s="129">
        <v>5715</v>
      </c>
      <c r="AN3" s="129">
        <v>5715</v>
      </c>
      <c r="AO3" s="129">
        <v>5715</v>
      </c>
      <c r="AP3" s="129">
        <v>5715</v>
      </c>
      <c r="AQ3" s="129">
        <v>5715</v>
      </c>
      <c r="AR3" s="129">
        <v>5715</v>
      </c>
      <c r="AS3" s="129">
        <v>5715</v>
      </c>
      <c r="AT3" s="129">
        <v>5715</v>
      </c>
      <c r="AU3" s="129"/>
      <c r="AV3" s="13" t="b">
        <f t="shared" si="3"/>
        <v>1</v>
      </c>
      <c r="AW3" s="14"/>
      <c r="AX3" s="15"/>
      <c r="AY3" s="16"/>
      <c r="AZ3" s="15"/>
      <c r="BA3" s="16"/>
      <c r="BB3" s="17">
        <f t="shared" si="4"/>
        <v>0</v>
      </c>
      <c r="BC3" s="12"/>
      <c r="BD3" s="15"/>
      <c r="BE3" s="18"/>
      <c r="BF3" s="12"/>
      <c r="BG3" s="19" t="str">
        <f t="shared" si="5"/>
        <v>enero</v>
      </c>
      <c r="BH3" s="12" t="str">
        <f t="shared" si="6"/>
        <v>Corporación Ciudad Alfaro</v>
      </c>
      <c r="BI3" s="20" t="str">
        <f t="shared" si="7"/>
        <v>N/A</v>
      </c>
    </row>
    <row r="4" spans="1:61" ht="24.95" customHeight="1">
      <c r="A4" s="4">
        <v>417</v>
      </c>
      <c r="B4" s="12" t="str">
        <f>VLOOKUP($A4,'Matriz POA 2024-TRABAJO'!$A$5:$CD$9142,11,FALSE)</f>
        <v>Corporación Ciudad Alfaro</v>
      </c>
      <c r="C4" s="12" t="str">
        <f>VLOOKUP($A4,'Matriz POA 2024-TRABAJO'!$A$5:$CD$9142,14,FALSE)</f>
        <v>N/A</v>
      </c>
      <c r="D4" s="12" t="str">
        <f>VLOOKUP($A4,'Matriz POA 2024-TRABAJO'!$A$5:$CD$9142,15,FALSE)</f>
        <v>N/A</v>
      </c>
      <c r="E4" s="12" t="str">
        <f>VLOOKUP($A4,'Matriz POA 2024-TRABAJO'!$A$5:$CD$9142,18,FALSE)</f>
        <v>N/A</v>
      </c>
      <c r="F4" s="12" t="str">
        <f>VLOOKUP($A4,'Matriz POA 2024-TRABAJO'!$A$5:$CD$9142,20,FALSE)</f>
        <v>N/A</v>
      </c>
      <c r="G4" s="12" t="str">
        <f>VLOOKUP($A4,'Matriz POA 2024-TRABAJO'!$A$5:$CD$9142,21,FALSE)</f>
        <v>N/A</v>
      </c>
      <c r="H4" s="12" t="str">
        <f>VLOOKUP($A4,'Matriz POA 2024-TRABAJO'!$A$5:$CD$9142,22,FALSE)</f>
        <v>N/A</v>
      </c>
      <c r="I4" s="12" t="str">
        <f>VLOOKUP($A4,'Matriz POA 2024-TRABAJO'!$A$5:$CD$9142,23,FALSE)</f>
        <v>NUEVA</v>
      </c>
      <c r="J4" s="12" t="str">
        <f>VLOOKUP($A4,'Matriz POA 2024-TRABAJO'!$A$5:$CD$9142,24,FALSE)</f>
        <v>Décimo Tercer Sueldo</v>
      </c>
      <c r="K4" s="12" t="str">
        <f>VLOOKUP($A4,'Matriz POA 2024-TRABAJO'!$A$5:$CD$9142,25,FALSE)</f>
        <v>0035</v>
      </c>
      <c r="L4" s="12" t="str">
        <f>VLOOKUP($A4,'Matriz POA 2024-TRABAJO'!$A$5:$CD$9142,26,FALSE)</f>
        <v>80</v>
      </c>
      <c r="M4" s="12" t="str">
        <f>VLOOKUP($A4,'Matriz POA 2024-TRABAJO'!$A$5:$CD$9142,27,FALSE)</f>
        <v>000</v>
      </c>
      <c r="N4" s="12" t="str">
        <f>VLOOKUP($A4,'Matriz POA 2024-TRABAJO'!$A$5:$CD$9142,28,FALSE)</f>
        <v>002</v>
      </c>
      <c r="O4" s="12" t="str">
        <f>VLOOKUP($A4,'Matriz POA 2024-TRABAJO'!$A$5:$CD$9142,29,FALSE)</f>
        <v>51</v>
      </c>
      <c r="P4" s="12">
        <f>VLOOKUP($A4,'Matriz POA 2024-TRABAJO'!$A$5:$CD$9142,30,FALSE)</f>
        <v>510203</v>
      </c>
      <c r="Q4" s="12">
        <f>VLOOKUP($A4,'Matriz POA 2024-TRABAJO'!$A$5:$CD$9142,32,FALSE)</f>
        <v>1300</v>
      </c>
      <c r="R4" s="12" t="str">
        <f>VLOOKUP($A4,'Matriz POA 2024-TRABAJO'!$A$5:$CD$9142,33,FALSE)</f>
        <v>001</v>
      </c>
      <c r="S4" s="12" t="str">
        <f>VLOOKUP($A4,'Matriz POA 2024-TRABAJO'!$A$5:$CD$9142,34,FALSE)</f>
        <v>0000</v>
      </c>
      <c r="T4" s="12" t="str">
        <f>VLOOKUP($A4,'Matriz POA 2024-TRABAJO'!$A$5:$CD$9142,35,FALSE)</f>
        <v>0000</v>
      </c>
      <c r="U4" s="62">
        <f>VLOOKUP($A4,'Matriz POA 2024-TRABAJO'!$A$5:$CD$9142,66,FALSE)</f>
        <v>31901.07</v>
      </c>
      <c r="V4" s="62">
        <f>VLOOKUP($A4,'Matriz POA 2024-TRABAJO'!$A$5:$CD$9142,67,FALSE)</f>
        <v>-1212</v>
      </c>
      <c r="W4" s="62">
        <f>VLOOKUP($A4,'Matriz POA 2024-TRABAJO'!$A$5:$CD$9142,68,FALSE)</f>
        <v>0</v>
      </c>
      <c r="X4" s="62">
        <f>VLOOKUP($A4,'Matriz POA 2024-TRABAJO'!$A$5:$CD$9142,72,FALSE)</f>
        <v>29180.79</v>
      </c>
      <c r="Y4" s="388">
        <v>32146</v>
      </c>
      <c r="Z4" s="388">
        <v>0</v>
      </c>
      <c r="AA4" s="388">
        <v>32146</v>
      </c>
      <c r="AB4" s="389"/>
      <c r="AC4" s="389"/>
      <c r="AD4" s="13"/>
      <c r="AE4" s="13"/>
      <c r="AF4" s="13">
        <f t="shared" si="0"/>
        <v>32146</v>
      </c>
      <c r="AG4" s="13">
        <f t="shared" si="1"/>
        <v>0</v>
      </c>
      <c r="AH4" s="13">
        <f t="shared" si="2"/>
        <v>32146</v>
      </c>
      <c r="AI4" s="129">
        <v>2678.83</v>
      </c>
      <c r="AJ4" s="129">
        <v>2678.83</v>
      </c>
      <c r="AK4" s="129">
        <v>2678.83</v>
      </c>
      <c r="AL4" s="129">
        <v>2678.83</v>
      </c>
      <c r="AM4" s="129">
        <v>2678.83</v>
      </c>
      <c r="AN4" s="129">
        <v>2678.83</v>
      </c>
      <c r="AO4" s="129">
        <v>2678.83</v>
      </c>
      <c r="AP4" s="129">
        <v>2678.83</v>
      </c>
      <c r="AQ4" s="129">
        <v>2678.83</v>
      </c>
      <c r="AR4" s="129">
        <v>2678.83</v>
      </c>
      <c r="AS4" s="129">
        <v>2678.86</v>
      </c>
      <c r="AT4" s="129">
        <v>2678.84</v>
      </c>
      <c r="AU4" s="129"/>
      <c r="AV4" s="13" t="b">
        <f t="shared" si="3"/>
        <v>1</v>
      </c>
      <c r="AW4" s="14"/>
      <c r="AX4" s="15"/>
      <c r="AY4" s="16"/>
      <c r="AZ4" s="15"/>
      <c r="BA4" s="16"/>
      <c r="BB4" s="17">
        <f t="shared" si="4"/>
        <v>0</v>
      </c>
      <c r="BC4" s="12"/>
      <c r="BD4" s="15"/>
      <c r="BE4" s="18"/>
      <c r="BF4" s="12"/>
      <c r="BG4" s="19" t="str">
        <f t="shared" si="5"/>
        <v>enero</v>
      </c>
      <c r="BH4" s="12" t="str">
        <f t="shared" si="6"/>
        <v>Corporación Ciudad Alfaro</v>
      </c>
      <c r="BI4" s="20" t="str">
        <f t="shared" si="7"/>
        <v>N/A</v>
      </c>
    </row>
    <row r="5" spans="1:61" ht="24.95" customHeight="1">
      <c r="A5" s="4">
        <v>418</v>
      </c>
      <c r="B5" s="12" t="str">
        <f>VLOOKUP($A5,'Matriz POA 2024-TRABAJO'!$A$5:$CD$9142,11,FALSE)</f>
        <v>Corporación Ciudad Alfaro</v>
      </c>
      <c r="C5" s="12" t="str">
        <f>VLOOKUP($A5,'Matriz POA 2024-TRABAJO'!$A$5:$CD$9142,14,FALSE)</f>
        <v>N/A</v>
      </c>
      <c r="D5" s="12" t="str">
        <f>VLOOKUP($A5,'Matriz POA 2024-TRABAJO'!$A$5:$CD$9142,15,FALSE)</f>
        <v>N/A</v>
      </c>
      <c r="E5" s="12" t="str">
        <f>VLOOKUP($A5,'Matriz POA 2024-TRABAJO'!$A$5:$CD$9142,18,FALSE)</f>
        <v>N/A</v>
      </c>
      <c r="F5" s="12" t="str">
        <f>VLOOKUP($A5,'Matriz POA 2024-TRABAJO'!$A$5:$CD$9142,20,FALSE)</f>
        <v>N/A</v>
      </c>
      <c r="G5" s="12" t="str">
        <f>VLOOKUP($A5,'Matriz POA 2024-TRABAJO'!$A$5:$CD$9142,21,FALSE)</f>
        <v>N/A</v>
      </c>
      <c r="H5" s="12" t="str">
        <f>VLOOKUP($A5,'Matriz POA 2024-TRABAJO'!$A$5:$CD$9142,22,FALSE)</f>
        <v>N/A</v>
      </c>
      <c r="I5" s="12" t="str">
        <f>VLOOKUP($A5,'Matriz POA 2024-TRABAJO'!$A$5:$CD$9142,23,FALSE)</f>
        <v>NUEVA</v>
      </c>
      <c r="J5" s="12" t="str">
        <f>VLOOKUP($A5,'Matriz POA 2024-TRABAJO'!$A$5:$CD$9142,24,FALSE)</f>
        <v>Décimo Cuarto Sueldo</v>
      </c>
      <c r="K5" s="12" t="str">
        <f>VLOOKUP($A5,'Matriz POA 2024-TRABAJO'!$A$5:$CD$9142,25,FALSE)</f>
        <v>0035</v>
      </c>
      <c r="L5" s="12" t="str">
        <f>VLOOKUP($A5,'Matriz POA 2024-TRABAJO'!$A$5:$CD$9142,26,FALSE)</f>
        <v>80</v>
      </c>
      <c r="M5" s="12" t="str">
        <f>VLOOKUP($A5,'Matriz POA 2024-TRABAJO'!$A$5:$CD$9142,27,FALSE)</f>
        <v>000</v>
      </c>
      <c r="N5" s="12" t="str">
        <f>VLOOKUP($A5,'Matriz POA 2024-TRABAJO'!$A$5:$CD$9142,28,FALSE)</f>
        <v>002</v>
      </c>
      <c r="O5" s="12" t="str">
        <f>VLOOKUP($A5,'Matriz POA 2024-TRABAJO'!$A$5:$CD$9142,29,FALSE)</f>
        <v>51</v>
      </c>
      <c r="P5" s="12">
        <f>VLOOKUP($A5,'Matriz POA 2024-TRABAJO'!$A$5:$CD$9142,30,FALSE)</f>
        <v>510204</v>
      </c>
      <c r="Q5" s="12">
        <f>VLOOKUP($A5,'Matriz POA 2024-TRABAJO'!$A$5:$CD$9142,32,FALSE)</f>
        <v>1300</v>
      </c>
      <c r="R5" s="12" t="str">
        <f>VLOOKUP($A5,'Matriz POA 2024-TRABAJO'!$A$5:$CD$9142,33,FALSE)</f>
        <v>001</v>
      </c>
      <c r="S5" s="12" t="str">
        <f>VLOOKUP($A5,'Matriz POA 2024-TRABAJO'!$A$5:$CD$9142,34,FALSE)</f>
        <v>0000</v>
      </c>
      <c r="T5" s="12" t="str">
        <f>VLOOKUP($A5,'Matriz POA 2024-TRABAJO'!$A$5:$CD$9142,35,FALSE)</f>
        <v>0000</v>
      </c>
      <c r="U5" s="62">
        <f>VLOOKUP($A5,'Matriz POA 2024-TRABAJO'!$A$5:$CD$9142,66,FALSE)</f>
        <v>16817.650000000001</v>
      </c>
      <c r="V5" s="62">
        <f>VLOOKUP($A5,'Matriz POA 2024-TRABAJO'!$A$5:$CD$9142,67,FALSE)</f>
        <v>0</v>
      </c>
      <c r="W5" s="62">
        <f>VLOOKUP($A5,'Matriz POA 2024-TRABAJO'!$A$5:$CD$9142,68,FALSE)</f>
        <v>0</v>
      </c>
      <c r="X5" s="62">
        <f>VLOOKUP($A5,'Matriz POA 2024-TRABAJO'!$A$5:$CD$9142,72,FALSE)</f>
        <v>16495.419999999995</v>
      </c>
      <c r="Y5" s="388">
        <v>17100</v>
      </c>
      <c r="Z5" s="388">
        <v>0</v>
      </c>
      <c r="AA5" s="388">
        <v>17100</v>
      </c>
      <c r="AB5" s="389"/>
      <c r="AC5" s="389"/>
      <c r="AD5" s="13"/>
      <c r="AE5" s="13"/>
      <c r="AF5" s="13">
        <f t="shared" si="0"/>
        <v>17100</v>
      </c>
      <c r="AG5" s="13">
        <f t="shared" si="1"/>
        <v>0</v>
      </c>
      <c r="AH5" s="13">
        <f t="shared" si="2"/>
        <v>17100</v>
      </c>
      <c r="AI5" s="129">
        <v>1425</v>
      </c>
      <c r="AJ5" s="129">
        <v>1425</v>
      </c>
      <c r="AK5" s="129">
        <v>1425</v>
      </c>
      <c r="AL5" s="129">
        <v>1425</v>
      </c>
      <c r="AM5" s="129">
        <v>1425</v>
      </c>
      <c r="AN5" s="129">
        <v>1425</v>
      </c>
      <c r="AO5" s="129">
        <v>1425</v>
      </c>
      <c r="AP5" s="129">
        <v>1425</v>
      </c>
      <c r="AQ5" s="129">
        <v>1425</v>
      </c>
      <c r="AR5" s="129">
        <v>1425</v>
      </c>
      <c r="AS5" s="129">
        <v>1425</v>
      </c>
      <c r="AT5" s="129">
        <v>1425</v>
      </c>
      <c r="AU5" s="129"/>
      <c r="AV5" s="13" t="b">
        <f t="shared" si="3"/>
        <v>1</v>
      </c>
      <c r="AW5" s="14"/>
      <c r="AX5" s="15"/>
      <c r="AY5" s="16"/>
      <c r="AZ5" s="15"/>
      <c r="BA5" s="16"/>
      <c r="BB5" s="17">
        <f t="shared" si="4"/>
        <v>0</v>
      </c>
      <c r="BC5" s="12"/>
      <c r="BD5" s="15"/>
      <c r="BE5" s="18"/>
      <c r="BF5" s="12"/>
      <c r="BG5" s="19" t="str">
        <f t="shared" si="5"/>
        <v>enero</v>
      </c>
      <c r="BH5" s="12" t="str">
        <f t="shared" si="6"/>
        <v>Corporación Ciudad Alfaro</v>
      </c>
      <c r="BI5" s="20" t="str">
        <f t="shared" si="7"/>
        <v>N/A</v>
      </c>
    </row>
    <row r="6" spans="1:61" ht="24.95" customHeight="1">
      <c r="A6" s="4">
        <v>419</v>
      </c>
      <c r="B6" s="12" t="str">
        <f>VLOOKUP($A6,'Matriz POA 2024-TRABAJO'!$A$5:$CD$9142,11,FALSE)</f>
        <v>Corporación Ciudad Alfaro</v>
      </c>
      <c r="C6" s="12" t="str">
        <f>VLOOKUP($A6,'Matriz POA 2024-TRABAJO'!$A$5:$CD$9142,14,FALSE)</f>
        <v>N/A</v>
      </c>
      <c r="D6" s="12" t="str">
        <f>VLOOKUP($A6,'Matriz POA 2024-TRABAJO'!$A$5:$CD$9142,15,FALSE)</f>
        <v>N/A</v>
      </c>
      <c r="E6" s="12" t="str">
        <f>VLOOKUP($A6,'Matriz POA 2024-TRABAJO'!$A$5:$CD$9142,18,FALSE)</f>
        <v>N/A</v>
      </c>
      <c r="F6" s="12" t="str">
        <f>VLOOKUP($A6,'Matriz POA 2024-TRABAJO'!$A$5:$CD$9142,20,FALSE)</f>
        <v>N/A</v>
      </c>
      <c r="G6" s="12" t="str">
        <f>VLOOKUP($A6,'Matriz POA 2024-TRABAJO'!$A$5:$CD$9142,21,FALSE)</f>
        <v>N/A</v>
      </c>
      <c r="H6" s="12" t="str">
        <f>VLOOKUP($A6,'Matriz POA 2024-TRABAJO'!$A$5:$CD$9142,22,FALSE)</f>
        <v>N/A</v>
      </c>
      <c r="I6" s="12" t="str">
        <f>VLOOKUP($A6,'Matriz POA 2024-TRABAJO'!$A$5:$CD$9142,23,FALSE)</f>
        <v>NUEVA</v>
      </c>
      <c r="J6" s="12" t="str">
        <f>VLOOKUP($A6,'Matriz POA 2024-TRABAJO'!$A$5:$CD$9142,24,FALSE)</f>
        <v>Compensación por Transporte</v>
      </c>
      <c r="K6" s="12" t="str">
        <f>VLOOKUP($A6,'Matriz POA 2024-TRABAJO'!$A$5:$CD$9142,25,FALSE)</f>
        <v>0035</v>
      </c>
      <c r="L6" s="12" t="str">
        <f>VLOOKUP($A6,'Matriz POA 2024-TRABAJO'!$A$5:$CD$9142,26,FALSE)</f>
        <v>80</v>
      </c>
      <c r="M6" s="12" t="str">
        <f>VLOOKUP($A6,'Matriz POA 2024-TRABAJO'!$A$5:$CD$9142,27,FALSE)</f>
        <v>000</v>
      </c>
      <c r="N6" s="12" t="str">
        <f>VLOOKUP($A6,'Matriz POA 2024-TRABAJO'!$A$5:$CD$9142,28,FALSE)</f>
        <v>002</v>
      </c>
      <c r="O6" s="12" t="str">
        <f>VLOOKUP($A6,'Matriz POA 2024-TRABAJO'!$A$5:$CD$9142,29,FALSE)</f>
        <v>51</v>
      </c>
      <c r="P6" s="12">
        <f>VLOOKUP($A6,'Matriz POA 2024-TRABAJO'!$A$5:$CD$9142,30,FALSE)</f>
        <v>510304</v>
      </c>
      <c r="Q6" s="12">
        <f>VLOOKUP($A6,'Matriz POA 2024-TRABAJO'!$A$5:$CD$9142,32,FALSE)</f>
        <v>1300</v>
      </c>
      <c r="R6" s="12" t="str">
        <f>VLOOKUP($A6,'Matriz POA 2024-TRABAJO'!$A$5:$CD$9142,33,FALSE)</f>
        <v>001</v>
      </c>
      <c r="S6" s="12" t="str">
        <f>VLOOKUP($A6,'Matriz POA 2024-TRABAJO'!$A$5:$CD$9142,34,FALSE)</f>
        <v>0000</v>
      </c>
      <c r="T6" s="12" t="str">
        <f>VLOOKUP($A6,'Matriz POA 2024-TRABAJO'!$A$5:$CD$9142,35,FALSE)</f>
        <v>0000</v>
      </c>
      <c r="U6" s="62" t="str">
        <f>VLOOKUP($A6,'Matriz POA 2024-TRABAJO'!$A$5:$CD$9142,66,FALSE)</f>
        <v/>
      </c>
      <c r="V6" s="62" t="str">
        <f>VLOOKUP($A6,'Matriz POA 2024-TRABAJO'!$A$5:$CD$9142,67,FALSE)</f>
        <v/>
      </c>
      <c r="W6" s="62">
        <f>VLOOKUP($A6,'Matriz POA 2024-TRABAJO'!$A$5:$CD$9142,68,FALSE)</f>
        <v>0</v>
      </c>
      <c r="X6" s="62">
        <f>VLOOKUP($A6,'Matriz POA 2024-TRABAJO'!$A$5:$CD$9142,72,FALSE)</f>
        <v>1186</v>
      </c>
      <c r="Y6" s="388">
        <v>1320</v>
      </c>
      <c r="Z6" s="388">
        <v>0</v>
      </c>
      <c r="AA6" s="388">
        <v>1320</v>
      </c>
      <c r="AB6" s="389"/>
      <c r="AC6" s="389"/>
      <c r="AD6" s="13"/>
      <c r="AE6" s="13"/>
      <c r="AF6" s="13">
        <f t="shared" si="0"/>
        <v>1320</v>
      </c>
      <c r="AG6" s="13">
        <f t="shared" si="1"/>
        <v>0</v>
      </c>
      <c r="AH6" s="13">
        <f t="shared" si="2"/>
        <v>1320</v>
      </c>
      <c r="AI6" s="129">
        <v>110</v>
      </c>
      <c r="AJ6" s="129">
        <v>110</v>
      </c>
      <c r="AK6" s="129">
        <v>110</v>
      </c>
      <c r="AL6" s="129">
        <v>110</v>
      </c>
      <c r="AM6" s="129">
        <v>110</v>
      </c>
      <c r="AN6" s="129">
        <v>110</v>
      </c>
      <c r="AO6" s="129">
        <v>110</v>
      </c>
      <c r="AP6" s="129">
        <v>110</v>
      </c>
      <c r="AQ6" s="129">
        <v>110</v>
      </c>
      <c r="AR6" s="129">
        <v>110</v>
      </c>
      <c r="AS6" s="129">
        <v>110</v>
      </c>
      <c r="AT6" s="129">
        <v>110</v>
      </c>
      <c r="AU6" s="129"/>
      <c r="AV6" s="13" t="b">
        <f t="shared" si="3"/>
        <v>1</v>
      </c>
      <c r="AW6" s="14"/>
      <c r="AX6" s="15"/>
      <c r="AY6" s="16"/>
      <c r="AZ6" s="15"/>
      <c r="BA6" s="16"/>
      <c r="BB6" s="17">
        <f t="shared" si="4"/>
        <v>0</v>
      </c>
      <c r="BC6" s="12"/>
      <c r="BD6" s="15"/>
      <c r="BE6" s="18"/>
      <c r="BF6" s="12"/>
      <c r="BG6" s="19" t="str">
        <f t="shared" si="5"/>
        <v>enero</v>
      </c>
      <c r="BH6" s="12" t="str">
        <f t="shared" si="6"/>
        <v>Corporación Ciudad Alfaro</v>
      </c>
      <c r="BI6" s="20" t="str">
        <f t="shared" si="7"/>
        <v>N/A</v>
      </c>
    </row>
    <row r="7" spans="1:61" ht="24.95" customHeight="1">
      <c r="A7" s="4">
        <v>420</v>
      </c>
      <c r="B7" s="12" t="str">
        <f>VLOOKUP($A7,'Matriz POA 2024-TRABAJO'!$A$5:$CD$9142,11,FALSE)</f>
        <v>Corporación Ciudad Alfaro</v>
      </c>
      <c r="C7" s="12" t="str">
        <f>VLOOKUP($A7,'Matriz POA 2024-TRABAJO'!$A$5:$CD$9142,14,FALSE)</f>
        <v>N/A</v>
      </c>
      <c r="D7" s="12" t="str">
        <f>VLOOKUP($A7,'Matriz POA 2024-TRABAJO'!$A$5:$CD$9142,15,FALSE)</f>
        <v>N/A</v>
      </c>
      <c r="E7" s="12" t="str">
        <f>VLOOKUP($A7,'Matriz POA 2024-TRABAJO'!$A$5:$CD$9142,18,FALSE)</f>
        <v>N/A</v>
      </c>
      <c r="F7" s="12" t="str">
        <f>VLOOKUP($A7,'Matriz POA 2024-TRABAJO'!$A$5:$CD$9142,20,FALSE)</f>
        <v>N/A</v>
      </c>
      <c r="G7" s="12" t="str">
        <f>VLOOKUP($A7,'Matriz POA 2024-TRABAJO'!$A$5:$CD$9142,21,FALSE)</f>
        <v>N/A</v>
      </c>
      <c r="H7" s="12" t="str">
        <f>VLOOKUP($A7,'Matriz POA 2024-TRABAJO'!$A$5:$CD$9142,22,FALSE)</f>
        <v>N/A</v>
      </c>
      <c r="I7" s="12" t="str">
        <f>VLOOKUP($A7,'Matriz POA 2024-TRABAJO'!$A$5:$CD$9142,23,FALSE)</f>
        <v>NUEVA</v>
      </c>
      <c r="J7" s="12" t="str">
        <f>VLOOKUP($A7,'Matriz POA 2024-TRABAJO'!$A$5:$CD$9142,24,FALSE)</f>
        <v>Alimentación</v>
      </c>
      <c r="K7" s="12" t="str">
        <f>VLOOKUP($A7,'Matriz POA 2024-TRABAJO'!$A$5:$CD$9142,25,FALSE)</f>
        <v>0035</v>
      </c>
      <c r="L7" s="12" t="str">
        <f>VLOOKUP($A7,'Matriz POA 2024-TRABAJO'!$A$5:$CD$9142,26,FALSE)</f>
        <v>80</v>
      </c>
      <c r="M7" s="12" t="str">
        <f>VLOOKUP($A7,'Matriz POA 2024-TRABAJO'!$A$5:$CD$9142,27,FALSE)</f>
        <v>000</v>
      </c>
      <c r="N7" s="12" t="str">
        <f>VLOOKUP($A7,'Matriz POA 2024-TRABAJO'!$A$5:$CD$9142,28,FALSE)</f>
        <v>002</v>
      </c>
      <c r="O7" s="12" t="str">
        <f>VLOOKUP($A7,'Matriz POA 2024-TRABAJO'!$A$5:$CD$9142,29,FALSE)</f>
        <v>51</v>
      </c>
      <c r="P7" s="12">
        <f>VLOOKUP($A7,'Matriz POA 2024-TRABAJO'!$A$5:$CD$9142,30,FALSE)</f>
        <v>510306</v>
      </c>
      <c r="Q7" s="12">
        <f>VLOOKUP($A7,'Matriz POA 2024-TRABAJO'!$A$5:$CD$9142,32,FALSE)</f>
        <v>1300</v>
      </c>
      <c r="R7" s="12" t="str">
        <f>VLOOKUP($A7,'Matriz POA 2024-TRABAJO'!$A$5:$CD$9142,33,FALSE)</f>
        <v>001</v>
      </c>
      <c r="S7" s="12" t="str">
        <f>VLOOKUP($A7,'Matriz POA 2024-TRABAJO'!$A$5:$CD$9142,34,FALSE)</f>
        <v>0000</v>
      </c>
      <c r="T7" s="12" t="str">
        <f>VLOOKUP($A7,'Matriz POA 2024-TRABAJO'!$A$5:$CD$9142,35,FALSE)</f>
        <v>0000</v>
      </c>
      <c r="U7" s="62" t="str">
        <f>VLOOKUP($A7,'Matriz POA 2024-TRABAJO'!$A$5:$CD$9142,66,FALSE)</f>
        <v/>
      </c>
      <c r="V7" s="62" t="str">
        <f>VLOOKUP($A7,'Matriz POA 2024-TRABAJO'!$A$5:$CD$9142,67,FALSE)</f>
        <v/>
      </c>
      <c r="W7" s="62">
        <f>VLOOKUP($A7,'Matriz POA 2024-TRABAJO'!$A$5:$CD$9142,68,FALSE)</f>
        <v>0</v>
      </c>
      <c r="X7" s="62">
        <f>VLOOKUP($A7,'Matriz POA 2024-TRABAJO'!$A$5:$CD$9142,72,FALSE)</f>
        <v>8302</v>
      </c>
      <c r="Y7" s="388">
        <v>9240</v>
      </c>
      <c r="Z7" s="388">
        <v>0</v>
      </c>
      <c r="AA7" s="388">
        <v>9240</v>
      </c>
      <c r="AB7" s="389"/>
      <c r="AC7" s="389"/>
      <c r="AD7" s="13"/>
      <c r="AE7" s="13"/>
      <c r="AF7" s="13">
        <f t="shared" si="0"/>
        <v>9240</v>
      </c>
      <c r="AG7" s="13">
        <f t="shared" si="1"/>
        <v>0</v>
      </c>
      <c r="AH7" s="13">
        <f t="shared" si="2"/>
        <v>9240</v>
      </c>
      <c r="AI7" s="129">
        <v>770</v>
      </c>
      <c r="AJ7" s="129">
        <v>770</v>
      </c>
      <c r="AK7" s="129">
        <v>770</v>
      </c>
      <c r="AL7" s="129">
        <v>770</v>
      </c>
      <c r="AM7" s="129">
        <v>770</v>
      </c>
      <c r="AN7" s="129">
        <v>770</v>
      </c>
      <c r="AO7" s="129">
        <v>770</v>
      </c>
      <c r="AP7" s="129">
        <v>770</v>
      </c>
      <c r="AQ7" s="129">
        <v>770</v>
      </c>
      <c r="AR7" s="129">
        <v>770</v>
      </c>
      <c r="AS7" s="129">
        <v>770</v>
      </c>
      <c r="AT7" s="129">
        <v>770</v>
      </c>
      <c r="AU7" s="129"/>
      <c r="AV7" s="13" t="b">
        <f t="shared" si="3"/>
        <v>1</v>
      </c>
      <c r="AW7" s="14"/>
      <c r="AX7" s="15"/>
      <c r="AY7" s="16"/>
      <c r="AZ7" s="15"/>
      <c r="BA7" s="16"/>
      <c r="BB7" s="17">
        <f t="shared" si="4"/>
        <v>0</v>
      </c>
      <c r="BC7" s="12"/>
      <c r="BD7" s="15"/>
      <c r="BE7" s="18"/>
      <c r="BF7" s="12"/>
      <c r="BG7" s="19" t="str">
        <f t="shared" si="5"/>
        <v>enero</v>
      </c>
      <c r="BH7" s="12" t="str">
        <f t="shared" si="6"/>
        <v>Corporación Ciudad Alfaro</v>
      </c>
      <c r="BI7" s="20" t="str">
        <f t="shared" si="7"/>
        <v>N/A</v>
      </c>
    </row>
    <row r="8" spans="1:61" ht="24.95" customHeight="1">
      <c r="A8" s="4">
        <v>421</v>
      </c>
      <c r="B8" s="12" t="str">
        <f>VLOOKUP($A8,'Matriz POA 2024-TRABAJO'!$A$5:$CD$9142,11,FALSE)</f>
        <v>Corporación Ciudad Alfaro</v>
      </c>
      <c r="C8" s="12" t="str">
        <f>VLOOKUP($A8,'Matriz POA 2024-TRABAJO'!$A$5:$CD$9142,14,FALSE)</f>
        <v>N/A</v>
      </c>
      <c r="D8" s="12" t="str">
        <f>VLOOKUP($A8,'Matriz POA 2024-TRABAJO'!$A$5:$CD$9142,15,FALSE)</f>
        <v>N/A</v>
      </c>
      <c r="E8" s="12" t="str">
        <f>VLOOKUP($A8,'Matriz POA 2024-TRABAJO'!$A$5:$CD$9142,18,FALSE)</f>
        <v>N/A</v>
      </c>
      <c r="F8" s="12" t="str">
        <f>VLOOKUP($A8,'Matriz POA 2024-TRABAJO'!$A$5:$CD$9142,20,FALSE)</f>
        <v>N/A</v>
      </c>
      <c r="G8" s="12" t="str">
        <f>VLOOKUP($A8,'Matriz POA 2024-TRABAJO'!$A$5:$CD$9142,21,FALSE)</f>
        <v>N/A</v>
      </c>
      <c r="H8" s="12" t="str">
        <f>VLOOKUP($A8,'Matriz POA 2024-TRABAJO'!$A$5:$CD$9142,22,FALSE)</f>
        <v>N/A</v>
      </c>
      <c r="I8" s="12" t="str">
        <f>VLOOKUP($A8,'Matriz POA 2024-TRABAJO'!$A$5:$CD$9142,23,FALSE)</f>
        <v>NUEVA</v>
      </c>
      <c r="J8" s="12" t="str">
        <f>VLOOKUP($A8,'Matriz POA 2024-TRABAJO'!$A$5:$CD$9142,24,FALSE)</f>
        <v>Por Cargas Familiares</v>
      </c>
      <c r="K8" s="12" t="str">
        <f>VLOOKUP($A8,'Matriz POA 2024-TRABAJO'!$A$5:$CD$9142,25,FALSE)</f>
        <v>0035</v>
      </c>
      <c r="L8" s="12" t="str">
        <f>VLOOKUP($A8,'Matriz POA 2024-TRABAJO'!$A$5:$CD$9142,26,FALSE)</f>
        <v>80</v>
      </c>
      <c r="M8" s="12" t="str">
        <f>VLOOKUP($A8,'Matriz POA 2024-TRABAJO'!$A$5:$CD$9142,27,FALSE)</f>
        <v>000</v>
      </c>
      <c r="N8" s="12" t="str">
        <f>VLOOKUP($A8,'Matriz POA 2024-TRABAJO'!$A$5:$CD$9142,28,FALSE)</f>
        <v>002</v>
      </c>
      <c r="O8" s="12" t="str">
        <f>VLOOKUP($A8,'Matriz POA 2024-TRABAJO'!$A$5:$CD$9142,29,FALSE)</f>
        <v>51</v>
      </c>
      <c r="P8" s="12">
        <f>VLOOKUP($A8,'Matriz POA 2024-TRABAJO'!$A$5:$CD$9142,30,FALSE)</f>
        <v>510401</v>
      </c>
      <c r="Q8" s="12">
        <f>VLOOKUP($A8,'Matriz POA 2024-TRABAJO'!$A$5:$CD$9142,32,FALSE)</f>
        <v>1300</v>
      </c>
      <c r="R8" s="12" t="str">
        <f>VLOOKUP($A8,'Matriz POA 2024-TRABAJO'!$A$5:$CD$9142,33,FALSE)</f>
        <v>001</v>
      </c>
      <c r="S8" s="12" t="str">
        <f>VLOOKUP($A8,'Matriz POA 2024-TRABAJO'!$A$5:$CD$9142,34,FALSE)</f>
        <v>0000</v>
      </c>
      <c r="T8" s="12" t="str">
        <f>VLOOKUP($A8,'Matriz POA 2024-TRABAJO'!$A$5:$CD$9142,35,FALSE)</f>
        <v>0000</v>
      </c>
      <c r="U8" s="62" t="str">
        <f>VLOOKUP($A8,'Matriz POA 2024-TRABAJO'!$A$5:$CD$9142,66,FALSE)</f>
        <v/>
      </c>
      <c r="V8" s="62" t="str">
        <f>VLOOKUP($A8,'Matriz POA 2024-TRABAJO'!$A$5:$CD$9142,67,FALSE)</f>
        <v/>
      </c>
      <c r="W8" s="62">
        <f>VLOOKUP($A8,'Matriz POA 2024-TRABAJO'!$A$5:$CD$9142,68,FALSE)</f>
        <v>0</v>
      </c>
      <c r="X8" s="62">
        <f>VLOOKUP($A8,'Matriz POA 2024-TRABAJO'!$A$5:$CD$9142,72,FALSE)</f>
        <v>396.47999999999996</v>
      </c>
      <c r="Y8" s="388">
        <v>480</v>
      </c>
      <c r="Z8" s="388">
        <v>0</v>
      </c>
      <c r="AA8" s="388">
        <v>480</v>
      </c>
      <c r="AB8" s="389"/>
      <c r="AC8" s="389"/>
      <c r="AD8" s="13"/>
      <c r="AE8" s="13"/>
      <c r="AF8" s="13">
        <f t="shared" si="0"/>
        <v>480</v>
      </c>
      <c r="AG8" s="13">
        <f t="shared" si="1"/>
        <v>0</v>
      </c>
      <c r="AH8" s="13">
        <f t="shared" si="2"/>
        <v>480</v>
      </c>
      <c r="AI8" s="129">
        <v>40</v>
      </c>
      <c r="AJ8" s="129">
        <v>40</v>
      </c>
      <c r="AK8" s="129">
        <v>40</v>
      </c>
      <c r="AL8" s="129">
        <v>40</v>
      </c>
      <c r="AM8" s="129">
        <v>40</v>
      </c>
      <c r="AN8" s="129">
        <v>40</v>
      </c>
      <c r="AO8" s="129">
        <v>40</v>
      </c>
      <c r="AP8" s="129">
        <v>40</v>
      </c>
      <c r="AQ8" s="129">
        <v>40</v>
      </c>
      <c r="AR8" s="129">
        <v>40</v>
      </c>
      <c r="AS8" s="129">
        <v>40</v>
      </c>
      <c r="AT8" s="129">
        <v>40</v>
      </c>
      <c r="AU8" s="129"/>
      <c r="AV8" s="13" t="b">
        <f t="shared" si="3"/>
        <v>1</v>
      </c>
      <c r="AW8" s="14"/>
      <c r="AX8" s="15"/>
      <c r="AY8" s="16"/>
      <c r="AZ8" s="15"/>
      <c r="BA8" s="16"/>
      <c r="BB8" s="17">
        <f t="shared" si="4"/>
        <v>0</v>
      </c>
      <c r="BC8" s="12"/>
      <c r="BD8" s="15"/>
      <c r="BE8" s="18"/>
      <c r="BF8" s="12"/>
      <c r="BG8" s="19" t="str">
        <f t="shared" si="5"/>
        <v>enero</v>
      </c>
      <c r="BH8" s="12" t="str">
        <f t="shared" si="6"/>
        <v>Corporación Ciudad Alfaro</v>
      </c>
      <c r="BI8" s="20" t="str">
        <f t="shared" si="7"/>
        <v>N/A</v>
      </c>
    </row>
    <row r="9" spans="1:61" ht="24.95" customHeight="1">
      <c r="A9" s="4">
        <v>422</v>
      </c>
      <c r="B9" s="12" t="str">
        <f>VLOOKUP($A9,'Matriz POA 2024-TRABAJO'!$A$5:$CD$9142,11,FALSE)</f>
        <v>Corporación Ciudad Alfaro</v>
      </c>
      <c r="C9" s="12" t="str">
        <f>VLOOKUP($A9,'Matriz POA 2024-TRABAJO'!$A$5:$CD$9142,14,FALSE)</f>
        <v>N/A</v>
      </c>
      <c r="D9" s="12" t="str">
        <f>VLOOKUP($A9,'Matriz POA 2024-TRABAJO'!$A$5:$CD$9142,15,FALSE)</f>
        <v>N/A</v>
      </c>
      <c r="E9" s="12" t="str">
        <f>VLOOKUP($A9,'Matriz POA 2024-TRABAJO'!$A$5:$CD$9142,18,FALSE)</f>
        <v>N/A</v>
      </c>
      <c r="F9" s="12" t="str">
        <f>VLOOKUP($A9,'Matriz POA 2024-TRABAJO'!$A$5:$CD$9142,20,FALSE)</f>
        <v>N/A</v>
      </c>
      <c r="G9" s="12" t="str">
        <f>VLOOKUP($A9,'Matriz POA 2024-TRABAJO'!$A$5:$CD$9142,21,FALSE)</f>
        <v>N/A</v>
      </c>
      <c r="H9" s="12" t="str">
        <f>VLOOKUP($A9,'Matriz POA 2024-TRABAJO'!$A$5:$CD$9142,22,FALSE)</f>
        <v>N/A</v>
      </c>
      <c r="I9" s="12" t="str">
        <f>VLOOKUP($A9,'Matriz POA 2024-TRABAJO'!$A$5:$CD$9142,23,FALSE)</f>
        <v>NUEVA</v>
      </c>
      <c r="J9" s="12" t="str">
        <f>VLOOKUP($A9,'Matriz POA 2024-TRABAJO'!$A$5:$CD$9142,24,FALSE)</f>
        <v>Subsidio de Antigüedad</v>
      </c>
      <c r="K9" s="12" t="str">
        <f>VLOOKUP($A9,'Matriz POA 2024-TRABAJO'!$A$5:$CD$9142,25,FALSE)</f>
        <v>0035</v>
      </c>
      <c r="L9" s="12" t="str">
        <f>VLOOKUP($A9,'Matriz POA 2024-TRABAJO'!$A$5:$CD$9142,26,FALSE)</f>
        <v>80</v>
      </c>
      <c r="M9" s="12" t="str">
        <f>VLOOKUP($A9,'Matriz POA 2024-TRABAJO'!$A$5:$CD$9142,27,FALSE)</f>
        <v>000</v>
      </c>
      <c r="N9" s="12" t="str">
        <f>VLOOKUP($A9,'Matriz POA 2024-TRABAJO'!$A$5:$CD$9142,28,FALSE)</f>
        <v>002</v>
      </c>
      <c r="O9" s="12" t="str">
        <f>VLOOKUP($A9,'Matriz POA 2024-TRABAJO'!$A$5:$CD$9142,29,FALSE)</f>
        <v>51</v>
      </c>
      <c r="P9" s="12">
        <f>VLOOKUP($A9,'Matriz POA 2024-TRABAJO'!$A$5:$CD$9142,30,FALSE)</f>
        <v>510408</v>
      </c>
      <c r="Q9" s="12">
        <f>VLOOKUP($A9,'Matriz POA 2024-TRABAJO'!$A$5:$CD$9142,32,FALSE)</f>
        <v>1300</v>
      </c>
      <c r="R9" s="12" t="str">
        <f>VLOOKUP($A9,'Matriz POA 2024-TRABAJO'!$A$5:$CD$9142,33,FALSE)</f>
        <v>001</v>
      </c>
      <c r="S9" s="12" t="str">
        <f>VLOOKUP($A9,'Matriz POA 2024-TRABAJO'!$A$5:$CD$9142,34,FALSE)</f>
        <v>0000</v>
      </c>
      <c r="T9" s="12" t="str">
        <f>VLOOKUP($A9,'Matriz POA 2024-TRABAJO'!$A$5:$CD$9142,35,FALSE)</f>
        <v>0000</v>
      </c>
      <c r="U9" s="62" t="str">
        <f>VLOOKUP($A9,'Matriz POA 2024-TRABAJO'!$A$5:$CD$9142,66,FALSE)</f>
        <v/>
      </c>
      <c r="V9" s="62" t="str">
        <f>VLOOKUP($A9,'Matriz POA 2024-TRABAJO'!$A$5:$CD$9142,67,FALSE)</f>
        <v/>
      </c>
      <c r="W9" s="62">
        <f>VLOOKUP($A9,'Matriz POA 2024-TRABAJO'!$A$5:$CD$9142,68,FALSE)</f>
        <v>0</v>
      </c>
      <c r="X9" s="62">
        <f>VLOOKUP($A9,'Matriz POA 2024-TRABAJO'!$A$5:$CD$9142,72,FALSE)</f>
        <v>443.83</v>
      </c>
      <c r="Y9" s="388">
        <v>1080</v>
      </c>
      <c r="Z9" s="388">
        <v>0</v>
      </c>
      <c r="AA9" s="388">
        <v>1080</v>
      </c>
      <c r="AB9" s="389"/>
      <c r="AC9" s="389"/>
      <c r="AD9" s="13"/>
      <c r="AE9" s="13"/>
      <c r="AF9" s="13">
        <f t="shared" si="0"/>
        <v>1080</v>
      </c>
      <c r="AG9" s="13">
        <f t="shared" si="1"/>
        <v>0</v>
      </c>
      <c r="AH9" s="13">
        <f t="shared" si="2"/>
        <v>1080</v>
      </c>
      <c r="AI9" s="129">
        <v>90</v>
      </c>
      <c r="AJ9" s="129">
        <v>90</v>
      </c>
      <c r="AK9" s="129">
        <v>90</v>
      </c>
      <c r="AL9" s="129">
        <v>90</v>
      </c>
      <c r="AM9" s="129">
        <v>90</v>
      </c>
      <c r="AN9" s="129">
        <v>90</v>
      </c>
      <c r="AO9" s="129">
        <v>90</v>
      </c>
      <c r="AP9" s="129">
        <v>90</v>
      </c>
      <c r="AQ9" s="129">
        <v>90</v>
      </c>
      <c r="AR9" s="129">
        <v>90</v>
      </c>
      <c r="AS9" s="129">
        <v>90</v>
      </c>
      <c r="AT9" s="129">
        <v>90</v>
      </c>
      <c r="AU9" s="129"/>
      <c r="AV9" s="13" t="b">
        <f t="shared" si="3"/>
        <v>1</v>
      </c>
      <c r="AW9" s="14"/>
      <c r="AX9" s="15"/>
      <c r="AY9" s="16"/>
      <c r="AZ9" s="15"/>
      <c r="BA9" s="16"/>
      <c r="BB9" s="17">
        <f t="shared" si="4"/>
        <v>0</v>
      </c>
      <c r="BC9" s="12"/>
      <c r="BD9" s="15"/>
      <c r="BE9" s="18"/>
      <c r="BF9" s="12"/>
      <c r="BG9" s="19" t="str">
        <f t="shared" si="5"/>
        <v>enero</v>
      </c>
      <c r="BH9" s="12" t="str">
        <f t="shared" si="6"/>
        <v>Corporación Ciudad Alfaro</v>
      </c>
      <c r="BI9" s="20" t="str">
        <f t="shared" si="7"/>
        <v>N/A</v>
      </c>
    </row>
    <row r="10" spans="1:61" ht="24.95" customHeight="1">
      <c r="A10" s="4">
        <v>423</v>
      </c>
      <c r="B10" s="12" t="str">
        <f>VLOOKUP($A10,'Matriz POA 2024-TRABAJO'!$A$5:$CD$9142,11,FALSE)</f>
        <v>Corporación Ciudad Alfaro</v>
      </c>
      <c r="C10" s="12" t="str">
        <f>VLOOKUP($A10,'Matriz POA 2024-TRABAJO'!$A$5:$CD$9142,14,FALSE)</f>
        <v>N/A</v>
      </c>
      <c r="D10" s="12" t="str">
        <f>VLOOKUP($A10,'Matriz POA 2024-TRABAJO'!$A$5:$CD$9142,15,FALSE)</f>
        <v>N/A</v>
      </c>
      <c r="E10" s="12" t="str">
        <f>VLOOKUP($A10,'Matriz POA 2024-TRABAJO'!$A$5:$CD$9142,18,FALSE)</f>
        <v>N/A</v>
      </c>
      <c r="F10" s="12" t="str">
        <f>VLOOKUP($A10,'Matriz POA 2024-TRABAJO'!$A$5:$CD$9142,20,FALSE)</f>
        <v>N/A</v>
      </c>
      <c r="G10" s="12" t="str">
        <f>VLOOKUP($A10,'Matriz POA 2024-TRABAJO'!$A$5:$CD$9142,21,FALSE)</f>
        <v>N/A</v>
      </c>
      <c r="H10" s="12" t="str">
        <f>VLOOKUP($A10,'Matriz POA 2024-TRABAJO'!$A$5:$CD$9142,22,FALSE)</f>
        <v>N/A</v>
      </c>
      <c r="I10" s="12" t="str">
        <f>VLOOKUP($A10,'Matriz POA 2024-TRABAJO'!$A$5:$CD$9142,23,FALSE)</f>
        <v>NUEVA</v>
      </c>
      <c r="J10" s="12" t="str">
        <f>VLOOKUP($A10,'Matriz POA 2024-TRABAJO'!$A$5:$CD$9142,24,FALSE)</f>
        <v>Servicios Personales por Contrato</v>
      </c>
      <c r="K10" s="12" t="str">
        <f>VLOOKUP($A10,'Matriz POA 2024-TRABAJO'!$A$5:$CD$9142,25,FALSE)</f>
        <v>0035</v>
      </c>
      <c r="L10" s="12" t="str">
        <f>VLOOKUP($A10,'Matriz POA 2024-TRABAJO'!$A$5:$CD$9142,26,FALSE)</f>
        <v>80</v>
      </c>
      <c r="M10" s="12" t="str">
        <f>VLOOKUP($A10,'Matriz POA 2024-TRABAJO'!$A$5:$CD$9142,27,FALSE)</f>
        <v>000</v>
      </c>
      <c r="N10" s="12" t="str">
        <f>VLOOKUP($A10,'Matriz POA 2024-TRABAJO'!$A$5:$CD$9142,28,FALSE)</f>
        <v>002</v>
      </c>
      <c r="O10" s="12" t="str">
        <f>VLOOKUP($A10,'Matriz POA 2024-TRABAJO'!$A$5:$CD$9142,29,FALSE)</f>
        <v>51</v>
      </c>
      <c r="P10" s="12">
        <f>VLOOKUP($A10,'Matriz POA 2024-TRABAJO'!$A$5:$CD$9142,30,FALSE)</f>
        <v>510510</v>
      </c>
      <c r="Q10" s="12">
        <f>VLOOKUP($A10,'Matriz POA 2024-TRABAJO'!$A$5:$CD$9142,32,FALSE)</f>
        <v>1300</v>
      </c>
      <c r="R10" s="12" t="str">
        <f>VLOOKUP($A10,'Matriz POA 2024-TRABAJO'!$A$5:$CD$9142,33,FALSE)</f>
        <v>001</v>
      </c>
      <c r="S10" s="12" t="str">
        <f>VLOOKUP($A10,'Matriz POA 2024-TRABAJO'!$A$5:$CD$9142,34,FALSE)</f>
        <v>0000</v>
      </c>
      <c r="T10" s="12" t="str">
        <f>VLOOKUP($A10,'Matriz POA 2024-TRABAJO'!$A$5:$CD$9142,35,FALSE)</f>
        <v>0000</v>
      </c>
      <c r="U10" s="62">
        <f>VLOOKUP($A10,'Matriz POA 2024-TRABAJO'!$A$5:$CD$9142,66,FALSE)</f>
        <v>32136</v>
      </c>
      <c r="V10" s="62">
        <f>VLOOKUP($A10,'Matriz POA 2024-TRABAJO'!$A$5:$CD$9142,67,FALSE)</f>
        <v>0</v>
      </c>
      <c r="W10" s="62">
        <f>VLOOKUP($A10,'Matriz POA 2024-TRABAJO'!$A$5:$CD$9142,68,FALSE)</f>
        <v>0</v>
      </c>
      <c r="X10" s="62">
        <f>VLOOKUP($A10,'Matriz POA 2024-TRABAJO'!$A$5:$CD$9142,72,FALSE)</f>
        <v>32136</v>
      </c>
      <c r="Y10" s="388">
        <v>32136</v>
      </c>
      <c r="Z10" s="388">
        <v>0</v>
      </c>
      <c r="AA10" s="388">
        <v>32136</v>
      </c>
      <c r="AB10" s="389"/>
      <c r="AC10" s="389"/>
      <c r="AD10" s="13"/>
      <c r="AE10" s="13"/>
      <c r="AF10" s="13">
        <f t="shared" si="0"/>
        <v>32136</v>
      </c>
      <c r="AG10" s="13">
        <f t="shared" si="1"/>
        <v>0</v>
      </c>
      <c r="AH10" s="13">
        <f t="shared" si="2"/>
        <v>32136</v>
      </c>
      <c r="AI10" s="129">
        <v>2678</v>
      </c>
      <c r="AJ10" s="129">
        <v>2678</v>
      </c>
      <c r="AK10" s="129">
        <v>2678</v>
      </c>
      <c r="AL10" s="129">
        <v>2678</v>
      </c>
      <c r="AM10" s="129">
        <v>2678</v>
      </c>
      <c r="AN10" s="129">
        <v>2678</v>
      </c>
      <c r="AO10" s="129">
        <v>2678</v>
      </c>
      <c r="AP10" s="129">
        <v>2678</v>
      </c>
      <c r="AQ10" s="129">
        <v>2678</v>
      </c>
      <c r="AR10" s="129">
        <v>2678</v>
      </c>
      <c r="AS10" s="129">
        <v>2678</v>
      </c>
      <c r="AT10" s="129">
        <v>2678</v>
      </c>
      <c r="AU10" s="129"/>
      <c r="AV10" s="13" t="b">
        <f t="shared" si="3"/>
        <v>1</v>
      </c>
      <c r="AW10" s="14"/>
      <c r="AX10" s="15"/>
      <c r="AY10" s="16"/>
      <c r="AZ10" s="15"/>
      <c r="BA10" s="16"/>
      <c r="BB10" s="17">
        <f t="shared" si="4"/>
        <v>0</v>
      </c>
      <c r="BC10" s="12"/>
      <c r="BD10" s="15"/>
      <c r="BE10" s="18"/>
      <c r="BF10" s="12"/>
      <c r="BG10" s="19" t="str">
        <f t="shared" si="5"/>
        <v>enero</v>
      </c>
      <c r="BH10" s="12" t="str">
        <f t="shared" si="6"/>
        <v>Corporación Ciudad Alfaro</v>
      </c>
      <c r="BI10" s="20" t="str">
        <f t="shared" si="7"/>
        <v>N/A</v>
      </c>
    </row>
    <row r="11" spans="1:61" ht="24.95" customHeight="1">
      <c r="A11" s="4">
        <v>424</v>
      </c>
      <c r="B11" s="12" t="str">
        <f>VLOOKUP($A11,'Matriz POA 2024-TRABAJO'!$A$5:$CD$9142,11,FALSE)</f>
        <v>Corporación Ciudad Alfaro</v>
      </c>
      <c r="C11" s="12" t="str">
        <f>VLOOKUP($A11,'Matriz POA 2024-TRABAJO'!$A$5:$CD$9142,14,FALSE)</f>
        <v>N/A</v>
      </c>
      <c r="D11" s="12" t="str">
        <f>VLOOKUP($A11,'Matriz POA 2024-TRABAJO'!$A$5:$CD$9142,15,FALSE)</f>
        <v>N/A</v>
      </c>
      <c r="E11" s="12" t="str">
        <f>VLOOKUP($A11,'Matriz POA 2024-TRABAJO'!$A$5:$CD$9142,18,FALSE)</f>
        <v>N/A</v>
      </c>
      <c r="F11" s="12" t="str">
        <f>VLOOKUP($A11,'Matriz POA 2024-TRABAJO'!$A$5:$CD$9142,20,FALSE)</f>
        <v>N/A</v>
      </c>
      <c r="G11" s="12" t="str">
        <f>VLOOKUP($A11,'Matriz POA 2024-TRABAJO'!$A$5:$CD$9142,21,FALSE)</f>
        <v>N/A</v>
      </c>
      <c r="H11" s="12" t="str">
        <f>VLOOKUP($A11,'Matriz POA 2024-TRABAJO'!$A$5:$CD$9142,22,FALSE)</f>
        <v>N/A</v>
      </c>
      <c r="I11" s="12" t="str">
        <f>VLOOKUP($A11,'Matriz POA 2024-TRABAJO'!$A$5:$CD$9142,23,FALSE)</f>
        <v>NUEVA</v>
      </c>
      <c r="J11" s="12" t="str">
        <f>VLOOKUP($A11,'Matriz POA 2024-TRABAJO'!$A$5:$CD$9142,24,FALSE)</f>
        <v xml:space="preserve">Aporte Patronal </v>
      </c>
      <c r="K11" s="12" t="str">
        <f>VLOOKUP($A11,'Matriz POA 2024-TRABAJO'!$A$5:$CD$9142,25,FALSE)</f>
        <v>0035</v>
      </c>
      <c r="L11" s="12" t="str">
        <f>VLOOKUP($A11,'Matriz POA 2024-TRABAJO'!$A$5:$CD$9142,26,FALSE)</f>
        <v>80</v>
      </c>
      <c r="M11" s="12" t="str">
        <f>VLOOKUP($A11,'Matriz POA 2024-TRABAJO'!$A$5:$CD$9142,27,FALSE)</f>
        <v>000</v>
      </c>
      <c r="N11" s="12" t="str">
        <f>VLOOKUP($A11,'Matriz POA 2024-TRABAJO'!$A$5:$CD$9142,28,FALSE)</f>
        <v>002</v>
      </c>
      <c r="O11" s="12" t="str">
        <f>VLOOKUP($A11,'Matriz POA 2024-TRABAJO'!$A$5:$CD$9142,29,FALSE)</f>
        <v>51</v>
      </c>
      <c r="P11" s="12">
        <f>VLOOKUP($A11,'Matriz POA 2024-TRABAJO'!$A$5:$CD$9142,30,FALSE)</f>
        <v>510601</v>
      </c>
      <c r="Q11" s="12">
        <f>VLOOKUP($A11,'Matriz POA 2024-TRABAJO'!$A$5:$CD$9142,32,FALSE)</f>
        <v>1300</v>
      </c>
      <c r="R11" s="12" t="str">
        <f>VLOOKUP($A11,'Matriz POA 2024-TRABAJO'!$A$5:$CD$9142,33,FALSE)</f>
        <v>001</v>
      </c>
      <c r="S11" s="12" t="str">
        <f>VLOOKUP($A11,'Matriz POA 2024-TRABAJO'!$A$5:$CD$9142,34,FALSE)</f>
        <v>0000</v>
      </c>
      <c r="T11" s="12" t="str">
        <f>VLOOKUP($A11,'Matriz POA 2024-TRABAJO'!$A$5:$CD$9142,35,FALSE)</f>
        <v>0000</v>
      </c>
      <c r="U11" s="62">
        <f>VLOOKUP($A11,'Matriz POA 2024-TRABAJO'!$A$5:$CD$9142,66,FALSE)</f>
        <v>38582.559999999998</v>
      </c>
      <c r="V11" s="62">
        <f>VLOOKUP($A11,'Matriz POA 2024-TRABAJO'!$A$5:$CD$9142,67,FALSE)</f>
        <v>-584.79000000000087</v>
      </c>
      <c r="W11" s="62">
        <f>VLOOKUP($A11,'Matriz POA 2024-TRABAJO'!$A$5:$CD$9142,68,FALSE)</f>
        <v>0</v>
      </c>
      <c r="X11" s="62">
        <f>VLOOKUP($A11,'Matriz POA 2024-TRABAJO'!$A$5:$CD$9142,72,FALSE)</f>
        <v>37446.300000000003</v>
      </c>
      <c r="Y11" s="388">
        <v>38939.57</v>
      </c>
      <c r="Z11" s="388">
        <v>0</v>
      </c>
      <c r="AA11" s="388">
        <v>38939.57</v>
      </c>
      <c r="AB11" s="389"/>
      <c r="AC11" s="389"/>
      <c r="AD11" s="13"/>
      <c r="AE11" s="13"/>
      <c r="AF11" s="13">
        <f t="shared" si="0"/>
        <v>38939.57</v>
      </c>
      <c r="AG11" s="13">
        <f t="shared" si="1"/>
        <v>0</v>
      </c>
      <c r="AH11" s="13">
        <f t="shared" si="2"/>
        <v>38939.57</v>
      </c>
      <c r="AI11" s="129">
        <v>3244.96</v>
      </c>
      <c r="AJ11" s="129">
        <v>3244.96</v>
      </c>
      <c r="AK11" s="129">
        <v>3244.96</v>
      </c>
      <c r="AL11" s="129">
        <v>3244.96</v>
      </c>
      <c r="AM11" s="129">
        <v>3244.96</v>
      </c>
      <c r="AN11" s="129">
        <v>3244.96</v>
      </c>
      <c r="AO11" s="129">
        <v>3244.96</v>
      </c>
      <c r="AP11" s="129">
        <v>3244.96</v>
      </c>
      <c r="AQ11" s="129">
        <v>3244.96</v>
      </c>
      <c r="AR11" s="129">
        <v>3244.96</v>
      </c>
      <c r="AS11" s="129">
        <v>3244.96</v>
      </c>
      <c r="AT11" s="129">
        <v>3245.01</v>
      </c>
      <c r="AU11" s="129"/>
      <c r="AV11" s="13" t="b">
        <f t="shared" si="3"/>
        <v>1</v>
      </c>
      <c r="AW11" s="14"/>
      <c r="AX11" s="15"/>
      <c r="AY11" s="16"/>
      <c r="AZ11" s="15"/>
      <c r="BA11" s="16"/>
      <c r="BB11" s="17">
        <f t="shared" si="4"/>
        <v>0</v>
      </c>
      <c r="BC11" s="12"/>
      <c r="BD11" s="15"/>
      <c r="BE11" s="18"/>
      <c r="BF11" s="12"/>
      <c r="BG11" s="19" t="str">
        <f t="shared" si="5"/>
        <v>enero</v>
      </c>
      <c r="BH11" s="12" t="str">
        <f t="shared" si="6"/>
        <v>Corporación Ciudad Alfaro</v>
      </c>
      <c r="BI11" s="20" t="str">
        <f t="shared" si="7"/>
        <v>N/A</v>
      </c>
    </row>
    <row r="12" spans="1:61" ht="24.95" customHeight="1">
      <c r="A12" s="4">
        <v>425</v>
      </c>
      <c r="B12" s="12" t="str">
        <f>VLOOKUP($A12,'Matriz POA 2024-TRABAJO'!$A$5:$CD$9142,11,FALSE)</f>
        <v>Corporación Ciudad Alfaro</v>
      </c>
      <c r="C12" s="12" t="str">
        <f>VLOOKUP($A12,'Matriz POA 2024-TRABAJO'!$A$5:$CD$9142,14,FALSE)</f>
        <v>N/A</v>
      </c>
      <c r="D12" s="12" t="str">
        <f>VLOOKUP($A12,'Matriz POA 2024-TRABAJO'!$A$5:$CD$9142,15,FALSE)</f>
        <v>N/A</v>
      </c>
      <c r="E12" s="12" t="str">
        <f>VLOOKUP($A12,'Matriz POA 2024-TRABAJO'!$A$5:$CD$9142,18,FALSE)</f>
        <v>N/A</v>
      </c>
      <c r="F12" s="12" t="str">
        <f>VLOOKUP($A12,'Matriz POA 2024-TRABAJO'!$A$5:$CD$9142,20,FALSE)</f>
        <v>N/A</v>
      </c>
      <c r="G12" s="12" t="str">
        <f>VLOOKUP($A12,'Matriz POA 2024-TRABAJO'!$A$5:$CD$9142,21,FALSE)</f>
        <v>N/A</v>
      </c>
      <c r="H12" s="12" t="str">
        <f>VLOOKUP($A12,'Matriz POA 2024-TRABAJO'!$A$5:$CD$9142,22,FALSE)</f>
        <v>N/A</v>
      </c>
      <c r="I12" s="12" t="str">
        <f>VLOOKUP($A12,'Matriz POA 2024-TRABAJO'!$A$5:$CD$9142,23,FALSE)</f>
        <v>NUEVA</v>
      </c>
      <c r="J12" s="12" t="str">
        <f>VLOOKUP($A12,'Matriz POA 2024-TRABAJO'!$A$5:$CD$9142,24,FALSE)</f>
        <v>Fondo de Reserva</v>
      </c>
      <c r="K12" s="12" t="str">
        <f>VLOOKUP($A12,'Matriz POA 2024-TRABAJO'!$A$5:$CD$9142,25,FALSE)</f>
        <v>0035</v>
      </c>
      <c r="L12" s="12" t="str">
        <f>VLOOKUP($A12,'Matriz POA 2024-TRABAJO'!$A$5:$CD$9142,26,FALSE)</f>
        <v>80</v>
      </c>
      <c r="M12" s="12" t="str">
        <f>VLOOKUP($A12,'Matriz POA 2024-TRABAJO'!$A$5:$CD$9142,27,FALSE)</f>
        <v>000</v>
      </c>
      <c r="N12" s="12" t="str">
        <f>VLOOKUP($A12,'Matriz POA 2024-TRABAJO'!$A$5:$CD$9142,28,FALSE)</f>
        <v>002</v>
      </c>
      <c r="O12" s="12" t="str">
        <f>VLOOKUP($A12,'Matriz POA 2024-TRABAJO'!$A$5:$CD$9142,29,FALSE)</f>
        <v>51</v>
      </c>
      <c r="P12" s="12">
        <f>VLOOKUP($A12,'Matriz POA 2024-TRABAJO'!$A$5:$CD$9142,30,FALSE)</f>
        <v>510602</v>
      </c>
      <c r="Q12" s="12">
        <f>VLOOKUP($A12,'Matriz POA 2024-TRABAJO'!$A$5:$CD$9142,32,FALSE)</f>
        <v>1300</v>
      </c>
      <c r="R12" s="12" t="str">
        <f>VLOOKUP($A12,'Matriz POA 2024-TRABAJO'!$A$5:$CD$9142,33,FALSE)</f>
        <v>001</v>
      </c>
      <c r="S12" s="12" t="str">
        <f>VLOOKUP($A12,'Matriz POA 2024-TRABAJO'!$A$5:$CD$9142,34,FALSE)</f>
        <v>0000</v>
      </c>
      <c r="T12" s="12" t="str">
        <f>VLOOKUP($A12,'Matriz POA 2024-TRABAJO'!$A$5:$CD$9142,35,FALSE)</f>
        <v>0000</v>
      </c>
      <c r="U12" s="62">
        <f>VLOOKUP($A12,'Matriz POA 2024-TRABAJO'!$A$5:$CD$9142,66,FALSE)</f>
        <v>28176.35</v>
      </c>
      <c r="V12" s="62">
        <f>VLOOKUP($A12,'Matriz POA 2024-TRABAJO'!$A$5:$CD$9142,67,FALSE)</f>
        <v>-605.7599999999984</v>
      </c>
      <c r="W12" s="62">
        <f>VLOOKUP($A12,'Matriz POA 2024-TRABAJO'!$A$5:$CD$9142,68,FALSE)</f>
        <v>0</v>
      </c>
      <c r="X12" s="62">
        <f>VLOOKUP($A12,'Matriz POA 2024-TRABAJO'!$A$5:$CD$9142,72,FALSE)</f>
        <v>27296</v>
      </c>
      <c r="Y12" s="388">
        <v>32133.14</v>
      </c>
      <c r="Z12" s="388">
        <v>0</v>
      </c>
      <c r="AA12" s="388">
        <v>32133.14</v>
      </c>
      <c r="AB12" s="389"/>
      <c r="AC12" s="389"/>
      <c r="AD12" s="13"/>
      <c r="AE12" s="13"/>
      <c r="AF12" s="13">
        <f t="shared" si="0"/>
        <v>32133.14</v>
      </c>
      <c r="AG12" s="13">
        <f t="shared" si="1"/>
        <v>0</v>
      </c>
      <c r="AH12" s="13">
        <f t="shared" si="2"/>
        <v>32133.14</v>
      </c>
      <c r="AI12" s="129">
        <v>2677.76</v>
      </c>
      <c r="AJ12" s="129">
        <v>2677.76</v>
      </c>
      <c r="AK12" s="129">
        <v>2677.76</v>
      </c>
      <c r="AL12" s="129">
        <v>2677.76</v>
      </c>
      <c r="AM12" s="129">
        <v>2677.76</v>
      </c>
      <c r="AN12" s="129">
        <v>2677.76</v>
      </c>
      <c r="AO12" s="129">
        <v>2677.76</v>
      </c>
      <c r="AP12" s="129">
        <v>2677.76</v>
      </c>
      <c r="AQ12" s="129">
        <v>2677.76</v>
      </c>
      <c r="AR12" s="129">
        <v>2677.76</v>
      </c>
      <c r="AS12" s="129">
        <v>2677.76</v>
      </c>
      <c r="AT12" s="129">
        <v>2677.78</v>
      </c>
      <c r="AU12" s="129"/>
      <c r="AV12" s="13" t="b">
        <f t="shared" si="3"/>
        <v>1</v>
      </c>
      <c r="AW12" s="14"/>
      <c r="AX12" s="15"/>
      <c r="AY12" s="16"/>
      <c r="AZ12" s="15"/>
      <c r="BA12" s="16"/>
      <c r="BB12" s="17">
        <f t="shared" si="4"/>
        <v>0</v>
      </c>
      <c r="BC12" s="12"/>
      <c r="BD12" s="15"/>
      <c r="BE12" s="18"/>
      <c r="BF12" s="12"/>
      <c r="BG12" s="19" t="str">
        <f t="shared" si="5"/>
        <v>enero</v>
      </c>
      <c r="BH12" s="12" t="str">
        <f t="shared" si="6"/>
        <v>Corporación Ciudad Alfaro</v>
      </c>
      <c r="BI12" s="20" t="str">
        <f t="shared" si="7"/>
        <v>N/A</v>
      </c>
    </row>
    <row r="13" spans="1:61" ht="24.95" customHeight="1">
      <c r="A13" s="4">
        <v>426</v>
      </c>
      <c r="B13" s="12" t="str">
        <f>VLOOKUP($A13,'Matriz POA 2024-TRABAJO'!$A$5:$CD$9142,11,FALSE)</f>
        <v>Corporación Ciudad Alfaro</v>
      </c>
      <c r="C13" s="12" t="str">
        <f>VLOOKUP($A13,'Matriz POA 2024-TRABAJO'!$A$5:$CD$9142,14,FALSE)</f>
        <v>N/A</v>
      </c>
      <c r="D13" s="12" t="str">
        <f>VLOOKUP($A13,'Matriz POA 2024-TRABAJO'!$A$5:$CD$9142,15,FALSE)</f>
        <v>N/A</v>
      </c>
      <c r="E13" s="12" t="str">
        <f>VLOOKUP($A13,'Matriz POA 2024-TRABAJO'!$A$5:$CD$9142,18,FALSE)</f>
        <v>N/A</v>
      </c>
      <c r="F13" s="12" t="str">
        <f>VLOOKUP($A13,'Matriz POA 2024-TRABAJO'!$A$5:$CD$9142,20,FALSE)</f>
        <v>N/A</v>
      </c>
      <c r="G13" s="12" t="str">
        <f>VLOOKUP($A13,'Matriz POA 2024-TRABAJO'!$A$5:$CD$9142,21,FALSE)</f>
        <v>N/A</v>
      </c>
      <c r="H13" s="12" t="str">
        <f>VLOOKUP($A13,'Matriz POA 2024-TRABAJO'!$A$5:$CD$9142,22,FALSE)</f>
        <v>N/A</v>
      </c>
      <c r="I13" s="12" t="str">
        <f>VLOOKUP($A13,'Matriz POA 2024-TRABAJO'!$A$5:$CD$9142,23,FALSE)</f>
        <v>NUEVA</v>
      </c>
      <c r="J13" s="12" t="str">
        <f>VLOOKUP($A13,'Matriz POA 2024-TRABAJO'!$A$5:$CD$9142,24,FALSE)</f>
        <v>Compensación por Vacaciones no Gozadas por Cesación de Funciones</v>
      </c>
      <c r="K13" s="12" t="str">
        <f>VLOOKUP($A13,'Matriz POA 2024-TRABAJO'!$A$5:$CD$9142,25,FALSE)</f>
        <v>0035</v>
      </c>
      <c r="L13" s="12" t="str">
        <f>VLOOKUP($A13,'Matriz POA 2024-TRABAJO'!$A$5:$CD$9142,26,FALSE)</f>
        <v>80</v>
      </c>
      <c r="M13" s="12" t="str">
        <f>VLOOKUP($A13,'Matriz POA 2024-TRABAJO'!$A$5:$CD$9142,27,FALSE)</f>
        <v>000</v>
      </c>
      <c r="N13" s="12" t="str">
        <f>VLOOKUP($A13,'Matriz POA 2024-TRABAJO'!$A$5:$CD$9142,28,FALSE)</f>
        <v>002</v>
      </c>
      <c r="O13" s="12" t="str">
        <f>VLOOKUP($A13,'Matriz POA 2024-TRABAJO'!$A$5:$CD$9142,29,FALSE)</f>
        <v>51</v>
      </c>
      <c r="P13" s="12">
        <f>VLOOKUP($A13,'Matriz POA 2024-TRABAJO'!$A$5:$CD$9142,30,FALSE)</f>
        <v>510707</v>
      </c>
      <c r="Q13" s="12">
        <f>VLOOKUP($A13,'Matriz POA 2024-TRABAJO'!$A$5:$CD$9142,32,FALSE)</f>
        <v>1300</v>
      </c>
      <c r="R13" s="12" t="str">
        <f>VLOOKUP($A13,'Matriz POA 2024-TRABAJO'!$A$5:$CD$9142,33,FALSE)</f>
        <v>001</v>
      </c>
      <c r="S13" s="12" t="str">
        <f>VLOOKUP($A13,'Matriz POA 2024-TRABAJO'!$A$5:$CD$9142,34,FALSE)</f>
        <v>0000</v>
      </c>
      <c r="T13" s="12" t="str">
        <f>VLOOKUP($A13,'Matriz POA 2024-TRABAJO'!$A$5:$CD$9142,35,FALSE)</f>
        <v>0000</v>
      </c>
      <c r="U13" s="62" t="str">
        <f>VLOOKUP($A13,'Matriz POA 2024-TRABAJO'!$A$5:$CD$9142,66,FALSE)</f>
        <v/>
      </c>
      <c r="V13" s="62" t="str">
        <f>VLOOKUP($A13,'Matriz POA 2024-TRABAJO'!$A$5:$CD$9142,67,FALSE)</f>
        <v/>
      </c>
      <c r="W13" s="62" t="str">
        <f>VLOOKUP($A13,'Matriz POA 2024-TRABAJO'!$A$5:$CD$9142,68,FALSE)</f>
        <v/>
      </c>
      <c r="X13" s="62" t="str">
        <f>VLOOKUP($A13,'Matriz POA 2024-TRABAJO'!$A$5:$CD$9142,72,FALSE)</f>
        <v/>
      </c>
      <c r="Y13" s="388">
        <v>4800</v>
      </c>
      <c r="Z13" s="388">
        <v>0</v>
      </c>
      <c r="AA13" s="388">
        <v>4800</v>
      </c>
      <c r="AB13" s="389"/>
      <c r="AC13" s="389"/>
      <c r="AD13" s="13"/>
      <c r="AE13" s="13"/>
      <c r="AF13" s="13">
        <f t="shared" si="0"/>
        <v>4800</v>
      </c>
      <c r="AG13" s="13">
        <f t="shared" si="1"/>
        <v>0</v>
      </c>
      <c r="AH13" s="13">
        <f t="shared" si="2"/>
        <v>4800</v>
      </c>
      <c r="AI13" s="129">
        <v>400</v>
      </c>
      <c r="AJ13" s="129">
        <v>400</v>
      </c>
      <c r="AK13" s="129">
        <v>400</v>
      </c>
      <c r="AL13" s="129">
        <v>400</v>
      </c>
      <c r="AM13" s="129">
        <v>400</v>
      </c>
      <c r="AN13" s="129">
        <v>400</v>
      </c>
      <c r="AO13" s="129">
        <v>400</v>
      </c>
      <c r="AP13" s="129">
        <v>400</v>
      </c>
      <c r="AQ13" s="129">
        <v>400</v>
      </c>
      <c r="AR13" s="129">
        <v>400</v>
      </c>
      <c r="AS13" s="129">
        <v>400</v>
      </c>
      <c r="AT13" s="129">
        <v>400</v>
      </c>
      <c r="AU13" s="129"/>
      <c r="AV13" s="13" t="b">
        <f t="shared" si="3"/>
        <v>1</v>
      </c>
      <c r="AW13" s="14"/>
      <c r="AX13" s="15"/>
      <c r="AY13" s="16"/>
      <c r="AZ13" s="15"/>
      <c r="BA13" s="16"/>
      <c r="BB13" s="17">
        <f t="shared" si="4"/>
        <v>0</v>
      </c>
      <c r="BC13" s="12"/>
      <c r="BD13" s="15"/>
      <c r="BE13" s="18"/>
      <c r="BF13" s="12"/>
      <c r="BG13" s="19" t="str">
        <f t="shared" si="5"/>
        <v>enero</v>
      </c>
      <c r="BH13" s="12" t="str">
        <f t="shared" si="6"/>
        <v>Corporación Ciudad Alfaro</v>
      </c>
      <c r="BI13" s="20" t="str">
        <f t="shared" si="7"/>
        <v>N/A</v>
      </c>
    </row>
    <row r="14" spans="1:61" ht="24.95" customHeight="1">
      <c r="A14" s="4">
        <v>427</v>
      </c>
      <c r="B14" s="12" t="str">
        <f>VLOOKUP($A14,'Matriz POA 2024-TRABAJO'!$A$5:$CD$9142,11,FALSE)</f>
        <v>Corporación Ciudad Alfaro</v>
      </c>
      <c r="C14" s="12" t="str">
        <f>VLOOKUP($A14,'Matriz POA 2024-TRABAJO'!$A$5:$CD$9142,14,FALSE)</f>
        <v>N/A</v>
      </c>
      <c r="D14" s="12" t="str">
        <f>VLOOKUP($A14,'Matriz POA 2024-TRABAJO'!$A$5:$CD$9142,15,FALSE)</f>
        <v>N/A</v>
      </c>
      <c r="E14" s="12" t="str">
        <f>VLOOKUP($A14,'Matriz POA 2024-TRABAJO'!$A$5:$CD$9142,18,FALSE)</f>
        <v>N/A</v>
      </c>
      <c r="F14" s="12" t="str">
        <f>VLOOKUP($A14,'Matriz POA 2024-TRABAJO'!$A$5:$CD$9142,20,FALSE)</f>
        <v>N/A</v>
      </c>
      <c r="G14" s="12" t="str">
        <f>VLOOKUP($A14,'Matriz POA 2024-TRABAJO'!$A$5:$CD$9142,21,FALSE)</f>
        <v>N/A</v>
      </c>
      <c r="H14" s="12" t="str">
        <f>VLOOKUP($A14,'Matriz POA 2024-TRABAJO'!$A$5:$CD$9142,22,FALSE)</f>
        <v>N/A</v>
      </c>
      <c r="I14" s="12" t="str">
        <f>VLOOKUP($A14,'Matriz POA 2024-TRABAJO'!$A$5:$CD$9142,23,FALSE)</f>
        <v>NUEVA</v>
      </c>
      <c r="J14" s="12" t="str">
        <f>VLOOKUP($A14,'Matriz POA 2024-TRABAJO'!$A$5:$CD$9142,24,FALSE)</f>
        <v>Pago de servicio de telefonía fija de la Sede Museo y Centro Cultural de Manta</v>
      </c>
      <c r="K14" s="12" t="str">
        <f>VLOOKUP($A14,'Matriz POA 2024-TRABAJO'!$A$5:$CD$9142,25,FALSE)</f>
        <v>0035</v>
      </c>
      <c r="L14" s="12" t="str">
        <f>VLOOKUP($A14,'Matriz POA 2024-TRABAJO'!$A$5:$CD$9142,26,FALSE)</f>
        <v>80</v>
      </c>
      <c r="M14" s="12" t="str">
        <f>VLOOKUP($A14,'Matriz POA 2024-TRABAJO'!$A$5:$CD$9142,27,FALSE)</f>
        <v>000</v>
      </c>
      <c r="N14" s="12" t="str">
        <f>VLOOKUP($A14,'Matriz POA 2024-TRABAJO'!$A$5:$CD$9142,28,FALSE)</f>
        <v>002</v>
      </c>
      <c r="O14" s="12" t="str">
        <f>VLOOKUP($A14,'Matriz POA 2024-TRABAJO'!$A$5:$CD$9142,29,FALSE)</f>
        <v>53</v>
      </c>
      <c r="P14" s="12">
        <f>VLOOKUP($A14,'Matriz POA 2024-TRABAJO'!$A$5:$CD$9142,30,FALSE)</f>
        <v>530105</v>
      </c>
      <c r="Q14" s="12">
        <f>VLOOKUP($A14,'Matriz POA 2024-TRABAJO'!$A$5:$CD$9142,32,FALSE)</f>
        <v>1308</v>
      </c>
      <c r="R14" s="12" t="str">
        <f>VLOOKUP($A14,'Matriz POA 2024-TRABAJO'!$A$5:$CD$9142,33,FALSE)</f>
        <v>001</v>
      </c>
      <c r="S14" s="12" t="str">
        <f>VLOOKUP($A14,'Matriz POA 2024-TRABAJO'!$A$5:$CD$9142,34,FALSE)</f>
        <v>0000</v>
      </c>
      <c r="T14" s="12" t="str">
        <f>VLOOKUP($A14,'Matriz POA 2024-TRABAJO'!$A$5:$CD$9142,35,FALSE)</f>
        <v>0000</v>
      </c>
      <c r="U14" s="62">
        <f>VLOOKUP($A14,'Matriz POA 2024-TRABAJO'!$A$5:$CD$9142,66,FALSE)</f>
        <v>500</v>
      </c>
      <c r="V14" s="62">
        <f>VLOOKUP($A14,'Matriz POA 2024-TRABAJO'!$A$5:$CD$9142,67,FALSE)</f>
        <v>-500</v>
      </c>
      <c r="W14" s="62">
        <f>VLOOKUP($A14,'Matriz POA 2024-TRABAJO'!$A$5:$CD$9142,68,FALSE)</f>
        <v>0</v>
      </c>
      <c r="X14" s="62" t="str">
        <f>VLOOKUP($A14,'Matriz POA 2024-TRABAJO'!$A$5:$CD$9142,72,FALSE)</f>
        <v/>
      </c>
      <c r="Y14" s="388">
        <v>500</v>
      </c>
      <c r="Z14" s="388">
        <v>0</v>
      </c>
      <c r="AA14" s="388">
        <v>500</v>
      </c>
      <c r="AB14" s="389"/>
      <c r="AC14" s="389"/>
      <c r="AD14" s="13"/>
      <c r="AE14" s="13"/>
      <c r="AF14" s="13">
        <f t="shared" si="0"/>
        <v>500</v>
      </c>
      <c r="AG14" s="13">
        <f t="shared" si="1"/>
        <v>0</v>
      </c>
      <c r="AH14" s="13">
        <f t="shared" si="2"/>
        <v>500</v>
      </c>
      <c r="AI14" s="129">
        <v>0</v>
      </c>
      <c r="AJ14" s="129">
        <v>50</v>
      </c>
      <c r="AK14" s="129">
        <v>50</v>
      </c>
      <c r="AL14" s="129">
        <v>50</v>
      </c>
      <c r="AM14" s="129">
        <v>50</v>
      </c>
      <c r="AN14" s="129">
        <v>50</v>
      </c>
      <c r="AO14" s="129">
        <v>50</v>
      </c>
      <c r="AP14" s="129">
        <v>50</v>
      </c>
      <c r="AQ14" s="129">
        <v>50</v>
      </c>
      <c r="AR14" s="129">
        <v>50</v>
      </c>
      <c r="AS14" s="129">
        <v>50</v>
      </c>
      <c r="AT14" s="129">
        <v>0</v>
      </c>
      <c r="AU14" s="129"/>
      <c r="AV14" s="13" t="b">
        <f t="shared" si="3"/>
        <v>1</v>
      </c>
      <c r="AW14" s="14"/>
      <c r="AX14" s="15"/>
      <c r="AY14" s="16"/>
      <c r="AZ14" s="15"/>
      <c r="BA14" s="16"/>
      <c r="BB14" s="17">
        <f t="shared" si="4"/>
        <v>0</v>
      </c>
      <c r="BC14" s="12"/>
      <c r="BD14" s="15"/>
      <c r="BE14" s="18"/>
      <c r="BF14" s="12"/>
      <c r="BG14" s="19" t="str">
        <f t="shared" si="5"/>
        <v>enero</v>
      </c>
      <c r="BH14" s="12" t="str">
        <f t="shared" si="6"/>
        <v>Corporación Ciudad Alfaro</v>
      </c>
      <c r="BI14" s="20" t="str">
        <f t="shared" si="7"/>
        <v>N/A</v>
      </c>
    </row>
    <row r="15" spans="1:61" ht="24.95" customHeight="1">
      <c r="A15" s="4">
        <v>428</v>
      </c>
      <c r="B15" s="12" t="str">
        <f>VLOOKUP($A15,'Matriz POA 2024-TRABAJO'!$A$5:$CD$9142,11,FALSE)</f>
        <v>Corporación Ciudad Alfaro</v>
      </c>
      <c r="C15" s="12" t="str">
        <f>VLOOKUP($A15,'Matriz POA 2024-TRABAJO'!$A$5:$CD$9142,14,FALSE)</f>
        <v>N/A</v>
      </c>
      <c r="D15" s="12" t="str">
        <f>VLOOKUP($A15,'Matriz POA 2024-TRABAJO'!$A$5:$CD$9142,15,FALSE)</f>
        <v>N/A</v>
      </c>
      <c r="E15" s="12" t="str">
        <f>VLOOKUP($A15,'Matriz POA 2024-TRABAJO'!$A$5:$CD$9142,18,FALSE)</f>
        <v>N/A</v>
      </c>
      <c r="F15" s="12" t="str">
        <f>VLOOKUP($A15,'Matriz POA 2024-TRABAJO'!$A$5:$CD$9142,20,FALSE)</f>
        <v>N/A</v>
      </c>
      <c r="G15" s="12" t="str">
        <f>VLOOKUP($A15,'Matriz POA 2024-TRABAJO'!$A$5:$CD$9142,21,FALSE)</f>
        <v>N/A</v>
      </c>
      <c r="H15" s="12" t="str">
        <f>VLOOKUP($A15,'Matriz POA 2024-TRABAJO'!$A$5:$CD$9142,22,FALSE)</f>
        <v>N/A</v>
      </c>
      <c r="I15" s="12" t="str">
        <f>VLOOKUP($A15,'Matriz POA 2024-TRABAJO'!$A$5:$CD$9142,23,FALSE)</f>
        <v>NUEVA</v>
      </c>
      <c r="J15" s="12" t="str">
        <f>VLOOKUP($A15,'Matriz POA 2024-TRABAJO'!$A$5:$CD$9142,24,FALSE)</f>
        <v>Pago del servicio de telefonía fija de la Sede Museo Bahía de Caráquez</v>
      </c>
      <c r="K15" s="12" t="str">
        <f>VLOOKUP($A15,'Matriz POA 2024-TRABAJO'!$A$5:$CD$9142,25,FALSE)</f>
        <v>0035</v>
      </c>
      <c r="L15" s="12" t="str">
        <f>VLOOKUP($A15,'Matriz POA 2024-TRABAJO'!$A$5:$CD$9142,26,FALSE)</f>
        <v>80</v>
      </c>
      <c r="M15" s="12" t="str">
        <f>VLOOKUP($A15,'Matriz POA 2024-TRABAJO'!$A$5:$CD$9142,27,FALSE)</f>
        <v>000</v>
      </c>
      <c r="N15" s="12" t="str">
        <f>VLOOKUP($A15,'Matriz POA 2024-TRABAJO'!$A$5:$CD$9142,28,FALSE)</f>
        <v>002</v>
      </c>
      <c r="O15" s="12" t="str">
        <f>VLOOKUP($A15,'Matriz POA 2024-TRABAJO'!$A$5:$CD$9142,29,FALSE)</f>
        <v>53</v>
      </c>
      <c r="P15" s="12">
        <f>VLOOKUP($A15,'Matriz POA 2024-TRABAJO'!$A$5:$CD$9142,30,FALSE)</f>
        <v>530105</v>
      </c>
      <c r="Q15" s="12">
        <f>VLOOKUP($A15,'Matriz POA 2024-TRABAJO'!$A$5:$CD$9142,32,FALSE)</f>
        <v>1314</v>
      </c>
      <c r="R15" s="12" t="str">
        <f>VLOOKUP($A15,'Matriz POA 2024-TRABAJO'!$A$5:$CD$9142,33,FALSE)</f>
        <v>001</v>
      </c>
      <c r="S15" s="12" t="str">
        <f>VLOOKUP($A15,'Matriz POA 2024-TRABAJO'!$A$5:$CD$9142,34,FALSE)</f>
        <v>0000</v>
      </c>
      <c r="T15" s="12" t="str">
        <f>VLOOKUP($A15,'Matriz POA 2024-TRABAJO'!$A$5:$CD$9142,35,FALSE)</f>
        <v>0000</v>
      </c>
      <c r="U15" s="62">
        <f>VLOOKUP($A15,'Matriz POA 2024-TRABAJO'!$A$5:$CD$9142,66,FALSE)</f>
        <v>500</v>
      </c>
      <c r="V15" s="62">
        <f>VLOOKUP($A15,'Matriz POA 2024-TRABAJO'!$A$5:$CD$9142,67,FALSE)</f>
        <v>-500</v>
      </c>
      <c r="W15" s="62">
        <f>VLOOKUP($A15,'Matriz POA 2024-TRABAJO'!$A$5:$CD$9142,68,FALSE)</f>
        <v>0</v>
      </c>
      <c r="X15" s="62" t="str">
        <f>VLOOKUP($A15,'Matriz POA 2024-TRABAJO'!$A$5:$CD$9142,72,FALSE)</f>
        <v/>
      </c>
      <c r="Y15" s="388">
        <v>500</v>
      </c>
      <c r="Z15" s="388">
        <v>0</v>
      </c>
      <c r="AA15" s="388">
        <v>500</v>
      </c>
      <c r="AB15" s="389"/>
      <c r="AC15" s="389"/>
      <c r="AD15" s="13"/>
      <c r="AE15" s="13"/>
      <c r="AF15" s="13">
        <f t="shared" si="0"/>
        <v>500</v>
      </c>
      <c r="AG15" s="13">
        <f t="shared" si="1"/>
        <v>0</v>
      </c>
      <c r="AH15" s="13">
        <f t="shared" si="2"/>
        <v>500</v>
      </c>
      <c r="AI15" s="129">
        <v>0</v>
      </c>
      <c r="AJ15" s="129">
        <v>50</v>
      </c>
      <c r="AK15" s="129">
        <v>50</v>
      </c>
      <c r="AL15" s="129">
        <v>50</v>
      </c>
      <c r="AM15" s="129">
        <v>50</v>
      </c>
      <c r="AN15" s="129">
        <v>50</v>
      </c>
      <c r="AO15" s="129">
        <v>50</v>
      </c>
      <c r="AP15" s="129">
        <v>50</v>
      </c>
      <c r="AQ15" s="129">
        <v>50</v>
      </c>
      <c r="AR15" s="129">
        <v>50</v>
      </c>
      <c r="AS15" s="129">
        <v>50</v>
      </c>
      <c r="AT15" s="129">
        <v>0</v>
      </c>
      <c r="AU15" s="129"/>
      <c r="AV15" s="13" t="b">
        <f t="shared" si="3"/>
        <v>1</v>
      </c>
      <c r="AW15" s="14"/>
      <c r="AX15" s="15"/>
      <c r="AY15" s="16"/>
      <c r="AZ15" s="15"/>
      <c r="BA15" s="16"/>
      <c r="BB15" s="17">
        <f t="shared" si="4"/>
        <v>0</v>
      </c>
      <c r="BC15" s="12"/>
      <c r="BD15" s="15"/>
      <c r="BE15" s="18"/>
      <c r="BF15" s="12"/>
      <c r="BG15" s="19" t="str">
        <f t="shared" si="5"/>
        <v>enero</v>
      </c>
      <c r="BH15" s="12" t="str">
        <f t="shared" si="6"/>
        <v>Corporación Ciudad Alfaro</v>
      </c>
      <c r="BI15" s="20" t="str">
        <f t="shared" si="7"/>
        <v>N/A</v>
      </c>
    </row>
    <row r="16" spans="1:61" ht="24.95" customHeight="1">
      <c r="A16" s="4">
        <v>429</v>
      </c>
      <c r="B16" s="12" t="str">
        <f>VLOOKUP($A16,'Matriz POA 2024-TRABAJO'!$A$5:$CD$9142,11,FALSE)</f>
        <v>Corporación Ciudad Alfaro</v>
      </c>
      <c r="C16" s="12" t="str">
        <f>VLOOKUP($A16,'Matriz POA 2024-TRABAJO'!$A$5:$CD$9142,14,FALSE)</f>
        <v>N/A</v>
      </c>
      <c r="D16" s="12" t="str">
        <f>VLOOKUP($A16,'Matriz POA 2024-TRABAJO'!$A$5:$CD$9142,15,FALSE)</f>
        <v>N/A</v>
      </c>
      <c r="E16" s="12" t="str">
        <f>VLOOKUP($A16,'Matriz POA 2024-TRABAJO'!$A$5:$CD$9142,18,FALSE)</f>
        <v>N/A</v>
      </c>
      <c r="F16" s="12" t="str">
        <f>VLOOKUP($A16,'Matriz POA 2024-TRABAJO'!$A$5:$CD$9142,20,FALSE)</f>
        <v>N/A</v>
      </c>
      <c r="G16" s="12" t="str">
        <f>VLOOKUP($A16,'Matriz POA 2024-TRABAJO'!$A$5:$CD$9142,21,FALSE)</f>
        <v>N/A</v>
      </c>
      <c r="H16" s="12" t="str">
        <f>VLOOKUP($A16,'Matriz POA 2024-TRABAJO'!$A$5:$CD$9142,22,FALSE)</f>
        <v>N/A</v>
      </c>
      <c r="I16" s="12" t="str">
        <f>VLOOKUP($A16,'Matriz POA 2024-TRABAJO'!$A$5:$CD$9142,23,FALSE)</f>
        <v>NUEVA</v>
      </c>
      <c r="J16" s="12" t="str">
        <f>VLOOKUP($A16,'Matriz POA 2024-TRABAJO'!$A$5:$CD$9142,24,FALSE)</f>
        <v>Pago del servicio de telefonía fija de la Sede Museo Portoviejo y Archivo Histórico</v>
      </c>
      <c r="K16" s="12" t="str">
        <f>VLOOKUP($A16,'Matriz POA 2024-TRABAJO'!$A$5:$CD$9142,25,FALSE)</f>
        <v>0035</v>
      </c>
      <c r="L16" s="12" t="str">
        <f>VLOOKUP($A16,'Matriz POA 2024-TRABAJO'!$A$5:$CD$9142,26,FALSE)</f>
        <v>80</v>
      </c>
      <c r="M16" s="12" t="str">
        <f>VLOOKUP($A16,'Matriz POA 2024-TRABAJO'!$A$5:$CD$9142,27,FALSE)</f>
        <v>000</v>
      </c>
      <c r="N16" s="12" t="str">
        <f>VLOOKUP($A16,'Matriz POA 2024-TRABAJO'!$A$5:$CD$9142,28,FALSE)</f>
        <v>002</v>
      </c>
      <c r="O16" s="12" t="str">
        <f>VLOOKUP($A16,'Matriz POA 2024-TRABAJO'!$A$5:$CD$9142,29,FALSE)</f>
        <v>53</v>
      </c>
      <c r="P16" s="12">
        <f>VLOOKUP($A16,'Matriz POA 2024-TRABAJO'!$A$5:$CD$9142,30,FALSE)</f>
        <v>530105</v>
      </c>
      <c r="Q16" s="12">
        <f>VLOOKUP($A16,'Matriz POA 2024-TRABAJO'!$A$5:$CD$9142,32,FALSE)</f>
        <v>1301</v>
      </c>
      <c r="R16" s="12" t="str">
        <f>VLOOKUP($A16,'Matriz POA 2024-TRABAJO'!$A$5:$CD$9142,33,FALSE)</f>
        <v>001</v>
      </c>
      <c r="S16" s="12" t="str">
        <f>VLOOKUP($A16,'Matriz POA 2024-TRABAJO'!$A$5:$CD$9142,34,FALSE)</f>
        <v>0000</v>
      </c>
      <c r="T16" s="12" t="str">
        <f>VLOOKUP($A16,'Matriz POA 2024-TRABAJO'!$A$5:$CD$9142,35,FALSE)</f>
        <v>0000</v>
      </c>
      <c r="U16" s="62">
        <f>VLOOKUP($A16,'Matriz POA 2024-TRABAJO'!$A$5:$CD$9142,66,FALSE)</f>
        <v>0</v>
      </c>
      <c r="V16" s="62">
        <f>VLOOKUP($A16,'Matriz POA 2024-TRABAJO'!$A$5:$CD$9142,67,FALSE)</f>
        <v>0</v>
      </c>
      <c r="W16" s="62">
        <f>VLOOKUP($A16,'Matriz POA 2024-TRABAJO'!$A$5:$CD$9142,68,FALSE)</f>
        <v>0</v>
      </c>
      <c r="X16" s="62" t="str">
        <f>VLOOKUP($A16,'Matriz POA 2024-TRABAJO'!$A$5:$CD$9142,72,FALSE)</f>
        <v/>
      </c>
      <c r="Y16" s="388">
        <v>500</v>
      </c>
      <c r="Z16" s="388">
        <v>0</v>
      </c>
      <c r="AA16" s="388">
        <v>500</v>
      </c>
      <c r="AB16" s="389"/>
      <c r="AC16" s="389"/>
      <c r="AD16" s="13"/>
      <c r="AE16" s="13"/>
      <c r="AF16" s="13">
        <f t="shared" si="0"/>
        <v>500</v>
      </c>
      <c r="AG16" s="13">
        <f t="shared" si="1"/>
        <v>0</v>
      </c>
      <c r="AH16" s="13">
        <f t="shared" si="2"/>
        <v>500</v>
      </c>
      <c r="AI16" s="129">
        <v>0</v>
      </c>
      <c r="AJ16" s="129">
        <v>50</v>
      </c>
      <c r="AK16" s="129">
        <v>50</v>
      </c>
      <c r="AL16" s="129">
        <v>50</v>
      </c>
      <c r="AM16" s="129">
        <v>50</v>
      </c>
      <c r="AN16" s="129">
        <v>50</v>
      </c>
      <c r="AO16" s="129">
        <v>50</v>
      </c>
      <c r="AP16" s="129">
        <v>50</v>
      </c>
      <c r="AQ16" s="129">
        <v>50</v>
      </c>
      <c r="AR16" s="129">
        <v>50</v>
      </c>
      <c r="AS16" s="129">
        <v>50</v>
      </c>
      <c r="AT16" s="129">
        <v>0</v>
      </c>
      <c r="AU16" s="129"/>
      <c r="AV16" s="13" t="b">
        <f t="shared" si="3"/>
        <v>1</v>
      </c>
      <c r="AW16" s="14"/>
      <c r="AX16" s="15"/>
      <c r="AY16" s="16"/>
      <c r="AZ16" s="15"/>
      <c r="BA16" s="16"/>
      <c r="BB16" s="17">
        <f t="shared" si="4"/>
        <v>0</v>
      </c>
      <c r="BC16" s="12"/>
      <c r="BD16" s="15"/>
      <c r="BE16" s="18"/>
      <c r="BF16" s="12"/>
      <c r="BG16" s="19" t="str">
        <f t="shared" si="5"/>
        <v>enero</v>
      </c>
      <c r="BH16" s="12" t="str">
        <f t="shared" si="6"/>
        <v>Corporación Ciudad Alfaro</v>
      </c>
      <c r="BI16" s="20" t="str">
        <f t="shared" si="7"/>
        <v>N/A</v>
      </c>
    </row>
    <row r="17" spans="1:61" ht="24.95" customHeight="1">
      <c r="A17" s="4">
        <v>430</v>
      </c>
      <c r="B17" s="12" t="str">
        <f>VLOOKUP($A17,'Matriz POA 2024-TRABAJO'!$A$5:$CD$9142,11,FALSE)</f>
        <v>Corporación Ciudad Alfaro</v>
      </c>
      <c r="C17" s="12" t="str">
        <f>VLOOKUP($A17,'Matriz POA 2024-TRABAJO'!$A$5:$CD$9142,14,FALSE)</f>
        <v>N/A</v>
      </c>
      <c r="D17" s="12" t="str">
        <f>VLOOKUP($A17,'Matriz POA 2024-TRABAJO'!$A$5:$CD$9142,15,FALSE)</f>
        <v>N/A</v>
      </c>
      <c r="E17" s="12" t="str">
        <f>VLOOKUP($A17,'Matriz POA 2024-TRABAJO'!$A$5:$CD$9142,18,FALSE)</f>
        <v>N/A</v>
      </c>
      <c r="F17" s="12" t="str">
        <f>VLOOKUP($A17,'Matriz POA 2024-TRABAJO'!$A$5:$CD$9142,20,FALSE)</f>
        <v>N/A</v>
      </c>
      <c r="G17" s="12" t="str">
        <f>VLOOKUP($A17,'Matriz POA 2024-TRABAJO'!$A$5:$CD$9142,21,FALSE)</f>
        <v>N/A</v>
      </c>
      <c r="H17" s="12" t="str">
        <f>VLOOKUP($A17,'Matriz POA 2024-TRABAJO'!$A$5:$CD$9142,22,FALSE)</f>
        <v>N/A</v>
      </c>
      <c r="I17" s="12" t="str">
        <f>VLOOKUP($A17,'Matriz POA 2024-TRABAJO'!$A$5:$CD$9142,23,FALSE)</f>
        <v>NUEVA</v>
      </c>
      <c r="J17" s="12" t="str">
        <f>VLOOKUP($A17,'Matriz POA 2024-TRABAJO'!$A$5:$CD$9142,24,FALSE)</f>
        <v>Pago del servicio de telefonía fija  de las Sedes Museo y Centro Cultural de Manta, Museo Portoviejo y Archivo Histórico, y Museo Bahía de Caráquez de los años 2022 y 2023 cuya razón social se encuentra a nombre del Ministerio de Cultura y Patrimonio</v>
      </c>
      <c r="K17" s="12" t="str">
        <f>VLOOKUP($A17,'Matriz POA 2024-TRABAJO'!$A$5:$CD$9142,25,FALSE)</f>
        <v>0035</v>
      </c>
      <c r="L17" s="12" t="str">
        <f>VLOOKUP($A17,'Matriz POA 2024-TRABAJO'!$A$5:$CD$9142,26,FALSE)</f>
        <v>80</v>
      </c>
      <c r="M17" s="12" t="str">
        <f>VLOOKUP($A17,'Matriz POA 2024-TRABAJO'!$A$5:$CD$9142,27,FALSE)</f>
        <v>000</v>
      </c>
      <c r="N17" s="12" t="str">
        <f>VLOOKUP($A17,'Matriz POA 2024-TRABAJO'!$A$5:$CD$9142,28,FALSE)</f>
        <v>002</v>
      </c>
      <c r="O17" s="12" t="str">
        <f>VLOOKUP($A17,'Matriz POA 2024-TRABAJO'!$A$5:$CD$9142,29,FALSE)</f>
        <v>53</v>
      </c>
      <c r="P17" s="12">
        <f>VLOOKUP($A17,'Matriz POA 2024-TRABAJO'!$A$5:$CD$9142,30,FALSE)</f>
        <v>530105</v>
      </c>
      <c r="Q17" s="12">
        <f>VLOOKUP($A17,'Matriz POA 2024-TRABAJO'!$A$5:$CD$9142,32,FALSE)</f>
        <v>1309</v>
      </c>
      <c r="R17" s="12" t="str">
        <f>VLOOKUP($A17,'Matriz POA 2024-TRABAJO'!$A$5:$CD$9142,33,FALSE)</f>
        <v>001</v>
      </c>
      <c r="S17" s="12" t="str">
        <f>VLOOKUP($A17,'Matriz POA 2024-TRABAJO'!$A$5:$CD$9142,34,FALSE)</f>
        <v>0000</v>
      </c>
      <c r="T17" s="12" t="str">
        <f>VLOOKUP($A17,'Matriz POA 2024-TRABAJO'!$A$5:$CD$9142,35,FALSE)</f>
        <v>0000</v>
      </c>
      <c r="U17" s="62">
        <f>VLOOKUP($A17,'Matriz POA 2024-TRABAJO'!$A$5:$CD$9142,66,FALSE)</f>
        <v>0</v>
      </c>
      <c r="V17" s="62">
        <f>VLOOKUP($A17,'Matriz POA 2024-TRABAJO'!$A$5:$CD$9142,67,FALSE)</f>
        <v>0</v>
      </c>
      <c r="W17" s="62">
        <f>VLOOKUP($A17,'Matriz POA 2024-TRABAJO'!$A$5:$CD$9142,68,FALSE)</f>
        <v>0</v>
      </c>
      <c r="X17" s="62" t="str">
        <f>VLOOKUP($A17,'Matriz POA 2024-TRABAJO'!$A$5:$CD$9142,72,FALSE)</f>
        <v/>
      </c>
      <c r="Y17" s="388">
        <v>3000</v>
      </c>
      <c r="Z17" s="388">
        <v>0</v>
      </c>
      <c r="AA17" s="388">
        <v>3000</v>
      </c>
      <c r="AB17" s="389"/>
      <c r="AC17" s="389"/>
      <c r="AD17" s="13"/>
      <c r="AE17" s="13"/>
      <c r="AF17" s="13">
        <f t="shared" si="0"/>
        <v>3000</v>
      </c>
      <c r="AG17" s="13">
        <f t="shared" si="1"/>
        <v>0</v>
      </c>
      <c r="AH17" s="13">
        <f t="shared" si="2"/>
        <v>3000</v>
      </c>
      <c r="AI17" s="129">
        <v>0</v>
      </c>
      <c r="AJ17" s="129">
        <v>0</v>
      </c>
      <c r="AK17" s="129">
        <v>3000</v>
      </c>
      <c r="AL17" s="129">
        <v>0</v>
      </c>
      <c r="AM17" s="129">
        <v>0</v>
      </c>
      <c r="AN17" s="129">
        <v>0</v>
      </c>
      <c r="AO17" s="129">
        <v>0</v>
      </c>
      <c r="AP17" s="129">
        <v>0</v>
      </c>
      <c r="AQ17" s="129">
        <v>0</v>
      </c>
      <c r="AR17" s="129">
        <v>0</v>
      </c>
      <c r="AS17" s="129">
        <v>0</v>
      </c>
      <c r="AT17" s="129">
        <v>0</v>
      </c>
      <c r="AU17" s="129"/>
      <c r="AV17" s="13" t="b">
        <f t="shared" si="3"/>
        <v>1</v>
      </c>
      <c r="AW17" s="14"/>
      <c r="AX17" s="15"/>
      <c r="AY17" s="16"/>
      <c r="AZ17" s="15"/>
      <c r="BA17" s="16"/>
      <c r="BB17" s="17">
        <f t="shared" si="4"/>
        <v>0</v>
      </c>
      <c r="BC17" s="12"/>
      <c r="BD17" s="15"/>
      <c r="BE17" s="18"/>
      <c r="BF17" s="12"/>
      <c r="BG17" s="19" t="str">
        <f t="shared" si="5"/>
        <v>enero</v>
      </c>
      <c r="BH17" s="12" t="str">
        <f t="shared" si="6"/>
        <v>Corporación Ciudad Alfaro</v>
      </c>
      <c r="BI17" s="20" t="str">
        <f t="shared" si="7"/>
        <v>N/A</v>
      </c>
    </row>
    <row r="18" spans="1:61" ht="24.95" customHeight="1">
      <c r="A18" s="4">
        <v>431</v>
      </c>
      <c r="B18" s="12" t="str">
        <f>VLOOKUP($A18,'Matriz POA 2024-TRABAJO'!$A$5:$CD$9142,11,FALSE)</f>
        <v>Corporación Ciudad Alfaro</v>
      </c>
      <c r="C18" s="12" t="str">
        <f>VLOOKUP($A18,'Matriz POA 2024-TRABAJO'!$A$5:$CD$9142,14,FALSE)</f>
        <v>N/A</v>
      </c>
      <c r="D18" s="12" t="str">
        <f>VLOOKUP($A18,'Matriz POA 2024-TRABAJO'!$A$5:$CD$9142,15,FALSE)</f>
        <v>N/A</v>
      </c>
      <c r="E18" s="12" t="str">
        <f>VLOOKUP($A18,'Matriz POA 2024-TRABAJO'!$A$5:$CD$9142,18,FALSE)</f>
        <v>N/A</v>
      </c>
      <c r="F18" s="12" t="str">
        <f>VLOOKUP($A18,'Matriz POA 2024-TRABAJO'!$A$5:$CD$9142,20,FALSE)</f>
        <v>N/A</v>
      </c>
      <c r="G18" s="12" t="str">
        <f>VLOOKUP($A18,'Matriz POA 2024-TRABAJO'!$A$5:$CD$9142,21,FALSE)</f>
        <v>N/A</v>
      </c>
      <c r="H18" s="12" t="str">
        <f>VLOOKUP($A18,'Matriz POA 2024-TRABAJO'!$A$5:$CD$9142,22,FALSE)</f>
        <v>N/A</v>
      </c>
      <c r="I18" s="12" t="str">
        <f>VLOOKUP($A18,'Matriz POA 2024-TRABAJO'!$A$5:$CD$9142,23,FALSE)</f>
        <v>ARRASTRE</v>
      </c>
      <c r="J18" s="12" t="str">
        <f>VLOOKUP($A18,'Matriz POA 2024-TRABAJO'!$A$5:$CD$9142,24,FALSE)</f>
        <v>Pago del servicio de telefonía fija e internet de los meses de Noviembre y Diciembre del 2024 de la Corporación Ciudad Alfaro</v>
      </c>
      <c r="K18" s="12" t="str">
        <f>VLOOKUP($A18,'Matriz POA 2024-TRABAJO'!$A$5:$CD$9142,25,FALSE)</f>
        <v>0035</v>
      </c>
      <c r="L18" s="12" t="str">
        <f>VLOOKUP($A18,'Matriz POA 2024-TRABAJO'!$A$5:$CD$9142,26,FALSE)</f>
        <v>80</v>
      </c>
      <c r="M18" s="12" t="str">
        <f>VLOOKUP($A18,'Matriz POA 2024-TRABAJO'!$A$5:$CD$9142,27,FALSE)</f>
        <v>000</v>
      </c>
      <c r="N18" s="12" t="str">
        <f>VLOOKUP($A18,'Matriz POA 2024-TRABAJO'!$A$5:$CD$9142,28,FALSE)</f>
        <v>002</v>
      </c>
      <c r="O18" s="12" t="str">
        <f>VLOOKUP($A18,'Matriz POA 2024-TRABAJO'!$A$5:$CD$9142,29,FALSE)</f>
        <v>53</v>
      </c>
      <c r="P18" s="12">
        <f>VLOOKUP($A18,'Matriz POA 2024-TRABAJO'!$A$5:$CD$9142,30,FALSE)</f>
        <v>530105</v>
      </c>
      <c r="Q18" s="12">
        <f>VLOOKUP($A18,'Matriz POA 2024-TRABAJO'!$A$5:$CD$9142,32,FALSE)</f>
        <v>1309</v>
      </c>
      <c r="R18" s="12" t="str">
        <f>VLOOKUP($A18,'Matriz POA 2024-TRABAJO'!$A$5:$CD$9142,33,FALSE)</f>
        <v>001</v>
      </c>
      <c r="S18" s="12" t="str">
        <f>VLOOKUP($A18,'Matriz POA 2024-TRABAJO'!$A$5:$CD$9142,34,FALSE)</f>
        <v>0000</v>
      </c>
      <c r="T18" s="12" t="str">
        <f>VLOOKUP($A18,'Matriz POA 2024-TRABAJO'!$A$5:$CD$9142,35,FALSE)</f>
        <v>0000</v>
      </c>
      <c r="U18" s="62" t="str">
        <f>VLOOKUP($A18,'Matriz POA 2024-TRABAJO'!$A$5:$CD$9142,66,FALSE)</f>
        <v/>
      </c>
      <c r="V18" s="62" t="str">
        <f>VLOOKUP($A18,'Matriz POA 2024-TRABAJO'!$A$5:$CD$9142,67,FALSE)</f>
        <v/>
      </c>
      <c r="W18" s="62" t="str">
        <f>VLOOKUP($A18,'Matriz POA 2024-TRABAJO'!$A$5:$CD$9142,68,FALSE)</f>
        <v/>
      </c>
      <c r="X18" s="62" t="str">
        <f>VLOOKUP($A18,'Matriz POA 2024-TRABAJO'!$A$5:$CD$9142,72,FALSE)</f>
        <v/>
      </c>
      <c r="Y18" s="388">
        <v>1600</v>
      </c>
      <c r="Z18" s="388">
        <v>0</v>
      </c>
      <c r="AA18" s="388">
        <v>1600</v>
      </c>
      <c r="AB18" s="389"/>
      <c r="AC18" s="389"/>
      <c r="AD18" s="13"/>
      <c r="AE18" s="13"/>
      <c r="AF18" s="13">
        <f t="shared" si="0"/>
        <v>1600</v>
      </c>
      <c r="AG18" s="13">
        <f t="shared" si="1"/>
        <v>0</v>
      </c>
      <c r="AH18" s="13">
        <f t="shared" si="2"/>
        <v>1600</v>
      </c>
      <c r="AI18" s="129">
        <v>0</v>
      </c>
      <c r="AJ18" s="129">
        <v>1600</v>
      </c>
      <c r="AK18" s="129">
        <v>0</v>
      </c>
      <c r="AL18" s="129">
        <v>0</v>
      </c>
      <c r="AM18" s="129">
        <v>0</v>
      </c>
      <c r="AN18" s="129">
        <v>0</v>
      </c>
      <c r="AO18" s="129">
        <v>0</v>
      </c>
      <c r="AP18" s="129">
        <v>0</v>
      </c>
      <c r="AQ18" s="129">
        <v>0</v>
      </c>
      <c r="AR18" s="129">
        <v>0</v>
      </c>
      <c r="AS18" s="129">
        <v>0</v>
      </c>
      <c r="AT18" s="129">
        <v>0</v>
      </c>
      <c r="AU18" s="129"/>
      <c r="AV18" s="13" t="b">
        <f t="shared" si="3"/>
        <v>1</v>
      </c>
      <c r="AW18" s="14"/>
      <c r="AX18" s="15"/>
      <c r="AY18" s="16"/>
      <c r="AZ18" s="15"/>
      <c r="BA18" s="16"/>
      <c r="BB18" s="17">
        <f t="shared" si="4"/>
        <v>0</v>
      </c>
      <c r="BC18" s="12"/>
      <c r="BD18" s="15"/>
      <c r="BE18" s="18"/>
      <c r="BF18" s="12"/>
      <c r="BG18" s="19" t="str">
        <f t="shared" si="5"/>
        <v>enero</v>
      </c>
      <c r="BH18" s="12" t="str">
        <f t="shared" si="6"/>
        <v>Corporación Ciudad Alfaro</v>
      </c>
      <c r="BI18" s="20" t="str">
        <f t="shared" si="7"/>
        <v>N/A</v>
      </c>
    </row>
    <row r="19" spans="1:61" ht="24.95" customHeight="1">
      <c r="A19" s="4">
        <v>432</v>
      </c>
      <c r="B19" s="12" t="str">
        <f>VLOOKUP($A19,'Matriz POA 2024-TRABAJO'!$A$5:$CD$9142,11,FALSE)</f>
        <v>Corporación Ciudad Alfaro</v>
      </c>
      <c r="C19" s="12" t="str">
        <f>VLOOKUP($A19,'Matriz POA 2024-TRABAJO'!$A$5:$CD$9142,14,FALSE)</f>
        <v>N/A</v>
      </c>
      <c r="D19" s="12" t="str">
        <f>VLOOKUP($A19,'Matriz POA 2024-TRABAJO'!$A$5:$CD$9142,15,FALSE)</f>
        <v>N/A</v>
      </c>
      <c r="E19" s="12" t="str">
        <f>VLOOKUP($A19,'Matriz POA 2024-TRABAJO'!$A$5:$CD$9142,18,FALSE)</f>
        <v>N/A</v>
      </c>
      <c r="F19" s="12" t="str">
        <f>VLOOKUP($A19,'Matriz POA 2024-TRABAJO'!$A$5:$CD$9142,20,FALSE)</f>
        <v>N/A</v>
      </c>
      <c r="G19" s="12" t="str">
        <f>VLOOKUP($A19,'Matriz POA 2024-TRABAJO'!$A$5:$CD$9142,21,FALSE)</f>
        <v>N/A</v>
      </c>
      <c r="H19" s="12" t="str">
        <f>VLOOKUP($A19,'Matriz POA 2024-TRABAJO'!$A$5:$CD$9142,22,FALSE)</f>
        <v>N/A</v>
      </c>
      <c r="I19" s="12" t="str">
        <f>VLOOKUP($A19,'Matriz POA 2024-TRABAJO'!$A$5:$CD$9142,23,FALSE)</f>
        <v>NUEVA</v>
      </c>
      <c r="J19" s="12" t="str">
        <f>VLOOKUP($A19,'Matriz POA 2024-TRABAJO'!$A$5:$CD$9142,24,FALSE)</f>
        <v>Pago del servicio de telefonía fija e internet de la Corporación Ciudad Alfaro</v>
      </c>
      <c r="K19" s="12" t="str">
        <f>VLOOKUP($A19,'Matriz POA 2024-TRABAJO'!$A$5:$CD$9142,25,FALSE)</f>
        <v>0035</v>
      </c>
      <c r="L19" s="12" t="str">
        <f>VLOOKUP($A19,'Matriz POA 2024-TRABAJO'!$A$5:$CD$9142,26,FALSE)</f>
        <v>80</v>
      </c>
      <c r="M19" s="12" t="str">
        <f>VLOOKUP($A19,'Matriz POA 2024-TRABAJO'!$A$5:$CD$9142,27,FALSE)</f>
        <v>000</v>
      </c>
      <c r="N19" s="12" t="str">
        <f>VLOOKUP($A19,'Matriz POA 2024-TRABAJO'!$A$5:$CD$9142,28,FALSE)</f>
        <v>002</v>
      </c>
      <c r="O19" s="12" t="str">
        <f>VLOOKUP($A19,'Matriz POA 2024-TRABAJO'!$A$5:$CD$9142,29,FALSE)</f>
        <v>53</v>
      </c>
      <c r="P19" s="12">
        <f>VLOOKUP($A19,'Matriz POA 2024-TRABAJO'!$A$5:$CD$9142,30,FALSE)</f>
        <v>530105</v>
      </c>
      <c r="Q19" s="12">
        <f>VLOOKUP($A19,'Matriz POA 2024-TRABAJO'!$A$5:$CD$9142,32,FALSE)</f>
        <v>1309</v>
      </c>
      <c r="R19" s="12" t="str">
        <f>VLOOKUP($A19,'Matriz POA 2024-TRABAJO'!$A$5:$CD$9142,33,FALSE)</f>
        <v>001</v>
      </c>
      <c r="S19" s="12" t="str">
        <f>VLOOKUP($A19,'Matriz POA 2024-TRABAJO'!$A$5:$CD$9142,34,FALSE)</f>
        <v>0000</v>
      </c>
      <c r="T19" s="12" t="str">
        <f>VLOOKUP($A19,'Matriz POA 2024-TRABAJO'!$A$5:$CD$9142,35,FALSE)</f>
        <v>0000</v>
      </c>
      <c r="U19" s="62">
        <f>VLOOKUP($A19,'Matriz POA 2024-TRABAJO'!$A$5:$CD$9142,66,FALSE)</f>
        <v>8836</v>
      </c>
      <c r="V19" s="62">
        <f>VLOOKUP($A19,'Matriz POA 2024-TRABAJO'!$A$5:$CD$9142,67,FALSE)</f>
        <v>-1397.6400000000003</v>
      </c>
      <c r="W19" s="62">
        <f>VLOOKUP($A19,'Matriz POA 2024-TRABAJO'!$A$5:$CD$9142,68,FALSE)</f>
        <v>1300</v>
      </c>
      <c r="X19" s="62">
        <f>VLOOKUP($A19,'Matriz POA 2024-TRABAJO'!$A$5:$CD$9142,72,FALSE)</f>
        <v>5801.64</v>
      </c>
      <c r="Y19" s="388">
        <v>8000</v>
      </c>
      <c r="Z19" s="388">
        <v>0</v>
      </c>
      <c r="AA19" s="388">
        <v>8000</v>
      </c>
      <c r="AB19" s="389"/>
      <c r="AC19" s="389"/>
      <c r="AD19" s="13"/>
      <c r="AE19" s="13"/>
      <c r="AF19" s="13">
        <f t="shared" si="0"/>
        <v>8000</v>
      </c>
      <c r="AG19" s="13">
        <f t="shared" si="1"/>
        <v>0</v>
      </c>
      <c r="AH19" s="13">
        <f t="shared" si="2"/>
        <v>8000</v>
      </c>
      <c r="AI19" s="129">
        <v>0</v>
      </c>
      <c r="AJ19" s="129">
        <v>700</v>
      </c>
      <c r="AK19" s="129">
        <v>700</v>
      </c>
      <c r="AL19" s="129">
        <v>700</v>
      </c>
      <c r="AM19" s="129">
        <v>700</v>
      </c>
      <c r="AN19" s="129">
        <v>700</v>
      </c>
      <c r="AO19" s="129">
        <v>700</v>
      </c>
      <c r="AP19" s="129">
        <v>700</v>
      </c>
      <c r="AQ19" s="129">
        <v>700</v>
      </c>
      <c r="AR19" s="129">
        <v>700</v>
      </c>
      <c r="AS19" s="129">
        <v>700</v>
      </c>
      <c r="AT19" s="129">
        <v>1000</v>
      </c>
      <c r="AU19" s="129"/>
      <c r="AV19" s="13" t="b">
        <f t="shared" si="3"/>
        <v>1</v>
      </c>
      <c r="AW19" s="14"/>
      <c r="AX19" s="15"/>
      <c r="AY19" s="16"/>
      <c r="AZ19" s="15"/>
      <c r="BA19" s="16"/>
      <c r="BB19" s="17">
        <f t="shared" si="4"/>
        <v>0</v>
      </c>
      <c r="BC19" s="12"/>
      <c r="BD19" s="15"/>
      <c r="BE19" s="18"/>
      <c r="BF19" s="12"/>
      <c r="BG19" s="19" t="str">
        <f t="shared" si="5"/>
        <v>enero</v>
      </c>
      <c r="BH19" s="12" t="str">
        <f t="shared" si="6"/>
        <v>Corporación Ciudad Alfaro</v>
      </c>
      <c r="BI19" s="20" t="str">
        <f t="shared" si="7"/>
        <v>N/A</v>
      </c>
    </row>
    <row r="20" spans="1:61" ht="24.95" customHeight="1">
      <c r="A20" s="4">
        <v>433</v>
      </c>
      <c r="B20" s="12" t="str">
        <f>VLOOKUP($A20,'Matriz POA 2024-TRABAJO'!$A$5:$CD$9142,11,FALSE)</f>
        <v>Corporación Ciudad Alfaro</v>
      </c>
      <c r="C20" s="12" t="str">
        <f>VLOOKUP($A20,'Matriz POA 2024-TRABAJO'!$A$5:$CD$9142,14,FALSE)</f>
        <v>N/A</v>
      </c>
      <c r="D20" s="12" t="str">
        <f>VLOOKUP($A20,'Matriz POA 2024-TRABAJO'!$A$5:$CD$9142,15,FALSE)</f>
        <v>N/A</v>
      </c>
      <c r="E20" s="12" t="str">
        <f>VLOOKUP($A20,'Matriz POA 2024-TRABAJO'!$A$5:$CD$9142,18,FALSE)</f>
        <v>N/A</v>
      </c>
      <c r="F20" s="12" t="str">
        <f>VLOOKUP($A20,'Matriz POA 2024-TRABAJO'!$A$5:$CD$9142,20,FALSE)</f>
        <v>N/A</v>
      </c>
      <c r="G20" s="12" t="str">
        <f>VLOOKUP($A20,'Matriz POA 2024-TRABAJO'!$A$5:$CD$9142,21,FALSE)</f>
        <v>N/A</v>
      </c>
      <c r="H20" s="12" t="str">
        <f>VLOOKUP($A20,'Matriz POA 2024-TRABAJO'!$A$5:$CD$9142,22,FALSE)</f>
        <v>N/A</v>
      </c>
      <c r="I20" s="12" t="str">
        <f>VLOOKUP($A20,'Matriz POA 2024-TRABAJO'!$A$5:$CD$9142,23,FALSE)</f>
        <v>NUEVA</v>
      </c>
      <c r="J20" s="12" t="str">
        <f>VLOOKUP($A20,'Matriz POA 2024-TRABAJO'!$A$5:$CD$9142,24,FALSE)</f>
        <v>Pago de expensas comunales de las instalaciones del Museo Portoviejo y Archivo Histórico</v>
      </c>
      <c r="K20" s="12" t="str">
        <f>VLOOKUP($A20,'Matriz POA 2024-TRABAJO'!$A$5:$CD$9142,25,FALSE)</f>
        <v>0035</v>
      </c>
      <c r="L20" s="12" t="str">
        <f>VLOOKUP($A20,'Matriz POA 2024-TRABAJO'!$A$5:$CD$9142,26,FALSE)</f>
        <v>80</v>
      </c>
      <c r="M20" s="12" t="str">
        <f>VLOOKUP($A20,'Matriz POA 2024-TRABAJO'!$A$5:$CD$9142,27,FALSE)</f>
        <v>000</v>
      </c>
      <c r="N20" s="12" t="str">
        <f>VLOOKUP($A20,'Matriz POA 2024-TRABAJO'!$A$5:$CD$9142,28,FALSE)</f>
        <v>002</v>
      </c>
      <c r="O20" s="12" t="str">
        <f>VLOOKUP($A20,'Matriz POA 2024-TRABAJO'!$A$5:$CD$9142,29,FALSE)</f>
        <v>53</v>
      </c>
      <c r="P20" s="12">
        <f>VLOOKUP($A20,'Matriz POA 2024-TRABAJO'!$A$5:$CD$9142,30,FALSE)</f>
        <v>530402</v>
      </c>
      <c r="Q20" s="12">
        <f>VLOOKUP($A20,'Matriz POA 2024-TRABAJO'!$A$5:$CD$9142,32,FALSE)</f>
        <v>1301</v>
      </c>
      <c r="R20" s="12" t="str">
        <f>VLOOKUP($A20,'Matriz POA 2024-TRABAJO'!$A$5:$CD$9142,33,FALSE)</f>
        <v>001</v>
      </c>
      <c r="S20" s="12" t="str">
        <f>VLOOKUP($A20,'Matriz POA 2024-TRABAJO'!$A$5:$CD$9142,34,FALSE)</f>
        <v>0000</v>
      </c>
      <c r="T20" s="12" t="str">
        <f>VLOOKUP($A20,'Matriz POA 2024-TRABAJO'!$A$5:$CD$9142,35,FALSE)</f>
        <v>0000</v>
      </c>
      <c r="U20" s="62" t="str">
        <f>VLOOKUP($A20,'Matriz POA 2024-TRABAJO'!$A$5:$CD$9142,66,FALSE)</f>
        <v/>
      </c>
      <c r="V20" s="62" t="str">
        <f>VLOOKUP($A20,'Matriz POA 2024-TRABAJO'!$A$5:$CD$9142,67,FALSE)</f>
        <v/>
      </c>
      <c r="W20" s="62">
        <f>VLOOKUP($A20,'Matriz POA 2024-TRABAJO'!$A$5:$CD$9142,68,FALSE)</f>
        <v>66034.080000000002</v>
      </c>
      <c r="X20" s="62">
        <f>VLOOKUP($A20,'Matriz POA 2024-TRABAJO'!$A$5:$CD$9142,72,FALSE)</f>
        <v>66034.080000000002</v>
      </c>
      <c r="Y20" s="388">
        <v>0</v>
      </c>
      <c r="Z20" s="388">
        <v>0</v>
      </c>
      <c r="AA20" s="388">
        <v>0</v>
      </c>
      <c r="AB20" s="389"/>
      <c r="AC20" s="389"/>
      <c r="AD20" s="13"/>
      <c r="AE20" s="13"/>
      <c r="AF20" s="13">
        <f t="shared" si="0"/>
        <v>0</v>
      </c>
      <c r="AG20" s="13">
        <f t="shared" si="1"/>
        <v>0</v>
      </c>
      <c r="AH20" s="13">
        <f t="shared" si="2"/>
        <v>0</v>
      </c>
      <c r="AI20" s="129">
        <v>0</v>
      </c>
      <c r="AJ20" s="129">
        <v>0</v>
      </c>
      <c r="AK20" s="129">
        <v>0</v>
      </c>
      <c r="AL20" s="129">
        <v>0</v>
      </c>
      <c r="AM20" s="129">
        <v>0</v>
      </c>
      <c r="AN20" s="129">
        <v>0</v>
      </c>
      <c r="AO20" s="129">
        <v>0</v>
      </c>
      <c r="AP20" s="129">
        <v>0</v>
      </c>
      <c r="AQ20" s="129">
        <v>0</v>
      </c>
      <c r="AR20" s="129">
        <v>0</v>
      </c>
      <c r="AS20" s="129">
        <v>0</v>
      </c>
      <c r="AT20" s="129">
        <v>0</v>
      </c>
      <c r="AU20" s="129"/>
      <c r="AV20" s="13" t="b">
        <f t="shared" si="3"/>
        <v>1</v>
      </c>
      <c r="AW20" s="14"/>
      <c r="AX20" s="15"/>
      <c r="AY20" s="16"/>
      <c r="AZ20" s="15"/>
      <c r="BA20" s="16"/>
      <c r="BB20" s="17">
        <f t="shared" si="4"/>
        <v>0</v>
      </c>
      <c r="BC20" s="12"/>
      <c r="BD20" s="15"/>
      <c r="BE20" s="18"/>
      <c r="BF20" s="12"/>
      <c r="BG20" s="19" t="str">
        <f t="shared" si="5"/>
        <v>enero</v>
      </c>
      <c r="BH20" s="12" t="str">
        <f t="shared" si="6"/>
        <v>Corporación Ciudad Alfaro</v>
      </c>
      <c r="BI20" s="20" t="str">
        <f t="shared" si="7"/>
        <v>N/A</v>
      </c>
    </row>
    <row r="21" spans="1:61" ht="24.95" customHeight="1">
      <c r="A21" s="4">
        <v>434</v>
      </c>
      <c r="B21" s="12" t="str">
        <f>VLOOKUP($A21,'Matriz POA 2024-TRABAJO'!$A$5:$CD$9142,11,FALSE)</f>
        <v>Corporación Ciudad Alfaro</v>
      </c>
      <c r="C21" s="12" t="str">
        <f>VLOOKUP($A21,'Matriz POA 2024-TRABAJO'!$A$5:$CD$9142,14,FALSE)</f>
        <v>N/A</v>
      </c>
      <c r="D21" s="12" t="str">
        <f>VLOOKUP($A21,'Matriz POA 2024-TRABAJO'!$A$5:$CD$9142,15,FALSE)</f>
        <v>N/A</v>
      </c>
      <c r="E21" s="12" t="str">
        <f>VLOOKUP($A21,'Matriz POA 2024-TRABAJO'!$A$5:$CD$9142,18,FALSE)</f>
        <v>N/A</v>
      </c>
      <c r="F21" s="12" t="str">
        <f>VLOOKUP($A21,'Matriz POA 2024-TRABAJO'!$A$5:$CD$9142,20,FALSE)</f>
        <v>N/A</v>
      </c>
      <c r="G21" s="12" t="str">
        <f>VLOOKUP($A21,'Matriz POA 2024-TRABAJO'!$A$5:$CD$9142,21,FALSE)</f>
        <v>N/A</v>
      </c>
      <c r="H21" s="12" t="str">
        <f>VLOOKUP($A21,'Matriz POA 2024-TRABAJO'!$A$5:$CD$9142,22,FALSE)</f>
        <v>N/A</v>
      </c>
      <c r="I21" s="12" t="str">
        <f>VLOOKUP($A21,'Matriz POA 2024-TRABAJO'!$A$5:$CD$9142,23,FALSE)</f>
        <v>ARRASTRE</v>
      </c>
      <c r="J21" s="12" t="str">
        <f>VLOOKUP($A21,'Matriz POA 2024-TRABAJO'!$A$5:$CD$9142,24,FALSE)</f>
        <v>Pago de expensas comunales del mes de Diciembre del 2023 de las instalaciones del Museo Portoviejo y Archivo Histórico</v>
      </c>
      <c r="K21" s="12" t="str">
        <f>VLOOKUP($A21,'Matriz POA 2024-TRABAJO'!$A$5:$CD$9142,25,FALSE)</f>
        <v>0035</v>
      </c>
      <c r="L21" s="12" t="str">
        <f>VLOOKUP($A21,'Matriz POA 2024-TRABAJO'!$A$5:$CD$9142,26,FALSE)</f>
        <v>80</v>
      </c>
      <c r="M21" s="12" t="str">
        <f>VLOOKUP($A21,'Matriz POA 2024-TRABAJO'!$A$5:$CD$9142,27,FALSE)</f>
        <v>000</v>
      </c>
      <c r="N21" s="12" t="str">
        <f>VLOOKUP($A21,'Matriz POA 2024-TRABAJO'!$A$5:$CD$9142,28,FALSE)</f>
        <v>002</v>
      </c>
      <c r="O21" s="12" t="str">
        <f>VLOOKUP($A21,'Matriz POA 2024-TRABAJO'!$A$5:$CD$9142,29,FALSE)</f>
        <v>53</v>
      </c>
      <c r="P21" s="12">
        <f>VLOOKUP($A21,'Matriz POA 2024-TRABAJO'!$A$5:$CD$9142,30,FALSE)</f>
        <v>530402</v>
      </c>
      <c r="Q21" s="12">
        <f>VLOOKUP($A21,'Matriz POA 2024-TRABAJO'!$A$5:$CD$9142,32,FALSE)</f>
        <v>1301</v>
      </c>
      <c r="R21" s="12" t="str">
        <f>VLOOKUP($A21,'Matriz POA 2024-TRABAJO'!$A$5:$CD$9142,33,FALSE)</f>
        <v>001</v>
      </c>
      <c r="S21" s="12" t="str">
        <f>VLOOKUP($A21,'Matriz POA 2024-TRABAJO'!$A$5:$CD$9142,34,FALSE)</f>
        <v>0000</v>
      </c>
      <c r="T21" s="12" t="str">
        <f>VLOOKUP($A21,'Matriz POA 2024-TRABAJO'!$A$5:$CD$9142,35,FALSE)</f>
        <v>0000</v>
      </c>
      <c r="U21" s="62">
        <f>VLOOKUP($A21,'Matriz POA 2024-TRABAJO'!$A$5:$CD$9142,66,FALSE)</f>
        <v>6624</v>
      </c>
      <c r="V21" s="62">
        <f>VLOOKUP($A21,'Matriz POA 2024-TRABAJO'!$A$5:$CD$9142,67,FALSE)</f>
        <v>0</v>
      </c>
      <c r="W21" s="62">
        <f>VLOOKUP($A21,'Matriz POA 2024-TRABAJO'!$A$5:$CD$9142,68,FALSE)</f>
        <v>6624</v>
      </c>
      <c r="X21" s="62">
        <f>VLOOKUP($A21,'Matriz POA 2024-TRABAJO'!$A$5:$CD$9142,72,FALSE)</f>
        <v>6624</v>
      </c>
      <c r="Y21" s="388">
        <v>6624</v>
      </c>
      <c r="Z21" s="388">
        <v>0</v>
      </c>
      <c r="AA21" s="388">
        <v>6624</v>
      </c>
      <c r="AB21" s="389"/>
      <c r="AC21" s="389"/>
      <c r="AD21" s="13"/>
      <c r="AE21" s="13"/>
      <c r="AF21" s="13">
        <f t="shared" si="0"/>
        <v>6624</v>
      </c>
      <c r="AG21" s="13">
        <f t="shared" si="1"/>
        <v>0</v>
      </c>
      <c r="AH21" s="13">
        <f t="shared" si="2"/>
        <v>6624</v>
      </c>
      <c r="AI21" s="129">
        <v>0</v>
      </c>
      <c r="AJ21" s="129">
        <v>6624</v>
      </c>
      <c r="AK21" s="129">
        <v>0</v>
      </c>
      <c r="AL21" s="129">
        <v>0</v>
      </c>
      <c r="AM21" s="129">
        <v>0</v>
      </c>
      <c r="AN21" s="129">
        <v>0</v>
      </c>
      <c r="AO21" s="129">
        <v>0</v>
      </c>
      <c r="AP21" s="129">
        <v>0</v>
      </c>
      <c r="AQ21" s="129">
        <v>0</v>
      </c>
      <c r="AR21" s="129">
        <v>0</v>
      </c>
      <c r="AS21" s="129">
        <v>0</v>
      </c>
      <c r="AT21" s="129">
        <v>0</v>
      </c>
      <c r="AU21" s="129"/>
      <c r="AV21" s="13" t="b">
        <f t="shared" si="3"/>
        <v>1</v>
      </c>
      <c r="AW21" s="14"/>
      <c r="AX21" s="15"/>
      <c r="AY21" s="16"/>
      <c r="AZ21" s="15"/>
      <c r="BA21" s="16"/>
      <c r="BB21" s="17">
        <f t="shared" si="4"/>
        <v>0</v>
      </c>
      <c r="BC21" s="12"/>
      <c r="BD21" s="15"/>
      <c r="BE21" s="18"/>
      <c r="BF21" s="12"/>
      <c r="BG21" s="19" t="str">
        <f t="shared" si="5"/>
        <v>enero</v>
      </c>
      <c r="BH21" s="12" t="str">
        <f t="shared" si="6"/>
        <v>Corporación Ciudad Alfaro</v>
      </c>
      <c r="BI21" s="20" t="str">
        <f t="shared" si="7"/>
        <v>N/A</v>
      </c>
    </row>
    <row r="22" spans="1:61" ht="24.95" customHeight="1">
      <c r="A22" s="4">
        <v>435</v>
      </c>
      <c r="B22" s="12" t="str">
        <f>VLOOKUP($A22,'Matriz POA 2024-TRABAJO'!$A$5:$CD$9142,11,FALSE)</f>
        <v>Corporación Ciudad Alfaro</v>
      </c>
      <c r="C22" s="12" t="str">
        <f>VLOOKUP($A22,'Matriz POA 2024-TRABAJO'!$A$5:$CD$9142,14,FALSE)</f>
        <v>N/A</v>
      </c>
      <c r="D22" s="12" t="str">
        <f>VLOOKUP($A22,'Matriz POA 2024-TRABAJO'!$A$5:$CD$9142,15,FALSE)</f>
        <v>N/A</v>
      </c>
      <c r="E22" s="12" t="str">
        <f>VLOOKUP($A22,'Matriz POA 2024-TRABAJO'!$A$5:$CD$9142,18,FALSE)</f>
        <v>N/A</v>
      </c>
      <c r="F22" s="12" t="str">
        <f>VLOOKUP($A22,'Matriz POA 2024-TRABAJO'!$A$5:$CD$9142,20,FALSE)</f>
        <v>N/A</v>
      </c>
      <c r="G22" s="12" t="str">
        <f>VLOOKUP($A22,'Matriz POA 2024-TRABAJO'!$A$5:$CD$9142,21,FALSE)</f>
        <v>N/A</v>
      </c>
      <c r="H22" s="12" t="str">
        <f>VLOOKUP($A22,'Matriz POA 2024-TRABAJO'!$A$5:$CD$9142,22,FALSE)</f>
        <v>N/A</v>
      </c>
      <c r="I22" s="12" t="str">
        <f>VLOOKUP($A22,'Matriz POA 2024-TRABAJO'!$A$5:$CD$9142,23,FALSE)</f>
        <v>PLURIANUAL 2023-2024</v>
      </c>
      <c r="J22" s="12" t="str">
        <f>VLOOKUP($A22,'Matriz POA 2024-TRABAJO'!$A$5:$CD$9142,24,FALSE)</f>
        <v>Pago del servicio de aseo y limpieza del Museo Centro Cultural Manta por el período 2023-2024</v>
      </c>
      <c r="K22" s="12" t="str">
        <f>VLOOKUP($A22,'Matriz POA 2024-TRABAJO'!$A$5:$CD$9142,25,FALSE)</f>
        <v>0035</v>
      </c>
      <c r="L22" s="12" t="str">
        <f>VLOOKUP($A22,'Matriz POA 2024-TRABAJO'!$A$5:$CD$9142,26,FALSE)</f>
        <v>80</v>
      </c>
      <c r="M22" s="12" t="str">
        <f>VLOOKUP($A22,'Matriz POA 2024-TRABAJO'!$A$5:$CD$9142,27,FALSE)</f>
        <v>000</v>
      </c>
      <c r="N22" s="12" t="str">
        <f>VLOOKUP($A22,'Matriz POA 2024-TRABAJO'!$A$5:$CD$9142,28,FALSE)</f>
        <v>002</v>
      </c>
      <c r="O22" s="12" t="str">
        <f>VLOOKUP($A22,'Matriz POA 2024-TRABAJO'!$A$5:$CD$9142,29,FALSE)</f>
        <v>53</v>
      </c>
      <c r="P22" s="12">
        <f>VLOOKUP($A22,'Matriz POA 2024-TRABAJO'!$A$5:$CD$9142,30,FALSE)</f>
        <v>530209</v>
      </c>
      <c r="Q22" s="12">
        <f>VLOOKUP($A22,'Matriz POA 2024-TRABAJO'!$A$5:$CD$9142,32,FALSE)</f>
        <v>1308</v>
      </c>
      <c r="R22" s="12" t="str">
        <f>VLOOKUP($A22,'Matriz POA 2024-TRABAJO'!$A$5:$CD$9142,33,FALSE)</f>
        <v>001</v>
      </c>
      <c r="S22" s="12" t="str">
        <f>VLOOKUP($A22,'Matriz POA 2024-TRABAJO'!$A$5:$CD$9142,34,FALSE)</f>
        <v>0000</v>
      </c>
      <c r="T22" s="12" t="str">
        <f>VLOOKUP($A22,'Matriz POA 2024-TRABAJO'!$A$5:$CD$9142,35,FALSE)</f>
        <v>0000</v>
      </c>
      <c r="U22" s="62">
        <f>VLOOKUP($A22,'Matriz POA 2024-TRABAJO'!$A$5:$CD$9142,66,FALSE)</f>
        <v>22446</v>
      </c>
      <c r="V22" s="62">
        <f>VLOOKUP($A22,'Matriz POA 2024-TRABAJO'!$A$5:$CD$9142,67,FALSE)</f>
        <v>0</v>
      </c>
      <c r="W22" s="62">
        <f>VLOOKUP($A22,'Matriz POA 2024-TRABAJO'!$A$5:$CD$9142,68,FALSE)</f>
        <v>22446</v>
      </c>
      <c r="X22" s="62">
        <f>VLOOKUP($A22,'Matriz POA 2024-TRABAJO'!$A$5:$CD$9142,72,FALSE)</f>
        <v>20898</v>
      </c>
      <c r="Y22" s="388">
        <v>19737</v>
      </c>
      <c r="Z22" s="388">
        <v>0</v>
      </c>
      <c r="AA22" s="388">
        <v>19737</v>
      </c>
      <c r="AB22" s="389"/>
      <c r="AC22" s="389"/>
      <c r="AD22" s="13"/>
      <c r="AE22" s="13"/>
      <c r="AF22" s="13">
        <f t="shared" si="0"/>
        <v>19737</v>
      </c>
      <c r="AG22" s="13">
        <f t="shared" si="1"/>
        <v>0</v>
      </c>
      <c r="AH22" s="13">
        <f t="shared" si="2"/>
        <v>19737</v>
      </c>
      <c r="AI22" s="129">
        <v>2193</v>
      </c>
      <c r="AJ22" s="129">
        <v>2193</v>
      </c>
      <c r="AK22" s="129">
        <v>2193</v>
      </c>
      <c r="AL22" s="129">
        <v>2193</v>
      </c>
      <c r="AM22" s="129">
        <v>2193</v>
      </c>
      <c r="AN22" s="129">
        <v>2193</v>
      </c>
      <c r="AO22" s="129">
        <v>2193</v>
      </c>
      <c r="AP22" s="129">
        <v>2193</v>
      </c>
      <c r="AQ22" s="129">
        <v>2193</v>
      </c>
      <c r="AR22" s="129">
        <v>0</v>
      </c>
      <c r="AS22" s="129">
        <v>0</v>
      </c>
      <c r="AT22" s="129">
        <v>0</v>
      </c>
      <c r="AU22" s="129"/>
      <c r="AV22" s="13" t="b">
        <f t="shared" si="3"/>
        <v>1</v>
      </c>
      <c r="AW22" s="14"/>
      <c r="AX22" s="15"/>
      <c r="AY22" s="16"/>
      <c r="AZ22" s="15"/>
      <c r="BA22" s="16"/>
      <c r="BB22" s="17">
        <f t="shared" si="4"/>
        <v>0</v>
      </c>
      <c r="BC22" s="12"/>
      <c r="BD22" s="15"/>
      <c r="BE22" s="18"/>
      <c r="BF22" s="12"/>
      <c r="BG22" s="19" t="str">
        <f t="shared" si="5"/>
        <v>enero</v>
      </c>
      <c r="BH22" s="12" t="str">
        <f t="shared" si="6"/>
        <v>Corporación Ciudad Alfaro</v>
      </c>
      <c r="BI22" s="20" t="str">
        <f t="shared" si="7"/>
        <v>N/A</v>
      </c>
    </row>
    <row r="23" spans="1:61" ht="24.95" customHeight="1">
      <c r="A23" s="4">
        <v>436</v>
      </c>
      <c r="B23" s="12" t="str">
        <f>VLOOKUP($A23,'Matriz POA 2024-TRABAJO'!$A$5:$CD$9142,11,FALSE)</f>
        <v>Corporación Ciudad Alfaro</v>
      </c>
      <c r="C23" s="12" t="str">
        <f>VLOOKUP($A23,'Matriz POA 2024-TRABAJO'!$A$5:$CD$9142,14,FALSE)</f>
        <v>N/A</v>
      </c>
      <c r="D23" s="12" t="str">
        <f>VLOOKUP($A23,'Matriz POA 2024-TRABAJO'!$A$5:$CD$9142,15,FALSE)</f>
        <v>N/A</v>
      </c>
      <c r="E23" s="12" t="str">
        <f>VLOOKUP($A23,'Matriz POA 2024-TRABAJO'!$A$5:$CD$9142,18,FALSE)</f>
        <v>N/A</v>
      </c>
      <c r="F23" s="12" t="str">
        <f>VLOOKUP($A23,'Matriz POA 2024-TRABAJO'!$A$5:$CD$9142,20,FALSE)</f>
        <v>N/A</v>
      </c>
      <c r="G23" s="12" t="str">
        <f>VLOOKUP($A23,'Matriz POA 2024-TRABAJO'!$A$5:$CD$9142,21,FALSE)</f>
        <v>N/A</v>
      </c>
      <c r="H23" s="12" t="str">
        <f>VLOOKUP($A23,'Matriz POA 2024-TRABAJO'!$A$5:$CD$9142,22,FALSE)</f>
        <v>N/A</v>
      </c>
      <c r="I23" s="12" t="str">
        <f>VLOOKUP($A23,'Matriz POA 2024-TRABAJO'!$A$5:$CD$9142,23,FALSE)</f>
        <v>PLURIANUAL 2023-2024</v>
      </c>
      <c r="J23" s="12" t="str">
        <f>VLOOKUP($A23,'Matriz POA 2024-TRABAJO'!$A$5:$CD$9142,24,FALSE)</f>
        <v>Pago del Servicio de aseo y Limpieza del Museo Bahía de Caráquez por el período 2023-2024</v>
      </c>
      <c r="K23" s="12" t="str">
        <f>VLOOKUP($A23,'Matriz POA 2024-TRABAJO'!$A$5:$CD$9142,25,FALSE)</f>
        <v>0035</v>
      </c>
      <c r="L23" s="12" t="str">
        <f>VLOOKUP($A23,'Matriz POA 2024-TRABAJO'!$A$5:$CD$9142,26,FALSE)</f>
        <v>80</v>
      </c>
      <c r="M23" s="12" t="str">
        <f>VLOOKUP($A23,'Matriz POA 2024-TRABAJO'!$A$5:$CD$9142,27,FALSE)</f>
        <v>000</v>
      </c>
      <c r="N23" s="12" t="str">
        <f>VLOOKUP($A23,'Matriz POA 2024-TRABAJO'!$A$5:$CD$9142,28,FALSE)</f>
        <v>002</v>
      </c>
      <c r="O23" s="12" t="str">
        <f>VLOOKUP($A23,'Matriz POA 2024-TRABAJO'!$A$5:$CD$9142,29,FALSE)</f>
        <v>53</v>
      </c>
      <c r="P23" s="12">
        <f>VLOOKUP($A23,'Matriz POA 2024-TRABAJO'!$A$5:$CD$9142,30,FALSE)</f>
        <v>530209</v>
      </c>
      <c r="Q23" s="12">
        <f>VLOOKUP($A23,'Matriz POA 2024-TRABAJO'!$A$5:$CD$9142,32,FALSE)</f>
        <v>1314</v>
      </c>
      <c r="R23" s="12" t="str">
        <f>VLOOKUP($A23,'Matriz POA 2024-TRABAJO'!$A$5:$CD$9142,33,FALSE)</f>
        <v>001</v>
      </c>
      <c r="S23" s="12" t="str">
        <f>VLOOKUP($A23,'Matriz POA 2024-TRABAJO'!$A$5:$CD$9142,34,FALSE)</f>
        <v>0000</v>
      </c>
      <c r="T23" s="12" t="str">
        <f>VLOOKUP($A23,'Matriz POA 2024-TRABAJO'!$A$5:$CD$9142,35,FALSE)</f>
        <v>0000</v>
      </c>
      <c r="U23" s="62">
        <f>VLOOKUP($A23,'Matriz POA 2024-TRABAJO'!$A$5:$CD$9142,66,FALSE)</f>
        <v>22446</v>
      </c>
      <c r="V23" s="62">
        <f>VLOOKUP($A23,'Matriz POA 2024-TRABAJO'!$A$5:$CD$9142,67,FALSE)</f>
        <v>0</v>
      </c>
      <c r="W23" s="62">
        <f>VLOOKUP($A23,'Matriz POA 2024-TRABAJO'!$A$5:$CD$9142,68,FALSE)</f>
        <v>22446</v>
      </c>
      <c r="X23" s="62">
        <f>VLOOKUP($A23,'Matriz POA 2024-TRABAJO'!$A$5:$CD$9142,72,FALSE)</f>
        <v>22446</v>
      </c>
      <c r="Y23" s="388">
        <v>19737</v>
      </c>
      <c r="Z23" s="388">
        <v>0</v>
      </c>
      <c r="AA23" s="388">
        <v>19737</v>
      </c>
      <c r="AB23" s="389"/>
      <c r="AC23" s="389"/>
      <c r="AD23" s="13"/>
      <c r="AE23" s="13"/>
      <c r="AF23" s="13">
        <f t="shared" si="0"/>
        <v>19737</v>
      </c>
      <c r="AG23" s="13">
        <f t="shared" si="1"/>
        <v>0</v>
      </c>
      <c r="AH23" s="13">
        <f t="shared" si="2"/>
        <v>19737</v>
      </c>
      <c r="AI23" s="129">
        <v>2193</v>
      </c>
      <c r="AJ23" s="129">
        <v>2193</v>
      </c>
      <c r="AK23" s="129">
        <v>2193</v>
      </c>
      <c r="AL23" s="129">
        <v>2193</v>
      </c>
      <c r="AM23" s="129">
        <v>2193</v>
      </c>
      <c r="AN23" s="129">
        <v>2193</v>
      </c>
      <c r="AO23" s="129">
        <v>2193</v>
      </c>
      <c r="AP23" s="129">
        <v>2193</v>
      </c>
      <c r="AQ23" s="129">
        <v>2193</v>
      </c>
      <c r="AR23" s="129">
        <v>0</v>
      </c>
      <c r="AS23" s="129">
        <v>0</v>
      </c>
      <c r="AT23" s="129">
        <v>0</v>
      </c>
      <c r="AU23" s="129"/>
      <c r="AV23" s="13" t="b">
        <f t="shared" si="3"/>
        <v>1</v>
      </c>
      <c r="AW23" s="14"/>
      <c r="AX23" s="15"/>
      <c r="AY23" s="16"/>
      <c r="AZ23" s="15"/>
      <c r="BA23" s="16"/>
      <c r="BB23" s="17">
        <f t="shared" si="4"/>
        <v>0</v>
      </c>
      <c r="BC23" s="12"/>
      <c r="BD23" s="15"/>
      <c r="BE23" s="18"/>
      <c r="BF23" s="12"/>
      <c r="BG23" s="19" t="str">
        <f t="shared" si="5"/>
        <v>enero</v>
      </c>
      <c r="BH23" s="12" t="str">
        <f t="shared" si="6"/>
        <v>Corporación Ciudad Alfaro</v>
      </c>
      <c r="BI23" s="20" t="str">
        <f t="shared" si="7"/>
        <v>N/A</v>
      </c>
    </row>
    <row r="24" spans="1:61" ht="24.95" customHeight="1">
      <c r="A24" s="4">
        <v>437</v>
      </c>
      <c r="B24" s="12" t="str">
        <f>VLOOKUP($A24,'Matriz POA 2024-TRABAJO'!$A$5:$CD$9142,11,FALSE)</f>
        <v>Corporación Ciudad Alfaro</v>
      </c>
      <c r="C24" s="12" t="str">
        <f>VLOOKUP($A24,'Matriz POA 2024-TRABAJO'!$A$5:$CD$9142,14,FALSE)</f>
        <v>N/A</v>
      </c>
      <c r="D24" s="12" t="str">
        <f>VLOOKUP($A24,'Matriz POA 2024-TRABAJO'!$A$5:$CD$9142,15,FALSE)</f>
        <v>N/A</v>
      </c>
      <c r="E24" s="12" t="str">
        <f>VLOOKUP($A24,'Matriz POA 2024-TRABAJO'!$A$5:$CD$9142,18,FALSE)</f>
        <v>N/A</v>
      </c>
      <c r="F24" s="12" t="str">
        <f>VLOOKUP($A24,'Matriz POA 2024-TRABAJO'!$A$5:$CD$9142,20,FALSE)</f>
        <v>N/A</v>
      </c>
      <c r="G24" s="12" t="str">
        <f>VLOOKUP($A24,'Matriz POA 2024-TRABAJO'!$A$5:$CD$9142,21,FALSE)</f>
        <v>N/A</v>
      </c>
      <c r="H24" s="12" t="str">
        <f>VLOOKUP($A24,'Matriz POA 2024-TRABAJO'!$A$5:$CD$9142,22,FALSE)</f>
        <v>N/A</v>
      </c>
      <c r="I24" s="12" t="str">
        <f>VLOOKUP($A24,'Matriz POA 2024-TRABAJO'!$A$5:$CD$9142,23,FALSE)</f>
        <v>NUEVA</v>
      </c>
      <c r="J24" s="12" t="str">
        <f>VLOOKUP($A24,'Matriz POA 2024-TRABAJO'!$A$5:$CD$9142,24,FALSE)</f>
        <v>Pago del Servicio de aseo y Limpieza de la Corporación Ciudad Alfaro</v>
      </c>
      <c r="K24" s="12" t="str">
        <f>VLOOKUP($A24,'Matriz POA 2024-TRABAJO'!$A$5:$CD$9142,25,FALSE)</f>
        <v>0035</v>
      </c>
      <c r="L24" s="12" t="str">
        <f>VLOOKUP($A24,'Matriz POA 2024-TRABAJO'!$A$5:$CD$9142,26,FALSE)</f>
        <v>80</v>
      </c>
      <c r="M24" s="12" t="str">
        <f>VLOOKUP($A24,'Matriz POA 2024-TRABAJO'!$A$5:$CD$9142,27,FALSE)</f>
        <v>000</v>
      </c>
      <c r="N24" s="12" t="str">
        <f>VLOOKUP($A24,'Matriz POA 2024-TRABAJO'!$A$5:$CD$9142,28,FALSE)</f>
        <v>002</v>
      </c>
      <c r="O24" s="12" t="str">
        <f>VLOOKUP($A24,'Matriz POA 2024-TRABAJO'!$A$5:$CD$9142,29,FALSE)</f>
        <v>53</v>
      </c>
      <c r="P24" s="12">
        <f>VLOOKUP($A24,'Matriz POA 2024-TRABAJO'!$A$5:$CD$9142,30,FALSE)</f>
        <v>530209</v>
      </c>
      <c r="Q24" s="12">
        <f>VLOOKUP($A24,'Matriz POA 2024-TRABAJO'!$A$5:$CD$9142,32,FALSE)</f>
        <v>1309</v>
      </c>
      <c r="R24" s="12" t="str">
        <f>VLOOKUP($A24,'Matriz POA 2024-TRABAJO'!$A$5:$CD$9142,33,FALSE)</f>
        <v>001</v>
      </c>
      <c r="S24" s="12" t="str">
        <f>VLOOKUP($A24,'Matriz POA 2024-TRABAJO'!$A$5:$CD$9142,34,FALSE)</f>
        <v>0000</v>
      </c>
      <c r="T24" s="12" t="str">
        <f>VLOOKUP($A24,'Matriz POA 2024-TRABAJO'!$A$5:$CD$9142,35,FALSE)</f>
        <v>0000</v>
      </c>
      <c r="U24" s="62" t="str">
        <f>VLOOKUP($A24,'Matriz POA 2024-TRABAJO'!$A$5:$CD$9142,66,FALSE)</f>
        <v/>
      </c>
      <c r="V24" s="62" t="str">
        <f>VLOOKUP($A24,'Matriz POA 2024-TRABAJO'!$A$5:$CD$9142,67,FALSE)</f>
        <v/>
      </c>
      <c r="W24" s="62" t="str">
        <f>VLOOKUP($A24,'Matriz POA 2024-TRABAJO'!$A$5:$CD$9142,68,FALSE)</f>
        <v/>
      </c>
      <c r="X24" s="62" t="str">
        <f>VLOOKUP($A24,'Matriz POA 2024-TRABAJO'!$A$5:$CD$9142,72,FALSE)</f>
        <v/>
      </c>
      <c r="Y24" s="388">
        <v>19583</v>
      </c>
      <c r="Z24" s="388">
        <v>0</v>
      </c>
      <c r="AA24" s="388">
        <v>19583</v>
      </c>
      <c r="AB24" s="389"/>
      <c r="AC24" s="389"/>
      <c r="AD24" s="13"/>
      <c r="AE24" s="13"/>
      <c r="AF24" s="13">
        <f t="shared" si="0"/>
        <v>19583</v>
      </c>
      <c r="AG24" s="13">
        <f t="shared" si="1"/>
        <v>0</v>
      </c>
      <c r="AH24" s="13">
        <f t="shared" si="2"/>
        <v>19583</v>
      </c>
      <c r="AI24" s="129">
        <v>0</v>
      </c>
      <c r="AJ24" s="129">
        <v>0</v>
      </c>
      <c r="AK24" s="129">
        <v>0</v>
      </c>
      <c r="AL24" s="129">
        <v>0</v>
      </c>
      <c r="AM24" s="129">
        <v>0</v>
      </c>
      <c r="AN24" s="129">
        <v>0</v>
      </c>
      <c r="AO24" s="129">
        <v>0</v>
      </c>
      <c r="AP24" s="129">
        <v>0</v>
      </c>
      <c r="AQ24" s="129">
        <v>0</v>
      </c>
      <c r="AR24" s="129">
        <v>6527</v>
      </c>
      <c r="AS24" s="129">
        <v>6527</v>
      </c>
      <c r="AT24" s="129">
        <v>6529</v>
      </c>
      <c r="AU24" s="129"/>
      <c r="AV24" s="13" t="b">
        <f t="shared" si="3"/>
        <v>1</v>
      </c>
      <c r="AW24" s="14"/>
      <c r="AX24" s="15"/>
      <c r="AY24" s="16"/>
      <c r="AZ24" s="15"/>
      <c r="BA24" s="16"/>
      <c r="BB24" s="17">
        <f t="shared" si="4"/>
        <v>0</v>
      </c>
      <c r="BC24" s="12"/>
      <c r="BD24" s="15"/>
      <c r="BE24" s="18"/>
      <c r="BF24" s="12"/>
      <c r="BG24" s="19" t="str">
        <f t="shared" si="5"/>
        <v>enero</v>
      </c>
      <c r="BH24" s="12" t="str">
        <f t="shared" si="6"/>
        <v>Corporación Ciudad Alfaro</v>
      </c>
      <c r="BI24" s="20" t="str">
        <f t="shared" si="7"/>
        <v>N/A</v>
      </c>
    </row>
    <row r="25" spans="1:61" ht="24.95" customHeight="1">
      <c r="A25" s="4">
        <v>438</v>
      </c>
      <c r="B25" s="12" t="str">
        <f>VLOOKUP($A25,'Matriz POA 2024-TRABAJO'!$A$5:$CD$9142,11,FALSE)</f>
        <v>Corporación Ciudad Alfaro</v>
      </c>
      <c r="C25" s="12" t="str">
        <f>VLOOKUP($A25,'Matriz POA 2024-TRABAJO'!$A$5:$CD$9142,14,FALSE)</f>
        <v>N/A</v>
      </c>
      <c r="D25" s="12" t="str">
        <f>VLOOKUP($A25,'Matriz POA 2024-TRABAJO'!$A$5:$CD$9142,15,FALSE)</f>
        <v>N/A</v>
      </c>
      <c r="E25" s="12" t="str">
        <f>VLOOKUP($A25,'Matriz POA 2024-TRABAJO'!$A$5:$CD$9142,18,FALSE)</f>
        <v>N/A</v>
      </c>
      <c r="F25" s="12" t="str">
        <f>VLOOKUP($A25,'Matriz POA 2024-TRABAJO'!$A$5:$CD$9142,20,FALSE)</f>
        <v>N/A</v>
      </c>
      <c r="G25" s="12" t="str">
        <f>VLOOKUP($A25,'Matriz POA 2024-TRABAJO'!$A$5:$CD$9142,21,FALSE)</f>
        <v>N/A</v>
      </c>
      <c r="H25" s="12" t="str">
        <f>VLOOKUP($A25,'Matriz POA 2024-TRABAJO'!$A$5:$CD$9142,22,FALSE)</f>
        <v>N/A</v>
      </c>
      <c r="I25" s="12" t="str">
        <f>VLOOKUP($A25,'Matriz POA 2024-TRABAJO'!$A$5:$CD$9142,23,FALSE)</f>
        <v>PLURIANUAL 2023-2024</v>
      </c>
      <c r="J25" s="12" t="str">
        <f>VLOOKUP($A25,'Matriz POA 2024-TRABAJO'!$A$5:$CD$9142,24,FALSE)</f>
        <v>Pago del Servicio de aseo y Limpieza de la Corporación Ciudad Alfaro</v>
      </c>
      <c r="K25" s="12" t="str">
        <f>VLOOKUP($A25,'Matriz POA 2024-TRABAJO'!$A$5:$CD$9142,25,FALSE)</f>
        <v>0035</v>
      </c>
      <c r="L25" s="12" t="str">
        <f>VLOOKUP($A25,'Matriz POA 2024-TRABAJO'!$A$5:$CD$9142,26,FALSE)</f>
        <v>80</v>
      </c>
      <c r="M25" s="12" t="str">
        <f>VLOOKUP($A25,'Matriz POA 2024-TRABAJO'!$A$5:$CD$9142,27,FALSE)</f>
        <v>000</v>
      </c>
      <c r="N25" s="12" t="str">
        <f>VLOOKUP($A25,'Matriz POA 2024-TRABAJO'!$A$5:$CD$9142,28,FALSE)</f>
        <v>002</v>
      </c>
      <c r="O25" s="12" t="str">
        <f>VLOOKUP($A25,'Matriz POA 2024-TRABAJO'!$A$5:$CD$9142,29,FALSE)</f>
        <v>53</v>
      </c>
      <c r="P25" s="12">
        <f>VLOOKUP($A25,'Matriz POA 2024-TRABAJO'!$A$5:$CD$9142,30,FALSE)</f>
        <v>530209</v>
      </c>
      <c r="Q25" s="12">
        <f>VLOOKUP($A25,'Matriz POA 2024-TRABAJO'!$A$5:$CD$9142,32,FALSE)</f>
        <v>1309</v>
      </c>
      <c r="R25" s="12" t="str">
        <f>VLOOKUP($A25,'Matriz POA 2024-TRABAJO'!$A$5:$CD$9142,33,FALSE)</f>
        <v>001</v>
      </c>
      <c r="S25" s="12" t="str">
        <f>VLOOKUP($A25,'Matriz POA 2024-TRABAJO'!$A$5:$CD$9142,34,FALSE)</f>
        <v>0000</v>
      </c>
      <c r="T25" s="12" t="str">
        <f>VLOOKUP($A25,'Matriz POA 2024-TRABAJO'!$A$5:$CD$9142,35,FALSE)</f>
        <v>0000</v>
      </c>
      <c r="U25" s="62">
        <f>VLOOKUP($A25,'Matriz POA 2024-TRABAJO'!$A$5:$CD$9142,66,FALSE)</f>
        <v>22523.4</v>
      </c>
      <c r="V25" s="62">
        <f>VLOOKUP($A25,'Matriz POA 2024-TRABAJO'!$A$5:$CD$9142,67,FALSE)</f>
        <v>0</v>
      </c>
      <c r="W25" s="62">
        <f>VLOOKUP($A25,'Matriz POA 2024-TRABAJO'!$A$5:$CD$9142,68,FALSE)</f>
        <v>22523.4</v>
      </c>
      <c r="X25" s="62">
        <f>VLOOKUP($A25,'Matriz POA 2024-TRABAJO'!$A$5:$CD$9142,72,FALSE)</f>
        <v>22446</v>
      </c>
      <c r="Y25" s="388">
        <v>19737</v>
      </c>
      <c r="Z25" s="388">
        <v>0</v>
      </c>
      <c r="AA25" s="388">
        <v>19737</v>
      </c>
      <c r="AB25" s="389"/>
      <c r="AC25" s="389"/>
      <c r="AD25" s="13"/>
      <c r="AE25" s="13"/>
      <c r="AF25" s="13">
        <f t="shared" si="0"/>
        <v>19737</v>
      </c>
      <c r="AG25" s="13">
        <f t="shared" si="1"/>
        <v>0</v>
      </c>
      <c r="AH25" s="13">
        <f t="shared" si="2"/>
        <v>19737</v>
      </c>
      <c r="AI25" s="129">
        <v>2193</v>
      </c>
      <c r="AJ25" s="129">
        <v>2193</v>
      </c>
      <c r="AK25" s="129">
        <v>2193</v>
      </c>
      <c r="AL25" s="129">
        <v>2193</v>
      </c>
      <c r="AM25" s="129">
        <v>2193</v>
      </c>
      <c r="AN25" s="129">
        <v>2193</v>
      </c>
      <c r="AO25" s="129">
        <v>2193</v>
      </c>
      <c r="AP25" s="129">
        <v>2193</v>
      </c>
      <c r="AQ25" s="129">
        <v>2193</v>
      </c>
      <c r="AR25" s="129">
        <v>0</v>
      </c>
      <c r="AS25" s="129">
        <v>0</v>
      </c>
      <c r="AT25" s="129">
        <v>0</v>
      </c>
      <c r="AU25" s="129"/>
      <c r="AV25" s="13" t="b">
        <f t="shared" si="3"/>
        <v>1</v>
      </c>
      <c r="AW25" s="14"/>
      <c r="AX25" s="15"/>
      <c r="AY25" s="16"/>
      <c r="AZ25" s="15"/>
      <c r="BA25" s="16"/>
      <c r="BB25" s="17">
        <f t="shared" si="4"/>
        <v>0</v>
      </c>
      <c r="BC25" s="12"/>
      <c r="BD25" s="15"/>
      <c r="BE25" s="18"/>
      <c r="BF25" s="12"/>
      <c r="BG25" s="19" t="str">
        <f t="shared" si="5"/>
        <v>enero</v>
      </c>
      <c r="BH25" s="12" t="str">
        <f t="shared" si="6"/>
        <v>Corporación Ciudad Alfaro</v>
      </c>
      <c r="BI25" s="20" t="str">
        <f t="shared" si="7"/>
        <v>N/A</v>
      </c>
    </row>
    <row r="26" spans="1:61" ht="24.95" customHeight="1">
      <c r="A26" s="4">
        <v>439</v>
      </c>
      <c r="B26" s="12" t="str">
        <f>VLOOKUP($A26,'Matriz POA 2024-TRABAJO'!$A$5:$CD$9142,11,FALSE)</f>
        <v>Corporación Ciudad Alfaro</v>
      </c>
      <c r="C26" s="12" t="str">
        <f>VLOOKUP($A26,'Matriz POA 2024-TRABAJO'!$A$5:$CD$9142,14,FALSE)</f>
        <v>N/A</v>
      </c>
      <c r="D26" s="12" t="str">
        <f>VLOOKUP($A26,'Matriz POA 2024-TRABAJO'!$A$5:$CD$9142,15,FALSE)</f>
        <v>N/A</v>
      </c>
      <c r="E26" s="12" t="str">
        <f>VLOOKUP($A26,'Matriz POA 2024-TRABAJO'!$A$5:$CD$9142,18,FALSE)</f>
        <v>N/A</v>
      </c>
      <c r="F26" s="12" t="str">
        <f>VLOOKUP($A26,'Matriz POA 2024-TRABAJO'!$A$5:$CD$9142,20,FALSE)</f>
        <v>N/A</v>
      </c>
      <c r="G26" s="12" t="str">
        <f>VLOOKUP($A26,'Matriz POA 2024-TRABAJO'!$A$5:$CD$9142,21,FALSE)</f>
        <v>N/A</v>
      </c>
      <c r="H26" s="12" t="str">
        <f>VLOOKUP($A26,'Matriz POA 2024-TRABAJO'!$A$5:$CD$9142,22,FALSE)</f>
        <v>N/A</v>
      </c>
      <c r="I26" s="12" t="str">
        <f>VLOOKUP($A26,'Matriz POA 2024-TRABAJO'!$A$5:$CD$9142,23,FALSE)</f>
        <v>NUEVA</v>
      </c>
      <c r="J26" s="12" t="str">
        <f>VLOOKUP($A26,'Matriz POA 2024-TRABAJO'!$A$5:$CD$9142,24,FALSE)</f>
        <v>Pago del servicio de seguridad y vigilancia de la Corporación Alfaro y sus Sedes</v>
      </c>
      <c r="K26" s="12" t="str">
        <f>VLOOKUP($A26,'Matriz POA 2024-TRABAJO'!$A$5:$CD$9142,25,FALSE)</f>
        <v>0035</v>
      </c>
      <c r="L26" s="12" t="str">
        <f>VLOOKUP($A26,'Matriz POA 2024-TRABAJO'!$A$5:$CD$9142,26,FALSE)</f>
        <v>80</v>
      </c>
      <c r="M26" s="12" t="str">
        <f>VLOOKUP($A26,'Matriz POA 2024-TRABAJO'!$A$5:$CD$9142,27,FALSE)</f>
        <v>000</v>
      </c>
      <c r="N26" s="12" t="str">
        <f>VLOOKUP($A26,'Matriz POA 2024-TRABAJO'!$A$5:$CD$9142,28,FALSE)</f>
        <v>002</v>
      </c>
      <c r="O26" s="12" t="str">
        <f>VLOOKUP($A26,'Matriz POA 2024-TRABAJO'!$A$5:$CD$9142,29,FALSE)</f>
        <v>53</v>
      </c>
      <c r="P26" s="12">
        <f>VLOOKUP($A26,'Matriz POA 2024-TRABAJO'!$A$5:$CD$9142,30,FALSE)</f>
        <v>530208</v>
      </c>
      <c r="Q26" s="12">
        <f>VLOOKUP($A26,'Matriz POA 2024-TRABAJO'!$A$5:$CD$9142,32,FALSE)</f>
        <v>1309</v>
      </c>
      <c r="R26" s="12" t="str">
        <f>VLOOKUP($A26,'Matriz POA 2024-TRABAJO'!$A$5:$CD$9142,33,FALSE)</f>
        <v>001</v>
      </c>
      <c r="S26" s="12" t="str">
        <f>VLOOKUP($A26,'Matriz POA 2024-TRABAJO'!$A$5:$CD$9142,34,FALSE)</f>
        <v>0000</v>
      </c>
      <c r="T26" s="12" t="str">
        <f>VLOOKUP($A26,'Matriz POA 2024-TRABAJO'!$A$5:$CD$9142,35,FALSE)</f>
        <v>0000</v>
      </c>
      <c r="U26" s="62" t="str">
        <f>VLOOKUP($A26,'Matriz POA 2024-TRABAJO'!$A$5:$CD$9142,66,FALSE)</f>
        <v/>
      </c>
      <c r="V26" s="62" t="str">
        <f>VLOOKUP($A26,'Matriz POA 2024-TRABAJO'!$A$5:$CD$9142,67,FALSE)</f>
        <v/>
      </c>
      <c r="W26" s="62" t="str">
        <f>VLOOKUP($A26,'Matriz POA 2024-TRABAJO'!$A$5:$CD$9142,68,FALSE)</f>
        <v/>
      </c>
      <c r="X26" s="62" t="str">
        <f>VLOOKUP($A26,'Matriz POA 2024-TRABAJO'!$A$5:$CD$9142,72,FALSE)</f>
        <v/>
      </c>
      <c r="Y26" s="388">
        <v>0</v>
      </c>
      <c r="Z26" s="388">
        <v>0</v>
      </c>
      <c r="AA26" s="388">
        <v>0</v>
      </c>
      <c r="AB26" s="389"/>
      <c r="AC26" s="389"/>
      <c r="AD26" s="13"/>
      <c r="AE26" s="13"/>
      <c r="AF26" s="13">
        <f t="shared" si="0"/>
        <v>0</v>
      </c>
      <c r="AG26" s="13">
        <f t="shared" si="1"/>
        <v>0</v>
      </c>
      <c r="AH26" s="13">
        <f t="shared" si="2"/>
        <v>0</v>
      </c>
      <c r="AI26" s="129">
        <v>0</v>
      </c>
      <c r="AJ26" s="129">
        <v>0</v>
      </c>
      <c r="AK26" s="129">
        <v>0</v>
      </c>
      <c r="AL26" s="129">
        <v>0</v>
      </c>
      <c r="AM26" s="129">
        <v>0</v>
      </c>
      <c r="AN26" s="129">
        <v>0</v>
      </c>
      <c r="AO26" s="129">
        <v>0</v>
      </c>
      <c r="AP26" s="129">
        <v>0</v>
      </c>
      <c r="AQ26" s="129">
        <v>0</v>
      </c>
      <c r="AR26" s="129">
        <v>0</v>
      </c>
      <c r="AS26" s="129">
        <v>0</v>
      </c>
      <c r="AT26" s="129">
        <v>0</v>
      </c>
      <c r="AU26" s="129"/>
      <c r="AV26" s="13" t="b">
        <f t="shared" si="3"/>
        <v>1</v>
      </c>
      <c r="AW26" s="14"/>
      <c r="AX26" s="15"/>
      <c r="AY26" s="16"/>
      <c r="AZ26" s="15"/>
      <c r="BA26" s="16"/>
      <c r="BB26" s="17">
        <f t="shared" si="4"/>
        <v>0</v>
      </c>
      <c r="BC26" s="12"/>
      <c r="BD26" s="15"/>
      <c r="BE26" s="18"/>
      <c r="BF26" s="12"/>
      <c r="BG26" s="19" t="str">
        <f t="shared" si="5"/>
        <v>enero</v>
      </c>
      <c r="BH26" s="12" t="str">
        <f t="shared" si="6"/>
        <v>Corporación Ciudad Alfaro</v>
      </c>
      <c r="BI26" s="20" t="str">
        <f t="shared" si="7"/>
        <v>N/A</v>
      </c>
    </row>
    <row r="27" spans="1:61" ht="24.95" customHeight="1">
      <c r="A27" s="4">
        <v>440</v>
      </c>
      <c r="B27" s="12" t="str">
        <f>VLOOKUP($A27,'Matriz POA 2024-TRABAJO'!$A$5:$CD$9142,11,FALSE)</f>
        <v>Corporación Ciudad Alfaro</v>
      </c>
      <c r="C27" s="12" t="str">
        <f>VLOOKUP($A27,'Matriz POA 2024-TRABAJO'!$A$5:$CD$9142,14,FALSE)</f>
        <v>N/A</v>
      </c>
      <c r="D27" s="12" t="str">
        <f>VLOOKUP($A27,'Matriz POA 2024-TRABAJO'!$A$5:$CD$9142,15,FALSE)</f>
        <v>N/A</v>
      </c>
      <c r="E27" s="12" t="str">
        <f>VLOOKUP($A27,'Matriz POA 2024-TRABAJO'!$A$5:$CD$9142,18,FALSE)</f>
        <v>N/A</v>
      </c>
      <c r="F27" s="12" t="str">
        <f>VLOOKUP($A27,'Matriz POA 2024-TRABAJO'!$A$5:$CD$9142,20,FALSE)</f>
        <v>N/A</v>
      </c>
      <c r="G27" s="12" t="str">
        <f>VLOOKUP($A27,'Matriz POA 2024-TRABAJO'!$A$5:$CD$9142,21,FALSE)</f>
        <v>N/A</v>
      </c>
      <c r="H27" s="12" t="str">
        <f>VLOOKUP($A27,'Matriz POA 2024-TRABAJO'!$A$5:$CD$9142,22,FALSE)</f>
        <v>N/A</v>
      </c>
      <c r="I27" s="12" t="str">
        <f>VLOOKUP($A27,'Matriz POA 2024-TRABAJO'!$A$5:$CD$9142,23,FALSE)</f>
        <v>PLURIANUAL 2023-2024</v>
      </c>
      <c r="J27" s="12" t="str">
        <f>VLOOKUP($A27,'Matriz POA 2024-TRABAJO'!$A$5:$CD$9142,24,FALSE)</f>
        <v>Pago del servicio de seguridad y vigilancia de la Corporación Alfaro y sus Sedes</v>
      </c>
      <c r="K27" s="12" t="str">
        <f>VLOOKUP($A27,'Matriz POA 2024-TRABAJO'!$A$5:$CD$9142,25,FALSE)</f>
        <v>0035</v>
      </c>
      <c r="L27" s="12" t="str">
        <f>VLOOKUP($A27,'Matriz POA 2024-TRABAJO'!$A$5:$CD$9142,26,FALSE)</f>
        <v>80</v>
      </c>
      <c r="M27" s="12" t="str">
        <f>VLOOKUP($A27,'Matriz POA 2024-TRABAJO'!$A$5:$CD$9142,27,FALSE)</f>
        <v>000</v>
      </c>
      <c r="N27" s="12" t="str">
        <f>VLOOKUP($A27,'Matriz POA 2024-TRABAJO'!$A$5:$CD$9142,28,FALSE)</f>
        <v>002</v>
      </c>
      <c r="O27" s="12" t="str">
        <f>VLOOKUP($A27,'Matriz POA 2024-TRABAJO'!$A$5:$CD$9142,29,FALSE)</f>
        <v>53</v>
      </c>
      <c r="P27" s="12">
        <f>VLOOKUP($A27,'Matriz POA 2024-TRABAJO'!$A$5:$CD$9142,30,FALSE)</f>
        <v>530208</v>
      </c>
      <c r="Q27" s="12">
        <f>VLOOKUP($A27,'Matriz POA 2024-TRABAJO'!$A$5:$CD$9142,32,FALSE)</f>
        <v>1309</v>
      </c>
      <c r="R27" s="12" t="str">
        <f>VLOOKUP($A27,'Matriz POA 2024-TRABAJO'!$A$5:$CD$9142,33,FALSE)</f>
        <v>001</v>
      </c>
      <c r="S27" s="12" t="str">
        <f>VLOOKUP($A27,'Matriz POA 2024-TRABAJO'!$A$5:$CD$9142,34,FALSE)</f>
        <v>0000</v>
      </c>
      <c r="T27" s="12" t="str">
        <f>VLOOKUP($A27,'Matriz POA 2024-TRABAJO'!$A$5:$CD$9142,35,FALSE)</f>
        <v>0000</v>
      </c>
      <c r="U27" s="62">
        <f>VLOOKUP($A27,'Matriz POA 2024-TRABAJO'!$A$5:$CD$9142,66,FALSE)</f>
        <v>178957</v>
      </c>
      <c r="V27" s="62">
        <f>VLOOKUP($A27,'Matriz POA 2024-TRABAJO'!$A$5:$CD$9142,67,FALSE)</f>
        <v>-7157</v>
      </c>
      <c r="W27" s="62">
        <f>VLOOKUP($A27,'Matriz POA 2024-TRABAJO'!$A$5:$CD$9142,68,FALSE)</f>
        <v>0</v>
      </c>
      <c r="X27" s="62">
        <f>VLOOKUP($A27,'Matriz POA 2024-TRABAJO'!$A$5:$CD$9142,72,FALSE)</f>
        <v>171732.33000000002</v>
      </c>
      <c r="Y27" s="388">
        <v>178957</v>
      </c>
      <c r="Z27" s="388">
        <v>0</v>
      </c>
      <c r="AA27" s="388">
        <v>178957</v>
      </c>
      <c r="AB27" s="389"/>
      <c r="AC27" s="389"/>
      <c r="AD27" s="13"/>
      <c r="AE27" s="13"/>
      <c r="AF27" s="13">
        <f t="shared" si="0"/>
        <v>178957</v>
      </c>
      <c r="AG27" s="13">
        <f t="shared" si="1"/>
        <v>0</v>
      </c>
      <c r="AH27" s="13">
        <f t="shared" si="2"/>
        <v>178957</v>
      </c>
      <c r="AI27" s="129">
        <v>16268.82</v>
      </c>
      <c r="AJ27" s="129">
        <v>16268.82</v>
      </c>
      <c r="AK27" s="129">
        <v>16268.82</v>
      </c>
      <c r="AL27" s="129">
        <v>16268.82</v>
      </c>
      <c r="AM27" s="129">
        <v>16268.82</v>
      </c>
      <c r="AN27" s="129">
        <v>16268.82</v>
      </c>
      <c r="AO27" s="129">
        <v>16268.82</v>
      </c>
      <c r="AP27" s="129">
        <v>16268.82</v>
      </c>
      <c r="AQ27" s="129">
        <v>16268.82</v>
      </c>
      <c r="AR27" s="129">
        <v>16268.82</v>
      </c>
      <c r="AS27" s="129">
        <v>16268.8</v>
      </c>
      <c r="AT27" s="129">
        <v>0</v>
      </c>
      <c r="AU27" s="129"/>
      <c r="AV27" s="13" t="b">
        <f t="shared" si="3"/>
        <v>1</v>
      </c>
      <c r="AW27" s="14"/>
      <c r="AX27" s="15"/>
      <c r="AY27" s="16"/>
      <c r="AZ27" s="15"/>
      <c r="BA27" s="16"/>
      <c r="BB27" s="17">
        <f t="shared" si="4"/>
        <v>0</v>
      </c>
      <c r="BC27" s="12"/>
      <c r="BD27" s="15"/>
      <c r="BE27" s="18"/>
      <c r="BF27" s="12"/>
      <c r="BG27" s="19" t="str">
        <f t="shared" si="5"/>
        <v>enero</v>
      </c>
      <c r="BH27" s="12" t="str">
        <f t="shared" si="6"/>
        <v>Corporación Ciudad Alfaro</v>
      </c>
      <c r="BI27" s="20" t="str">
        <f t="shared" si="7"/>
        <v>N/A</v>
      </c>
    </row>
    <row r="28" spans="1:61" ht="24.95" customHeight="1">
      <c r="A28" s="4">
        <v>441</v>
      </c>
      <c r="B28" s="12" t="str">
        <f>VLOOKUP($A28,'Matriz POA 2024-TRABAJO'!$A$5:$CD$9142,11,FALSE)</f>
        <v>Corporación Ciudad Alfaro</v>
      </c>
      <c r="C28" s="12" t="str">
        <f>VLOOKUP($A28,'Matriz POA 2024-TRABAJO'!$A$5:$CD$9142,14,FALSE)</f>
        <v>N/A</v>
      </c>
      <c r="D28" s="12" t="str">
        <f>VLOOKUP($A28,'Matriz POA 2024-TRABAJO'!$A$5:$CD$9142,15,FALSE)</f>
        <v>N/A</v>
      </c>
      <c r="E28" s="12" t="str">
        <f>VLOOKUP($A28,'Matriz POA 2024-TRABAJO'!$A$5:$CD$9142,18,FALSE)</f>
        <v>N/A</v>
      </c>
      <c r="F28" s="12" t="str">
        <f>VLOOKUP($A28,'Matriz POA 2024-TRABAJO'!$A$5:$CD$9142,20,FALSE)</f>
        <v>N/A</v>
      </c>
      <c r="G28" s="12" t="str">
        <f>VLOOKUP($A28,'Matriz POA 2024-TRABAJO'!$A$5:$CD$9142,21,FALSE)</f>
        <v>N/A</v>
      </c>
      <c r="H28" s="12" t="str">
        <f>VLOOKUP($A28,'Matriz POA 2024-TRABAJO'!$A$5:$CD$9142,22,FALSE)</f>
        <v>N/A</v>
      </c>
      <c r="I28" s="12" t="str">
        <f>VLOOKUP($A28,'Matriz POA 2024-TRABAJO'!$A$5:$CD$9142,23,FALSE)</f>
        <v>NUEVA</v>
      </c>
      <c r="J28" s="12" t="str">
        <f>VLOOKUP($A28,'Matriz POA 2024-TRABAJO'!$A$5:$CD$9142,24,FALSE)</f>
        <v>Contratación del servicio de agua potable por tanquero para la Corporación Ciudad Alfaro y sus Sedes</v>
      </c>
      <c r="K28" s="12" t="str">
        <f>VLOOKUP($A28,'Matriz POA 2024-TRABAJO'!$A$5:$CD$9142,25,FALSE)</f>
        <v>0035</v>
      </c>
      <c r="L28" s="12" t="str">
        <f>VLOOKUP($A28,'Matriz POA 2024-TRABAJO'!$A$5:$CD$9142,26,FALSE)</f>
        <v>80</v>
      </c>
      <c r="M28" s="12" t="str">
        <f>VLOOKUP($A28,'Matriz POA 2024-TRABAJO'!$A$5:$CD$9142,27,FALSE)</f>
        <v>000</v>
      </c>
      <c r="N28" s="12" t="str">
        <f>VLOOKUP($A28,'Matriz POA 2024-TRABAJO'!$A$5:$CD$9142,28,FALSE)</f>
        <v>002</v>
      </c>
      <c r="O28" s="12" t="str">
        <f>VLOOKUP($A28,'Matriz POA 2024-TRABAJO'!$A$5:$CD$9142,29,FALSE)</f>
        <v>53</v>
      </c>
      <c r="P28" s="12">
        <f>VLOOKUP($A28,'Matriz POA 2024-TRABAJO'!$A$5:$CD$9142,30,FALSE)</f>
        <v>530101</v>
      </c>
      <c r="Q28" s="12">
        <f>VLOOKUP($A28,'Matriz POA 2024-TRABAJO'!$A$5:$CD$9142,32,FALSE)</f>
        <v>1309</v>
      </c>
      <c r="R28" s="12" t="str">
        <f>VLOOKUP($A28,'Matriz POA 2024-TRABAJO'!$A$5:$CD$9142,33,FALSE)</f>
        <v>001</v>
      </c>
      <c r="S28" s="12" t="str">
        <f>VLOOKUP($A28,'Matriz POA 2024-TRABAJO'!$A$5:$CD$9142,34,FALSE)</f>
        <v>0000</v>
      </c>
      <c r="T28" s="12" t="str">
        <f>VLOOKUP($A28,'Matriz POA 2024-TRABAJO'!$A$5:$CD$9142,35,FALSE)</f>
        <v>0000</v>
      </c>
      <c r="U28" s="62" t="str">
        <f>VLOOKUP($A28,'Matriz POA 2024-TRABAJO'!$A$5:$CD$9142,66,FALSE)</f>
        <v/>
      </c>
      <c r="V28" s="62" t="str">
        <f>VLOOKUP($A28,'Matriz POA 2024-TRABAJO'!$A$5:$CD$9142,67,FALSE)</f>
        <v/>
      </c>
      <c r="W28" s="62" t="str">
        <f>VLOOKUP($A28,'Matriz POA 2024-TRABAJO'!$A$5:$CD$9142,68,FALSE)</f>
        <v/>
      </c>
      <c r="X28" s="62" t="str">
        <f>VLOOKUP($A28,'Matriz POA 2024-TRABAJO'!$A$5:$CD$9142,72,FALSE)</f>
        <v/>
      </c>
      <c r="Y28" s="388">
        <v>500</v>
      </c>
      <c r="Z28" s="388">
        <v>0</v>
      </c>
      <c r="AA28" s="388">
        <v>500</v>
      </c>
      <c r="AB28" s="389"/>
      <c r="AC28" s="389"/>
      <c r="AD28" s="13"/>
      <c r="AE28" s="13"/>
      <c r="AF28" s="13">
        <f t="shared" si="0"/>
        <v>500</v>
      </c>
      <c r="AG28" s="13">
        <f t="shared" si="1"/>
        <v>0</v>
      </c>
      <c r="AH28" s="13">
        <f t="shared" si="2"/>
        <v>500</v>
      </c>
      <c r="AI28" s="129">
        <v>0</v>
      </c>
      <c r="AJ28" s="129">
        <v>500</v>
      </c>
      <c r="AK28" s="129">
        <v>0</v>
      </c>
      <c r="AL28" s="129">
        <v>0</v>
      </c>
      <c r="AM28" s="129">
        <v>0</v>
      </c>
      <c r="AN28" s="129">
        <v>0</v>
      </c>
      <c r="AO28" s="129">
        <v>0</v>
      </c>
      <c r="AP28" s="129">
        <v>0</v>
      </c>
      <c r="AQ28" s="129">
        <v>0</v>
      </c>
      <c r="AR28" s="129">
        <v>0</v>
      </c>
      <c r="AS28" s="129">
        <v>0</v>
      </c>
      <c r="AT28" s="129">
        <v>0</v>
      </c>
      <c r="AU28" s="129"/>
      <c r="AV28" s="13" t="b">
        <f t="shared" si="3"/>
        <v>1</v>
      </c>
      <c r="AW28" s="14"/>
      <c r="AX28" s="15"/>
      <c r="AY28" s="16"/>
      <c r="AZ28" s="15"/>
      <c r="BA28" s="16"/>
      <c r="BB28" s="17">
        <f t="shared" si="4"/>
        <v>0</v>
      </c>
      <c r="BC28" s="12"/>
      <c r="BD28" s="15"/>
      <c r="BE28" s="18"/>
      <c r="BF28" s="12"/>
      <c r="BG28" s="19" t="str">
        <f t="shared" si="5"/>
        <v>enero</v>
      </c>
      <c r="BH28" s="12" t="str">
        <f t="shared" si="6"/>
        <v>Corporación Ciudad Alfaro</v>
      </c>
      <c r="BI28" s="20" t="str">
        <f t="shared" si="7"/>
        <v>N/A</v>
      </c>
    </row>
    <row r="29" spans="1:61" ht="24.95" customHeight="1">
      <c r="A29" s="4">
        <v>442</v>
      </c>
      <c r="B29" s="12" t="str">
        <f>VLOOKUP($A29,'Matriz POA 2024-TRABAJO'!$A$5:$CD$9142,11,FALSE)</f>
        <v>Corporación Ciudad Alfaro</v>
      </c>
      <c r="C29" s="12" t="str">
        <f>VLOOKUP($A29,'Matriz POA 2024-TRABAJO'!$A$5:$CD$9142,14,FALSE)</f>
        <v>N/A</v>
      </c>
      <c r="D29" s="12" t="str">
        <f>VLOOKUP($A29,'Matriz POA 2024-TRABAJO'!$A$5:$CD$9142,15,FALSE)</f>
        <v>N/A</v>
      </c>
      <c r="E29" s="12" t="str">
        <f>VLOOKUP($A29,'Matriz POA 2024-TRABAJO'!$A$5:$CD$9142,18,FALSE)</f>
        <v>N/A</v>
      </c>
      <c r="F29" s="12" t="str">
        <f>VLOOKUP($A29,'Matriz POA 2024-TRABAJO'!$A$5:$CD$9142,20,FALSE)</f>
        <v>N/A</v>
      </c>
      <c r="G29" s="12" t="str">
        <f>VLOOKUP($A29,'Matriz POA 2024-TRABAJO'!$A$5:$CD$9142,21,FALSE)</f>
        <v>N/A</v>
      </c>
      <c r="H29" s="12" t="str">
        <f>VLOOKUP($A29,'Matriz POA 2024-TRABAJO'!$A$5:$CD$9142,22,FALSE)</f>
        <v>N/A</v>
      </c>
      <c r="I29" s="12" t="str">
        <f>VLOOKUP($A29,'Matriz POA 2024-TRABAJO'!$A$5:$CD$9142,23,FALSE)</f>
        <v>ARRASTRE</v>
      </c>
      <c r="J29" s="12" t="str">
        <f>VLOOKUP($A29,'Matriz POA 2024-TRABAJO'!$A$5:$CD$9142,24,FALSE)</f>
        <v>Pago del servicio de agua potable de los meses de Octubre, Noviembre y Diciembre del 2023 de la Corporación Ciudad Alfaro</v>
      </c>
      <c r="K29" s="12" t="str">
        <f>VLOOKUP($A29,'Matriz POA 2024-TRABAJO'!$A$5:$CD$9142,25,FALSE)</f>
        <v>0035</v>
      </c>
      <c r="L29" s="12" t="str">
        <f>VLOOKUP($A29,'Matriz POA 2024-TRABAJO'!$A$5:$CD$9142,26,FALSE)</f>
        <v>80</v>
      </c>
      <c r="M29" s="12" t="str">
        <f>VLOOKUP($A29,'Matriz POA 2024-TRABAJO'!$A$5:$CD$9142,27,FALSE)</f>
        <v>000</v>
      </c>
      <c r="N29" s="12" t="str">
        <f>VLOOKUP($A29,'Matriz POA 2024-TRABAJO'!$A$5:$CD$9142,28,FALSE)</f>
        <v>002</v>
      </c>
      <c r="O29" s="12" t="str">
        <f>VLOOKUP($A29,'Matriz POA 2024-TRABAJO'!$A$5:$CD$9142,29,FALSE)</f>
        <v>53</v>
      </c>
      <c r="P29" s="12">
        <f>VLOOKUP($A29,'Matriz POA 2024-TRABAJO'!$A$5:$CD$9142,30,FALSE)</f>
        <v>530101</v>
      </c>
      <c r="Q29" s="12">
        <f>VLOOKUP($A29,'Matriz POA 2024-TRABAJO'!$A$5:$CD$9142,32,FALSE)</f>
        <v>1309</v>
      </c>
      <c r="R29" s="12" t="str">
        <f>VLOOKUP($A29,'Matriz POA 2024-TRABAJO'!$A$5:$CD$9142,33,FALSE)</f>
        <v>001</v>
      </c>
      <c r="S29" s="12" t="str">
        <f>VLOOKUP($A29,'Matriz POA 2024-TRABAJO'!$A$5:$CD$9142,34,FALSE)</f>
        <v>0000</v>
      </c>
      <c r="T29" s="12" t="str">
        <f>VLOOKUP($A29,'Matriz POA 2024-TRABAJO'!$A$5:$CD$9142,35,FALSE)</f>
        <v>0000</v>
      </c>
      <c r="U29" s="62">
        <f>VLOOKUP($A29,'Matriz POA 2024-TRABAJO'!$A$5:$CD$9142,66,FALSE)</f>
        <v>3.7</v>
      </c>
      <c r="V29" s="62">
        <f>VLOOKUP($A29,'Matriz POA 2024-TRABAJO'!$A$5:$CD$9142,67,FALSE)</f>
        <v>4.5297099404706387E-14</v>
      </c>
      <c r="W29" s="62">
        <f>VLOOKUP($A29,'Matriz POA 2024-TRABAJO'!$A$5:$CD$9142,68,FALSE)</f>
        <v>0</v>
      </c>
      <c r="X29" s="62">
        <f>VLOOKUP($A29,'Matriz POA 2024-TRABAJO'!$A$5:$CD$9142,72,FALSE)</f>
        <v>3.7</v>
      </c>
      <c r="Y29" s="388">
        <v>600</v>
      </c>
      <c r="Z29" s="388">
        <v>0</v>
      </c>
      <c r="AA29" s="388">
        <v>600</v>
      </c>
      <c r="AB29" s="389"/>
      <c r="AC29" s="389"/>
      <c r="AD29" s="13"/>
      <c r="AE29" s="13"/>
      <c r="AF29" s="13">
        <f t="shared" si="0"/>
        <v>600</v>
      </c>
      <c r="AG29" s="13">
        <f t="shared" si="1"/>
        <v>0</v>
      </c>
      <c r="AH29" s="13">
        <f t="shared" si="2"/>
        <v>600</v>
      </c>
      <c r="AI29" s="129">
        <v>0</v>
      </c>
      <c r="AJ29" s="129">
        <v>600</v>
      </c>
      <c r="AK29" s="129">
        <v>0</v>
      </c>
      <c r="AL29" s="129">
        <v>0</v>
      </c>
      <c r="AM29" s="129">
        <v>0</v>
      </c>
      <c r="AN29" s="129">
        <v>0</v>
      </c>
      <c r="AO29" s="129">
        <v>0</v>
      </c>
      <c r="AP29" s="129">
        <v>0</v>
      </c>
      <c r="AQ29" s="129">
        <v>0</v>
      </c>
      <c r="AR29" s="129">
        <v>0</v>
      </c>
      <c r="AS29" s="129">
        <v>0</v>
      </c>
      <c r="AT29" s="129">
        <v>0</v>
      </c>
      <c r="AU29" s="129"/>
      <c r="AV29" s="13" t="b">
        <f t="shared" si="3"/>
        <v>1</v>
      </c>
      <c r="AW29" s="14"/>
      <c r="AX29" s="15"/>
      <c r="AY29" s="16"/>
      <c r="AZ29" s="15"/>
      <c r="BA29" s="16"/>
      <c r="BB29" s="17">
        <f t="shared" si="4"/>
        <v>0</v>
      </c>
      <c r="BC29" s="12"/>
      <c r="BD29" s="15"/>
      <c r="BE29" s="18"/>
      <c r="BF29" s="12"/>
      <c r="BG29" s="19" t="str">
        <f t="shared" si="5"/>
        <v>enero</v>
      </c>
      <c r="BH29" s="12" t="str">
        <f t="shared" si="6"/>
        <v>Corporación Ciudad Alfaro</v>
      </c>
      <c r="BI29" s="20" t="str">
        <f t="shared" si="7"/>
        <v>N/A</v>
      </c>
    </row>
    <row r="30" spans="1:61" ht="24.95" customHeight="1">
      <c r="A30" s="4">
        <v>443</v>
      </c>
      <c r="B30" s="12" t="str">
        <f>VLOOKUP($A30,'Matriz POA 2024-TRABAJO'!$A$5:$CD$9142,11,FALSE)</f>
        <v>Corporación Ciudad Alfaro</v>
      </c>
      <c r="C30" s="12" t="str">
        <f>VLOOKUP($A30,'Matriz POA 2024-TRABAJO'!$A$5:$CD$9142,14,FALSE)</f>
        <v>N/A</v>
      </c>
      <c r="D30" s="12" t="str">
        <f>VLOOKUP($A30,'Matriz POA 2024-TRABAJO'!$A$5:$CD$9142,15,FALSE)</f>
        <v>N/A</v>
      </c>
      <c r="E30" s="12" t="str">
        <f>VLOOKUP($A30,'Matriz POA 2024-TRABAJO'!$A$5:$CD$9142,18,FALSE)</f>
        <v>N/A</v>
      </c>
      <c r="F30" s="12" t="str">
        <f>VLOOKUP($A30,'Matriz POA 2024-TRABAJO'!$A$5:$CD$9142,20,FALSE)</f>
        <v>N/A</v>
      </c>
      <c r="G30" s="12" t="str">
        <f>VLOOKUP($A30,'Matriz POA 2024-TRABAJO'!$A$5:$CD$9142,21,FALSE)</f>
        <v>N/A</v>
      </c>
      <c r="H30" s="12" t="str">
        <f>VLOOKUP($A30,'Matriz POA 2024-TRABAJO'!$A$5:$CD$9142,22,FALSE)</f>
        <v>N/A</v>
      </c>
      <c r="I30" s="12" t="str">
        <f>VLOOKUP($A30,'Matriz POA 2024-TRABAJO'!$A$5:$CD$9142,23,FALSE)</f>
        <v>NUEVA</v>
      </c>
      <c r="J30" s="12" t="str">
        <f>VLOOKUP($A30,'Matriz POA 2024-TRABAJO'!$A$5:$CD$9142,24,FALSE)</f>
        <v>Pago del servicio de agua potable de la Corporación Ciudad Alfaro</v>
      </c>
      <c r="K30" s="12" t="str">
        <f>VLOOKUP($A30,'Matriz POA 2024-TRABAJO'!$A$5:$CD$9142,25,FALSE)</f>
        <v>0035</v>
      </c>
      <c r="L30" s="12" t="str">
        <f>VLOOKUP($A30,'Matriz POA 2024-TRABAJO'!$A$5:$CD$9142,26,FALSE)</f>
        <v>80</v>
      </c>
      <c r="M30" s="12" t="str">
        <f>VLOOKUP($A30,'Matriz POA 2024-TRABAJO'!$A$5:$CD$9142,27,FALSE)</f>
        <v>000</v>
      </c>
      <c r="N30" s="12" t="str">
        <f>VLOOKUP($A30,'Matriz POA 2024-TRABAJO'!$A$5:$CD$9142,28,FALSE)</f>
        <v>002</v>
      </c>
      <c r="O30" s="12" t="str">
        <f>VLOOKUP($A30,'Matriz POA 2024-TRABAJO'!$A$5:$CD$9142,29,FALSE)</f>
        <v>53</v>
      </c>
      <c r="P30" s="12">
        <f>VLOOKUP($A30,'Matriz POA 2024-TRABAJO'!$A$5:$CD$9142,30,FALSE)</f>
        <v>530101</v>
      </c>
      <c r="Q30" s="12">
        <f>VLOOKUP($A30,'Matriz POA 2024-TRABAJO'!$A$5:$CD$9142,32,FALSE)</f>
        <v>1309</v>
      </c>
      <c r="R30" s="12" t="str">
        <f>VLOOKUP($A30,'Matriz POA 2024-TRABAJO'!$A$5:$CD$9142,33,FALSE)</f>
        <v>001</v>
      </c>
      <c r="S30" s="12" t="str">
        <f>VLOOKUP($A30,'Matriz POA 2024-TRABAJO'!$A$5:$CD$9142,34,FALSE)</f>
        <v>0000</v>
      </c>
      <c r="T30" s="12" t="str">
        <f>VLOOKUP($A30,'Matriz POA 2024-TRABAJO'!$A$5:$CD$9142,35,FALSE)</f>
        <v>0000</v>
      </c>
      <c r="U30" s="62">
        <f>VLOOKUP($A30,'Matriz POA 2024-TRABAJO'!$A$5:$CD$9142,66,FALSE)</f>
        <v>1800</v>
      </c>
      <c r="V30" s="62">
        <f>VLOOKUP($A30,'Matriz POA 2024-TRABAJO'!$A$5:$CD$9142,67,FALSE)</f>
        <v>800</v>
      </c>
      <c r="W30" s="62">
        <f>VLOOKUP($A30,'Matriz POA 2024-TRABAJO'!$A$5:$CD$9142,68,FALSE)</f>
        <v>1029.0999999999999</v>
      </c>
      <c r="X30" s="62">
        <f>VLOOKUP($A30,'Matriz POA 2024-TRABAJO'!$A$5:$CD$9142,72,FALSE)</f>
        <v>2080.92</v>
      </c>
      <c r="Y30" s="388">
        <v>1800</v>
      </c>
      <c r="Z30" s="388">
        <v>0</v>
      </c>
      <c r="AA30" s="388">
        <v>1800</v>
      </c>
      <c r="AB30" s="389"/>
      <c r="AC30" s="389"/>
      <c r="AD30" s="13"/>
      <c r="AE30" s="13"/>
      <c r="AF30" s="13">
        <f t="shared" si="0"/>
        <v>1800</v>
      </c>
      <c r="AG30" s="13">
        <f t="shared" si="1"/>
        <v>0</v>
      </c>
      <c r="AH30" s="13">
        <f t="shared" si="2"/>
        <v>1800</v>
      </c>
      <c r="AI30" s="129">
        <v>0</v>
      </c>
      <c r="AJ30" s="129">
        <v>180</v>
      </c>
      <c r="AK30" s="129">
        <v>180</v>
      </c>
      <c r="AL30" s="129">
        <v>180</v>
      </c>
      <c r="AM30" s="129">
        <v>180</v>
      </c>
      <c r="AN30" s="129">
        <v>180</v>
      </c>
      <c r="AO30" s="129">
        <v>180</v>
      </c>
      <c r="AP30" s="129">
        <v>180</v>
      </c>
      <c r="AQ30" s="129">
        <v>180</v>
      </c>
      <c r="AR30" s="129">
        <v>180</v>
      </c>
      <c r="AS30" s="129">
        <v>180</v>
      </c>
      <c r="AT30" s="129">
        <v>0</v>
      </c>
      <c r="AU30" s="129"/>
      <c r="AV30" s="13" t="b">
        <f t="shared" si="3"/>
        <v>1</v>
      </c>
      <c r="AW30" s="14"/>
      <c r="AX30" s="15"/>
      <c r="AY30" s="16"/>
      <c r="AZ30" s="15"/>
      <c r="BA30" s="16"/>
      <c r="BB30" s="17">
        <f t="shared" si="4"/>
        <v>0</v>
      </c>
      <c r="BC30" s="12"/>
      <c r="BD30" s="15"/>
      <c r="BE30" s="18"/>
      <c r="BF30" s="12"/>
      <c r="BG30" s="19" t="str">
        <f t="shared" si="5"/>
        <v>enero</v>
      </c>
      <c r="BH30" s="12" t="str">
        <f t="shared" si="6"/>
        <v>Corporación Ciudad Alfaro</v>
      </c>
      <c r="BI30" s="20" t="str">
        <f t="shared" si="7"/>
        <v>N/A</v>
      </c>
    </row>
    <row r="31" spans="1:61" ht="24.95" customHeight="1">
      <c r="A31" s="4">
        <v>444</v>
      </c>
      <c r="B31" s="12" t="str">
        <f>VLOOKUP($A31,'Matriz POA 2024-TRABAJO'!$A$5:$CD$9142,11,FALSE)</f>
        <v>Corporación Ciudad Alfaro</v>
      </c>
      <c r="C31" s="12" t="str">
        <f>VLOOKUP($A31,'Matriz POA 2024-TRABAJO'!$A$5:$CD$9142,14,FALSE)</f>
        <v>N/A</v>
      </c>
      <c r="D31" s="12" t="str">
        <f>VLOOKUP($A31,'Matriz POA 2024-TRABAJO'!$A$5:$CD$9142,15,FALSE)</f>
        <v>N/A</v>
      </c>
      <c r="E31" s="12" t="str">
        <f>VLOOKUP($A31,'Matriz POA 2024-TRABAJO'!$A$5:$CD$9142,18,FALSE)</f>
        <v>N/A</v>
      </c>
      <c r="F31" s="12" t="str">
        <f>VLOOKUP($A31,'Matriz POA 2024-TRABAJO'!$A$5:$CD$9142,20,FALSE)</f>
        <v>N/A</v>
      </c>
      <c r="G31" s="12" t="str">
        <f>VLOOKUP($A31,'Matriz POA 2024-TRABAJO'!$A$5:$CD$9142,21,FALSE)</f>
        <v>N/A</v>
      </c>
      <c r="H31" s="12" t="str">
        <f>VLOOKUP($A31,'Matriz POA 2024-TRABAJO'!$A$5:$CD$9142,22,FALSE)</f>
        <v>N/A</v>
      </c>
      <c r="I31" s="12" t="str">
        <f>VLOOKUP($A31,'Matriz POA 2024-TRABAJO'!$A$5:$CD$9142,23,FALSE)</f>
        <v>ARRASTRE</v>
      </c>
      <c r="J31" s="12" t="str">
        <f>VLOOKUP($A31,'Matriz POA 2024-TRABAJO'!$A$5:$CD$9142,24,FALSE)</f>
        <v>Pago del servicio de energía eléctrica de los meses de Noviembre y Diciembre del 2023 de la Corporación Ciudad Alfaro</v>
      </c>
      <c r="K31" s="12" t="str">
        <f>VLOOKUP($A31,'Matriz POA 2024-TRABAJO'!$A$5:$CD$9142,25,FALSE)</f>
        <v>0035</v>
      </c>
      <c r="L31" s="12" t="str">
        <f>VLOOKUP($A31,'Matriz POA 2024-TRABAJO'!$A$5:$CD$9142,26,FALSE)</f>
        <v>80</v>
      </c>
      <c r="M31" s="12" t="str">
        <f>VLOOKUP($A31,'Matriz POA 2024-TRABAJO'!$A$5:$CD$9142,27,FALSE)</f>
        <v>000</v>
      </c>
      <c r="N31" s="12" t="str">
        <f>VLOOKUP($A31,'Matriz POA 2024-TRABAJO'!$A$5:$CD$9142,28,FALSE)</f>
        <v>002</v>
      </c>
      <c r="O31" s="12" t="str">
        <f>VLOOKUP($A31,'Matriz POA 2024-TRABAJO'!$A$5:$CD$9142,29,FALSE)</f>
        <v>53</v>
      </c>
      <c r="P31" s="12">
        <f>VLOOKUP($A31,'Matriz POA 2024-TRABAJO'!$A$5:$CD$9142,30,FALSE)</f>
        <v>530104</v>
      </c>
      <c r="Q31" s="12">
        <f>VLOOKUP($A31,'Matriz POA 2024-TRABAJO'!$A$5:$CD$9142,32,FALSE)</f>
        <v>1309</v>
      </c>
      <c r="R31" s="12" t="str">
        <f>VLOOKUP($A31,'Matriz POA 2024-TRABAJO'!$A$5:$CD$9142,33,FALSE)</f>
        <v>001</v>
      </c>
      <c r="S31" s="12" t="str">
        <f>VLOOKUP($A31,'Matriz POA 2024-TRABAJO'!$A$5:$CD$9142,34,FALSE)</f>
        <v>0000</v>
      </c>
      <c r="T31" s="12" t="str">
        <f>VLOOKUP($A31,'Matriz POA 2024-TRABAJO'!$A$5:$CD$9142,35,FALSE)</f>
        <v>0000</v>
      </c>
      <c r="U31" s="62">
        <f>VLOOKUP($A31,'Matriz POA 2024-TRABAJO'!$A$5:$CD$9142,66,FALSE)</f>
        <v>2447.1799999999998</v>
      </c>
      <c r="V31" s="62">
        <f>VLOOKUP($A31,'Matriz POA 2024-TRABAJO'!$A$5:$CD$9142,67,FALSE)</f>
        <v>0</v>
      </c>
      <c r="W31" s="62">
        <f>VLOOKUP($A31,'Matriz POA 2024-TRABAJO'!$A$5:$CD$9142,68,FALSE)</f>
        <v>0</v>
      </c>
      <c r="X31" s="62">
        <f>VLOOKUP($A31,'Matriz POA 2024-TRABAJO'!$A$5:$CD$9142,72,FALSE)</f>
        <v>2447.1800000000003</v>
      </c>
      <c r="Y31" s="388">
        <v>6000</v>
      </c>
      <c r="Z31" s="388">
        <v>0</v>
      </c>
      <c r="AA31" s="388">
        <v>6000</v>
      </c>
      <c r="AB31" s="389"/>
      <c r="AC31" s="389"/>
      <c r="AD31" s="13"/>
      <c r="AE31" s="13"/>
      <c r="AF31" s="13">
        <f t="shared" si="0"/>
        <v>6000</v>
      </c>
      <c r="AG31" s="13">
        <f t="shared" si="1"/>
        <v>0</v>
      </c>
      <c r="AH31" s="13">
        <f t="shared" si="2"/>
        <v>6000</v>
      </c>
      <c r="AI31" s="129">
        <v>0</v>
      </c>
      <c r="AJ31" s="129">
        <v>6000</v>
      </c>
      <c r="AK31" s="129">
        <v>0</v>
      </c>
      <c r="AL31" s="129">
        <v>0</v>
      </c>
      <c r="AM31" s="129">
        <v>0</v>
      </c>
      <c r="AN31" s="129">
        <v>0</v>
      </c>
      <c r="AO31" s="129">
        <v>0</v>
      </c>
      <c r="AP31" s="129">
        <v>0</v>
      </c>
      <c r="AQ31" s="129">
        <v>0</v>
      </c>
      <c r="AR31" s="129">
        <v>0</v>
      </c>
      <c r="AS31" s="129">
        <v>0</v>
      </c>
      <c r="AT31" s="129">
        <v>0</v>
      </c>
      <c r="AU31" s="129"/>
      <c r="AV31" s="13" t="b">
        <f t="shared" si="3"/>
        <v>1</v>
      </c>
      <c r="AW31" s="14"/>
      <c r="AX31" s="15"/>
      <c r="AY31" s="16"/>
      <c r="AZ31" s="15"/>
      <c r="BA31" s="16"/>
      <c r="BB31" s="17">
        <f t="shared" si="4"/>
        <v>0</v>
      </c>
      <c r="BC31" s="12"/>
      <c r="BD31" s="15"/>
      <c r="BE31" s="18"/>
      <c r="BF31" s="12"/>
      <c r="BG31" s="19" t="str">
        <f t="shared" si="5"/>
        <v>enero</v>
      </c>
      <c r="BH31" s="12" t="str">
        <f t="shared" si="6"/>
        <v>Corporación Ciudad Alfaro</v>
      </c>
      <c r="BI31" s="20" t="str">
        <f t="shared" si="7"/>
        <v>N/A</v>
      </c>
    </row>
    <row r="32" spans="1:61" ht="24.95" customHeight="1">
      <c r="A32" s="4">
        <v>445</v>
      </c>
      <c r="B32" s="12" t="str">
        <f>VLOOKUP($A32,'Matriz POA 2024-TRABAJO'!$A$5:$CD$9142,11,FALSE)</f>
        <v>Corporación Ciudad Alfaro</v>
      </c>
      <c r="C32" s="12" t="str">
        <f>VLOOKUP($A32,'Matriz POA 2024-TRABAJO'!$A$5:$CD$9142,14,FALSE)</f>
        <v>N/A</v>
      </c>
      <c r="D32" s="12" t="str">
        <f>VLOOKUP($A32,'Matriz POA 2024-TRABAJO'!$A$5:$CD$9142,15,FALSE)</f>
        <v>N/A</v>
      </c>
      <c r="E32" s="12" t="str">
        <f>VLOOKUP($A32,'Matriz POA 2024-TRABAJO'!$A$5:$CD$9142,18,FALSE)</f>
        <v>N/A</v>
      </c>
      <c r="F32" s="12" t="str">
        <f>VLOOKUP($A32,'Matriz POA 2024-TRABAJO'!$A$5:$CD$9142,20,FALSE)</f>
        <v>N/A</v>
      </c>
      <c r="G32" s="12" t="str">
        <f>VLOOKUP($A32,'Matriz POA 2024-TRABAJO'!$A$5:$CD$9142,21,FALSE)</f>
        <v>N/A</v>
      </c>
      <c r="H32" s="12" t="str">
        <f>VLOOKUP($A32,'Matriz POA 2024-TRABAJO'!$A$5:$CD$9142,22,FALSE)</f>
        <v>N/A</v>
      </c>
      <c r="I32" s="12" t="str">
        <f>VLOOKUP($A32,'Matriz POA 2024-TRABAJO'!$A$5:$CD$9142,23,FALSE)</f>
        <v>NUEVA</v>
      </c>
      <c r="J32" s="12" t="str">
        <f>VLOOKUP($A32,'Matriz POA 2024-TRABAJO'!$A$5:$CD$9142,24,FALSE)</f>
        <v>Pago del servicio de energía eléctrica de la Corporación Ciudad Alfaro</v>
      </c>
      <c r="K32" s="12" t="str">
        <f>VLOOKUP($A32,'Matriz POA 2024-TRABAJO'!$A$5:$CD$9142,25,FALSE)</f>
        <v>0035</v>
      </c>
      <c r="L32" s="12" t="str">
        <f>VLOOKUP($A32,'Matriz POA 2024-TRABAJO'!$A$5:$CD$9142,26,FALSE)</f>
        <v>80</v>
      </c>
      <c r="M32" s="12" t="str">
        <f>VLOOKUP($A32,'Matriz POA 2024-TRABAJO'!$A$5:$CD$9142,27,FALSE)</f>
        <v>000</v>
      </c>
      <c r="N32" s="12" t="str">
        <f>VLOOKUP($A32,'Matriz POA 2024-TRABAJO'!$A$5:$CD$9142,28,FALSE)</f>
        <v>002</v>
      </c>
      <c r="O32" s="12" t="str">
        <f>VLOOKUP($A32,'Matriz POA 2024-TRABAJO'!$A$5:$CD$9142,29,FALSE)</f>
        <v>53</v>
      </c>
      <c r="P32" s="12">
        <f>VLOOKUP($A32,'Matriz POA 2024-TRABAJO'!$A$5:$CD$9142,30,FALSE)</f>
        <v>530104</v>
      </c>
      <c r="Q32" s="12">
        <f>VLOOKUP($A32,'Matriz POA 2024-TRABAJO'!$A$5:$CD$9142,32,FALSE)</f>
        <v>1309</v>
      </c>
      <c r="R32" s="12" t="str">
        <f>VLOOKUP($A32,'Matriz POA 2024-TRABAJO'!$A$5:$CD$9142,33,FALSE)</f>
        <v>001</v>
      </c>
      <c r="S32" s="12" t="str">
        <f>VLOOKUP($A32,'Matriz POA 2024-TRABAJO'!$A$5:$CD$9142,34,FALSE)</f>
        <v>0000</v>
      </c>
      <c r="T32" s="12" t="str">
        <f>VLOOKUP($A32,'Matriz POA 2024-TRABAJO'!$A$5:$CD$9142,35,FALSE)</f>
        <v>0000</v>
      </c>
      <c r="U32" s="62">
        <f>VLOOKUP($A32,'Matriz POA 2024-TRABAJO'!$A$5:$CD$9142,66,FALSE)</f>
        <v>27000</v>
      </c>
      <c r="V32" s="62">
        <f>VLOOKUP($A32,'Matriz POA 2024-TRABAJO'!$A$5:$CD$9142,67,FALSE)</f>
        <v>-11500</v>
      </c>
      <c r="W32" s="62">
        <f>VLOOKUP($A32,'Matriz POA 2024-TRABAJO'!$A$5:$CD$9142,68,FALSE)</f>
        <v>500</v>
      </c>
      <c r="X32" s="62">
        <f>VLOOKUP($A32,'Matriz POA 2024-TRABAJO'!$A$5:$CD$9142,72,FALSE)</f>
        <v>11951.600000000002</v>
      </c>
      <c r="Y32" s="388">
        <v>27000</v>
      </c>
      <c r="Z32" s="388">
        <v>0</v>
      </c>
      <c r="AA32" s="388">
        <v>27000</v>
      </c>
      <c r="AB32" s="389"/>
      <c r="AC32" s="389"/>
      <c r="AD32" s="13"/>
      <c r="AE32" s="13"/>
      <c r="AF32" s="13">
        <f t="shared" si="0"/>
        <v>27000</v>
      </c>
      <c r="AG32" s="13">
        <f t="shared" si="1"/>
        <v>0</v>
      </c>
      <c r="AH32" s="13">
        <f t="shared" si="2"/>
        <v>27000</v>
      </c>
      <c r="AI32" s="129">
        <v>0</v>
      </c>
      <c r="AJ32" s="129">
        <v>3000</v>
      </c>
      <c r="AK32" s="129">
        <v>3000</v>
      </c>
      <c r="AL32" s="129">
        <v>3000</v>
      </c>
      <c r="AM32" s="129">
        <v>3000</v>
      </c>
      <c r="AN32" s="129">
        <v>3000</v>
      </c>
      <c r="AO32" s="129">
        <v>3000</v>
      </c>
      <c r="AP32" s="129">
        <v>2000</v>
      </c>
      <c r="AQ32" s="129">
        <v>3000</v>
      </c>
      <c r="AR32" s="129">
        <v>2000</v>
      </c>
      <c r="AS32" s="129">
        <v>2000</v>
      </c>
      <c r="AT32" s="129">
        <v>0</v>
      </c>
      <c r="AU32" s="129"/>
      <c r="AV32" s="13" t="b">
        <f t="shared" si="3"/>
        <v>1</v>
      </c>
      <c r="AW32" s="14"/>
      <c r="AX32" s="15"/>
      <c r="AY32" s="16"/>
      <c r="AZ32" s="15"/>
      <c r="BA32" s="16"/>
      <c r="BB32" s="17">
        <f t="shared" si="4"/>
        <v>0</v>
      </c>
      <c r="BC32" s="12"/>
      <c r="BD32" s="15"/>
      <c r="BE32" s="18"/>
      <c r="BF32" s="12"/>
      <c r="BG32" s="19" t="str">
        <f t="shared" si="5"/>
        <v>enero</v>
      </c>
      <c r="BH32" s="12" t="str">
        <f t="shared" si="6"/>
        <v>Corporación Ciudad Alfaro</v>
      </c>
      <c r="BI32" s="20" t="str">
        <f t="shared" si="7"/>
        <v>N/A</v>
      </c>
    </row>
    <row r="33" spans="1:61" ht="24.95" customHeight="1">
      <c r="A33" s="4">
        <v>446</v>
      </c>
      <c r="B33" s="12" t="str">
        <f>VLOOKUP($A33,'Matriz POA 2024-TRABAJO'!$A$5:$CD$9142,11,FALSE)</f>
        <v>Corporación Ciudad Alfaro</v>
      </c>
      <c r="C33" s="12" t="str">
        <f>VLOOKUP($A33,'Matriz POA 2024-TRABAJO'!$A$5:$CD$9142,14,FALSE)</f>
        <v>N/A</v>
      </c>
      <c r="D33" s="12" t="str">
        <f>VLOOKUP($A33,'Matriz POA 2024-TRABAJO'!$A$5:$CD$9142,15,FALSE)</f>
        <v>N/A</v>
      </c>
      <c r="E33" s="12" t="str">
        <f>VLOOKUP($A33,'Matriz POA 2024-TRABAJO'!$A$5:$CD$9142,18,FALSE)</f>
        <v>N/A</v>
      </c>
      <c r="F33" s="12" t="str">
        <f>VLOOKUP($A33,'Matriz POA 2024-TRABAJO'!$A$5:$CD$9142,20,FALSE)</f>
        <v>N/A</v>
      </c>
      <c r="G33" s="12" t="str">
        <f>VLOOKUP($A33,'Matriz POA 2024-TRABAJO'!$A$5:$CD$9142,21,FALSE)</f>
        <v>N/A</v>
      </c>
      <c r="H33" s="12" t="str">
        <f>VLOOKUP($A33,'Matriz POA 2024-TRABAJO'!$A$5:$CD$9142,22,FALSE)</f>
        <v>N/A</v>
      </c>
      <c r="I33" s="12" t="str">
        <f>VLOOKUP($A33,'Matriz POA 2024-TRABAJO'!$A$5:$CD$9142,23,FALSE)</f>
        <v>NUEVA</v>
      </c>
      <c r="J33" s="12" t="str">
        <f>VLOOKUP($A33,'Matriz POA 2024-TRABAJO'!$A$5:$CD$9142,24,FALSE)</f>
        <v>Pago del servicio de energía eléctrica del Museo Portoviejo y Archivo Histórico</v>
      </c>
      <c r="K33" s="12" t="str">
        <f>VLOOKUP($A33,'Matriz POA 2024-TRABAJO'!$A$5:$CD$9142,25,FALSE)</f>
        <v>0035</v>
      </c>
      <c r="L33" s="12" t="str">
        <f>VLOOKUP($A33,'Matriz POA 2024-TRABAJO'!$A$5:$CD$9142,26,FALSE)</f>
        <v>80</v>
      </c>
      <c r="M33" s="12" t="str">
        <f>VLOOKUP($A33,'Matriz POA 2024-TRABAJO'!$A$5:$CD$9142,27,FALSE)</f>
        <v>000</v>
      </c>
      <c r="N33" s="12" t="str">
        <f>VLOOKUP($A33,'Matriz POA 2024-TRABAJO'!$A$5:$CD$9142,28,FALSE)</f>
        <v>002</v>
      </c>
      <c r="O33" s="12" t="str">
        <f>VLOOKUP($A33,'Matriz POA 2024-TRABAJO'!$A$5:$CD$9142,29,FALSE)</f>
        <v>53</v>
      </c>
      <c r="P33" s="12">
        <f>VLOOKUP($A33,'Matriz POA 2024-TRABAJO'!$A$5:$CD$9142,30,FALSE)</f>
        <v>530104</v>
      </c>
      <c r="Q33" s="12">
        <f>VLOOKUP($A33,'Matriz POA 2024-TRABAJO'!$A$5:$CD$9142,32,FALSE)</f>
        <v>1301</v>
      </c>
      <c r="R33" s="12" t="str">
        <f>VLOOKUP($A33,'Matriz POA 2024-TRABAJO'!$A$5:$CD$9142,33,FALSE)</f>
        <v>001</v>
      </c>
      <c r="S33" s="12" t="str">
        <f>VLOOKUP($A33,'Matriz POA 2024-TRABAJO'!$A$5:$CD$9142,34,FALSE)</f>
        <v>0000</v>
      </c>
      <c r="T33" s="12" t="str">
        <f>VLOOKUP($A33,'Matriz POA 2024-TRABAJO'!$A$5:$CD$9142,35,FALSE)</f>
        <v>0000</v>
      </c>
      <c r="U33" s="62">
        <f>VLOOKUP($A33,'Matriz POA 2024-TRABAJO'!$A$5:$CD$9142,66,FALSE)</f>
        <v>8800</v>
      </c>
      <c r="V33" s="62">
        <f>VLOOKUP($A33,'Matriz POA 2024-TRABAJO'!$A$5:$CD$9142,67,FALSE)</f>
        <v>1027.8799999999992</v>
      </c>
      <c r="W33" s="62">
        <f>VLOOKUP($A33,'Matriz POA 2024-TRABAJO'!$A$5:$CD$9142,68,FALSE)</f>
        <v>3745.87</v>
      </c>
      <c r="X33" s="62">
        <f>VLOOKUP($A33,'Matriz POA 2024-TRABAJO'!$A$5:$CD$9142,72,FALSE)</f>
        <v>8551.68</v>
      </c>
      <c r="Y33" s="388">
        <v>8100</v>
      </c>
      <c r="Z33" s="388">
        <v>0</v>
      </c>
      <c r="AA33" s="388">
        <v>8100</v>
      </c>
      <c r="AB33" s="389"/>
      <c r="AC33" s="389"/>
      <c r="AD33" s="13"/>
      <c r="AE33" s="13"/>
      <c r="AF33" s="13">
        <f t="shared" si="0"/>
        <v>8100</v>
      </c>
      <c r="AG33" s="13">
        <f t="shared" si="1"/>
        <v>0</v>
      </c>
      <c r="AH33" s="13">
        <f t="shared" si="2"/>
        <v>8100</v>
      </c>
      <c r="AI33" s="129">
        <v>0</v>
      </c>
      <c r="AJ33" s="129">
        <v>900</v>
      </c>
      <c r="AK33" s="129">
        <v>900</v>
      </c>
      <c r="AL33" s="129">
        <v>800</v>
      </c>
      <c r="AM33" s="129">
        <v>800</v>
      </c>
      <c r="AN33" s="129">
        <v>800</v>
      </c>
      <c r="AO33" s="129">
        <v>800</v>
      </c>
      <c r="AP33" s="129">
        <v>800</v>
      </c>
      <c r="AQ33" s="129">
        <v>800</v>
      </c>
      <c r="AR33" s="129">
        <v>800</v>
      </c>
      <c r="AS33" s="129">
        <v>700</v>
      </c>
      <c r="AT33" s="129">
        <v>0</v>
      </c>
      <c r="AU33" s="129"/>
      <c r="AV33" s="13" t="b">
        <f t="shared" si="3"/>
        <v>1</v>
      </c>
      <c r="AW33" s="14"/>
      <c r="AX33" s="15"/>
      <c r="AY33" s="16"/>
      <c r="AZ33" s="15"/>
      <c r="BA33" s="16"/>
      <c r="BB33" s="17">
        <f t="shared" si="4"/>
        <v>0</v>
      </c>
      <c r="BC33" s="12"/>
      <c r="BD33" s="15"/>
      <c r="BE33" s="18"/>
      <c r="BF33" s="12"/>
      <c r="BG33" s="19" t="str">
        <f t="shared" si="5"/>
        <v>enero</v>
      </c>
      <c r="BH33" s="12" t="str">
        <f t="shared" si="6"/>
        <v>Corporación Ciudad Alfaro</v>
      </c>
      <c r="BI33" s="20" t="str">
        <f t="shared" si="7"/>
        <v>N/A</v>
      </c>
    </row>
    <row r="34" spans="1:61" ht="24.95" customHeight="1">
      <c r="A34" s="4">
        <v>447</v>
      </c>
      <c r="B34" s="12" t="str">
        <f>VLOOKUP($A34,'Matriz POA 2024-TRABAJO'!$A$5:$CD$9142,11,FALSE)</f>
        <v>Corporación Ciudad Alfaro</v>
      </c>
      <c r="C34" s="12" t="str">
        <f>VLOOKUP($A34,'Matriz POA 2024-TRABAJO'!$A$5:$CD$9142,14,FALSE)</f>
        <v>N/A</v>
      </c>
      <c r="D34" s="12" t="str">
        <f>VLOOKUP($A34,'Matriz POA 2024-TRABAJO'!$A$5:$CD$9142,15,FALSE)</f>
        <v>N/A</v>
      </c>
      <c r="E34" s="12" t="str">
        <f>VLOOKUP($A34,'Matriz POA 2024-TRABAJO'!$A$5:$CD$9142,18,FALSE)</f>
        <v>N/A</v>
      </c>
      <c r="F34" s="12" t="str">
        <f>VLOOKUP($A34,'Matriz POA 2024-TRABAJO'!$A$5:$CD$9142,20,FALSE)</f>
        <v>N/A</v>
      </c>
      <c r="G34" s="12" t="str">
        <f>VLOOKUP($A34,'Matriz POA 2024-TRABAJO'!$A$5:$CD$9142,21,FALSE)</f>
        <v>N/A</v>
      </c>
      <c r="H34" s="12" t="str">
        <f>VLOOKUP($A34,'Matriz POA 2024-TRABAJO'!$A$5:$CD$9142,22,FALSE)</f>
        <v>N/A</v>
      </c>
      <c r="I34" s="12" t="str">
        <f>VLOOKUP($A34,'Matriz POA 2024-TRABAJO'!$A$5:$CD$9142,23,FALSE)</f>
        <v>ARRASTRE</v>
      </c>
      <c r="J34" s="12" t="str">
        <f>VLOOKUP($A34,'Matriz POA 2024-TRABAJO'!$A$5:$CD$9142,24,FALSE)</f>
        <v>Pago del servicio de energía eléctrica de los meses de Noviembre y Diciembre del 2023 del Museo Portoviejo y Archivo Histórico</v>
      </c>
      <c r="K34" s="12" t="str">
        <f>VLOOKUP($A34,'Matriz POA 2024-TRABAJO'!$A$5:$CD$9142,25,FALSE)</f>
        <v>0035</v>
      </c>
      <c r="L34" s="12" t="str">
        <f>VLOOKUP($A34,'Matriz POA 2024-TRABAJO'!$A$5:$CD$9142,26,FALSE)</f>
        <v>80</v>
      </c>
      <c r="M34" s="12" t="str">
        <f>VLOOKUP($A34,'Matriz POA 2024-TRABAJO'!$A$5:$CD$9142,27,FALSE)</f>
        <v>000</v>
      </c>
      <c r="N34" s="12" t="str">
        <f>VLOOKUP($A34,'Matriz POA 2024-TRABAJO'!$A$5:$CD$9142,28,FALSE)</f>
        <v>002</v>
      </c>
      <c r="O34" s="12" t="str">
        <f>VLOOKUP($A34,'Matriz POA 2024-TRABAJO'!$A$5:$CD$9142,29,FALSE)</f>
        <v>53</v>
      </c>
      <c r="P34" s="12">
        <f>VLOOKUP($A34,'Matriz POA 2024-TRABAJO'!$A$5:$CD$9142,30,FALSE)</f>
        <v>530104</v>
      </c>
      <c r="Q34" s="12">
        <f>VLOOKUP($A34,'Matriz POA 2024-TRABAJO'!$A$5:$CD$9142,32,FALSE)</f>
        <v>1301</v>
      </c>
      <c r="R34" s="12" t="str">
        <f>VLOOKUP($A34,'Matriz POA 2024-TRABAJO'!$A$5:$CD$9142,33,FALSE)</f>
        <v>001</v>
      </c>
      <c r="S34" s="12" t="str">
        <f>VLOOKUP($A34,'Matriz POA 2024-TRABAJO'!$A$5:$CD$9142,34,FALSE)</f>
        <v>0000</v>
      </c>
      <c r="T34" s="12" t="str">
        <f>VLOOKUP($A34,'Matriz POA 2024-TRABAJO'!$A$5:$CD$9142,35,FALSE)</f>
        <v>0000</v>
      </c>
      <c r="U34" s="62">
        <f>VLOOKUP($A34,'Matriz POA 2024-TRABAJO'!$A$5:$CD$9142,66,FALSE)</f>
        <v>1579.49</v>
      </c>
      <c r="V34" s="62">
        <f>VLOOKUP($A34,'Matriz POA 2024-TRABAJO'!$A$5:$CD$9142,67,FALSE)</f>
        <v>0</v>
      </c>
      <c r="W34" s="62">
        <f>VLOOKUP($A34,'Matriz POA 2024-TRABAJO'!$A$5:$CD$9142,68,FALSE)</f>
        <v>0</v>
      </c>
      <c r="X34" s="62">
        <f>VLOOKUP($A34,'Matriz POA 2024-TRABAJO'!$A$5:$CD$9142,72,FALSE)</f>
        <v>1579.49</v>
      </c>
      <c r="Y34" s="388">
        <v>1800</v>
      </c>
      <c r="Z34" s="388">
        <v>0</v>
      </c>
      <c r="AA34" s="388">
        <v>1800</v>
      </c>
      <c r="AB34" s="389"/>
      <c r="AC34" s="389"/>
      <c r="AD34" s="13"/>
      <c r="AE34" s="13"/>
      <c r="AF34" s="13">
        <f t="shared" si="0"/>
        <v>1800</v>
      </c>
      <c r="AG34" s="13">
        <f t="shared" si="1"/>
        <v>0</v>
      </c>
      <c r="AH34" s="13">
        <f t="shared" si="2"/>
        <v>1800</v>
      </c>
      <c r="AI34" s="129">
        <v>0</v>
      </c>
      <c r="AJ34" s="129">
        <v>1800</v>
      </c>
      <c r="AK34" s="129">
        <v>0</v>
      </c>
      <c r="AL34" s="129">
        <v>0</v>
      </c>
      <c r="AM34" s="129">
        <v>0</v>
      </c>
      <c r="AN34" s="129">
        <v>0</v>
      </c>
      <c r="AO34" s="129">
        <v>0</v>
      </c>
      <c r="AP34" s="129">
        <v>0</v>
      </c>
      <c r="AQ34" s="129">
        <v>0</v>
      </c>
      <c r="AR34" s="129">
        <v>0</v>
      </c>
      <c r="AS34" s="129">
        <v>0</v>
      </c>
      <c r="AT34" s="129">
        <v>0</v>
      </c>
      <c r="AU34" s="129"/>
      <c r="AV34" s="13" t="b">
        <f t="shared" si="3"/>
        <v>1</v>
      </c>
      <c r="AW34" s="14"/>
      <c r="AX34" s="15"/>
      <c r="AY34" s="16"/>
      <c r="AZ34" s="15"/>
      <c r="BA34" s="16"/>
      <c r="BB34" s="17">
        <f t="shared" si="4"/>
        <v>0</v>
      </c>
      <c r="BC34" s="12"/>
      <c r="BD34" s="15"/>
      <c r="BE34" s="18"/>
      <c r="BF34" s="12"/>
      <c r="BG34" s="19" t="str">
        <f t="shared" si="5"/>
        <v>enero</v>
      </c>
      <c r="BH34" s="12" t="str">
        <f t="shared" si="6"/>
        <v>Corporación Ciudad Alfaro</v>
      </c>
      <c r="BI34" s="20" t="str">
        <f t="shared" si="7"/>
        <v>N/A</v>
      </c>
    </row>
    <row r="35" spans="1:61" ht="24.95" customHeight="1">
      <c r="A35" s="4">
        <v>448</v>
      </c>
      <c r="B35" s="12" t="str">
        <f>VLOOKUP($A35,'Matriz POA 2024-TRABAJO'!$A$5:$CD$9142,11,FALSE)</f>
        <v>Corporación Ciudad Alfaro</v>
      </c>
      <c r="C35" s="12" t="str">
        <f>VLOOKUP($A35,'Matriz POA 2024-TRABAJO'!$A$5:$CD$9142,14,FALSE)</f>
        <v>N/A</v>
      </c>
      <c r="D35" s="12" t="str">
        <f>VLOOKUP($A35,'Matriz POA 2024-TRABAJO'!$A$5:$CD$9142,15,FALSE)</f>
        <v>N/A</v>
      </c>
      <c r="E35" s="12" t="str">
        <f>VLOOKUP($A35,'Matriz POA 2024-TRABAJO'!$A$5:$CD$9142,18,FALSE)</f>
        <v>N/A</v>
      </c>
      <c r="F35" s="12" t="str">
        <f>VLOOKUP($A35,'Matriz POA 2024-TRABAJO'!$A$5:$CD$9142,20,FALSE)</f>
        <v>N/A</v>
      </c>
      <c r="G35" s="12" t="str">
        <f>VLOOKUP($A35,'Matriz POA 2024-TRABAJO'!$A$5:$CD$9142,21,FALSE)</f>
        <v>N/A</v>
      </c>
      <c r="H35" s="12" t="str">
        <f>VLOOKUP($A35,'Matriz POA 2024-TRABAJO'!$A$5:$CD$9142,22,FALSE)</f>
        <v>N/A</v>
      </c>
      <c r="I35" s="12" t="str">
        <f>VLOOKUP($A35,'Matriz POA 2024-TRABAJO'!$A$5:$CD$9142,23,FALSE)</f>
        <v>ARRASTRE</v>
      </c>
      <c r="J35" s="12" t="str">
        <f>VLOOKUP($A35,'Matriz POA 2024-TRABAJO'!$A$5:$CD$9142,24,FALSE)</f>
        <v>Pago Mensual del servicio de Alcantarillado de los meses de Noviembre y Diciembre del 2023 del Museo Bahía de Caráquez</v>
      </c>
      <c r="K35" s="12" t="str">
        <f>VLOOKUP($A35,'Matriz POA 2024-TRABAJO'!$A$5:$CD$9142,25,FALSE)</f>
        <v>0035</v>
      </c>
      <c r="L35" s="12" t="str">
        <f>VLOOKUP($A35,'Matriz POA 2024-TRABAJO'!$A$5:$CD$9142,26,FALSE)</f>
        <v>80</v>
      </c>
      <c r="M35" s="12" t="str">
        <f>VLOOKUP($A35,'Matriz POA 2024-TRABAJO'!$A$5:$CD$9142,27,FALSE)</f>
        <v>000</v>
      </c>
      <c r="N35" s="12" t="str">
        <f>VLOOKUP($A35,'Matriz POA 2024-TRABAJO'!$A$5:$CD$9142,28,FALSE)</f>
        <v>002</v>
      </c>
      <c r="O35" s="12" t="str">
        <f>VLOOKUP($A35,'Matriz POA 2024-TRABAJO'!$A$5:$CD$9142,29,FALSE)</f>
        <v>53</v>
      </c>
      <c r="P35" s="12">
        <f>VLOOKUP($A35,'Matriz POA 2024-TRABAJO'!$A$5:$CD$9142,30,FALSE)</f>
        <v>530101</v>
      </c>
      <c r="Q35" s="12">
        <f>VLOOKUP($A35,'Matriz POA 2024-TRABAJO'!$A$5:$CD$9142,32,FALSE)</f>
        <v>1314</v>
      </c>
      <c r="R35" s="12" t="str">
        <f>VLOOKUP($A35,'Matriz POA 2024-TRABAJO'!$A$5:$CD$9142,33,FALSE)</f>
        <v>001</v>
      </c>
      <c r="S35" s="12" t="str">
        <f>VLOOKUP($A35,'Matriz POA 2024-TRABAJO'!$A$5:$CD$9142,34,FALSE)</f>
        <v>0000</v>
      </c>
      <c r="T35" s="12" t="str">
        <f>VLOOKUP($A35,'Matriz POA 2024-TRABAJO'!$A$5:$CD$9142,35,FALSE)</f>
        <v>0000</v>
      </c>
      <c r="U35" s="62">
        <f>VLOOKUP($A35,'Matriz POA 2024-TRABAJO'!$A$5:$CD$9142,66,FALSE)</f>
        <v>40</v>
      </c>
      <c r="V35" s="62">
        <f>VLOOKUP($A35,'Matriz POA 2024-TRABAJO'!$A$5:$CD$9142,67,FALSE)</f>
        <v>0</v>
      </c>
      <c r="W35" s="62">
        <f>VLOOKUP($A35,'Matriz POA 2024-TRABAJO'!$A$5:$CD$9142,68,FALSE)</f>
        <v>40</v>
      </c>
      <c r="X35" s="62">
        <f>VLOOKUP($A35,'Matriz POA 2024-TRABAJO'!$A$5:$CD$9142,72,FALSE)</f>
        <v>2</v>
      </c>
      <c r="Y35" s="388">
        <v>40</v>
      </c>
      <c r="Z35" s="388">
        <v>0</v>
      </c>
      <c r="AA35" s="388">
        <v>40</v>
      </c>
      <c r="AB35" s="389"/>
      <c r="AC35" s="389"/>
      <c r="AD35" s="13"/>
      <c r="AE35" s="13"/>
      <c r="AF35" s="13">
        <f t="shared" si="0"/>
        <v>40</v>
      </c>
      <c r="AG35" s="13">
        <f t="shared" si="1"/>
        <v>0</v>
      </c>
      <c r="AH35" s="13">
        <f t="shared" si="2"/>
        <v>40</v>
      </c>
      <c r="AI35" s="129">
        <v>0</v>
      </c>
      <c r="AJ35" s="129">
        <v>40</v>
      </c>
      <c r="AK35" s="129">
        <v>0</v>
      </c>
      <c r="AL35" s="129">
        <v>0</v>
      </c>
      <c r="AM35" s="129">
        <v>0</v>
      </c>
      <c r="AN35" s="129">
        <v>0</v>
      </c>
      <c r="AO35" s="129">
        <v>0</v>
      </c>
      <c r="AP35" s="129">
        <v>0</v>
      </c>
      <c r="AQ35" s="129">
        <v>0</v>
      </c>
      <c r="AR35" s="129">
        <v>0</v>
      </c>
      <c r="AS35" s="129">
        <v>0</v>
      </c>
      <c r="AT35" s="129">
        <v>0</v>
      </c>
      <c r="AU35" s="129"/>
      <c r="AV35" s="13" t="b">
        <f t="shared" si="3"/>
        <v>1</v>
      </c>
      <c r="AW35" s="14"/>
      <c r="AX35" s="15"/>
      <c r="AY35" s="16"/>
      <c r="AZ35" s="15"/>
      <c r="BA35" s="16"/>
      <c r="BB35" s="17">
        <f t="shared" si="4"/>
        <v>0</v>
      </c>
      <c r="BC35" s="12"/>
      <c r="BD35" s="15"/>
      <c r="BE35" s="18"/>
      <c r="BF35" s="12"/>
      <c r="BG35" s="19" t="str">
        <f t="shared" si="5"/>
        <v>enero</v>
      </c>
      <c r="BH35" s="12" t="str">
        <f t="shared" si="6"/>
        <v>Corporación Ciudad Alfaro</v>
      </c>
      <c r="BI35" s="20" t="str">
        <f t="shared" si="7"/>
        <v>N/A</v>
      </c>
    </row>
    <row r="36" spans="1:61" ht="24.95" customHeight="1">
      <c r="A36" s="4">
        <v>449</v>
      </c>
      <c r="B36" s="12" t="str">
        <f>VLOOKUP($A36,'Matriz POA 2024-TRABAJO'!$A$5:$CD$9142,11,FALSE)</f>
        <v>Corporación Ciudad Alfaro</v>
      </c>
      <c r="C36" s="12" t="str">
        <f>VLOOKUP($A36,'Matriz POA 2024-TRABAJO'!$A$5:$CD$9142,14,FALSE)</f>
        <v>N/A</v>
      </c>
      <c r="D36" s="12" t="str">
        <f>VLOOKUP($A36,'Matriz POA 2024-TRABAJO'!$A$5:$CD$9142,15,FALSE)</f>
        <v>N/A</v>
      </c>
      <c r="E36" s="12" t="str">
        <f>VLOOKUP($A36,'Matriz POA 2024-TRABAJO'!$A$5:$CD$9142,18,FALSE)</f>
        <v>N/A</v>
      </c>
      <c r="F36" s="12" t="str">
        <f>VLOOKUP($A36,'Matriz POA 2024-TRABAJO'!$A$5:$CD$9142,20,FALSE)</f>
        <v>N/A</v>
      </c>
      <c r="G36" s="12" t="str">
        <f>VLOOKUP($A36,'Matriz POA 2024-TRABAJO'!$A$5:$CD$9142,21,FALSE)</f>
        <v>N/A</v>
      </c>
      <c r="H36" s="12" t="str">
        <f>VLOOKUP($A36,'Matriz POA 2024-TRABAJO'!$A$5:$CD$9142,22,FALSE)</f>
        <v>N/A</v>
      </c>
      <c r="I36" s="12" t="str">
        <f>VLOOKUP($A36,'Matriz POA 2024-TRABAJO'!$A$5:$CD$9142,23,FALSE)</f>
        <v>NUEVA</v>
      </c>
      <c r="J36" s="12" t="str">
        <f>VLOOKUP($A36,'Matriz POA 2024-TRABAJO'!$A$5:$CD$9142,24,FALSE)</f>
        <v>Pago Mensual del servicio de Alcantarillado Bahía de Caráquez</v>
      </c>
      <c r="K36" s="12" t="str">
        <f>VLOOKUP($A36,'Matriz POA 2024-TRABAJO'!$A$5:$CD$9142,25,FALSE)</f>
        <v>0035</v>
      </c>
      <c r="L36" s="12" t="str">
        <f>VLOOKUP($A36,'Matriz POA 2024-TRABAJO'!$A$5:$CD$9142,26,FALSE)</f>
        <v>80</v>
      </c>
      <c r="M36" s="12" t="str">
        <f>VLOOKUP($A36,'Matriz POA 2024-TRABAJO'!$A$5:$CD$9142,27,FALSE)</f>
        <v>000</v>
      </c>
      <c r="N36" s="12" t="str">
        <f>VLOOKUP($A36,'Matriz POA 2024-TRABAJO'!$A$5:$CD$9142,28,FALSE)</f>
        <v>002</v>
      </c>
      <c r="O36" s="12" t="str">
        <f>VLOOKUP($A36,'Matriz POA 2024-TRABAJO'!$A$5:$CD$9142,29,FALSE)</f>
        <v>53</v>
      </c>
      <c r="P36" s="12">
        <f>VLOOKUP($A36,'Matriz POA 2024-TRABAJO'!$A$5:$CD$9142,30,FALSE)</f>
        <v>530101</v>
      </c>
      <c r="Q36" s="12">
        <f>VLOOKUP($A36,'Matriz POA 2024-TRABAJO'!$A$5:$CD$9142,32,FALSE)</f>
        <v>1314</v>
      </c>
      <c r="R36" s="12" t="str">
        <f>VLOOKUP($A36,'Matriz POA 2024-TRABAJO'!$A$5:$CD$9142,33,FALSE)</f>
        <v>001</v>
      </c>
      <c r="S36" s="12" t="str">
        <f>VLOOKUP($A36,'Matriz POA 2024-TRABAJO'!$A$5:$CD$9142,34,FALSE)</f>
        <v>0000</v>
      </c>
      <c r="T36" s="12" t="str">
        <f>VLOOKUP($A36,'Matriz POA 2024-TRABAJO'!$A$5:$CD$9142,35,FALSE)</f>
        <v>0000</v>
      </c>
      <c r="U36" s="62">
        <f>VLOOKUP($A36,'Matriz POA 2024-TRABAJO'!$A$5:$CD$9142,66,FALSE)</f>
        <v>180</v>
      </c>
      <c r="V36" s="62">
        <f>VLOOKUP($A36,'Matriz POA 2024-TRABAJO'!$A$5:$CD$9142,67,FALSE)</f>
        <v>0</v>
      </c>
      <c r="W36" s="62">
        <f>VLOOKUP($A36,'Matriz POA 2024-TRABAJO'!$A$5:$CD$9142,68,FALSE)</f>
        <v>0</v>
      </c>
      <c r="X36" s="62">
        <f>VLOOKUP($A36,'Matriz POA 2024-TRABAJO'!$A$5:$CD$9142,72,FALSE)</f>
        <v>22</v>
      </c>
      <c r="Y36" s="388">
        <v>180</v>
      </c>
      <c r="Z36" s="388">
        <v>0</v>
      </c>
      <c r="AA36" s="388">
        <v>180</v>
      </c>
      <c r="AB36" s="389"/>
      <c r="AC36" s="389"/>
      <c r="AD36" s="13"/>
      <c r="AE36" s="13"/>
      <c r="AF36" s="13">
        <f t="shared" ref="AF36:AF86" si="8">Y36+AB36+AC36</f>
        <v>180</v>
      </c>
      <c r="AG36" s="13">
        <f t="shared" ref="AG36:AG86" si="9">Z36+AD36+AE36</f>
        <v>0</v>
      </c>
      <c r="AH36" s="13">
        <f t="shared" si="2"/>
        <v>180</v>
      </c>
      <c r="AI36" s="129">
        <v>0</v>
      </c>
      <c r="AJ36" s="129">
        <v>20</v>
      </c>
      <c r="AK36" s="129">
        <v>20</v>
      </c>
      <c r="AL36" s="129">
        <v>20</v>
      </c>
      <c r="AM36" s="129">
        <v>20</v>
      </c>
      <c r="AN36" s="129">
        <v>20</v>
      </c>
      <c r="AO36" s="129">
        <v>20</v>
      </c>
      <c r="AP36" s="129">
        <v>20</v>
      </c>
      <c r="AQ36" s="129">
        <v>20</v>
      </c>
      <c r="AR36" s="129">
        <v>10</v>
      </c>
      <c r="AS36" s="129">
        <v>10</v>
      </c>
      <c r="AT36" s="129">
        <v>0</v>
      </c>
      <c r="AU36" s="129"/>
      <c r="AV36" s="13" t="b">
        <f t="shared" ref="AV36:AV86" si="10">SUM(AI36:AT36)=AH36</f>
        <v>1</v>
      </c>
      <c r="AW36" s="14"/>
      <c r="AX36" s="15"/>
      <c r="AY36" s="16"/>
      <c r="AZ36" s="15"/>
      <c r="BA36" s="16"/>
      <c r="BB36" s="17">
        <f t="shared" si="4"/>
        <v>0</v>
      </c>
      <c r="BC36" s="12"/>
      <c r="BD36" s="15"/>
      <c r="BE36" s="18"/>
      <c r="BF36" s="12"/>
      <c r="BG36" s="19" t="str">
        <f t="shared" si="5"/>
        <v>enero</v>
      </c>
      <c r="BH36" s="12" t="str">
        <f t="shared" ref="BH36:BH86" si="11">B36</f>
        <v>Corporación Ciudad Alfaro</v>
      </c>
      <c r="BI36" s="20" t="str">
        <f t="shared" ref="BI36:BI86" si="12">E36</f>
        <v>N/A</v>
      </c>
    </row>
    <row r="37" spans="1:61" ht="24.95" customHeight="1">
      <c r="A37" s="4">
        <v>450</v>
      </c>
      <c r="B37" s="12" t="str">
        <f>VLOOKUP($A37,'Matriz POA 2024-TRABAJO'!$A$5:$CD$9142,11,FALSE)</f>
        <v>Corporación Ciudad Alfaro</v>
      </c>
      <c r="C37" s="12" t="str">
        <f>VLOOKUP($A37,'Matriz POA 2024-TRABAJO'!$A$5:$CD$9142,14,FALSE)</f>
        <v>N/A</v>
      </c>
      <c r="D37" s="12" t="str">
        <f>VLOOKUP($A37,'Matriz POA 2024-TRABAJO'!$A$5:$CD$9142,15,FALSE)</f>
        <v>N/A</v>
      </c>
      <c r="E37" s="12" t="str">
        <f>VLOOKUP($A37,'Matriz POA 2024-TRABAJO'!$A$5:$CD$9142,18,FALSE)</f>
        <v>N/A</v>
      </c>
      <c r="F37" s="12" t="str">
        <f>VLOOKUP($A37,'Matriz POA 2024-TRABAJO'!$A$5:$CD$9142,20,FALSE)</f>
        <v>N/A</v>
      </c>
      <c r="G37" s="12" t="str">
        <f>VLOOKUP($A37,'Matriz POA 2024-TRABAJO'!$A$5:$CD$9142,21,FALSE)</f>
        <v>N/A</v>
      </c>
      <c r="H37" s="12" t="str">
        <f>VLOOKUP($A37,'Matriz POA 2024-TRABAJO'!$A$5:$CD$9142,22,FALSE)</f>
        <v>N/A</v>
      </c>
      <c r="I37" s="12" t="str">
        <f>VLOOKUP($A37,'Matriz POA 2024-TRABAJO'!$A$5:$CD$9142,23,FALSE)</f>
        <v>ARRASTRE</v>
      </c>
      <c r="J37" s="12" t="str">
        <f>VLOOKUP($A37,'Matriz POA 2024-TRABAJO'!$A$5:$CD$9142,24,FALSE)</f>
        <v>Pago Mensual del Servicio de Agua Potable de los meses de Noviembre y Diciembre del 2023 del Museo Bahía de Caráquez</v>
      </c>
      <c r="K37" s="12" t="str">
        <f>VLOOKUP($A37,'Matriz POA 2024-TRABAJO'!$A$5:$CD$9142,25,FALSE)</f>
        <v>0035</v>
      </c>
      <c r="L37" s="12" t="str">
        <f>VLOOKUP($A37,'Matriz POA 2024-TRABAJO'!$A$5:$CD$9142,26,FALSE)</f>
        <v>80</v>
      </c>
      <c r="M37" s="12" t="str">
        <f>VLOOKUP($A37,'Matriz POA 2024-TRABAJO'!$A$5:$CD$9142,27,FALSE)</f>
        <v>000</v>
      </c>
      <c r="N37" s="12" t="str">
        <f>VLOOKUP($A37,'Matriz POA 2024-TRABAJO'!$A$5:$CD$9142,28,FALSE)</f>
        <v>002</v>
      </c>
      <c r="O37" s="12" t="str">
        <f>VLOOKUP($A37,'Matriz POA 2024-TRABAJO'!$A$5:$CD$9142,29,FALSE)</f>
        <v>53</v>
      </c>
      <c r="P37" s="12">
        <f>VLOOKUP($A37,'Matriz POA 2024-TRABAJO'!$A$5:$CD$9142,30,FALSE)</f>
        <v>530101</v>
      </c>
      <c r="Q37" s="12">
        <f>VLOOKUP($A37,'Matriz POA 2024-TRABAJO'!$A$5:$CD$9142,32,FALSE)</f>
        <v>1314</v>
      </c>
      <c r="R37" s="12" t="str">
        <f>VLOOKUP($A37,'Matriz POA 2024-TRABAJO'!$A$5:$CD$9142,33,FALSE)</f>
        <v>001</v>
      </c>
      <c r="S37" s="12" t="str">
        <f>VLOOKUP($A37,'Matriz POA 2024-TRABAJO'!$A$5:$CD$9142,34,FALSE)</f>
        <v>0000</v>
      </c>
      <c r="T37" s="12" t="str">
        <f>VLOOKUP($A37,'Matriz POA 2024-TRABAJO'!$A$5:$CD$9142,35,FALSE)</f>
        <v>0000</v>
      </c>
      <c r="U37" s="62">
        <f>VLOOKUP($A37,'Matriz POA 2024-TRABAJO'!$A$5:$CD$9142,66,FALSE)</f>
        <v>80</v>
      </c>
      <c r="V37" s="62">
        <f>VLOOKUP($A37,'Matriz POA 2024-TRABAJO'!$A$5:$CD$9142,67,FALSE)</f>
        <v>0</v>
      </c>
      <c r="W37" s="62">
        <f>VLOOKUP($A37,'Matriz POA 2024-TRABAJO'!$A$5:$CD$9142,68,FALSE)</f>
        <v>80</v>
      </c>
      <c r="X37" s="62">
        <f>VLOOKUP($A37,'Matriz POA 2024-TRABAJO'!$A$5:$CD$9142,72,FALSE)</f>
        <v>2.75</v>
      </c>
      <c r="Y37" s="388">
        <v>80</v>
      </c>
      <c r="Z37" s="388">
        <v>0</v>
      </c>
      <c r="AA37" s="388">
        <v>80</v>
      </c>
      <c r="AB37" s="389"/>
      <c r="AC37" s="389"/>
      <c r="AD37" s="13"/>
      <c r="AE37" s="13"/>
      <c r="AF37" s="13">
        <f t="shared" si="8"/>
        <v>80</v>
      </c>
      <c r="AG37" s="13">
        <f t="shared" si="9"/>
        <v>0</v>
      </c>
      <c r="AH37" s="13">
        <f t="shared" ref="AH37:AH86" si="13">+AF37+AG37</f>
        <v>80</v>
      </c>
      <c r="AI37" s="129">
        <v>0</v>
      </c>
      <c r="AJ37" s="129">
        <v>80</v>
      </c>
      <c r="AK37" s="129">
        <v>0</v>
      </c>
      <c r="AL37" s="129">
        <v>0</v>
      </c>
      <c r="AM37" s="129">
        <v>0</v>
      </c>
      <c r="AN37" s="129">
        <v>0</v>
      </c>
      <c r="AO37" s="129">
        <v>0</v>
      </c>
      <c r="AP37" s="129">
        <v>0</v>
      </c>
      <c r="AQ37" s="129">
        <v>0</v>
      </c>
      <c r="AR37" s="129">
        <v>0</v>
      </c>
      <c r="AS37" s="129">
        <v>0</v>
      </c>
      <c r="AT37" s="129">
        <v>0</v>
      </c>
      <c r="AU37" s="129"/>
      <c r="AV37" s="13" t="b">
        <f t="shared" si="10"/>
        <v>1</v>
      </c>
      <c r="AW37" s="14"/>
      <c r="AX37" s="15"/>
      <c r="AY37" s="16"/>
      <c r="AZ37" s="15"/>
      <c r="BA37" s="16"/>
      <c r="BB37" s="17">
        <f t="shared" ref="BB37:BB86" si="14">BA37-AY37</f>
        <v>0</v>
      </c>
      <c r="BC37" s="12"/>
      <c r="BD37" s="15"/>
      <c r="BE37" s="18"/>
      <c r="BF37" s="12"/>
      <c r="BG37" s="19" t="str">
        <f t="shared" ref="BG37:BG86" si="15">TEXT(BA37,"MMMM")</f>
        <v>enero</v>
      </c>
      <c r="BH37" s="12" t="str">
        <f t="shared" si="11"/>
        <v>Corporación Ciudad Alfaro</v>
      </c>
      <c r="BI37" s="20" t="str">
        <f t="shared" si="12"/>
        <v>N/A</v>
      </c>
    </row>
    <row r="38" spans="1:61" ht="24.95" customHeight="1">
      <c r="A38" s="4">
        <v>451</v>
      </c>
      <c r="B38" s="12" t="str">
        <f>VLOOKUP($A38,'Matriz POA 2024-TRABAJO'!$A$5:$CD$9142,11,FALSE)</f>
        <v>Corporación Ciudad Alfaro</v>
      </c>
      <c r="C38" s="12" t="str">
        <f>VLOOKUP($A38,'Matriz POA 2024-TRABAJO'!$A$5:$CD$9142,14,FALSE)</f>
        <v>N/A</v>
      </c>
      <c r="D38" s="12" t="str">
        <f>VLOOKUP($A38,'Matriz POA 2024-TRABAJO'!$A$5:$CD$9142,15,FALSE)</f>
        <v>N/A</v>
      </c>
      <c r="E38" s="12" t="str">
        <f>VLOOKUP($A38,'Matriz POA 2024-TRABAJO'!$A$5:$CD$9142,18,FALSE)</f>
        <v>N/A</v>
      </c>
      <c r="F38" s="12" t="str">
        <f>VLOOKUP($A38,'Matriz POA 2024-TRABAJO'!$A$5:$CD$9142,20,FALSE)</f>
        <v>N/A</v>
      </c>
      <c r="G38" s="12" t="str">
        <f>VLOOKUP($A38,'Matriz POA 2024-TRABAJO'!$A$5:$CD$9142,21,FALSE)</f>
        <v>N/A</v>
      </c>
      <c r="H38" s="12" t="str">
        <f>VLOOKUP($A38,'Matriz POA 2024-TRABAJO'!$A$5:$CD$9142,22,FALSE)</f>
        <v>N/A</v>
      </c>
      <c r="I38" s="12" t="str">
        <f>VLOOKUP($A38,'Matriz POA 2024-TRABAJO'!$A$5:$CD$9142,23,FALSE)</f>
        <v>NUEVA</v>
      </c>
      <c r="J38" s="12" t="str">
        <f>VLOOKUP($A38,'Matriz POA 2024-TRABAJO'!$A$5:$CD$9142,24,FALSE)</f>
        <v>Pago Mensual del servicio de Agua Potable del Museo Bahía de Caráquez</v>
      </c>
      <c r="K38" s="12" t="str">
        <f>VLOOKUP($A38,'Matriz POA 2024-TRABAJO'!$A$5:$CD$9142,25,FALSE)</f>
        <v>0035</v>
      </c>
      <c r="L38" s="12" t="str">
        <f>VLOOKUP($A38,'Matriz POA 2024-TRABAJO'!$A$5:$CD$9142,26,FALSE)</f>
        <v>80</v>
      </c>
      <c r="M38" s="12" t="str">
        <f>VLOOKUP($A38,'Matriz POA 2024-TRABAJO'!$A$5:$CD$9142,27,FALSE)</f>
        <v>000</v>
      </c>
      <c r="N38" s="12" t="str">
        <f>VLOOKUP($A38,'Matriz POA 2024-TRABAJO'!$A$5:$CD$9142,28,FALSE)</f>
        <v>002</v>
      </c>
      <c r="O38" s="12" t="str">
        <f>VLOOKUP($A38,'Matriz POA 2024-TRABAJO'!$A$5:$CD$9142,29,FALSE)</f>
        <v>53</v>
      </c>
      <c r="P38" s="12">
        <f>VLOOKUP($A38,'Matriz POA 2024-TRABAJO'!$A$5:$CD$9142,30,FALSE)</f>
        <v>530101</v>
      </c>
      <c r="Q38" s="12">
        <f>VLOOKUP($A38,'Matriz POA 2024-TRABAJO'!$A$5:$CD$9142,32,FALSE)</f>
        <v>1314</v>
      </c>
      <c r="R38" s="12" t="str">
        <f>VLOOKUP($A38,'Matriz POA 2024-TRABAJO'!$A$5:$CD$9142,33,FALSE)</f>
        <v>001</v>
      </c>
      <c r="S38" s="12" t="str">
        <f>VLOOKUP($A38,'Matriz POA 2024-TRABAJO'!$A$5:$CD$9142,34,FALSE)</f>
        <v>0000</v>
      </c>
      <c r="T38" s="12" t="str">
        <f>VLOOKUP($A38,'Matriz POA 2024-TRABAJO'!$A$5:$CD$9142,35,FALSE)</f>
        <v>0000</v>
      </c>
      <c r="U38" s="62">
        <f>VLOOKUP($A38,'Matriz POA 2024-TRABAJO'!$A$5:$CD$9142,66,FALSE)</f>
        <v>360</v>
      </c>
      <c r="V38" s="62">
        <f>VLOOKUP($A38,'Matriz POA 2024-TRABAJO'!$A$5:$CD$9142,67,FALSE)</f>
        <v>0</v>
      </c>
      <c r="W38" s="62">
        <f>VLOOKUP($A38,'Matriz POA 2024-TRABAJO'!$A$5:$CD$9142,68,FALSE)</f>
        <v>0</v>
      </c>
      <c r="X38" s="62">
        <f>VLOOKUP($A38,'Matriz POA 2024-TRABAJO'!$A$5:$CD$9142,72,FALSE)</f>
        <v>37.5</v>
      </c>
      <c r="Y38" s="388">
        <v>360</v>
      </c>
      <c r="Z38" s="388">
        <v>0</v>
      </c>
      <c r="AA38" s="388">
        <v>360</v>
      </c>
      <c r="AB38" s="389"/>
      <c r="AC38" s="389"/>
      <c r="AD38" s="13"/>
      <c r="AE38" s="13"/>
      <c r="AF38" s="13">
        <f t="shared" si="8"/>
        <v>360</v>
      </c>
      <c r="AG38" s="13">
        <f t="shared" si="9"/>
        <v>0</v>
      </c>
      <c r="AH38" s="13">
        <f t="shared" si="13"/>
        <v>360</v>
      </c>
      <c r="AI38" s="129">
        <v>0</v>
      </c>
      <c r="AJ38" s="129">
        <v>40</v>
      </c>
      <c r="AK38" s="129">
        <v>40</v>
      </c>
      <c r="AL38" s="129">
        <v>40</v>
      </c>
      <c r="AM38" s="129">
        <v>40</v>
      </c>
      <c r="AN38" s="129">
        <v>40</v>
      </c>
      <c r="AO38" s="129">
        <v>40</v>
      </c>
      <c r="AP38" s="129">
        <v>40</v>
      </c>
      <c r="AQ38" s="129">
        <v>40</v>
      </c>
      <c r="AR38" s="129">
        <v>20</v>
      </c>
      <c r="AS38" s="129">
        <v>20</v>
      </c>
      <c r="AT38" s="129">
        <v>0</v>
      </c>
      <c r="AU38" s="129"/>
      <c r="AV38" s="13" t="b">
        <f t="shared" si="10"/>
        <v>1</v>
      </c>
      <c r="AW38" s="14"/>
      <c r="AX38" s="15"/>
      <c r="AY38" s="16"/>
      <c r="AZ38" s="15"/>
      <c r="BA38" s="16"/>
      <c r="BB38" s="17">
        <f t="shared" si="14"/>
        <v>0</v>
      </c>
      <c r="BC38" s="12"/>
      <c r="BD38" s="15"/>
      <c r="BE38" s="18"/>
      <c r="BF38" s="12"/>
      <c r="BG38" s="19" t="str">
        <f t="shared" si="15"/>
        <v>enero</v>
      </c>
      <c r="BH38" s="12" t="str">
        <f t="shared" si="11"/>
        <v>Corporación Ciudad Alfaro</v>
      </c>
      <c r="BI38" s="20" t="str">
        <f t="shared" si="12"/>
        <v>N/A</v>
      </c>
    </row>
    <row r="39" spans="1:61" ht="24.95" customHeight="1">
      <c r="A39" s="4">
        <v>452</v>
      </c>
      <c r="B39" s="12" t="str">
        <f>VLOOKUP($A39,'Matriz POA 2024-TRABAJO'!$A$5:$CD$9142,11,FALSE)</f>
        <v>Corporación Ciudad Alfaro</v>
      </c>
      <c r="C39" s="12" t="str">
        <f>VLOOKUP($A39,'Matriz POA 2024-TRABAJO'!$A$5:$CD$9142,14,FALSE)</f>
        <v>N/A</v>
      </c>
      <c r="D39" s="12" t="str">
        <f>VLOOKUP($A39,'Matriz POA 2024-TRABAJO'!$A$5:$CD$9142,15,FALSE)</f>
        <v>N/A</v>
      </c>
      <c r="E39" s="12" t="str">
        <f>VLOOKUP($A39,'Matriz POA 2024-TRABAJO'!$A$5:$CD$9142,18,FALSE)</f>
        <v>N/A</v>
      </c>
      <c r="F39" s="12" t="str">
        <f>VLOOKUP($A39,'Matriz POA 2024-TRABAJO'!$A$5:$CD$9142,20,FALSE)</f>
        <v>N/A</v>
      </c>
      <c r="G39" s="12" t="str">
        <f>VLOOKUP($A39,'Matriz POA 2024-TRABAJO'!$A$5:$CD$9142,21,FALSE)</f>
        <v>N/A</v>
      </c>
      <c r="H39" s="12" t="str">
        <f>VLOOKUP($A39,'Matriz POA 2024-TRABAJO'!$A$5:$CD$9142,22,FALSE)</f>
        <v>N/A</v>
      </c>
      <c r="I39" s="12" t="str">
        <f>VLOOKUP($A39,'Matriz POA 2024-TRABAJO'!$A$5:$CD$9142,23,FALSE)</f>
        <v>ARRASTRE</v>
      </c>
      <c r="J39" s="12" t="str">
        <f>VLOOKUP($A39,'Matriz POA 2024-TRABAJO'!$A$5:$CD$9142,24,FALSE)</f>
        <v>Pago Mensual del servicio de Energía Eléctrica de los meses de Noviembre y Diciembre del 2023 del Museo Bahía de Caráquez</v>
      </c>
      <c r="K39" s="12" t="str">
        <f>VLOOKUP($A39,'Matriz POA 2024-TRABAJO'!$A$5:$CD$9142,25,FALSE)</f>
        <v>0035</v>
      </c>
      <c r="L39" s="12" t="str">
        <f>VLOOKUP($A39,'Matriz POA 2024-TRABAJO'!$A$5:$CD$9142,26,FALSE)</f>
        <v>80</v>
      </c>
      <c r="M39" s="12" t="str">
        <f>VLOOKUP($A39,'Matriz POA 2024-TRABAJO'!$A$5:$CD$9142,27,FALSE)</f>
        <v>000</v>
      </c>
      <c r="N39" s="12" t="str">
        <f>VLOOKUP($A39,'Matriz POA 2024-TRABAJO'!$A$5:$CD$9142,28,FALSE)</f>
        <v>002</v>
      </c>
      <c r="O39" s="12" t="str">
        <f>VLOOKUP($A39,'Matriz POA 2024-TRABAJO'!$A$5:$CD$9142,29,FALSE)</f>
        <v>53</v>
      </c>
      <c r="P39" s="12">
        <f>VLOOKUP($A39,'Matriz POA 2024-TRABAJO'!$A$5:$CD$9142,30,FALSE)</f>
        <v>530104</v>
      </c>
      <c r="Q39" s="12">
        <f>VLOOKUP($A39,'Matriz POA 2024-TRABAJO'!$A$5:$CD$9142,32,FALSE)</f>
        <v>1314</v>
      </c>
      <c r="R39" s="12" t="str">
        <f>VLOOKUP($A39,'Matriz POA 2024-TRABAJO'!$A$5:$CD$9142,33,FALSE)</f>
        <v>001</v>
      </c>
      <c r="S39" s="12" t="str">
        <f>VLOOKUP($A39,'Matriz POA 2024-TRABAJO'!$A$5:$CD$9142,34,FALSE)</f>
        <v>0000</v>
      </c>
      <c r="T39" s="12" t="str">
        <f>VLOOKUP($A39,'Matriz POA 2024-TRABAJO'!$A$5:$CD$9142,35,FALSE)</f>
        <v>0000</v>
      </c>
      <c r="U39" s="62">
        <f>VLOOKUP($A39,'Matriz POA 2024-TRABAJO'!$A$5:$CD$9142,66,FALSE)</f>
        <v>1600</v>
      </c>
      <c r="V39" s="62">
        <f>VLOOKUP($A39,'Matriz POA 2024-TRABAJO'!$A$5:$CD$9142,67,FALSE)</f>
        <v>0</v>
      </c>
      <c r="W39" s="62">
        <f>VLOOKUP($A39,'Matriz POA 2024-TRABAJO'!$A$5:$CD$9142,68,FALSE)</f>
        <v>1600</v>
      </c>
      <c r="X39" s="62">
        <f>VLOOKUP($A39,'Matriz POA 2024-TRABAJO'!$A$5:$CD$9142,72,FALSE)</f>
        <v>847.41000000000008</v>
      </c>
      <c r="Y39" s="388">
        <v>1600</v>
      </c>
      <c r="Z39" s="388">
        <v>0</v>
      </c>
      <c r="AA39" s="388">
        <v>1600</v>
      </c>
      <c r="AB39" s="389"/>
      <c r="AC39" s="389"/>
      <c r="AD39" s="13"/>
      <c r="AE39" s="13"/>
      <c r="AF39" s="13">
        <f t="shared" si="8"/>
        <v>1600</v>
      </c>
      <c r="AG39" s="13">
        <f t="shared" si="9"/>
        <v>0</v>
      </c>
      <c r="AH39" s="13">
        <f t="shared" si="13"/>
        <v>1600</v>
      </c>
      <c r="AI39" s="129">
        <v>0</v>
      </c>
      <c r="AJ39" s="129">
        <v>1600</v>
      </c>
      <c r="AK39" s="129">
        <v>0</v>
      </c>
      <c r="AL39" s="129">
        <v>0</v>
      </c>
      <c r="AM39" s="129">
        <v>0</v>
      </c>
      <c r="AN39" s="129">
        <v>0</v>
      </c>
      <c r="AO39" s="129">
        <v>0</v>
      </c>
      <c r="AP39" s="129">
        <v>0</v>
      </c>
      <c r="AQ39" s="129">
        <v>0</v>
      </c>
      <c r="AR39" s="129">
        <v>0</v>
      </c>
      <c r="AS39" s="129">
        <v>0</v>
      </c>
      <c r="AT39" s="129">
        <v>0</v>
      </c>
      <c r="AU39" s="129"/>
      <c r="AV39" s="13" t="b">
        <f t="shared" si="10"/>
        <v>1</v>
      </c>
      <c r="AW39" s="14"/>
      <c r="AX39" s="15"/>
      <c r="AY39" s="16"/>
      <c r="AZ39" s="15"/>
      <c r="BA39" s="16"/>
      <c r="BB39" s="17">
        <f t="shared" si="14"/>
        <v>0</v>
      </c>
      <c r="BC39" s="12"/>
      <c r="BD39" s="15"/>
      <c r="BE39" s="18"/>
      <c r="BF39" s="12"/>
      <c r="BG39" s="19" t="str">
        <f t="shared" si="15"/>
        <v>enero</v>
      </c>
      <c r="BH39" s="12" t="str">
        <f t="shared" si="11"/>
        <v>Corporación Ciudad Alfaro</v>
      </c>
      <c r="BI39" s="20" t="str">
        <f t="shared" si="12"/>
        <v>N/A</v>
      </c>
    </row>
    <row r="40" spans="1:61" ht="24.95" customHeight="1">
      <c r="A40" s="4">
        <v>453</v>
      </c>
      <c r="B40" s="12" t="str">
        <f>VLOOKUP($A40,'Matriz POA 2024-TRABAJO'!$A$5:$CD$9142,11,FALSE)</f>
        <v>Corporación Ciudad Alfaro</v>
      </c>
      <c r="C40" s="12" t="str">
        <f>VLOOKUP($A40,'Matriz POA 2024-TRABAJO'!$A$5:$CD$9142,14,FALSE)</f>
        <v>N/A</v>
      </c>
      <c r="D40" s="12" t="str">
        <f>VLOOKUP($A40,'Matriz POA 2024-TRABAJO'!$A$5:$CD$9142,15,FALSE)</f>
        <v>N/A</v>
      </c>
      <c r="E40" s="12" t="str">
        <f>VLOOKUP($A40,'Matriz POA 2024-TRABAJO'!$A$5:$CD$9142,18,FALSE)</f>
        <v>N/A</v>
      </c>
      <c r="F40" s="12" t="str">
        <f>VLOOKUP($A40,'Matriz POA 2024-TRABAJO'!$A$5:$CD$9142,20,FALSE)</f>
        <v>N/A</v>
      </c>
      <c r="G40" s="12" t="str">
        <f>VLOOKUP($A40,'Matriz POA 2024-TRABAJO'!$A$5:$CD$9142,21,FALSE)</f>
        <v>N/A</v>
      </c>
      <c r="H40" s="12" t="str">
        <f>VLOOKUP($A40,'Matriz POA 2024-TRABAJO'!$A$5:$CD$9142,22,FALSE)</f>
        <v>N/A</v>
      </c>
      <c r="I40" s="12" t="str">
        <f>VLOOKUP($A40,'Matriz POA 2024-TRABAJO'!$A$5:$CD$9142,23,FALSE)</f>
        <v>NUEVA</v>
      </c>
      <c r="J40" s="12" t="str">
        <f>VLOOKUP($A40,'Matriz POA 2024-TRABAJO'!$A$5:$CD$9142,24,FALSE)</f>
        <v>Pago Mensual del servicio de Energía Eléctrica del Museo Bahía de Caráquez</v>
      </c>
      <c r="K40" s="12" t="str">
        <f>VLOOKUP($A40,'Matriz POA 2024-TRABAJO'!$A$5:$CD$9142,25,FALSE)</f>
        <v>0035</v>
      </c>
      <c r="L40" s="12" t="str">
        <f>VLOOKUP($A40,'Matriz POA 2024-TRABAJO'!$A$5:$CD$9142,26,FALSE)</f>
        <v>80</v>
      </c>
      <c r="M40" s="12" t="str">
        <f>VLOOKUP($A40,'Matriz POA 2024-TRABAJO'!$A$5:$CD$9142,27,FALSE)</f>
        <v>000</v>
      </c>
      <c r="N40" s="12" t="str">
        <f>VLOOKUP($A40,'Matriz POA 2024-TRABAJO'!$A$5:$CD$9142,28,FALSE)</f>
        <v>002</v>
      </c>
      <c r="O40" s="12" t="str">
        <f>VLOOKUP($A40,'Matriz POA 2024-TRABAJO'!$A$5:$CD$9142,29,FALSE)</f>
        <v>53</v>
      </c>
      <c r="P40" s="12">
        <f>VLOOKUP($A40,'Matriz POA 2024-TRABAJO'!$A$5:$CD$9142,30,FALSE)</f>
        <v>530104</v>
      </c>
      <c r="Q40" s="12">
        <f>VLOOKUP($A40,'Matriz POA 2024-TRABAJO'!$A$5:$CD$9142,32,FALSE)</f>
        <v>1314</v>
      </c>
      <c r="R40" s="12" t="str">
        <f>VLOOKUP($A40,'Matriz POA 2024-TRABAJO'!$A$5:$CD$9142,33,FALSE)</f>
        <v>001</v>
      </c>
      <c r="S40" s="12" t="str">
        <f>VLOOKUP($A40,'Matriz POA 2024-TRABAJO'!$A$5:$CD$9142,34,FALSE)</f>
        <v>0000</v>
      </c>
      <c r="T40" s="12" t="str">
        <f>VLOOKUP($A40,'Matriz POA 2024-TRABAJO'!$A$5:$CD$9142,35,FALSE)</f>
        <v>0000</v>
      </c>
      <c r="U40" s="62">
        <f>VLOOKUP($A40,'Matriz POA 2024-TRABAJO'!$A$5:$CD$9142,66,FALSE)</f>
        <v>9000</v>
      </c>
      <c r="V40" s="62">
        <f>VLOOKUP($A40,'Matriz POA 2024-TRABAJO'!$A$5:$CD$9142,67,FALSE)</f>
        <v>-2597.83</v>
      </c>
      <c r="W40" s="62">
        <f>VLOOKUP($A40,'Matriz POA 2024-TRABAJO'!$A$5:$CD$9142,68,FALSE)</f>
        <v>0</v>
      </c>
      <c r="X40" s="62">
        <f>VLOOKUP($A40,'Matriz POA 2024-TRABAJO'!$A$5:$CD$9142,72,FALSE)</f>
        <v>5472.03</v>
      </c>
      <c r="Y40" s="388">
        <v>9000</v>
      </c>
      <c r="Z40" s="388">
        <v>0</v>
      </c>
      <c r="AA40" s="388">
        <v>9000</v>
      </c>
      <c r="AB40" s="389"/>
      <c r="AC40" s="389"/>
      <c r="AD40" s="13"/>
      <c r="AE40" s="13"/>
      <c r="AF40" s="13">
        <f t="shared" si="8"/>
        <v>9000</v>
      </c>
      <c r="AG40" s="13">
        <f t="shared" si="9"/>
        <v>0</v>
      </c>
      <c r="AH40" s="13">
        <f t="shared" si="13"/>
        <v>9000</v>
      </c>
      <c r="AI40" s="129">
        <v>0</v>
      </c>
      <c r="AJ40" s="129">
        <v>1000</v>
      </c>
      <c r="AK40" s="129">
        <v>1000</v>
      </c>
      <c r="AL40" s="129">
        <v>1000</v>
      </c>
      <c r="AM40" s="129">
        <v>1000</v>
      </c>
      <c r="AN40" s="129">
        <v>1000</v>
      </c>
      <c r="AO40" s="129">
        <v>1000</v>
      </c>
      <c r="AP40" s="129">
        <v>1000</v>
      </c>
      <c r="AQ40" s="129">
        <v>1000</v>
      </c>
      <c r="AR40" s="129">
        <v>1000</v>
      </c>
      <c r="AS40" s="129">
        <v>0</v>
      </c>
      <c r="AT40" s="129">
        <v>0</v>
      </c>
      <c r="AU40" s="129"/>
      <c r="AV40" s="13" t="b">
        <f t="shared" si="10"/>
        <v>1</v>
      </c>
      <c r="AW40" s="14"/>
      <c r="AX40" s="15"/>
      <c r="AY40" s="16"/>
      <c r="AZ40" s="15"/>
      <c r="BA40" s="16"/>
      <c r="BB40" s="17">
        <f t="shared" si="14"/>
        <v>0</v>
      </c>
      <c r="BC40" s="12"/>
      <c r="BD40" s="15"/>
      <c r="BE40" s="18"/>
      <c r="BF40" s="12"/>
      <c r="BG40" s="19" t="str">
        <f t="shared" si="15"/>
        <v>enero</v>
      </c>
      <c r="BH40" s="12" t="str">
        <f t="shared" si="11"/>
        <v>Corporación Ciudad Alfaro</v>
      </c>
      <c r="BI40" s="20" t="str">
        <f t="shared" si="12"/>
        <v>N/A</v>
      </c>
    </row>
    <row r="41" spans="1:61" ht="24.95" customHeight="1">
      <c r="A41" s="4">
        <v>454</v>
      </c>
      <c r="B41" s="12" t="str">
        <f>VLOOKUP($A41,'Matriz POA 2024-TRABAJO'!$A$5:$CD$9142,11,FALSE)</f>
        <v>Corporación Ciudad Alfaro</v>
      </c>
      <c r="C41" s="12" t="str">
        <f>VLOOKUP($A41,'Matriz POA 2024-TRABAJO'!$A$5:$CD$9142,14,FALSE)</f>
        <v>N/A</v>
      </c>
      <c r="D41" s="12" t="str">
        <f>VLOOKUP($A41,'Matriz POA 2024-TRABAJO'!$A$5:$CD$9142,15,FALSE)</f>
        <v>N/A</v>
      </c>
      <c r="E41" s="12" t="str">
        <f>VLOOKUP($A41,'Matriz POA 2024-TRABAJO'!$A$5:$CD$9142,18,FALSE)</f>
        <v>N/A</v>
      </c>
      <c r="F41" s="12" t="str">
        <f>VLOOKUP($A41,'Matriz POA 2024-TRABAJO'!$A$5:$CD$9142,20,FALSE)</f>
        <v>N/A</v>
      </c>
      <c r="G41" s="12" t="str">
        <f>VLOOKUP($A41,'Matriz POA 2024-TRABAJO'!$A$5:$CD$9142,21,FALSE)</f>
        <v>N/A</v>
      </c>
      <c r="H41" s="12" t="str">
        <f>VLOOKUP($A41,'Matriz POA 2024-TRABAJO'!$A$5:$CD$9142,22,FALSE)</f>
        <v>N/A</v>
      </c>
      <c r="I41" s="12" t="str">
        <f>VLOOKUP($A41,'Matriz POA 2024-TRABAJO'!$A$5:$CD$9142,23,FALSE)</f>
        <v>ARRASTRE</v>
      </c>
      <c r="J41" s="12" t="str">
        <f>VLOOKUP($A41,'Matriz POA 2024-TRABAJO'!$A$5:$CD$9142,24,FALSE)</f>
        <v>Pago Mensual del servicio de Agua Potable del mes de Diciembre del 2023 del Museo Centro Cultural de Manta</v>
      </c>
      <c r="K41" s="12" t="str">
        <f>VLOOKUP($A41,'Matriz POA 2024-TRABAJO'!$A$5:$CD$9142,25,FALSE)</f>
        <v>0035</v>
      </c>
      <c r="L41" s="12" t="str">
        <f>VLOOKUP($A41,'Matriz POA 2024-TRABAJO'!$A$5:$CD$9142,26,FALSE)</f>
        <v>80</v>
      </c>
      <c r="M41" s="12" t="str">
        <f>VLOOKUP($A41,'Matriz POA 2024-TRABAJO'!$A$5:$CD$9142,27,FALSE)</f>
        <v>000</v>
      </c>
      <c r="N41" s="12" t="str">
        <f>VLOOKUP($A41,'Matriz POA 2024-TRABAJO'!$A$5:$CD$9142,28,FALSE)</f>
        <v>002</v>
      </c>
      <c r="O41" s="12" t="str">
        <f>VLOOKUP($A41,'Matriz POA 2024-TRABAJO'!$A$5:$CD$9142,29,FALSE)</f>
        <v>53</v>
      </c>
      <c r="P41" s="12">
        <f>VLOOKUP($A41,'Matriz POA 2024-TRABAJO'!$A$5:$CD$9142,30,FALSE)</f>
        <v>530101</v>
      </c>
      <c r="Q41" s="12">
        <f>VLOOKUP($A41,'Matriz POA 2024-TRABAJO'!$A$5:$CD$9142,32,FALSE)</f>
        <v>1308</v>
      </c>
      <c r="R41" s="12" t="str">
        <f>VLOOKUP($A41,'Matriz POA 2024-TRABAJO'!$A$5:$CD$9142,33,FALSE)</f>
        <v>001</v>
      </c>
      <c r="S41" s="12" t="str">
        <f>VLOOKUP($A41,'Matriz POA 2024-TRABAJO'!$A$5:$CD$9142,34,FALSE)</f>
        <v>0000</v>
      </c>
      <c r="T41" s="12" t="str">
        <f>VLOOKUP($A41,'Matriz POA 2024-TRABAJO'!$A$5:$CD$9142,35,FALSE)</f>
        <v>0000</v>
      </c>
      <c r="U41" s="62">
        <f>VLOOKUP($A41,'Matriz POA 2024-TRABAJO'!$A$5:$CD$9142,66,FALSE)</f>
        <v>15</v>
      </c>
      <c r="V41" s="62">
        <f>VLOOKUP($A41,'Matriz POA 2024-TRABAJO'!$A$5:$CD$9142,67,FALSE)</f>
        <v>0</v>
      </c>
      <c r="W41" s="62">
        <f>VLOOKUP($A41,'Matriz POA 2024-TRABAJO'!$A$5:$CD$9142,68,FALSE)</f>
        <v>15</v>
      </c>
      <c r="X41" s="62">
        <f>VLOOKUP($A41,'Matriz POA 2024-TRABAJO'!$A$5:$CD$9142,72,FALSE)</f>
        <v>14.77</v>
      </c>
      <c r="Y41" s="388">
        <v>15</v>
      </c>
      <c r="Z41" s="388">
        <v>0</v>
      </c>
      <c r="AA41" s="388">
        <v>15</v>
      </c>
      <c r="AB41" s="389"/>
      <c r="AC41" s="389"/>
      <c r="AD41" s="13"/>
      <c r="AE41" s="13"/>
      <c r="AF41" s="13">
        <f t="shared" si="8"/>
        <v>15</v>
      </c>
      <c r="AG41" s="13">
        <f t="shared" si="9"/>
        <v>0</v>
      </c>
      <c r="AH41" s="13">
        <f t="shared" si="13"/>
        <v>15</v>
      </c>
      <c r="AI41" s="129">
        <v>0</v>
      </c>
      <c r="AJ41" s="129">
        <v>15</v>
      </c>
      <c r="AK41" s="129">
        <v>0</v>
      </c>
      <c r="AL41" s="129">
        <v>0</v>
      </c>
      <c r="AM41" s="129">
        <v>0</v>
      </c>
      <c r="AN41" s="129">
        <v>0</v>
      </c>
      <c r="AO41" s="129">
        <v>0</v>
      </c>
      <c r="AP41" s="129">
        <v>0</v>
      </c>
      <c r="AQ41" s="129">
        <v>0</v>
      </c>
      <c r="AR41" s="129">
        <v>0</v>
      </c>
      <c r="AS41" s="129">
        <v>0</v>
      </c>
      <c r="AT41" s="129">
        <v>0</v>
      </c>
      <c r="AU41" s="129"/>
      <c r="AV41" s="13" t="b">
        <f t="shared" si="10"/>
        <v>1</v>
      </c>
      <c r="AW41" s="14"/>
      <c r="AX41" s="15"/>
      <c r="AY41" s="16"/>
      <c r="AZ41" s="15"/>
      <c r="BA41" s="16"/>
      <c r="BB41" s="17">
        <f t="shared" si="14"/>
        <v>0</v>
      </c>
      <c r="BC41" s="12"/>
      <c r="BD41" s="15"/>
      <c r="BE41" s="18"/>
      <c r="BF41" s="12"/>
      <c r="BG41" s="19" t="str">
        <f t="shared" si="15"/>
        <v>enero</v>
      </c>
      <c r="BH41" s="12" t="str">
        <f t="shared" si="11"/>
        <v>Corporación Ciudad Alfaro</v>
      </c>
      <c r="BI41" s="20" t="str">
        <f t="shared" si="12"/>
        <v>N/A</v>
      </c>
    </row>
    <row r="42" spans="1:61" ht="24.95" customHeight="1">
      <c r="A42" s="4">
        <v>455</v>
      </c>
      <c r="B42" s="12" t="str">
        <f>VLOOKUP($A42,'Matriz POA 2024-TRABAJO'!$A$5:$CD$9142,11,FALSE)</f>
        <v>Corporación Ciudad Alfaro</v>
      </c>
      <c r="C42" s="12" t="str">
        <f>VLOOKUP($A42,'Matriz POA 2024-TRABAJO'!$A$5:$CD$9142,14,FALSE)</f>
        <v>N/A</v>
      </c>
      <c r="D42" s="12" t="str">
        <f>VLOOKUP($A42,'Matriz POA 2024-TRABAJO'!$A$5:$CD$9142,15,FALSE)</f>
        <v>N/A</v>
      </c>
      <c r="E42" s="12" t="str">
        <f>VLOOKUP($A42,'Matriz POA 2024-TRABAJO'!$A$5:$CD$9142,18,FALSE)</f>
        <v>N/A</v>
      </c>
      <c r="F42" s="12" t="str">
        <f>VLOOKUP($A42,'Matriz POA 2024-TRABAJO'!$A$5:$CD$9142,20,FALSE)</f>
        <v>N/A</v>
      </c>
      <c r="G42" s="12" t="str">
        <f>VLOOKUP($A42,'Matriz POA 2024-TRABAJO'!$A$5:$CD$9142,21,FALSE)</f>
        <v>N/A</v>
      </c>
      <c r="H42" s="12" t="str">
        <f>VLOOKUP($A42,'Matriz POA 2024-TRABAJO'!$A$5:$CD$9142,22,FALSE)</f>
        <v>N/A</v>
      </c>
      <c r="I42" s="12" t="str">
        <f>VLOOKUP($A42,'Matriz POA 2024-TRABAJO'!$A$5:$CD$9142,23,FALSE)</f>
        <v>NUEVA</v>
      </c>
      <c r="J42" s="12" t="str">
        <f>VLOOKUP($A42,'Matriz POA 2024-TRABAJO'!$A$5:$CD$9142,24,FALSE)</f>
        <v>Pago Mensual del servicio de Agua Potable del Museo Centro Cultural de Manta</v>
      </c>
      <c r="K42" s="12" t="str">
        <f>VLOOKUP($A42,'Matriz POA 2024-TRABAJO'!$A$5:$CD$9142,25,FALSE)</f>
        <v>0035</v>
      </c>
      <c r="L42" s="12" t="str">
        <f>VLOOKUP($A42,'Matriz POA 2024-TRABAJO'!$A$5:$CD$9142,26,FALSE)</f>
        <v>80</v>
      </c>
      <c r="M42" s="12" t="str">
        <f>VLOOKUP($A42,'Matriz POA 2024-TRABAJO'!$A$5:$CD$9142,27,FALSE)</f>
        <v>000</v>
      </c>
      <c r="N42" s="12" t="str">
        <f>VLOOKUP($A42,'Matriz POA 2024-TRABAJO'!$A$5:$CD$9142,28,FALSE)</f>
        <v>002</v>
      </c>
      <c r="O42" s="12" t="str">
        <f>VLOOKUP($A42,'Matriz POA 2024-TRABAJO'!$A$5:$CD$9142,29,FALSE)</f>
        <v>53</v>
      </c>
      <c r="P42" s="12">
        <f>VLOOKUP($A42,'Matriz POA 2024-TRABAJO'!$A$5:$CD$9142,30,FALSE)</f>
        <v>530101</v>
      </c>
      <c r="Q42" s="12">
        <f>VLOOKUP($A42,'Matriz POA 2024-TRABAJO'!$A$5:$CD$9142,32,FALSE)</f>
        <v>1308</v>
      </c>
      <c r="R42" s="12" t="str">
        <f>VLOOKUP($A42,'Matriz POA 2024-TRABAJO'!$A$5:$CD$9142,33,FALSE)</f>
        <v>001</v>
      </c>
      <c r="S42" s="12" t="str">
        <f>VLOOKUP($A42,'Matriz POA 2024-TRABAJO'!$A$5:$CD$9142,34,FALSE)</f>
        <v>0000</v>
      </c>
      <c r="T42" s="12" t="str">
        <f>VLOOKUP($A42,'Matriz POA 2024-TRABAJO'!$A$5:$CD$9142,35,FALSE)</f>
        <v>0000</v>
      </c>
      <c r="U42" s="62">
        <f>VLOOKUP($A42,'Matriz POA 2024-TRABAJO'!$A$5:$CD$9142,66,FALSE)</f>
        <v>135</v>
      </c>
      <c r="V42" s="62">
        <f>VLOOKUP($A42,'Matriz POA 2024-TRABAJO'!$A$5:$CD$9142,67,FALSE)</f>
        <v>0</v>
      </c>
      <c r="W42" s="62">
        <f>VLOOKUP($A42,'Matriz POA 2024-TRABAJO'!$A$5:$CD$9142,68,FALSE)</f>
        <v>135</v>
      </c>
      <c r="X42" s="62">
        <f>VLOOKUP($A42,'Matriz POA 2024-TRABAJO'!$A$5:$CD$9142,72,FALSE)</f>
        <v>86.21</v>
      </c>
      <c r="Y42" s="388">
        <v>135</v>
      </c>
      <c r="Z42" s="388">
        <v>0</v>
      </c>
      <c r="AA42" s="388">
        <v>135</v>
      </c>
      <c r="AB42" s="389"/>
      <c r="AC42" s="389"/>
      <c r="AD42" s="13"/>
      <c r="AE42" s="13"/>
      <c r="AF42" s="13">
        <f t="shared" si="8"/>
        <v>135</v>
      </c>
      <c r="AG42" s="13">
        <f t="shared" si="9"/>
        <v>0</v>
      </c>
      <c r="AH42" s="13">
        <f t="shared" si="13"/>
        <v>135</v>
      </c>
      <c r="AI42" s="129">
        <v>0</v>
      </c>
      <c r="AJ42" s="129">
        <v>15</v>
      </c>
      <c r="AK42" s="129">
        <v>15</v>
      </c>
      <c r="AL42" s="129">
        <v>15</v>
      </c>
      <c r="AM42" s="129">
        <v>15</v>
      </c>
      <c r="AN42" s="129">
        <v>15</v>
      </c>
      <c r="AO42" s="129">
        <v>15</v>
      </c>
      <c r="AP42" s="129">
        <v>15</v>
      </c>
      <c r="AQ42" s="129">
        <v>15</v>
      </c>
      <c r="AR42" s="129">
        <v>7.5</v>
      </c>
      <c r="AS42" s="129">
        <v>7.5</v>
      </c>
      <c r="AT42" s="129">
        <v>0</v>
      </c>
      <c r="AU42" s="129"/>
      <c r="AV42" s="13" t="b">
        <f t="shared" si="10"/>
        <v>1</v>
      </c>
      <c r="AW42" s="14"/>
      <c r="AX42" s="15"/>
      <c r="AY42" s="16"/>
      <c r="AZ42" s="15"/>
      <c r="BA42" s="16"/>
      <c r="BB42" s="17">
        <f t="shared" si="14"/>
        <v>0</v>
      </c>
      <c r="BC42" s="12"/>
      <c r="BD42" s="15"/>
      <c r="BE42" s="18"/>
      <c r="BF42" s="12"/>
      <c r="BG42" s="19" t="str">
        <f t="shared" si="15"/>
        <v>enero</v>
      </c>
      <c r="BH42" s="12" t="str">
        <f t="shared" si="11"/>
        <v>Corporación Ciudad Alfaro</v>
      </c>
      <c r="BI42" s="20" t="str">
        <f t="shared" si="12"/>
        <v>N/A</v>
      </c>
    </row>
    <row r="43" spans="1:61" ht="24.95" customHeight="1">
      <c r="A43" s="4">
        <v>456</v>
      </c>
      <c r="B43" s="12" t="str">
        <f>VLOOKUP($A43,'Matriz POA 2024-TRABAJO'!$A$5:$CD$9142,11,FALSE)</f>
        <v>Corporación Ciudad Alfaro</v>
      </c>
      <c r="C43" s="12" t="str">
        <f>VLOOKUP($A43,'Matriz POA 2024-TRABAJO'!$A$5:$CD$9142,14,FALSE)</f>
        <v>N/A</v>
      </c>
      <c r="D43" s="12" t="str">
        <f>VLOOKUP($A43,'Matriz POA 2024-TRABAJO'!$A$5:$CD$9142,15,FALSE)</f>
        <v>N/A</v>
      </c>
      <c r="E43" s="12" t="str">
        <f>VLOOKUP($A43,'Matriz POA 2024-TRABAJO'!$A$5:$CD$9142,18,FALSE)</f>
        <v>N/A</v>
      </c>
      <c r="F43" s="12" t="str">
        <f>VLOOKUP($A43,'Matriz POA 2024-TRABAJO'!$A$5:$CD$9142,20,FALSE)</f>
        <v>N/A</v>
      </c>
      <c r="G43" s="12" t="str">
        <f>VLOOKUP($A43,'Matriz POA 2024-TRABAJO'!$A$5:$CD$9142,21,FALSE)</f>
        <v>N/A</v>
      </c>
      <c r="H43" s="12" t="str">
        <f>VLOOKUP($A43,'Matriz POA 2024-TRABAJO'!$A$5:$CD$9142,22,FALSE)</f>
        <v>N/A</v>
      </c>
      <c r="I43" s="12" t="str">
        <f>VLOOKUP($A43,'Matriz POA 2024-TRABAJO'!$A$5:$CD$9142,23,FALSE)</f>
        <v>ARRASTRE</v>
      </c>
      <c r="J43" s="12" t="str">
        <f>VLOOKUP($A43,'Matriz POA 2024-TRABAJO'!$A$5:$CD$9142,24,FALSE)</f>
        <v>Pago mensual del servicio de energía eléctrica de los meses de Noviembre y Diciembre del 2023 del Museo y Centro Cultural de Manta</v>
      </c>
      <c r="K43" s="12" t="str">
        <f>VLOOKUP($A43,'Matriz POA 2024-TRABAJO'!$A$5:$CD$9142,25,FALSE)</f>
        <v>0035</v>
      </c>
      <c r="L43" s="12" t="str">
        <f>VLOOKUP($A43,'Matriz POA 2024-TRABAJO'!$A$5:$CD$9142,26,FALSE)</f>
        <v>80</v>
      </c>
      <c r="M43" s="12" t="str">
        <f>VLOOKUP($A43,'Matriz POA 2024-TRABAJO'!$A$5:$CD$9142,27,FALSE)</f>
        <v>000</v>
      </c>
      <c r="N43" s="12" t="str">
        <f>VLOOKUP($A43,'Matriz POA 2024-TRABAJO'!$A$5:$CD$9142,28,FALSE)</f>
        <v>002</v>
      </c>
      <c r="O43" s="12" t="str">
        <f>VLOOKUP($A43,'Matriz POA 2024-TRABAJO'!$A$5:$CD$9142,29,FALSE)</f>
        <v>53</v>
      </c>
      <c r="P43" s="12">
        <f>VLOOKUP($A43,'Matriz POA 2024-TRABAJO'!$A$5:$CD$9142,30,FALSE)</f>
        <v>530104</v>
      </c>
      <c r="Q43" s="12">
        <f>VLOOKUP($A43,'Matriz POA 2024-TRABAJO'!$A$5:$CD$9142,32,FALSE)</f>
        <v>1308</v>
      </c>
      <c r="R43" s="12" t="str">
        <f>VLOOKUP($A43,'Matriz POA 2024-TRABAJO'!$A$5:$CD$9142,33,FALSE)</f>
        <v>001</v>
      </c>
      <c r="S43" s="12" t="str">
        <f>VLOOKUP($A43,'Matriz POA 2024-TRABAJO'!$A$5:$CD$9142,34,FALSE)</f>
        <v>0000</v>
      </c>
      <c r="T43" s="12" t="str">
        <f>VLOOKUP($A43,'Matriz POA 2024-TRABAJO'!$A$5:$CD$9142,35,FALSE)</f>
        <v>0000</v>
      </c>
      <c r="U43" s="62">
        <f>VLOOKUP($A43,'Matriz POA 2024-TRABAJO'!$A$5:$CD$9142,66,FALSE)</f>
        <v>2941.33</v>
      </c>
      <c r="V43" s="62">
        <f>VLOOKUP($A43,'Matriz POA 2024-TRABAJO'!$A$5:$CD$9142,67,FALSE)</f>
        <v>0</v>
      </c>
      <c r="W43" s="62">
        <f>VLOOKUP($A43,'Matriz POA 2024-TRABAJO'!$A$5:$CD$9142,68,FALSE)</f>
        <v>1754.87</v>
      </c>
      <c r="X43" s="62">
        <f>VLOOKUP($A43,'Matriz POA 2024-TRABAJO'!$A$5:$CD$9142,72,FALSE)</f>
        <v>1186.46</v>
      </c>
      <c r="Y43" s="388">
        <v>2000</v>
      </c>
      <c r="Z43" s="388">
        <v>0</v>
      </c>
      <c r="AA43" s="388">
        <v>2000</v>
      </c>
      <c r="AB43" s="389"/>
      <c r="AC43" s="389"/>
      <c r="AD43" s="13"/>
      <c r="AE43" s="13"/>
      <c r="AF43" s="13">
        <f t="shared" si="8"/>
        <v>2000</v>
      </c>
      <c r="AG43" s="13">
        <f t="shared" si="9"/>
        <v>0</v>
      </c>
      <c r="AH43" s="13">
        <f t="shared" si="13"/>
        <v>2000</v>
      </c>
      <c r="AI43" s="129">
        <v>0</v>
      </c>
      <c r="AJ43" s="129">
        <v>2000</v>
      </c>
      <c r="AK43" s="129">
        <v>0</v>
      </c>
      <c r="AL43" s="129">
        <v>0</v>
      </c>
      <c r="AM43" s="129">
        <v>0</v>
      </c>
      <c r="AN43" s="129">
        <v>0</v>
      </c>
      <c r="AO43" s="129">
        <v>0</v>
      </c>
      <c r="AP43" s="129">
        <v>0</v>
      </c>
      <c r="AQ43" s="129">
        <v>0</v>
      </c>
      <c r="AR43" s="129">
        <v>0</v>
      </c>
      <c r="AS43" s="129">
        <v>0</v>
      </c>
      <c r="AT43" s="129">
        <v>0</v>
      </c>
      <c r="AU43" s="129"/>
      <c r="AV43" s="13" t="b">
        <f t="shared" si="10"/>
        <v>1</v>
      </c>
      <c r="AW43" s="14"/>
      <c r="AX43" s="15"/>
      <c r="AY43" s="16"/>
      <c r="AZ43" s="15"/>
      <c r="BA43" s="16"/>
      <c r="BB43" s="17">
        <f t="shared" si="14"/>
        <v>0</v>
      </c>
      <c r="BC43" s="12"/>
      <c r="BD43" s="15"/>
      <c r="BE43" s="18"/>
      <c r="BF43" s="12"/>
      <c r="BG43" s="19" t="str">
        <f t="shared" si="15"/>
        <v>enero</v>
      </c>
      <c r="BH43" s="12" t="str">
        <f t="shared" si="11"/>
        <v>Corporación Ciudad Alfaro</v>
      </c>
      <c r="BI43" s="20" t="str">
        <f t="shared" si="12"/>
        <v>N/A</v>
      </c>
    </row>
    <row r="44" spans="1:61" ht="24.95" customHeight="1">
      <c r="A44" s="4">
        <v>457</v>
      </c>
      <c r="B44" s="12" t="str">
        <f>VLOOKUP($A44,'Matriz POA 2024-TRABAJO'!$A$5:$CD$9142,11,FALSE)</f>
        <v>Corporación Ciudad Alfaro</v>
      </c>
      <c r="C44" s="12" t="str">
        <f>VLOOKUP($A44,'Matriz POA 2024-TRABAJO'!$A$5:$CD$9142,14,FALSE)</f>
        <v>N/A</v>
      </c>
      <c r="D44" s="12" t="str">
        <f>VLOOKUP($A44,'Matriz POA 2024-TRABAJO'!$A$5:$CD$9142,15,FALSE)</f>
        <v>N/A</v>
      </c>
      <c r="E44" s="12" t="str">
        <f>VLOOKUP($A44,'Matriz POA 2024-TRABAJO'!$A$5:$CD$9142,18,FALSE)</f>
        <v>N/A</v>
      </c>
      <c r="F44" s="12" t="str">
        <f>VLOOKUP($A44,'Matriz POA 2024-TRABAJO'!$A$5:$CD$9142,20,FALSE)</f>
        <v>N/A</v>
      </c>
      <c r="G44" s="12" t="str">
        <f>VLOOKUP($A44,'Matriz POA 2024-TRABAJO'!$A$5:$CD$9142,21,FALSE)</f>
        <v>N/A</v>
      </c>
      <c r="H44" s="12" t="str">
        <f>VLOOKUP($A44,'Matriz POA 2024-TRABAJO'!$A$5:$CD$9142,22,FALSE)</f>
        <v>N/A</v>
      </c>
      <c r="I44" s="12" t="str">
        <f>VLOOKUP($A44,'Matriz POA 2024-TRABAJO'!$A$5:$CD$9142,23,FALSE)</f>
        <v>NUEVA</v>
      </c>
      <c r="J44" s="12" t="str">
        <f>VLOOKUP($A44,'Matriz POA 2024-TRABAJO'!$A$5:$CD$9142,24,FALSE)</f>
        <v>Pago mensual del servicio de energía eléctrica del Museo y Centro Cultural de Manta</v>
      </c>
      <c r="K44" s="12" t="str">
        <f>VLOOKUP($A44,'Matriz POA 2024-TRABAJO'!$A$5:$CD$9142,25,FALSE)</f>
        <v>0035</v>
      </c>
      <c r="L44" s="12" t="str">
        <f>VLOOKUP($A44,'Matriz POA 2024-TRABAJO'!$A$5:$CD$9142,26,FALSE)</f>
        <v>80</v>
      </c>
      <c r="M44" s="12" t="str">
        <f>VLOOKUP($A44,'Matriz POA 2024-TRABAJO'!$A$5:$CD$9142,27,FALSE)</f>
        <v>000</v>
      </c>
      <c r="N44" s="12" t="str">
        <f>VLOOKUP($A44,'Matriz POA 2024-TRABAJO'!$A$5:$CD$9142,28,FALSE)</f>
        <v>002</v>
      </c>
      <c r="O44" s="12" t="str">
        <f>VLOOKUP($A44,'Matriz POA 2024-TRABAJO'!$A$5:$CD$9142,29,FALSE)</f>
        <v>53</v>
      </c>
      <c r="P44" s="12">
        <f>VLOOKUP($A44,'Matriz POA 2024-TRABAJO'!$A$5:$CD$9142,30,FALSE)</f>
        <v>530104</v>
      </c>
      <c r="Q44" s="12">
        <f>VLOOKUP($A44,'Matriz POA 2024-TRABAJO'!$A$5:$CD$9142,32,FALSE)</f>
        <v>1308</v>
      </c>
      <c r="R44" s="12" t="str">
        <f>VLOOKUP($A44,'Matriz POA 2024-TRABAJO'!$A$5:$CD$9142,33,FALSE)</f>
        <v>001</v>
      </c>
      <c r="S44" s="12" t="str">
        <f>VLOOKUP($A44,'Matriz POA 2024-TRABAJO'!$A$5:$CD$9142,34,FALSE)</f>
        <v>0000</v>
      </c>
      <c r="T44" s="12" t="str">
        <f>VLOOKUP($A44,'Matriz POA 2024-TRABAJO'!$A$5:$CD$9142,35,FALSE)</f>
        <v>0000</v>
      </c>
      <c r="U44" s="62" t="str">
        <f>VLOOKUP($A44,'Matriz POA 2024-TRABAJO'!$A$5:$CD$9142,66,FALSE)</f>
        <v/>
      </c>
      <c r="V44" s="62" t="str">
        <f>VLOOKUP($A44,'Matriz POA 2024-TRABAJO'!$A$5:$CD$9142,67,FALSE)</f>
        <v/>
      </c>
      <c r="W44" s="62" t="str">
        <f>VLOOKUP($A44,'Matriz POA 2024-TRABAJO'!$A$5:$CD$9142,68,FALSE)</f>
        <v/>
      </c>
      <c r="X44" s="62" t="str">
        <f>VLOOKUP($A44,'Matriz POA 2024-TRABAJO'!$A$5:$CD$9142,72,FALSE)</f>
        <v/>
      </c>
      <c r="Y44" s="388">
        <v>40000</v>
      </c>
      <c r="Z44" s="388">
        <v>0</v>
      </c>
      <c r="AA44" s="388">
        <v>40000</v>
      </c>
      <c r="AB44" s="389"/>
      <c r="AC44" s="389"/>
      <c r="AD44" s="13"/>
      <c r="AE44" s="13"/>
      <c r="AF44" s="13">
        <f t="shared" si="8"/>
        <v>40000</v>
      </c>
      <c r="AG44" s="13">
        <f t="shared" si="9"/>
        <v>0</v>
      </c>
      <c r="AH44" s="13">
        <f t="shared" si="13"/>
        <v>40000</v>
      </c>
      <c r="AI44" s="129">
        <v>0</v>
      </c>
      <c r="AJ44" s="129">
        <v>1000</v>
      </c>
      <c r="AK44" s="129">
        <v>1000</v>
      </c>
      <c r="AL44" s="129">
        <v>1000</v>
      </c>
      <c r="AM44" s="129">
        <v>1000</v>
      </c>
      <c r="AN44" s="129">
        <v>1000</v>
      </c>
      <c r="AO44" s="129">
        <v>1000</v>
      </c>
      <c r="AP44" s="129">
        <v>1000</v>
      </c>
      <c r="AQ44" s="129">
        <v>1000</v>
      </c>
      <c r="AR44" s="129">
        <v>2000</v>
      </c>
      <c r="AS44" s="129">
        <v>2000</v>
      </c>
      <c r="AT44" s="129">
        <v>28000</v>
      </c>
      <c r="AU44" s="129"/>
      <c r="AV44" s="13" t="b">
        <f t="shared" si="10"/>
        <v>1</v>
      </c>
      <c r="AW44" s="14"/>
      <c r="AX44" s="15"/>
      <c r="AY44" s="16"/>
      <c r="AZ44" s="15"/>
      <c r="BA44" s="16"/>
      <c r="BB44" s="17">
        <f t="shared" si="14"/>
        <v>0</v>
      </c>
      <c r="BC44" s="12"/>
      <c r="BD44" s="15"/>
      <c r="BE44" s="18"/>
      <c r="BF44" s="12"/>
      <c r="BG44" s="19" t="str">
        <f t="shared" si="15"/>
        <v>enero</v>
      </c>
      <c r="BH44" s="12" t="str">
        <f t="shared" si="11"/>
        <v>Corporación Ciudad Alfaro</v>
      </c>
      <c r="BI44" s="20" t="str">
        <f t="shared" si="12"/>
        <v>N/A</v>
      </c>
    </row>
    <row r="45" spans="1:61" ht="24.95" customHeight="1">
      <c r="A45" s="4">
        <v>458</v>
      </c>
      <c r="B45" s="12" t="str">
        <f>VLOOKUP($A45,'Matriz POA 2024-TRABAJO'!$A$5:$CD$9142,11,FALSE)</f>
        <v>Corporación Ciudad Alfaro</v>
      </c>
      <c r="C45" s="12" t="str">
        <f>VLOOKUP($A45,'Matriz POA 2024-TRABAJO'!$A$5:$CD$9142,14,FALSE)</f>
        <v>N/A</v>
      </c>
      <c r="D45" s="12" t="str">
        <f>VLOOKUP($A45,'Matriz POA 2024-TRABAJO'!$A$5:$CD$9142,15,FALSE)</f>
        <v>N/A</v>
      </c>
      <c r="E45" s="12" t="str">
        <f>VLOOKUP($A45,'Matriz POA 2024-TRABAJO'!$A$5:$CD$9142,18,FALSE)</f>
        <v>N/A</v>
      </c>
      <c r="F45" s="12" t="str">
        <f>VLOOKUP($A45,'Matriz POA 2024-TRABAJO'!$A$5:$CD$9142,20,FALSE)</f>
        <v>N/A</v>
      </c>
      <c r="G45" s="12" t="str">
        <f>VLOOKUP($A45,'Matriz POA 2024-TRABAJO'!$A$5:$CD$9142,21,FALSE)</f>
        <v>N/A</v>
      </c>
      <c r="H45" s="12" t="str">
        <f>VLOOKUP($A45,'Matriz POA 2024-TRABAJO'!$A$5:$CD$9142,22,FALSE)</f>
        <v>N/A</v>
      </c>
      <c r="I45" s="12" t="str">
        <f>VLOOKUP($A45,'Matriz POA 2024-TRABAJO'!$A$5:$CD$9142,23,FALSE)</f>
        <v>NUEVA</v>
      </c>
      <c r="J45" s="12" t="str">
        <f>VLOOKUP($A45,'Matriz POA 2024-TRABAJO'!$A$5:$CD$9142,24,FALSE)</f>
        <v>Reintegro de gastos por peajes para los Servidores y Trabajadores de la Corporación Ciudad Alfaro y sus Sedes en comisión de servicios institucionales</v>
      </c>
      <c r="K45" s="12" t="str">
        <f>VLOOKUP($A45,'Matriz POA 2024-TRABAJO'!$A$5:$CD$9142,25,FALSE)</f>
        <v>0035</v>
      </c>
      <c r="L45" s="12" t="str">
        <f>VLOOKUP($A45,'Matriz POA 2024-TRABAJO'!$A$5:$CD$9142,26,FALSE)</f>
        <v>80</v>
      </c>
      <c r="M45" s="12" t="str">
        <f>VLOOKUP($A45,'Matriz POA 2024-TRABAJO'!$A$5:$CD$9142,27,FALSE)</f>
        <v>000</v>
      </c>
      <c r="N45" s="12" t="str">
        <f>VLOOKUP($A45,'Matriz POA 2024-TRABAJO'!$A$5:$CD$9142,28,FALSE)</f>
        <v>002</v>
      </c>
      <c r="O45" s="12" t="str">
        <f>VLOOKUP($A45,'Matriz POA 2024-TRABAJO'!$A$5:$CD$9142,29,FALSE)</f>
        <v>57</v>
      </c>
      <c r="P45" s="12">
        <f>VLOOKUP($A45,'Matriz POA 2024-TRABAJO'!$A$5:$CD$9142,30,FALSE)</f>
        <v>570102</v>
      </c>
      <c r="Q45" s="12">
        <f>VLOOKUP($A45,'Matriz POA 2024-TRABAJO'!$A$5:$CD$9142,32,FALSE)</f>
        <v>1309</v>
      </c>
      <c r="R45" s="12" t="str">
        <f>VLOOKUP($A45,'Matriz POA 2024-TRABAJO'!$A$5:$CD$9142,33,FALSE)</f>
        <v>001</v>
      </c>
      <c r="S45" s="12" t="str">
        <f>VLOOKUP($A45,'Matriz POA 2024-TRABAJO'!$A$5:$CD$9142,34,FALSE)</f>
        <v>0000</v>
      </c>
      <c r="T45" s="12" t="str">
        <f>VLOOKUP($A45,'Matriz POA 2024-TRABAJO'!$A$5:$CD$9142,35,FALSE)</f>
        <v>0000</v>
      </c>
      <c r="U45" s="62">
        <f>VLOOKUP($A45,'Matriz POA 2024-TRABAJO'!$A$5:$CD$9142,66,FALSE)</f>
        <v>150</v>
      </c>
      <c r="V45" s="62">
        <f>VLOOKUP($A45,'Matriz POA 2024-TRABAJO'!$A$5:$CD$9142,67,FALSE)</f>
        <v>0</v>
      </c>
      <c r="W45" s="62">
        <f>VLOOKUP($A45,'Matriz POA 2024-TRABAJO'!$A$5:$CD$9142,68,FALSE)</f>
        <v>150</v>
      </c>
      <c r="X45" s="62">
        <f>VLOOKUP($A45,'Matriz POA 2024-TRABAJO'!$A$5:$CD$9142,72,FALSE)</f>
        <v>27</v>
      </c>
      <c r="Y45" s="388">
        <v>150</v>
      </c>
      <c r="Z45" s="388">
        <v>0</v>
      </c>
      <c r="AA45" s="388">
        <v>150</v>
      </c>
      <c r="AB45" s="389"/>
      <c r="AC45" s="389"/>
      <c r="AD45" s="13"/>
      <c r="AE45" s="13"/>
      <c r="AF45" s="13">
        <f t="shared" si="8"/>
        <v>150</v>
      </c>
      <c r="AG45" s="13">
        <f t="shared" si="9"/>
        <v>0</v>
      </c>
      <c r="AH45" s="13">
        <f t="shared" si="13"/>
        <v>150</v>
      </c>
      <c r="AI45" s="129">
        <v>0</v>
      </c>
      <c r="AJ45" s="129">
        <v>0</v>
      </c>
      <c r="AK45" s="129">
        <v>0</v>
      </c>
      <c r="AL45" s="129">
        <v>50</v>
      </c>
      <c r="AM45" s="129">
        <v>0</v>
      </c>
      <c r="AN45" s="129">
        <v>0</v>
      </c>
      <c r="AO45" s="129">
        <v>50</v>
      </c>
      <c r="AP45" s="129">
        <v>0</v>
      </c>
      <c r="AQ45" s="129">
        <v>50</v>
      </c>
      <c r="AR45" s="129">
        <v>0</v>
      </c>
      <c r="AS45" s="129">
        <v>0</v>
      </c>
      <c r="AT45" s="129">
        <v>0</v>
      </c>
      <c r="AU45" s="129"/>
      <c r="AV45" s="13" t="b">
        <f t="shared" si="10"/>
        <v>1</v>
      </c>
      <c r="AW45" s="14"/>
      <c r="AX45" s="15"/>
      <c r="AY45" s="16"/>
      <c r="AZ45" s="15"/>
      <c r="BA45" s="16"/>
      <c r="BB45" s="17">
        <f t="shared" si="14"/>
        <v>0</v>
      </c>
      <c r="BC45" s="12"/>
      <c r="BD45" s="15"/>
      <c r="BE45" s="18"/>
      <c r="BF45" s="12"/>
      <c r="BG45" s="19" t="str">
        <f t="shared" si="15"/>
        <v>enero</v>
      </c>
      <c r="BH45" s="12" t="str">
        <f t="shared" si="11"/>
        <v>Corporación Ciudad Alfaro</v>
      </c>
      <c r="BI45" s="20" t="str">
        <f t="shared" si="12"/>
        <v>N/A</v>
      </c>
    </row>
    <row r="46" spans="1:61" ht="24.95" customHeight="1">
      <c r="A46" s="4">
        <v>459</v>
      </c>
      <c r="B46" s="12" t="str">
        <f>VLOOKUP($A46,'Matriz POA 2024-TRABAJO'!$A$5:$CD$9142,11,FALSE)</f>
        <v>Corporación Ciudad Alfaro</v>
      </c>
      <c r="C46" s="12" t="str">
        <f>VLOOKUP($A46,'Matriz POA 2024-TRABAJO'!$A$5:$CD$9142,14,FALSE)</f>
        <v>N/A</v>
      </c>
      <c r="D46" s="12" t="str">
        <f>VLOOKUP($A46,'Matriz POA 2024-TRABAJO'!$A$5:$CD$9142,15,FALSE)</f>
        <v>N/A</v>
      </c>
      <c r="E46" s="12" t="str">
        <f>VLOOKUP($A46,'Matriz POA 2024-TRABAJO'!$A$5:$CD$9142,18,FALSE)</f>
        <v>N/A</v>
      </c>
      <c r="F46" s="12" t="str">
        <f>VLOOKUP($A46,'Matriz POA 2024-TRABAJO'!$A$5:$CD$9142,20,FALSE)</f>
        <v>N/A</v>
      </c>
      <c r="G46" s="12" t="str">
        <f>VLOOKUP($A46,'Matriz POA 2024-TRABAJO'!$A$5:$CD$9142,21,FALSE)</f>
        <v>N/A</v>
      </c>
      <c r="H46" s="12" t="str">
        <f>VLOOKUP($A46,'Matriz POA 2024-TRABAJO'!$A$5:$CD$9142,22,FALSE)</f>
        <v>N/A</v>
      </c>
      <c r="I46" s="12" t="str">
        <f>VLOOKUP($A46,'Matriz POA 2024-TRABAJO'!$A$5:$CD$9142,23,FALSE)</f>
        <v>NUEVA</v>
      </c>
      <c r="J46" s="12" t="str">
        <f>VLOOKUP($A46,'Matriz POA 2024-TRABAJO'!$A$5:$CD$9142,24,FALSE)</f>
        <v>Contratación del servicio de rastreo satelital para los vehículos de la Corporación Ciudad Alfaro</v>
      </c>
      <c r="K46" s="12" t="str">
        <f>VLOOKUP($A46,'Matriz POA 2024-TRABAJO'!$A$5:$CD$9142,25,FALSE)</f>
        <v>0035</v>
      </c>
      <c r="L46" s="12" t="str">
        <f>VLOOKUP($A46,'Matriz POA 2024-TRABAJO'!$A$5:$CD$9142,26,FALSE)</f>
        <v>80</v>
      </c>
      <c r="M46" s="12" t="str">
        <f>VLOOKUP($A46,'Matriz POA 2024-TRABAJO'!$A$5:$CD$9142,27,FALSE)</f>
        <v>000</v>
      </c>
      <c r="N46" s="12" t="str">
        <f>VLOOKUP($A46,'Matriz POA 2024-TRABAJO'!$A$5:$CD$9142,28,FALSE)</f>
        <v>002</v>
      </c>
      <c r="O46" s="12" t="str">
        <f>VLOOKUP($A46,'Matriz POA 2024-TRABAJO'!$A$5:$CD$9142,29,FALSE)</f>
        <v>53</v>
      </c>
      <c r="P46" s="12">
        <f>VLOOKUP($A46,'Matriz POA 2024-TRABAJO'!$A$5:$CD$9142,30,FALSE)</f>
        <v>530105</v>
      </c>
      <c r="Q46" s="12">
        <f>VLOOKUP($A46,'Matriz POA 2024-TRABAJO'!$A$5:$CD$9142,32,FALSE)</f>
        <v>1309</v>
      </c>
      <c r="R46" s="12" t="str">
        <f>VLOOKUP($A46,'Matriz POA 2024-TRABAJO'!$A$5:$CD$9142,33,FALSE)</f>
        <v>001</v>
      </c>
      <c r="S46" s="12" t="str">
        <f>VLOOKUP($A46,'Matriz POA 2024-TRABAJO'!$A$5:$CD$9142,34,FALSE)</f>
        <v>0000</v>
      </c>
      <c r="T46" s="12" t="str">
        <f>VLOOKUP($A46,'Matriz POA 2024-TRABAJO'!$A$5:$CD$9142,35,FALSE)</f>
        <v>0000</v>
      </c>
      <c r="U46" s="62">
        <f>VLOOKUP($A46,'Matriz POA 2024-TRABAJO'!$A$5:$CD$9142,66,FALSE)</f>
        <v>1200</v>
      </c>
      <c r="V46" s="62">
        <f>VLOOKUP($A46,'Matriz POA 2024-TRABAJO'!$A$5:$CD$9142,67,FALSE)</f>
        <v>-480</v>
      </c>
      <c r="W46" s="62">
        <f>VLOOKUP($A46,'Matriz POA 2024-TRABAJO'!$A$5:$CD$9142,68,FALSE)</f>
        <v>0</v>
      </c>
      <c r="X46" s="62">
        <f>VLOOKUP($A46,'Matriz POA 2024-TRABAJO'!$A$5:$CD$9142,72,FALSE)</f>
        <v>720</v>
      </c>
      <c r="Y46" s="388">
        <v>1200</v>
      </c>
      <c r="Z46" s="388">
        <v>0</v>
      </c>
      <c r="AA46" s="388">
        <v>1200</v>
      </c>
      <c r="AB46" s="389"/>
      <c r="AC46" s="389"/>
      <c r="AD46" s="13"/>
      <c r="AE46" s="13"/>
      <c r="AF46" s="13">
        <f t="shared" si="8"/>
        <v>1200</v>
      </c>
      <c r="AG46" s="13">
        <f t="shared" si="9"/>
        <v>0</v>
      </c>
      <c r="AH46" s="13">
        <f t="shared" si="13"/>
        <v>1200</v>
      </c>
      <c r="AI46" s="129">
        <v>0</v>
      </c>
      <c r="AJ46" s="129">
        <v>1200</v>
      </c>
      <c r="AK46" s="129">
        <v>0</v>
      </c>
      <c r="AL46" s="129">
        <v>0</v>
      </c>
      <c r="AM46" s="129">
        <v>0</v>
      </c>
      <c r="AN46" s="129">
        <v>0</v>
      </c>
      <c r="AO46" s="129">
        <v>0</v>
      </c>
      <c r="AP46" s="129">
        <v>0</v>
      </c>
      <c r="AQ46" s="129">
        <v>0</v>
      </c>
      <c r="AR46" s="129">
        <v>0</v>
      </c>
      <c r="AS46" s="129">
        <v>0</v>
      </c>
      <c r="AT46" s="129">
        <v>0</v>
      </c>
      <c r="AU46" s="129"/>
      <c r="AV46" s="13" t="b">
        <f t="shared" si="10"/>
        <v>1</v>
      </c>
      <c r="AW46" s="14"/>
      <c r="AX46" s="15"/>
      <c r="AY46" s="16"/>
      <c r="AZ46" s="15"/>
      <c r="BA46" s="16"/>
      <c r="BB46" s="17">
        <f t="shared" si="14"/>
        <v>0</v>
      </c>
      <c r="BC46" s="12"/>
      <c r="BD46" s="15"/>
      <c r="BE46" s="18"/>
      <c r="BF46" s="12"/>
      <c r="BG46" s="19" t="str">
        <f t="shared" si="15"/>
        <v>enero</v>
      </c>
      <c r="BH46" s="12" t="str">
        <f t="shared" si="11"/>
        <v>Corporación Ciudad Alfaro</v>
      </c>
      <c r="BI46" s="20" t="str">
        <f t="shared" si="12"/>
        <v>N/A</v>
      </c>
    </row>
    <row r="47" spans="1:61" ht="24.95" customHeight="1">
      <c r="A47" s="4">
        <v>460</v>
      </c>
      <c r="B47" s="12" t="str">
        <f>VLOOKUP($A47,'Matriz POA 2024-TRABAJO'!$A$5:$CD$9142,11,FALSE)</f>
        <v>Corporación Ciudad Alfaro</v>
      </c>
      <c r="C47" s="12" t="str">
        <f>VLOOKUP($A47,'Matriz POA 2024-TRABAJO'!$A$5:$CD$9142,14,FALSE)</f>
        <v>N/A</v>
      </c>
      <c r="D47" s="12" t="str">
        <f>VLOOKUP($A47,'Matriz POA 2024-TRABAJO'!$A$5:$CD$9142,15,FALSE)</f>
        <v>N/A</v>
      </c>
      <c r="E47" s="12" t="str">
        <f>VLOOKUP($A47,'Matriz POA 2024-TRABAJO'!$A$5:$CD$9142,18,FALSE)</f>
        <v>N/A</v>
      </c>
      <c r="F47" s="12" t="str">
        <f>VLOOKUP($A47,'Matriz POA 2024-TRABAJO'!$A$5:$CD$9142,20,FALSE)</f>
        <v>N/A</v>
      </c>
      <c r="G47" s="12" t="str">
        <f>VLOOKUP($A47,'Matriz POA 2024-TRABAJO'!$A$5:$CD$9142,21,FALSE)</f>
        <v>N/A</v>
      </c>
      <c r="H47" s="12" t="str">
        <f>VLOOKUP($A47,'Matriz POA 2024-TRABAJO'!$A$5:$CD$9142,22,FALSE)</f>
        <v>N/A</v>
      </c>
      <c r="I47" s="12" t="str">
        <f>VLOOKUP($A47,'Matriz POA 2024-TRABAJO'!$A$5:$CD$9142,23,FALSE)</f>
        <v>NUEVA</v>
      </c>
      <c r="J47" s="12" t="str">
        <f>VLOOKUP($A47,'Matriz POA 2024-TRABAJO'!$A$5:$CD$9142,24,FALSE)</f>
        <v xml:space="preserve">Reintegro de gastos por trámite de tasas de contribución especial en la matriculación vehicular por rodaje cantonal </v>
      </c>
      <c r="K47" s="12" t="str">
        <f>VLOOKUP($A47,'Matriz POA 2024-TRABAJO'!$A$5:$CD$9142,25,FALSE)</f>
        <v>0035</v>
      </c>
      <c r="L47" s="12" t="str">
        <f>VLOOKUP($A47,'Matriz POA 2024-TRABAJO'!$A$5:$CD$9142,26,FALSE)</f>
        <v>80</v>
      </c>
      <c r="M47" s="12" t="str">
        <f>VLOOKUP($A47,'Matriz POA 2024-TRABAJO'!$A$5:$CD$9142,27,FALSE)</f>
        <v>000</v>
      </c>
      <c r="N47" s="12" t="str">
        <f>VLOOKUP($A47,'Matriz POA 2024-TRABAJO'!$A$5:$CD$9142,28,FALSE)</f>
        <v>002</v>
      </c>
      <c r="O47" s="12" t="str">
        <f>VLOOKUP($A47,'Matriz POA 2024-TRABAJO'!$A$5:$CD$9142,29,FALSE)</f>
        <v>57</v>
      </c>
      <c r="P47" s="12">
        <f>VLOOKUP($A47,'Matriz POA 2024-TRABAJO'!$A$5:$CD$9142,30,FALSE)</f>
        <v>570102</v>
      </c>
      <c r="Q47" s="12">
        <f>VLOOKUP($A47,'Matriz POA 2024-TRABAJO'!$A$5:$CD$9142,32,FALSE)</f>
        <v>1309</v>
      </c>
      <c r="R47" s="12" t="str">
        <f>VLOOKUP($A47,'Matriz POA 2024-TRABAJO'!$A$5:$CD$9142,33,FALSE)</f>
        <v>001</v>
      </c>
      <c r="S47" s="12" t="str">
        <f>VLOOKUP($A47,'Matriz POA 2024-TRABAJO'!$A$5:$CD$9142,34,FALSE)</f>
        <v>0000</v>
      </c>
      <c r="T47" s="12" t="str">
        <f>VLOOKUP($A47,'Matriz POA 2024-TRABAJO'!$A$5:$CD$9142,35,FALSE)</f>
        <v>0000</v>
      </c>
      <c r="U47" s="62">
        <f>VLOOKUP($A47,'Matriz POA 2024-TRABAJO'!$A$5:$CD$9142,66,FALSE)</f>
        <v>200</v>
      </c>
      <c r="V47" s="62">
        <f>VLOOKUP($A47,'Matriz POA 2024-TRABAJO'!$A$5:$CD$9142,67,FALSE)</f>
        <v>0</v>
      </c>
      <c r="W47" s="62">
        <f>VLOOKUP($A47,'Matriz POA 2024-TRABAJO'!$A$5:$CD$9142,68,FALSE)</f>
        <v>0</v>
      </c>
      <c r="X47" s="62" t="str">
        <f>VLOOKUP($A47,'Matriz POA 2024-TRABAJO'!$A$5:$CD$9142,72,FALSE)</f>
        <v/>
      </c>
      <c r="Y47" s="388">
        <v>200</v>
      </c>
      <c r="Z47" s="388">
        <v>0</v>
      </c>
      <c r="AA47" s="388">
        <v>200</v>
      </c>
      <c r="AB47" s="389"/>
      <c r="AC47" s="389"/>
      <c r="AD47" s="13"/>
      <c r="AE47" s="13"/>
      <c r="AF47" s="13">
        <f t="shared" si="8"/>
        <v>200</v>
      </c>
      <c r="AG47" s="13">
        <f t="shared" si="9"/>
        <v>0</v>
      </c>
      <c r="AH47" s="13">
        <f t="shared" si="13"/>
        <v>200</v>
      </c>
      <c r="AI47" s="129">
        <v>0</v>
      </c>
      <c r="AJ47" s="129">
        <v>200</v>
      </c>
      <c r="AK47" s="129">
        <v>0</v>
      </c>
      <c r="AL47" s="129">
        <v>0</v>
      </c>
      <c r="AM47" s="129">
        <v>0</v>
      </c>
      <c r="AN47" s="129">
        <v>0</v>
      </c>
      <c r="AO47" s="129">
        <v>0</v>
      </c>
      <c r="AP47" s="129">
        <v>0</v>
      </c>
      <c r="AQ47" s="129">
        <v>0</v>
      </c>
      <c r="AR47" s="129">
        <v>0</v>
      </c>
      <c r="AS47" s="129">
        <v>0</v>
      </c>
      <c r="AT47" s="129">
        <v>0</v>
      </c>
      <c r="AU47" s="129"/>
      <c r="AV47" s="13" t="b">
        <f t="shared" si="10"/>
        <v>1</v>
      </c>
      <c r="AW47" s="14"/>
      <c r="AX47" s="15"/>
      <c r="AY47" s="16"/>
      <c r="AZ47" s="15"/>
      <c r="BA47" s="16"/>
      <c r="BB47" s="17">
        <f t="shared" si="14"/>
        <v>0</v>
      </c>
      <c r="BC47" s="12"/>
      <c r="BD47" s="15"/>
      <c r="BE47" s="18"/>
      <c r="BF47" s="12"/>
      <c r="BG47" s="19" t="str">
        <f t="shared" si="15"/>
        <v>enero</v>
      </c>
      <c r="BH47" s="12" t="str">
        <f t="shared" si="11"/>
        <v>Corporación Ciudad Alfaro</v>
      </c>
      <c r="BI47" s="20" t="str">
        <f t="shared" si="12"/>
        <v>N/A</v>
      </c>
    </row>
    <row r="48" spans="1:61" ht="24.95" customHeight="1">
      <c r="A48" s="4">
        <v>461</v>
      </c>
      <c r="B48" s="12" t="str">
        <f>VLOOKUP($A48,'Matriz POA 2024-TRABAJO'!$A$5:$CD$9142,11,FALSE)</f>
        <v>Corporación Ciudad Alfaro</v>
      </c>
      <c r="C48" s="12" t="str">
        <f>VLOOKUP($A48,'Matriz POA 2024-TRABAJO'!$A$5:$CD$9142,14,FALSE)</f>
        <v>N/A</v>
      </c>
      <c r="D48" s="12" t="str">
        <f>VLOOKUP($A48,'Matriz POA 2024-TRABAJO'!$A$5:$CD$9142,15,FALSE)</f>
        <v>N/A</v>
      </c>
      <c r="E48" s="12" t="str">
        <f>VLOOKUP($A48,'Matriz POA 2024-TRABAJO'!$A$5:$CD$9142,18,FALSE)</f>
        <v>N/A</v>
      </c>
      <c r="F48" s="12" t="str">
        <f>VLOOKUP($A48,'Matriz POA 2024-TRABAJO'!$A$5:$CD$9142,20,FALSE)</f>
        <v>N/A</v>
      </c>
      <c r="G48" s="12" t="str">
        <f>VLOOKUP($A48,'Matriz POA 2024-TRABAJO'!$A$5:$CD$9142,21,FALSE)</f>
        <v>N/A</v>
      </c>
      <c r="H48" s="12" t="str">
        <f>VLOOKUP($A48,'Matriz POA 2024-TRABAJO'!$A$5:$CD$9142,22,FALSE)</f>
        <v>N/A</v>
      </c>
      <c r="I48" s="12" t="str">
        <f>VLOOKUP($A48,'Matriz POA 2024-TRABAJO'!$A$5:$CD$9142,23,FALSE)</f>
        <v>NUEVA</v>
      </c>
      <c r="J48" s="12" t="str">
        <f>VLOOKUP($A48,'Matriz POA 2024-TRABAJO'!$A$5:$CD$9142,24,FALSE)</f>
        <v>Pago de contribución especial por mejoramiento vial rural de los vehículos de la Corporación Ciudad Alfaro</v>
      </c>
      <c r="K48" s="12" t="str">
        <f>VLOOKUP($A48,'Matriz POA 2024-TRABAJO'!$A$5:$CD$9142,25,FALSE)</f>
        <v>0035</v>
      </c>
      <c r="L48" s="12" t="str">
        <f>VLOOKUP($A48,'Matriz POA 2024-TRABAJO'!$A$5:$CD$9142,26,FALSE)</f>
        <v>80</v>
      </c>
      <c r="M48" s="12" t="str">
        <f>VLOOKUP($A48,'Matriz POA 2024-TRABAJO'!$A$5:$CD$9142,27,FALSE)</f>
        <v>000</v>
      </c>
      <c r="N48" s="12" t="str">
        <f>VLOOKUP($A48,'Matriz POA 2024-TRABAJO'!$A$5:$CD$9142,28,FALSE)</f>
        <v>002</v>
      </c>
      <c r="O48" s="12" t="str">
        <f>VLOOKUP($A48,'Matriz POA 2024-TRABAJO'!$A$5:$CD$9142,29,FALSE)</f>
        <v>57</v>
      </c>
      <c r="P48" s="12">
        <f>VLOOKUP($A48,'Matriz POA 2024-TRABAJO'!$A$5:$CD$9142,30,FALSE)</f>
        <v>570102</v>
      </c>
      <c r="Q48" s="12">
        <f>VLOOKUP($A48,'Matriz POA 2024-TRABAJO'!$A$5:$CD$9142,32,FALSE)</f>
        <v>1309</v>
      </c>
      <c r="R48" s="12" t="str">
        <f>VLOOKUP($A48,'Matriz POA 2024-TRABAJO'!$A$5:$CD$9142,33,FALSE)</f>
        <v>001</v>
      </c>
      <c r="S48" s="12" t="str">
        <f>VLOOKUP($A48,'Matriz POA 2024-TRABAJO'!$A$5:$CD$9142,34,FALSE)</f>
        <v>0000</v>
      </c>
      <c r="T48" s="12" t="str">
        <f>VLOOKUP($A48,'Matriz POA 2024-TRABAJO'!$A$5:$CD$9142,35,FALSE)</f>
        <v>0000</v>
      </c>
      <c r="U48" s="62">
        <f>VLOOKUP($A48,'Matriz POA 2024-TRABAJO'!$A$5:$CD$9142,66,FALSE)</f>
        <v>65.16</v>
      </c>
      <c r="V48" s="62">
        <f>VLOOKUP($A48,'Matriz POA 2024-TRABAJO'!$A$5:$CD$9142,67,FALSE)</f>
        <v>0</v>
      </c>
      <c r="W48" s="62">
        <f>VLOOKUP($A48,'Matriz POA 2024-TRABAJO'!$A$5:$CD$9142,68,FALSE)</f>
        <v>0</v>
      </c>
      <c r="X48" s="62">
        <f>VLOOKUP($A48,'Matriz POA 2024-TRABAJO'!$A$5:$CD$9142,72,FALSE)</f>
        <v>65.16</v>
      </c>
      <c r="Y48" s="388">
        <v>250</v>
      </c>
      <c r="Z48" s="388">
        <v>0</v>
      </c>
      <c r="AA48" s="388">
        <v>250</v>
      </c>
      <c r="AB48" s="389"/>
      <c r="AC48" s="389"/>
      <c r="AD48" s="13"/>
      <c r="AE48" s="13"/>
      <c r="AF48" s="13">
        <f t="shared" si="8"/>
        <v>250</v>
      </c>
      <c r="AG48" s="13">
        <f t="shared" si="9"/>
        <v>0</v>
      </c>
      <c r="AH48" s="13">
        <f t="shared" si="13"/>
        <v>250</v>
      </c>
      <c r="AI48" s="129">
        <v>0</v>
      </c>
      <c r="AJ48" s="129">
        <v>250</v>
      </c>
      <c r="AK48" s="129">
        <v>0</v>
      </c>
      <c r="AL48" s="129">
        <v>0</v>
      </c>
      <c r="AM48" s="129">
        <v>0</v>
      </c>
      <c r="AN48" s="129">
        <v>0</v>
      </c>
      <c r="AO48" s="129">
        <v>0</v>
      </c>
      <c r="AP48" s="129">
        <v>0</v>
      </c>
      <c r="AQ48" s="129">
        <v>0</v>
      </c>
      <c r="AR48" s="129">
        <v>0</v>
      </c>
      <c r="AS48" s="129">
        <v>0</v>
      </c>
      <c r="AT48" s="129">
        <v>0</v>
      </c>
      <c r="AU48" s="129"/>
      <c r="AV48" s="13" t="b">
        <f t="shared" si="10"/>
        <v>1</v>
      </c>
      <c r="AW48" s="14"/>
      <c r="AX48" s="15"/>
      <c r="AY48" s="16"/>
      <c r="AZ48" s="15"/>
      <c r="BA48" s="16"/>
      <c r="BB48" s="17">
        <f t="shared" si="14"/>
        <v>0</v>
      </c>
      <c r="BC48" s="12"/>
      <c r="BD48" s="15"/>
      <c r="BE48" s="18"/>
      <c r="BF48" s="12"/>
      <c r="BG48" s="19" t="str">
        <f t="shared" si="15"/>
        <v>enero</v>
      </c>
      <c r="BH48" s="12" t="str">
        <f t="shared" si="11"/>
        <v>Corporación Ciudad Alfaro</v>
      </c>
      <c r="BI48" s="20" t="str">
        <f t="shared" si="12"/>
        <v>N/A</v>
      </c>
    </row>
    <row r="49" spans="1:61" ht="24.95" customHeight="1">
      <c r="A49" s="4">
        <v>462</v>
      </c>
      <c r="B49" s="12" t="str">
        <f>VLOOKUP($A49,'Matriz POA 2024-TRABAJO'!$A$5:$CD$9142,11,FALSE)</f>
        <v>Corporación Ciudad Alfaro</v>
      </c>
      <c r="C49" s="12" t="str">
        <f>VLOOKUP($A49,'Matriz POA 2024-TRABAJO'!$A$5:$CD$9142,14,FALSE)</f>
        <v>N/A</v>
      </c>
      <c r="D49" s="12" t="str">
        <f>VLOOKUP($A49,'Matriz POA 2024-TRABAJO'!$A$5:$CD$9142,15,FALSE)</f>
        <v>N/A</v>
      </c>
      <c r="E49" s="12" t="str">
        <f>VLOOKUP($A49,'Matriz POA 2024-TRABAJO'!$A$5:$CD$9142,18,FALSE)</f>
        <v>N/A</v>
      </c>
      <c r="F49" s="12" t="str">
        <f>VLOOKUP($A49,'Matriz POA 2024-TRABAJO'!$A$5:$CD$9142,20,FALSE)</f>
        <v>N/A</v>
      </c>
      <c r="G49" s="12" t="str">
        <f>VLOOKUP($A49,'Matriz POA 2024-TRABAJO'!$A$5:$CD$9142,21,FALSE)</f>
        <v>N/A</v>
      </c>
      <c r="H49" s="12" t="str">
        <f>VLOOKUP($A49,'Matriz POA 2024-TRABAJO'!$A$5:$CD$9142,22,FALSE)</f>
        <v>N/A</v>
      </c>
      <c r="I49" s="12" t="str">
        <f>VLOOKUP($A49,'Matriz POA 2024-TRABAJO'!$A$5:$CD$9142,23,FALSE)</f>
        <v>NUEVA</v>
      </c>
      <c r="J49" s="12" t="str">
        <f>VLOOKUP($A49,'Matriz POA 2024-TRABAJO'!$A$5:$CD$9142,24,FALSE)</f>
        <v>Pago de matriculación 2024 de los vehículos de la Corporación Ciudad Alfaro y sus sedes</v>
      </c>
      <c r="K49" s="12" t="str">
        <f>VLOOKUP($A49,'Matriz POA 2024-TRABAJO'!$A$5:$CD$9142,25,FALSE)</f>
        <v>0035</v>
      </c>
      <c r="L49" s="12" t="str">
        <f>VLOOKUP($A49,'Matriz POA 2024-TRABAJO'!$A$5:$CD$9142,26,FALSE)</f>
        <v>80</v>
      </c>
      <c r="M49" s="12" t="str">
        <f>VLOOKUP($A49,'Matriz POA 2024-TRABAJO'!$A$5:$CD$9142,27,FALSE)</f>
        <v>000</v>
      </c>
      <c r="N49" s="12" t="str">
        <f>VLOOKUP($A49,'Matriz POA 2024-TRABAJO'!$A$5:$CD$9142,28,FALSE)</f>
        <v>002</v>
      </c>
      <c r="O49" s="12" t="str">
        <f>VLOOKUP($A49,'Matriz POA 2024-TRABAJO'!$A$5:$CD$9142,29,FALSE)</f>
        <v>57</v>
      </c>
      <c r="P49" s="12">
        <f>VLOOKUP($A49,'Matriz POA 2024-TRABAJO'!$A$5:$CD$9142,30,FALSE)</f>
        <v>570102</v>
      </c>
      <c r="Q49" s="12">
        <f>VLOOKUP($A49,'Matriz POA 2024-TRABAJO'!$A$5:$CD$9142,32,FALSE)</f>
        <v>1309</v>
      </c>
      <c r="R49" s="12" t="str">
        <f>VLOOKUP($A49,'Matriz POA 2024-TRABAJO'!$A$5:$CD$9142,33,FALSE)</f>
        <v>001</v>
      </c>
      <c r="S49" s="12" t="str">
        <f>VLOOKUP($A49,'Matriz POA 2024-TRABAJO'!$A$5:$CD$9142,34,FALSE)</f>
        <v>0000</v>
      </c>
      <c r="T49" s="12" t="str">
        <f>VLOOKUP($A49,'Matriz POA 2024-TRABAJO'!$A$5:$CD$9142,35,FALSE)</f>
        <v>0000</v>
      </c>
      <c r="U49" s="62">
        <f>VLOOKUP($A49,'Matriz POA 2024-TRABAJO'!$A$5:$CD$9142,66,FALSE)</f>
        <v>622.08000000000004</v>
      </c>
      <c r="V49" s="62">
        <f>VLOOKUP($A49,'Matriz POA 2024-TRABAJO'!$A$5:$CD$9142,67,FALSE)</f>
        <v>0</v>
      </c>
      <c r="W49" s="62">
        <f>VLOOKUP($A49,'Matriz POA 2024-TRABAJO'!$A$5:$CD$9142,68,FALSE)</f>
        <v>0</v>
      </c>
      <c r="X49" s="62">
        <f>VLOOKUP($A49,'Matriz POA 2024-TRABAJO'!$A$5:$CD$9142,72,FALSE)</f>
        <v>622.08000000000004</v>
      </c>
      <c r="Y49" s="388">
        <v>800</v>
      </c>
      <c r="Z49" s="388">
        <v>0</v>
      </c>
      <c r="AA49" s="388">
        <v>800</v>
      </c>
      <c r="AB49" s="389"/>
      <c r="AC49" s="389"/>
      <c r="AD49" s="13"/>
      <c r="AE49" s="13"/>
      <c r="AF49" s="13">
        <f t="shared" si="8"/>
        <v>800</v>
      </c>
      <c r="AG49" s="13">
        <f t="shared" si="9"/>
        <v>0</v>
      </c>
      <c r="AH49" s="13">
        <f t="shared" si="13"/>
        <v>800</v>
      </c>
      <c r="AI49" s="129">
        <v>0</v>
      </c>
      <c r="AJ49" s="129">
        <v>800</v>
      </c>
      <c r="AK49" s="129">
        <v>0</v>
      </c>
      <c r="AL49" s="129">
        <v>0</v>
      </c>
      <c r="AM49" s="129">
        <v>0</v>
      </c>
      <c r="AN49" s="129">
        <v>0</v>
      </c>
      <c r="AO49" s="129">
        <v>0</v>
      </c>
      <c r="AP49" s="129">
        <v>0</v>
      </c>
      <c r="AQ49" s="129">
        <v>0</v>
      </c>
      <c r="AR49" s="129">
        <v>0</v>
      </c>
      <c r="AS49" s="129">
        <v>0</v>
      </c>
      <c r="AT49" s="129">
        <v>0</v>
      </c>
      <c r="AU49" s="129"/>
      <c r="AV49" s="13" t="b">
        <f t="shared" si="10"/>
        <v>1</v>
      </c>
      <c r="AW49" s="14"/>
      <c r="AX49" s="15"/>
      <c r="AY49" s="16"/>
      <c r="AZ49" s="15"/>
      <c r="BA49" s="16"/>
      <c r="BB49" s="17">
        <f t="shared" si="14"/>
        <v>0</v>
      </c>
      <c r="BC49" s="12"/>
      <c r="BD49" s="15"/>
      <c r="BE49" s="18"/>
      <c r="BF49" s="12"/>
      <c r="BG49" s="19" t="str">
        <f t="shared" si="15"/>
        <v>enero</v>
      </c>
      <c r="BH49" s="12" t="str">
        <f t="shared" si="11"/>
        <v>Corporación Ciudad Alfaro</v>
      </c>
      <c r="BI49" s="20" t="str">
        <f t="shared" si="12"/>
        <v>N/A</v>
      </c>
    </row>
    <row r="50" spans="1:61" ht="24.95" customHeight="1">
      <c r="A50" s="4">
        <v>463</v>
      </c>
      <c r="B50" s="12" t="str">
        <f>VLOOKUP($A50,'Matriz POA 2024-TRABAJO'!$A$5:$CD$9142,11,FALSE)</f>
        <v>Corporación Ciudad Alfaro</v>
      </c>
      <c r="C50" s="12" t="str">
        <f>VLOOKUP($A50,'Matriz POA 2024-TRABAJO'!$A$5:$CD$9142,14,FALSE)</f>
        <v>N/A</v>
      </c>
      <c r="D50" s="12" t="str">
        <f>VLOOKUP($A50,'Matriz POA 2024-TRABAJO'!$A$5:$CD$9142,15,FALSE)</f>
        <v>N/A</v>
      </c>
      <c r="E50" s="12" t="str">
        <f>VLOOKUP($A50,'Matriz POA 2024-TRABAJO'!$A$5:$CD$9142,18,FALSE)</f>
        <v>N/A</v>
      </c>
      <c r="F50" s="12" t="str">
        <f>VLOOKUP($A50,'Matriz POA 2024-TRABAJO'!$A$5:$CD$9142,20,FALSE)</f>
        <v>N/A</v>
      </c>
      <c r="G50" s="12" t="str">
        <f>VLOOKUP($A50,'Matriz POA 2024-TRABAJO'!$A$5:$CD$9142,21,FALSE)</f>
        <v>N/A</v>
      </c>
      <c r="H50" s="12" t="str">
        <f>VLOOKUP($A50,'Matriz POA 2024-TRABAJO'!$A$5:$CD$9142,22,FALSE)</f>
        <v>N/A</v>
      </c>
      <c r="I50" s="12" t="str">
        <f>VLOOKUP($A50,'Matriz POA 2024-TRABAJO'!$A$5:$CD$9142,23,FALSE)</f>
        <v>NUEVA</v>
      </c>
      <c r="J50" s="12" t="str">
        <f>VLOOKUP($A50,'Matriz POA 2024-TRABAJO'!$A$5:$CD$9142,24,FALSE)</f>
        <v>Pago de tasas y contribuciones a los predios urbanos y cuerpo de bomberos del Museo Bahía de Caráquez</v>
      </c>
      <c r="K50" s="12" t="str">
        <f>VLOOKUP($A50,'Matriz POA 2024-TRABAJO'!$A$5:$CD$9142,25,FALSE)</f>
        <v>0035</v>
      </c>
      <c r="L50" s="12" t="str">
        <f>VLOOKUP($A50,'Matriz POA 2024-TRABAJO'!$A$5:$CD$9142,26,FALSE)</f>
        <v>80</v>
      </c>
      <c r="M50" s="12" t="str">
        <f>VLOOKUP($A50,'Matriz POA 2024-TRABAJO'!$A$5:$CD$9142,27,FALSE)</f>
        <v>000</v>
      </c>
      <c r="N50" s="12" t="str">
        <f>VLOOKUP($A50,'Matriz POA 2024-TRABAJO'!$A$5:$CD$9142,28,FALSE)</f>
        <v>002</v>
      </c>
      <c r="O50" s="12" t="str">
        <f>VLOOKUP($A50,'Matriz POA 2024-TRABAJO'!$A$5:$CD$9142,29,FALSE)</f>
        <v>57</v>
      </c>
      <c r="P50" s="12">
        <f>VLOOKUP($A50,'Matriz POA 2024-TRABAJO'!$A$5:$CD$9142,30,FALSE)</f>
        <v>570102</v>
      </c>
      <c r="Q50" s="12">
        <f>VLOOKUP($A50,'Matriz POA 2024-TRABAJO'!$A$5:$CD$9142,32,FALSE)</f>
        <v>1314</v>
      </c>
      <c r="R50" s="12" t="str">
        <f>VLOOKUP($A50,'Matriz POA 2024-TRABAJO'!$A$5:$CD$9142,33,FALSE)</f>
        <v>001</v>
      </c>
      <c r="S50" s="12" t="str">
        <f>VLOOKUP($A50,'Matriz POA 2024-TRABAJO'!$A$5:$CD$9142,34,FALSE)</f>
        <v>0000</v>
      </c>
      <c r="T50" s="12" t="str">
        <f>VLOOKUP($A50,'Matriz POA 2024-TRABAJO'!$A$5:$CD$9142,35,FALSE)</f>
        <v>0000</v>
      </c>
      <c r="U50" s="62">
        <f>VLOOKUP($A50,'Matriz POA 2024-TRABAJO'!$A$5:$CD$9142,66,FALSE)</f>
        <v>2500</v>
      </c>
      <c r="V50" s="62">
        <f>VLOOKUP($A50,'Matriz POA 2024-TRABAJO'!$A$5:$CD$9142,67,FALSE)</f>
        <v>0</v>
      </c>
      <c r="W50" s="62">
        <f>VLOOKUP($A50,'Matriz POA 2024-TRABAJO'!$A$5:$CD$9142,68,FALSE)</f>
        <v>2500</v>
      </c>
      <c r="X50" s="62">
        <f>VLOOKUP($A50,'Matriz POA 2024-TRABAJO'!$A$5:$CD$9142,72,FALSE)</f>
        <v>1874.87</v>
      </c>
      <c r="Y50" s="388">
        <v>2500</v>
      </c>
      <c r="Z50" s="388">
        <v>0</v>
      </c>
      <c r="AA50" s="388">
        <v>2500</v>
      </c>
      <c r="AB50" s="389"/>
      <c r="AC50" s="389"/>
      <c r="AD50" s="13"/>
      <c r="AE50" s="13"/>
      <c r="AF50" s="13">
        <f t="shared" si="8"/>
        <v>2500</v>
      </c>
      <c r="AG50" s="13">
        <f t="shared" si="9"/>
        <v>0</v>
      </c>
      <c r="AH50" s="13">
        <f t="shared" si="13"/>
        <v>2500</v>
      </c>
      <c r="AI50" s="129">
        <v>0</v>
      </c>
      <c r="AJ50" s="129">
        <v>2500</v>
      </c>
      <c r="AK50" s="129">
        <v>0</v>
      </c>
      <c r="AL50" s="129">
        <v>0</v>
      </c>
      <c r="AM50" s="129">
        <v>0</v>
      </c>
      <c r="AN50" s="129">
        <v>0</v>
      </c>
      <c r="AO50" s="129">
        <v>0</v>
      </c>
      <c r="AP50" s="129">
        <v>0</v>
      </c>
      <c r="AQ50" s="129">
        <v>0</v>
      </c>
      <c r="AR50" s="129">
        <v>0</v>
      </c>
      <c r="AS50" s="129">
        <v>0</v>
      </c>
      <c r="AT50" s="129">
        <v>0</v>
      </c>
      <c r="AU50" s="129"/>
      <c r="AV50" s="13" t="b">
        <f t="shared" si="10"/>
        <v>1</v>
      </c>
      <c r="AW50" s="14"/>
      <c r="AX50" s="15"/>
      <c r="AY50" s="16"/>
      <c r="AZ50" s="15"/>
      <c r="BA50" s="16"/>
      <c r="BB50" s="17">
        <f t="shared" si="14"/>
        <v>0</v>
      </c>
      <c r="BC50" s="12"/>
      <c r="BD50" s="15"/>
      <c r="BE50" s="18"/>
      <c r="BF50" s="12"/>
      <c r="BG50" s="19" t="str">
        <f t="shared" si="15"/>
        <v>enero</v>
      </c>
      <c r="BH50" s="12" t="str">
        <f t="shared" si="11"/>
        <v>Corporación Ciudad Alfaro</v>
      </c>
      <c r="BI50" s="20" t="str">
        <f t="shared" si="12"/>
        <v>N/A</v>
      </c>
    </row>
    <row r="51" spans="1:61" ht="24.95" customHeight="1">
      <c r="A51" s="4">
        <v>464</v>
      </c>
      <c r="B51" s="12" t="str">
        <f>VLOOKUP($A51,'Matriz POA 2024-TRABAJO'!$A$5:$CD$9142,11,FALSE)</f>
        <v>Corporación Ciudad Alfaro</v>
      </c>
      <c r="C51" s="12" t="str">
        <f>VLOOKUP($A51,'Matriz POA 2024-TRABAJO'!$A$5:$CD$9142,14,FALSE)</f>
        <v>N/A</v>
      </c>
      <c r="D51" s="12" t="str">
        <f>VLOOKUP($A51,'Matriz POA 2024-TRABAJO'!$A$5:$CD$9142,15,FALSE)</f>
        <v>N/A</v>
      </c>
      <c r="E51" s="12" t="str">
        <f>VLOOKUP($A51,'Matriz POA 2024-TRABAJO'!$A$5:$CD$9142,18,FALSE)</f>
        <v>N/A</v>
      </c>
      <c r="F51" s="12" t="str">
        <f>VLOOKUP($A51,'Matriz POA 2024-TRABAJO'!$A$5:$CD$9142,20,FALSE)</f>
        <v>N/A</v>
      </c>
      <c r="G51" s="12" t="str">
        <f>VLOOKUP($A51,'Matriz POA 2024-TRABAJO'!$A$5:$CD$9142,21,FALSE)</f>
        <v>N/A</v>
      </c>
      <c r="H51" s="12" t="str">
        <f>VLOOKUP($A51,'Matriz POA 2024-TRABAJO'!$A$5:$CD$9142,22,FALSE)</f>
        <v>N/A</v>
      </c>
      <c r="I51" s="12" t="str">
        <f>VLOOKUP($A51,'Matriz POA 2024-TRABAJO'!$A$5:$CD$9142,23,FALSE)</f>
        <v>NUEVA</v>
      </c>
      <c r="J51" s="12" t="str">
        <f>VLOOKUP($A51,'Matriz POA 2024-TRABAJO'!$A$5:$CD$9142,24,FALSE)</f>
        <v>Pago de tasas y contribuciones a los predios urbanos y cuerpo de bomberos de la Corporación Ciudad Alfaro</v>
      </c>
      <c r="K51" s="12" t="str">
        <f>VLOOKUP($A51,'Matriz POA 2024-TRABAJO'!$A$5:$CD$9142,25,FALSE)</f>
        <v>0035</v>
      </c>
      <c r="L51" s="12" t="str">
        <f>VLOOKUP($A51,'Matriz POA 2024-TRABAJO'!$A$5:$CD$9142,26,FALSE)</f>
        <v>80</v>
      </c>
      <c r="M51" s="12" t="str">
        <f>VLOOKUP($A51,'Matriz POA 2024-TRABAJO'!$A$5:$CD$9142,27,FALSE)</f>
        <v>000</v>
      </c>
      <c r="N51" s="12" t="str">
        <f>VLOOKUP($A51,'Matriz POA 2024-TRABAJO'!$A$5:$CD$9142,28,FALSE)</f>
        <v>002</v>
      </c>
      <c r="O51" s="12" t="str">
        <f>VLOOKUP($A51,'Matriz POA 2024-TRABAJO'!$A$5:$CD$9142,29,FALSE)</f>
        <v>57</v>
      </c>
      <c r="P51" s="12">
        <f>VLOOKUP($A51,'Matriz POA 2024-TRABAJO'!$A$5:$CD$9142,30,FALSE)</f>
        <v>570102</v>
      </c>
      <c r="Q51" s="12">
        <f>VLOOKUP($A51,'Matriz POA 2024-TRABAJO'!$A$5:$CD$9142,32,FALSE)</f>
        <v>1309</v>
      </c>
      <c r="R51" s="12" t="str">
        <f>VLOOKUP($A51,'Matriz POA 2024-TRABAJO'!$A$5:$CD$9142,33,FALSE)</f>
        <v>001</v>
      </c>
      <c r="S51" s="12" t="str">
        <f>VLOOKUP($A51,'Matriz POA 2024-TRABAJO'!$A$5:$CD$9142,34,FALSE)</f>
        <v>0000</v>
      </c>
      <c r="T51" s="12" t="str">
        <f>VLOOKUP($A51,'Matriz POA 2024-TRABAJO'!$A$5:$CD$9142,35,FALSE)</f>
        <v>0000</v>
      </c>
      <c r="U51" s="62">
        <f>VLOOKUP($A51,'Matriz POA 2024-TRABAJO'!$A$5:$CD$9142,66,FALSE)</f>
        <v>3000</v>
      </c>
      <c r="V51" s="62">
        <f>VLOOKUP($A51,'Matriz POA 2024-TRABAJO'!$A$5:$CD$9142,67,FALSE)</f>
        <v>-2424.64</v>
      </c>
      <c r="W51" s="62">
        <f>VLOOKUP($A51,'Matriz POA 2024-TRABAJO'!$A$5:$CD$9142,68,FALSE)</f>
        <v>0</v>
      </c>
      <c r="X51" s="62">
        <f>VLOOKUP($A51,'Matriz POA 2024-TRABAJO'!$A$5:$CD$9142,72,FALSE)</f>
        <v>575.36</v>
      </c>
      <c r="Y51" s="388">
        <v>3000</v>
      </c>
      <c r="Z51" s="388">
        <v>0</v>
      </c>
      <c r="AA51" s="388">
        <v>3000</v>
      </c>
      <c r="AB51" s="389"/>
      <c r="AC51" s="389"/>
      <c r="AD51" s="13"/>
      <c r="AE51" s="13"/>
      <c r="AF51" s="13">
        <f t="shared" si="8"/>
        <v>3000</v>
      </c>
      <c r="AG51" s="13">
        <f t="shared" si="9"/>
        <v>0</v>
      </c>
      <c r="AH51" s="13">
        <f t="shared" si="13"/>
        <v>3000</v>
      </c>
      <c r="AI51" s="129">
        <v>0</v>
      </c>
      <c r="AJ51" s="129">
        <v>3000</v>
      </c>
      <c r="AK51" s="129">
        <v>0</v>
      </c>
      <c r="AL51" s="129">
        <v>0</v>
      </c>
      <c r="AM51" s="129">
        <v>0</v>
      </c>
      <c r="AN51" s="129">
        <v>0</v>
      </c>
      <c r="AO51" s="129">
        <v>0</v>
      </c>
      <c r="AP51" s="129">
        <v>0</v>
      </c>
      <c r="AQ51" s="129">
        <v>0</v>
      </c>
      <c r="AR51" s="129">
        <v>0</v>
      </c>
      <c r="AS51" s="129">
        <v>0</v>
      </c>
      <c r="AT51" s="129">
        <v>0</v>
      </c>
      <c r="AU51" s="129"/>
      <c r="AV51" s="13" t="b">
        <f t="shared" si="10"/>
        <v>1</v>
      </c>
      <c r="AW51" s="14"/>
      <c r="AX51" s="15"/>
      <c r="AY51" s="16"/>
      <c r="AZ51" s="15"/>
      <c r="BA51" s="16"/>
      <c r="BB51" s="17">
        <f t="shared" si="14"/>
        <v>0</v>
      </c>
      <c r="BC51" s="12"/>
      <c r="BD51" s="15"/>
      <c r="BE51" s="18"/>
      <c r="BF51" s="12"/>
      <c r="BG51" s="19" t="str">
        <f t="shared" si="15"/>
        <v>enero</v>
      </c>
      <c r="BH51" s="12" t="str">
        <f t="shared" si="11"/>
        <v>Corporación Ciudad Alfaro</v>
      </c>
      <c r="BI51" s="20" t="str">
        <f t="shared" si="12"/>
        <v>N/A</v>
      </c>
    </row>
    <row r="52" spans="1:61" ht="24.95" customHeight="1">
      <c r="A52" s="4">
        <v>465</v>
      </c>
      <c r="B52" s="12" t="str">
        <f>VLOOKUP($A52,'Matriz POA 2024-TRABAJO'!$A$5:$CD$9142,11,FALSE)</f>
        <v>Corporación Ciudad Alfaro</v>
      </c>
      <c r="C52" s="12" t="str">
        <f>VLOOKUP($A52,'Matriz POA 2024-TRABAJO'!$A$5:$CD$9142,14,FALSE)</f>
        <v>N/A</v>
      </c>
      <c r="D52" s="12" t="str">
        <f>VLOOKUP($A52,'Matriz POA 2024-TRABAJO'!$A$5:$CD$9142,15,FALSE)</f>
        <v>N/A</v>
      </c>
      <c r="E52" s="12" t="str">
        <f>VLOOKUP($A52,'Matriz POA 2024-TRABAJO'!$A$5:$CD$9142,18,FALSE)</f>
        <v>N/A</v>
      </c>
      <c r="F52" s="12" t="str">
        <f>VLOOKUP($A52,'Matriz POA 2024-TRABAJO'!$A$5:$CD$9142,20,FALSE)</f>
        <v>N/A</v>
      </c>
      <c r="G52" s="12" t="str">
        <f>VLOOKUP($A52,'Matriz POA 2024-TRABAJO'!$A$5:$CD$9142,21,FALSE)</f>
        <v>N/A</v>
      </c>
      <c r="H52" s="12" t="str">
        <f>VLOOKUP($A52,'Matriz POA 2024-TRABAJO'!$A$5:$CD$9142,22,FALSE)</f>
        <v>N/A</v>
      </c>
      <c r="I52" s="12" t="str">
        <f>VLOOKUP($A52,'Matriz POA 2024-TRABAJO'!$A$5:$CD$9142,23,FALSE)</f>
        <v>NUEVA</v>
      </c>
      <c r="J52" s="12" t="str">
        <f>VLOOKUP($A52,'Matriz POA 2024-TRABAJO'!$A$5:$CD$9142,24,FALSE)</f>
        <v>Pago de tasas y contribuciones a los predios urbanos y cuerpo de bomberos del Museo Portoviejo y Archivo Histórico</v>
      </c>
      <c r="K52" s="12" t="str">
        <f>VLOOKUP($A52,'Matriz POA 2024-TRABAJO'!$A$5:$CD$9142,25,FALSE)</f>
        <v>0035</v>
      </c>
      <c r="L52" s="12" t="str">
        <f>VLOOKUP($A52,'Matriz POA 2024-TRABAJO'!$A$5:$CD$9142,26,FALSE)</f>
        <v>80</v>
      </c>
      <c r="M52" s="12" t="str">
        <f>VLOOKUP($A52,'Matriz POA 2024-TRABAJO'!$A$5:$CD$9142,27,FALSE)</f>
        <v>000</v>
      </c>
      <c r="N52" s="12" t="str">
        <f>VLOOKUP($A52,'Matriz POA 2024-TRABAJO'!$A$5:$CD$9142,28,FALSE)</f>
        <v>002</v>
      </c>
      <c r="O52" s="12" t="str">
        <f>VLOOKUP($A52,'Matriz POA 2024-TRABAJO'!$A$5:$CD$9142,29,FALSE)</f>
        <v>57</v>
      </c>
      <c r="P52" s="12">
        <f>VLOOKUP($A52,'Matriz POA 2024-TRABAJO'!$A$5:$CD$9142,30,FALSE)</f>
        <v>570102</v>
      </c>
      <c r="Q52" s="12">
        <f>VLOOKUP($A52,'Matriz POA 2024-TRABAJO'!$A$5:$CD$9142,32,FALSE)</f>
        <v>1301</v>
      </c>
      <c r="R52" s="12" t="str">
        <f>VLOOKUP($A52,'Matriz POA 2024-TRABAJO'!$A$5:$CD$9142,33,FALSE)</f>
        <v>001</v>
      </c>
      <c r="S52" s="12" t="str">
        <f>VLOOKUP($A52,'Matriz POA 2024-TRABAJO'!$A$5:$CD$9142,34,FALSE)</f>
        <v>0000</v>
      </c>
      <c r="T52" s="12" t="str">
        <f>VLOOKUP($A52,'Matriz POA 2024-TRABAJO'!$A$5:$CD$9142,35,FALSE)</f>
        <v>0000</v>
      </c>
      <c r="U52" s="62">
        <f>VLOOKUP($A52,'Matriz POA 2024-TRABAJO'!$A$5:$CD$9142,66,FALSE)</f>
        <v>1407.92</v>
      </c>
      <c r="V52" s="62">
        <f>VLOOKUP($A52,'Matriz POA 2024-TRABAJO'!$A$5:$CD$9142,67,FALSE)</f>
        <v>0</v>
      </c>
      <c r="W52" s="62">
        <f>VLOOKUP($A52,'Matriz POA 2024-TRABAJO'!$A$5:$CD$9142,68,FALSE)</f>
        <v>0</v>
      </c>
      <c r="X52" s="62">
        <f>VLOOKUP($A52,'Matriz POA 2024-TRABAJO'!$A$5:$CD$9142,72,FALSE)</f>
        <v>1407.92</v>
      </c>
      <c r="Y52" s="388">
        <v>1700</v>
      </c>
      <c r="Z52" s="388">
        <v>0</v>
      </c>
      <c r="AA52" s="388">
        <v>1700</v>
      </c>
      <c r="AB52" s="389"/>
      <c r="AC52" s="389"/>
      <c r="AD52" s="13"/>
      <c r="AE52" s="13"/>
      <c r="AF52" s="13">
        <f t="shared" si="8"/>
        <v>1700</v>
      </c>
      <c r="AG52" s="13">
        <f t="shared" si="9"/>
        <v>0</v>
      </c>
      <c r="AH52" s="13">
        <f t="shared" si="13"/>
        <v>1700</v>
      </c>
      <c r="AI52" s="129">
        <v>0</v>
      </c>
      <c r="AJ52" s="129">
        <v>1700</v>
      </c>
      <c r="AK52" s="129">
        <v>0</v>
      </c>
      <c r="AL52" s="129">
        <v>0</v>
      </c>
      <c r="AM52" s="129">
        <v>0</v>
      </c>
      <c r="AN52" s="129">
        <v>0</v>
      </c>
      <c r="AO52" s="129">
        <v>0</v>
      </c>
      <c r="AP52" s="129">
        <v>0</v>
      </c>
      <c r="AQ52" s="129">
        <v>0</v>
      </c>
      <c r="AR52" s="129">
        <v>0</v>
      </c>
      <c r="AS52" s="129">
        <v>0</v>
      </c>
      <c r="AT52" s="129">
        <v>0</v>
      </c>
      <c r="AU52" s="129"/>
      <c r="AV52" s="13" t="b">
        <f t="shared" si="10"/>
        <v>1</v>
      </c>
      <c r="AW52" s="14"/>
      <c r="AX52" s="15"/>
      <c r="AY52" s="16"/>
      <c r="AZ52" s="15"/>
      <c r="BA52" s="16"/>
      <c r="BB52" s="17">
        <f t="shared" si="14"/>
        <v>0</v>
      </c>
      <c r="BC52" s="12"/>
      <c r="BD52" s="15"/>
      <c r="BE52" s="18"/>
      <c r="BF52" s="12"/>
      <c r="BG52" s="19" t="str">
        <f t="shared" si="15"/>
        <v>enero</v>
      </c>
      <c r="BH52" s="12" t="str">
        <f t="shared" si="11"/>
        <v>Corporación Ciudad Alfaro</v>
      </c>
      <c r="BI52" s="20" t="str">
        <f t="shared" si="12"/>
        <v>N/A</v>
      </c>
    </row>
    <row r="53" spans="1:61" ht="24.95" customHeight="1">
      <c r="A53" s="4">
        <v>466</v>
      </c>
      <c r="B53" s="12" t="str">
        <f>VLOOKUP($A53,'Matriz POA 2024-TRABAJO'!$A$5:$CD$9142,11,FALSE)</f>
        <v>Corporación Ciudad Alfaro</v>
      </c>
      <c r="C53" s="12" t="str">
        <f>VLOOKUP($A53,'Matriz POA 2024-TRABAJO'!$A$5:$CD$9142,14,FALSE)</f>
        <v>N/A</v>
      </c>
      <c r="D53" s="12" t="str">
        <f>VLOOKUP($A53,'Matriz POA 2024-TRABAJO'!$A$5:$CD$9142,15,FALSE)</f>
        <v>N/A</v>
      </c>
      <c r="E53" s="12" t="str">
        <f>VLOOKUP($A53,'Matriz POA 2024-TRABAJO'!$A$5:$CD$9142,18,FALSE)</f>
        <v>N/A</v>
      </c>
      <c r="F53" s="12" t="str">
        <f>VLOOKUP($A53,'Matriz POA 2024-TRABAJO'!$A$5:$CD$9142,20,FALSE)</f>
        <v>N/A</v>
      </c>
      <c r="G53" s="12" t="str">
        <f>VLOOKUP($A53,'Matriz POA 2024-TRABAJO'!$A$5:$CD$9142,21,FALSE)</f>
        <v>N/A</v>
      </c>
      <c r="H53" s="12" t="str">
        <f>VLOOKUP($A53,'Matriz POA 2024-TRABAJO'!$A$5:$CD$9142,22,FALSE)</f>
        <v>N/A</v>
      </c>
      <c r="I53" s="12" t="str">
        <f>VLOOKUP($A53,'Matriz POA 2024-TRABAJO'!$A$5:$CD$9142,23,FALSE)</f>
        <v>NUEVA</v>
      </c>
      <c r="J53" s="12" t="str">
        <f>VLOOKUP($A53,'Matriz POA 2024-TRABAJO'!$A$5:$CD$9142,24,FALSE)</f>
        <v xml:space="preserve">Pago de impuesto predial 2023 del Museo Centro Cultural Manta </v>
      </c>
      <c r="K53" s="12" t="str">
        <f>VLOOKUP($A53,'Matriz POA 2024-TRABAJO'!$A$5:$CD$9142,25,FALSE)</f>
        <v>0035</v>
      </c>
      <c r="L53" s="12" t="str">
        <f>VLOOKUP($A53,'Matriz POA 2024-TRABAJO'!$A$5:$CD$9142,26,FALSE)</f>
        <v>80</v>
      </c>
      <c r="M53" s="12" t="str">
        <f>VLOOKUP($A53,'Matriz POA 2024-TRABAJO'!$A$5:$CD$9142,27,FALSE)</f>
        <v>000</v>
      </c>
      <c r="N53" s="12" t="str">
        <f>VLOOKUP($A53,'Matriz POA 2024-TRABAJO'!$A$5:$CD$9142,28,FALSE)</f>
        <v>002</v>
      </c>
      <c r="O53" s="12" t="str">
        <f>VLOOKUP($A53,'Matriz POA 2024-TRABAJO'!$A$5:$CD$9142,29,FALSE)</f>
        <v>57</v>
      </c>
      <c r="P53" s="12">
        <f>VLOOKUP($A53,'Matriz POA 2024-TRABAJO'!$A$5:$CD$9142,30,FALSE)</f>
        <v>570102</v>
      </c>
      <c r="Q53" s="12">
        <f>VLOOKUP($A53,'Matriz POA 2024-TRABAJO'!$A$5:$CD$9142,32,FALSE)</f>
        <v>1308</v>
      </c>
      <c r="R53" s="12" t="str">
        <f>VLOOKUP($A53,'Matriz POA 2024-TRABAJO'!$A$5:$CD$9142,33,FALSE)</f>
        <v>001</v>
      </c>
      <c r="S53" s="12" t="str">
        <f>VLOOKUP($A53,'Matriz POA 2024-TRABAJO'!$A$5:$CD$9142,34,FALSE)</f>
        <v>0000</v>
      </c>
      <c r="T53" s="12" t="str">
        <f>VLOOKUP($A53,'Matriz POA 2024-TRABAJO'!$A$5:$CD$9142,35,FALSE)</f>
        <v>0000</v>
      </c>
      <c r="U53" s="62" t="str">
        <f>VLOOKUP($A53,'Matriz POA 2024-TRABAJO'!$A$5:$CD$9142,66,FALSE)</f>
        <v/>
      </c>
      <c r="V53" s="62" t="str">
        <f>VLOOKUP($A53,'Matriz POA 2024-TRABAJO'!$A$5:$CD$9142,67,FALSE)</f>
        <v/>
      </c>
      <c r="W53" s="62" t="str">
        <f>VLOOKUP($A53,'Matriz POA 2024-TRABAJO'!$A$5:$CD$9142,68,FALSE)</f>
        <v/>
      </c>
      <c r="X53" s="62" t="str">
        <f>VLOOKUP($A53,'Matriz POA 2024-TRABAJO'!$A$5:$CD$9142,72,FALSE)</f>
        <v/>
      </c>
      <c r="Y53" s="388">
        <v>6000</v>
      </c>
      <c r="Z53" s="388">
        <v>0</v>
      </c>
      <c r="AA53" s="388">
        <v>6000</v>
      </c>
      <c r="AB53" s="389"/>
      <c r="AC53" s="389"/>
      <c r="AD53" s="13"/>
      <c r="AE53" s="13"/>
      <c r="AF53" s="13">
        <f t="shared" si="8"/>
        <v>6000</v>
      </c>
      <c r="AG53" s="13">
        <f t="shared" si="9"/>
        <v>0</v>
      </c>
      <c r="AH53" s="13">
        <f t="shared" si="13"/>
        <v>6000</v>
      </c>
      <c r="AI53" s="129">
        <v>0</v>
      </c>
      <c r="AJ53" s="129">
        <v>6000</v>
      </c>
      <c r="AK53" s="129">
        <v>0</v>
      </c>
      <c r="AL53" s="129">
        <v>0</v>
      </c>
      <c r="AM53" s="129">
        <v>0</v>
      </c>
      <c r="AN53" s="129">
        <v>0</v>
      </c>
      <c r="AO53" s="129">
        <v>0</v>
      </c>
      <c r="AP53" s="129">
        <v>0</v>
      </c>
      <c r="AQ53" s="129">
        <v>0</v>
      </c>
      <c r="AR53" s="129">
        <v>0</v>
      </c>
      <c r="AS53" s="129">
        <v>0</v>
      </c>
      <c r="AT53" s="129">
        <v>0</v>
      </c>
      <c r="AU53" s="129"/>
      <c r="AV53" s="13" t="b">
        <f t="shared" si="10"/>
        <v>1</v>
      </c>
      <c r="AW53" s="14"/>
      <c r="AX53" s="15"/>
      <c r="AY53" s="16"/>
      <c r="AZ53" s="15"/>
      <c r="BA53" s="16"/>
      <c r="BB53" s="17">
        <f t="shared" si="14"/>
        <v>0</v>
      </c>
      <c r="BC53" s="12"/>
      <c r="BD53" s="15"/>
      <c r="BE53" s="18"/>
      <c r="BF53" s="12"/>
      <c r="BG53" s="19" t="str">
        <f t="shared" si="15"/>
        <v>enero</v>
      </c>
      <c r="BH53" s="12" t="str">
        <f t="shared" si="11"/>
        <v>Corporación Ciudad Alfaro</v>
      </c>
      <c r="BI53" s="20" t="str">
        <f t="shared" si="12"/>
        <v>N/A</v>
      </c>
    </row>
    <row r="54" spans="1:61" ht="24.95" customHeight="1">
      <c r="A54" s="4">
        <v>467</v>
      </c>
      <c r="B54" s="12" t="str">
        <f>VLOOKUP($A54,'Matriz POA 2024-TRABAJO'!$A$5:$CD$9142,11,FALSE)</f>
        <v>Corporación Ciudad Alfaro</v>
      </c>
      <c r="C54" s="12" t="str">
        <f>VLOOKUP($A54,'Matriz POA 2024-TRABAJO'!$A$5:$CD$9142,14,FALSE)</f>
        <v>N/A</v>
      </c>
      <c r="D54" s="12" t="str">
        <f>VLOOKUP($A54,'Matriz POA 2024-TRABAJO'!$A$5:$CD$9142,15,FALSE)</f>
        <v>N/A</v>
      </c>
      <c r="E54" s="12" t="str">
        <f>VLOOKUP($A54,'Matriz POA 2024-TRABAJO'!$A$5:$CD$9142,18,FALSE)</f>
        <v>N/A</v>
      </c>
      <c r="F54" s="12" t="str">
        <f>VLOOKUP($A54,'Matriz POA 2024-TRABAJO'!$A$5:$CD$9142,20,FALSE)</f>
        <v>N/A</v>
      </c>
      <c r="G54" s="12" t="str">
        <f>VLOOKUP($A54,'Matriz POA 2024-TRABAJO'!$A$5:$CD$9142,21,FALSE)</f>
        <v>N/A</v>
      </c>
      <c r="H54" s="12" t="str">
        <f>VLOOKUP($A54,'Matriz POA 2024-TRABAJO'!$A$5:$CD$9142,22,FALSE)</f>
        <v>N/A</v>
      </c>
      <c r="I54" s="12" t="str">
        <f>VLOOKUP($A54,'Matriz POA 2024-TRABAJO'!$A$5:$CD$9142,23,FALSE)</f>
        <v>NUEVA</v>
      </c>
      <c r="J54" s="12" t="str">
        <f>VLOOKUP($A54,'Matriz POA 2024-TRABAJO'!$A$5:$CD$9142,24,FALSE)</f>
        <v>Contratación del servicio de combustible para  los vehículos de la Corporación Ciudad Alfaro</v>
      </c>
      <c r="K54" s="12" t="str">
        <f>VLOOKUP($A54,'Matriz POA 2024-TRABAJO'!$A$5:$CD$9142,25,FALSE)</f>
        <v>0035</v>
      </c>
      <c r="L54" s="12" t="str">
        <f>VLOOKUP($A54,'Matriz POA 2024-TRABAJO'!$A$5:$CD$9142,26,FALSE)</f>
        <v>80</v>
      </c>
      <c r="M54" s="12" t="str">
        <f>VLOOKUP($A54,'Matriz POA 2024-TRABAJO'!$A$5:$CD$9142,27,FALSE)</f>
        <v>000</v>
      </c>
      <c r="N54" s="12" t="str">
        <f>VLOOKUP($A54,'Matriz POA 2024-TRABAJO'!$A$5:$CD$9142,28,FALSE)</f>
        <v>002</v>
      </c>
      <c r="O54" s="12" t="str">
        <f>VLOOKUP($A54,'Matriz POA 2024-TRABAJO'!$A$5:$CD$9142,29,FALSE)</f>
        <v>53</v>
      </c>
      <c r="P54" s="12">
        <f>VLOOKUP($A54,'Matriz POA 2024-TRABAJO'!$A$5:$CD$9142,30,FALSE)</f>
        <v>530803</v>
      </c>
      <c r="Q54" s="12">
        <f>VLOOKUP($A54,'Matriz POA 2024-TRABAJO'!$A$5:$CD$9142,32,FALSE)</f>
        <v>1309</v>
      </c>
      <c r="R54" s="12" t="str">
        <f>VLOOKUP($A54,'Matriz POA 2024-TRABAJO'!$A$5:$CD$9142,33,FALSE)</f>
        <v>001</v>
      </c>
      <c r="S54" s="12" t="str">
        <f>VLOOKUP($A54,'Matriz POA 2024-TRABAJO'!$A$5:$CD$9142,34,FALSE)</f>
        <v>0000</v>
      </c>
      <c r="T54" s="12" t="str">
        <f>VLOOKUP($A54,'Matriz POA 2024-TRABAJO'!$A$5:$CD$9142,35,FALSE)</f>
        <v>0000</v>
      </c>
      <c r="U54" s="62" t="str">
        <f>VLOOKUP($A54,'Matriz POA 2024-TRABAJO'!$A$5:$CD$9142,66,FALSE)</f>
        <v/>
      </c>
      <c r="V54" s="62" t="str">
        <f>VLOOKUP($A54,'Matriz POA 2024-TRABAJO'!$A$5:$CD$9142,67,FALSE)</f>
        <v/>
      </c>
      <c r="W54" s="62" t="str">
        <f>VLOOKUP($A54,'Matriz POA 2024-TRABAJO'!$A$5:$CD$9142,68,FALSE)</f>
        <v/>
      </c>
      <c r="X54" s="62" t="str">
        <f>VLOOKUP($A54,'Matriz POA 2024-TRABAJO'!$A$5:$CD$9142,72,FALSE)</f>
        <v/>
      </c>
      <c r="Y54" s="388">
        <v>3533.2</v>
      </c>
      <c r="Z54" s="388">
        <v>0</v>
      </c>
      <c r="AA54" s="388">
        <v>3533.2</v>
      </c>
      <c r="AB54" s="389"/>
      <c r="AC54" s="389"/>
      <c r="AD54" s="13"/>
      <c r="AE54" s="13"/>
      <c r="AF54" s="13">
        <f t="shared" si="8"/>
        <v>3533.2</v>
      </c>
      <c r="AG54" s="13">
        <f t="shared" si="9"/>
        <v>0</v>
      </c>
      <c r="AH54" s="13">
        <f t="shared" si="13"/>
        <v>3533.2</v>
      </c>
      <c r="AI54" s="129">
        <v>0</v>
      </c>
      <c r="AJ54" s="129">
        <v>353.32</v>
      </c>
      <c r="AK54" s="129">
        <v>353.32</v>
      </c>
      <c r="AL54" s="129">
        <v>353.32</v>
      </c>
      <c r="AM54" s="129">
        <v>353.32</v>
      </c>
      <c r="AN54" s="129">
        <v>353.32</v>
      </c>
      <c r="AO54" s="129">
        <v>353.32</v>
      </c>
      <c r="AP54" s="129">
        <v>353.32</v>
      </c>
      <c r="AQ54" s="129">
        <v>353.32</v>
      </c>
      <c r="AR54" s="129">
        <v>353.32</v>
      </c>
      <c r="AS54" s="129">
        <v>353.32</v>
      </c>
      <c r="AT54" s="129">
        <v>0</v>
      </c>
      <c r="AU54" s="129"/>
      <c r="AV54" s="13" t="b">
        <f t="shared" si="10"/>
        <v>1</v>
      </c>
      <c r="AW54" s="14"/>
      <c r="AX54" s="15"/>
      <c r="AY54" s="16"/>
      <c r="AZ54" s="15"/>
      <c r="BA54" s="16"/>
      <c r="BB54" s="17">
        <f t="shared" si="14"/>
        <v>0</v>
      </c>
      <c r="BC54" s="12"/>
      <c r="BD54" s="15"/>
      <c r="BE54" s="18"/>
      <c r="BF54" s="12"/>
      <c r="BG54" s="19" t="str">
        <f t="shared" si="15"/>
        <v>enero</v>
      </c>
      <c r="BH54" s="12" t="str">
        <f t="shared" si="11"/>
        <v>Corporación Ciudad Alfaro</v>
      </c>
      <c r="BI54" s="20" t="str">
        <f t="shared" si="12"/>
        <v>N/A</v>
      </c>
    </row>
    <row r="55" spans="1:61" ht="24.95" customHeight="1">
      <c r="A55" s="4">
        <v>468</v>
      </c>
      <c r="B55" s="12" t="str">
        <f>VLOOKUP($A55,'Matriz POA 2024-TRABAJO'!$A$5:$CD$9142,11,FALSE)</f>
        <v>Corporación Ciudad Alfaro</v>
      </c>
      <c r="C55" s="12" t="str">
        <f>VLOOKUP($A55,'Matriz POA 2024-TRABAJO'!$A$5:$CD$9142,14,FALSE)</f>
        <v>N/A</v>
      </c>
      <c r="D55" s="12" t="str">
        <f>VLOOKUP($A55,'Matriz POA 2024-TRABAJO'!$A$5:$CD$9142,15,FALSE)</f>
        <v>N/A</v>
      </c>
      <c r="E55" s="12" t="str">
        <f>VLOOKUP($A55,'Matriz POA 2024-TRABAJO'!$A$5:$CD$9142,18,FALSE)</f>
        <v>N/A</v>
      </c>
      <c r="F55" s="12" t="str">
        <f>VLOOKUP($A55,'Matriz POA 2024-TRABAJO'!$A$5:$CD$9142,20,FALSE)</f>
        <v>N/A</v>
      </c>
      <c r="G55" s="12" t="str">
        <f>VLOOKUP($A55,'Matriz POA 2024-TRABAJO'!$A$5:$CD$9142,21,FALSE)</f>
        <v>N/A</v>
      </c>
      <c r="H55" s="12" t="str">
        <f>VLOOKUP($A55,'Matriz POA 2024-TRABAJO'!$A$5:$CD$9142,22,FALSE)</f>
        <v>N/A</v>
      </c>
      <c r="I55" s="12" t="str">
        <f>VLOOKUP($A55,'Matriz POA 2024-TRABAJO'!$A$5:$CD$9142,23,FALSE)</f>
        <v>NUEVA</v>
      </c>
      <c r="J55" s="12" t="str">
        <f>VLOOKUP($A55,'Matriz POA 2024-TRABAJO'!$A$5:$CD$9142,24,FALSE)</f>
        <v>Actualización y mantenimiento de sistemas informáticos</v>
      </c>
      <c r="K55" s="12" t="str">
        <f>VLOOKUP($A55,'Matriz POA 2024-TRABAJO'!$A$5:$CD$9142,25,FALSE)</f>
        <v>0035</v>
      </c>
      <c r="L55" s="12" t="str">
        <f>VLOOKUP($A55,'Matriz POA 2024-TRABAJO'!$A$5:$CD$9142,26,FALSE)</f>
        <v>80</v>
      </c>
      <c r="M55" s="12" t="str">
        <f>VLOOKUP($A55,'Matriz POA 2024-TRABAJO'!$A$5:$CD$9142,27,FALSE)</f>
        <v>000</v>
      </c>
      <c r="N55" s="12" t="str">
        <f>VLOOKUP($A55,'Matriz POA 2024-TRABAJO'!$A$5:$CD$9142,28,FALSE)</f>
        <v>002</v>
      </c>
      <c r="O55" s="12" t="str">
        <f>VLOOKUP($A55,'Matriz POA 2024-TRABAJO'!$A$5:$CD$9142,29,FALSE)</f>
        <v>53</v>
      </c>
      <c r="P55" s="12">
        <f>VLOOKUP($A55,'Matriz POA 2024-TRABAJO'!$A$5:$CD$9142,30,FALSE)</f>
        <v>530701</v>
      </c>
      <c r="Q55" s="12">
        <f>VLOOKUP($A55,'Matriz POA 2024-TRABAJO'!$A$5:$CD$9142,32,FALSE)</f>
        <v>1309</v>
      </c>
      <c r="R55" s="12" t="str">
        <f>VLOOKUP($A55,'Matriz POA 2024-TRABAJO'!$A$5:$CD$9142,33,FALSE)</f>
        <v>001</v>
      </c>
      <c r="S55" s="12" t="str">
        <f>VLOOKUP($A55,'Matriz POA 2024-TRABAJO'!$A$5:$CD$9142,34,FALSE)</f>
        <v>0000</v>
      </c>
      <c r="T55" s="12" t="str">
        <f>VLOOKUP($A55,'Matriz POA 2024-TRABAJO'!$A$5:$CD$9142,35,FALSE)</f>
        <v>0000</v>
      </c>
      <c r="U55" s="62" t="str">
        <f>VLOOKUP($A55,'Matriz POA 2024-TRABAJO'!$A$5:$CD$9142,66,FALSE)</f>
        <v/>
      </c>
      <c r="V55" s="62" t="str">
        <f>VLOOKUP($A55,'Matriz POA 2024-TRABAJO'!$A$5:$CD$9142,67,FALSE)</f>
        <v/>
      </c>
      <c r="W55" s="62" t="str">
        <f>VLOOKUP($A55,'Matriz POA 2024-TRABAJO'!$A$5:$CD$9142,68,FALSE)</f>
        <v/>
      </c>
      <c r="X55" s="62" t="str">
        <f>VLOOKUP($A55,'Matriz POA 2024-TRABAJO'!$A$5:$CD$9142,72,FALSE)</f>
        <v/>
      </c>
      <c r="Y55" s="388">
        <v>400</v>
      </c>
      <c r="Z55" s="388">
        <v>0</v>
      </c>
      <c r="AA55" s="388">
        <v>400</v>
      </c>
      <c r="AB55" s="389"/>
      <c r="AC55" s="389"/>
      <c r="AD55" s="13"/>
      <c r="AE55" s="13"/>
      <c r="AF55" s="13">
        <f t="shared" si="8"/>
        <v>400</v>
      </c>
      <c r="AG55" s="13">
        <f t="shared" si="9"/>
        <v>0</v>
      </c>
      <c r="AH55" s="13">
        <f t="shared" si="13"/>
        <v>400</v>
      </c>
      <c r="AI55" s="129">
        <v>0</v>
      </c>
      <c r="AJ55" s="129">
        <v>0</v>
      </c>
      <c r="AK55" s="129">
        <v>0</v>
      </c>
      <c r="AL55" s="129">
        <v>0</v>
      </c>
      <c r="AM55" s="129">
        <v>400</v>
      </c>
      <c r="AN55" s="129">
        <v>0</v>
      </c>
      <c r="AO55" s="129">
        <v>0</v>
      </c>
      <c r="AP55" s="129">
        <v>0</v>
      </c>
      <c r="AQ55" s="129">
        <v>0</v>
      </c>
      <c r="AR55" s="129">
        <v>0</v>
      </c>
      <c r="AS55" s="129">
        <v>0</v>
      </c>
      <c r="AT55" s="129">
        <v>0</v>
      </c>
      <c r="AU55" s="129"/>
      <c r="AV55" s="13" t="b">
        <f t="shared" si="10"/>
        <v>1</v>
      </c>
      <c r="AW55" s="14"/>
      <c r="AX55" s="15"/>
      <c r="AY55" s="16"/>
      <c r="AZ55" s="15"/>
      <c r="BA55" s="16"/>
      <c r="BB55" s="17">
        <f t="shared" si="14"/>
        <v>0</v>
      </c>
      <c r="BC55" s="12"/>
      <c r="BD55" s="15"/>
      <c r="BE55" s="18"/>
      <c r="BF55" s="12"/>
      <c r="BG55" s="19" t="str">
        <f t="shared" si="15"/>
        <v>enero</v>
      </c>
      <c r="BH55" s="12" t="str">
        <f t="shared" si="11"/>
        <v>Corporación Ciudad Alfaro</v>
      </c>
      <c r="BI55" s="20" t="str">
        <f t="shared" si="12"/>
        <v>N/A</v>
      </c>
    </row>
    <row r="56" spans="1:61" ht="24.95" customHeight="1">
      <c r="A56" s="4">
        <v>469</v>
      </c>
      <c r="B56" s="12" t="str">
        <f>VLOOKUP($A56,'Matriz POA 2024-TRABAJO'!$A$5:$CD$9142,11,FALSE)</f>
        <v>Corporación Ciudad Alfaro</v>
      </c>
      <c r="C56" s="12" t="str">
        <f>VLOOKUP($A56,'Matriz POA 2024-TRABAJO'!$A$5:$CD$9142,14,FALSE)</f>
        <v>N/A</v>
      </c>
      <c r="D56" s="12" t="str">
        <f>VLOOKUP($A56,'Matriz POA 2024-TRABAJO'!$A$5:$CD$9142,15,FALSE)</f>
        <v>N/A</v>
      </c>
      <c r="E56" s="12" t="str">
        <f>VLOOKUP($A56,'Matriz POA 2024-TRABAJO'!$A$5:$CD$9142,18,FALSE)</f>
        <v>N/A</v>
      </c>
      <c r="F56" s="12" t="str">
        <f>VLOOKUP($A56,'Matriz POA 2024-TRABAJO'!$A$5:$CD$9142,20,FALSE)</f>
        <v>N/A</v>
      </c>
      <c r="G56" s="12" t="str">
        <f>VLOOKUP($A56,'Matriz POA 2024-TRABAJO'!$A$5:$CD$9142,21,FALSE)</f>
        <v>N/A</v>
      </c>
      <c r="H56" s="12" t="str">
        <f>VLOOKUP($A56,'Matriz POA 2024-TRABAJO'!$A$5:$CD$9142,22,FALSE)</f>
        <v>N/A</v>
      </c>
      <c r="I56" s="12" t="str">
        <f>VLOOKUP($A56,'Matriz POA 2024-TRABAJO'!$A$5:$CD$9142,23,FALSE)</f>
        <v>NUEVA</v>
      </c>
      <c r="J56" s="12" t="str">
        <f>VLOOKUP($A56,'Matriz POA 2024-TRABAJO'!$A$5:$CD$9142,24,FALSE)</f>
        <v>Contratación del servicio de consultas legales en base de datos jurídicas en línea a través de la plataforma Sistema Web de
información jurídica</v>
      </c>
      <c r="K56" s="12" t="str">
        <f>VLOOKUP($A56,'Matriz POA 2024-TRABAJO'!$A$5:$CD$9142,25,FALSE)</f>
        <v>0035</v>
      </c>
      <c r="L56" s="12" t="str">
        <f>VLOOKUP($A56,'Matriz POA 2024-TRABAJO'!$A$5:$CD$9142,26,FALSE)</f>
        <v>80</v>
      </c>
      <c r="M56" s="12" t="str">
        <f>VLOOKUP($A56,'Matriz POA 2024-TRABAJO'!$A$5:$CD$9142,27,FALSE)</f>
        <v>000</v>
      </c>
      <c r="N56" s="12" t="str">
        <f>VLOOKUP($A56,'Matriz POA 2024-TRABAJO'!$A$5:$CD$9142,28,FALSE)</f>
        <v>002</v>
      </c>
      <c r="O56" s="12" t="str">
        <f>VLOOKUP($A56,'Matriz POA 2024-TRABAJO'!$A$5:$CD$9142,29,FALSE)</f>
        <v>53</v>
      </c>
      <c r="P56" s="12">
        <f>VLOOKUP($A56,'Matriz POA 2024-TRABAJO'!$A$5:$CD$9142,30,FALSE)</f>
        <v>530701</v>
      </c>
      <c r="Q56" s="12">
        <f>VLOOKUP($A56,'Matriz POA 2024-TRABAJO'!$A$5:$CD$9142,32,FALSE)</f>
        <v>1309</v>
      </c>
      <c r="R56" s="12" t="str">
        <f>VLOOKUP($A56,'Matriz POA 2024-TRABAJO'!$A$5:$CD$9142,33,FALSE)</f>
        <v>001</v>
      </c>
      <c r="S56" s="12" t="str">
        <f>VLOOKUP($A56,'Matriz POA 2024-TRABAJO'!$A$5:$CD$9142,34,FALSE)</f>
        <v>0000</v>
      </c>
      <c r="T56" s="12" t="str">
        <f>VLOOKUP($A56,'Matriz POA 2024-TRABAJO'!$A$5:$CD$9142,35,FALSE)</f>
        <v>0000</v>
      </c>
      <c r="U56" s="62">
        <f>VLOOKUP($A56,'Matriz POA 2024-TRABAJO'!$A$5:$CD$9142,66,FALSE)</f>
        <v>400</v>
      </c>
      <c r="V56" s="62">
        <f>VLOOKUP($A56,'Matriz POA 2024-TRABAJO'!$A$5:$CD$9142,67,FALSE)</f>
        <v>0</v>
      </c>
      <c r="W56" s="62">
        <f>VLOOKUP($A56,'Matriz POA 2024-TRABAJO'!$A$5:$CD$9142,68,FALSE)</f>
        <v>400</v>
      </c>
      <c r="X56" s="62" t="str">
        <f>VLOOKUP($A56,'Matriz POA 2024-TRABAJO'!$A$5:$CD$9142,72,FALSE)</f>
        <v/>
      </c>
      <c r="Y56" s="388">
        <v>400</v>
      </c>
      <c r="Z56" s="388">
        <v>0</v>
      </c>
      <c r="AA56" s="388">
        <v>400</v>
      </c>
      <c r="AB56" s="389"/>
      <c r="AC56" s="389"/>
      <c r="AD56" s="13"/>
      <c r="AE56" s="13"/>
      <c r="AF56" s="13">
        <f t="shared" si="8"/>
        <v>400</v>
      </c>
      <c r="AG56" s="13">
        <f t="shared" si="9"/>
        <v>0</v>
      </c>
      <c r="AH56" s="13">
        <f t="shared" si="13"/>
        <v>400</v>
      </c>
      <c r="AI56" s="129">
        <v>0</v>
      </c>
      <c r="AJ56" s="129">
        <v>0</v>
      </c>
      <c r="AK56" s="129">
        <v>0</v>
      </c>
      <c r="AL56" s="129">
        <v>0</v>
      </c>
      <c r="AM56" s="129">
        <v>0</v>
      </c>
      <c r="AN56" s="129">
        <v>0</v>
      </c>
      <c r="AO56" s="129">
        <v>400</v>
      </c>
      <c r="AP56" s="129">
        <v>0</v>
      </c>
      <c r="AQ56" s="129">
        <v>0</v>
      </c>
      <c r="AR56" s="129">
        <v>0</v>
      </c>
      <c r="AS56" s="129">
        <v>0</v>
      </c>
      <c r="AT56" s="129">
        <v>0</v>
      </c>
      <c r="AU56" s="129"/>
      <c r="AV56" s="13" t="b">
        <f t="shared" si="10"/>
        <v>1</v>
      </c>
      <c r="AW56" s="14"/>
      <c r="AX56" s="15"/>
      <c r="AY56" s="16"/>
      <c r="AZ56" s="15"/>
      <c r="BA56" s="16"/>
      <c r="BB56" s="17">
        <f t="shared" si="14"/>
        <v>0</v>
      </c>
      <c r="BC56" s="12"/>
      <c r="BD56" s="15"/>
      <c r="BE56" s="18"/>
      <c r="BF56" s="12"/>
      <c r="BG56" s="19" t="str">
        <f t="shared" si="15"/>
        <v>enero</v>
      </c>
      <c r="BH56" s="12" t="str">
        <f t="shared" si="11"/>
        <v>Corporación Ciudad Alfaro</v>
      </c>
      <c r="BI56" s="20" t="str">
        <f t="shared" si="12"/>
        <v>N/A</v>
      </c>
    </row>
    <row r="57" spans="1:61" ht="24.95" customHeight="1">
      <c r="A57" s="4">
        <v>470</v>
      </c>
      <c r="B57" s="12" t="str">
        <f>VLOOKUP($A57,'Matriz POA 2024-TRABAJO'!$A$5:$CD$9142,11,FALSE)</f>
        <v>Corporación Ciudad Alfaro</v>
      </c>
      <c r="C57" s="12" t="str">
        <f>VLOOKUP($A57,'Matriz POA 2024-TRABAJO'!$A$5:$CD$9142,14,FALSE)</f>
        <v>N/A</v>
      </c>
      <c r="D57" s="12" t="str">
        <f>VLOOKUP($A57,'Matriz POA 2024-TRABAJO'!$A$5:$CD$9142,15,FALSE)</f>
        <v>N/A</v>
      </c>
      <c r="E57" s="12" t="str">
        <f>VLOOKUP($A57,'Matriz POA 2024-TRABAJO'!$A$5:$CD$9142,18,FALSE)</f>
        <v>N/A</v>
      </c>
      <c r="F57" s="12" t="str">
        <f>VLOOKUP($A57,'Matriz POA 2024-TRABAJO'!$A$5:$CD$9142,20,FALSE)</f>
        <v>N/A</v>
      </c>
      <c r="G57" s="12" t="str">
        <f>VLOOKUP($A57,'Matriz POA 2024-TRABAJO'!$A$5:$CD$9142,21,FALSE)</f>
        <v>N/A</v>
      </c>
      <c r="H57" s="12" t="str">
        <f>VLOOKUP($A57,'Matriz POA 2024-TRABAJO'!$A$5:$CD$9142,22,FALSE)</f>
        <v>N/A</v>
      </c>
      <c r="I57" s="12" t="str">
        <f>VLOOKUP($A57,'Matriz POA 2024-TRABAJO'!$A$5:$CD$9142,23,FALSE)</f>
        <v>NUEVA</v>
      </c>
      <c r="J57" s="12" t="str">
        <f>VLOOKUP($A57,'Matriz POA 2024-TRABAJO'!$A$5:$CD$9142,24,FALSE)</f>
        <v>Renovación de dominio web y web hosting para www.ciudadalfaro.gob.ec</v>
      </c>
      <c r="K57" s="12" t="str">
        <f>VLOOKUP($A57,'Matriz POA 2024-TRABAJO'!$A$5:$CD$9142,25,FALSE)</f>
        <v>0035</v>
      </c>
      <c r="L57" s="12" t="str">
        <f>VLOOKUP($A57,'Matriz POA 2024-TRABAJO'!$A$5:$CD$9142,26,FALSE)</f>
        <v>80</v>
      </c>
      <c r="M57" s="12" t="str">
        <f>VLOOKUP($A57,'Matriz POA 2024-TRABAJO'!$A$5:$CD$9142,27,FALSE)</f>
        <v>000</v>
      </c>
      <c r="N57" s="12" t="str">
        <f>VLOOKUP($A57,'Matriz POA 2024-TRABAJO'!$A$5:$CD$9142,28,FALSE)</f>
        <v>002</v>
      </c>
      <c r="O57" s="12" t="str">
        <f>VLOOKUP($A57,'Matriz POA 2024-TRABAJO'!$A$5:$CD$9142,29,FALSE)</f>
        <v>53</v>
      </c>
      <c r="P57" s="12">
        <f>VLOOKUP($A57,'Matriz POA 2024-TRABAJO'!$A$5:$CD$9142,30,FALSE)</f>
        <v>530701</v>
      </c>
      <c r="Q57" s="12">
        <f>VLOOKUP($A57,'Matriz POA 2024-TRABAJO'!$A$5:$CD$9142,32,FALSE)</f>
        <v>1309</v>
      </c>
      <c r="R57" s="12" t="str">
        <f>VLOOKUP($A57,'Matriz POA 2024-TRABAJO'!$A$5:$CD$9142,33,FALSE)</f>
        <v>001</v>
      </c>
      <c r="S57" s="12" t="str">
        <f>VLOOKUP($A57,'Matriz POA 2024-TRABAJO'!$A$5:$CD$9142,34,FALSE)</f>
        <v>0000</v>
      </c>
      <c r="T57" s="12" t="str">
        <f>VLOOKUP($A57,'Matriz POA 2024-TRABAJO'!$A$5:$CD$9142,35,FALSE)</f>
        <v>0000</v>
      </c>
      <c r="U57" s="62">
        <f>VLOOKUP($A57,'Matriz POA 2024-TRABAJO'!$A$5:$CD$9142,66,FALSE)</f>
        <v>400</v>
      </c>
      <c r="V57" s="62">
        <f>VLOOKUP($A57,'Matriz POA 2024-TRABAJO'!$A$5:$CD$9142,67,FALSE)</f>
        <v>0</v>
      </c>
      <c r="W57" s="62">
        <f>VLOOKUP($A57,'Matriz POA 2024-TRABAJO'!$A$5:$CD$9142,68,FALSE)</f>
        <v>400</v>
      </c>
      <c r="X57" s="62" t="str">
        <f>VLOOKUP($A57,'Matriz POA 2024-TRABAJO'!$A$5:$CD$9142,72,FALSE)</f>
        <v/>
      </c>
      <c r="Y57" s="388">
        <v>400</v>
      </c>
      <c r="Z57" s="388">
        <v>0</v>
      </c>
      <c r="AA57" s="388">
        <v>400</v>
      </c>
      <c r="AB57" s="389"/>
      <c r="AC57" s="389"/>
      <c r="AD57" s="13"/>
      <c r="AE57" s="13"/>
      <c r="AF57" s="13">
        <f t="shared" si="8"/>
        <v>400</v>
      </c>
      <c r="AG57" s="13">
        <f t="shared" si="9"/>
        <v>0</v>
      </c>
      <c r="AH57" s="13">
        <f t="shared" si="13"/>
        <v>400</v>
      </c>
      <c r="AI57" s="129">
        <v>0</v>
      </c>
      <c r="AJ57" s="129">
        <v>0</v>
      </c>
      <c r="AK57" s="129">
        <v>0</v>
      </c>
      <c r="AL57" s="129">
        <v>0</v>
      </c>
      <c r="AM57" s="129">
        <v>0</v>
      </c>
      <c r="AN57" s="129">
        <v>0</v>
      </c>
      <c r="AO57" s="129">
        <v>0</v>
      </c>
      <c r="AP57" s="129">
        <v>0</v>
      </c>
      <c r="AQ57" s="129">
        <v>400</v>
      </c>
      <c r="AR57" s="129">
        <v>0</v>
      </c>
      <c r="AS57" s="129">
        <v>0</v>
      </c>
      <c r="AT57" s="129">
        <v>0</v>
      </c>
      <c r="AU57" s="129"/>
      <c r="AV57" s="13" t="b">
        <f t="shared" si="10"/>
        <v>1</v>
      </c>
      <c r="AW57" s="14"/>
      <c r="AX57" s="15"/>
      <c r="AY57" s="16"/>
      <c r="AZ57" s="15"/>
      <c r="BA57" s="16"/>
      <c r="BB57" s="17">
        <f t="shared" si="14"/>
        <v>0</v>
      </c>
      <c r="BC57" s="12"/>
      <c r="BD57" s="15"/>
      <c r="BE57" s="18"/>
      <c r="BF57" s="12"/>
      <c r="BG57" s="19" t="str">
        <f t="shared" si="15"/>
        <v>enero</v>
      </c>
      <c r="BH57" s="12" t="str">
        <f t="shared" si="11"/>
        <v>Corporación Ciudad Alfaro</v>
      </c>
      <c r="BI57" s="20" t="str">
        <f t="shared" si="12"/>
        <v>N/A</v>
      </c>
    </row>
    <row r="58" spans="1:61" ht="24.95" customHeight="1">
      <c r="A58" s="4">
        <v>471</v>
      </c>
      <c r="B58" s="12" t="str">
        <f>VLOOKUP($A58,'Matriz POA 2024-TRABAJO'!$A$5:$CD$9142,11,FALSE)</f>
        <v>Corporación Ciudad Alfaro</v>
      </c>
      <c r="C58" s="12" t="str">
        <f>VLOOKUP($A58,'Matriz POA 2024-TRABAJO'!$A$5:$CD$9142,14,FALSE)</f>
        <v>N/A</v>
      </c>
      <c r="D58" s="12" t="str">
        <f>VLOOKUP($A58,'Matriz POA 2024-TRABAJO'!$A$5:$CD$9142,15,FALSE)</f>
        <v>N/A</v>
      </c>
      <c r="E58" s="12" t="str">
        <f>VLOOKUP($A58,'Matriz POA 2024-TRABAJO'!$A$5:$CD$9142,18,FALSE)</f>
        <v>N/A</v>
      </c>
      <c r="F58" s="12" t="str">
        <f>VLOOKUP($A58,'Matriz POA 2024-TRABAJO'!$A$5:$CD$9142,20,FALSE)</f>
        <v>N/A</v>
      </c>
      <c r="G58" s="12" t="str">
        <f>VLOOKUP($A58,'Matriz POA 2024-TRABAJO'!$A$5:$CD$9142,21,FALSE)</f>
        <v>N/A</v>
      </c>
      <c r="H58" s="12" t="str">
        <f>VLOOKUP($A58,'Matriz POA 2024-TRABAJO'!$A$5:$CD$9142,22,FALSE)</f>
        <v>N/A</v>
      </c>
      <c r="I58" s="12" t="str">
        <f>VLOOKUP($A58,'Matriz POA 2024-TRABAJO'!$A$5:$CD$9142,23,FALSE)</f>
        <v>NUEVA</v>
      </c>
      <c r="J58" s="12" t="str">
        <f>VLOOKUP($A58,'Matriz POA 2024-TRABAJO'!$A$5:$CD$9142,24,FALSE)</f>
        <v>Instalación del sistema contra incendios para el Museo Bahía de Caráquez</v>
      </c>
      <c r="K58" s="12" t="str">
        <f>VLOOKUP($A58,'Matriz POA 2024-TRABAJO'!$A$5:$CD$9142,25,FALSE)</f>
        <v>0035</v>
      </c>
      <c r="L58" s="12" t="str">
        <f>VLOOKUP($A58,'Matriz POA 2024-TRABAJO'!$A$5:$CD$9142,26,FALSE)</f>
        <v>80</v>
      </c>
      <c r="M58" s="12" t="str">
        <f>VLOOKUP($A58,'Matriz POA 2024-TRABAJO'!$A$5:$CD$9142,27,FALSE)</f>
        <v>000</v>
      </c>
      <c r="N58" s="12" t="str">
        <f>VLOOKUP($A58,'Matriz POA 2024-TRABAJO'!$A$5:$CD$9142,28,FALSE)</f>
        <v>002</v>
      </c>
      <c r="O58" s="12" t="str">
        <f>VLOOKUP($A58,'Matriz POA 2024-TRABAJO'!$A$5:$CD$9142,29,FALSE)</f>
        <v>53</v>
      </c>
      <c r="P58" s="12">
        <f>VLOOKUP($A58,'Matriz POA 2024-TRABAJO'!$A$5:$CD$9142,30,FALSE)</f>
        <v>530402</v>
      </c>
      <c r="Q58" s="12">
        <f>VLOOKUP($A58,'Matriz POA 2024-TRABAJO'!$A$5:$CD$9142,32,FALSE)</f>
        <v>1314</v>
      </c>
      <c r="R58" s="12" t="str">
        <f>VLOOKUP($A58,'Matriz POA 2024-TRABAJO'!$A$5:$CD$9142,33,FALSE)</f>
        <v>001</v>
      </c>
      <c r="S58" s="12" t="str">
        <f>VLOOKUP($A58,'Matriz POA 2024-TRABAJO'!$A$5:$CD$9142,34,FALSE)</f>
        <v>0000</v>
      </c>
      <c r="T58" s="12" t="str">
        <f>VLOOKUP($A58,'Matriz POA 2024-TRABAJO'!$A$5:$CD$9142,35,FALSE)</f>
        <v>0000</v>
      </c>
      <c r="U58" s="62">
        <f>VLOOKUP($A58,'Matriz POA 2024-TRABAJO'!$A$5:$CD$9142,66,FALSE)</f>
        <v>0</v>
      </c>
      <c r="V58" s="62">
        <f>VLOOKUP($A58,'Matriz POA 2024-TRABAJO'!$A$5:$CD$9142,67,FALSE)</f>
        <v>0</v>
      </c>
      <c r="W58" s="62">
        <f>VLOOKUP($A58,'Matriz POA 2024-TRABAJO'!$A$5:$CD$9142,68,FALSE)</f>
        <v>0</v>
      </c>
      <c r="X58" s="62" t="str">
        <f>VLOOKUP($A58,'Matriz POA 2024-TRABAJO'!$A$5:$CD$9142,72,FALSE)</f>
        <v/>
      </c>
      <c r="Y58" s="388">
        <v>3600</v>
      </c>
      <c r="Z58" s="388">
        <v>0</v>
      </c>
      <c r="AA58" s="388">
        <v>3600</v>
      </c>
      <c r="AB58" s="389"/>
      <c r="AC58" s="389"/>
      <c r="AD58" s="13"/>
      <c r="AE58" s="13"/>
      <c r="AF58" s="13">
        <f t="shared" si="8"/>
        <v>3600</v>
      </c>
      <c r="AG58" s="13">
        <f t="shared" si="9"/>
        <v>0</v>
      </c>
      <c r="AH58" s="13">
        <f t="shared" si="13"/>
        <v>3600</v>
      </c>
      <c r="AI58" s="129">
        <v>0</v>
      </c>
      <c r="AJ58" s="129">
        <v>0</v>
      </c>
      <c r="AK58" s="129">
        <v>3600</v>
      </c>
      <c r="AL58" s="129">
        <v>0</v>
      </c>
      <c r="AM58" s="129">
        <v>0</v>
      </c>
      <c r="AN58" s="129">
        <v>0</v>
      </c>
      <c r="AO58" s="129">
        <v>0</v>
      </c>
      <c r="AP58" s="129">
        <v>0</v>
      </c>
      <c r="AQ58" s="129">
        <v>0</v>
      </c>
      <c r="AR58" s="129">
        <v>0</v>
      </c>
      <c r="AS58" s="129">
        <v>0</v>
      </c>
      <c r="AT58" s="129">
        <v>0</v>
      </c>
      <c r="AU58" s="129"/>
      <c r="AV58" s="13" t="b">
        <f t="shared" si="10"/>
        <v>1</v>
      </c>
      <c r="AW58" s="14"/>
      <c r="AX58" s="15"/>
      <c r="AY58" s="16"/>
      <c r="AZ58" s="15"/>
      <c r="BA58" s="16"/>
      <c r="BB58" s="17">
        <f t="shared" si="14"/>
        <v>0</v>
      </c>
      <c r="BC58" s="12"/>
      <c r="BD58" s="15"/>
      <c r="BE58" s="18"/>
      <c r="BF58" s="12"/>
      <c r="BG58" s="19" t="str">
        <f t="shared" si="15"/>
        <v>enero</v>
      </c>
      <c r="BH58" s="12" t="str">
        <f t="shared" si="11"/>
        <v>Corporación Ciudad Alfaro</v>
      </c>
      <c r="BI58" s="20" t="str">
        <f t="shared" si="12"/>
        <v>N/A</v>
      </c>
    </row>
    <row r="59" spans="1:61" ht="24.95" customHeight="1">
      <c r="A59" s="4">
        <v>472</v>
      </c>
      <c r="B59" s="12" t="str">
        <f>VLOOKUP($A59,'Matriz POA 2024-TRABAJO'!$A$5:$CD$9142,11,FALSE)</f>
        <v>Corporación Ciudad Alfaro</v>
      </c>
      <c r="C59" s="12" t="str">
        <f>VLOOKUP($A59,'Matriz POA 2024-TRABAJO'!$A$5:$CD$9142,14,FALSE)</f>
        <v>N/A</v>
      </c>
      <c r="D59" s="12" t="str">
        <f>VLOOKUP($A59,'Matriz POA 2024-TRABAJO'!$A$5:$CD$9142,15,FALSE)</f>
        <v>N/A</v>
      </c>
      <c r="E59" s="12" t="str">
        <f>VLOOKUP($A59,'Matriz POA 2024-TRABAJO'!$A$5:$CD$9142,18,FALSE)</f>
        <v>N/A</v>
      </c>
      <c r="F59" s="12" t="str">
        <f>VLOOKUP($A59,'Matriz POA 2024-TRABAJO'!$A$5:$CD$9142,20,FALSE)</f>
        <v>N/A</v>
      </c>
      <c r="G59" s="12" t="str">
        <f>VLOOKUP($A59,'Matriz POA 2024-TRABAJO'!$A$5:$CD$9142,21,FALSE)</f>
        <v>N/A</v>
      </c>
      <c r="H59" s="12" t="str">
        <f>VLOOKUP($A59,'Matriz POA 2024-TRABAJO'!$A$5:$CD$9142,22,FALSE)</f>
        <v>N/A</v>
      </c>
      <c r="I59" s="12" t="str">
        <f>VLOOKUP($A59,'Matriz POA 2024-TRABAJO'!$A$5:$CD$9142,23,FALSE)</f>
        <v>NUEVA</v>
      </c>
      <c r="J59" s="12" t="str">
        <f>VLOOKUP($A59,'Matriz POA 2024-TRABAJO'!$A$5:$CD$9142,24,FALSE)</f>
        <v>Pago de peaje para los vehículos de la Corporación Ciudad Alfaro</v>
      </c>
      <c r="K59" s="12" t="str">
        <f>VLOOKUP($A59,'Matriz POA 2024-TRABAJO'!$A$5:$CD$9142,25,FALSE)</f>
        <v>0035</v>
      </c>
      <c r="L59" s="12" t="str">
        <f>VLOOKUP($A59,'Matriz POA 2024-TRABAJO'!$A$5:$CD$9142,26,FALSE)</f>
        <v>80</v>
      </c>
      <c r="M59" s="12" t="str">
        <f>VLOOKUP($A59,'Matriz POA 2024-TRABAJO'!$A$5:$CD$9142,27,FALSE)</f>
        <v>000</v>
      </c>
      <c r="N59" s="12" t="str">
        <f>VLOOKUP($A59,'Matriz POA 2024-TRABAJO'!$A$5:$CD$9142,28,FALSE)</f>
        <v>002</v>
      </c>
      <c r="O59" s="12" t="str">
        <f>VLOOKUP($A59,'Matriz POA 2024-TRABAJO'!$A$5:$CD$9142,29,FALSE)</f>
        <v>57</v>
      </c>
      <c r="P59" s="12">
        <f>VLOOKUP($A59,'Matriz POA 2024-TRABAJO'!$A$5:$CD$9142,30,FALSE)</f>
        <v>570102</v>
      </c>
      <c r="Q59" s="12">
        <f>VLOOKUP($A59,'Matriz POA 2024-TRABAJO'!$A$5:$CD$9142,32,FALSE)</f>
        <v>1309</v>
      </c>
      <c r="R59" s="12" t="str">
        <f>VLOOKUP($A59,'Matriz POA 2024-TRABAJO'!$A$5:$CD$9142,33,FALSE)</f>
        <v>001</v>
      </c>
      <c r="S59" s="12" t="str">
        <f>VLOOKUP($A59,'Matriz POA 2024-TRABAJO'!$A$5:$CD$9142,34,FALSE)</f>
        <v>0000</v>
      </c>
      <c r="T59" s="12" t="str">
        <f>VLOOKUP($A59,'Matriz POA 2024-TRABAJO'!$A$5:$CD$9142,35,FALSE)</f>
        <v>0000</v>
      </c>
      <c r="U59" s="62">
        <f>VLOOKUP($A59,'Matriz POA 2024-TRABAJO'!$A$5:$CD$9142,66,FALSE)</f>
        <v>300</v>
      </c>
      <c r="V59" s="62">
        <f>VLOOKUP($A59,'Matriz POA 2024-TRABAJO'!$A$5:$CD$9142,67,FALSE)</f>
        <v>147.83000000000004</v>
      </c>
      <c r="W59" s="62">
        <f>VLOOKUP($A59,'Matriz POA 2024-TRABAJO'!$A$5:$CD$9142,68,FALSE)</f>
        <v>447.83000000000004</v>
      </c>
      <c r="X59" s="62">
        <f>VLOOKUP($A59,'Matriz POA 2024-TRABAJO'!$A$5:$CD$9142,72,FALSE)</f>
        <v>447.83000000000004</v>
      </c>
      <c r="Y59" s="388">
        <v>300</v>
      </c>
      <c r="Z59" s="388">
        <v>0</v>
      </c>
      <c r="AA59" s="388">
        <v>300</v>
      </c>
      <c r="AB59" s="389"/>
      <c r="AC59" s="389"/>
      <c r="AD59" s="13"/>
      <c r="AE59" s="13"/>
      <c r="AF59" s="13">
        <f t="shared" si="8"/>
        <v>300</v>
      </c>
      <c r="AG59" s="13">
        <f t="shared" si="9"/>
        <v>0</v>
      </c>
      <c r="AH59" s="13">
        <f t="shared" si="13"/>
        <v>300</v>
      </c>
      <c r="AI59" s="129">
        <v>0</v>
      </c>
      <c r="AJ59" s="129">
        <v>30</v>
      </c>
      <c r="AK59" s="129">
        <v>30</v>
      </c>
      <c r="AL59" s="129">
        <v>30</v>
      </c>
      <c r="AM59" s="129">
        <v>30</v>
      </c>
      <c r="AN59" s="129">
        <v>30</v>
      </c>
      <c r="AO59" s="129">
        <v>30</v>
      </c>
      <c r="AP59" s="129">
        <v>30</v>
      </c>
      <c r="AQ59" s="129">
        <v>30</v>
      </c>
      <c r="AR59" s="129">
        <v>30</v>
      </c>
      <c r="AS59" s="129">
        <v>30</v>
      </c>
      <c r="AT59" s="129">
        <v>0</v>
      </c>
      <c r="AU59" s="129"/>
      <c r="AV59" s="13" t="b">
        <f t="shared" si="10"/>
        <v>1</v>
      </c>
      <c r="AW59" s="14"/>
      <c r="AX59" s="15"/>
      <c r="AY59" s="16"/>
      <c r="AZ59" s="15"/>
      <c r="BA59" s="16"/>
      <c r="BB59" s="17">
        <f t="shared" si="14"/>
        <v>0</v>
      </c>
      <c r="BC59" s="12"/>
      <c r="BD59" s="15"/>
      <c r="BE59" s="18"/>
      <c r="BF59" s="12"/>
      <c r="BG59" s="19" t="str">
        <f t="shared" si="15"/>
        <v>enero</v>
      </c>
      <c r="BH59" s="12" t="str">
        <f t="shared" si="11"/>
        <v>Corporación Ciudad Alfaro</v>
      </c>
      <c r="BI59" s="20" t="str">
        <f t="shared" si="12"/>
        <v>N/A</v>
      </c>
    </row>
    <row r="60" spans="1:61" ht="24.95" customHeight="1">
      <c r="A60" s="4">
        <v>473</v>
      </c>
      <c r="B60" s="12" t="str">
        <f>VLOOKUP($A60,'Matriz POA 2024-TRABAJO'!$A$5:$CD$9142,11,FALSE)</f>
        <v>Corporación Ciudad Alfaro</v>
      </c>
      <c r="C60" s="12" t="str">
        <f>VLOOKUP($A60,'Matriz POA 2024-TRABAJO'!$A$5:$CD$9142,14,FALSE)</f>
        <v>N/A</v>
      </c>
      <c r="D60" s="12" t="str">
        <f>VLOOKUP($A60,'Matriz POA 2024-TRABAJO'!$A$5:$CD$9142,15,FALSE)</f>
        <v>N/A</v>
      </c>
      <c r="E60" s="12" t="str">
        <f>VLOOKUP($A60,'Matriz POA 2024-TRABAJO'!$A$5:$CD$9142,18,FALSE)</f>
        <v>N/A</v>
      </c>
      <c r="F60" s="12" t="str">
        <f>VLOOKUP($A60,'Matriz POA 2024-TRABAJO'!$A$5:$CD$9142,20,FALSE)</f>
        <v>N/A</v>
      </c>
      <c r="G60" s="12" t="str">
        <f>VLOOKUP($A60,'Matriz POA 2024-TRABAJO'!$A$5:$CD$9142,21,FALSE)</f>
        <v>N/A</v>
      </c>
      <c r="H60" s="12" t="str">
        <f>VLOOKUP($A60,'Matriz POA 2024-TRABAJO'!$A$5:$CD$9142,22,FALSE)</f>
        <v>N/A</v>
      </c>
      <c r="I60" s="12" t="str">
        <f>VLOOKUP($A60,'Matriz POA 2024-TRABAJO'!$A$5:$CD$9142,23,FALSE)</f>
        <v>NUEVA</v>
      </c>
      <c r="J60" s="12" t="str">
        <f>VLOOKUP($A60,'Matriz POA 2024-TRABAJO'!$A$5:$CD$9142,24,FALSE)</f>
        <v>Recarga de extintores contra incendios de la Corporación Ciudad Alfaro y sus Sedes</v>
      </c>
      <c r="K60" s="12" t="str">
        <f>VLOOKUP($A60,'Matriz POA 2024-TRABAJO'!$A$5:$CD$9142,25,FALSE)</f>
        <v>0035</v>
      </c>
      <c r="L60" s="12" t="str">
        <f>VLOOKUP($A60,'Matriz POA 2024-TRABAJO'!$A$5:$CD$9142,26,FALSE)</f>
        <v>80</v>
      </c>
      <c r="M60" s="12" t="str">
        <f>VLOOKUP($A60,'Matriz POA 2024-TRABAJO'!$A$5:$CD$9142,27,FALSE)</f>
        <v>000</v>
      </c>
      <c r="N60" s="12" t="str">
        <f>VLOOKUP($A60,'Matriz POA 2024-TRABAJO'!$A$5:$CD$9142,28,FALSE)</f>
        <v>002</v>
      </c>
      <c r="O60" s="12" t="str">
        <f>VLOOKUP($A60,'Matriz POA 2024-TRABAJO'!$A$5:$CD$9142,29,FALSE)</f>
        <v>53</v>
      </c>
      <c r="P60" s="12">
        <f>VLOOKUP($A60,'Matriz POA 2024-TRABAJO'!$A$5:$CD$9142,30,FALSE)</f>
        <v>530203</v>
      </c>
      <c r="Q60" s="12">
        <f>VLOOKUP($A60,'Matriz POA 2024-TRABAJO'!$A$5:$CD$9142,32,FALSE)</f>
        <v>1309</v>
      </c>
      <c r="R60" s="12" t="str">
        <f>VLOOKUP($A60,'Matriz POA 2024-TRABAJO'!$A$5:$CD$9142,33,FALSE)</f>
        <v>001</v>
      </c>
      <c r="S60" s="12" t="str">
        <f>VLOOKUP($A60,'Matriz POA 2024-TRABAJO'!$A$5:$CD$9142,34,FALSE)</f>
        <v>0000</v>
      </c>
      <c r="T60" s="12" t="str">
        <f>VLOOKUP($A60,'Matriz POA 2024-TRABAJO'!$A$5:$CD$9142,35,FALSE)</f>
        <v>0000</v>
      </c>
      <c r="U60" s="62">
        <f>VLOOKUP($A60,'Matriz POA 2024-TRABAJO'!$A$5:$CD$9142,66,FALSE)</f>
        <v>0</v>
      </c>
      <c r="V60" s="62">
        <f>VLOOKUP($A60,'Matriz POA 2024-TRABAJO'!$A$5:$CD$9142,67,FALSE)</f>
        <v>1600</v>
      </c>
      <c r="W60" s="62">
        <f>VLOOKUP($A60,'Matriz POA 2024-TRABAJO'!$A$5:$CD$9142,68,FALSE)</f>
        <v>1600</v>
      </c>
      <c r="X60" s="62">
        <f>VLOOKUP($A60,'Matriz POA 2024-TRABAJO'!$A$5:$CD$9142,72,FALSE)</f>
        <v>1549</v>
      </c>
      <c r="Y60" s="388">
        <v>1500</v>
      </c>
      <c r="Z60" s="388">
        <v>0</v>
      </c>
      <c r="AA60" s="388">
        <v>1500</v>
      </c>
      <c r="AB60" s="389"/>
      <c r="AC60" s="389"/>
      <c r="AD60" s="13"/>
      <c r="AE60" s="13"/>
      <c r="AF60" s="13">
        <f t="shared" si="8"/>
        <v>1500</v>
      </c>
      <c r="AG60" s="13">
        <f t="shared" si="9"/>
        <v>0</v>
      </c>
      <c r="AH60" s="13">
        <f t="shared" si="13"/>
        <v>1500</v>
      </c>
      <c r="AI60" s="129">
        <v>0</v>
      </c>
      <c r="AJ60" s="129">
        <v>0</v>
      </c>
      <c r="AK60" s="129">
        <v>0</v>
      </c>
      <c r="AL60" s="129">
        <v>0</v>
      </c>
      <c r="AM60" s="129">
        <v>0</v>
      </c>
      <c r="AN60" s="129">
        <v>0</v>
      </c>
      <c r="AO60" s="129">
        <v>0</v>
      </c>
      <c r="AP60" s="129">
        <v>0</v>
      </c>
      <c r="AQ60" s="129">
        <v>0</v>
      </c>
      <c r="AR60" s="129">
        <v>1500</v>
      </c>
      <c r="AS60" s="129">
        <v>0</v>
      </c>
      <c r="AT60" s="129">
        <v>0</v>
      </c>
      <c r="AU60" s="129"/>
      <c r="AV60" s="13" t="b">
        <f t="shared" si="10"/>
        <v>1</v>
      </c>
      <c r="AW60" s="14"/>
      <c r="AX60" s="15"/>
      <c r="AY60" s="16"/>
      <c r="AZ60" s="15"/>
      <c r="BA60" s="16"/>
      <c r="BB60" s="17">
        <f t="shared" si="14"/>
        <v>0</v>
      </c>
      <c r="BC60" s="12"/>
      <c r="BD60" s="15"/>
      <c r="BE60" s="18"/>
      <c r="BF60" s="12"/>
      <c r="BG60" s="19" t="str">
        <f t="shared" si="15"/>
        <v>enero</v>
      </c>
      <c r="BH60" s="12" t="str">
        <f t="shared" si="11"/>
        <v>Corporación Ciudad Alfaro</v>
      </c>
      <c r="BI60" s="20" t="str">
        <f t="shared" si="12"/>
        <v>N/A</v>
      </c>
    </row>
    <row r="61" spans="1:61" ht="24.95" customHeight="1">
      <c r="A61" s="4">
        <v>474</v>
      </c>
      <c r="B61" s="12" t="str">
        <f>VLOOKUP($A61,'Matriz POA 2024-TRABAJO'!$A$5:$CD$9142,11,FALSE)</f>
        <v>Corporación Ciudad Alfaro</v>
      </c>
      <c r="C61" s="12" t="str">
        <f>VLOOKUP($A61,'Matriz POA 2024-TRABAJO'!$A$5:$CD$9142,14,FALSE)</f>
        <v>N/A</v>
      </c>
      <c r="D61" s="12" t="str">
        <f>VLOOKUP($A61,'Matriz POA 2024-TRABAJO'!$A$5:$CD$9142,15,FALSE)</f>
        <v>N/A</v>
      </c>
      <c r="E61" s="12" t="str">
        <f>VLOOKUP($A61,'Matriz POA 2024-TRABAJO'!$A$5:$CD$9142,18,FALSE)</f>
        <v>N/A</v>
      </c>
      <c r="F61" s="12" t="str">
        <f>VLOOKUP($A61,'Matriz POA 2024-TRABAJO'!$A$5:$CD$9142,20,FALSE)</f>
        <v>N/A</v>
      </c>
      <c r="G61" s="12" t="str">
        <f>VLOOKUP($A61,'Matriz POA 2024-TRABAJO'!$A$5:$CD$9142,21,FALSE)</f>
        <v>N/A</v>
      </c>
      <c r="H61" s="12" t="str">
        <f>VLOOKUP($A61,'Matriz POA 2024-TRABAJO'!$A$5:$CD$9142,22,FALSE)</f>
        <v>N/A</v>
      </c>
      <c r="I61" s="12" t="str">
        <f>VLOOKUP($A61,'Matriz POA 2024-TRABAJO'!$A$5:$CD$9142,23,FALSE)</f>
        <v>NUEVA</v>
      </c>
      <c r="J61" s="12" t="str">
        <f>VLOOKUP($A61,'Matriz POA 2024-TRABAJO'!$A$5:$CD$9142,24,FALSE)</f>
        <v>Reintegro Por Renovación de Certificado digital</v>
      </c>
      <c r="K61" s="12" t="str">
        <f>VLOOKUP($A61,'Matriz POA 2024-TRABAJO'!$A$5:$CD$9142,25,FALSE)</f>
        <v>0035</v>
      </c>
      <c r="L61" s="12" t="str">
        <f>VLOOKUP($A61,'Matriz POA 2024-TRABAJO'!$A$5:$CD$9142,26,FALSE)</f>
        <v>80</v>
      </c>
      <c r="M61" s="12" t="str">
        <f>VLOOKUP($A61,'Matriz POA 2024-TRABAJO'!$A$5:$CD$9142,27,FALSE)</f>
        <v>000</v>
      </c>
      <c r="N61" s="12" t="str">
        <f>VLOOKUP($A61,'Matriz POA 2024-TRABAJO'!$A$5:$CD$9142,28,FALSE)</f>
        <v>002</v>
      </c>
      <c r="O61" s="12" t="str">
        <f>VLOOKUP($A61,'Matriz POA 2024-TRABAJO'!$A$5:$CD$9142,29,FALSE)</f>
        <v>53</v>
      </c>
      <c r="P61" s="12">
        <f>VLOOKUP($A61,'Matriz POA 2024-TRABAJO'!$A$5:$CD$9142,30,FALSE)</f>
        <v>530228</v>
      </c>
      <c r="Q61" s="12">
        <f>VLOOKUP($A61,'Matriz POA 2024-TRABAJO'!$A$5:$CD$9142,32,FALSE)</f>
        <v>1309</v>
      </c>
      <c r="R61" s="12" t="str">
        <f>VLOOKUP($A61,'Matriz POA 2024-TRABAJO'!$A$5:$CD$9142,33,FALSE)</f>
        <v>001</v>
      </c>
      <c r="S61" s="12" t="str">
        <f>VLOOKUP($A61,'Matriz POA 2024-TRABAJO'!$A$5:$CD$9142,34,FALSE)</f>
        <v>0000</v>
      </c>
      <c r="T61" s="12" t="str">
        <f>VLOOKUP($A61,'Matriz POA 2024-TRABAJO'!$A$5:$CD$9142,35,FALSE)</f>
        <v>0000</v>
      </c>
      <c r="U61" s="62">
        <f>VLOOKUP($A61,'Matriz POA 2024-TRABAJO'!$A$5:$CD$9142,66,FALSE)</f>
        <v>30</v>
      </c>
      <c r="V61" s="62">
        <f>VLOOKUP($A61,'Matriz POA 2024-TRABAJO'!$A$5:$CD$9142,67,FALSE)</f>
        <v>-9.84</v>
      </c>
      <c r="W61" s="62">
        <f>VLOOKUP($A61,'Matriz POA 2024-TRABAJO'!$A$5:$CD$9142,68,FALSE)</f>
        <v>0</v>
      </c>
      <c r="X61" s="62">
        <f>VLOOKUP($A61,'Matriz POA 2024-TRABAJO'!$A$5:$CD$9142,72,FALSE)</f>
        <v>20.16</v>
      </c>
      <c r="Y61" s="388">
        <v>30</v>
      </c>
      <c r="Z61" s="388">
        <v>0</v>
      </c>
      <c r="AA61" s="388">
        <v>30</v>
      </c>
      <c r="AB61" s="389"/>
      <c r="AC61" s="389"/>
      <c r="AD61" s="13"/>
      <c r="AE61" s="13"/>
      <c r="AF61" s="13">
        <f t="shared" si="8"/>
        <v>30</v>
      </c>
      <c r="AG61" s="13">
        <f t="shared" si="9"/>
        <v>0</v>
      </c>
      <c r="AH61" s="13">
        <f t="shared" si="13"/>
        <v>30</v>
      </c>
      <c r="AI61" s="129">
        <v>0</v>
      </c>
      <c r="AJ61" s="129">
        <v>0</v>
      </c>
      <c r="AK61" s="129">
        <v>0</v>
      </c>
      <c r="AL61" s="129">
        <v>30</v>
      </c>
      <c r="AM61" s="129">
        <v>0</v>
      </c>
      <c r="AN61" s="129">
        <v>0</v>
      </c>
      <c r="AO61" s="129">
        <v>0</v>
      </c>
      <c r="AP61" s="129">
        <v>0</v>
      </c>
      <c r="AQ61" s="129">
        <v>0</v>
      </c>
      <c r="AR61" s="129">
        <v>0</v>
      </c>
      <c r="AS61" s="129">
        <v>0</v>
      </c>
      <c r="AT61" s="129">
        <v>0</v>
      </c>
      <c r="AU61" s="129"/>
      <c r="AV61" s="13" t="b">
        <f t="shared" si="10"/>
        <v>1</v>
      </c>
      <c r="AW61" s="14"/>
      <c r="AX61" s="15"/>
      <c r="AY61" s="16"/>
      <c r="AZ61" s="15"/>
      <c r="BA61" s="16"/>
      <c r="BB61" s="17">
        <f t="shared" si="14"/>
        <v>0</v>
      </c>
      <c r="BC61" s="12"/>
      <c r="BD61" s="15"/>
      <c r="BE61" s="18"/>
      <c r="BF61" s="12"/>
      <c r="BG61" s="19" t="str">
        <f t="shared" si="15"/>
        <v>enero</v>
      </c>
      <c r="BH61" s="12" t="str">
        <f t="shared" si="11"/>
        <v>Corporación Ciudad Alfaro</v>
      </c>
      <c r="BI61" s="20" t="str">
        <f t="shared" si="12"/>
        <v>N/A</v>
      </c>
    </row>
    <row r="62" spans="1:61" ht="24.95" customHeight="1">
      <c r="A62" s="4">
        <v>475</v>
      </c>
      <c r="B62" s="12" t="str">
        <f>VLOOKUP($A62,'Matriz POA 2024-TRABAJO'!$A$5:$CD$9142,11,FALSE)</f>
        <v>Corporación Ciudad Alfaro</v>
      </c>
      <c r="C62" s="12" t="str">
        <f>VLOOKUP($A62,'Matriz POA 2024-TRABAJO'!$A$5:$CD$9142,14,FALSE)</f>
        <v>N/A</v>
      </c>
      <c r="D62" s="12" t="str">
        <f>VLOOKUP($A62,'Matriz POA 2024-TRABAJO'!$A$5:$CD$9142,15,FALSE)</f>
        <v>N/A</v>
      </c>
      <c r="E62" s="12" t="str">
        <f>VLOOKUP($A62,'Matriz POA 2024-TRABAJO'!$A$5:$CD$9142,18,FALSE)</f>
        <v>N/A</v>
      </c>
      <c r="F62" s="12" t="str">
        <f>VLOOKUP($A62,'Matriz POA 2024-TRABAJO'!$A$5:$CD$9142,20,FALSE)</f>
        <v>N/A</v>
      </c>
      <c r="G62" s="12" t="str">
        <f>VLOOKUP($A62,'Matriz POA 2024-TRABAJO'!$A$5:$CD$9142,21,FALSE)</f>
        <v>N/A</v>
      </c>
      <c r="H62" s="12" t="str">
        <f>VLOOKUP($A62,'Matriz POA 2024-TRABAJO'!$A$5:$CD$9142,22,FALSE)</f>
        <v>N/A</v>
      </c>
      <c r="I62" s="12" t="str">
        <f>VLOOKUP($A62,'Matriz POA 2024-TRABAJO'!$A$5:$CD$9142,23,FALSE)</f>
        <v>NUEVA</v>
      </c>
      <c r="J62" s="12" t="str">
        <f>VLOOKUP($A62,'Matriz POA 2024-TRABAJO'!$A$5:$CD$9142,24,FALSE)</f>
        <v>Adquisición de biométricos para La Corporación Centro Cívico Ciudad Alfaro Montecristi y sus sedes en Manta, Portoviejo y Bahía.</v>
      </c>
      <c r="K62" s="12" t="str">
        <f>VLOOKUP($A62,'Matriz POA 2024-TRABAJO'!$A$5:$CD$9142,25,FALSE)</f>
        <v>0035</v>
      </c>
      <c r="L62" s="12" t="str">
        <f>VLOOKUP($A62,'Matriz POA 2024-TRABAJO'!$A$5:$CD$9142,26,FALSE)</f>
        <v>80</v>
      </c>
      <c r="M62" s="12" t="str">
        <f>VLOOKUP($A62,'Matriz POA 2024-TRABAJO'!$A$5:$CD$9142,27,FALSE)</f>
        <v>000</v>
      </c>
      <c r="N62" s="12" t="str">
        <f>VLOOKUP($A62,'Matriz POA 2024-TRABAJO'!$A$5:$CD$9142,28,FALSE)</f>
        <v>002</v>
      </c>
      <c r="O62" s="12" t="str">
        <f>VLOOKUP($A62,'Matriz POA 2024-TRABAJO'!$A$5:$CD$9142,29,FALSE)</f>
        <v>53</v>
      </c>
      <c r="P62" s="12">
        <f>VLOOKUP($A62,'Matriz POA 2024-TRABAJO'!$A$5:$CD$9142,30,FALSE)</f>
        <v>530701</v>
      </c>
      <c r="Q62" s="12">
        <f>VLOOKUP($A62,'Matriz POA 2024-TRABAJO'!$A$5:$CD$9142,32,FALSE)</f>
        <v>1309</v>
      </c>
      <c r="R62" s="12" t="str">
        <f>VLOOKUP($A62,'Matriz POA 2024-TRABAJO'!$A$5:$CD$9142,33,FALSE)</f>
        <v>001</v>
      </c>
      <c r="S62" s="12" t="str">
        <f>VLOOKUP($A62,'Matriz POA 2024-TRABAJO'!$A$5:$CD$9142,34,FALSE)</f>
        <v>0000</v>
      </c>
      <c r="T62" s="12" t="str">
        <f>VLOOKUP($A62,'Matriz POA 2024-TRABAJO'!$A$5:$CD$9142,35,FALSE)</f>
        <v>0000</v>
      </c>
      <c r="U62" s="62" t="str">
        <f>VLOOKUP($A62,'Matriz POA 2024-TRABAJO'!$A$5:$CD$9142,66,FALSE)</f>
        <v/>
      </c>
      <c r="V62" s="62" t="str">
        <f>VLOOKUP($A62,'Matriz POA 2024-TRABAJO'!$A$5:$CD$9142,67,FALSE)</f>
        <v/>
      </c>
      <c r="W62" s="62" t="str">
        <f>VLOOKUP($A62,'Matriz POA 2024-TRABAJO'!$A$5:$CD$9142,68,FALSE)</f>
        <v/>
      </c>
      <c r="X62" s="62" t="str">
        <f>VLOOKUP($A62,'Matriz POA 2024-TRABAJO'!$A$5:$CD$9142,72,FALSE)</f>
        <v/>
      </c>
      <c r="Y62" s="388">
        <v>417</v>
      </c>
      <c r="Z62" s="388">
        <v>0</v>
      </c>
      <c r="AA62" s="388">
        <v>417</v>
      </c>
      <c r="AB62" s="389"/>
      <c r="AC62" s="389"/>
      <c r="AD62" s="13"/>
      <c r="AE62" s="13"/>
      <c r="AF62" s="13">
        <f t="shared" si="8"/>
        <v>417</v>
      </c>
      <c r="AG62" s="13">
        <f t="shared" si="9"/>
        <v>0</v>
      </c>
      <c r="AH62" s="13">
        <f t="shared" si="13"/>
        <v>417</v>
      </c>
      <c r="AI62" s="129">
        <v>0</v>
      </c>
      <c r="AJ62" s="129">
        <v>0</v>
      </c>
      <c r="AK62" s="129">
        <v>0</v>
      </c>
      <c r="AL62" s="129">
        <v>0</v>
      </c>
      <c r="AM62" s="129">
        <v>417</v>
      </c>
      <c r="AN62" s="129">
        <v>0</v>
      </c>
      <c r="AO62" s="129">
        <v>0</v>
      </c>
      <c r="AP62" s="129">
        <v>0</v>
      </c>
      <c r="AQ62" s="129">
        <v>0</v>
      </c>
      <c r="AR62" s="129">
        <v>0</v>
      </c>
      <c r="AS62" s="129">
        <v>0</v>
      </c>
      <c r="AT62" s="129">
        <v>0</v>
      </c>
      <c r="AU62" s="129">
        <f>SUM(AI62:AT62)</f>
        <v>417</v>
      </c>
      <c r="AV62" s="13" t="b">
        <f t="shared" si="10"/>
        <v>1</v>
      </c>
      <c r="AW62" s="14"/>
      <c r="AX62" s="15"/>
      <c r="AY62" s="16"/>
      <c r="AZ62" s="15"/>
      <c r="BA62" s="16"/>
      <c r="BB62" s="17">
        <f t="shared" si="14"/>
        <v>0</v>
      </c>
      <c r="BC62" s="12"/>
      <c r="BD62" s="15"/>
      <c r="BE62" s="18"/>
      <c r="BF62" s="12"/>
      <c r="BG62" s="19" t="str">
        <f t="shared" si="15"/>
        <v>enero</v>
      </c>
      <c r="BH62" s="12" t="str">
        <f t="shared" si="11"/>
        <v>Corporación Ciudad Alfaro</v>
      </c>
      <c r="BI62" s="20" t="str">
        <f t="shared" si="12"/>
        <v>N/A</v>
      </c>
    </row>
    <row r="63" spans="1:61" ht="24.95" customHeight="1">
      <c r="A63" s="4">
        <v>476</v>
      </c>
      <c r="B63" s="12" t="str">
        <f>VLOOKUP($A63,'Matriz POA 2024-TRABAJO'!$A$5:$CD$9142,11,FALSE)</f>
        <v>Corporación Ciudad Alfaro</v>
      </c>
      <c r="C63" s="12" t="str">
        <f>VLOOKUP($A63,'Matriz POA 2024-TRABAJO'!$A$5:$CD$9142,14,FALSE)</f>
        <v>N/A</v>
      </c>
      <c r="D63" s="12" t="str">
        <f>VLOOKUP($A63,'Matriz POA 2024-TRABAJO'!$A$5:$CD$9142,15,FALSE)</f>
        <v>N/A</v>
      </c>
      <c r="E63" s="12" t="str">
        <f>VLOOKUP($A63,'Matriz POA 2024-TRABAJO'!$A$5:$CD$9142,18,FALSE)</f>
        <v>N/A</v>
      </c>
      <c r="F63" s="12" t="str">
        <f>VLOOKUP($A63,'Matriz POA 2024-TRABAJO'!$A$5:$CD$9142,20,FALSE)</f>
        <v>N/A</v>
      </c>
      <c r="G63" s="12" t="str">
        <f>VLOOKUP($A63,'Matriz POA 2024-TRABAJO'!$A$5:$CD$9142,21,FALSE)</f>
        <v>N/A</v>
      </c>
      <c r="H63" s="12" t="str">
        <f>VLOOKUP($A63,'Matriz POA 2024-TRABAJO'!$A$5:$CD$9142,22,FALSE)</f>
        <v>N/A</v>
      </c>
      <c r="I63" s="12" t="str">
        <f>VLOOKUP($A63,'Matriz POA 2024-TRABAJO'!$A$5:$CD$9142,23,FALSE)</f>
        <v>NUEVA</v>
      </c>
      <c r="J63" s="12" t="str">
        <f>VLOOKUP($A63,'Matriz POA 2024-TRABAJO'!$A$5:$CD$9142,24,FALSE)</f>
        <v>Adquisición de Equipos Informaticos para la Corporación Ciudad Alfaro y sus sedes</v>
      </c>
      <c r="K63" s="12" t="str">
        <f>VLOOKUP($A63,'Matriz POA 2024-TRABAJO'!$A$5:$CD$9142,25,FALSE)</f>
        <v>0035</v>
      </c>
      <c r="L63" s="12" t="str">
        <f>VLOOKUP($A63,'Matriz POA 2024-TRABAJO'!$A$5:$CD$9142,26,FALSE)</f>
        <v>80</v>
      </c>
      <c r="M63" s="12" t="str">
        <f>VLOOKUP($A63,'Matriz POA 2024-TRABAJO'!$A$5:$CD$9142,27,FALSE)</f>
        <v>000</v>
      </c>
      <c r="N63" s="12" t="str">
        <f>VLOOKUP($A63,'Matriz POA 2024-TRABAJO'!$A$5:$CD$9142,28,FALSE)</f>
        <v>002</v>
      </c>
      <c r="O63" s="12" t="str">
        <f>VLOOKUP($A63,'Matriz POA 2024-TRABAJO'!$A$5:$CD$9142,29,FALSE)</f>
        <v>84</v>
      </c>
      <c r="P63" s="12">
        <f>VLOOKUP($A63,'Matriz POA 2024-TRABAJO'!$A$5:$CD$9142,30,FALSE)</f>
        <v>840107</v>
      </c>
      <c r="Q63" s="12">
        <f>VLOOKUP($A63,'Matriz POA 2024-TRABAJO'!$A$5:$CD$9142,32,FALSE)</f>
        <v>1309</v>
      </c>
      <c r="R63" s="12" t="str">
        <f>VLOOKUP($A63,'Matriz POA 2024-TRABAJO'!$A$5:$CD$9142,33,FALSE)</f>
        <v>001</v>
      </c>
      <c r="S63" s="12" t="str">
        <f>VLOOKUP($A63,'Matriz POA 2024-TRABAJO'!$A$5:$CD$9142,34,FALSE)</f>
        <v>0000</v>
      </c>
      <c r="T63" s="12" t="str">
        <f>VLOOKUP($A63,'Matriz POA 2024-TRABAJO'!$A$5:$CD$9142,35,FALSE)</f>
        <v>0000</v>
      </c>
      <c r="U63" s="62" t="str">
        <f>VLOOKUP($A63,'Matriz POA 2024-TRABAJO'!$A$5:$CD$9142,66,FALSE)</f>
        <v/>
      </c>
      <c r="V63" s="62" t="str">
        <f>VLOOKUP($A63,'Matriz POA 2024-TRABAJO'!$A$5:$CD$9142,67,FALSE)</f>
        <v/>
      </c>
      <c r="W63" s="62" t="str">
        <f>VLOOKUP($A63,'Matriz POA 2024-TRABAJO'!$A$5:$CD$9142,68,FALSE)</f>
        <v/>
      </c>
      <c r="X63" s="62" t="str">
        <f>VLOOKUP($A63,'Matriz POA 2024-TRABAJO'!$A$5:$CD$9142,72,FALSE)</f>
        <v/>
      </c>
      <c r="Y63" s="388">
        <v>0</v>
      </c>
      <c r="Z63" s="388">
        <v>0</v>
      </c>
      <c r="AA63" s="388">
        <v>0</v>
      </c>
      <c r="AB63" s="389"/>
      <c r="AC63" s="389"/>
      <c r="AD63" s="13"/>
      <c r="AE63" s="13"/>
      <c r="AF63" s="13">
        <f t="shared" si="8"/>
        <v>0</v>
      </c>
      <c r="AG63" s="13">
        <f t="shared" si="9"/>
        <v>0</v>
      </c>
      <c r="AH63" s="13">
        <f t="shared" si="13"/>
        <v>0</v>
      </c>
      <c r="AI63" s="129">
        <v>0</v>
      </c>
      <c r="AJ63" s="129">
        <v>0</v>
      </c>
      <c r="AK63" s="129">
        <v>0</v>
      </c>
      <c r="AL63" s="129">
        <v>0</v>
      </c>
      <c r="AM63" s="129">
        <v>0</v>
      </c>
      <c r="AN63" s="129">
        <v>0</v>
      </c>
      <c r="AO63" s="129">
        <v>0</v>
      </c>
      <c r="AP63" s="129">
        <v>0</v>
      </c>
      <c r="AQ63" s="129">
        <v>0</v>
      </c>
      <c r="AR63" s="129">
        <v>0</v>
      </c>
      <c r="AS63" s="129">
        <v>0</v>
      </c>
      <c r="AT63" s="129">
        <v>0</v>
      </c>
      <c r="AU63" s="129"/>
      <c r="AV63" s="13" t="b">
        <f t="shared" si="10"/>
        <v>1</v>
      </c>
      <c r="AW63" s="14"/>
      <c r="AX63" s="15"/>
      <c r="AY63" s="16"/>
      <c r="AZ63" s="15"/>
      <c r="BA63" s="16"/>
      <c r="BB63" s="17">
        <f t="shared" si="14"/>
        <v>0</v>
      </c>
      <c r="BC63" s="12"/>
      <c r="BD63" s="15"/>
      <c r="BE63" s="18"/>
      <c r="BF63" s="12"/>
      <c r="BG63" s="19" t="str">
        <f t="shared" si="15"/>
        <v>enero</v>
      </c>
      <c r="BH63" s="12" t="str">
        <f t="shared" si="11"/>
        <v>Corporación Ciudad Alfaro</v>
      </c>
      <c r="BI63" s="20" t="str">
        <f t="shared" si="12"/>
        <v>N/A</v>
      </c>
    </row>
    <row r="64" spans="1:61" ht="24.95" customHeight="1">
      <c r="A64" s="4">
        <v>477</v>
      </c>
      <c r="B64" s="12" t="str">
        <f>VLOOKUP($A64,'Matriz POA 2024-TRABAJO'!$A$5:$CD$9142,11,FALSE)</f>
        <v>Corporación Ciudad Alfaro</v>
      </c>
      <c r="C64" s="12" t="str">
        <f>VLOOKUP($A64,'Matriz POA 2024-TRABAJO'!$A$5:$CD$9142,14,FALSE)</f>
        <v>N/A</v>
      </c>
      <c r="D64" s="12" t="str">
        <f>VLOOKUP($A64,'Matriz POA 2024-TRABAJO'!$A$5:$CD$9142,15,FALSE)</f>
        <v>N/A</v>
      </c>
      <c r="E64" s="12" t="str">
        <f>VLOOKUP($A64,'Matriz POA 2024-TRABAJO'!$A$5:$CD$9142,18,FALSE)</f>
        <v>N/A</v>
      </c>
      <c r="F64" s="12" t="str">
        <f>VLOOKUP($A64,'Matriz POA 2024-TRABAJO'!$A$5:$CD$9142,20,FALSE)</f>
        <v>N/A</v>
      </c>
      <c r="G64" s="12" t="str">
        <f>VLOOKUP($A64,'Matriz POA 2024-TRABAJO'!$A$5:$CD$9142,21,FALSE)</f>
        <v>N/A</v>
      </c>
      <c r="H64" s="12" t="str">
        <f>VLOOKUP($A64,'Matriz POA 2024-TRABAJO'!$A$5:$CD$9142,22,FALSE)</f>
        <v>N/A</v>
      </c>
      <c r="I64" s="12" t="str">
        <f>VLOOKUP($A64,'Matriz POA 2024-TRABAJO'!$A$5:$CD$9142,23,FALSE)</f>
        <v>NUEVA</v>
      </c>
      <c r="J64" s="12" t="str">
        <f>VLOOKUP($A64,'Matriz POA 2024-TRABAJO'!$A$5:$CD$9142,24,FALSE)</f>
        <v xml:space="preserve">Adquisición de equipos de audios y videos para la corporación Ciudad Alfaro y sus sedes </v>
      </c>
      <c r="K64" s="12" t="str">
        <f>VLOOKUP($A64,'Matriz POA 2024-TRABAJO'!$A$5:$CD$9142,25,FALSE)</f>
        <v>0035</v>
      </c>
      <c r="L64" s="12" t="str">
        <f>VLOOKUP($A64,'Matriz POA 2024-TRABAJO'!$A$5:$CD$9142,26,FALSE)</f>
        <v>80</v>
      </c>
      <c r="M64" s="12" t="str">
        <f>VLOOKUP($A64,'Matriz POA 2024-TRABAJO'!$A$5:$CD$9142,27,FALSE)</f>
        <v>000</v>
      </c>
      <c r="N64" s="12" t="str">
        <f>VLOOKUP($A64,'Matriz POA 2024-TRABAJO'!$A$5:$CD$9142,28,FALSE)</f>
        <v>002</v>
      </c>
      <c r="O64" s="12" t="str">
        <f>VLOOKUP($A64,'Matriz POA 2024-TRABAJO'!$A$5:$CD$9142,29,FALSE)</f>
        <v>84</v>
      </c>
      <c r="P64" s="12">
        <f>VLOOKUP($A64,'Matriz POA 2024-TRABAJO'!$A$5:$CD$9142,30,FALSE)</f>
        <v>840104</v>
      </c>
      <c r="Q64" s="12">
        <f>VLOOKUP($A64,'Matriz POA 2024-TRABAJO'!$A$5:$CD$9142,32,FALSE)</f>
        <v>1309</v>
      </c>
      <c r="R64" s="12" t="str">
        <f>VLOOKUP($A64,'Matriz POA 2024-TRABAJO'!$A$5:$CD$9142,33,FALSE)</f>
        <v>001</v>
      </c>
      <c r="S64" s="12" t="str">
        <f>VLOOKUP($A64,'Matriz POA 2024-TRABAJO'!$A$5:$CD$9142,34,FALSE)</f>
        <v>0000</v>
      </c>
      <c r="T64" s="12" t="str">
        <f>VLOOKUP($A64,'Matriz POA 2024-TRABAJO'!$A$5:$CD$9142,35,FALSE)</f>
        <v>0000</v>
      </c>
      <c r="U64" s="62" t="str">
        <f>VLOOKUP($A64,'Matriz POA 2024-TRABAJO'!$A$5:$CD$9142,66,FALSE)</f>
        <v/>
      </c>
      <c r="V64" s="62" t="str">
        <f>VLOOKUP($A64,'Matriz POA 2024-TRABAJO'!$A$5:$CD$9142,67,FALSE)</f>
        <v/>
      </c>
      <c r="W64" s="62" t="str">
        <f>VLOOKUP($A64,'Matriz POA 2024-TRABAJO'!$A$5:$CD$9142,68,FALSE)</f>
        <v/>
      </c>
      <c r="X64" s="62" t="str">
        <f>VLOOKUP($A64,'Matriz POA 2024-TRABAJO'!$A$5:$CD$9142,72,FALSE)</f>
        <v/>
      </c>
      <c r="Y64" s="388">
        <v>0</v>
      </c>
      <c r="Z64" s="388">
        <v>0</v>
      </c>
      <c r="AA64" s="388">
        <v>0</v>
      </c>
      <c r="AB64" s="389"/>
      <c r="AC64" s="389"/>
      <c r="AD64" s="13"/>
      <c r="AE64" s="13"/>
      <c r="AF64" s="13">
        <f t="shared" si="8"/>
        <v>0</v>
      </c>
      <c r="AG64" s="13">
        <f t="shared" si="9"/>
        <v>0</v>
      </c>
      <c r="AH64" s="13">
        <f t="shared" si="13"/>
        <v>0</v>
      </c>
      <c r="AI64" s="129">
        <v>0</v>
      </c>
      <c r="AJ64" s="129">
        <v>0</v>
      </c>
      <c r="AK64" s="129">
        <v>0</v>
      </c>
      <c r="AL64" s="129">
        <v>0</v>
      </c>
      <c r="AM64" s="129">
        <v>0</v>
      </c>
      <c r="AN64" s="129">
        <v>0</v>
      </c>
      <c r="AO64" s="129">
        <v>0</v>
      </c>
      <c r="AP64" s="129">
        <v>0</v>
      </c>
      <c r="AQ64" s="129">
        <v>0</v>
      </c>
      <c r="AR64" s="129">
        <v>0</v>
      </c>
      <c r="AS64" s="129">
        <v>0</v>
      </c>
      <c r="AT64" s="129">
        <v>0</v>
      </c>
      <c r="AU64" s="129"/>
      <c r="AV64" s="13" t="b">
        <f t="shared" si="10"/>
        <v>1</v>
      </c>
      <c r="AW64" s="14"/>
      <c r="AX64" s="15"/>
      <c r="AY64" s="16"/>
      <c r="AZ64" s="15"/>
      <c r="BA64" s="16"/>
      <c r="BB64" s="17">
        <f t="shared" si="14"/>
        <v>0</v>
      </c>
      <c r="BC64" s="12"/>
      <c r="BD64" s="15"/>
      <c r="BE64" s="18"/>
      <c r="BF64" s="12"/>
      <c r="BG64" s="19" t="str">
        <f t="shared" si="15"/>
        <v>enero</v>
      </c>
      <c r="BH64" s="12" t="str">
        <f t="shared" si="11"/>
        <v>Corporación Ciudad Alfaro</v>
      </c>
      <c r="BI64" s="20" t="str">
        <f t="shared" si="12"/>
        <v>N/A</v>
      </c>
    </row>
    <row r="65" spans="1:61" ht="24.95" customHeight="1">
      <c r="A65" s="4">
        <v>478</v>
      </c>
      <c r="B65" s="12" t="str">
        <f>VLOOKUP($A65,'Matriz POA 2024-TRABAJO'!$A$5:$CD$9142,11,FALSE)</f>
        <v>Corporación Ciudad Alfaro</v>
      </c>
      <c r="C65" s="12" t="str">
        <f>VLOOKUP($A65,'Matriz POA 2024-TRABAJO'!$A$5:$CD$9142,14,FALSE)</f>
        <v>N/A</v>
      </c>
      <c r="D65" s="12" t="str">
        <f>VLOOKUP($A65,'Matriz POA 2024-TRABAJO'!$A$5:$CD$9142,15,FALSE)</f>
        <v>N/A</v>
      </c>
      <c r="E65" s="12" t="str">
        <f>VLOOKUP($A65,'Matriz POA 2024-TRABAJO'!$A$5:$CD$9142,18,FALSE)</f>
        <v>N/A</v>
      </c>
      <c r="F65" s="12" t="str">
        <f>VLOOKUP($A65,'Matriz POA 2024-TRABAJO'!$A$5:$CD$9142,20,FALSE)</f>
        <v>N/A</v>
      </c>
      <c r="G65" s="12" t="str">
        <f>VLOOKUP($A65,'Matriz POA 2024-TRABAJO'!$A$5:$CD$9142,21,FALSE)</f>
        <v>N/A</v>
      </c>
      <c r="H65" s="12" t="str">
        <f>VLOOKUP($A65,'Matriz POA 2024-TRABAJO'!$A$5:$CD$9142,22,FALSE)</f>
        <v>N/A</v>
      </c>
      <c r="I65" s="12" t="str">
        <f>VLOOKUP($A65,'Matriz POA 2024-TRABAJO'!$A$5:$CD$9142,23,FALSE)</f>
        <v>NUEVA</v>
      </c>
      <c r="J65" s="12" t="str">
        <f>VLOOKUP($A65,'Matriz POA 2024-TRABAJO'!$A$5:$CD$9142,24,FALSE)</f>
        <v>Adquisicíon de sistema de camara de seguridad de video vigilancia para la corporación ciudad alfaro y sus sedes</v>
      </c>
      <c r="K65" s="12" t="str">
        <f>VLOOKUP($A65,'Matriz POA 2024-TRABAJO'!$A$5:$CD$9142,25,FALSE)</f>
        <v>0035</v>
      </c>
      <c r="L65" s="12" t="str">
        <f>VLOOKUP($A65,'Matriz POA 2024-TRABAJO'!$A$5:$CD$9142,26,FALSE)</f>
        <v>80</v>
      </c>
      <c r="M65" s="12" t="str">
        <f>VLOOKUP($A65,'Matriz POA 2024-TRABAJO'!$A$5:$CD$9142,27,FALSE)</f>
        <v>000</v>
      </c>
      <c r="N65" s="12" t="str">
        <f>VLOOKUP($A65,'Matriz POA 2024-TRABAJO'!$A$5:$CD$9142,28,FALSE)</f>
        <v>002</v>
      </c>
      <c r="O65" s="12" t="str">
        <f>VLOOKUP($A65,'Matriz POA 2024-TRABAJO'!$A$5:$CD$9142,29,FALSE)</f>
        <v>84</v>
      </c>
      <c r="P65" s="12">
        <f>VLOOKUP($A65,'Matriz POA 2024-TRABAJO'!$A$5:$CD$9142,30,FALSE)</f>
        <v>840104</v>
      </c>
      <c r="Q65" s="12">
        <f>VLOOKUP($A65,'Matriz POA 2024-TRABAJO'!$A$5:$CD$9142,32,FALSE)</f>
        <v>1309</v>
      </c>
      <c r="R65" s="12" t="str">
        <f>VLOOKUP($A65,'Matriz POA 2024-TRABAJO'!$A$5:$CD$9142,33,FALSE)</f>
        <v>001</v>
      </c>
      <c r="S65" s="12" t="str">
        <f>VLOOKUP($A65,'Matriz POA 2024-TRABAJO'!$A$5:$CD$9142,34,FALSE)</f>
        <v>0000</v>
      </c>
      <c r="T65" s="12" t="str">
        <f>VLOOKUP($A65,'Matriz POA 2024-TRABAJO'!$A$5:$CD$9142,35,FALSE)</f>
        <v>0000</v>
      </c>
      <c r="U65" s="62" t="str">
        <f>VLOOKUP($A65,'Matriz POA 2024-TRABAJO'!$A$5:$CD$9142,66,FALSE)</f>
        <v/>
      </c>
      <c r="V65" s="62" t="str">
        <f>VLOOKUP($A65,'Matriz POA 2024-TRABAJO'!$A$5:$CD$9142,67,FALSE)</f>
        <v/>
      </c>
      <c r="W65" s="62" t="str">
        <f>VLOOKUP($A65,'Matriz POA 2024-TRABAJO'!$A$5:$CD$9142,68,FALSE)</f>
        <v/>
      </c>
      <c r="X65" s="62" t="str">
        <f>VLOOKUP($A65,'Matriz POA 2024-TRABAJO'!$A$5:$CD$9142,72,FALSE)</f>
        <v/>
      </c>
      <c r="Y65" s="388">
        <v>0</v>
      </c>
      <c r="Z65" s="388">
        <v>0</v>
      </c>
      <c r="AA65" s="388">
        <v>0</v>
      </c>
      <c r="AB65" s="389"/>
      <c r="AC65" s="389"/>
      <c r="AD65" s="13"/>
      <c r="AE65" s="13"/>
      <c r="AF65" s="13">
        <f t="shared" si="8"/>
        <v>0</v>
      </c>
      <c r="AG65" s="13">
        <f t="shared" si="9"/>
        <v>0</v>
      </c>
      <c r="AH65" s="13">
        <f t="shared" si="13"/>
        <v>0</v>
      </c>
      <c r="AI65" s="129">
        <v>0</v>
      </c>
      <c r="AJ65" s="129">
        <v>0</v>
      </c>
      <c r="AK65" s="129">
        <v>0</v>
      </c>
      <c r="AL65" s="129">
        <v>0</v>
      </c>
      <c r="AM65" s="129">
        <v>0</v>
      </c>
      <c r="AN65" s="129">
        <v>0</v>
      </c>
      <c r="AO65" s="129">
        <v>0</v>
      </c>
      <c r="AP65" s="129">
        <v>0</v>
      </c>
      <c r="AQ65" s="129">
        <v>0</v>
      </c>
      <c r="AR65" s="129">
        <v>0</v>
      </c>
      <c r="AS65" s="129">
        <v>0</v>
      </c>
      <c r="AT65" s="129">
        <v>0</v>
      </c>
      <c r="AU65" s="129"/>
      <c r="AV65" s="13" t="b">
        <f t="shared" si="10"/>
        <v>1</v>
      </c>
      <c r="AW65" s="14"/>
      <c r="AX65" s="15"/>
      <c r="AY65" s="16"/>
      <c r="AZ65" s="15"/>
      <c r="BA65" s="16"/>
      <c r="BB65" s="17">
        <f t="shared" si="14"/>
        <v>0</v>
      </c>
      <c r="BC65" s="12"/>
      <c r="BD65" s="15"/>
      <c r="BE65" s="18"/>
      <c r="BF65" s="12"/>
      <c r="BG65" s="19" t="str">
        <f t="shared" si="15"/>
        <v>enero</v>
      </c>
      <c r="BH65" s="12" t="str">
        <f t="shared" si="11"/>
        <v>Corporación Ciudad Alfaro</v>
      </c>
      <c r="BI65" s="20" t="str">
        <f t="shared" si="12"/>
        <v>N/A</v>
      </c>
    </row>
    <row r="66" spans="1:61" ht="24.95" customHeight="1">
      <c r="A66" s="4">
        <v>479</v>
      </c>
      <c r="B66" s="12" t="str">
        <f>VLOOKUP($A66,'Matriz POA 2024-TRABAJO'!$A$5:$CD$9142,11,FALSE)</f>
        <v>Corporación Ciudad Alfaro</v>
      </c>
      <c r="C66" s="12" t="str">
        <f>VLOOKUP($A66,'Matriz POA 2024-TRABAJO'!$A$5:$CD$9142,14,FALSE)</f>
        <v>N/A</v>
      </c>
      <c r="D66" s="12" t="str">
        <f>VLOOKUP($A66,'Matriz POA 2024-TRABAJO'!$A$5:$CD$9142,15,FALSE)</f>
        <v>N/A</v>
      </c>
      <c r="E66" s="12" t="str">
        <f>VLOOKUP($A66,'Matriz POA 2024-TRABAJO'!$A$5:$CD$9142,18,FALSE)</f>
        <v>N/A</v>
      </c>
      <c r="F66" s="12" t="str">
        <f>VLOOKUP($A66,'Matriz POA 2024-TRABAJO'!$A$5:$CD$9142,20,FALSE)</f>
        <v>N/A</v>
      </c>
      <c r="G66" s="12" t="str">
        <f>VLOOKUP($A66,'Matriz POA 2024-TRABAJO'!$A$5:$CD$9142,21,FALSE)</f>
        <v>N/A</v>
      </c>
      <c r="H66" s="12" t="str">
        <f>VLOOKUP($A66,'Matriz POA 2024-TRABAJO'!$A$5:$CD$9142,22,FALSE)</f>
        <v>N/A</v>
      </c>
      <c r="I66" s="12" t="str">
        <f>VLOOKUP($A66,'Matriz POA 2024-TRABAJO'!$A$5:$CD$9142,23,FALSE)</f>
        <v>NUEVA</v>
      </c>
      <c r="J66" s="12" t="str">
        <f>VLOOKUP($A66,'Matriz POA 2024-TRABAJO'!$A$5:$CD$9142,24,FALSE)</f>
        <v>Mantenimiento, Reparación preventivo y correctivo de los vehículos de la corporación ciudad alfaro</v>
      </c>
      <c r="K66" s="12" t="str">
        <f>VLOOKUP($A66,'Matriz POA 2024-TRABAJO'!$A$5:$CD$9142,25,FALSE)</f>
        <v>0035</v>
      </c>
      <c r="L66" s="12" t="str">
        <f>VLOOKUP($A66,'Matriz POA 2024-TRABAJO'!$A$5:$CD$9142,26,FALSE)</f>
        <v>80</v>
      </c>
      <c r="M66" s="12" t="str">
        <f>VLOOKUP($A66,'Matriz POA 2024-TRABAJO'!$A$5:$CD$9142,27,FALSE)</f>
        <v>000</v>
      </c>
      <c r="N66" s="12" t="str">
        <f>VLOOKUP($A66,'Matriz POA 2024-TRABAJO'!$A$5:$CD$9142,28,FALSE)</f>
        <v>002</v>
      </c>
      <c r="O66" s="12" t="str">
        <f>VLOOKUP($A66,'Matriz POA 2024-TRABAJO'!$A$5:$CD$9142,29,FALSE)</f>
        <v>53</v>
      </c>
      <c r="P66" s="12">
        <f>VLOOKUP($A66,'Matriz POA 2024-TRABAJO'!$A$5:$CD$9142,30,FALSE)</f>
        <v>530405</v>
      </c>
      <c r="Q66" s="12">
        <f>VLOOKUP($A66,'Matriz POA 2024-TRABAJO'!$A$5:$CD$9142,32,FALSE)</f>
        <v>1309</v>
      </c>
      <c r="R66" s="12" t="str">
        <f>VLOOKUP($A66,'Matriz POA 2024-TRABAJO'!$A$5:$CD$9142,33,FALSE)</f>
        <v>001</v>
      </c>
      <c r="S66" s="12" t="str">
        <f>VLOOKUP($A66,'Matriz POA 2024-TRABAJO'!$A$5:$CD$9142,34,FALSE)</f>
        <v>0000</v>
      </c>
      <c r="T66" s="12" t="str">
        <f>VLOOKUP($A66,'Matriz POA 2024-TRABAJO'!$A$5:$CD$9142,35,FALSE)</f>
        <v>0000</v>
      </c>
      <c r="U66" s="62">
        <f>VLOOKUP($A66,'Matriz POA 2024-TRABAJO'!$A$5:$CD$9142,66,FALSE)</f>
        <v>14158.92</v>
      </c>
      <c r="V66" s="62">
        <f>VLOOKUP($A66,'Matriz POA 2024-TRABAJO'!$A$5:$CD$9142,67,FALSE)</f>
        <v>-7578.920000000001</v>
      </c>
      <c r="W66" s="62">
        <f>VLOOKUP($A66,'Matriz POA 2024-TRABAJO'!$A$5:$CD$9142,68,FALSE)</f>
        <v>0</v>
      </c>
      <c r="X66" s="62">
        <f>VLOOKUP($A66,'Matriz POA 2024-TRABAJO'!$A$5:$CD$9142,72,FALSE)</f>
        <v>6580</v>
      </c>
      <c r="Y66" s="388">
        <v>8079.4599999999991</v>
      </c>
      <c r="Z66" s="388">
        <v>0</v>
      </c>
      <c r="AA66" s="388">
        <v>8079.4599999999991</v>
      </c>
      <c r="AB66" s="389"/>
      <c r="AC66" s="389"/>
      <c r="AD66" s="13"/>
      <c r="AE66" s="13"/>
      <c r="AF66" s="13">
        <f t="shared" si="8"/>
        <v>8079.4599999999991</v>
      </c>
      <c r="AG66" s="13">
        <f t="shared" si="9"/>
        <v>0</v>
      </c>
      <c r="AH66" s="13">
        <f t="shared" si="13"/>
        <v>8079.4599999999991</v>
      </c>
      <c r="AI66" s="129">
        <v>0</v>
      </c>
      <c r="AJ66" s="129">
        <v>0</v>
      </c>
      <c r="AK66" s="129">
        <v>0</v>
      </c>
      <c r="AL66" s="129">
        <v>0</v>
      </c>
      <c r="AM66" s="129">
        <v>8079.46</v>
      </c>
      <c r="AN66" s="129">
        <v>0</v>
      </c>
      <c r="AO66" s="129">
        <v>0</v>
      </c>
      <c r="AP66" s="129">
        <v>0</v>
      </c>
      <c r="AQ66" s="129">
        <v>0</v>
      </c>
      <c r="AR66" s="129">
        <v>0</v>
      </c>
      <c r="AS66" s="129">
        <v>0</v>
      </c>
      <c r="AT66" s="129">
        <v>0</v>
      </c>
      <c r="AU66" s="129"/>
      <c r="AV66" s="13" t="b">
        <f t="shared" si="10"/>
        <v>1</v>
      </c>
      <c r="AW66" s="14"/>
      <c r="AX66" s="15"/>
      <c r="AY66" s="16"/>
      <c r="AZ66" s="15"/>
      <c r="BA66" s="16"/>
      <c r="BB66" s="17">
        <f t="shared" si="14"/>
        <v>0</v>
      </c>
      <c r="BC66" s="12"/>
      <c r="BD66" s="15"/>
      <c r="BE66" s="18"/>
      <c r="BF66" s="12"/>
      <c r="BG66" s="19" t="str">
        <f t="shared" si="15"/>
        <v>enero</v>
      </c>
      <c r="BH66" s="12" t="str">
        <f t="shared" si="11"/>
        <v>Corporación Ciudad Alfaro</v>
      </c>
      <c r="BI66" s="20" t="str">
        <f t="shared" si="12"/>
        <v>N/A</v>
      </c>
    </row>
    <row r="67" spans="1:61" ht="24.95" customHeight="1">
      <c r="A67" s="4">
        <v>480</v>
      </c>
      <c r="B67" s="12" t="str">
        <f>VLOOKUP($A67,'Matriz POA 2024-TRABAJO'!$A$5:$CD$9142,11,FALSE)</f>
        <v>Corporación Ciudad Alfaro</v>
      </c>
      <c r="C67" s="12" t="str">
        <f>VLOOKUP($A67,'Matriz POA 2024-TRABAJO'!$A$5:$CD$9142,14,FALSE)</f>
        <v>N/A</v>
      </c>
      <c r="D67" s="12" t="str">
        <f>VLOOKUP($A67,'Matriz POA 2024-TRABAJO'!$A$5:$CD$9142,15,FALSE)</f>
        <v>N/A</v>
      </c>
      <c r="E67" s="12" t="str">
        <f>VLOOKUP($A67,'Matriz POA 2024-TRABAJO'!$A$5:$CD$9142,18,FALSE)</f>
        <v>N/A</v>
      </c>
      <c r="F67" s="12" t="str">
        <f>VLOOKUP($A67,'Matriz POA 2024-TRABAJO'!$A$5:$CD$9142,20,FALSE)</f>
        <v>N/A</v>
      </c>
      <c r="G67" s="12" t="str">
        <f>VLOOKUP($A67,'Matriz POA 2024-TRABAJO'!$A$5:$CD$9142,21,FALSE)</f>
        <v>N/A</v>
      </c>
      <c r="H67" s="12" t="str">
        <f>VLOOKUP($A67,'Matriz POA 2024-TRABAJO'!$A$5:$CD$9142,22,FALSE)</f>
        <v>N/A</v>
      </c>
      <c r="I67" s="12" t="str">
        <f>VLOOKUP($A67,'Matriz POA 2024-TRABAJO'!$A$5:$CD$9142,23,FALSE)</f>
        <v>NUEVA</v>
      </c>
      <c r="J67" s="12" t="str">
        <f>VLOOKUP($A67,'Matriz POA 2024-TRABAJO'!$A$5:$CD$9142,24,FALSE)</f>
        <v>Adquisición  de suministros y materiales de oficina para la corporación ciudad alfaro y sus sedes</v>
      </c>
      <c r="K67" s="12" t="str">
        <f>VLOOKUP($A67,'Matriz POA 2024-TRABAJO'!$A$5:$CD$9142,25,FALSE)</f>
        <v>0035</v>
      </c>
      <c r="L67" s="12" t="str">
        <f>VLOOKUP($A67,'Matriz POA 2024-TRABAJO'!$A$5:$CD$9142,26,FALSE)</f>
        <v>80</v>
      </c>
      <c r="M67" s="12" t="str">
        <f>VLOOKUP($A67,'Matriz POA 2024-TRABAJO'!$A$5:$CD$9142,27,FALSE)</f>
        <v>000</v>
      </c>
      <c r="N67" s="12" t="str">
        <f>VLOOKUP($A67,'Matriz POA 2024-TRABAJO'!$A$5:$CD$9142,28,FALSE)</f>
        <v>002</v>
      </c>
      <c r="O67" s="12" t="str">
        <f>VLOOKUP($A67,'Matriz POA 2024-TRABAJO'!$A$5:$CD$9142,29,FALSE)</f>
        <v>53</v>
      </c>
      <c r="P67" s="12">
        <f>VLOOKUP($A67,'Matriz POA 2024-TRABAJO'!$A$5:$CD$9142,30,FALSE)</f>
        <v>530804</v>
      </c>
      <c r="Q67" s="12">
        <f>VLOOKUP($A67,'Matriz POA 2024-TRABAJO'!$A$5:$CD$9142,32,FALSE)</f>
        <v>1309</v>
      </c>
      <c r="R67" s="12" t="str">
        <f>VLOOKUP($A67,'Matriz POA 2024-TRABAJO'!$A$5:$CD$9142,33,FALSE)</f>
        <v>001</v>
      </c>
      <c r="S67" s="12" t="str">
        <f>VLOOKUP($A67,'Matriz POA 2024-TRABAJO'!$A$5:$CD$9142,34,FALSE)</f>
        <v>0000</v>
      </c>
      <c r="T67" s="12" t="str">
        <f>VLOOKUP($A67,'Matriz POA 2024-TRABAJO'!$A$5:$CD$9142,35,FALSE)</f>
        <v>0000</v>
      </c>
      <c r="U67" s="62">
        <f>VLOOKUP($A67,'Matriz POA 2024-TRABAJO'!$A$5:$CD$9142,66,FALSE)</f>
        <v>8000</v>
      </c>
      <c r="V67" s="62">
        <f>VLOOKUP($A67,'Matriz POA 2024-TRABAJO'!$A$5:$CD$9142,67,FALSE)</f>
        <v>-4000</v>
      </c>
      <c r="W67" s="62">
        <f>VLOOKUP($A67,'Matriz POA 2024-TRABAJO'!$A$5:$CD$9142,68,FALSE)</f>
        <v>4000</v>
      </c>
      <c r="X67" s="62">
        <f>VLOOKUP($A67,'Matriz POA 2024-TRABAJO'!$A$5:$CD$9142,72,FALSE)</f>
        <v>737.4</v>
      </c>
      <c r="Y67" s="388">
        <v>4000</v>
      </c>
      <c r="Z67" s="388">
        <v>0</v>
      </c>
      <c r="AA67" s="388">
        <v>4000</v>
      </c>
      <c r="AB67" s="389"/>
      <c r="AC67" s="389"/>
      <c r="AD67" s="13"/>
      <c r="AE67" s="13"/>
      <c r="AF67" s="13">
        <f t="shared" si="8"/>
        <v>4000</v>
      </c>
      <c r="AG67" s="13">
        <f t="shared" si="9"/>
        <v>0</v>
      </c>
      <c r="AH67" s="13">
        <f t="shared" si="13"/>
        <v>4000</v>
      </c>
      <c r="AI67" s="129">
        <v>0</v>
      </c>
      <c r="AJ67" s="129">
        <v>0</v>
      </c>
      <c r="AK67" s="129">
        <v>0</v>
      </c>
      <c r="AL67" s="129">
        <v>4000</v>
      </c>
      <c r="AM67" s="129">
        <v>0</v>
      </c>
      <c r="AN67" s="129">
        <v>0</v>
      </c>
      <c r="AO67" s="129">
        <v>0</v>
      </c>
      <c r="AP67" s="129">
        <v>0</v>
      </c>
      <c r="AQ67" s="129">
        <v>0</v>
      </c>
      <c r="AR67" s="129">
        <v>0</v>
      </c>
      <c r="AS67" s="129">
        <v>0</v>
      </c>
      <c r="AT67" s="129">
        <v>0</v>
      </c>
      <c r="AU67" s="129"/>
      <c r="AV67" s="13" t="b">
        <f t="shared" si="10"/>
        <v>1</v>
      </c>
      <c r="AW67" s="14"/>
      <c r="AX67" s="15"/>
      <c r="AY67" s="16"/>
      <c r="AZ67" s="15"/>
      <c r="BA67" s="16"/>
      <c r="BB67" s="17">
        <f t="shared" si="14"/>
        <v>0</v>
      </c>
      <c r="BC67" s="12"/>
      <c r="BD67" s="15"/>
      <c r="BE67" s="18"/>
      <c r="BF67" s="12"/>
      <c r="BG67" s="19" t="str">
        <f t="shared" si="15"/>
        <v>enero</v>
      </c>
      <c r="BH67" s="12" t="str">
        <f t="shared" si="11"/>
        <v>Corporación Ciudad Alfaro</v>
      </c>
      <c r="BI67" s="20" t="str">
        <f t="shared" si="12"/>
        <v>N/A</v>
      </c>
    </row>
    <row r="68" spans="1:61" ht="24.95" customHeight="1">
      <c r="A68" s="4">
        <v>481</v>
      </c>
      <c r="B68" s="12" t="str">
        <f>VLOOKUP($A68,'Matriz POA 2024-TRABAJO'!$A$5:$CD$9142,11,FALSE)</f>
        <v>Corporación Ciudad Alfaro</v>
      </c>
      <c r="C68" s="12" t="str">
        <f>VLOOKUP($A68,'Matriz POA 2024-TRABAJO'!$A$5:$CD$9142,14,FALSE)</f>
        <v>N/A</v>
      </c>
      <c r="D68" s="12" t="str">
        <f>VLOOKUP($A68,'Matriz POA 2024-TRABAJO'!$A$5:$CD$9142,15,FALSE)</f>
        <v>N/A</v>
      </c>
      <c r="E68" s="12" t="str">
        <f>VLOOKUP($A68,'Matriz POA 2024-TRABAJO'!$A$5:$CD$9142,18,FALSE)</f>
        <v>N/A</v>
      </c>
      <c r="F68" s="12" t="str">
        <f>VLOOKUP($A68,'Matriz POA 2024-TRABAJO'!$A$5:$CD$9142,20,FALSE)</f>
        <v>N/A</v>
      </c>
      <c r="G68" s="12" t="str">
        <f>VLOOKUP($A68,'Matriz POA 2024-TRABAJO'!$A$5:$CD$9142,21,FALSE)</f>
        <v>N/A</v>
      </c>
      <c r="H68" s="12" t="str">
        <f>VLOOKUP($A68,'Matriz POA 2024-TRABAJO'!$A$5:$CD$9142,22,FALSE)</f>
        <v>N/A</v>
      </c>
      <c r="I68" s="12" t="str">
        <f>VLOOKUP($A68,'Matriz POA 2024-TRABAJO'!$A$5:$CD$9142,23,FALSE)</f>
        <v>NUEVA</v>
      </c>
      <c r="J68" s="12" t="str">
        <f>VLOOKUP($A68,'Matriz POA 2024-TRABAJO'!$A$5:$CD$9142,24,FALSE)</f>
        <v>Adquisición de tonners y tintas para las impresoras de la corporación ciudad alfaro y sus sedes</v>
      </c>
      <c r="K68" s="12" t="str">
        <f>VLOOKUP($A68,'Matriz POA 2024-TRABAJO'!$A$5:$CD$9142,25,FALSE)</f>
        <v>0035</v>
      </c>
      <c r="L68" s="12" t="str">
        <f>VLOOKUP($A68,'Matriz POA 2024-TRABAJO'!$A$5:$CD$9142,26,FALSE)</f>
        <v>80</v>
      </c>
      <c r="M68" s="12" t="str">
        <f>VLOOKUP($A68,'Matriz POA 2024-TRABAJO'!$A$5:$CD$9142,27,FALSE)</f>
        <v>000</v>
      </c>
      <c r="N68" s="12" t="str">
        <f>VLOOKUP($A68,'Matriz POA 2024-TRABAJO'!$A$5:$CD$9142,28,FALSE)</f>
        <v>002</v>
      </c>
      <c r="O68" s="12" t="str">
        <f>VLOOKUP($A68,'Matriz POA 2024-TRABAJO'!$A$5:$CD$9142,29,FALSE)</f>
        <v>53</v>
      </c>
      <c r="P68" s="12">
        <f>VLOOKUP($A68,'Matriz POA 2024-TRABAJO'!$A$5:$CD$9142,30,FALSE)</f>
        <v>530807</v>
      </c>
      <c r="Q68" s="12">
        <f>VLOOKUP($A68,'Matriz POA 2024-TRABAJO'!$A$5:$CD$9142,32,FALSE)</f>
        <v>1309</v>
      </c>
      <c r="R68" s="12" t="str">
        <f>VLOOKUP($A68,'Matriz POA 2024-TRABAJO'!$A$5:$CD$9142,33,FALSE)</f>
        <v>001</v>
      </c>
      <c r="S68" s="12" t="str">
        <f>VLOOKUP($A68,'Matriz POA 2024-TRABAJO'!$A$5:$CD$9142,34,FALSE)</f>
        <v>0000</v>
      </c>
      <c r="T68" s="12" t="str">
        <f>VLOOKUP($A68,'Matriz POA 2024-TRABAJO'!$A$5:$CD$9142,35,FALSE)</f>
        <v>0000</v>
      </c>
      <c r="U68" s="62">
        <f>VLOOKUP($A68,'Matriz POA 2024-TRABAJO'!$A$5:$CD$9142,66,FALSE)</f>
        <v>2000</v>
      </c>
      <c r="V68" s="62">
        <f>VLOOKUP($A68,'Matriz POA 2024-TRABAJO'!$A$5:$CD$9142,67,FALSE)</f>
        <v>-1321</v>
      </c>
      <c r="W68" s="62">
        <f>VLOOKUP($A68,'Matriz POA 2024-TRABAJO'!$A$5:$CD$9142,68,FALSE)</f>
        <v>0</v>
      </c>
      <c r="X68" s="62">
        <f>VLOOKUP($A68,'Matriz POA 2024-TRABAJO'!$A$5:$CD$9142,72,FALSE)</f>
        <v>679</v>
      </c>
      <c r="Y68" s="388">
        <v>2000</v>
      </c>
      <c r="Z68" s="388">
        <v>0</v>
      </c>
      <c r="AA68" s="388">
        <v>2000</v>
      </c>
      <c r="AB68" s="389"/>
      <c r="AC68" s="389"/>
      <c r="AD68" s="13"/>
      <c r="AE68" s="13"/>
      <c r="AF68" s="13">
        <f t="shared" si="8"/>
        <v>2000</v>
      </c>
      <c r="AG68" s="13">
        <f t="shared" si="9"/>
        <v>0</v>
      </c>
      <c r="AH68" s="13">
        <f t="shared" si="13"/>
        <v>2000</v>
      </c>
      <c r="AI68" s="129">
        <v>0</v>
      </c>
      <c r="AJ68" s="129">
        <v>0</v>
      </c>
      <c r="AK68" s="129">
        <v>0</v>
      </c>
      <c r="AL68" s="129">
        <v>2000</v>
      </c>
      <c r="AM68" s="129">
        <v>0</v>
      </c>
      <c r="AN68" s="129">
        <v>0</v>
      </c>
      <c r="AO68" s="129">
        <v>0</v>
      </c>
      <c r="AP68" s="129">
        <v>0</v>
      </c>
      <c r="AQ68" s="129">
        <v>0</v>
      </c>
      <c r="AR68" s="129">
        <v>0</v>
      </c>
      <c r="AS68" s="129">
        <v>0</v>
      </c>
      <c r="AT68" s="129">
        <v>0</v>
      </c>
      <c r="AU68" s="129"/>
      <c r="AV68" s="13" t="b">
        <f t="shared" si="10"/>
        <v>1</v>
      </c>
      <c r="AW68" s="14"/>
      <c r="AX68" s="15"/>
      <c r="AY68" s="16"/>
      <c r="AZ68" s="15"/>
      <c r="BA68" s="16"/>
      <c r="BB68" s="17">
        <f t="shared" si="14"/>
        <v>0</v>
      </c>
      <c r="BC68" s="12"/>
      <c r="BD68" s="15"/>
      <c r="BE68" s="18"/>
      <c r="BF68" s="12"/>
      <c r="BG68" s="19" t="str">
        <f t="shared" si="15"/>
        <v>enero</v>
      </c>
      <c r="BH68" s="12" t="str">
        <f t="shared" si="11"/>
        <v>Corporación Ciudad Alfaro</v>
      </c>
      <c r="BI68" s="20" t="str">
        <f t="shared" si="12"/>
        <v>N/A</v>
      </c>
    </row>
    <row r="69" spans="1:61" ht="24.95" customHeight="1">
      <c r="A69" s="4">
        <v>482</v>
      </c>
      <c r="B69" s="12" t="str">
        <f>VLOOKUP($A69,'Matriz POA 2024-TRABAJO'!$A$5:$CD$9142,11,FALSE)</f>
        <v>Corporación Ciudad Alfaro</v>
      </c>
      <c r="C69" s="12" t="str">
        <f>VLOOKUP($A69,'Matriz POA 2024-TRABAJO'!$A$5:$CD$9142,14,FALSE)</f>
        <v>N/A</v>
      </c>
      <c r="D69" s="12" t="str">
        <f>VLOOKUP($A69,'Matriz POA 2024-TRABAJO'!$A$5:$CD$9142,15,FALSE)</f>
        <v>N/A</v>
      </c>
      <c r="E69" s="12" t="str">
        <f>VLOOKUP($A69,'Matriz POA 2024-TRABAJO'!$A$5:$CD$9142,18,FALSE)</f>
        <v>N/A</v>
      </c>
      <c r="F69" s="12" t="str">
        <f>VLOOKUP($A69,'Matriz POA 2024-TRABAJO'!$A$5:$CD$9142,20,FALSE)</f>
        <v>N/A</v>
      </c>
      <c r="G69" s="12" t="str">
        <f>VLOOKUP($A69,'Matriz POA 2024-TRABAJO'!$A$5:$CD$9142,21,FALSE)</f>
        <v>N/A</v>
      </c>
      <c r="H69" s="12" t="str">
        <f>VLOOKUP($A69,'Matriz POA 2024-TRABAJO'!$A$5:$CD$9142,22,FALSE)</f>
        <v>N/A</v>
      </c>
      <c r="I69" s="12" t="str">
        <f>VLOOKUP($A69,'Matriz POA 2024-TRABAJO'!$A$5:$CD$9142,23,FALSE)</f>
        <v>NUEVA</v>
      </c>
      <c r="J69" s="12" t="str">
        <f>VLOOKUP($A69,'Matriz POA 2024-TRABAJO'!$A$5:$CD$9142,24,FALSE)</f>
        <v>Mantenimiento preventivo y correctivo de las cerchas metálicas, ventanas, puertas y mampostería de la corporación ciudad alfaro</v>
      </c>
      <c r="K69" s="12" t="str">
        <f>VLOOKUP($A69,'Matriz POA 2024-TRABAJO'!$A$5:$CD$9142,25,FALSE)</f>
        <v>0035</v>
      </c>
      <c r="L69" s="12" t="str">
        <f>VLOOKUP($A69,'Matriz POA 2024-TRABAJO'!$A$5:$CD$9142,26,FALSE)</f>
        <v>80</v>
      </c>
      <c r="M69" s="12" t="str">
        <f>VLOOKUP($A69,'Matriz POA 2024-TRABAJO'!$A$5:$CD$9142,27,FALSE)</f>
        <v>000</v>
      </c>
      <c r="N69" s="12" t="str">
        <f>VLOOKUP($A69,'Matriz POA 2024-TRABAJO'!$A$5:$CD$9142,28,FALSE)</f>
        <v>002</v>
      </c>
      <c r="O69" s="12" t="str">
        <f>VLOOKUP($A69,'Matriz POA 2024-TRABAJO'!$A$5:$CD$9142,29,FALSE)</f>
        <v>53</v>
      </c>
      <c r="P69" s="12">
        <f>VLOOKUP($A69,'Matriz POA 2024-TRABAJO'!$A$5:$CD$9142,30,FALSE)</f>
        <v>530425</v>
      </c>
      <c r="Q69" s="12">
        <f>VLOOKUP($A69,'Matriz POA 2024-TRABAJO'!$A$5:$CD$9142,32,FALSE)</f>
        <v>1309</v>
      </c>
      <c r="R69" s="12" t="str">
        <f>VLOOKUP($A69,'Matriz POA 2024-TRABAJO'!$A$5:$CD$9142,33,FALSE)</f>
        <v>001</v>
      </c>
      <c r="S69" s="12" t="str">
        <f>VLOOKUP($A69,'Matriz POA 2024-TRABAJO'!$A$5:$CD$9142,34,FALSE)</f>
        <v>0000</v>
      </c>
      <c r="T69" s="12" t="str">
        <f>VLOOKUP($A69,'Matriz POA 2024-TRABAJO'!$A$5:$CD$9142,35,FALSE)</f>
        <v>0000</v>
      </c>
      <c r="U69" s="62">
        <f>VLOOKUP($A69,'Matriz POA 2024-TRABAJO'!$A$5:$CD$9142,66,FALSE)</f>
        <v>0</v>
      </c>
      <c r="V69" s="62">
        <f>VLOOKUP($A69,'Matriz POA 2024-TRABAJO'!$A$5:$CD$9142,67,FALSE)</f>
        <v>0</v>
      </c>
      <c r="W69" s="62">
        <f>VLOOKUP($A69,'Matriz POA 2024-TRABAJO'!$A$5:$CD$9142,68,FALSE)</f>
        <v>0</v>
      </c>
      <c r="X69" s="62" t="str">
        <f>VLOOKUP($A69,'Matriz POA 2024-TRABAJO'!$A$5:$CD$9142,72,FALSE)</f>
        <v/>
      </c>
      <c r="Y69" s="388">
        <v>7000</v>
      </c>
      <c r="Z69" s="388">
        <v>0</v>
      </c>
      <c r="AA69" s="388">
        <v>7000</v>
      </c>
      <c r="AB69" s="389"/>
      <c r="AC69" s="389"/>
      <c r="AD69" s="13"/>
      <c r="AE69" s="13"/>
      <c r="AF69" s="13">
        <f t="shared" si="8"/>
        <v>7000</v>
      </c>
      <c r="AG69" s="13">
        <f t="shared" si="9"/>
        <v>0</v>
      </c>
      <c r="AH69" s="13">
        <f t="shared" si="13"/>
        <v>7000</v>
      </c>
      <c r="AI69" s="129">
        <v>0</v>
      </c>
      <c r="AJ69" s="129">
        <v>0</v>
      </c>
      <c r="AK69" s="129">
        <v>0</v>
      </c>
      <c r="AL69" s="129">
        <v>7000</v>
      </c>
      <c r="AM69" s="129">
        <v>0</v>
      </c>
      <c r="AN69" s="129">
        <v>0</v>
      </c>
      <c r="AO69" s="129">
        <v>0</v>
      </c>
      <c r="AP69" s="129">
        <v>0</v>
      </c>
      <c r="AQ69" s="129">
        <v>0</v>
      </c>
      <c r="AR69" s="129">
        <v>0</v>
      </c>
      <c r="AS69" s="129">
        <v>0</v>
      </c>
      <c r="AT69" s="129">
        <v>0</v>
      </c>
      <c r="AU69" s="129"/>
      <c r="AV69" s="13" t="b">
        <f t="shared" si="10"/>
        <v>1</v>
      </c>
      <c r="AW69" s="14"/>
      <c r="AX69" s="15"/>
      <c r="AY69" s="16"/>
      <c r="AZ69" s="15"/>
      <c r="BA69" s="16"/>
      <c r="BB69" s="17">
        <f t="shared" si="14"/>
        <v>0</v>
      </c>
      <c r="BC69" s="12"/>
      <c r="BD69" s="15"/>
      <c r="BE69" s="18"/>
      <c r="BF69" s="12"/>
      <c r="BG69" s="19" t="str">
        <f t="shared" si="15"/>
        <v>enero</v>
      </c>
      <c r="BH69" s="12" t="str">
        <f t="shared" si="11"/>
        <v>Corporación Ciudad Alfaro</v>
      </c>
      <c r="BI69" s="20" t="str">
        <f t="shared" si="12"/>
        <v>N/A</v>
      </c>
    </row>
    <row r="70" spans="1:61" ht="24.95" customHeight="1">
      <c r="A70" s="4">
        <v>483</v>
      </c>
      <c r="B70" s="12" t="str">
        <f>VLOOKUP($A70,'Matriz POA 2024-TRABAJO'!$A$5:$CD$9142,11,FALSE)</f>
        <v>Corporación Ciudad Alfaro</v>
      </c>
      <c r="C70" s="12" t="str">
        <f>VLOOKUP($A70,'Matriz POA 2024-TRABAJO'!$A$5:$CD$9142,14,FALSE)</f>
        <v>N/A</v>
      </c>
      <c r="D70" s="12" t="str">
        <f>VLOOKUP($A70,'Matriz POA 2024-TRABAJO'!$A$5:$CD$9142,15,FALSE)</f>
        <v>N/A</v>
      </c>
      <c r="E70" s="12" t="str">
        <f>VLOOKUP($A70,'Matriz POA 2024-TRABAJO'!$A$5:$CD$9142,18,FALSE)</f>
        <v>N/A</v>
      </c>
      <c r="F70" s="12" t="str">
        <f>VLOOKUP($A70,'Matriz POA 2024-TRABAJO'!$A$5:$CD$9142,20,FALSE)</f>
        <v>N/A</v>
      </c>
      <c r="G70" s="12" t="str">
        <f>VLOOKUP($A70,'Matriz POA 2024-TRABAJO'!$A$5:$CD$9142,21,FALSE)</f>
        <v>N/A</v>
      </c>
      <c r="H70" s="12" t="str">
        <f>VLOOKUP($A70,'Matriz POA 2024-TRABAJO'!$A$5:$CD$9142,22,FALSE)</f>
        <v>N/A</v>
      </c>
      <c r="I70" s="12" t="str">
        <f>VLOOKUP($A70,'Matriz POA 2024-TRABAJO'!$A$5:$CD$9142,23,FALSE)</f>
        <v>NUEVA</v>
      </c>
      <c r="J70" s="12" t="str">
        <f>VLOOKUP($A70,'Matriz POA 2024-TRABAJO'!$A$5:$CD$9142,24,FALSE)</f>
        <v>Mantenimiento y reparación de las puertas enrollables de la corporación ciudad alfaro y sus sedes</v>
      </c>
      <c r="K70" s="12" t="str">
        <f>VLOOKUP($A70,'Matriz POA 2024-TRABAJO'!$A$5:$CD$9142,25,FALSE)</f>
        <v>0035</v>
      </c>
      <c r="L70" s="12" t="str">
        <f>VLOOKUP($A70,'Matriz POA 2024-TRABAJO'!$A$5:$CD$9142,26,FALSE)</f>
        <v>80</v>
      </c>
      <c r="M70" s="12" t="str">
        <f>VLOOKUP($A70,'Matriz POA 2024-TRABAJO'!$A$5:$CD$9142,27,FALSE)</f>
        <v>000</v>
      </c>
      <c r="N70" s="12" t="str">
        <f>VLOOKUP($A70,'Matriz POA 2024-TRABAJO'!$A$5:$CD$9142,28,FALSE)</f>
        <v>002</v>
      </c>
      <c r="O70" s="12" t="str">
        <f>VLOOKUP($A70,'Matriz POA 2024-TRABAJO'!$A$5:$CD$9142,29,FALSE)</f>
        <v>53</v>
      </c>
      <c r="P70" s="12">
        <f>VLOOKUP($A70,'Matriz POA 2024-TRABAJO'!$A$5:$CD$9142,30,FALSE)</f>
        <v>530403</v>
      </c>
      <c r="Q70" s="12">
        <f>VLOOKUP($A70,'Matriz POA 2024-TRABAJO'!$A$5:$CD$9142,32,FALSE)</f>
        <v>1309</v>
      </c>
      <c r="R70" s="12" t="str">
        <f>VLOOKUP($A70,'Matriz POA 2024-TRABAJO'!$A$5:$CD$9142,33,FALSE)</f>
        <v>001</v>
      </c>
      <c r="S70" s="12" t="str">
        <f>VLOOKUP($A70,'Matriz POA 2024-TRABAJO'!$A$5:$CD$9142,34,FALSE)</f>
        <v>0000</v>
      </c>
      <c r="T70" s="12" t="str">
        <f>VLOOKUP($A70,'Matriz POA 2024-TRABAJO'!$A$5:$CD$9142,35,FALSE)</f>
        <v>0000</v>
      </c>
      <c r="U70" s="62">
        <f>VLOOKUP($A70,'Matriz POA 2024-TRABAJO'!$A$5:$CD$9142,66,FALSE)</f>
        <v>8000</v>
      </c>
      <c r="V70" s="62">
        <f>VLOOKUP($A70,'Matriz POA 2024-TRABAJO'!$A$5:$CD$9142,67,FALSE)</f>
        <v>-8000</v>
      </c>
      <c r="W70" s="62">
        <f>VLOOKUP($A70,'Matriz POA 2024-TRABAJO'!$A$5:$CD$9142,68,FALSE)</f>
        <v>0</v>
      </c>
      <c r="X70" s="62" t="str">
        <f>VLOOKUP($A70,'Matriz POA 2024-TRABAJO'!$A$5:$CD$9142,72,FALSE)</f>
        <v/>
      </c>
      <c r="Y70" s="388">
        <v>5000</v>
      </c>
      <c r="Z70" s="388">
        <v>0</v>
      </c>
      <c r="AA70" s="388">
        <v>5000</v>
      </c>
      <c r="AB70" s="389"/>
      <c r="AC70" s="389"/>
      <c r="AD70" s="13"/>
      <c r="AE70" s="13"/>
      <c r="AF70" s="13">
        <f t="shared" si="8"/>
        <v>5000</v>
      </c>
      <c r="AG70" s="13">
        <f t="shared" si="9"/>
        <v>0</v>
      </c>
      <c r="AH70" s="13">
        <f t="shared" si="13"/>
        <v>5000</v>
      </c>
      <c r="AI70" s="129">
        <v>0</v>
      </c>
      <c r="AJ70" s="129">
        <v>0</v>
      </c>
      <c r="AK70" s="129">
        <v>5000</v>
      </c>
      <c r="AL70" s="129">
        <v>0</v>
      </c>
      <c r="AM70" s="129">
        <v>0</v>
      </c>
      <c r="AN70" s="129">
        <v>0</v>
      </c>
      <c r="AO70" s="129">
        <v>0</v>
      </c>
      <c r="AP70" s="129">
        <v>0</v>
      </c>
      <c r="AQ70" s="129">
        <v>0</v>
      </c>
      <c r="AR70" s="129">
        <v>0</v>
      </c>
      <c r="AS70" s="129">
        <v>0</v>
      </c>
      <c r="AT70" s="129">
        <v>0</v>
      </c>
      <c r="AU70" s="129"/>
      <c r="AV70" s="13" t="b">
        <f t="shared" si="10"/>
        <v>1</v>
      </c>
      <c r="AW70" s="14"/>
      <c r="AX70" s="15"/>
      <c r="AY70" s="16"/>
      <c r="AZ70" s="15"/>
      <c r="BA70" s="16"/>
      <c r="BB70" s="17">
        <f t="shared" si="14"/>
        <v>0</v>
      </c>
      <c r="BC70" s="12"/>
      <c r="BD70" s="15"/>
      <c r="BE70" s="18"/>
      <c r="BF70" s="12"/>
      <c r="BG70" s="19" t="str">
        <f t="shared" si="15"/>
        <v>enero</v>
      </c>
      <c r="BH70" s="12" t="str">
        <f t="shared" si="11"/>
        <v>Corporación Ciudad Alfaro</v>
      </c>
      <c r="BI70" s="20" t="str">
        <f t="shared" si="12"/>
        <v>N/A</v>
      </c>
    </row>
    <row r="71" spans="1:61" ht="24.95" customHeight="1">
      <c r="A71" s="4">
        <v>484</v>
      </c>
      <c r="B71" s="12" t="str">
        <f>VLOOKUP($A71,'Matriz POA 2024-TRABAJO'!$A$5:$CD$9142,11,FALSE)</f>
        <v>Corporación Ciudad Alfaro</v>
      </c>
      <c r="C71" s="12" t="str">
        <f>VLOOKUP($A71,'Matriz POA 2024-TRABAJO'!$A$5:$CD$9142,14,FALSE)</f>
        <v>N/A</v>
      </c>
      <c r="D71" s="12" t="str">
        <f>VLOOKUP($A71,'Matriz POA 2024-TRABAJO'!$A$5:$CD$9142,15,FALSE)</f>
        <v>N/A</v>
      </c>
      <c r="E71" s="12" t="str">
        <f>VLOOKUP($A71,'Matriz POA 2024-TRABAJO'!$A$5:$CD$9142,18,FALSE)</f>
        <v>N/A</v>
      </c>
      <c r="F71" s="12" t="str">
        <f>VLOOKUP($A71,'Matriz POA 2024-TRABAJO'!$A$5:$CD$9142,20,FALSE)</f>
        <v>N/A</v>
      </c>
      <c r="G71" s="12" t="str">
        <f>VLOOKUP($A71,'Matriz POA 2024-TRABAJO'!$A$5:$CD$9142,21,FALSE)</f>
        <v>N/A</v>
      </c>
      <c r="H71" s="12" t="str">
        <f>VLOOKUP($A71,'Matriz POA 2024-TRABAJO'!$A$5:$CD$9142,22,FALSE)</f>
        <v>N/A</v>
      </c>
      <c r="I71" s="12" t="str">
        <f>VLOOKUP($A71,'Matriz POA 2024-TRABAJO'!$A$5:$CD$9142,23,FALSE)</f>
        <v>NUEVA</v>
      </c>
      <c r="J71" s="12" t="str">
        <f>VLOOKUP($A71,'Matriz POA 2024-TRABAJO'!$A$5:$CD$9142,24,FALSE)</f>
        <v>Construcción de cubierta en la sede del Museo Bahía de Caráquez</v>
      </c>
      <c r="K71" s="12" t="str">
        <f>VLOOKUP($A71,'Matriz POA 2024-TRABAJO'!$A$5:$CD$9142,25,FALSE)</f>
        <v>0035</v>
      </c>
      <c r="L71" s="12" t="str">
        <f>VLOOKUP($A71,'Matriz POA 2024-TRABAJO'!$A$5:$CD$9142,26,FALSE)</f>
        <v>80</v>
      </c>
      <c r="M71" s="12" t="str">
        <f>VLOOKUP($A71,'Matriz POA 2024-TRABAJO'!$A$5:$CD$9142,27,FALSE)</f>
        <v>000</v>
      </c>
      <c r="N71" s="12" t="str">
        <f>VLOOKUP($A71,'Matriz POA 2024-TRABAJO'!$A$5:$CD$9142,28,FALSE)</f>
        <v>002</v>
      </c>
      <c r="O71" s="12" t="str">
        <f>VLOOKUP($A71,'Matriz POA 2024-TRABAJO'!$A$5:$CD$9142,29,FALSE)</f>
        <v>53</v>
      </c>
      <c r="P71" s="12">
        <f>VLOOKUP($A71,'Matriz POA 2024-TRABAJO'!$A$5:$CD$9142,30,FALSE)</f>
        <v>530425</v>
      </c>
      <c r="Q71" s="12">
        <f>VLOOKUP($A71,'Matriz POA 2024-TRABAJO'!$A$5:$CD$9142,32,FALSE)</f>
        <v>1314</v>
      </c>
      <c r="R71" s="12" t="str">
        <f>VLOOKUP($A71,'Matriz POA 2024-TRABAJO'!$A$5:$CD$9142,33,FALSE)</f>
        <v>001</v>
      </c>
      <c r="S71" s="12" t="str">
        <f>VLOOKUP($A71,'Matriz POA 2024-TRABAJO'!$A$5:$CD$9142,34,FALSE)</f>
        <v>0000</v>
      </c>
      <c r="T71" s="12" t="str">
        <f>VLOOKUP($A71,'Matriz POA 2024-TRABAJO'!$A$5:$CD$9142,35,FALSE)</f>
        <v>0000</v>
      </c>
      <c r="U71" s="62">
        <f>VLOOKUP($A71,'Matriz POA 2024-TRABAJO'!$A$5:$CD$9142,66,FALSE)</f>
        <v>0</v>
      </c>
      <c r="V71" s="62">
        <f>VLOOKUP($A71,'Matriz POA 2024-TRABAJO'!$A$5:$CD$9142,67,FALSE)</f>
        <v>0</v>
      </c>
      <c r="W71" s="62" t="str">
        <f>VLOOKUP($A71,'Matriz POA 2024-TRABAJO'!$A$5:$CD$9142,68,FALSE)</f>
        <v/>
      </c>
      <c r="X71" s="62" t="str">
        <f>VLOOKUP($A71,'Matriz POA 2024-TRABAJO'!$A$5:$CD$9142,72,FALSE)</f>
        <v/>
      </c>
      <c r="Y71" s="388">
        <v>7000</v>
      </c>
      <c r="Z71" s="388">
        <v>0</v>
      </c>
      <c r="AA71" s="388">
        <v>7000</v>
      </c>
      <c r="AB71" s="389"/>
      <c r="AC71" s="389"/>
      <c r="AD71" s="13"/>
      <c r="AE71" s="13"/>
      <c r="AF71" s="13">
        <f t="shared" si="8"/>
        <v>7000</v>
      </c>
      <c r="AG71" s="13">
        <f t="shared" si="9"/>
        <v>0</v>
      </c>
      <c r="AH71" s="13">
        <f t="shared" si="13"/>
        <v>7000</v>
      </c>
      <c r="AI71" s="129">
        <v>0</v>
      </c>
      <c r="AJ71" s="129">
        <v>0</v>
      </c>
      <c r="AK71" s="129">
        <v>0</v>
      </c>
      <c r="AL71" s="129">
        <v>0</v>
      </c>
      <c r="AM71" s="129">
        <v>7000</v>
      </c>
      <c r="AN71" s="129">
        <v>0</v>
      </c>
      <c r="AO71" s="129">
        <v>0</v>
      </c>
      <c r="AP71" s="129">
        <v>0</v>
      </c>
      <c r="AQ71" s="129">
        <v>0</v>
      </c>
      <c r="AR71" s="129">
        <v>0</v>
      </c>
      <c r="AS71" s="129">
        <v>0</v>
      </c>
      <c r="AT71" s="129">
        <v>0</v>
      </c>
      <c r="AU71" s="129"/>
      <c r="AV71" s="13" t="b">
        <f t="shared" si="10"/>
        <v>1</v>
      </c>
      <c r="AW71" s="14"/>
      <c r="AX71" s="15"/>
      <c r="AY71" s="16"/>
      <c r="AZ71" s="15"/>
      <c r="BA71" s="16"/>
      <c r="BB71" s="17">
        <f t="shared" si="14"/>
        <v>0</v>
      </c>
      <c r="BC71" s="12"/>
      <c r="BD71" s="15"/>
      <c r="BE71" s="18"/>
      <c r="BF71" s="12"/>
      <c r="BG71" s="19" t="str">
        <f t="shared" si="15"/>
        <v>enero</v>
      </c>
      <c r="BH71" s="12" t="str">
        <f t="shared" si="11"/>
        <v>Corporación Ciudad Alfaro</v>
      </c>
      <c r="BI71" s="20" t="str">
        <f t="shared" si="12"/>
        <v>N/A</v>
      </c>
    </row>
    <row r="72" spans="1:61" ht="24.95" customHeight="1">
      <c r="A72" s="4">
        <v>485</v>
      </c>
      <c r="B72" s="12" t="str">
        <f>VLOOKUP($A72,'Matriz POA 2024-TRABAJO'!$A$5:$CD$9142,11,FALSE)</f>
        <v>Corporación Ciudad Alfaro</v>
      </c>
      <c r="C72" s="12" t="str">
        <f>VLOOKUP($A72,'Matriz POA 2024-TRABAJO'!$A$5:$CD$9142,14,FALSE)</f>
        <v>N/A</v>
      </c>
      <c r="D72" s="12" t="str">
        <f>VLOOKUP($A72,'Matriz POA 2024-TRABAJO'!$A$5:$CD$9142,15,FALSE)</f>
        <v>N/A</v>
      </c>
      <c r="E72" s="12" t="str">
        <f>VLOOKUP($A72,'Matriz POA 2024-TRABAJO'!$A$5:$CD$9142,18,FALSE)</f>
        <v>N/A</v>
      </c>
      <c r="F72" s="12" t="str">
        <f>VLOOKUP($A72,'Matriz POA 2024-TRABAJO'!$A$5:$CD$9142,20,FALSE)</f>
        <v>N/A</v>
      </c>
      <c r="G72" s="12" t="str">
        <f>VLOOKUP($A72,'Matriz POA 2024-TRABAJO'!$A$5:$CD$9142,21,FALSE)</f>
        <v>N/A</v>
      </c>
      <c r="H72" s="12" t="str">
        <f>VLOOKUP($A72,'Matriz POA 2024-TRABAJO'!$A$5:$CD$9142,22,FALSE)</f>
        <v>N/A</v>
      </c>
      <c r="I72" s="12" t="str">
        <f>VLOOKUP($A72,'Matriz POA 2024-TRABAJO'!$A$5:$CD$9142,23,FALSE)</f>
        <v>NUEVA</v>
      </c>
      <c r="J72" s="12" t="str">
        <f>VLOOKUP($A72,'Matriz POA 2024-TRABAJO'!$A$5:$CD$9142,24,FALSE)</f>
        <v>Pago del servicio de correo de la Corporación Ciudad Alfaro y sus sedes</v>
      </c>
      <c r="K72" s="12" t="str">
        <f>VLOOKUP($A72,'Matriz POA 2024-TRABAJO'!$A$5:$CD$9142,25,FALSE)</f>
        <v>0035</v>
      </c>
      <c r="L72" s="12" t="str">
        <f>VLOOKUP($A72,'Matriz POA 2024-TRABAJO'!$A$5:$CD$9142,26,FALSE)</f>
        <v>80</v>
      </c>
      <c r="M72" s="12" t="str">
        <f>VLOOKUP($A72,'Matriz POA 2024-TRABAJO'!$A$5:$CD$9142,27,FALSE)</f>
        <v>000</v>
      </c>
      <c r="N72" s="12" t="str">
        <f>VLOOKUP($A72,'Matriz POA 2024-TRABAJO'!$A$5:$CD$9142,28,FALSE)</f>
        <v>002</v>
      </c>
      <c r="O72" s="12" t="str">
        <f>VLOOKUP($A72,'Matriz POA 2024-TRABAJO'!$A$5:$CD$9142,29,FALSE)</f>
        <v>53</v>
      </c>
      <c r="P72" s="12">
        <f>VLOOKUP($A72,'Matriz POA 2024-TRABAJO'!$A$5:$CD$9142,30,FALSE)</f>
        <v>530106</v>
      </c>
      <c r="Q72" s="12">
        <f>VLOOKUP($A72,'Matriz POA 2024-TRABAJO'!$A$5:$CD$9142,32,FALSE)</f>
        <v>1309</v>
      </c>
      <c r="R72" s="12" t="str">
        <f>VLOOKUP($A72,'Matriz POA 2024-TRABAJO'!$A$5:$CD$9142,33,FALSE)</f>
        <v>001</v>
      </c>
      <c r="S72" s="12" t="str">
        <f>VLOOKUP($A72,'Matriz POA 2024-TRABAJO'!$A$5:$CD$9142,34,FALSE)</f>
        <v>0000</v>
      </c>
      <c r="T72" s="12" t="str">
        <f>VLOOKUP($A72,'Matriz POA 2024-TRABAJO'!$A$5:$CD$9142,35,FALSE)</f>
        <v>0000</v>
      </c>
      <c r="U72" s="62" t="str">
        <f>VLOOKUP($A72,'Matriz POA 2024-TRABAJO'!$A$5:$CD$9142,66,FALSE)</f>
        <v/>
      </c>
      <c r="V72" s="62" t="str">
        <f>VLOOKUP($A72,'Matriz POA 2024-TRABAJO'!$A$5:$CD$9142,67,FALSE)</f>
        <v/>
      </c>
      <c r="W72" s="62" t="str">
        <f>VLOOKUP($A72,'Matriz POA 2024-TRABAJO'!$A$5:$CD$9142,68,FALSE)</f>
        <v/>
      </c>
      <c r="X72" s="62" t="str">
        <f>VLOOKUP($A72,'Matriz POA 2024-TRABAJO'!$A$5:$CD$9142,72,FALSE)</f>
        <v/>
      </c>
      <c r="Y72" s="388">
        <v>1000</v>
      </c>
      <c r="Z72" s="388">
        <v>0</v>
      </c>
      <c r="AA72" s="388">
        <v>1000</v>
      </c>
      <c r="AB72" s="389"/>
      <c r="AC72" s="389"/>
      <c r="AD72" s="13"/>
      <c r="AE72" s="13"/>
      <c r="AF72" s="13">
        <f t="shared" si="8"/>
        <v>1000</v>
      </c>
      <c r="AG72" s="13">
        <f t="shared" si="9"/>
        <v>0</v>
      </c>
      <c r="AH72" s="13">
        <f t="shared" si="13"/>
        <v>1000</v>
      </c>
      <c r="AI72" s="129">
        <v>0</v>
      </c>
      <c r="AJ72" s="129">
        <v>100</v>
      </c>
      <c r="AK72" s="129">
        <v>100</v>
      </c>
      <c r="AL72" s="129">
        <v>100</v>
      </c>
      <c r="AM72" s="129">
        <v>100</v>
      </c>
      <c r="AN72" s="129">
        <v>100</v>
      </c>
      <c r="AO72" s="129">
        <v>100</v>
      </c>
      <c r="AP72" s="129">
        <v>100</v>
      </c>
      <c r="AQ72" s="129">
        <v>100</v>
      </c>
      <c r="AR72" s="129">
        <v>100</v>
      </c>
      <c r="AS72" s="129">
        <v>100</v>
      </c>
      <c r="AT72" s="129">
        <v>0</v>
      </c>
      <c r="AU72" s="129"/>
      <c r="AV72" s="13" t="b">
        <f t="shared" si="10"/>
        <v>1</v>
      </c>
      <c r="AW72" s="14"/>
      <c r="AX72" s="15"/>
      <c r="AY72" s="16"/>
      <c r="AZ72" s="15"/>
      <c r="BA72" s="16"/>
      <c r="BB72" s="17">
        <f t="shared" si="14"/>
        <v>0</v>
      </c>
      <c r="BC72" s="12"/>
      <c r="BD72" s="15"/>
      <c r="BE72" s="18"/>
      <c r="BF72" s="12"/>
      <c r="BG72" s="19" t="str">
        <f t="shared" si="15"/>
        <v>enero</v>
      </c>
      <c r="BH72" s="12" t="str">
        <f t="shared" si="11"/>
        <v>Corporación Ciudad Alfaro</v>
      </c>
      <c r="BI72" s="20" t="str">
        <f t="shared" si="12"/>
        <v>N/A</v>
      </c>
    </row>
    <row r="73" spans="1:61" ht="24.95" customHeight="1">
      <c r="A73" s="4">
        <v>486</v>
      </c>
      <c r="B73" s="12" t="str">
        <f>VLOOKUP($A73,'Matriz POA 2024-TRABAJO'!$A$5:$CD$9142,11,FALSE)</f>
        <v>Corporación Ciudad Alfaro</v>
      </c>
      <c r="C73" s="12" t="str">
        <f>VLOOKUP($A73,'Matriz POA 2024-TRABAJO'!$A$5:$CD$9142,14,FALSE)</f>
        <v>N/A</v>
      </c>
      <c r="D73" s="12" t="str">
        <f>VLOOKUP($A73,'Matriz POA 2024-TRABAJO'!$A$5:$CD$9142,15,FALSE)</f>
        <v>N/A</v>
      </c>
      <c r="E73" s="12" t="str">
        <f>VLOOKUP($A73,'Matriz POA 2024-TRABAJO'!$A$5:$CD$9142,18,FALSE)</f>
        <v>N/A</v>
      </c>
      <c r="F73" s="12" t="str">
        <f>VLOOKUP($A73,'Matriz POA 2024-TRABAJO'!$A$5:$CD$9142,20,FALSE)</f>
        <v>N/A</v>
      </c>
      <c r="G73" s="12" t="str">
        <f>VLOOKUP($A73,'Matriz POA 2024-TRABAJO'!$A$5:$CD$9142,21,FALSE)</f>
        <v>N/A</v>
      </c>
      <c r="H73" s="12" t="str">
        <f>VLOOKUP($A73,'Matriz POA 2024-TRABAJO'!$A$5:$CD$9142,22,FALSE)</f>
        <v>N/A</v>
      </c>
      <c r="I73" s="12" t="str">
        <f>VLOOKUP($A73,'Matriz POA 2024-TRABAJO'!$A$5:$CD$9142,23,FALSE)</f>
        <v>NUEVA</v>
      </c>
      <c r="J73" s="12" t="str">
        <f>VLOOKUP($A73,'Matriz POA 2024-TRABAJO'!$A$5:$CD$9142,24,FALSE)</f>
        <v>Pago de pasajes en el interior para el personal de la Corporación Ciudad Alfaro y sus sedes</v>
      </c>
      <c r="K73" s="12" t="str">
        <f>VLOOKUP($A73,'Matriz POA 2024-TRABAJO'!$A$5:$CD$9142,25,FALSE)</f>
        <v>0035</v>
      </c>
      <c r="L73" s="12" t="str">
        <f>VLOOKUP($A73,'Matriz POA 2024-TRABAJO'!$A$5:$CD$9142,26,FALSE)</f>
        <v>80</v>
      </c>
      <c r="M73" s="12" t="str">
        <f>VLOOKUP($A73,'Matriz POA 2024-TRABAJO'!$A$5:$CD$9142,27,FALSE)</f>
        <v>000</v>
      </c>
      <c r="N73" s="12" t="str">
        <f>VLOOKUP($A73,'Matriz POA 2024-TRABAJO'!$A$5:$CD$9142,28,FALSE)</f>
        <v>002</v>
      </c>
      <c r="O73" s="12" t="str">
        <f>VLOOKUP($A73,'Matriz POA 2024-TRABAJO'!$A$5:$CD$9142,29,FALSE)</f>
        <v>53</v>
      </c>
      <c r="P73" s="12">
        <f>VLOOKUP($A73,'Matriz POA 2024-TRABAJO'!$A$5:$CD$9142,30,FALSE)</f>
        <v>530301</v>
      </c>
      <c r="Q73" s="12">
        <f>VLOOKUP($A73,'Matriz POA 2024-TRABAJO'!$A$5:$CD$9142,32,FALSE)</f>
        <v>1309</v>
      </c>
      <c r="R73" s="12" t="str">
        <f>VLOOKUP($A73,'Matriz POA 2024-TRABAJO'!$A$5:$CD$9142,33,FALSE)</f>
        <v>001</v>
      </c>
      <c r="S73" s="12" t="str">
        <f>VLOOKUP($A73,'Matriz POA 2024-TRABAJO'!$A$5:$CD$9142,34,FALSE)</f>
        <v>0000</v>
      </c>
      <c r="T73" s="12" t="str">
        <f>VLOOKUP($A73,'Matriz POA 2024-TRABAJO'!$A$5:$CD$9142,35,FALSE)</f>
        <v>0000</v>
      </c>
      <c r="U73" s="62">
        <f>VLOOKUP($A73,'Matriz POA 2024-TRABAJO'!$A$5:$CD$9142,66,FALSE)</f>
        <v>500</v>
      </c>
      <c r="V73" s="62">
        <f>VLOOKUP($A73,'Matriz POA 2024-TRABAJO'!$A$5:$CD$9142,67,FALSE)</f>
        <v>-500</v>
      </c>
      <c r="W73" s="62">
        <f>VLOOKUP($A73,'Matriz POA 2024-TRABAJO'!$A$5:$CD$9142,68,FALSE)</f>
        <v>0</v>
      </c>
      <c r="X73" s="62" t="str">
        <f>VLOOKUP($A73,'Matriz POA 2024-TRABAJO'!$A$5:$CD$9142,72,FALSE)</f>
        <v/>
      </c>
      <c r="Y73" s="388">
        <v>500</v>
      </c>
      <c r="Z73" s="388">
        <v>0</v>
      </c>
      <c r="AA73" s="388">
        <v>500</v>
      </c>
      <c r="AB73" s="389"/>
      <c r="AC73" s="389"/>
      <c r="AD73" s="13"/>
      <c r="AE73" s="13"/>
      <c r="AF73" s="13">
        <f t="shared" si="8"/>
        <v>500</v>
      </c>
      <c r="AG73" s="13">
        <f t="shared" si="9"/>
        <v>0</v>
      </c>
      <c r="AH73" s="13">
        <f t="shared" si="13"/>
        <v>500</v>
      </c>
      <c r="AI73" s="129">
        <v>0</v>
      </c>
      <c r="AJ73" s="129">
        <v>50</v>
      </c>
      <c r="AK73" s="129">
        <v>50</v>
      </c>
      <c r="AL73" s="129">
        <v>50</v>
      </c>
      <c r="AM73" s="129">
        <v>50</v>
      </c>
      <c r="AN73" s="129">
        <v>50</v>
      </c>
      <c r="AO73" s="129">
        <v>50</v>
      </c>
      <c r="AP73" s="129">
        <v>50</v>
      </c>
      <c r="AQ73" s="129">
        <v>50</v>
      </c>
      <c r="AR73" s="129">
        <v>50</v>
      </c>
      <c r="AS73" s="129">
        <v>50</v>
      </c>
      <c r="AT73" s="129">
        <v>0</v>
      </c>
      <c r="AU73" s="129"/>
      <c r="AV73" s="13" t="b">
        <f t="shared" si="10"/>
        <v>1</v>
      </c>
      <c r="AW73" s="14"/>
      <c r="AX73" s="15"/>
      <c r="AY73" s="16"/>
      <c r="AZ73" s="15"/>
      <c r="BA73" s="16"/>
      <c r="BB73" s="17">
        <f t="shared" si="14"/>
        <v>0</v>
      </c>
      <c r="BC73" s="12"/>
      <c r="BD73" s="15"/>
      <c r="BE73" s="18"/>
      <c r="BF73" s="12"/>
      <c r="BG73" s="19" t="str">
        <f t="shared" si="15"/>
        <v>enero</v>
      </c>
      <c r="BH73" s="12" t="str">
        <f t="shared" si="11"/>
        <v>Corporación Ciudad Alfaro</v>
      </c>
      <c r="BI73" s="20" t="str">
        <f t="shared" si="12"/>
        <v>N/A</v>
      </c>
    </row>
    <row r="74" spans="1:61" ht="24.95" customHeight="1">
      <c r="A74" s="4">
        <v>487</v>
      </c>
      <c r="B74" s="12" t="str">
        <f>VLOOKUP($A74,'Matriz POA 2024-TRABAJO'!$A$5:$CD$9142,11,FALSE)</f>
        <v>Corporación Ciudad Alfaro</v>
      </c>
      <c r="C74" s="12" t="str">
        <f>VLOOKUP($A74,'Matriz POA 2024-TRABAJO'!$A$5:$CD$9142,14,FALSE)</f>
        <v>N/A</v>
      </c>
      <c r="D74" s="12" t="str">
        <f>VLOOKUP($A74,'Matriz POA 2024-TRABAJO'!$A$5:$CD$9142,15,FALSE)</f>
        <v>N/A</v>
      </c>
      <c r="E74" s="12" t="str">
        <f>VLOOKUP($A74,'Matriz POA 2024-TRABAJO'!$A$5:$CD$9142,18,FALSE)</f>
        <v>N/A</v>
      </c>
      <c r="F74" s="12" t="str">
        <f>VLOOKUP($A74,'Matriz POA 2024-TRABAJO'!$A$5:$CD$9142,20,FALSE)</f>
        <v>N/A</v>
      </c>
      <c r="G74" s="12" t="str">
        <f>VLOOKUP($A74,'Matriz POA 2024-TRABAJO'!$A$5:$CD$9142,21,FALSE)</f>
        <v>N/A</v>
      </c>
      <c r="H74" s="12" t="str">
        <f>VLOOKUP($A74,'Matriz POA 2024-TRABAJO'!$A$5:$CD$9142,22,FALSE)</f>
        <v>N/A</v>
      </c>
      <c r="I74" s="12" t="str">
        <f>VLOOKUP($A74,'Matriz POA 2024-TRABAJO'!$A$5:$CD$9142,23,FALSE)</f>
        <v>NUEVA</v>
      </c>
      <c r="J74" s="12" t="str">
        <f>VLOOKUP($A74,'Matriz POA 2024-TRABAJO'!$A$5:$CD$9142,24,FALSE)</f>
        <v>Pago de viáticos para el personal de la Corporación Ciudad Alfaro y sus sedes</v>
      </c>
      <c r="K74" s="12" t="str">
        <f>VLOOKUP($A74,'Matriz POA 2024-TRABAJO'!$A$5:$CD$9142,25,FALSE)</f>
        <v>0035</v>
      </c>
      <c r="L74" s="12" t="str">
        <f>VLOOKUP($A74,'Matriz POA 2024-TRABAJO'!$A$5:$CD$9142,26,FALSE)</f>
        <v>80</v>
      </c>
      <c r="M74" s="12" t="str">
        <f>VLOOKUP($A74,'Matriz POA 2024-TRABAJO'!$A$5:$CD$9142,27,FALSE)</f>
        <v>000</v>
      </c>
      <c r="N74" s="12" t="str">
        <f>VLOOKUP($A74,'Matriz POA 2024-TRABAJO'!$A$5:$CD$9142,28,FALSE)</f>
        <v>002</v>
      </c>
      <c r="O74" s="12" t="str">
        <f>VLOOKUP($A74,'Matriz POA 2024-TRABAJO'!$A$5:$CD$9142,29,FALSE)</f>
        <v>53</v>
      </c>
      <c r="P74" s="12">
        <f>VLOOKUP($A74,'Matriz POA 2024-TRABAJO'!$A$5:$CD$9142,30,FALSE)</f>
        <v>530303</v>
      </c>
      <c r="Q74" s="12">
        <f>VLOOKUP($A74,'Matriz POA 2024-TRABAJO'!$A$5:$CD$9142,32,FALSE)</f>
        <v>1309</v>
      </c>
      <c r="R74" s="12" t="str">
        <f>VLOOKUP($A74,'Matriz POA 2024-TRABAJO'!$A$5:$CD$9142,33,FALSE)</f>
        <v>001</v>
      </c>
      <c r="S74" s="12" t="str">
        <f>VLOOKUP($A74,'Matriz POA 2024-TRABAJO'!$A$5:$CD$9142,34,FALSE)</f>
        <v>0000</v>
      </c>
      <c r="T74" s="12" t="str">
        <f>VLOOKUP($A74,'Matriz POA 2024-TRABAJO'!$A$5:$CD$9142,35,FALSE)</f>
        <v>0000</v>
      </c>
      <c r="U74" s="62">
        <f>VLOOKUP($A74,'Matriz POA 2024-TRABAJO'!$A$5:$CD$9142,66,FALSE)</f>
        <v>4801.58</v>
      </c>
      <c r="V74" s="62">
        <f>VLOOKUP($A74,'Matriz POA 2024-TRABAJO'!$A$5:$CD$9142,67,FALSE)</f>
        <v>-31.319999999999709</v>
      </c>
      <c r="W74" s="62">
        <f>VLOOKUP($A74,'Matriz POA 2024-TRABAJO'!$A$5:$CD$9142,68,FALSE)</f>
        <v>4110.26</v>
      </c>
      <c r="X74" s="62">
        <f>VLOOKUP($A74,'Matriz POA 2024-TRABAJO'!$A$5:$CD$9142,72,FALSE)</f>
        <v>3257.5</v>
      </c>
      <c r="Y74" s="388">
        <v>1085.8800000000001</v>
      </c>
      <c r="Z74" s="388">
        <v>0</v>
      </c>
      <c r="AA74" s="388">
        <v>1085.8800000000001</v>
      </c>
      <c r="AB74" s="389"/>
      <c r="AC74" s="389"/>
      <c r="AD74" s="13"/>
      <c r="AE74" s="13"/>
      <c r="AF74" s="13">
        <f t="shared" si="8"/>
        <v>1085.8800000000001</v>
      </c>
      <c r="AG74" s="13">
        <f t="shared" si="9"/>
        <v>0</v>
      </c>
      <c r="AH74" s="13">
        <f t="shared" si="13"/>
        <v>1085.8800000000001</v>
      </c>
      <c r="AI74" s="129">
        <v>0</v>
      </c>
      <c r="AJ74" s="129">
        <v>100</v>
      </c>
      <c r="AK74" s="129">
        <v>100</v>
      </c>
      <c r="AL74" s="129">
        <v>100</v>
      </c>
      <c r="AM74" s="129">
        <v>100</v>
      </c>
      <c r="AN74" s="129">
        <v>100</v>
      </c>
      <c r="AO74" s="129">
        <v>100</v>
      </c>
      <c r="AP74" s="129">
        <v>100</v>
      </c>
      <c r="AQ74" s="129">
        <v>100</v>
      </c>
      <c r="AR74" s="129">
        <v>100</v>
      </c>
      <c r="AS74" s="129">
        <v>185.88</v>
      </c>
      <c r="AT74" s="129">
        <v>0</v>
      </c>
      <c r="AU74" s="129"/>
      <c r="AV74" s="13" t="b">
        <f t="shared" si="10"/>
        <v>1</v>
      </c>
      <c r="AW74" s="14"/>
      <c r="AX74" s="15"/>
      <c r="AY74" s="16"/>
      <c r="AZ74" s="15"/>
      <c r="BA74" s="16"/>
      <c r="BB74" s="17">
        <f t="shared" si="14"/>
        <v>0</v>
      </c>
      <c r="BC74" s="12"/>
      <c r="BD74" s="15"/>
      <c r="BE74" s="18"/>
      <c r="BF74" s="12"/>
      <c r="BG74" s="19" t="str">
        <f t="shared" si="15"/>
        <v>enero</v>
      </c>
      <c r="BH74" s="12" t="str">
        <f t="shared" si="11"/>
        <v>Corporación Ciudad Alfaro</v>
      </c>
      <c r="BI74" s="20" t="str">
        <f t="shared" si="12"/>
        <v>N/A</v>
      </c>
    </row>
    <row r="75" spans="1:61" ht="24.95" customHeight="1">
      <c r="A75" s="4">
        <v>488</v>
      </c>
      <c r="B75" s="12" t="str">
        <f>VLOOKUP($A75,'Matriz POA 2024-TRABAJO'!$A$5:$CD$9142,11,FALSE)</f>
        <v>Corporación Ciudad Alfaro</v>
      </c>
      <c r="C75" s="12" t="str">
        <f>VLOOKUP($A75,'Matriz POA 2024-TRABAJO'!$A$5:$CD$9142,14,FALSE)</f>
        <v>N/A</v>
      </c>
      <c r="D75" s="12" t="str">
        <f>VLOOKUP($A75,'Matriz POA 2024-TRABAJO'!$A$5:$CD$9142,15,FALSE)</f>
        <v>N/A</v>
      </c>
      <c r="E75" s="12" t="str">
        <f>VLOOKUP($A75,'Matriz POA 2024-TRABAJO'!$A$5:$CD$9142,18,FALSE)</f>
        <v>N/A</v>
      </c>
      <c r="F75" s="12" t="str">
        <f>VLOOKUP($A75,'Matriz POA 2024-TRABAJO'!$A$5:$CD$9142,20,FALSE)</f>
        <v>N/A</v>
      </c>
      <c r="G75" s="12" t="str">
        <f>VLOOKUP($A75,'Matriz POA 2024-TRABAJO'!$A$5:$CD$9142,21,FALSE)</f>
        <v>N/A</v>
      </c>
      <c r="H75" s="12" t="str">
        <f>VLOOKUP($A75,'Matriz POA 2024-TRABAJO'!$A$5:$CD$9142,22,FALSE)</f>
        <v>N/A</v>
      </c>
      <c r="I75" s="12" t="str">
        <f>VLOOKUP($A75,'Matriz POA 2024-TRABAJO'!$A$5:$CD$9142,23,FALSE)</f>
        <v>NUEVA</v>
      </c>
      <c r="J75" s="12" t="str">
        <f>VLOOKUP($A75,'Matriz POA 2024-TRABAJO'!$A$5:$CD$9142,24,FALSE)</f>
        <v>Reembolso de pasajes aereos  para el personal de la Corporación Ciudad Alfaro y sus sedes</v>
      </c>
      <c r="K75" s="12" t="str">
        <f>VLOOKUP($A75,'Matriz POA 2024-TRABAJO'!$A$5:$CD$9142,25,FALSE)</f>
        <v>0035</v>
      </c>
      <c r="L75" s="12" t="str">
        <f>VLOOKUP($A75,'Matriz POA 2024-TRABAJO'!$A$5:$CD$9142,26,FALSE)</f>
        <v>80</v>
      </c>
      <c r="M75" s="12" t="str">
        <f>VLOOKUP($A75,'Matriz POA 2024-TRABAJO'!$A$5:$CD$9142,27,FALSE)</f>
        <v>000</v>
      </c>
      <c r="N75" s="12" t="str">
        <f>VLOOKUP($A75,'Matriz POA 2024-TRABAJO'!$A$5:$CD$9142,28,FALSE)</f>
        <v>002</v>
      </c>
      <c r="O75" s="12" t="str">
        <f>VLOOKUP($A75,'Matriz POA 2024-TRABAJO'!$A$5:$CD$9142,29,FALSE)</f>
        <v>53</v>
      </c>
      <c r="P75" s="12">
        <f>VLOOKUP($A75,'Matriz POA 2024-TRABAJO'!$A$5:$CD$9142,30,FALSE)</f>
        <v>530301</v>
      </c>
      <c r="Q75" s="12">
        <f>VLOOKUP($A75,'Matriz POA 2024-TRABAJO'!$A$5:$CD$9142,32,FALSE)</f>
        <v>1309</v>
      </c>
      <c r="R75" s="12" t="str">
        <f>VLOOKUP($A75,'Matriz POA 2024-TRABAJO'!$A$5:$CD$9142,33,FALSE)</f>
        <v>001</v>
      </c>
      <c r="S75" s="12" t="str">
        <f>VLOOKUP($A75,'Matriz POA 2024-TRABAJO'!$A$5:$CD$9142,34,FALSE)</f>
        <v>0000</v>
      </c>
      <c r="T75" s="12" t="str">
        <f>VLOOKUP($A75,'Matriz POA 2024-TRABAJO'!$A$5:$CD$9142,35,FALSE)</f>
        <v>0000</v>
      </c>
      <c r="U75" s="62">
        <f>VLOOKUP($A75,'Matriz POA 2024-TRABAJO'!$A$5:$CD$9142,66,FALSE)</f>
        <v>1500</v>
      </c>
      <c r="V75" s="62">
        <f>VLOOKUP($A75,'Matriz POA 2024-TRABAJO'!$A$5:$CD$9142,67,FALSE)</f>
        <v>-1500</v>
      </c>
      <c r="W75" s="62">
        <f>VLOOKUP($A75,'Matriz POA 2024-TRABAJO'!$A$5:$CD$9142,68,FALSE)</f>
        <v>0</v>
      </c>
      <c r="X75" s="62" t="str">
        <f>VLOOKUP($A75,'Matriz POA 2024-TRABAJO'!$A$5:$CD$9142,72,FALSE)</f>
        <v/>
      </c>
      <c r="Y75" s="388">
        <v>500</v>
      </c>
      <c r="Z75" s="388">
        <v>0</v>
      </c>
      <c r="AA75" s="388">
        <v>500</v>
      </c>
      <c r="AB75" s="389"/>
      <c r="AC75" s="389"/>
      <c r="AD75" s="13"/>
      <c r="AE75" s="13"/>
      <c r="AF75" s="13">
        <f t="shared" si="8"/>
        <v>500</v>
      </c>
      <c r="AG75" s="13">
        <f t="shared" si="9"/>
        <v>0</v>
      </c>
      <c r="AH75" s="13">
        <f t="shared" si="13"/>
        <v>500</v>
      </c>
      <c r="AI75" s="129">
        <v>0</v>
      </c>
      <c r="AJ75" s="129">
        <v>0</v>
      </c>
      <c r="AK75" s="129">
        <v>200</v>
      </c>
      <c r="AL75" s="129">
        <v>0</v>
      </c>
      <c r="AM75" s="129">
        <v>0</v>
      </c>
      <c r="AN75" s="129">
        <v>0</v>
      </c>
      <c r="AO75" s="129">
        <v>200</v>
      </c>
      <c r="AP75" s="129">
        <v>0</v>
      </c>
      <c r="AQ75" s="129">
        <v>0</v>
      </c>
      <c r="AR75" s="129">
        <v>100</v>
      </c>
      <c r="AS75" s="129">
        <v>0</v>
      </c>
      <c r="AT75" s="129">
        <v>0</v>
      </c>
      <c r="AU75" s="129"/>
      <c r="AV75" s="13" t="b">
        <f t="shared" si="10"/>
        <v>1</v>
      </c>
      <c r="AW75" s="14"/>
      <c r="AX75" s="15"/>
      <c r="AY75" s="16"/>
      <c r="AZ75" s="15"/>
      <c r="BA75" s="16"/>
      <c r="BB75" s="17">
        <f t="shared" si="14"/>
        <v>0</v>
      </c>
      <c r="BC75" s="12"/>
      <c r="BD75" s="15"/>
      <c r="BE75" s="18"/>
      <c r="BF75" s="12"/>
      <c r="BG75" s="19" t="str">
        <f t="shared" si="15"/>
        <v>enero</v>
      </c>
      <c r="BH75" s="12" t="str">
        <f t="shared" si="11"/>
        <v>Corporación Ciudad Alfaro</v>
      </c>
      <c r="BI75" s="20" t="str">
        <f t="shared" si="12"/>
        <v>N/A</v>
      </c>
    </row>
    <row r="76" spans="1:61" ht="24.95" customHeight="1">
      <c r="A76" s="4">
        <v>489</v>
      </c>
      <c r="B76" s="12" t="str">
        <f>VLOOKUP($A76,'Matriz POA 2024-TRABAJO'!$A$5:$CD$9142,11,FALSE)</f>
        <v>Corporación Ciudad Alfaro</v>
      </c>
      <c r="C76" s="12" t="str">
        <f>VLOOKUP($A76,'Matriz POA 2024-TRABAJO'!$A$5:$CD$9142,14,FALSE)</f>
        <v>N/A</v>
      </c>
      <c r="D76" s="12" t="str">
        <f>VLOOKUP($A76,'Matriz POA 2024-TRABAJO'!$A$5:$CD$9142,15,FALSE)</f>
        <v>N/A</v>
      </c>
      <c r="E76" s="12" t="str">
        <f>VLOOKUP($A76,'Matriz POA 2024-TRABAJO'!$A$5:$CD$9142,18,FALSE)</f>
        <v>N/A</v>
      </c>
      <c r="F76" s="12" t="str">
        <f>VLOOKUP($A76,'Matriz POA 2024-TRABAJO'!$A$5:$CD$9142,20,FALSE)</f>
        <v>N/A</v>
      </c>
      <c r="G76" s="12" t="str">
        <f>VLOOKUP($A76,'Matriz POA 2024-TRABAJO'!$A$5:$CD$9142,21,FALSE)</f>
        <v>N/A</v>
      </c>
      <c r="H76" s="12" t="str">
        <f>VLOOKUP($A76,'Matriz POA 2024-TRABAJO'!$A$5:$CD$9142,22,FALSE)</f>
        <v>N/A</v>
      </c>
      <c r="I76" s="12" t="str">
        <f>VLOOKUP($A76,'Matriz POA 2024-TRABAJO'!$A$5:$CD$9142,23,FALSE)</f>
        <v>NUEVA</v>
      </c>
      <c r="J76" s="12" t="str">
        <f>VLOOKUP($A76,'Matriz POA 2024-TRABAJO'!$A$5:$CD$9142,24,FALSE)</f>
        <v xml:space="preserve">Adquisición de materiales y suministros de conservación y restauración para la Corporación Ciudad Alfaro y sus sedes </v>
      </c>
      <c r="K76" s="12" t="str">
        <f>VLOOKUP($A76,'Matriz POA 2024-TRABAJO'!$A$5:$CD$9142,25,FALSE)</f>
        <v>0035</v>
      </c>
      <c r="L76" s="12" t="str">
        <f>VLOOKUP($A76,'Matriz POA 2024-TRABAJO'!$A$5:$CD$9142,26,FALSE)</f>
        <v>80</v>
      </c>
      <c r="M76" s="12" t="str">
        <f>VLOOKUP($A76,'Matriz POA 2024-TRABAJO'!$A$5:$CD$9142,27,FALSE)</f>
        <v>000</v>
      </c>
      <c r="N76" s="12" t="str">
        <f>VLOOKUP($A76,'Matriz POA 2024-TRABAJO'!$A$5:$CD$9142,28,FALSE)</f>
        <v>002</v>
      </c>
      <c r="O76" s="12" t="str">
        <f>VLOOKUP($A76,'Matriz POA 2024-TRABAJO'!$A$5:$CD$9142,29,FALSE)</f>
        <v>53</v>
      </c>
      <c r="P76" s="12">
        <f>VLOOKUP($A76,'Matriz POA 2024-TRABAJO'!$A$5:$CD$9142,30,FALSE)</f>
        <v>530811</v>
      </c>
      <c r="Q76" s="12">
        <f>VLOOKUP($A76,'Matriz POA 2024-TRABAJO'!$A$5:$CD$9142,32,FALSE)</f>
        <v>1309</v>
      </c>
      <c r="R76" s="12" t="str">
        <f>VLOOKUP($A76,'Matriz POA 2024-TRABAJO'!$A$5:$CD$9142,33,FALSE)</f>
        <v>001</v>
      </c>
      <c r="S76" s="12" t="str">
        <f>VLOOKUP($A76,'Matriz POA 2024-TRABAJO'!$A$5:$CD$9142,34,FALSE)</f>
        <v>0000</v>
      </c>
      <c r="T76" s="12" t="str">
        <f>VLOOKUP($A76,'Matriz POA 2024-TRABAJO'!$A$5:$CD$9142,35,FALSE)</f>
        <v>0000</v>
      </c>
      <c r="U76" s="62">
        <f>VLOOKUP($A76,'Matriz POA 2024-TRABAJO'!$A$5:$CD$9142,66,FALSE)</f>
        <v>3942.38</v>
      </c>
      <c r="V76" s="62">
        <f>VLOOKUP($A76,'Matriz POA 2024-TRABAJO'!$A$5:$CD$9142,67,FALSE)</f>
        <v>-3942.38</v>
      </c>
      <c r="W76" s="62">
        <f>VLOOKUP($A76,'Matriz POA 2024-TRABAJO'!$A$5:$CD$9142,68,FALSE)</f>
        <v>0</v>
      </c>
      <c r="X76" s="62" t="str">
        <f>VLOOKUP($A76,'Matriz POA 2024-TRABAJO'!$A$5:$CD$9142,72,FALSE)</f>
        <v/>
      </c>
      <c r="Y76" s="388">
        <v>3942.38</v>
      </c>
      <c r="Z76" s="388">
        <v>0</v>
      </c>
      <c r="AA76" s="388">
        <v>3942.38</v>
      </c>
      <c r="AB76" s="389"/>
      <c r="AC76" s="389"/>
      <c r="AD76" s="13"/>
      <c r="AE76" s="13"/>
      <c r="AF76" s="13">
        <f t="shared" si="8"/>
        <v>3942.38</v>
      </c>
      <c r="AG76" s="13">
        <f t="shared" si="9"/>
        <v>0</v>
      </c>
      <c r="AH76" s="13">
        <f t="shared" si="13"/>
        <v>3942.38</v>
      </c>
      <c r="AI76" s="129">
        <v>0</v>
      </c>
      <c r="AJ76" s="129">
        <v>3942.38</v>
      </c>
      <c r="AK76" s="129">
        <v>0</v>
      </c>
      <c r="AL76" s="129">
        <v>0</v>
      </c>
      <c r="AM76" s="129">
        <v>0</v>
      </c>
      <c r="AN76" s="129">
        <v>0</v>
      </c>
      <c r="AO76" s="129">
        <v>0</v>
      </c>
      <c r="AP76" s="129">
        <v>0</v>
      </c>
      <c r="AQ76" s="129">
        <v>0</v>
      </c>
      <c r="AR76" s="129">
        <v>0</v>
      </c>
      <c r="AS76" s="129">
        <v>0</v>
      </c>
      <c r="AT76" s="129">
        <v>0</v>
      </c>
      <c r="AU76" s="129"/>
      <c r="AV76" s="13" t="b">
        <f t="shared" si="10"/>
        <v>1</v>
      </c>
      <c r="AW76" s="14"/>
      <c r="AX76" s="15"/>
      <c r="AY76" s="16"/>
      <c r="AZ76" s="15"/>
      <c r="BA76" s="16"/>
      <c r="BB76" s="17">
        <f t="shared" si="14"/>
        <v>0</v>
      </c>
      <c r="BC76" s="12"/>
      <c r="BD76" s="15"/>
      <c r="BE76" s="18"/>
      <c r="BF76" s="12"/>
      <c r="BG76" s="19" t="str">
        <f t="shared" si="15"/>
        <v>enero</v>
      </c>
      <c r="BH76" s="12" t="str">
        <f t="shared" si="11"/>
        <v>Corporación Ciudad Alfaro</v>
      </c>
      <c r="BI76" s="20" t="str">
        <f t="shared" si="12"/>
        <v>N/A</v>
      </c>
    </row>
    <row r="77" spans="1:61" ht="24.95" customHeight="1">
      <c r="A77" s="4">
        <v>490</v>
      </c>
      <c r="B77" s="12" t="str">
        <f>VLOOKUP($A77,'Matriz POA 2024-TRABAJO'!$A$5:$CD$9142,11,FALSE)</f>
        <v>Corporación Ciudad Alfaro</v>
      </c>
      <c r="C77" s="12" t="str">
        <f>VLOOKUP($A77,'Matriz POA 2024-TRABAJO'!$A$5:$CD$9142,14,FALSE)</f>
        <v>N/A</v>
      </c>
      <c r="D77" s="12" t="str">
        <f>VLOOKUP($A77,'Matriz POA 2024-TRABAJO'!$A$5:$CD$9142,15,FALSE)</f>
        <v>N/A</v>
      </c>
      <c r="E77" s="12" t="str">
        <f>VLOOKUP($A77,'Matriz POA 2024-TRABAJO'!$A$5:$CD$9142,18,FALSE)</f>
        <v>N/A</v>
      </c>
      <c r="F77" s="12" t="str">
        <f>VLOOKUP($A77,'Matriz POA 2024-TRABAJO'!$A$5:$CD$9142,20,FALSE)</f>
        <v>N/A</v>
      </c>
      <c r="G77" s="12" t="str">
        <f>VLOOKUP($A77,'Matriz POA 2024-TRABAJO'!$A$5:$CD$9142,21,FALSE)</f>
        <v>N/A</v>
      </c>
      <c r="H77" s="12" t="str">
        <f>VLOOKUP($A77,'Matriz POA 2024-TRABAJO'!$A$5:$CD$9142,22,FALSE)</f>
        <v>N/A</v>
      </c>
      <c r="I77" s="12" t="str">
        <f>VLOOKUP($A77,'Matriz POA 2024-TRABAJO'!$A$5:$CD$9142,23,FALSE)</f>
        <v>NUEVA</v>
      </c>
      <c r="J77" s="12" t="str">
        <f>VLOOKUP($A77,'Matriz POA 2024-TRABAJO'!$A$5:$CD$9142,24,FALSE)</f>
        <v>Lavado de Menaje</v>
      </c>
      <c r="K77" s="12" t="str">
        <f>VLOOKUP($A77,'Matriz POA 2024-TRABAJO'!$A$5:$CD$9142,25,FALSE)</f>
        <v>0035</v>
      </c>
      <c r="L77" s="12" t="str">
        <f>VLOOKUP($A77,'Matriz POA 2024-TRABAJO'!$A$5:$CD$9142,26,FALSE)</f>
        <v>80</v>
      </c>
      <c r="M77" s="12" t="str">
        <f>VLOOKUP($A77,'Matriz POA 2024-TRABAJO'!$A$5:$CD$9142,27,FALSE)</f>
        <v>000</v>
      </c>
      <c r="N77" s="12" t="str">
        <f>VLOOKUP($A77,'Matriz POA 2024-TRABAJO'!$A$5:$CD$9142,28,FALSE)</f>
        <v>002</v>
      </c>
      <c r="O77" s="12" t="str">
        <f>VLOOKUP($A77,'Matriz POA 2024-TRABAJO'!$A$5:$CD$9142,29,FALSE)</f>
        <v>53</v>
      </c>
      <c r="P77" s="12">
        <f>VLOOKUP($A77,'Matriz POA 2024-TRABAJO'!$A$5:$CD$9142,30,FALSE)</f>
        <v>530209</v>
      </c>
      <c r="Q77" s="12">
        <f>VLOOKUP($A77,'Matriz POA 2024-TRABAJO'!$A$5:$CD$9142,32,FALSE)</f>
        <v>1309</v>
      </c>
      <c r="R77" s="12" t="str">
        <f>VLOOKUP($A77,'Matriz POA 2024-TRABAJO'!$A$5:$CD$9142,33,FALSE)</f>
        <v>001</v>
      </c>
      <c r="S77" s="12" t="str">
        <f>VLOOKUP($A77,'Matriz POA 2024-TRABAJO'!$A$5:$CD$9142,34,FALSE)</f>
        <v>0000</v>
      </c>
      <c r="T77" s="12" t="str">
        <f>VLOOKUP($A77,'Matriz POA 2024-TRABAJO'!$A$5:$CD$9142,35,FALSE)</f>
        <v>0000</v>
      </c>
      <c r="U77" s="62">
        <f>VLOOKUP($A77,'Matriz POA 2024-TRABAJO'!$A$5:$CD$9142,66,FALSE)</f>
        <v>1508.5</v>
      </c>
      <c r="V77" s="62">
        <f>VLOOKUP($A77,'Matriz POA 2024-TRABAJO'!$A$5:$CD$9142,67,FALSE)</f>
        <v>0</v>
      </c>
      <c r="W77" s="62">
        <f>VLOOKUP($A77,'Matriz POA 2024-TRABAJO'!$A$5:$CD$9142,68,FALSE)</f>
        <v>0</v>
      </c>
      <c r="X77" s="62">
        <f>VLOOKUP($A77,'Matriz POA 2024-TRABAJO'!$A$5:$CD$9142,72,FALSE)</f>
        <v>1508.5</v>
      </c>
      <c r="Y77" s="388">
        <v>2000</v>
      </c>
      <c r="Z77" s="388">
        <v>0</v>
      </c>
      <c r="AA77" s="388">
        <v>2000</v>
      </c>
      <c r="AB77" s="389"/>
      <c r="AC77" s="389"/>
      <c r="AD77" s="13"/>
      <c r="AE77" s="13"/>
      <c r="AF77" s="13">
        <f t="shared" si="8"/>
        <v>2000</v>
      </c>
      <c r="AG77" s="13">
        <f t="shared" si="9"/>
        <v>0</v>
      </c>
      <c r="AH77" s="13">
        <f t="shared" si="13"/>
        <v>2000</v>
      </c>
      <c r="AI77" s="129">
        <v>0</v>
      </c>
      <c r="AJ77" s="129">
        <v>2000</v>
      </c>
      <c r="AK77" s="129">
        <v>0</v>
      </c>
      <c r="AL77" s="129">
        <v>0</v>
      </c>
      <c r="AM77" s="129">
        <v>0</v>
      </c>
      <c r="AN77" s="129">
        <v>0</v>
      </c>
      <c r="AO77" s="129">
        <v>0</v>
      </c>
      <c r="AP77" s="129">
        <v>0</v>
      </c>
      <c r="AQ77" s="129">
        <v>0</v>
      </c>
      <c r="AR77" s="129">
        <v>0</v>
      </c>
      <c r="AS77" s="129">
        <v>0</v>
      </c>
      <c r="AT77" s="129">
        <v>0</v>
      </c>
      <c r="AU77" s="129"/>
      <c r="AV77" s="13" t="b">
        <f t="shared" si="10"/>
        <v>1</v>
      </c>
      <c r="AW77" s="14"/>
      <c r="AX77" s="15"/>
      <c r="AY77" s="16"/>
      <c r="AZ77" s="15"/>
      <c r="BA77" s="16"/>
      <c r="BB77" s="17">
        <f t="shared" si="14"/>
        <v>0</v>
      </c>
      <c r="BC77" s="12"/>
      <c r="BD77" s="15"/>
      <c r="BE77" s="18"/>
      <c r="BF77" s="12"/>
      <c r="BG77" s="19" t="str">
        <f t="shared" si="15"/>
        <v>enero</v>
      </c>
      <c r="BH77" s="12" t="str">
        <f t="shared" si="11"/>
        <v>Corporación Ciudad Alfaro</v>
      </c>
      <c r="BI77" s="20" t="str">
        <f t="shared" si="12"/>
        <v>N/A</v>
      </c>
    </row>
    <row r="78" spans="1:61" ht="24.95" customHeight="1">
      <c r="A78" s="4">
        <v>491</v>
      </c>
      <c r="B78" s="12" t="str">
        <f>VLOOKUP($A78,'Matriz POA 2024-TRABAJO'!$A$5:$CD$9142,11,FALSE)</f>
        <v>Corporación Ciudad Alfaro</v>
      </c>
      <c r="C78" s="12" t="str">
        <f>VLOOKUP($A78,'Matriz POA 2024-TRABAJO'!$A$5:$CD$9142,14,FALSE)</f>
        <v>N/A</v>
      </c>
      <c r="D78" s="12" t="str">
        <f>VLOOKUP($A78,'Matriz POA 2024-TRABAJO'!$A$5:$CD$9142,15,FALSE)</f>
        <v>N/A</v>
      </c>
      <c r="E78" s="12" t="str">
        <f>VLOOKUP($A78,'Matriz POA 2024-TRABAJO'!$A$5:$CD$9142,18,FALSE)</f>
        <v>N/A</v>
      </c>
      <c r="F78" s="12" t="str">
        <f>VLOOKUP($A78,'Matriz POA 2024-TRABAJO'!$A$5:$CD$9142,20,FALSE)</f>
        <v>N/A</v>
      </c>
      <c r="G78" s="12" t="str">
        <f>VLOOKUP($A78,'Matriz POA 2024-TRABAJO'!$A$5:$CD$9142,21,FALSE)</f>
        <v>N/A</v>
      </c>
      <c r="H78" s="12" t="str">
        <f>VLOOKUP($A78,'Matriz POA 2024-TRABAJO'!$A$5:$CD$9142,22,FALSE)</f>
        <v>N/A</v>
      </c>
      <c r="I78" s="12" t="str">
        <f>VLOOKUP($A78,'Matriz POA 2024-TRABAJO'!$A$5:$CD$9142,23,FALSE)</f>
        <v>NUEVA</v>
      </c>
      <c r="J78" s="12" t="str">
        <f>VLOOKUP($A78,'Matriz POA 2024-TRABAJO'!$A$5:$CD$9142,24,FALSE)</f>
        <v>Renovación, adecuación, reparación del museo rodante y los bienes museográficos culturales e implementacion de mobiliarios.</v>
      </c>
      <c r="K78" s="12" t="str">
        <f>VLOOKUP($A78,'Matriz POA 2024-TRABAJO'!$A$5:$CD$9142,25,FALSE)</f>
        <v>0035</v>
      </c>
      <c r="L78" s="12" t="str">
        <f>VLOOKUP($A78,'Matriz POA 2024-TRABAJO'!$A$5:$CD$9142,26,FALSE)</f>
        <v>80</v>
      </c>
      <c r="M78" s="12" t="str">
        <f>VLOOKUP($A78,'Matriz POA 2024-TRABAJO'!$A$5:$CD$9142,27,FALSE)</f>
        <v>000</v>
      </c>
      <c r="N78" s="12" t="str">
        <f>VLOOKUP($A78,'Matriz POA 2024-TRABAJO'!$A$5:$CD$9142,28,FALSE)</f>
        <v>002</v>
      </c>
      <c r="O78" s="12" t="str">
        <f>VLOOKUP($A78,'Matriz POA 2024-TRABAJO'!$A$5:$CD$9142,29,FALSE)</f>
        <v>53</v>
      </c>
      <c r="P78" s="12">
        <f>VLOOKUP($A78,'Matriz POA 2024-TRABAJO'!$A$5:$CD$9142,30,FALSE)</f>
        <v>530408</v>
      </c>
      <c r="Q78" s="12">
        <f>VLOOKUP($A78,'Matriz POA 2024-TRABAJO'!$A$5:$CD$9142,32,FALSE)</f>
        <v>1309</v>
      </c>
      <c r="R78" s="12" t="str">
        <f>VLOOKUP($A78,'Matriz POA 2024-TRABAJO'!$A$5:$CD$9142,33,FALSE)</f>
        <v>001</v>
      </c>
      <c r="S78" s="12" t="str">
        <f>VLOOKUP($A78,'Matriz POA 2024-TRABAJO'!$A$5:$CD$9142,34,FALSE)</f>
        <v>0000</v>
      </c>
      <c r="T78" s="12" t="str">
        <f>VLOOKUP($A78,'Matriz POA 2024-TRABAJO'!$A$5:$CD$9142,35,FALSE)</f>
        <v>0000</v>
      </c>
      <c r="U78" s="62" t="str">
        <f>VLOOKUP($A78,'Matriz POA 2024-TRABAJO'!$A$5:$CD$9142,66,FALSE)</f>
        <v/>
      </c>
      <c r="V78" s="62" t="str">
        <f>VLOOKUP($A78,'Matriz POA 2024-TRABAJO'!$A$5:$CD$9142,67,FALSE)</f>
        <v/>
      </c>
      <c r="W78" s="62" t="str">
        <f>VLOOKUP($A78,'Matriz POA 2024-TRABAJO'!$A$5:$CD$9142,68,FALSE)</f>
        <v/>
      </c>
      <c r="X78" s="62" t="str">
        <f>VLOOKUP($A78,'Matriz POA 2024-TRABAJO'!$A$5:$CD$9142,72,FALSE)</f>
        <v/>
      </c>
      <c r="Y78" s="388">
        <v>5000</v>
      </c>
      <c r="Z78" s="388">
        <v>0</v>
      </c>
      <c r="AA78" s="388">
        <v>5000</v>
      </c>
      <c r="AB78" s="389"/>
      <c r="AC78" s="389"/>
      <c r="AD78" s="13"/>
      <c r="AE78" s="13"/>
      <c r="AF78" s="13">
        <f t="shared" si="8"/>
        <v>5000</v>
      </c>
      <c r="AG78" s="13">
        <f t="shared" si="9"/>
        <v>0</v>
      </c>
      <c r="AH78" s="13">
        <f t="shared" si="13"/>
        <v>5000</v>
      </c>
      <c r="AI78" s="129">
        <v>0</v>
      </c>
      <c r="AJ78" s="129">
        <v>5000</v>
      </c>
      <c r="AK78" s="129">
        <v>0</v>
      </c>
      <c r="AL78" s="129">
        <v>0</v>
      </c>
      <c r="AM78" s="129">
        <v>0</v>
      </c>
      <c r="AN78" s="129">
        <v>0</v>
      </c>
      <c r="AO78" s="129">
        <v>0</v>
      </c>
      <c r="AP78" s="129">
        <v>0</v>
      </c>
      <c r="AQ78" s="129">
        <v>0</v>
      </c>
      <c r="AR78" s="129">
        <v>0</v>
      </c>
      <c r="AS78" s="129">
        <v>0</v>
      </c>
      <c r="AT78" s="129">
        <v>0</v>
      </c>
      <c r="AU78" s="129"/>
      <c r="AV78" s="13" t="b">
        <f t="shared" si="10"/>
        <v>1</v>
      </c>
      <c r="AW78" s="14"/>
      <c r="AX78" s="15"/>
      <c r="AY78" s="16"/>
      <c r="AZ78" s="15"/>
      <c r="BA78" s="16"/>
      <c r="BB78" s="17">
        <f t="shared" si="14"/>
        <v>0</v>
      </c>
      <c r="BC78" s="12"/>
      <c r="BD78" s="15"/>
      <c r="BE78" s="18"/>
      <c r="BF78" s="12"/>
      <c r="BG78" s="19" t="str">
        <f t="shared" si="15"/>
        <v>enero</v>
      </c>
      <c r="BH78" s="12" t="str">
        <f t="shared" si="11"/>
        <v>Corporación Ciudad Alfaro</v>
      </c>
      <c r="BI78" s="20" t="str">
        <f t="shared" si="12"/>
        <v>N/A</v>
      </c>
    </row>
    <row r="79" spans="1:61" ht="24.95" customHeight="1">
      <c r="A79" s="4">
        <v>492</v>
      </c>
      <c r="B79" s="12" t="str">
        <f>VLOOKUP($A79,'Matriz POA 2024-TRABAJO'!$A$5:$CD$9142,11,FALSE)</f>
        <v>Corporación Ciudad Alfaro</v>
      </c>
      <c r="C79" s="12" t="str">
        <f>VLOOKUP($A79,'Matriz POA 2024-TRABAJO'!$A$5:$CD$9142,14,FALSE)</f>
        <v>N/A</v>
      </c>
      <c r="D79" s="12" t="str">
        <f>VLOOKUP($A79,'Matriz POA 2024-TRABAJO'!$A$5:$CD$9142,15,FALSE)</f>
        <v>N/A</v>
      </c>
      <c r="E79" s="12" t="str">
        <f>VLOOKUP($A79,'Matriz POA 2024-TRABAJO'!$A$5:$CD$9142,18,FALSE)</f>
        <v>N/A</v>
      </c>
      <c r="F79" s="12" t="str">
        <f>VLOOKUP($A79,'Matriz POA 2024-TRABAJO'!$A$5:$CD$9142,20,FALSE)</f>
        <v>N/A</v>
      </c>
      <c r="G79" s="12" t="str">
        <f>VLOOKUP($A79,'Matriz POA 2024-TRABAJO'!$A$5:$CD$9142,21,FALSE)</f>
        <v>N/A</v>
      </c>
      <c r="H79" s="12" t="str">
        <f>VLOOKUP($A79,'Matriz POA 2024-TRABAJO'!$A$5:$CD$9142,22,FALSE)</f>
        <v>N/A</v>
      </c>
      <c r="I79" s="12" t="str">
        <f>VLOOKUP($A79,'Matriz POA 2024-TRABAJO'!$A$5:$CD$9142,23,FALSE)</f>
        <v>NUEVA</v>
      </c>
      <c r="J79" s="12" t="str">
        <f>VLOOKUP($A79,'Matriz POA 2024-TRABAJO'!$A$5:$CD$9142,24,FALSE)</f>
        <v>Eventos enmarcados en el rescate y la recuperación de los saberes ancestrales, difusión y fortalecimiento de la memoria social y cultural de la Corporación Ciudad Alfaro y sus sedes en Portoviejo, Manta y Bahía de Caráquez</v>
      </c>
      <c r="K79" s="12" t="str">
        <f>VLOOKUP($A79,'Matriz POA 2024-TRABAJO'!$A$5:$CD$9142,25,FALSE)</f>
        <v>0035</v>
      </c>
      <c r="L79" s="12" t="str">
        <f>VLOOKUP($A79,'Matriz POA 2024-TRABAJO'!$A$5:$CD$9142,26,FALSE)</f>
        <v>80</v>
      </c>
      <c r="M79" s="12" t="str">
        <f>VLOOKUP($A79,'Matriz POA 2024-TRABAJO'!$A$5:$CD$9142,27,FALSE)</f>
        <v>000</v>
      </c>
      <c r="N79" s="12" t="str">
        <f>VLOOKUP($A79,'Matriz POA 2024-TRABAJO'!$A$5:$CD$9142,28,FALSE)</f>
        <v>002</v>
      </c>
      <c r="O79" s="12" t="str">
        <f>VLOOKUP($A79,'Matriz POA 2024-TRABAJO'!$A$5:$CD$9142,29,FALSE)</f>
        <v>53</v>
      </c>
      <c r="P79" s="12">
        <f>VLOOKUP($A79,'Matriz POA 2024-TRABAJO'!$A$5:$CD$9142,30,FALSE)</f>
        <v>530205</v>
      </c>
      <c r="Q79" s="12">
        <f>VLOOKUP($A79,'Matriz POA 2024-TRABAJO'!$A$5:$CD$9142,32,FALSE)</f>
        <v>1309</v>
      </c>
      <c r="R79" s="12" t="str">
        <f>VLOOKUP($A79,'Matriz POA 2024-TRABAJO'!$A$5:$CD$9142,33,FALSE)</f>
        <v>002</v>
      </c>
      <c r="S79" s="12" t="str">
        <f>VLOOKUP($A79,'Matriz POA 2024-TRABAJO'!$A$5:$CD$9142,34,FALSE)</f>
        <v>0000</v>
      </c>
      <c r="T79" s="12" t="str">
        <f>VLOOKUP($A79,'Matriz POA 2024-TRABAJO'!$A$5:$CD$9142,35,FALSE)</f>
        <v>0000</v>
      </c>
      <c r="U79" s="62" t="str">
        <f>VLOOKUP($A79,'Matriz POA 2024-TRABAJO'!$A$5:$CD$9142,66,FALSE)</f>
        <v/>
      </c>
      <c r="V79" s="62" t="str">
        <f>VLOOKUP($A79,'Matriz POA 2024-TRABAJO'!$A$5:$CD$9142,67,FALSE)</f>
        <v/>
      </c>
      <c r="W79" s="62" t="str">
        <f>VLOOKUP($A79,'Matriz POA 2024-TRABAJO'!$A$5:$CD$9142,68,FALSE)</f>
        <v/>
      </c>
      <c r="X79" s="62" t="str">
        <f>VLOOKUP($A79,'Matriz POA 2024-TRABAJO'!$A$5:$CD$9142,72,FALSE)</f>
        <v/>
      </c>
      <c r="Y79" s="388">
        <v>8057.62</v>
      </c>
      <c r="Z79" s="388">
        <v>0</v>
      </c>
      <c r="AA79" s="388">
        <v>8057.62</v>
      </c>
      <c r="AB79" s="389"/>
      <c r="AC79" s="389"/>
      <c r="AD79" s="13"/>
      <c r="AE79" s="13"/>
      <c r="AF79" s="13">
        <f t="shared" si="8"/>
        <v>8057.62</v>
      </c>
      <c r="AG79" s="13">
        <f t="shared" si="9"/>
        <v>0</v>
      </c>
      <c r="AH79" s="13">
        <f t="shared" si="13"/>
        <v>8057.62</v>
      </c>
      <c r="AI79" s="129">
        <v>0</v>
      </c>
      <c r="AJ79" s="129">
        <v>2000</v>
      </c>
      <c r="AK79" s="129">
        <v>2057.62</v>
      </c>
      <c r="AL79" s="129">
        <v>0</v>
      </c>
      <c r="AM79" s="129">
        <v>2000</v>
      </c>
      <c r="AN79" s="129">
        <v>0</v>
      </c>
      <c r="AO79" s="129">
        <v>0</v>
      </c>
      <c r="AP79" s="129">
        <v>2000</v>
      </c>
      <c r="AQ79" s="129">
        <v>0</v>
      </c>
      <c r="AR79" s="129">
        <v>0</v>
      </c>
      <c r="AS79" s="129">
        <v>0</v>
      </c>
      <c r="AT79" s="129">
        <v>0</v>
      </c>
      <c r="AU79" s="129"/>
      <c r="AV79" s="13" t="b">
        <f t="shared" si="10"/>
        <v>1</v>
      </c>
      <c r="AW79" s="14"/>
      <c r="AX79" s="15"/>
      <c r="AY79" s="16"/>
      <c r="AZ79" s="15"/>
      <c r="BA79" s="16"/>
      <c r="BB79" s="17">
        <f t="shared" si="14"/>
        <v>0</v>
      </c>
      <c r="BC79" s="12"/>
      <c r="BD79" s="15"/>
      <c r="BE79" s="18"/>
      <c r="BF79" s="12"/>
      <c r="BG79" s="19" t="str">
        <f t="shared" si="15"/>
        <v>enero</v>
      </c>
      <c r="BH79" s="12" t="str">
        <f t="shared" si="11"/>
        <v>Corporación Ciudad Alfaro</v>
      </c>
      <c r="BI79" s="20" t="str">
        <f t="shared" si="12"/>
        <v>N/A</v>
      </c>
    </row>
    <row r="80" spans="1:61" ht="24.95" customHeight="1">
      <c r="A80" s="4">
        <v>493</v>
      </c>
      <c r="B80" s="12" t="str">
        <f>VLOOKUP($A80,'Matriz POA 2024-TRABAJO'!$A$5:$CD$9142,11,FALSE)</f>
        <v>Corporación Ciudad Alfaro</v>
      </c>
      <c r="C80" s="12" t="str">
        <f>VLOOKUP($A80,'Matriz POA 2024-TRABAJO'!$A$5:$CD$9142,14,FALSE)</f>
        <v>N/A</v>
      </c>
      <c r="D80" s="12" t="str">
        <f>VLOOKUP($A80,'Matriz POA 2024-TRABAJO'!$A$5:$CD$9142,15,FALSE)</f>
        <v>N/A</v>
      </c>
      <c r="E80" s="12" t="str">
        <f>VLOOKUP($A80,'Matriz POA 2024-TRABAJO'!$A$5:$CD$9142,18,FALSE)</f>
        <v>N/A</v>
      </c>
      <c r="F80" s="12" t="str">
        <f>VLOOKUP($A80,'Matriz POA 2024-TRABAJO'!$A$5:$CD$9142,20,FALSE)</f>
        <v>N/A</v>
      </c>
      <c r="G80" s="12" t="str">
        <f>VLOOKUP($A80,'Matriz POA 2024-TRABAJO'!$A$5:$CD$9142,21,FALSE)</f>
        <v>N/A</v>
      </c>
      <c r="H80" s="12" t="str">
        <f>VLOOKUP($A80,'Matriz POA 2024-TRABAJO'!$A$5:$CD$9142,22,FALSE)</f>
        <v>N/A</v>
      </c>
      <c r="I80" s="12" t="str">
        <f>VLOOKUP($A80,'Matriz POA 2024-TRABAJO'!$A$5:$CD$9142,23,FALSE)</f>
        <v>NUEVA</v>
      </c>
      <c r="J80" s="12" t="str">
        <f>VLOOKUP($A80,'Matriz POA 2024-TRABAJO'!$A$5:$CD$9142,24,FALSE)</f>
        <v xml:space="preserve">Mantenimiento y reparación de bombas sumergibles y bombas de agua potable en el Museo Centro Cultural Manta, sede de la Corporación Ciudad Alfaro </v>
      </c>
      <c r="K80" s="12" t="str">
        <f>VLOOKUP($A80,'Matriz POA 2024-TRABAJO'!$A$5:$CD$9142,25,FALSE)</f>
        <v>0035</v>
      </c>
      <c r="L80" s="12" t="str">
        <f>VLOOKUP($A80,'Matriz POA 2024-TRABAJO'!$A$5:$CD$9142,26,FALSE)</f>
        <v>80</v>
      </c>
      <c r="M80" s="12" t="str">
        <f>VLOOKUP($A80,'Matriz POA 2024-TRABAJO'!$A$5:$CD$9142,27,FALSE)</f>
        <v>000</v>
      </c>
      <c r="N80" s="12" t="str">
        <f>VLOOKUP($A80,'Matriz POA 2024-TRABAJO'!$A$5:$CD$9142,28,FALSE)</f>
        <v>002</v>
      </c>
      <c r="O80" s="12" t="str">
        <f>VLOOKUP($A80,'Matriz POA 2024-TRABAJO'!$A$5:$CD$9142,29,FALSE)</f>
        <v>53</v>
      </c>
      <c r="P80" s="12">
        <f>VLOOKUP($A80,'Matriz POA 2024-TRABAJO'!$A$5:$CD$9142,30,FALSE)</f>
        <v>530403</v>
      </c>
      <c r="Q80" s="12">
        <f>VLOOKUP($A80,'Matriz POA 2024-TRABAJO'!$A$5:$CD$9142,32,FALSE)</f>
        <v>1308</v>
      </c>
      <c r="R80" s="12" t="str">
        <f>VLOOKUP($A80,'Matriz POA 2024-TRABAJO'!$A$5:$CD$9142,33,FALSE)</f>
        <v>001</v>
      </c>
      <c r="S80" s="12" t="str">
        <f>VLOOKUP($A80,'Matriz POA 2024-TRABAJO'!$A$5:$CD$9142,34,FALSE)</f>
        <v>0000</v>
      </c>
      <c r="T80" s="12" t="str">
        <f>VLOOKUP($A80,'Matriz POA 2024-TRABAJO'!$A$5:$CD$9142,35,FALSE)</f>
        <v>0000</v>
      </c>
      <c r="U80" s="62">
        <f>VLOOKUP($A80,'Matriz POA 2024-TRABAJO'!$A$5:$CD$9142,66,FALSE)</f>
        <v>0</v>
      </c>
      <c r="V80" s="62">
        <f>VLOOKUP($A80,'Matriz POA 2024-TRABAJO'!$A$5:$CD$9142,67,FALSE)</f>
        <v>0</v>
      </c>
      <c r="W80" s="62">
        <f>VLOOKUP($A80,'Matriz POA 2024-TRABAJO'!$A$5:$CD$9142,68,FALSE)</f>
        <v>0</v>
      </c>
      <c r="X80" s="62" t="str">
        <f>VLOOKUP($A80,'Matriz POA 2024-TRABAJO'!$A$5:$CD$9142,72,FALSE)</f>
        <v/>
      </c>
      <c r="Y80" s="388">
        <v>9788.9</v>
      </c>
      <c r="Z80" s="388">
        <v>0</v>
      </c>
      <c r="AA80" s="388">
        <v>9788.9</v>
      </c>
      <c r="AB80" s="389"/>
      <c r="AC80" s="389"/>
      <c r="AD80" s="13"/>
      <c r="AE80" s="13"/>
      <c r="AF80" s="13">
        <f t="shared" si="8"/>
        <v>9788.9</v>
      </c>
      <c r="AG80" s="13">
        <f t="shared" si="9"/>
        <v>0</v>
      </c>
      <c r="AH80" s="13">
        <f t="shared" si="13"/>
        <v>9788.9</v>
      </c>
      <c r="AI80" s="129">
        <v>9788.9</v>
      </c>
      <c r="AJ80" s="129">
        <v>0</v>
      </c>
      <c r="AK80" s="129">
        <v>0</v>
      </c>
      <c r="AL80" s="129">
        <v>0</v>
      </c>
      <c r="AM80" s="129">
        <v>0</v>
      </c>
      <c r="AN80" s="129">
        <v>0</v>
      </c>
      <c r="AO80" s="129">
        <v>0</v>
      </c>
      <c r="AP80" s="129">
        <v>0</v>
      </c>
      <c r="AQ80" s="129">
        <v>0</v>
      </c>
      <c r="AR80" s="129">
        <v>0</v>
      </c>
      <c r="AS80" s="129">
        <v>0</v>
      </c>
      <c r="AT80" s="129">
        <v>0</v>
      </c>
      <c r="AU80" s="129"/>
      <c r="AV80" s="13" t="b">
        <f t="shared" si="10"/>
        <v>1</v>
      </c>
      <c r="AW80" s="14"/>
      <c r="AX80" s="15"/>
      <c r="AY80" s="16"/>
      <c r="AZ80" s="15"/>
      <c r="BA80" s="16"/>
      <c r="BB80" s="17">
        <f t="shared" si="14"/>
        <v>0</v>
      </c>
      <c r="BC80" s="12"/>
      <c r="BD80" s="15"/>
      <c r="BE80" s="18"/>
      <c r="BF80" s="12"/>
      <c r="BG80" s="19" t="str">
        <f t="shared" si="15"/>
        <v>enero</v>
      </c>
      <c r="BH80" s="12" t="str">
        <f t="shared" si="11"/>
        <v>Corporación Ciudad Alfaro</v>
      </c>
      <c r="BI80" s="20" t="str">
        <f t="shared" si="12"/>
        <v>N/A</v>
      </c>
    </row>
    <row r="81" spans="1:61" ht="24.95" customHeight="1">
      <c r="A81" s="4">
        <v>494</v>
      </c>
      <c r="B81" s="12" t="str">
        <f>VLOOKUP($A81,'Matriz POA 2024-TRABAJO'!$A$5:$CD$9142,11,FALSE)</f>
        <v>Corporación Ciudad Alfaro</v>
      </c>
      <c r="C81" s="12" t="str">
        <f>VLOOKUP($A81,'Matriz POA 2024-TRABAJO'!$A$5:$CD$9142,14,FALSE)</f>
        <v>N/A</v>
      </c>
      <c r="D81" s="12" t="str">
        <f>VLOOKUP($A81,'Matriz POA 2024-TRABAJO'!$A$5:$CD$9142,15,FALSE)</f>
        <v>N/A</v>
      </c>
      <c r="E81" s="12" t="str">
        <f>VLOOKUP($A81,'Matriz POA 2024-TRABAJO'!$A$5:$CD$9142,18,FALSE)</f>
        <v>N/A</v>
      </c>
      <c r="F81" s="12" t="str">
        <f>VLOOKUP($A81,'Matriz POA 2024-TRABAJO'!$A$5:$CD$9142,20,FALSE)</f>
        <v>N/A</v>
      </c>
      <c r="G81" s="12" t="str">
        <f>VLOOKUP($A81,'Matriz POA 2024-TRABAJO'!$A$5:$CD$9142,21,FALSE)</f>
        <v>N/A</v>
      </c>
      <c r="H81" s="12" t="str">
        <f>VLOOKUP($A81,'Matriz POA 2024-TRABAJO'!$A$5:$CD$9142,22,FALSE)</f>
        <v>N/A</v>
      </c>
      <c r="I81" s="12" t="str">
        <f>VLOOKUP($A81,'Matriz POA 2024-TRABAJO'!$A$5:$CD$9142,23,FALSE)</f>
        <v>NUEVA</v>
      </c>
      <c r="J81" s="12" t="str">
        <f>VLOOKUP($A81,'Matriz POA 2024-TRABAJO'!$A$5:$CD$9142,24,FALSE)</f>
        <v xml:space="preserve">Mantenimiento y reparación de bombas sumergibles y bombas de agua potable en el Museo Bahía de Caráquez, sede de la Corporación Ciudad Alfaro </v>
      </c>
      <c r="K81" s="12" t="str">
        <f>VLOOKUP($A81,'Matriz POA 2024-TRABAJO'!$A$5:$CD$9142,25,FALSE)</f>
        <v>0035</v>
      </c>
      <c r="L81" s="12" t="str">
        <f>VLOOKUP($A81,'Matriz POA 2024-TRABAJO'!$A$5:$CD$9142,26,FALSE)</f>
        <v>80</v>
      </c>
      <c r="M81" s="12" t="str">
        <f>VLOOKUP($A81,'Matriz POA 2024-TRABAJO'!$A$5:$CD$9142,27,FALSE)</f>
        <v>000</v>
      </c>
      <c r="N81" s="12" t="str">
        <f>VLOOKUP($A81,'Matriz POA 2024-TRABAJO'!$A$5:$CD$9142,28,FALSE)</f>
        <v>002</v>
      </c>
      <c r="O81" s="12" t="str">
        <f>VLOOKUP($A81,'Matriz POA 2024-TRABAJO'!$A$5:$CD$9142,29,FALSE)</f>
        <v>53</v>
      </c>
      <c r="P81" s="12">
        <f>VLOOKUP($A81,'Matriz POA 2024-TRABAJO'!$A$5:$CD$9142,30,FALSE)</f>
        <v>530403</v>
      </c>
      <c r="Q81" s="12">
        <f>VLOOKUP($A81,'Matriz POA 2024-TRABAJO'!$A$5:$CD$9142,32,FALSE)</f>
        <v>1314</v>
      </c>
      <c r="R81" s="12" t="str">
        <f>VLOOKUP($A81,'Matriz POA 2024-TRABAJO'!$A$5:$CD$9142,33,FALSE)</f>
        <v>001</v>
      </c>
      <c r="S81" s="12" t="str">
        <f>VLOOKUP($A81,'Matriz POA 2024-TRABAJO'!$A$5:$CD$9142,34,FALSE)</f>
        <v>0000</v>
      </c>
      <c r="T81" s="12" t="str">
        <f>VLOOKUP($A81,'Matriz POA 2024-TRABAJO'!$A$5:$CD$9142,35,FALSE)</f>
        <v>0000</v>
      </c>
      <c r="U81" s="62" t="str">
        <f>VLOOKUP($A81,'Matriz POA 2024-TRABAJO'!$A$5:$CD$9142,66,FALSE)</f>
        <v/>
      </c>
      <c r="V81" s="62" t="str">
        <f>VLOOKUP($A81,'Matriz POA 2024-TRABAJO'!$A$5:$CD$9142,67,FALSE)</f>
        <v/>
      </c>
      <c r="W81" s="62" t="str">
        <f>VLOOKUP($A81,'Matriz POA 2024-TRABAJO'!$A$5:$CD$9142,68,FALSE)</f>
        <v/>
      </c>
      <c r="X81" s="62" t="str">
        <f>VLOOKUP($A81,'Matriz POA 2024-TRABAJO'!$A$5:$CD$9142,72,FALSE)</f>
        <v/>
      </c>
      <c r="Y81" s="388">
        <v>0</v>
      </c>
      <c r="Z81" s="388">
        <v>0</v>
      </c>
      <c r="AA81" s="388">
        <v>0</v>
      </c>
      <c r="AB81" s="389"/>
      <c r="AC81" s="389"/>
      <c r="AD81" s="13"/>
      <c r="AE81" s="13"/>
      <c r="AF81" s="13">
        <f t="shared" si="8"/>
        <v>0</v>
      </c>
      <c r="AG81" s="13">
        <f t="shared" si="9"/>
        <v>0</v>
      </c>
      <c r="AH81" s="13">
        <f t="shared" si="13"/>
        <v>0</v>
      </c>
      <c r="AI81" s="129">
        <v>0</v>
      </c>
      <c r="AJ81" s="129">
        <v>0</v>
      </c>
      <c r="AK81" s="129">
        <v>0</v>
      </c>
      <c r="AL81" s="129">
        <v>0</v>
      </c>
      <c r="AM81" s="129">
        <v>0</v>
      </c>
      <c r="AN81" s="129">
        <v>0</v>
      </c>
      <c r="AO81" s="129">
        <v>0</v>
      </c>
      <c r="AP81" s="129">
        <v>0</v>
      </c>
      <c r="AQ81" s="129">
        <v>0</v>
      </c>
      <c r="AR81" s="129">
        <v>0</v>
      </c>
      <c r="AS81" s="129">
        <v>0</v>
      </c>
      <c r="AT81" s="129">
        <v>0</v>
      </c>
      <c r="AU81" s="129"/>
      <c r="AV81" s="13" t="b">
        <f t="shared" si="10"/>
        <v>1</v>
      </c>
      <c r="AW81" s="14"/>
      <c r="AX81" s="15"/>
      <c r="AY81" s="16"/>
      <c r="AZ81" s="15"/>
      <c r="BA81" s="16"/>
      <c r="BB81" s="17">
        <f t="shared" si="14"/>
        <v>0</v>
      </c>
      <c r="BC81" s="12"/>
      <c r="BD81" s="15"/>
      <c r="BE81" s="18"/>
      <c r="BF81" s="12"/>
      <c r="BG81" s="19" t="str">
        <f t="shared" si="15"/>
        <v>enero</v>
      </c>
      <c r="BH81" s="12" t="str">
        <f t="shared" si="11"/>
        <v>Corporación Ciudad Alfaro</v>
      </c>
      <c r="BI81" s="20" t="str">
        <f t="shared" si="12"/>
        <v>N/A</v>
      </c>
    </row>
    <row r="82" spans="1:61" ht="24.95" customHeight="1">
      <c r="A82" s="4">
        <v>495</v>
      </c>
      <c r="B82" s="12" t="str">
        <f>VLOOKUP($A82,'Matriz POA 2024-TRABAJO'!$A$5:$CD$9142,11,FALSE)</f>
        <v>Corporación Ciudad Alfaro</v>
      </c>
      <c r="C82" s="12" t="str">
        <f>VLOOKUP($A82,'Matriz POA 2024-TRABAJO'!$A$5:$CD$9142,14,FALSE)</f>
        <v>N/A</v>
      </c>
      <c r="D82" s="12" t="str">
        <f>VLOOKUP($A82,'Matriz POA 2024-TRABAJO'!$A$5:$CD$9142,15,FALSE)</f>
        <v>N/A</v>
      </c>
      <c r="E82" s="12" t="str">
        <f>VLOOKUP($A82,'Matriz POA 2024-TRABAJO'!$A$5:$CD$9142,18,FALSE)</f>
        <v>N/A</v>
      </c>
      <c r="F82" s="12" t="str">
        <f>VLOOKUP($A82,'Matriz POA 2024-TRABAJO'!$A$5:$CD$9142,20,FALSE)</f>
        <v>N/A</v>
      </c>
      <c r="G82" s="12" t="str">
        <f>VLOOKUP($A82,'Matriz POA 2024-TRABAJO'!$A$5:$CD$9142,21,FALSE)</f>
        <v>N/A</v>
      </c>
      <c r="H82" s="12" t="str">
        <f>VLOOKUP($A82,'Matriz POA 2024-TRABAJO'!$A$5:$CD$9142,22,FALSE)</f>
        <v>N/A</v>
      </c>
      <c r="I82" s="12" t="str">
        <f>VLOOKUP($A82,'Matriz POA 2024-TRABAJO'!$A$5:$CD$9142,23,FALSE)</f>
        <v>NUEVA</v>
      </c>
      <c r="J82" s="12" t="str">
        <f>VLOOKUP($A82,'Matriz POA 2024-TRABAJO'!$A$5:$CD$9142,24,FALSE)</f>
        <v>Mantenimiento y Reparación de Ascensores del Museo Centro Cultural Manta</v>
      </c>
      <c r="K82" s="12" t="str">
        <f>VLOOKUP($A82,'Matriz POA 2024-TRABAJO'!$A$5:$CD$9142,25,FALSE)</f>
        <v>0035</v>
      </c>
      <c r="L82" s="12" t="str">
        <f>VLOOKUP($A82,'Matriz POA 2024-TRABAJO'!$A$5:$CD$9142,26,FALSE)</f>
        <v>80</v>
      </c>
      <c r="M82" s="12" t="str">
        <f>VLOOKUP($A82,'Matriz POA 2024-TRABAJO'!$A$5:$CD$9142,27,FALSE)</f>
        <v>000</v>
      </c>
      <c r="N82" s="12" t="str">
        <f>VLOOKUP($A82,'Matriz POA 2024-TRABAJO'!$A$5:$CD$9142,28,FALSE)</f>
        <v>002</v>
      </c>
      <c r="O82" s="12" t="str">
        <f>VLOOKUP($A82,'Matriz POA 2024-TRABAJO'!$A$5:$CD$9142,29,FALSE)</f>
        <v>53</v>
      </c>
      <c r="P82" s="12">
        <f>VLOOKUP($A82,'Matriz POA 2024-TRABAJO'!$A$5:$CD$9142,30,FALSE)</f>
        <v>530404</v>
      </c>
      <c r="Q82" s="12">
        <f>VLOOKUP($A82,'Matriz POA 2024-TRABAJO'!$A$5:$CD$9142,32,FALSE)</f>
        <v>1308</v>
      </c>
      <c r="R82" s="12" t="str">
        <f>VLOOKUP($A82,'Matriz POA 2024-TRABAJO'!$A$5:$CD$9142,33,FALSE)</f>
        <v>001</v>
      </c>
      <c r="S82" s="12" t="str">
        <f>VLOOKUP($A82,'Matriz POA 2024-TRABAJO'!$A$5:$CD$9142,34,FALSE)</f>
        <v>0000</v>
      </c>
      <c r="T82" s="12" t="str">
        <f>VLOOKUP($A82,'Matriz POA 2024-TRABAJO'!$A$5:$CD$9142,35,FALSE)</f>
        <v>0000</v>
      </c>
      <c r="U82" s="62" t="str">
        <f>VLOOKUP($A82,'Matriz POA 2024-TRABAJO'!$A$5:$CD$9142,66,FALSE)</f>
        <v/>
      </c>
      <c r="V82" s="62" t="str">
        <f>VLOOKUP($A82,'Matriz POA 2024-TRABAJO'!$A$5:$CD$9142,67,FALSE)</f>
        <v/>
      </c>
      <c r="W82" s="62" t="str">
        <f>VLOOKUP($A82,'Matriz POA 2024-TRABAJO'!$A$5:$CD$9142,68,FALSE)</f>
        <v/>
      </c>
      <c r="X82" s="62" t="str">
        <f>VLOOKUP($A82,'Matriz POA 2024-TRABAJO'!$A$5:$CD$9142,72,FALSE)</f>
        <v/>
      </c>
      <c r="Y82" s="388">
        <v>0</v>
      </c>
      <c r="Z82" s="388">
        <v>0</v>
      </c>
      <c r="AA82" s="388">
        <v>0</v>
      </c>
      <c r="AB82" s="389"/>
      <c r="AC82" s="389"/>
      <c r="AD82" s="13"/>
      <c r="AE82" s="13"/>
      <c r="AF82" s="13">
        <f t="shared" si="8"/>
        <v>0</v>
      </c>
      <c r="AG82" s="13">
        <f t="shared" si="9"/>
        <v>0</v>
      </c>
      <c r="AH82" s="13">
        <f t="shared" si="13"/>
        <v>0</v>
      </c>
      <c r="AI82" s="129">
        <v>0</v>
      </c>
      <c r="AJ82" s="129">
        <v>0</v>
      </c>
      <c r="AK82" s="129">
        <v>0</v>
      </c>
      <c r="AL82" s="129">
        <v>0</v>
      </c>
      <c r="AM82" s="129">
        <v>0</v>
      </c>
      <c r="AN82" s="129">
        <v>0</v>
      </c>
      <c r="AO82" s="129">
        <v>0</v>
      </c>
      <c r="AP82" s="129">
        <v>0</v>
      </c>
      <c r="AQ82" s="129">
        <v>0</v>
      </c>
      <c r="AR82" s="129">
        <v>0</v>
      </c>
      <c r="AS82" s="129">
        <v>0</v>
      </c>
      <c r="AT82" s="129">
        <v>0</v>
      </c>
      <c r="AU82" s="129"/>
      <c r="AV82" s="13" t="b">
        <f t="shared" si="10"/>
        <v>1</v>
      </c>
      <c r="AW82" s="14"/>
      <c r="AX82" s="15"/>
      <c r="AY82" s="16"/>
      <c r="AZ82" s="15"/>
      <c r="BA82" s="16"/>
      <c r="BB82" s="17">
        <f t="shared" si="14"/>
        <v>0</v>
      </c>
      <c r="BC82" s="12"/>
      <c r="BD82" s="15"/>
      <c r="BE82" s="18"/>
      <c r="BF82" s="12"/>
      <c r="BG82" s="19" t="str">
        <f t="shared" si="15"/>
        <v>enero</v>
      </c>
      <c r="BH82" s="12" t="str">
        <f t="shared" si="11"/>
        <v>Corporación Ciudad Alfaro</v>
      </c>
      <c r="BI82" s="20" t="str">
        <f t="shared" si="12"/>
        <v>N/A</v>
      </c>
    </row>
    <row r="83" spans="1:61" ht="24.95" customHeight="1">
      <c r="A83" s="4">
        <v>496</v>
      </c>
      <c r="B83" s="12" t="str">
        <f>VLOOKUP($A83,'Matriz POA 2024-TRABAJO'!$A$5:$CD$9142,11,FALSE)</f>
        <v>Corporación Ciudad Alfaro</v>
      </c>
      <c r="C83" s="12" t="str">
        <f>VLOOKUP($A83,'Matriz POA 2024-TRABAJO'!$A$5:$CD$9142,14,FALSE)</f>
        <v>N/A</v>
      </c>
      <c r="D83" s="12" t="str">
        <f>VLOOKUP($A83,'Matriz POA 2024-TRABAJO'!$A$5:$CD$9142,15,FALSE)</f>
        <v>N/A</v>
      </c>
      <c r="E83" s="12" t="str">
        <f>VLOOKUP($A83,'Matriz POA 2024-TRABAJO'!$A$5:$CD$9142,18,FALSE)</f>
        <v>N/A</v>
      </c>
      <c r="F83" s="12" t="str">
        <f>VLOOKUP($A83,'Matriz POA 2024-TRABAJO'!$A$5:$CD$9142,20,FALSE)</f>
        <v>N/A</v>
      </c>
      <c r="G83" s="12" t="str">
        <f>VLOOKUP($A83,'Matriz POA 2024-TRABAJO'!$A$5:$CD$9142,21,FALSE)</f>
        <v>N/A</v>
      </c>
      <c r="H83" s="12" t="str">
        <f>VLOOKUP($A83,'Matriz POA 2024-TRABAJO'!$A$5:$CD$9142,22,FALSE)</f>
        <v>N/A</v>
      </c>
      <c r="I83" s="12" t="str">
        <f>VLOOKUP($A83,'Matriz POA 2024-TRABAJO'!$A$5:$CD$9142,23,FALSE)</f>
        <v>NUEVA</v>
      </c>
      <c r="J83" s="12" t="str">
        <f>VLOOKUP($A83,'Matriz POA 2024-TRABAJO'!$A$5:$CD$9142,24,FALSE)</f>
        <v>Mantenimiento y Reparación de Ascensores del Museo Bahía de Caráquez</v>
      </c>
      <c r="K83" s="12" t="str">
        <f>VLOOKUP($A83,'Matriz POA 2024-TRABAJO'!$A$5:$CD$9142,25,FALSE)</f>
        <v>0035</v>
      </c>
      <c r="L83" s="12" t="str">
        <f>VLOOKUP($A83,'Matriz POA 2024-TRABAJO'!$A$5:$CD$9142,26,FALSE)</f>
        <v>80</v>
      </c>
      <c r="M83" s="12" t="str">
        <f>VLOOKUP($A83,'Matriz POA 2024-TRABAJO'!$A$5:$CD$9142,27,FALSE)</f>
        <v>000</v>
      </c>
      <c r="N83" s="12" t="str">
        <f>VLOOKUP($A83,'Matriz POA 2024-TRABAJO'!$A$5:$CD$9142,28,FALSE)</f>
        <v>002</v>
      </c>
      <c r="O83" s="12" t="str">
        <f>VLOOKUP($A83,'Matriz POA 2024-TRABAJO'!$A$5:$CD$9142,29,FALSE)</f>
        <v>53</v>
      </c>
      <c r="P83" s="12">
        <f>VLOOKUP($A83,'Matriz POA 2024-TRABAJO'!$A$5:$CD$9142,30,FALSE)</f>
        <v>530404</v>
      </c>
      <c r="Q83" s="12">
        <f>VLOOKUP($A83,'Matriz POA 2024-TRABAJO'!$A$5:$CD$9142,32,FALSE)</f>
        <v>1314</v>
      </c>
      <c r="R83" s="12" t="str">
        <f>VLOOKUP($A83,'Matriz POA 2024-TRABAJO'!$A$5:$CD$9142,33,FALSE)</f>
        <v>001</v>
      </c>
      <c r="S83" s="12" t="str">
        <f>VLOOKUP($A83,'Matriz POA 2024-TRABAJO'!$A$5:$CD$9142,34,FALSE)</f>
        <v>0000</v>
      </c>
      <c r="T83" s="12" t="str">
        <f>VLOOKUP($A83,'Matriz POA 2024-TRABAJO'!$A$5:$CD$9142,35,FALSE)</f>
        <v>0000</v>
      </c>
      <c r="U83" s="62" t="str">
        <f>VLOOKUP($A83,'Matriz POA 2024-TRABAJO'!$A$5:$CD$9142,66,FALSE)</f>
        <v/>
      </c>
      <c r="V83" s="62" t="str">
        <f>VLOOKUP($A83,'Matriz POA 2024-TRABAJO'!$A$5:$CD$9142,67,FALSE)</f>
        <v/>
      </c>
      <c r="W83" s="62" t="str">
        <f>VLOOKUP($A83,'Matriz POA 2024-TRABAJO'!$A$5:$CD$9142,68,FALSE)</f>
        <v/>
      </c>
      <c r="X83" s="62" t="str">
        <f>VLOOKUP($A83,'Matriz POA 2024-TRABAJO'!$A$5:$CD$9142,72,FALSE)</f>
        <v/>
      </c>
      <c r="Y83" s="388">
        <v>0</v>
      </c>
      <c r="Z83" s="388">
        <v>0</v>
      </c>
      <c r="AA83" s="388">
        <v>0</v>
      </c>
      <c r="AB83" s="389"/>
      <c r="AC83" s="389"/>
      <c r="AD83" s="13"/>
      <c r="AE83" s="13"/>
      <c r="AF83" s="13">
        <f t="shared" si="8"/>
        <v>0</v>
      </c>
      <c r="AG83" s="13">
        <f t="shared" si="9"/>
        <v>0</v>
      </c>
      <c r="AH83" s="13">
        <f t="shared" si="13"/>
        <v>0</v>
      </c>
      <c r="AI83" s="129">
        <v>0</v>
      </c>
      <c r="AJ83" s="129">
        <v>0</v>
      </c>
      <c r="AK83" s="129">
        <v>0</v>
      </c>
      <c r="AL83" s="129">
        <v>0</v>
      </c>
      <c r="AM83" s="129">
        <v>0</v>
      </c>
      <c r="AN83" s="129">
        <v>0</v>
      </c>
      <c r="AO83" s="129">
        <v>0</v>
      </c>
      <c r="AP83" s="129">
        <v>0</v>
      </c>
      <c r="AQ83" s="129">
        <v>0</v>
      </c>
      <c r="AR83" s="129">
        <v>0</v>
      </c>
      <c r="AS83" s="129">
        <v>0</v>
      </c>
      <c r="AT83" s="129">
        <v>0</v>
      </c>
      <c r="AU83" s="129"/>
      <c r="AV83" s="13" t="b">
        <f t="shared" si="10"/>
        <v>1</v>
      </c>
      <c r="AW83" s="14"/>
      <c r="AX83" s="15"/>
      <c r="AY83" s="16"/>
      <c r="AZ83" s="15"/>
      <c r="BA83" s="16"/>
      <c r="BB83" s="17">
        <f t="shared" si="14"/>
        <v>0</v>
      </c>
      <c r="BC83" s="12"/>
      <c r="BD83" s="15"/>
      <c r="BE83" s="18"/>
      <c r="BF83" s="12"/>
      <c r="BG83" s="19" t="str">
        <f t="shared" si="15"/>
        <v>enero</v>
      </c>
      <c r="BH83" s="12" t="str">
        <f t="shared" si="11"/>
        <v>Corporación Ciudad Alfaro</v>
      </c>
      <c r="BI83" s="20" t="str">
        <f t="shared" si="12"/>
        <v>N/A</v>
      </c>
    </row>
    <row r="84" spans="1:61" ht="24.95" customHeight="1">
      <c r="A84" s="4">
        <v>497</v>
      </c>
      <c r="B84" s="12" t="str">
        <f>VLOOKUP($A84,'Matriz POA 2024-TRABAJO'!$A$5:$CD$9142,11,FALSE)</f>
        <v>Corporación Ciudad Alfaro</v>
      </c>
      <c r="C84" s="12" t="str">
        <f>VLOOKUP($A84,'Matriz POA 2024-TRABAJO'!$A$5:$CD$9142,14,FALSE)</f>
        <v>N/A</v>
      </c>
      <c r="D84" s="12" t="str">
        <f>VLOOKUP($A84,'Matriz POA 2024-TRABAJO'!$A$5:$CD$9142,15,FALSE)</f>
        <v>N/A</v>
      </c>
      <c r="E84" s="12" t="str">
        <f>VLOOKUP($A84,'Matriz POA 2024-TRABAJO'!$A$5:$CD$9142,18,FALSE)</f>
        <v>N/A</v>
      </c>
      <c r="F84" s="12" t="str">
        <f>VLOOKUP($A84,'Matriz POA 2024-TRABAJO'!$A$5:$CD$9142,20,FALSE)</f>
        <v>N/A</v>
      </c>
      <c r="G84" s="12" t="str">
        <f>VLOOKUP($A84,'Matriz POA 2024-TRABAJO'!$A$5:$CD$9142,21,FALSE)</f>
        <v>N/A</v>
      </c>
      <c r="H84" s="12" t="str">
        <f>VLOOKUP($A84,'Matriz POA 2024-TRABAJO'!$A$5:$CD$9142,22,FALSE)</f>
        <v>N/A</v>
      </c>
      <c r="I84" s="12" t="str">
        <f>VLOOKUP($A84,'Matriz POA 2024-TRABAJO'!$A$5:$CD$9142,23,FALSE)</f>
        <v>NUEVA</v>
      </c>
      <c r="J84" s="12" t="str">
        <f>VLOOKUP($A84,'Matriz POA 2024-TRABAJO'!$A$5:$CD$9142,24,FALSE)</f>
        <v>Servicio de impresión de banners, hacking publicitario y Tripticos para tener presencia institucional en las actividades de los repositorios de la memoria de la Corporación Ciudad Alfaro y sus sedes</v>
      </c>
      <c r="K84" s="12" t="str">
        <f>VLOOKUP($A84,'Matriz POA 2024-TRABAJO'!$A$5:$CD$9142,25,FALSE)</f>
        <v>0035</v>
      </c>
      <c r="L84" s="12" t="str">
        <f>VLOOKUP($A84,'Matriz POA 2024-TRABAJO'!$A$5:$CD$9142,26,FALSE)</f>
        <v>80</v>
      </c>
      <c r="M84" s="12" t="str">
        <f>VLOOKUP($A84,'Matriz POA 2024-TRABAJO'!$A$5:$CD$9142,27,FALSE)</f>
        <v>000</v>
      </c>
      <c r="N84" s="12" t="str">
        <f>VLOOKUP($A84,'Matriz POA 2024-TRABAJO'!$A$5:$CD$9142,28,FALSE)</f>
        <v>002</v>
      </c>
      <c r="O84" s="12" t="str">
        <f>VLOOKUP($A84,'Matriz POA 2024-TRABAJO'!$A$5:$CD$9142,29,FALSE)</f>
        <v>53</v>
      </c>
      <c r="P84" s="12">
        <f>VLOOKUP($A84,'Matriz POA 2024-TRABAJO'!$A$5:$CD$9142,30,FALSE)</f>
        <v>530204</v>
      </c>
      <c r="Q84" s="12">
        <f>VLOOKUP($A84,'Matriz POA 2024-TRABAJO'!$A$5:$CD$9142,32,FALSE)</f>
        <v>1309</v>
      </c>
      <c r="R84" s="12" t="str">
        <f>VLOOKUP($A84,'Matriz POA 2024-TRABAJO'!$A$5:$CD$9142,33,FALSE)</f>
        <v>001</v>
      </c>
      <c r="S84" s="12" t="str">
        <f>VLOOKUP($A84,'Matriz POA 2024-TRABAJO'!$A$5:$CD$9142,34,FALSE)</f>
        <v>0000</v>
      </c>
      <c r="T84" s="12" t="str">
        <f>VLOOKUP($A84,'Matriz POA 2024-TRABAJO'!$A$5:$CD$9142,35,FALSE)</f>
        <v>0000</v>
      </c>
      <c r="U84" s="62" t="str">
        <f>VLOOKUP($A84,'Matriz POA 2024-TRABAJO'!$A$5:$CD$9142,66,FALSE)</f>
        <v/>
      </c>
      <c r="V84" s="62" t="str">
        <f>VLOOKUP($A84,'Matriz POA 2024-TRABAJO'!$A$5:$CD$9142,67,FALSE)</f>
        <v/>
      </c>
      <c r="W84" s="62" t="str">
        <f>VLOOKUP($A84,'Matriz POA 2024-TRABAJO'!$A$5:$CD$9142,68,FALSE)</f>
        <v/>
      </c>
      <c r="X84" s="62" t="str">
        <f>VLOOKUP($A84,'Matriz POA 2024-TRABAJO'!$A$5:$CD$9142,72,FALSE)</f>
        <v/>
      </c>
      <c r="Y84" s="388">
        <v>0</v>
      </c>
      <c r="Z84" s="388">
        <v>0</v>
      </c>
      <c r="AA84" s="388">
        <v>0</v>
      </c>
      <c r="AB84" s="389"/>
      <c r="AC84" s="389"/>
      <c r="AD84" s="13"/>
      <c r="AE84" s="13"/>
      <c r="AF84" s="13">
        <f t="shared" si="8"/>
        <v>0</v>
      </c>
      <c r="AG84" s="13">
        <f t="shared" si="9"/>
        <v>0</v>
      </c>
      <c r="AH84" s="13">
        <f t="shared" si="13"/>
        <v>0</v>
      </c>
      <c r="AI84" s="129">
        <v>0</v>
      </c>
      <c r="AJ84" s="129">
        <v>0</v>
      </c>
      <c r="AK84" s="129">
        <v>0</v>
      </c>
      <c r="AL84" s="129">
        <v>0</v>
      </c>
      <c r="AM84" s="129">
        <v>0</v>
      </c>
      <c r="AN84" s="129">
        <v>0</v>
      </c>
      <c r="AO84" s="129">
        <v>0</v>
      </c>
      <c r="AP84" s="129">
        <v>0</v>
      </c>
      <c r="AQ84" s="129">
        <v>0</v>
      </c>
      <c r="AR84" s="129">
        <v>0</v>
      </c>
      <c r="AS84" s="129">
        <v>0</v>
      </c>
      <c r="AT84" s="129">
        <v>0</v>
      </c>
      <c r="AU84" s="129"/>
      <c r="AV84" s="13" t="b">
        <f t="shared" si="10"/>
        <v>1</v>
      </c>
      <c r="AW84" s="14"/>
      <c r="AX84" s="15"/>
      <c r="AY84" s="16"/>
      <c r="AZ84" s="15"/>
      <c r="BA84" s="16"/>
      <c r="BB84" s="17">
        <f t="shared" si="14"/>
        <v>0</v>
      </c>
      <c r="BC84" s="12"/>
      <c r="BD84" s="15"/>
      <c r="BE84" s="18"/>
      <c r="BF84" s="12"/>
      <c r="BG84" s="19" t="str">
        <f t="shared" si="15"/>
        <v>enero</v>
      </c>
      <c r="BH84" s="12" t="str">
        <f t="shared" si="11"/>
        <v>Corporación Ciudad Alfaro</v>
      </c>
      <c r="BI84" s="20" t="str">
        <f t="shared" si="12"/>
        <v>N/A</v>
      </c>
    </row>
    <row r="85" spans="1:61" ht="24.95" customHeight="1">
      <c r="A85" s="4">
        <v>498</v>
      </c>
      <c r="B85" s="12" t="str">
        <f>VLOOKUP($A85,'Matriz POA 2024-TRABAJO'!$A$5:$CD$9142,11,FALSE)</f>
        <v>Corporación Ciudad Alfaro</v>
      </c>
      <c r="C85" s="12" t="str">
        <f>VLOOKUP($A85,'Matriz POA 2024-TRABAJO'!$A$5:$CD$9142,14,FALSE)</f>
        <v>N/A</v>
      </c>
      <c r="D85" s="12" t="str">
        <f>VLOOKUP($A85,'Matriz POA 2024-TRABAJO'!$A$5:$CD$9142,15,FALSE)</f>
        <v>N/A</v>
      </c>
      <c r="E85" s="12" t="str">
        <f>VLOOKUP($A85,'Matriz POA 2024-TRABAJO'!$A$5:$CD$9142,18,FALSE)</f>
        <v>N/A</v>
      </c>
      <c r="F85" s="12" t="str">
        <f>VLOOKUP($A85,'Matriz POA 2024-TRABAJO'!$A$5:$CD$9142,20,FALSE)</f>
        <v>N/A</v>
      </c>
      <c r="G85" s="12" t="str">
        <f>VLOOKUP($A85,'Matriz POA 2024-TRABAJO'!$A$5:$CD$9142,21,FALSE)</f>
        <v>N/A</v>
      </c>
      <c r="H85" s="12" t="str">
        <f>VLOOKUP($A85,'Matriz POA 2024-TRABAJO'!$A$5:$CD$9142,22,FALSE)</f>
        <v>N/A</v>
      </c>
      <c r="I85" s="12" t="str">
        <f>VLOOKUP($A85,'Matriz POA 2024-TRABAJO'!$A$5:$CD$9142,23,FALSE)</f>
        <v>NUEVA</v>
      </c>
      <c r="J85" s="12" t="str">
        <f>VLOOKUP($A85,'Matriz POA 2024-TRABAJO'!$A$5:$CD$9142,24,FALSE)</f>
        <v>Mantenimiento preventivo y correctivo de torres manteñas y astas de banderas pertenecientes a la Corporación Ciudad Alfaro</v>
      </c>
      <c r="K85" s="12" t="str">
        <f>VLOOKUP($A85,'Matriz POA 2024-TRABAJO'!$A$5:$CD$9142,25,FALSE)</f>
        <v>0035</v>
      </c>
      <c r="L85" s="12" t="str">
        <f>VLOOKUP($A85,'Matriz POA 2024-TRABAJO'!$A$5:$CD$9142,26,FALSE)</f>
        <v>80</v>
      </c>
      <c r="M85" s="12" t="str">
        <f>VLOOKUP($A85,'Matriz POA 2024-TRABAJO'!$A$5:$CD$9142,27,FALSE)</f>
        <v>000</v>
      </c>
      <c r="N85" s="12" t="str">
        <f>VLOOKUP($A85,'Matriz POA 2024-TRABAJO'!$A$5:$CD$9142,28,FALSE)</f>
        <v>002</v>
      </c>
      <c r="O85" s="12" t="str">
        <f>VLOOKUP($A85,'Matriz POA 2024-TRABAJO'!$A$5:$CD$9142,29,FALSE)</f>
        <v>53</v>
      </c>
      <c r="P85" s="12">
        <f>VLOOKUP($A85,'Matriz POA 2024-TRABAJO'!$A$5:$CD$9142,30,FALSE)</f>
        <v>530420</v>
      </c>
      <c r="Q85" s="12">
        <f>VLOOKUP($A85,'Matriz POA 2024-TRABAJO'!$A$5:$CD$9142,32,FALSE)</f>
        <v>1309</v>
      </c>
      <c r="R85" s="12" t="str">
        <f>VLOOKUP($A85,'Matriz POA 2024-TRABAJO'!$A$5:$CD$9142,33,FALSE)</f>
        <v>001</v>
      </c>
      <c r="S85" s="12" t="str">
        <f>VLOOKUP($A85,'Matriz POA 2024-TRABAJO'!$A$5:$CD$9142,34,FALSE)</f>
        <v>0000</v>
      </c>
      <c r="T85" s="12" t="str">
        <f>VLOOKUP($A85,'Matriz POA 2024-TRABAJO'!$A$5:$CD$9142,35,FALSE)</f>
        <v>0000</v>
      </c>
      <c r="U85" s="62" t="str">
        <f>VLOOKUP($A85,'Matriz POA 2024-TRABAJO'!$A$5:$CD$9142,66,FALSE)</f>
        <v/>
      </c>
      <c r="V85" s="62" t="str">
        <f>VLOOKUP($A85,'Matriz POA 2024-TRABAJO'!$A$5:$CD$9142,67,FALSE)</f>
        <v/>
      </c>
      <c r="W85" s="62" t="str">
        <f>VLOOKUP($A85,'Matriz POA 2024-TRABAJO'!$A$5:$CD$9142,68,FALSE)</f>
        <v/>
      </c>
      <c r="X85" s="62" t="str">
        <f>VLOOKUP($A85,'Matriz POA 2024-TRABAJO'!$A$5:$CD$9142,72,FALSE)</f>
        <v/>
      </c>
      <c r="Y85" s="388">
        <v>0</v>
      </c>
      <c r="Z85" s="388">
        <v>0</v>
      </c>
      <c r="AA85" s="388">
        <v>0</v>
      </c>
      <c r="AB85" s="389"/>
      <c r="AC85" s="389"/>
      <c r="AD85" s="13"/>
      <c r="AE85" s="13"/>
      <c r="AF85" s="13">
        <f t="shared" si="8"/>
        <v>0</v>
      </c>
      <c r="AG85" s="13">
        <f t="shared" si="9"/>
        <v>0</v>
      </c>
      <c r="AH85" s="13">
        <f t="shared" si="13"/>
        <v>0</v>
      </c>
      <c r="AI85" s="129">
        <v>0</v>
      </c>
      <c r="AJ85" s="129">
        <v>0</v>
      </c>
      <c r="AK85" s="129">
        <v>0</v>
      </c>
      <c r="AL85" s="129">
        <v>0</v>
      </c>
      <c r="AM85" s="129">
        <v>0</v>
      </c>
      <c r="AN85" s="129">
        <v>0</v>
      </c>
      <c r="AO85" s="129">
        <v>0</v>
      </c>
      <c r="AP85" s="129">
        <v>0</v>
      </c>
      <c r="AQ85" s="129">
        <v>0</v>
      </c>
      <c r="AR85" s="129">
        <v>0</v>
      </c>
      <c r="AS85" s="129">
        <v>0</v>
      </c>
      <c r="AT85" s="129">
        <v>0</v>
      </c>
      <c r="AU85" s="129"/>
      <c r="AV85" s="13" t="b">
        <f t="shared" si="10"/>
        <v>1</v>
      </c>
      <c r="AW85" s="14"/>
      <c r="AX85" s="15"/>
      <c r="AY85" s="16"/>
      <c r="AZ85" s="15"/>
      <c r="BA85" s="16"/>
      <c r="BB85" s="17">
        <f t="shared" si="14"/>
        <v>0</v>
      </c>
      <c r="BC85" s="12"/>
      <c r="BD85" s="15"/>
      <c r="BE85" s="18"/>
      <c r="BF85" s="12"/>
      <c r="BG85" s="19" t="str">
        <f t="shared" si="15"/>
        <v>enero</v>
      </c>
      <c r="BH85" s="12" t="str">
        <f t="shared" si="11"/>
        <v>Corporación Ciudad Alfaro</v>
      </c>
      <c r="BI85" s="20" t="str">
        <f t="shared" si="12"/>
        <v>N/A</v>
      </c>
    </row>
    <row r="86" spans="1:61" ht="24.95" customHeight="1">
      <c r="A86" s="4">
        <v>499</v>
      </c>
      <c r="B86" s="12" t="str">
        <f>VLOOKUP($A86,'Matriz POA 2024-TRABAJO'!$A$5:$CD$9142,11,FALSE)</f>
        <v>Corporación Ciudad Alfaro</v>
      </c>
      <c r="C86" s="12" t="str">
        <f>VLOOKUP($A86,'Matriz POA 2024-TRABAJO'!$A$5:$CD$9142,14,FALSE)</f>
        <v>N/A</v>
      </c>
      <c r="D86" s="12" t="str">
        <f>VLOOKUP($A86,'Matriz POA 2024-TRABAJO'!$A$5:$CD$9142,15,FALSE)</f>
        <v>N/A</v>
      </c>
      <c r="E86" s="12" t="str">
        <f>VLOOKUP($A86,'Matriz POA 2024-TRABAJO'!$A$5:$CD$9142,18,FALSE)</f>
        <v>N/A</v>
      </c>
      <c r="F86" s="12" t="str">
        <f>VLOOKUP($A86,'Matriz POA 2024-TRABAJO'!$A$5:$CD$9142,20,FALSE)</f>
        <v>N/A</v>
      </c>
      <c r="G86" s="12" t="str">
        <f>VLOOKUP($A86,'Matriz POA 2024-TRABAJO'!$A$5:$CD$9142,21,FALSE)</f>
        <v>N/A</v>
      </c>
      <c r="H86" s="12" t="str">
        <f>VLOOKUP($A86,'Matriz POA 2024-TRABAJO'!$A$5:$CD$9142,22,FALSE)</f>
        <v>N/A</v>
      </c>
      <c r="I86" s="12" t="str">
        <f>VLOOKUP($A86,'Matriz POA 2024-TRABAJO'!$A$5:$CD$9142,23,FALSE)</f>
        <v>NUEVA</v>
      </c>
      <c r="J86" s="12" t="str">
        <f>VLOOKUP($A86,'Matriz POA 2024-TRABAJO'!$A$5:$CD$9142,24,FALSE)</f>
        <v>Mantenimiento y Reparación de Ascensores del Museo Bahía de Caráquez</v>
      </c>
      <c r="K86" s="12" t="str">
        <f>VLOOKUP($A86,'Matriz POA 2024-TRABAJO'!$A$5:$CD$9142,25,FALSE)</f>
        <v>0035</v>
      </c>
      <c r="L86" s="12" t="str">
        <f>VLOOKUP($A86,'Matriz POA 2024-TRABAJO'!$A$5:$CD$9142,26,FALSE)</f>
        <v>80</v>
      </c>
      <c r="M86" s="12" t="str">
        <f>VLOOKUP($A86,'Matriz POA 2024-TRABAJO'!$A$5:$CD$9142,27,FALSE)</f>
        <v>000</v>
      </c>
      <c r="N86" s="12" t="str">
        <f>VLOOKUP($A86,'Matriz POA 2024-TRABAJO'!$A$5:$CD$9142,28,FALSE)</f>
        <v>002</v>
      </c>
      <c r="O86" s="12" t="str">
        <f>VLOOKUP($A86,'Matriz POA 2024-TRABAJO'!$A$5:$CD$9142,29,FALSE)</f>
        <v>53</v>
      </c>
      <c r="P86" s="12">
        <f>VLOOKUP($A86,'Matriz POA 2024-TRABAJO'!$A$5:$CD$9142,30,FALSE)</f>
        <v>530403</v>
      </c>
      <c r="Q86" s="12">
        <f>VLOOKUP($A86,'Matriz POA 2024-TRABAJO'!$A$5:$CD$9142,32,FALSE)</f>
        <v>1309</v>
      </c>
      <c r="R86" s="12" t="str">
        <f>VLOOKUP($A86,'Matriz POA 2024-TRABAJO'!$A$5:$CD$9142,33,FALSE)</f>
        <v>001</v>
      </c>
      <c r="S86" s="12" t="str">
        <f>VLOOKUP($A86,'Matriz POA 2024-TRABAJO'!$A$5:$CD$9142,34,FALSE)</f>
        <v>0000</v>
      </c>
      <c r="T86" s="12" t="str">
        <f>VLOOKUP($A86,'Matriz POA 2024-TRABAJO'!$A$5:$CD$9142,35,FALSE)</f>
        <v>0000</v>
      </c>
      <c r="U86" s="62" t="str">
        <f>VLOOKUP($A86,'Matriz POA 2024-TRABAJO'!$A$5:$CD$9142,66,FALSE)</f>
        <v/>
      </c>
      <c r="V86" s="62" t="str">
        <f>VLOOKUP($A86,'Matriz POA 2024-TRABAJO'!$A$5:$CD$9142,67,FALSE)</f>
        <v/>
      </c>
      <c r="W86" s="62" t="str">
        <f>VLOOKUP($A86,'Matriz POA 2024-TRABAJO'!$A$5:$CD$9142,68,FALSE)</f>
        <v/>
      </c>
      <c r="X86" s="62" t="str">
        <f>VLOOKUP($A86,'Matriz POA 2024-TRABAJO'!$A$5:$CD$9142,72,FALSE)</f>
        <v/>
      </c>
      <c r="Y86" s="388">
        <v>0</v>
      </c>
      <c r="Z86" s="388">
        <v>0</v>
      </c>
      <c r="AA86" s="388">
        <v>0</v>
      </c>
      <c r="AB86" s="389"/>
      <c r="AC86" s="389"/>
      <c r="AD86" s="13"/>
      <c r="AE86" s="13"/>
      <c r="AF86" s="13">
        <f t="shared" si="8"/>
        <v>0</v>
      </c>
      <c r="AG86" s="13">
        <f t="shared" si="9"/>
        <v>0</v>
      </c>
      <c r="AH86" s="13">
        <f t="shared" si="13"/>
        <v>0</v>
      </c>
      <c r="AI86" s="129">
        <v>0</v>
      </c>
      <c r="AJ86" s="129">
        <v>0</v>
      </c>
      <c r="AK86" s="129">
        <v>0</v>
      </c>
      <c r="AL86" s="129">
        <v>0</v>
      </c>
      <c r="AM86" s="129">
        <v>0</v>
      </c>
      <c r="AN86" s="129">
        <v>0</v>
      </c>
      <c r="AO86" s="129">
        <v>0</v>
      </c>
      <c r="AP86" s="129">
        <v>0</v>
      </c>
      <c r="AQ86" s="129">
        <v>0</v>
      </c>
      <c r="AR86" s="129">
        <v>0</v>
      </c>
      <c r="AS86" s="129">
        <v>0</v>
      </c>
      <c r="AT86" s="129">
        <v>0</v>
      </c>
      <c r="AU86" s="129"/>
      <c r="AV86" s="13" t="b">
        <f t="shared" si="10"/>
        <v>1</v>
      </c>
      <c r="AW86" s="14"/>
      <c r="AX86" s="15"/>
      <c r="AY86" s="16"/>
      <c r="AZ86" s="15"/>
      <c r="BA86" s="16"/>
      <c r="BB86" s="17">
        <f t="shared" si="14"/>
        <v>0</v>
      </c>
      <c r="BC86" s="12"/>
      <c r="BD86" s="15"/>
      <c r="BE86" s="18"/>
      <c r="BF86" s="12"/>
      <c r="BG86" s="19" t="str">
        <f t="shared" si="15"/>
        <v>enero</v>
      </c>
      <c r="BH86" s="12" t="str">
        <f t="shared" si="11"/>
        <v>Corporación Ciudad Alfaro</v>
      </c>
      <c r="BI86" s="20" t="str">
        <f t="shared" si="12"/>
        <v>N/A</v>
      </c>
    </row>
    <row r="87" spans="1:61" ht="24.95" customHeight="1">
      <c r="A87" s="135">
        <v>415</v>
      </c>
      <c r="B87" s="136" t="str">
        <f>VLOOKUP($A87,'Matriz POA 2024-TRABAJO'!$A$5:$CD$9142,11,FALSE)</f>
        <v>Corporación Ciudad Alfaro</v>
      </c>
      <c r="C87" s="136" t="str">
        <f>VLOOKUP($A87,'Matriz POA 2024-TRABAJO'!$A$5:$CD$9142,14,FALSE)</f>
        <v>N/A</v>
      </c>
      <c r="D87" s="136" t="str">
        <f>VLOOKUP($A87,'Matriz POA 2024-TRABAJO'!$A$5:$CD$9142,15,FALSE)</f>
        <v>N/A</v>
      </c>
      <c r="E87" s="136" t="str">
        <f>VLOOKUP($A87,'Matriz POA 2024-TRABAJO'!$A$5:$CD$9142,18,FALSE)</f>
        <v>N/A</v>
      </c>
      <c r="F87" s="136" t="str">
        <f>VLOOKUP($A87,'Matriz POA 2024-TRABAJO'!$A$5:$CD$9142,20,FALSE)</f>
        <v>N/A</v>
      </c>
      <c r="G87" s="136" t="str">
        <f>VLOOKUP($A87,'Matriz POA 2024-TRABAJO'!$A$5:$CD$9142,21,FALSE)</f>
        <v>N/A</v>
      </c>
      <c r="H87" s="136" t="str">
        <f>VLOOKUP($A87,'Matriz POA 2024-TRABAJO'!$A$5:$CD$9142,22,FALSE)</f>
        <v>N/A</v>
      </c>
      <c r="I87" s="136" t="str">
        <f>VLOOKUP($A87,'Matriz POA 2024-TRABAJO'!$A$5:$CD$9142,23,FALSE)</f>
        <v>NUEVA</v>
      </c>
      <c r="J87" s="136" t="str">
        <f>VLOOKUP($A87,'Matriz POA 2024-TRABAJO'!$A$5:$CD$9142,24,FALSE)</f>
        <v>REMUNERACIONES UNIFICADAS</v>
      </c>
      <c r="K87" s="136" t="str">
        <f>VLOOKUP($A87,'Matriz POA 2024-TRABAJO'!$A$5:$CD$9142,25,FALSE)</f>
        <v>0035</v>
      </c>
      <c r="L87" s="136" t="str">
        <f>VLOOKUP($A87,'Matriz POA 2024-TRABAJO'!$A$5:$CD$9142,26,FALSE)</f>
        <v>80</v>
      </c>
      <c r="M87" s="136" t="str">
        <f>VLOOKUP($A87,'Matriz POA 2024-TRABAJO'!$A$5:$CD$9142,27,FALSE)</f>
        <v>000</v>
      </c>
      <c r="N87" s="136" t="str">
        <f>VLOOKUP($A87,'Matriz POA 2024-TRABAJO'!$A$5:$CD$9142,28,FALSE)</f>
        <v>002</v>
      </c>
      <c r="O87" s="136" t="str">
        <f>VLOOKUP($A87,'Matriz POA 2024-TRABAJO'!$A$5:$CD$9142,29,FALSE)</f>
        <v>51</v>
      </c>
      <c r="P87" s="136">
        <f>VLOOKUP($A87,'Matriz POA 2024-TRABAJO'!$A$5:$CD$9142,30,FALSE)</f>
        <v>510105</v>
      </c>
      <c r="Q87" s="136">
        <f>VLOOKUP($A87,'Matriz POA 2024-TRABAJO'!$A$5:$CD$9142,32,FALSE)</f>
        <v>1300</v>
      </c>
      <c r="R87" s="136" t="str">
        <f>VLOOKUP($A87,'Matriz POA 2024-TRABAJO'!$A$5:$CD$9142,33,FALSE)</f>
        <v>001</v>
      </c>
      <c r="S87" s="136" t="str">
        <f>VLOOKUP($A87,'Matriz POA 2024-TRABAJO'!$A$5:$CD$9142,34,FALSE)</f>
        <v>0000</v>
      </c>
      <c r="T87" s="136" t="str">
        <f>VLOOKUP($A87,'Matriz POA 2024-TRABAJO'!$A$5:$CD$9142,35,FALSE)</f>
        <v>0000</v>
      </c>
      <c r="U87" s="137">
        <f>VLOOKUP($A87,'Matriz POA 2024-TRABAJO'!$A$5:$CD$9142,66,FALSE)</f>
        <v>280176.77</v>
      </c>
      <c r="V87" s="137">
        <f>VLOOKUP($A87,'Matriz POA 2024-TRABAJO'!$A$5:$CD$9142,67,FALSE)</f>
        <v>-12424.770000000019</v>
      </c>
      <c r="W87" s="137">
        <f>VLOOKUP($A87,'Matriz POA 2024-TRABAJO'!$A$5:$CD$9142,68,FALSE)</f>
        <v>0</v>
      </c>
      <c r="X87" s="137">
        <f>VLOOKUP($A87,'Matriz POA 2024-TRABAJO'!$A$5:$CD$9142,72,FALSE)</f>
        <v>266098.39899999998</v>
      </c>
      <c r="Y87" s="390">
        <v>275247.09999999998</v>
      </c>
      <c r="Z87" s="390">
        <v>0</v>
      </c>
      <c r="AA87" s="390">
        <v>275247.09999999998</v>
      </c>
      <c r="AB87" s="391">
        <v>9788.9</v>
      </c>
      <c r="AC87" s="391"/>
      <c r="AD87" s="138"/>
      <c r="AE87" s="138"/>
      <c r="AF87" s="138">
        <f t="shared" ref="AF87:AF116" si="16">Y87+AB87+AC87</f>
        <v>285036</v>
      </c>
      <c r="AG87" s="138">
        <f t="shared" ref="AG87:AG116" si="17">Z87+AD87+AE87</f>
        <v>0</v>
      </c>
      <c r="AH87" s="138">
        <f t="shared" ref="AH87:AH92" si="18">+AF87+AG87</f>
        <v>285036</v>
      </c>
      <c r="AI87" s="139">
        <v>23753</v>
      </c>
      <c r="AJ87" s="139">
        <v>23753</v>
      </c>
      <c r="AK87" s="129">
        <v>23753</v>
      </c>
      <c r="AL87" s="129">
        <v>23753</v>
      </c>
      <c r="AM87" s="129">
        <v>23753</v>
      </c>
      <c r="AN87" s="129">
        <v>23753</v>
      </c>
      <c r="AO87" s="129">
        <v>23753</v>
      </c>
      <c r="AP87" s="129">
        <v>23753</v>
      </c>
      <c r="AQ87" s="129">
        <v>23753</v>
      </c>
      <c r="AR87" s="129">
        <v>23753</v>
      </c>
      <c r="AS87" s="129">
        <v>23753</v>
      </c>
      <c r="AT87" s="129">
        <v>23753</v>
      </c>
      <c r="AU87" s="129">
        <f t="shared" ref="AU87:AU92" si="19">SUM(AI87:AT87)</f>
        <v>285036</v>
      </c>
      <c r="AV87" s="13" t="b">
        <f t="shared" ref="AV87:AV116" si="20">SUM(AI87:AT87)=AH87</f>
        <v>1</v>
      </c>
      <c r="AW87" s="14" t="s">
        <v>961</v>
      </c>
      <c r="AX87" s="15" t="s">
        <v>962</v>
      </c>
      <c r="AY87" s="16">
        <v>45310</v>
      </c>
      <c r="AZ87" t="s">
        <v>963</v>
      </c>
      <c r="BA87" s="16">
        <v>45313</v>
      </c>
      <c r="BB87" s="17">
        <f t="shared" ref="BB87:BB92" si="21">BA87-AY87</f>
        <v>3</v>
      </c>
      <c r="BC87" s="12"/>
      <c r="BD87" s="15"/>
      <c r="BE87" s="18"/>
      <c r="BF87" s="12"/>
      <c r="BG87" s="19" t="str">
        <f t="shared" ref="BG87:BG92" si="22">TEXT(BA87,"MMMM")</f>
        <v>enero</v>
      </c>
      <c r="BH87" s="12" t="str">
        <f t="shared" ref="BH87:BH116" si="23">B87</f>
        <v>Corporación Ciudad Alfaro</v>
      </c>
      <c r="BI87" s="20" t="str">
        <f t="shared" ref="BI87:BI116" si="24">E87</f>
        <v>N/A</v>
      </c>
    </row>
    <row r="88" spans="1:61" ht="24.95" customHeight="1">
      <c r="A88" s="135">
        <v>416</v>
      </c>
      <c r="B88" s="136" t="str">
        <f>VLOOKUP($A88,'Matriz POA 2024-TRABAJO'!$A$5:$CD$9142,11,FALSE)</f>
        <v>Corporación Ciudad Alfaro</v>
      </c>
      <c r="C88" s="136" t="str">
        <f>VLOOKUP($A88,'Matriz POA 2024-TRABAJO'!$A$5:$CD$9142,14,FALSE)</f>
        <v>N/A</v>
      </c>
      <c r="D88" s="136" t="str">
        <f>VLOOKUP($A88,'Matriz POA 2024-TRABAJO'!$A$5:$CD$9142,15,FALSE)</f>
        <v>N/A</v>
      </c>
      <c r="E88" s="136" t="str">
        <f>VLOOKUP($A88,'Matriz POA 2024-TRABAJO'!$A$5:$CD$9142,18,FALSE)</f>
        <v>N/A</v>
      </c>
      <c r="F88" s="136" t="str">
        <f>VLOOKUP($A88,'Matriz POA 2024-TRABAJO'!$A$5:$CD$9142,20,FALSE)</f>
        <v>N/A</v>
      </c>
      <c r="G88" s="136" t="str">
        <f>VLOOKUP($A88,'Matriz POA 2024-TRABAJO'!$A$5:$CD$9142,21,FALSE)</f>
        <v>N/A</v>
      </c>
      <c r="H88" s="136" t="str">
        <f>VLOOKUP($A88,'Matriz POA 2024-TRABAJO'!$A$5:$CD$9142,22,FALSE)</f>
        <v>N/A</v>
      </c>
      <c r="I88" s="136" t="str">
        <f>VLOOKUP($A88,'Matriz POA 2024-TRABAJO'!$A$5:$CD$9142,23,FALSE)</f>
        <v>NUEVA</v>
      </c>
      <c r="J88" s="136" t="str">
        <f>VLOOKUP($A88,'Matriz POA 2024-TRABAJO'!$A$5:$CD$9142,24,FALSE)</f>
        <v>Salarios Unificados</v>
      </c>
      <c r="K88" s="136" t="str">
        <f>VLOOKUP($A88,'Matriz POA 2024-TRABAJO'!$A$5:$CD$9142,25,FALSE)</f>
        <v>0035</v>
      </c>
      <c r="L88" s="136" t="str">
        <f>VLOOKUP($A88,'Matriz POA 2024-TRABAJO'!$A$5:$CD$9142,26,FALSE)</f>
        <v>80</v>
      </c>
      <c r="M88" s="136" t="str">
        <f>VLOOKUP($A88,'Matriz POA 2024-TRABAJO'!$A$5:$CD$9142,27,FALSE)</f>
        <v>000</v>
      </c>
      <c r="N88" s="136" t="str">
        <f>VLOOKUP($A88,'Matriz POA 2024-TRABAJO'!$A$5:$CD$9142,28,FALSE)</f>
        <v>002</v>
      </c>
      <c r="O88" s="136" t="str">
        <f>VLOOKUP($A88,'Matriz POA 2024-TRABAJO'!$A$5:$CD$9142,29,FALSE)</f>
        <v>51</v>
      </c>
      <c r="P88" s="136">
        <f>VLOOKUP($A88,'Matriz POA 2024-TRABAJO'!$A$5:$CD$9142,30,FALSE)</f>
        <v>510106</v>
      </c>
      <c r="Q88" s="136">
        <f>VLOOKUP($A88,'Matriz POA 2024-TRABAJO'!$A$5:$CD$9142,32,FALSE)</f>
        <v>1300</v>
      </c>
      <c r="R88" s="136" t="str">
        <f>VLOOKUP($A88,'Matriz POA 2024-TRABAJO'!$A$5:$CD$9142,33,FALSE)</f>
        <v>001</v>
      </c>
      <c r="S88" s="136" t="str">
        <f>VLOOKUP($A88,'Matriz POA 2024-TRABAJO'!$A$5:$CD$9142,34,FALSE)</f>
        <v>0000</v>
      </c>
      <c r="T88" s="136" t="str">
        <f>VLOOKUP($A88,'Matriz POA 2024-TRABAJO'!$A$5:$CD$9142,35,FALSE)</f>
        <v>0000</v>
      </c>
      <c r="U88" s="137">
        <f>VLOOKUP($A88,'Matriz POA 2024-TRABAJO'!$A$5:$CD$9142,66,FALSE)</f>
        <v>68580</v>
      </c>
      <c r="V88" s="137">
        <f>VLOOKUP($A88,'Matriz POA 2024-TRABAJO'!$A$5:$CD$9142,67,FALSE)</f>
        <v>0</v>
      </c>
      <c r="W88" s="137">
        <f>VLOOKUP($A88,'Matriz POA 2024-TRABAJO'!$A$5:$CD$9142,68,FALSE)</f>
        <v>0</v>
      </c>
      <c r="X88" s="137">
        <f>VLOOKUP($A88,'Matriz POA 2024-TRABAJO'!$A$5:$CD$9142,72,FALSE)</f>
        <v>68580</v>
      </c>
      <c r="Y88" s="390">
        <v>68580</v>
      </c>
      <c r="Z88" s="390">
        <v>0</v>
      </c>
      <c r="AA88" s="390">
        <v>68580</v>
      </c>
      <c r="AB88" s="391"/>
      <c r="AC88" s="391">
        <v>-1047.2</v>
      </c>
      <c r="AD88" s="138"/>
      <c r="AE88" s="138"/>
      <c r="AF88" s="138">
        <f t="shared" si="16"/>
        <v>67532.800000000003</v>
      </c>
      <c r="AG88" s="138">
        <f t="shared" si="17"/>
        <v>0</v>
      </c>
      <c r="AH88" s="138">
        <f t="shared" si="18"/>
        <v>67532.800000000003</v>
      </c>
      <c r="AI88" s="139">
        <v>5627.73</v>
      </c>
      <c r="AJ88" s="139">
        <v>5627.73</v>
      </c>
      <c r="AK88" s="129">
        <v>5627.73</v>
      </c>
      <c r="AL88" s="129">
        <v>5627.73</v>
      </c>
      <c r="AM88" s="129">
        <v>5627.73</v>
      </c>
      <c r="AN88" s="129">
        <v>5627.73</v>
      </c>
      <c r="AO88" s="129">
        <v>5627.73</v>
      </c>
      <c r="AP88" s="129">
        <v>5627.73</v>
      </c>
      <c r="AQ88" s="129">
        <v>5627.73</v>
      </c>
      <c r="AR88" s="129">
        <v>5627.73</v>
      </c>
      <c r="AS88" s="129">
        <v>5627.73</v>
      </c>
      <c r="AT88" s="129">
        <v>5627.77</v>
      </c>
      <c r="AU88" s="129">
        <f t="shared" si="19"/>
        <v>67532.799999999988</v>
      </c>
      <c r="AV88" s="13" t="b">
        <f t="shared" si="20"/>
        <v>1</v>
      </c>
      <c r="AW88" s="14" t="s">
        <v>961</v>
      </c>
      <c r="AX88" s="15" t="s">
        <v>962</v>
      </c>
      <c r="AY88" s="16">
        <v>45310</v>
      </c>
      <c r="AZ88" t="s">
        <v>963</v>
      </c>
      <c r="BA88" s="16">
        <v>45313</v>
      </c>
      <c r="BB88" s="17">
        <f t="shared" si="21"/>
        <v>3</v>
      </c>
      <c r="BC88" s="12"/>
      <c r="BD88" s="15"/>
      <c r="BE88" s="18"/>
      <c r="BF88" s="12"/>
      <c r="BG88" s="19" t="str">
        <f t="shared" si="22"/>
        <v>enero</v>
      </c>
      <c r="BH88" s="12" t="str">
        <f t="shared" si="23"/>
        <v>Corporación Ciudad Alfaro</v>
      </c>
      <c r="BI88" s="20" t="str">
        <f t="shared" si="24"/>
        <v>N/A</v>
      </c>
    </row>
    <row r="89" spans="1:61" ht="24.95" customHeight="1">
      <c r="A89" s="135">
        <v>417</v>
      </c>
      <c r="B89" s="136" t="str">
        <f>VLOOKUP($A89,'Matriz POA 2024-TRABAJO'!$A$5:$CD$9142,11,FALSE)</f>
        <v>Corporación Ciudad Alfaro</v>
      </c>
      <c r="C89" s="136" t="str">
        <f>VLOOKUP($A89,'Matriz POA 2024-TRABAJO'!$A$5:$CD$9142,14,FALSE)</f>
        <v>N/A</v>
      </c>
      <c r="D89" s="136" t="str">
        <f>VLOOKUP($A89,'Matriz POA 2024-TRABAJO'!$A$5:$CD$9142,15,FALSE)</f>
        <v>N/A</v>
      </c>
      <c r="E89" s="136" t="str">
        <f>VLOOKUP($A89,'Matriz POA 2024-TRABAJO'!$A$5:$CD$9142,18,FALSE)</f>
        <v>N/A</v>
      </c>
      <c r="F89" s="136" t="str">
        <f>VLOOKUP($A89,'Matriz POA 2024-TRABAJO'!$A$5:$CD$9142,20,FALSE)</f>
        <v>N/A</v>
      </c>
      <c r="G89" s="136" t="str">
        <f>VLOOKUP($A89,'Matriz POA 2024-TRABAJO'!$A$5:$CD$9142,21,FALSE)</f>
        <v>N/A</v>
      </c>
      <c r="H89" s="136" t="str">
        <f>VLOOKUP($A89,'Matriz POA 2024-TRABAJO'!$A$5:$CD$9142,22,FALSE)</f>
        <v>N/A</v>
      </c>
      <c r="I89" s="136" t="str">
        <f>VLOOKUP($A89,'Matriz POA 2024-TRABAJO'!$A$5:$CD$9142,23,FALSE)</f>
        <v>NUEVA</v>
      </c>
      <c r="J89" s="136" t="str">
        <f>VLOOKUP($A89,'Matriz POA 2024-TRABAJO'!$A$5:$CD$9142,24,FALSE)</f>
        <v>Décimo Tercer Sueldo</v>
      </c>
      <c r="K89" s="136" t="str">
        <f>VLOOKUP($A89,'Matriz POA 2024-TRABAJO'!$A$5:$CD$9142,25,FALSE)</f>
        <v>0035</v>
      </c>
      <c r="L89" s="136" t="str">
        <f>VLOOKUP($A89,'Matriz POA 2024-TRABAJO'!$A$5:$CD$9142,26,FALSE)</f>
        <v>80</v>
      </c>
      <c r="M89" s="136" t="str">
        <f>VLOOKUP($A89,'Matriz POA 2024-TRABAJO'!$A$5:$CD$9142,27,FALSE)</f>
        <v>000</v>
      </c>
      <c r="N89" s="136" t="str">
        <f>VLOOKUP($A89,'Matriz POA 2024-TRABAJO'!$A$5:$CD$9142,28,FALSE)</f>
        <v>002</v>
      </c>
      <c r="O89" s="136" t="str">
        <f>VLOOKUP($A89,'Matriz POA 2024-TRABAJO'!$A$5:$CD$9142,29,FALSE)</f>
        <v>51</v>
      </c>
      <c r="P89" s="136">
        <f>VLOOKUP($A89,'Matriz POA 2024-TRABAJO'!$A$5:$CD$9142,30,FALSE)</f>
        <v>510203</v>
      </c>
      <c r="Q89" s="136">
        <f>VLOOKUP($A89,'Matriz POA 2024-TRABAJO'!$A$5:$CD$9142,32,FALSE)</f>
        <v>1300</v>
      </c>
      <c r="R89" s="136" t="str">
        <f>VLOOKUP($A89,'Matriz POA 2024-TRABAJO'!$A$5:$CD$9142,33,FALSE)</f>
        <v>001</v>
      </c>
      <c r="S89" s="136" t="str">
        <f>VLOOKUP($A89,'Matriz POA 2024-TRABAJO'!$A$5:$CD$9142,34,FALSE)</f>
        <v>0000</v>
      </c>
      <c r="T89" s="136" t="str">
        <f>VLOOKUP($A89,'Matriz POA 2024-TRABAJO'!$A$5:$CD$9142,35,FALSE)</f>
        <v>0000</v>
      </c>
      <c r="U89" s="137">
        <f>VLOOKUP($A89,'Matriz POA 2024-TRABAJO'!$A$5:$CD$9142,66,FALSE)</f>
        <v>31901.07</v>
      </c>
      <c r="V89" s="137">
        <f>VLOOKUP($A89,'Matriz POA 2024-TRABAJO'!$A$5:$CD$9142,67,FALSE)</f>
        <v>-1212</v>
      </c>
      <c r="W89" s="137">
        <f>VLOOKUP($A89,'Matriz POA 2024-TRABAJO'!$A$5:$CD$9142,68,FALSE)</f>
        <v>0</v>
      </c>
      <c r="X89" s="137">
        <f>VLOOKUP($A89,'Matriz POA 2024-TRABAJO'!$A$5:$CD$9142,72,FALSE)</f>
        <v>29180.79</v>
      </c>
      <c r="Y89" s="390">
        <v>32146</v>
      </c>
      <c r="Z89" s="390">
        <v>0</v>
      </c>
      <c r="AA89" s="390">
        <v>32146</v>
      </c>
      <c r="AB89" s="391"/>
      <c r="AC89" s="391">
        <v>-44.93</v>
      </c>
      <c r="AD89" s="138"/>
      <c r="AE89" s="138"/>
      <c r="AF89" s="138">
        <f t="shared" si="16"/>
        <v>32101.07</v>
      </c>
      <c r="AG89" s="138">
        <f t="shared" si="17"/>
        <v>0</v>
      </c>
      <c r="AH89" s="138">
        <f t="shared" si="18"/>
        <v>32101.07</v>
      </c>
      <c r="AI89" s="139">
        <v>2675.14</v>
      </c>
      <c r="AJ89" s="139">
        <v>2675.14</v>
      </c>
      <c r="AK89" s="129">
        <v>2675.14</v>
      </c>
      <c r="AL89" s="129">
        <v>2675.14</v>
      </c>
      <c r="AM89" s="129">
        <v>2675.14</v>
      </c>
      <c r="AN89" s="129">
        <v>2675.14</v>
      </c>
      <c r="AO89" s="129">
        <v>2675.14</v>
      </c>
      <c r="AP89" s="129">
        <v>2675.14</v>
      </c>
      <c r="AQ89" s="129">
        <v>2675.14</v>
      </c>
      <c r="AR89" s="129">
        <v>2675.14</v>
      </c>
      <c r="AS89" s="129">
        <v>2675.14</v>
      </c>
      <c r="AT89" s="129">
        <v>2674.53</v>
      </c>
      <c r="AU89" s="129">
        <f t="shared" si="19"/>
        <v>32101.069999999996</v>
      </c>
      <c r="AV89" s="13" t="b">
        <f t="shared" si="20"/>
        <v>1</v>
      </c>
      <c r="AW89" s="14" t="s">
        <v>961</v>
      </c>
      <c r="AX89" s="15" t="s">
        <v>962</v>
      </c>
      <c r="AY89" s="16">
        <v>45310</v>
      </c>
      <c r="AZ89" t="s">
        <v>963</v>
      </c>
      <c r="BA89" s="16">
        <v>45313</v>
      </c>
      <c r="BB89" s="17">
        <f t="shared" si="21"/>
        <v>3</v>
      </c>
      <c r="BC89" s="12"/>
      <c r="BD89" s="15"/>
      <c r="BE89" s="18"/>
      <c r="BF89" s="12"/>
      <c r="BG89" s="19" t="str">
        <f t="shared" si="22"/>
        <v>enero</v>
      </c>
      <c r="BH89" s="12" t="str">
        <f t="shared" si="23"/>
        <v>Corporación Ciudad Alfaro</v>
      </c>
      <c r="BI89" s="20" t="str">
        <f t="shared" si="24"/>
        <v>N/A</v>
      </c>
    </row>
    <row r="90" spans="1:61" ht="24.95" customHeight="1">
      <c r="A90" s="135">
        <v>418</v>
      </c>
      <c r="B90" s="136" t="str">
        <f>VLOOKUP($A90,'Matriz POA 2024-TRABAJO'!$A$5:$CD$9142,11,FALSE)</f>
        <v>Corporación Ciudad Alfaro</v>
      </c>
      <c r="C90" s="136" t="str">
        <f>VLOOKUP($A90,'Matriz POA 2024-TRABAJO'!$A$5:$CD$9142,14,FALSE)</f>
        <v>N/A</v>
      </c>
      <c r="D90" s="136" t="str">
        <f>VLOOKUP($A90,'Matriz POA 2024-TRABAJO'!$A$5:$CD$9142,15,FALSE)</f>
        <v>N/A</v>
      </c>
      <c r="E90" s="136" t="str">
        <f>VLOOKUP($A90,'Matriz POA 2024-TRABAJO'!$A$5:$CD$9142,18,FALSE)</f>
        <v>N/A</v>
      </c>
      <c r="F90" s="136" t="str">
        <f>VLOOKUP($A90,'Matriz POA 2024-TRABAJO'!$A$5:$CD$9142,20,FALSE)</f>
        <v>N/A</v>
      </c>
      <c r="G90" s="136" t="str">
        <f>VLOOKUP($A90,'Matriz POA 2024-TRABAJO'!$A$5:$CD$9142,21,FALSE)</f>
        <v>N/A</v>
      </c>
      <c r="H90" s="136" t="str">
        <f>VLOOKUP($A90,'Matriz POA 2024-TRABAJO'!$A$5:$CD$9142,22,FALSE)</f>
        <v>N/A</v>
      </c>
      <c r="I90" s="136" t="str">
        <f>VLOOKUP($A90,'Matriz POA 2024-TRABAJO'!$A$5:$CD$9142,23,FALSE)</f>
        <v>NUEVA</v>
      </c>
      <c r="J90" s="136" t="str">
        <f>VLOOKUP($A90,'Matriz POA 2024-TRABAJO'!$A$5:$CD$9142,24,FALSE)</f>
        <v>Décimo Cuarto Sueldo</v>
      </c>
      <c r="K90" s="136" t="str">
        <f>VLOOKUP($A90,'Matriz POA 2024-TRABAJO'!$A$5:$CD$9142,25,FALSE)</f>
        <v>0035</v>
      </c>
      <c r="L90" s="136" t="str">
        <f>VLOOKUP($A90,'Matriz POA 2024-TRABAJO'!$A$5:$CD$9142,26,FALSE)</f>
        <v>80</v>
      </c>
      <c r="M90" s="136" t="str">
        <f>VLOOKUP($A90,'Matriz POA 2024-TRABAJO'!$A$5:$CD$9142,27,FALSE)</f>
        <v>000</v>
      </c>
      <c r="N90" s="136" t="str">
        <f>VLOOKUP($A90,'Matriz POA 2024-TRABAJO'!$A$5:$CD$9142,28,FALSE)</f>
        <v>002</v>
      </c>
      <c r="O90" s="136" t="str">
        <f>VLOOKUP($A90,'Matriz POA 2024-TRABAJO'!$A$5:$CD$9142,29,FALSE)</f>
        <v>51</v>
      </c>
      <c r="P90" s="136">
        <f>VLOOKUP($A90,'Matriz POA 2024-TRABAJO'!$A$5:$CD$9142,30,FALSE)</f>
        <v>510204</v>
      </c>
      <c r="Q90" s="136">
        <f>VLOOKUP($A90,'Matriz POA 2024-TRABAJO'!$A$5:$CD$9142,32,FALSE)</f>
        <v>1300</v>
      </c>
      <c r="R90" s="136" t="str">
        <f>VLOOKUP($A90,'Matriz POA 2024-TRABAJO'!$A$5:$CD$9142,33,FALSE)</f>
        <v>001</v>
      </c>
      <c r="S90" s="136" t="str">
        <f>VLOOKUP($A90,'Matriz POA 2024-TRABAJO'!$A$5:$CD$9142,34,FALSE)</f>
        <v>0000</v>
      </c>
      <c r="T90" s="136" t="str">
        <f>VLOOKUP($A90,'Matriz POA 2024-TRABAJO'!$A$5:$CD$9142,35,FALSE)</f>
        <v>0000</v>
      </c>
      <c r="U90" s="137">
        <f>VLOOKUP($A90,'Matriz POA 2024-TRABAJO'!$A$5:$CD$9142,66,FALSE)</f>
        <v>16817.650000000001</v>
      </c>
      <c r="V90" s="137">
        <f>VLOOKUP($A90,'Matriz POA 2024-TRABAJO'!$A$5:$CD$9142,67,FALSE)</f>
        <v>0</v>
      </c>
      <c r="W90" s="137">
        <f>VLOOKUP($A90,'Matriz POA 2024-TRABAJO'!$A$5:$CD$9142,68,FALSE)</f>
        <v>0</v>
      </c>
      <c r="X90" s="137">
        <f>VLOOKUP($A90,'Matriz POA 2024-TRABAJO'!$A$5:$CD$9142,72,FALSE)</f>
        <v>16495.419999999995</v>
      </c>
      <c r="Y90" s="390">
        <v>17100</v>
      </c>
      <c r="Z90" s="390">
        <v>0</v>
      </c>
      <c r="AA90" s="390">
        <v>17100</v>
      </c>
      <c r="AB90" s="391">
        <v>467.65</v>
      </c>
      <c r="AC90" s="391"/>
      <c r="AD90" s="138"/>
      <c r="AE90" s="138"/>
      <c r="AF90" s="138">
        <f t="shared" si="16"/>
        <v>17567.650000000001</v>
      </c>
      <c r="AG90" s="138">
        <f t="shared" si="17"/>
        <v>0</v>
      </c>
      <c r="AH90" s="138">
        <f t="shared" si="18"/>
        <v>17567.650000000001</v>
      </c>
      <c r="AI90" s="139">
        <v>1463.97</v>
      </c>
      <c r="AJ90" s="139">
        <v>1463.97</v>
      </c>
      <c r="AK90" s="129">
        <v>1463.97</v>
      </c>
      <c r="AL90" s="129">
        <v>1463.97</v>
      </c>
      <c r="AM90" s="129">
        <v>1463.97</v>
      </c>
      <c r="AN90" s="129">
        <v>1463.97</v>
      </c>
      <c r="AO90" s="129">
        <v>1463.97</v>
      </c>
      <c r="AP90" s="129">
        <v>1463.97</v>
      </c>
      <c r="AQ90" s="129">
        <v>1463.97</v>
      </c>
      <c r="AR90" s="129">
        <v>1463.97</v>
      </c>
      <c r="AS90" s="129">
        <v>1463.97</v>
      </c>
      <c r="AT90" s="129">
        <v>1463.98</v>
      </c>
      <c r="AU90" s="129">
        <f t="shared" si="19"/>
        <v>17567.649999999998</v>
      </c>
      <c r="AV90" s="13" t="b">
        <f t="shared" si="20"/>
        <v>1</v>
      </c>
      <c r="AW90" s="14" t="s">
        <v>961</v>
      </c>
      <c r="AX90" s="15" t="s">
        <v>962</v>
      </c>
      <c r="AY90" s="16">
        <v>45310</v>
      </c>
      <c r="AZ90" t="s">
        <v>963</v>
      </c>
      <c r="BA90" s="16">
        <v>45313</v>
      </c>
      <c r="BB90" s="17">
        <f t="shared" si="21"/>
        <v>3</v>
      </c>
      <c r="BC90" s="12"/>
      <c r="BD90" s="15"/>
      <c r="BE90" s="18"/>
      <c r="BF90" s="12"/>
      <c r="BG90" s="19" t="str">
        <f t="shared" si="22"/>
        <v>enero</v>
      </c>
      <c r="BH90" s="12" t="str">
        <f t="shared" si="23"/>
        <v>Corporación Ciudad Alfaro</v>
      </c>
      <c r="BI90" s="20" t="str">
        <f t="shared" si="24"/>
        <v>N/A</v>
      </c>
    </row>
    <row r="91" spans="1:61" ht="24.95" customHeight="1">
      <c r="A91" s="135">
        <v>419</v>
      </c>
      <c r="B91" s="136" t="str">
        <f>VLOOKUP($A91,'Matriz POA 2024-TRABAJO'!$A$5:$CD$9142,11,FALSE)</f>
        <v>Corporación Ciudad Alfaro</v>
      </c>
      <c r="C91" s="136" t="str">
        <f>VLOOKUP($A91,'Matriz POA 2024-TRABAJO'!$A$5:$CD$9142,14,FALSE)</f>
        <v>N/A</v>
      </c>
      <c r="D91" s="136" t="str">
        <f>VLOOKUP($A91,'Matriz POA 2024-TRABAJO'!$A$5:$CD$9142,15,FALSE)</f>
        <v>N/A</v>
      </c>
      <c r="E91" s="136" t="str">
        <f>VLOOKUP($A91,'Matriz POA 2024-TRABAJO'!$A$5:$CD$9142,18,FALSE)</f>
        <v>N/A</v>
      </c>
      <c r="F91" s="136" t="str">
        <f>VLOOKUP($A91,'Matriz POA 2024-TRABAJO'!$A$5:$CD$9142,20,FALSE)</f>
        <v>N/A</v>
      </c>
      <c r="G91" s="136" t="str">
        <f>VLOOKUP($A91,'Matriz POA 2024-TRABAJO'!$A$5:$CD$9142,21,FALSE)</f>
        <v>N/A</v>
      </c>
      <c r="H91" s="136" t="str">
        <f>VLOOKUP($A91,'Matriz POA 2024-TRABAJO'!$A$5:$CD$9142,22,FALSE)</f>
        <v>N/A</v>
      </c>
      <c r="I91" s="136" t="str">
        <f>VLOOKUP($A91,'Matriz POA 2024-TRABAJO'!$A$5:$CD$9142,23,FALSE)</f>
        <v>NUEVA</v>
      </c>
      <c r="J91" s="136" t="str">
        <f>VLOOKUP($A91,'Matriz POA 2024-TRABAJO'!$A$5:$CD$9142,24,FALSE)</f>
        <v>Compensación por Transporte</v>
      </c>
      <c r="K91" s="136" t="str">
        <f>VLOOKUP($A91,'Matriz POA 2024-TRABAJO'!$A$5:$CD$9142,25,FALSE)</f>
        <v>0035</v>
      </c>
      <c r="L91" s="136" t="str">
        <f>VLOOKUP($A91,'Matriz POA 2024-TRABAJO'!$A$5:$CD$9142,26,FALSE)</f>
        <v>80</v>
      </c>
      <c r="M91" s="136" t="str">
        <f>VLOOKUP($A91,'Matriz POA 2024-TRABAJO'!$A$5:$CD$9142,27,FALSE)</f>
        <v>000</v>
      </c>
      <c r="N91" s="136" t="str">
        <f>VLOOKUP($A91,'Matriz POA 2024-TRABAJO'!$A$5:$CD$9142,28,FALSE)</f>
        <v>002</v>
      </c>
      <c r="O91" s="136" t="str">
        <f>VLOOKUP($A91,'Matriz POA 2024-TRABAJO'!$A$5:$CD$9142,29,FALSE)</f>
        <v>51</v>
      </c>
      <c r="P91" s="136">
        <f>VLOOKUP($A91,'Matriz POA 2024-TRABAJO'!$A$5:$CD$9142,30,FALSE)</f>
        <v>510304</v>
      </c>
      <c r="Q91" s="136">
        <f>VLOOKUP($A91,'Matriz POA 2024-TRABAJO'!$A$5:$CD$9142,32,FALSE)</f>
        <v>1300</v>
      </c>
      <c r="R91" s="136" t="str">
        <f>VLOOKUP($A91,'Matriz POA 2024-TRABAJO'!$A$5:$CD$9142,33,FALSE)</f>
        <v>001</v>
      </c>
      <c r="S91" s="136" t="str">
        <f>VLOOKUP($A91,'Matriz POA 2024-TRABAJO'!$A$5:$CD$9142,34,FALSE)</f>
        <v>0000</v>
      </c>
      <c r="T91" s="136" t="str">
        <f>VLOOKUP($A91,'Matriz POA 2024-TRABAJO'!$A$5:$CD$9142,35,FALSE)</f>
        <v>0000</v>
      </c>
      <c r="U91" s="137" t="str">
        <f>VLOOKUP($A91,'Matriz POA 2024-TRABAJO'!$A$5:$CD$9142,66,FALSE)</f>
        <v/>
      </c>
      <c r="V91" s="137" t="str">
        <f>VLOOKUP($A91,'Matriz POA 2024-TRABAJO'!$A$5:$CD$9142,67,FALSE)</f>
        <v/>
      </c>
      <c r="W91" s="137">
        <f>VLOOKUP($A91,'Matriz POA 2024-TRABAJO'!$A$5:$CD$9142,68,FALSE)</f>
        <v>0</v>
      </c>
      <c r="X91" s="137">
        <f>VLOOKUP($A91,'Matriz POA 2024-TRABAJO'!$A$5:$CD$9142,72,FALSE)</f>
        <v>1186</v>
      </c>
      <c r="Y91" s="390">
        <v>1320</v>
      </c>
      <c r="Z91" s="390">
        <v>0</v>
      </c>
      <c r="AA91" s="390">
        <v>1320</v>
      </c>
      <c r="AB91" s="391"/>
      <c r="AC91" s="391">
        <v>-215.5</v>
      </c>
      <c r="AD91" s="138"/>
      <c r="AE91" s="138"/>
      <c r="AF91" s="138">
        <f t="shared" si="16"/>
        <v>1104.5</v>
      </c>
      <c r="AG91" s="138">
        <f t="shared" si="17"/>
        <v>0</v>
      </c>
      <c r="AH91" s="138">
        <f t="shared" si="18"/>
        <v>1104.5</v>
      </c>
      <c r="AI91" s="139">
        <v>92.04</v>
      </c>
      <c r="AJ91" s="139">
        <v>92.04</v>
      </c>
      <c r="AK91" s="129">
        <v>92.04</v>
      </c>
      <c r="AL91" s="129">
        <v>92.04</v>
      </c>
      <c r="AM91" s="129">
        <v>92.04</v>
      </c>
      <c r="AN91" s="129">
        <v>92.04</v>
      </c>
      <c r="AO91" s="129">
        <v>92.04</v>
      </c>
      <c r="AP91" s="129">
        <v>92.04</v>
      </c>
      <c r="AQ91" s="129">
        <v>92.04</v>
      </c>
      <c r="AR91" s="129">
        <v>92.04</v>
      </c>
      <c r="AS91" s="129">
        <v>92.04</v>
      </c>
      <c r="AT91" s="129">
        <v>92.06</v>
      </c>
      <c r="AU91" s="129">
        <f t="shared" si="19"/>
        <v>1104.4999999999998</v>
      </c>
      <c r="AV91" s="13" t="b">
        <f t="shared" si="20"/>
        <v>1</v>
      </c>
      <c r="AW91" s="14" t="s">
        <v>961</v>
      </c>
      <c r="AX91" s="15" t="s">
        <v>962</v>
      </c>
      <c r="AY91" s="16">
        <v>45310</v>
      </c>
      <c r="AZ91" t="s">
        <v>963</v>
      </c>
      <c r="BA91" s="16">
        <v>45313</v>
      </c>
      <c r="BB91" s="17">
        <f t="shared" si="21"/>
        <v>3</v>
      </c>
      <c r="BC91" s="12"/>
      <c r="BD91" s="15"/>
      <c r="BE91" s="18"/>
      <c r="BF91" s="12"/>
      <c r="BG91" s="19" t="str">
        <f t="shared" si="22"/>
        <v>enero</v>
      </c>
      <c r="BH91" s="12" t="str">
        <f t="shared" si="23"/>
        <v>Corporación Ciudad Alfaro</v>
      </c>
      <c r="BI91" s="20" t="str">
        <f t="shared" si="24"/>
        <v>N/A</v>
      </c>
    </row>
    <row r="92" spans="1:61" ht="24.95" customHeight="1">
      <c r="A92" s="135">
        <v>420</v>
      </c>
      <c r="B92" s="136" t="str">
        <f>VLOOKUP($A92,'Matriz POA 2024-TRABAJO'!$A$5:$CD$9142,11,FALSE)</f>
        <v>Corporación Ciudad Alfaro</v>
      </c>
      <c r="C92" s="136" t="str">
        <f>VLOOKUP($A92,'Matriz POA 2024-TRABAJO'!$A$5:$CD$9142,14,FALSE)</f>
        <v>N/A</v>
      </c>
      <c r="D92" s="136" t="str">
        <f>VLOOKUP($A92,'Matriz POA 2024-TRABAJO'!$A$5:$CD$9142,15,FALSE)</f>
        <v>N/A</v>
      </c>
      <c r="E92" s="136" t="str">
        <f>VLOOKUP($A92,'Matriz POA 2024-TRABAJO'!$A$5:$CD$9142,18,FALSE)</f>
        <v>N/A</v>
      </c>
      <c r="F92" s="136" t="str">
        <f>VLOOKUP($A92,'Matriz POA 2024-TRABAJO'!$A$5:$CD$9142,20,FALSE)</f>
        <v>N/A</v>
      </c>
      <c r="G92" s="136" t="str">
        <f>VLOOKUP($A92,'Matriz POA 2024-TRABAJO'!$A$5:$CD$9142,21,FALSE)</f>
        <v>N/A</v>
      </c>
      <c r="H92" s="136" t="str">
        <f>VLOOKUP($A92,'Matriz POA 2024-TRABAJO'!$A$5:$CD$9142,22,FALSE)</f>
        <v>N/A</v>
      </c>
      <c r="I92" s="136" t="str">
        <f>VLOOKUP($A92,'Matriz POA 2024-TRABAJO'!$A$5:$CD$9142,23,FALSE)</f>
        <v>NUEVA</v>
      </c>
      <c r="J92" s="136" t="str">
        <f>VLOOKUP($A92,'Matriz POA 2024-TRABAJO'!$A$5:$CD$9142,24,FALSE)</f>
        <v>Alimentación</v>
      </c>
      <c r="K92" s="136" t="str">
        <f>VLOOKUP($A92,'Matriz POA 2024-TRABAJO'!$A$5:$CD$9142,25,FALSE)</f>
        <v>0035</v>
      </c>
      <c r="L92" s="136" t="str">
        <f>VLOOKUP($A92,'Matriz POA 2024-TRABAJO'!$A$5:$CD$9142,26,FALSE)</f>
        <v>80</v>
      </c>
      <c r="M92" s="136" t="str">
        <f>VLOOKUP($A92,'Matriz POA 2024-TRABAJO'!$A$5:$CD$9142,27,FALSE)</f>
        <v>000</v>
      </c>
      <c r="N92" s="136" t="str">
        <f>VLOOKUP($A92,'Matriz POA 2024-TRABAJO'!$A$5:$CD$9142,28,FALSE)</f>
        <v>002</v>
      </c>
      <c r="O92" s="136" t="str">
        <f>VLOOKUP($A92,'Matriz POA 2024-TRABAJO'!$A$5:$CD$9142,29,FALSE)</f>
        <v>51</v>
      </c>
      <c r="P92" s="136">
        <f>VLOOKUP($A92,'Matriz POA 2024-TRABAJO'!$A$5:$CD$9142,30,FALSE)</f>
        <v>510306</v>
      </c>
      <c r="Q92" s="136">
        <f>VLOOKUP($A92,'Matriz POA 2024-TRABAJO'!$A$5:$CD$9142,32,FALSE)</f>
        <v>1300</v>
      </c>
      <c r="R92" s="136" t="str">
        <f>VLOOKUP($A92,'Matriz POA 2024-TRABAJO'!$A$5:$CD$9142,33,FALSE)</f>
        <v>001</v>
      </c>
      <c r="S92" s="136" t="str">
        <f>VLOOKUP($A92,'Matriz POA 2024-TRABAJO'!$A$5:$CD$9142,34,FALSE)</f>
        <v>0000</v>
      </c>
      <c r="T92" s="136" t="str">
        <f>VLOOKUP($A92,'Matriz POA 2024-TRABAJO'!$A$5:$CD$9142,35,FALSE)</f>
        <v>0000</v>
      </c>
      <c r="U92" s="137" t="str">
        <f>VLOOKUP($A92,'Matriz POA 2024-TRABAJO'!$A$5:$CD$9142,66,FALSE)</f>
        <v/>
      </c>
      <c r="V92" s="137" t="str">
        <f>VLOOKUP($A92,'Matriz POA 2024-TRABAJO'!$A$5:$CD$9142,67,FALSE)</f>
        <v/>
      </c>
      <c r="W92" s="137">
        <f>VLOOKUP($A92,'Matriz POA 2024-TRABAJO'!$A$5:$CD$9142,68,FALSE)</f>
        <v>0</v>
      </c>
      <c r="X92" s="137">
        <f>VLOOKUP($A92,'Matriz POA 2024-TRABAJO'!$A$5:$CD$9142,72,FALSE)</f>
        <v>8302</v>
      </c>
      <c r="Y92" s="390">
        <v>9240</v>
      </c>
      <c r="Z92" s="390">
        <v>0</v>
      </c>
      <c r="AA92" s="390">
        <v>9240</v>
      </c>
      <c r="AB92" s="391"/>
      <c r="AC92" s="391">
        <v>-1684.5</v>
      </c>
      <c r="AD92" s="138"/>
      <c r="AE92" s="138"/>
      <c r="AF92" s="138">
        <f t="shared" si="16"/>
        <v>7555.5</v>
      </c>
      <c r="AG92" s="138">
        <f t="shared" si="17"/>
        <v>0</v>
      </c>
      <c r="AH92" s="138">
        <f t="shared" si="18"/>
        <v>7555.5</v>
      </c>
      <c r="AI92" s="139">
        <v>629.62</v>
      </c>
      <c r="AJ92" s="139">
        <v>629.62</v>
      </c>
      <c r="AK92" s="129">
        <v>629.62</v>
      </c>
      <c r="AL92" s="129">
        <v>629.62</v>
      </c>
      <c r="AM92" s="129">
        <v>629.62</v>
      </c>
      <c r="AN92" s="129">
        <v>629.62</v>
      </c>
      <c r="AO92" s="129">
        <v>629.62</v>
      </c>
      <c r="AP92" s="129">
        <v>629.62</v>
      </c>
      <c r="AQ92" s="129">
        <v>629.62</v>
      </c>
      <c r="AR92" s="129">
        <v>629.62</v>
      </c>
      <c r="AS92" s="129">
        <v>629.62</v>
      </c>
      <c r="AT92" s="129">
        <v>629.67999999999995</v>
      </c>
      <c r="AU92" s="129">
        <f t="shared" si="19"/>
        <v>7555.5</v>
      </c>
      <c r="AV92" s="13" t="b">
        <f t="shared" si="20"/>
        <v>1</v>
      </c>
      <c r="AW92" s="14" t="s">
        <v>961</v>
      </c>
      <c r="AX92" s="15" t="s">
        <v>962</v>
      </c>
      <c r="AY92" s="16">
        <v>45310</v>
      </c>
      <c r="AZ92" t="s">
        <v>963</v>
      </c>
      <c r="BA92" s="16">
        <v>45313</v>
      </c>
      <c r="BB92" s="17">
        <f t="shared" si="21"/>
        <v>3</v>
      </c>
      <c r="BC92" s="12"/>
      <c r="BD92" s="15"/>
      <c r="BE92" s="18"/>
      <c r="BF92" s="12"/>
      <c r="BG92" s="19" t="str">
        <f t="shared" si="22"/>
        <v>enero</v>
      </c>
      <c r="BH92" s="12" t="str">
        <f t="shared" si="23"/>
        <v>Corporación Ciudad Alfaro</v>
      </c>
      <c r="BI92" s="20" t="str">
        <f t="shared" si="24"/>
        <v>N/A</v>
      </c>
    </row>
    <row r="93" spans="1:61" ht="24.95" customHeight="1">
      <c r="A93" s="135">
        <v>421</v>
      </c>
      <c r="B93" s="136" t="str">
        <f>VLOOKUP($A93,'Matriz POA 2024-TRABAJO'!$A$5:$CD$9142,11,FALSE)</f>
        <v>Corporación Ciudad Alfaro</v>
      </c>
      <c r="C93" s="136" t="str">
        <f>VLOOKUP($A93,'Matriz POA 2024-TRABAJO'!$A$5:$CD$9142,14,FALSE)</f>
        <v>N/A</v>
      </c>
      <c r="D93" s="136" t="str">
        <f>VLOOKUP($A93,'Matriz POA 2024-TRABAJO'!$A$5:$CD$9142,15,FALSE)</f>
        <v>N/A</v>
      </c>
      <c r="E93" s="136" t="str">
        <f>VLOOKUP($A93,'Matriz POA 2024-TRABAJO'!$A$5:$CD$9142,18,FALSE)</f>
        <v>N/A</v>
      </c>
      <c r="F93" s="136" t="str">
        <f>VLOOKUP($A93,'Matriz POA 2024-TRABAJO'!$A$5:$CD$9142,20,FALSE)</f>
        <v>N/A</v>
      </c>
      <c r="G93" s="136" t="str">
        <f>VLOOKUP($A93,'Matriz POA 2024-TRABAJO'!$A$5:$CD$9142,21,FALSE)</f>
        <v>N/A</v>
      </c>
      <c r="H93" s="136" t="str">
        <f>VLOOKUP($A93,'Matriz POA 2024-TRABAJO'!$A$5:$CD$9142,22,FALSE)</f>
        <v>N/A</v>
      </c>
      <c r="I93" s="136" t="str">
        <f>VLOOKUP($A93,'Matriz POA 2024-TRABAJO'!$A$5:$CD$9142,23,FALSE)</f>
        <v>NUEVA</v>
      </c>
      <c r="J93" s="136" t="str">
        <f>VLOOKUP($A93,'Matriz POA 2024-TRABAJO'!$A$5:$CD$9142,24,FALSE)</f>
        <v>Por Cargas Familiares</v>
      </c>
      <c r="K93" s="136" t="str">
        <f>VLOOKUP($A93,'Matriz POA 2024-TRABAJO'!$A$5:$CD$9142,25,FALSE)</f>
        <v>0035</v>
      </c>
      <c r="L93" s="136" t="str">
        <f>VLOOKUP($A93,'Matriz POA 2024-TRABAJO'!$A$5:$CD$9142,26,FALSE)</f>
        <v>80</v>
      </c>
      <c r="M93" s="136" t="str">
        <f>VLOOKUP($A93,'Matriz POA 2024-TRABAJO'!$A$5:$CD$9142,27,FALSE)</f>
        <v>000</v>
      </c>
      <c r="N93" s="136" t="str">
        <f>VLOOKUP($A93,'Matriz POA 2024-TRABAJO'!$A$5:$CD$9142,28,FALSE)</f>
        <v>002</v>
      </c>
      <c r="O93" s="136" t="str">
        <f>VLOOKUP($A93,'Matriz POA 2024-TRABAJO'!$A$5:$CD$9142,29,FALSE)</f>
        <v>51</v>
      </c>
      <c r="P93" s="136">
        <f>VLOOKUP($A93,'Matriz POA 2024-TRABAJO'!$A$5:$CD$9142,30,FALSE)</f>
        <v>510401</v>
      </c>
      <c r="Q93" s="136">
        <f>VLOOKUP($A93,'Matriz POA 2024-TRABAJO'!$A$5:$CD$9142,32,FALSE)</f>
        <v>1300</v>
      </c>
      <c r="R93" s="136" t="str">
        <f>VLOOKUP($A93,'Matriz POA 2024-TRABAJO'!$A$5:$CD$9142,33,FALSE)</f>
        <v>001</v>
      </c>
      <c r="S93" s="136" t="str">
        <f>VLOOKUP($A93,'Matriz POA 2024-TRABAJO'!$A$5:$CD$9142,34,FALSE)</f>
        <v>0000</v>
      </c>
      <c r="T93" s="136" t="str">
        <f>VLOOKUP($A93,'Matriz POA 2024-TRABAJO'!$A$5:$CD$9142,35,FALSE)</f>
        <v>0000</v>
      </c>
      <c r="U93" s="137" t="str">
        <f>VLOOKUP($A93,'Matriz POA 2024-TRABAJO'!$A$5:$CD$9142,66,FALSE)</f>
        <v/>
      </c>
      <c r="V93" s="137" t="str">
        <f>VLOOKUP($A93,'Matriz POA 2024-TRABAJO'!$A$5:$CD$9142,67,FALSE)</f>
        <v/>
      </c>
      <c r="W93" s="137">
        <f>VLOOKUP($A93,'Matriz POA 2024-TRABAJO'!$A$5:$CD$9142,68,FALSE)</f>
        <v>0</v>
      </c>
      <c r="X93" s="137">
        <f>VLOOKUP($A93,'Matriz POA 2024-TRABAJO'!$A$5:$CD$9142,72,FALSE)</f>
        <v>396.47999999999996</v>
      </c>
      <c r="Y93" s="390">
        <v>480</v>
      </c>
      <c r="Z93" s="390">
        <v>0</v>
      </c>
      <c r="AA93" s="390">
        <v>480</v>
      </c>
      <c r="AB93" s="391"/>
      <c r="AC93" s="391">
        <v>-26.88</v>
      </c>
      <c r="AD93" s="138"/>
      <c r="AE93" s="138"/>
      <c r="AF93" s="138">
        <f t="shared" si="16"/>
        <v>453.12</v>
      </c>
      <c r="AG93" s="138">
        <f t="shared" si="17"/>
        <v>0</v>
      </c>
      <c r="AH93" s="138">
        <f t="shared" ref="AH93:AH116" si="25">+AF93+AG93</f>
        <v>453.12</v>
      </c>
      <c r="AI93" s="139">
        <v>37.76</v>
      </c>
      <c r="AJ93" s="139">
        <v>37.76</v>
      </c>
      <c r="AK93" s="129">
        <v>37.76</v>
      </c>
      <c r="AL93" s="129">
        <v>37.76</v>
      </c>
      <c r="AM93" s="129">
        <v>37.76</v>
      </c>
      <c r="AN93" s="129">
        <v>37.76</v>
      </c>
      <c r="AO93" s="129">
        <v>37.76</v>
      </c>
      <c r="AP93" s="129">
        <v>37.76</v>
      </c>
      <c r="AQ93" s="129">
        <v>37.76</v>
      </c>
      <c r="AR93" s="129">
        <v>37.76</v>
      </c>
      <c r="AS93" s="129">
        <v>37.76</v>
      </c>
      <c r="AT93" s="129">
        <v>37.76</v>
      </c>
      <c r="AU93" s="129">
        <f t="shared" ref="AU93:AU116" si="26">SUM(AI93:AT93)</f>
        <v>453.11999999999995</v>
      </c>
      <c r="AV93" s="13" t="b">
        <f t="shared" si="20"/>
        <v>1</v>
      </c>
      <c r="AW93" s="14" t="s">
        <v>961</v>
      </c>
      <c r="AX93" s="15" t="s">
        <v>962</v>
      </c>
      <c r="AY93" s="16">
        <v>45310</v>
      </c>
      <c r="AZ93" t="s">
        <v>963</v>
      </c>
      <c r="BA93" s="16">
        <v>45313</v>
      </c>
      <c r="BB93" s="17">
        <f t="shared" ref="BB93:BB116" si="27">BA93-AY93</f>
        <v>3</v>
      </c>
      <c r="BC93" s="12"/>
      <c r="BD93" s="15"/>
      <c r="BE93" s="18"/>
      <c r="BF93" s="12"/>
      <c r="BG93" s="19" t="str">
        <f t="shared" ref="BG93:BG116" si="28">TEXT(BA93,"MMMM")</f>
        <v>enero</v>
      </c>
      <c r="BH93" s="12" t="str">
        <f t="shared" si="23"/>
        <v>Corporación Ciudad Alfaro</v>
      </c>
      <c r="BI93" s="20" t="str">
        <f t="shared" si="24"/>
        <v>N/A</v>
      </c>
    </row>
    <row r="94" spans="1:61" ht="24.95" customHeight="1">
      <c r="A94" s="135">
        <v>422</v>
      </c>
      <c r="B94" s="136" t="str">
        <f>VLOOKUP($A94,'Matriz POA 2024-TRABAJO'!$A$5:$CD$9142,11,FALSE)</f>
        <v>Corporación Ciudad Alfaro</v>
      </c>
      <c r="C94" s="136" t="str">
        <f>VLOOKUP($A94,'Matriz POA 2024-TRABAJO'!$A$5:$CD$9142,14,FALSE)</f>
        <v>N/A</v>
      </c>
      <c r="D94" s="136" t="str">
        <f>VLOOKUP($A94,'Matriz POA 2024-TRABAJO'!$A$5:$CD$9142,15,FALSE)</f>
        <v>N/A</v>
      </c>
      <c r="E94" s="136" t="str">
        <f>VLOOKUP($A94,'Matriz POA 2024-TRABAJO'!$A$5:$CD$9142,18,FALSE)</f>
        <v>N/A</v>
      </c>
      <c r="F94" s="136" t="str">
        <f>VLOOKUP($A94,'Matriz POA 2024-TRABAJO'!$A$5:$CD$9142,20,FALSE)</f>
        <v>N/A</v>
      </c>
      <c r="G94" s="136" t="str">
        <f>VLOOKUP($A94,'Matriz POA 2024-TRABAJO'!$A$5:$CD$9142,21,FALSE)</f>
        <v>N/A</v>
      </c>
      <c r="H94" s="136" t="str">
        <f>VLOOKUP($A94,'Matriz POA 2024-TRABAJO'!$A$5:$CD$9142,22,FALSE)</f>
        <v>N/A</v>
      </c>
      <c r="I94" s="136" t="str">
        <f>VLOOKUP($A94,'Matriz POA 2024-TRABAJO'!$A$5:$CD$9142,23,FALSE)</f>
        <v>NUEVA</v>
      </c>
      <c r="J94" s="136" t="str">
        <f>VLOOKUP($A94,'Matriz POA 2024-TRABAJO'!$A$5:$CD$9142,24,FALSE)</f>
        <v>Subsidio de Antigüedad</v>
      </c>
      <c r="K94" s="136" t="str">
        <f>VLOOKUP($A94,'Matriz POA 2024-TRABAJO'!$A$5:$CD$9142,25,FALSE)</f>
        <v>0035</v>
      </c>
      <c r="L94" s="136" t="str">
        <f>VLOOKUP($A94,'Matriz POA 2024-TRABAJO'!$A$5:$CD$9142,26,FALSE)</f>
        <v>80</v>
      </c>
      <c r="M94" s="136" t="str">
        <f>VLOOKUP($A94,'Matriz POA 2024-TRABAJO'!$A$5:$CD$9142,27,FALSE)</f>
        <v>000</v>
      </c>
      <c r="N94" s="136" t="str">
        <f>VLOOKUP($A94,'Matriz POA 2024-TRABAJO'!$A$5:$CD$9142,28,FALSE)</f>
        <v>002</v>
      </c>
      <c r="O94" s="136" t="str">
        <f>VLOOKUP($A94,'Matriz POA 2024-TRABAJO'!$A$5:$CD$9142,29,FALSE)</f>
        <v>51</v>
      </c>
      <c r="P94" s="136">
        <f>VLOOKUP($A94,'Matriz POA 2024-TRABAJO'!$A$5:$CD$9142,30,FALSE)</f>
        <v>510408</v>
      </c>
      <c r="Q94" s="136">
        <f>VLOOKUP($A94,'Matriz POA 2024-TRABAJO'!$A$5:$CD$9142,32,FALSE)</f>
        <v>1300</v>
      </c>
      <c r="R94" s="136" t="str">
        <f>VLOOKUP($A94,'Matriz POA 2024-TRABAJO'!$A$5:$CD$9142,33,FALSE)</f>
        <v>001</v>
      </c>
      <c r="S94" s="136" t="str">
        <f>VLOOKUP($A94,'Matriz POA 2024-TRABAJO'!$A$5:$CD$9142,34,FALSE)</f>
        <v>0000</v>
      </c>
      <c r="T94" s="136" t="str">
        <f>VLOOKUP($A94,'Matriz POA 2024-TRABAJO'!$A$5:$CD$9142,35,FALSE)</f>
        <v>0000</v>
      </c>
      <c r="U94" s="137" t="str">
        <f>VLOOKUP($A94,'Matriz POA 2024-TRABAJO'!$A$5:$CD$9142,66,FALSE)</f>
        <v/>
      </c>
      <c r="V94" s="137" t="str">
        <f>VLOOKUP($A94,'Matriz POA 2024-TRABAJO'!$A$5:$CD$9142,67,FALSE)</f>
        <v/>
      </c>
      <c r="W94" s="137">
        <f>VLOOKUP($A94,'Matriz POA 2024-TRABAJO'!$A$5:$CD$9142,68,FALSE)</f>
        <v>0</v>
      </c>
      <c r="X94" s="137">
        <f>VLOOKUP($A94,'Matriz POA 2024-TRABAJO'!$A$5:$CD$9142,72,FALSE)</f>
        <v>443.83</v>
      </c>
      <c r="Y94" s="390">
        <v>1080</v>
      </c>
      <c r="Z94" s="390">
        <v>0</v>
      </c>
      <c r="AA94" s="390">
        <v>1080</v>
      </c>
      <c r="AB94" s="391"/>
      <c r="AC94" s="391">
        <v>-132.03</v>
      </c>
      <c r="AD94" s="138"/>
      <c r="AE94" s="138"/>
      <c r="AF94" s="138">
        <f t="shared" si="16"/>
        <v>947.97</v>
      </c>
      <c r="AG94" s="138">
        <f t="shared" si="17"/>
        <v>0</v>
      </c>
      <c r="AH94" s="138">
        <f t="shared" si="25"/>
        <v>947.97</v>
      </c>
      <c r="AI94" s="139">
        <v>78.989999999999995</v>
      </c>
      <c r="AJ94" s="139">
        <v>78.989999999999995</v>
      </c>
      <c r="AK94" s="129">
        <v>78.989999999999995</v>
      </c>
      <c r="AL94" s="129">
        <v>78.989999999999995</v>
      </c>
      <c r="AM94" s="129">
        <v>78.989999999999995</v>
      </c>
      <c r="AN94" s="129">
        <v>78.989999999999995</v>
      </c>
      <c r="AO94" s="129">
        <v>78.989999999999995</v>
      </c>
      <c r="AP94" s="129">
        <v>78.989999999999995</v>
      </c>
      <c r="AQ94" s="129">
        <v>78.989999999999995</v>
      </c>
      <c r="AR94" s="129">
        <v>78.989999999999995</v>
      </c>
      <c r="AS94" s="129">
        <v>78.989999999999995</v>
      </c>
      <c r="AT94" s="129">
        <v>79.08</v>
      </c>
      <c r="AU94" s="129">
        <f t="shared" si="26"/>
        <v>947.97</v>
      </c>
      <c r="AV94" s="13" t="b">
        <f t="shared" si="20"/>
        <v>1</v>
      </c>
      <c r="AW94" s="14" t="s">
        <v>961</v>
      </c>
      <c r="AX94" s="15" t="s">
        <v>962</v>
      </c>
      <c r="AY94" s="16">
        <v>45310</v>
      </c>
      <c r="AZ94" t="s">
        <v>963</v>
      </c>
      <c r="BA94" s="16">
        <v>45313</v>
      </c>
      <c r="BB94" s="17">
        <f t="shared" si="27"/>
        <v>3</v>
      </c>
      <c r="BC94" s="12"/>
      <c r="BD94" s="15"/>
      <c r="BE94" s="18"/>
      <c r="BF94" s="12"/>
      <c r="BG94" s="19" t="str">
        <f t="shared" si="28"/>
        <v>enero</v>
      </c>
      <c r="BH94" s="12" t="str">
        <f t="shared" si="23"/>
        <v>Corporación Ciudad Alfaro</v>
      </c>
      <c r="BI94" s="20" t="str">
        <f t="shared" si="24"/>
        <v>N/A</v>
      </c>
    </row>
    <row r="95" spans="1:61" ht="24.95" customHeight="1">
      <c r="A95" s="135">
        <v>731</v>
      </c>
      <c r="B95" s="136" t="str">
        <f>VLOOKUP($A95,'Matriz POA 2024-TRABAJO'!$A$5:$CD$9142,11,FALSE)</f>
        <v>Corporación Ciudad Alfaro</v>
      </c>
      <c r="C95" s="136" t="str">
        <f>VLOOKUP($A95,'Matriz POA 2024-TRABAJO'!$A$5:$CD$9142,14,FALSE)</f>
        <v>N/A</v>
      </c>
      <c r="D95" s="136" t="str">
        <f>VLOOKUP($A95,'Matriz POA 2024-TRABAJO'!$A$5:$CD$9142,15,FALSE)</f>
        <v>N/A</v>
      </c>
      <c r="E95" s="136" t="str">
        <f>VLOOKUP($A95,'Matriz POA 2024-TRABAJO'!$A$5:$CD$9142,18,FALSE)</f>
        <v>N/A</v>
      </c>
      <c r="F95" s="136" t="str">
        <f>VLOOKUP($A95,'Matriz POA 2024-TRABAJO'!$A$5:$CD$9142,20,FALSE)</f>
        <v>N/A</v>
      </c>
      <c r="G95" s="136" t="str">
        <f>VLOOKUP($A95,'Matriz POA 2024-TRABAJO'!$A$5:$CD$9142,21,FALSE)</f>
        <v>N/A</v>
      </c>
      <c r="H95" s="136" t="str">
        <f>VLOOKUP($A95,'Matriz POA 2024-TRABAJO'!$A$5:$CD$9142,22,FALSE)</f>
        <v>N/A</v>
      </c>
      <c r="I95" s="136" t="str">
        <f>VLOOKUP($A95,'Matriz POA 2024-TRABAJO'!$A$5:$CD$9142,23,FALSE)</f>
        <v>NUEVA</v>
      </c>
      <c r="J95" s="136" t="str">
        <f>VLOOKUP($A95,'Matriz POA 2024-TRABAJO'!$A$5:$CD$9142,24,FALSE)</f>
        <v>Subrogación</v>
      </c>
      <c r="K95" s="136" t="str">
        <f>VLOOKUP($A95,'Matriz POA 2024-TRABAJO'!$A$5:$CD$9142,25,FALSE)</f>
        <v>0035</v>
      </c>
      <c r="L95" s="136" t="str">
        <f>VLOOKUP($A95,'Matriz POA 2024-TRABAJO'!$A$5:$CD$9142,26,FALSE)</f>
        <v>80</v>
      </c>
      <c r="M95" s="136" t="str">
        <f>VLOOKUP($A95,'Matriz POA 2024-TRABAJO'!$A$5:$CD$9142,27,FALSE)</f>
        <v>000</v>
      </c>
      <c r="N95" s="136" t="str">
        <f>VLOOKUP($A95,'Matriz POA 2024-TRABAJO'!$A$5:$CD$9142,28,FALSE)</f>
        <v>002</v>
      </c>
      <c r="O95" s="136" t="str">
        <f>VLOOKUP($A95,'Matriz POA 2024-TRABAJO'!$A$5:$CD$9142,29,FALSE)</f>
        <v>51</v>
      </c>
      <c r="P95" s="136">
        <f>VLOOKUP($A95,'Matriz POA 2024-TRABAJO'!$A$5:$CD$9142,30,FALSE)</f>
        <v>510512</v>
      </c>
      <c r="Q95" s="136">
        <f>VLOOKUP($A95,'Matriz POA 2024-TRABAJO'!$A$5:$CD$9142,32,FALSE)</f>
        <v>1300</v>
      </c>
      <c r="R95" s="136" t="str">
        <f>VLOOKUP($A95,'Matriz POA 2024-TRABAJO'!$A$5:$CD$9142,33,FALSE)</f>
        <v>001</v>
      </c>
      <c r="S95" s="136" t="str">
        <f>VLOOKUP($A95,'Matriz POA 2024-TRABAJO'!$A$5:$CD$9142,34,FALSE)</f>
        <v>0000</v>
      </c>
      <c r="T95" s="136" t="str">
        <f>VLOOKUP($A95,'Matriz POA 2024-TRABAJO'!$A$5:$CD$9142,35,FALSE)</f>
        <v>0000</v>
      </c>
      <c r="U95" s="137" t="str">
        <f>VLOOKUP($A95,'Matriz POA 2024-TRABAJO'!$A$5:$CD$9142,66,FALSE)</f>
        <v/>
      </c>
      <c r="V95" s="137" t="str">
        <f>VLOOKUP($A95,'Matriz POA 2024-TRABAJO'!$A$5:$CD$9142,67,FALSE)</f>
        <v/>
      </c>
      <c r="W95" s="137">
        <f>VLOOKUP($A95,'Matriz POA 2024-TRABAJO'!$A$5:$CD$9142,68,FALSE)</f>
        <v>0</v>
      </c>
      <c r="X95" s="137">
        <f>VLOOKUP($A95,'Matriz POA 2024-TRABAJO'!$A$5:$CD$9142,72,FALSE)</f>
        <v>3357.21</v>
      </c>
      <c r="Y95" s="390">
        <v>0</v>
      </c>
      <c r="Z95" s="390">
        <v>0</v>
      </c>
      <c r="AA95" s="390">
        <v>0</v>
      </c>
      <c r="AB95" s="391">
        <v>507.83</v>
      </c>
      <c r="AC95" s="391"/>
      <c r="AD95" s="138"/>
      <c r="AE95" s="138"/>
      <c r="AF95" s="138">
        <f t="shared" si="16"/>
        <v>507.83</v>
      </c>
      <c r="AG95" s="138">
        <f t="shared" si="17"/>
        <v>0</v>
      </c>
      <c r="AH95" s="138">
        <f t="shared" si="25"/>
        <v>507.83</v>
      </c>
      <c r="AI95" s="139">
        <v>42.31</v>
      </c>
      <c r="AJ95" s="139">
        <v>42.31</v>
      </c>
      <c r="AK95" s="129">
        <v>42.31</v>
      </c>
      <c r="AL95" s="129">
        <v>42.31</v>
      </c>
      <c r="AM95" s="129">
        <v>42.31</v>
      </c>
      <c r="AN95" s="129">
        <v>42.31</v>
      </c>
      <c r="AO95" s="129">
        <v>42.31</v>
      </c>
      <c r="AP95" s="129">
        <v>42.31</v>
      </c>
      <c r="AQ95" s="129">
        <v>42.31</v>
      </c>
      <c r="AR95" s="129">
        <v>42.31</v>
      </c>
      <c r="AS95" s="129">
        <v>42.31</v>
      </c>
      <c r="AT95" s="129">
        <v>42.42</v>
      </c>
      <c r="AU95" s="129">
        <f t="shared" si="26"/>
        <v>507.83000000000004</v>
      </c>
      <c r="AV95" s="13" t="b">
        <f t="shared" si="20"/>
        <v>1</v>
      </c>
      <c r="AW95" s="14" t="s">
        <v>961</v>
      </c>
      <c r="AX95" s="15" t="s">
        <v>962</v>
      </c>
      <c r="AY95" s="16">
        <v>45310</v>
      </c>
      <c r="AZ95" t="s">
        <v>963</v>
      </c>
      <c r="BA95" s="16">
        <v>45313</v>
      </c>
      <c r="BB95" s="17">
        <f t="shared" si="27"/>
        <v>3</v>
      </c>
      <c r="BC95" s="12"/>
      <c r="BD95" s="15"/>
      <c r="BE95" s="18"/>
      <c r="BF95" s="12"/>
      <c r="BG95" s="19" t="str">
        <f t="shared" si="28"/>
        <v>enero</v>
      </c>
      <c r="BH95" s="12" t="str">
        <f t="shared" si="23"/>
        <v>Corporación Ciudad Alfaro</v>
      </c>
      <c r="BI95" s="20" t="str">
        <f t="shared" si="24"/>
        <v>N/A</v>
      </c>
    </row>
    <row r="96" spans="1:61" ht="24.95" customHeight="1">
      <c r="A96" s="135">
        <v>424</v>
      </c>
      <c r="B96" s="136" t="str">
        <f>VLOOKUP($A96,'Matriz POA 2024-TRABAJO'!$A$5:$CD$9142,11,FALSE)</f>
        <v>Corporación Ciudad Alfaro</v>
      </c>
      <c r="C96" s="136" t="str">
        <f>VLOOKUP($A96,'Matriz POA 2024-TRABAJO'!$A$5:$CD$9142,14,FALSE)</f>
        <v>N/A</v>
      </c>
      <c r="D96" s="136" t="str">
        <f>VLOOKUP($A96,'Matriz POA 2024-TRABAJO'!$A$5:$CD$9142,15,FALSE)</f>
        <v>N/A</v>
      </c>
      <c r="E96" s="136" t="str">
        <f>VLOOKUP($A96,'Matriz POA 2024-TRABAJO'!$A$5:$CD$9142,18,FALSE)</f>
        <v>N/A</v>
      </c>
      <c r="F96" s="136" t="str">
        <f>VLOOKUP($A96,'Matriz POA 2024-TRABAJO'!$A$5:$CD$9142,20,FALSE)</f>
        <v>N/A</v>
      </c>
      <c r="G96" s="136" t="str">
        <f>VLOOKUP($A96,'Matriz POA 2024-TRABAJO'!$A$5:$CD$9142,21,FALSE)</f>
        <v>N/A</v>
      </c>
      <c r="H96" s="136" t="str">
        <f>VLOOKUP($A96,'Matriz POA 2024-TRABAJO'!$A$5:$CD$9142,22,FALSE)</f>
        <v>N/A</v>
      </c>
      <c r="I96" s="136" t="str">
        <f>VLOOKUP($A96,'Matriz POA 2024-TRABAJO'!$A$5:$CD$9142,23,FALSE)</f>
        <v>NUEVA</v>
      </c>
      <c r="J96" s="136" t="str">
        <f>VLOOKUP($A96,'Matriz POA 2024-TRABAJO'!$A$5:$CD$9142,24,FALSE)</f>
        <v xml:space="preserve">Aporte Patronal </v>
      </c>
      <c r="K96" s="136" t="str">
        <f>VLOOKUP($A96,'Matriz POA 2024-TRABAJO'!$A$5:$CD$9142,25,FALSE)</f>
        <v>0035</v>
      </c>
      <c r="L96" s="136" t="str">
        <f>VLOOKUP($A96,'Matriz POA 2024-TRABAJO'!$A$5:$CD$9142,26,FALSE)</f>
        <v>80</v>
      </c>
      <c r="M96" s="136" t="str">
        <f>VLOOKUP($A96,'Matriz POA 2024-TRABAJO'!$A$5:$CD$9142,27,FALSE)</f>
        <v>000</v>
      </c>
      <c r="N96" s="136" t="str">
        <f>VLOOKUP($A96,'Matriz POA 2024-TRABAJO'!$A$5:$CD$9142,28,FALSE)</f>
        <v>002</v>
      </c>
      <c r="O96" s="136" t="str">
        <f>VLOOKUP($A96,'Matriz POA 2024-TRABAJO'!$A$5:$CD$9142,29,FALSE)</f>
        <v>51</v>
      </c>
      <c r="P96" s="136">
        <f>VLOOKUP($A96,'Matriz POA 2024-TRABAJO'!$A$5:$CD$9142,30,FALSE)</f>
        <v>510601</v>
      </c>
      <c r="Q96" s="136">
        <f>VLOOKUP($A96,'Matriz POA 2024-TRABAJO'!$A$5:$CD$9142,32,FALSE)</f>
        <v>1300</v>
      </c>
      <c r="R96" s="136" t="str">
        <f>VLOOKUP($A96,'Matriz POA 2024-TRABAJO'!$A$5:$CD$9142,33,FALSE)</f>
        <v>001</v>
      </c>
      <c r="S96" s="136" t="str">
        <f>VLOOKUP($A96,'Matriz POA 2024-TRABAJO'!$A$5:$CD$9142,34,FALSE)</f>
        <v>0000</v>
      </c>
      <c r="T96" s="136" t="str">
        <f>VLOOKUP($A96,'Matriz POA 2024-TRABAJO'!$A$5:$CD$9142,35,FALSE)</f>
        <v>0000</v>
      </c>
      <c r="U96" s="137">
        <f>VLOOKUP($A96,'Matriz POA 2024-TRABAJO'!$A$5:$CD$9142,66,FALSE)</f>
        <v>38582.559999999998</v>
      </c>
      <c r="V96" s="137">
        <f>VLOOKUP($A96,'Matriz POA 2024-TRABAJO'!$A$5:$CD$9142,67,FALSE)</f>
        <v>-584.79000000000087</v>
      </c>
      <c r="W96" s="137">
        <f>VLOOKUP($A96,'Matriz POA 2024-TRABAJO'!$A$5:$CD$9142,68,FALSE)</f>
        <v>0</v>
      </c>
      <c r="X96" s="137">
        <f>VLOOKUP($A96,'Matriz POA 2024-TRABAJO'!$A$5:$CD$9142,72,FALSE)</f>
        <v>37446.300000000003</v>
      </c>
      <c r="Y96" s="390">
        <v>38939.57</v>
      </c>
      <c r="Z96" s="390">
        <v>0</v>
      </c>
      <c r="AA96" s="390">
        <v>38939.57</v>
      </c>
      <c r="AB96" s="391"/>
      <c r="AC96" s="391">
        <v>-157.01</v>
      </c>
      <c r="AD96" s="138"/>
      <c r="AE96" s="138"/>
      <c r="AF96" s="138">
        <f t="shared" si="16"/>
        <v>38782.559999999998</v>
      </c>
      <c r="AG96" s="138">
        <f t="shared" si="17"/>
        <v>0</v>
      </c>
      <c r="AH96" s="138">
        <f t="shared" si="25"/>
        <v>38782.559999999998</v>
      </c>
      <c r="AI96" s="139">
        <v>3231.88</v>
      </c>
      <c r="AJ96" s="139">
        <v>3231.88</v>
      </c>
      <c r="AK96" s="129">
        <v>3231.88</v>
      </c>
      <c r="AL96" s="129">
        <v>3231.88</v>
      </c>
      <c r="AM96" s="129">
        <v>3231.88</v>
      </c>
      <c r="AN96" s="129">
        <v>3231.88</v>
      </c>
      <c r="AO96" s="129">
        <v>3231.88</v>
      </c>
      <c r="AP96" s="129">
        <v>3231.88</v>
      </c>
      <c r="AQ96" s="129">
        <v>3231.88</v>
      </c>
      <c r="AR96" s="129">
        <v>3231.88</v>
      </c>
      <c r="AS96" s="129">
        <v>3231.88</v>
      </c>
      <c r="AT96" s="129">
        <v>3231.88</v>
      </c>
      <c r="AU96" s="129">
        <f t="shared" si="26"/>
        <v>38782.560000000005</v>
      </c>
      <c r="AV96" s="13" t="b">
        <f t="shared" si="20"/>
        <v>1</v>
      </c>
      <c r="AW96" s="14" t="s">
        <v>961</v>
      </c>
      <c r="AX96" s="15" t="s">
        <v>962</v>
      </c>
      <c r="AY96" s="16">
        <v>45310</v>
      </c>
      <c r="AZ96" t="s">
        <v>963</v>
      </c>
      <c r="BA96" s="16">
        <v>45313</v>
      </c>
      <c r="BB96" s="17">
        <f t="shared" si="27"/>
        <v>3</v>
      </c>
      <c r="BC96" s="12"/>
      <c r="BD96" s="15"/>
      <c r="BE96" s="18"/>
      <c r="BF96" s="12"/>
      <c r="BG96" s="19" t="str">
        <f t="shared" si="28"/>
        <v>enero</v>
      </c>
      <c r="BH96" s="12" t="str">
        <f t="shared" si="23"/>
        <v>Corporación Ciudad Alfaro</v>
      </c>
      <c r="BI96" s="20" t="str">
        <f t="shared" si="24"/>
        <v>N/A</v>
      </c>
    </row>
    <row r="97" spans="1:61" ht="24.95" customHeight="1">
      <c r="A97" s="135">
        <v>425</v>
      </c>
      <c r="B97" s="136" t="str">
        <f>VLOOKUP($A97,'Matriz POA 2024-TRABAJO'!$A$5:$CD$9142,11,FALSE)</f>
        <v>Corporación Ciudad Alfaro</v>
      </c>
      <c r="C97" s="136" t="str">
        <f>VLOOKUP($A97,'Matriz POA 2024-TRABAJO'!$A$5:$CD$9142,14,FALSE)</f>
        <v>N/A</v>
      </c>
      <c r="D97" s="136" t="str">
        <f>VLOOKUP($A97,'Matriz POA 2024-TRABAJO'!$A$5:$CD$9142,15,FALSE)</f>
        <v>N/A</v>
      </c>
      <c r="E97" s="136" t="str">
        <f>VLOOKUP($A97,'Matriz POA 2024-TRABAJO'!$A$5:$CD$9142,18,FALSE)</f>
        <v>N/A</v>
      </c>
      <c r="F97" s="136" t="str">
        <f>VLOOKUP($A97,'Matriz POA 2024-TRABAJO'!$A$5:$CD$9142,20,FALSE)</f>
        <v>N/A</v>
      </c>
      <c r="G97" s="136" t="str">
        <f>VLOOKUP($A97,'Matriz POA 2024-TRABAJO'!$A$5:$CD$9142,21,FALSE)</f>
        <v>N/A</v>
      </c>
      <c r="H97" s="136" t="str">
        <f>VLOOKUP($A97,'Matriz POA 2024-TRABAJO'!$A$5:$CD$9142,22,FALSE)</f>
        <v>N/A</v>
      </c>
      <c r="I97" s="136" t="str">
        <f>VLOOKUP($A97,'Matriz POA 2024-TRABAJO'!$A$5:$CD$9142,23,FALSE)</f>
        <v>NUEVA</v>
      </c>
      <c r="J97" s="136" t="str">
        <f>VLOOKUP($A97,'Matriz POA 2024-TRABAJO'!$A$5:$CD$9142,24,FALSE)</f>
        <v>Fondo de Reserva</v>
      </c>
      <c r="K97" s="136" t="str">
        <f>VLOOKUP($A97,'Matriz POA 2024-TRABAJO'!$A$5:$CD$9142,25,FALSE)</f>
        <v>0035</v>
      </c>
      <c r="L97" s="136" t="str">
        <f>VLOOKUP($A97,'Matriz POA 2024-TRABAJO'!$A$5:$CD$9142,26,FALSE)</f>
        <v>80</v>
      </c>
      <c r="M97" s="136" t="str">
        <f>VLOOKUP($A97,'Matriz POA 2024-TRABAJO'!$A$5:$CD$9142,27,FALSE)</f>
        <v>000</v>
      </c>
      <c r="N97" s="136" t="str">
        <f>VLOOKUP($A97,'Matriz POA 2024-TRABAJO'!$A$5:$CD$9142,28,FALSE)</f>
        <v>002</v>
      </c>
      <c r="O97" s="136" t="str">
        <f>VLOOKUP($A97,'Matriz POA 2024-TRABAJO'!$A$5:$CD$9142,29,FALSE)</f>
        <v>51</v>
      </c>
      <c r="P97" s="136">
        <f>VLOOKUP($A97,'Matriz POA 2024-TRABAJO'!$A$5:$CD$9142,30,FALSE)</f>
        <v>510602</v>
      </c>
      <c r="Q97" s="136">
        <f>VLOOKUP($A97,'Matriz POA 2024-TRABAJO'!$A$5:$CD$9142,32,FALSE)</f>
        <v>1300</v>
      </c>
      <c r="R97" s="136" t="str">
        <f>VLOOKUP($A97,'Matriz POA 2024-TRABAJO'!$A$5:$CD$9142,33,FALSE)</f>
        <v>001</v>
      </c>
      <c r="S97" s="136" t="str">
        <f>VLOOKUP($A97,'Matriz POA 2024-TRABAJO'!$A$5:$CD$9142,34,FALSE)</f>
        <v>0000</v>
      </c>
      <c r="T97" s="136" t="str">
        <f>VLOOKUP($A97,'Matriz POA 2024-TRABAJO'!$A$5:$CD$9142,35,FALSE)</f>
        <v>0000</v>
      </c>
      <c r="U97" s="137">
        <f>VLOOKUP($A97,'Matriz POA 2024-TRABAJO'!$A$5:$CD$9142,66,FALSE)</f>
        <v>28176.35</v>
      </c>
      <c r="V97" s="137">
        <f>VLOOKUP($A97,'Matriz POA 2024-TRABAJO'!$A$5:$CD$9142,67,FALSE)</f>
        <v>-605.7599999999984</v>
      </c>
      <c r="W97" s="137">
        <f>VLOOKUP($A97,'Matriz POA 2024-TRABAJO'!$A$5:$CD$9142,68,FALSE)</f>
        <v>0</v>
      </c>
      <c r="X97" s="137">
        <f>VLOOKUP($A97,'Matriz POA 2024-TRABAJO'!$A$5:$CD$9142,72,FALSE)</f>
        <v>27296</v>
      </c>
      <c r="Y97" s="390">
        <v>32133.14</v>
      </c>
      <c r="Z97" s="390">
        <v>0</v>
      </c>
      <c r="AA97" s="390">
        <v>32133.14</v>
      </c>
      <c r="AB97" s="391"/>
      <c r="AC97" s="391">
        <v>-2656.33</v>
      </c>
      <c r="AD97" s="138"/>
      <c r="AE97" s="138"/>
      <c r="AF97" s="138">
        <f t="shared" si="16"/>
        <v>29476.809999999998</v>
      </c>
      <c r="AG97" s="138">
        <f t="shared" si="17"/>
        <v>0</v>
      </c>
      <c r="AH97" s="138">
        <f t="shared" si="25"/>
        <v>29476.809999999998</v>
      </c>
      <c r="AI97" s="139">
        <v>2456.4</v>
      </c>
      <c r="AJ97" s="139">
        <v>2456.4</v>
      </c>
      <c r="AK97" s="129">
        <v>2456.4</v>
      </c>
      <c r="AL97" s="129">
        <v>2456.4</v>
      </c>
      <c r="AM97" s="129">
        <v>2456.4</v>
      </c>
      <c r="AN97" s="129">
        <v>2456.4</v>
      </c>
      <c r="AO97" s="129">
        <v>2456.4</v>
      </c>
      <c r="AP97" s="129">
        <v>2456.4</v>
      </c>
      <c r="AQ97" s="129">
        <v>2456.4</v>
      </c>
      <c r="AR97" s="129">
        <v>2456.4</v>
      </c>
      <c r="AS97" s="129">
        <v>2456.4</v>
      </c>
      <c r="AT97" s="129">
        <v>2456.41</v>
      </c>
      <c r="AU97" s="129">
        <f t="shared" si="26"/>
        <v>29476.810000000005</v>
      </c>
      <c r="AV97" s="13" t="b">
        <f t="shared" si="20"/>
        <v>1</v>
      </c>
      <c r="AW97" s="14" t="s">
        <v>961</v>
      </c>
      <c r="AX97" s="15" t="s">
        <v>962</v>
      </c>
      <c r="AY97" s="16">
        <v>45310</v>
      </c>
      <c r="AZ97" t="s">
        <v>963</v>
      </c>
      <c r="BA97" s="16">
        <v>45313</v>
      </c>
      <c r="BB97" s="17">
        <f t="shared" si="27"/>
        <v>3</v>
      </c>
      <c r="BC97" s="12"/>
      <c r="BD97" s="15"/>
      <c r="BE97" s="18"/>
      <c r="BF97" s="12"/>
      <c r="BG97" s="19" t="str">
        <f t="shared" si="28"/>
        <v>enero</v>
      </c>
      <c r="BH97" s="12" t="str">
        <f t="shared" si="23"/>
        <v>Corporación Ciudad Alfaro</v>
      </c>
      <c r="BI97" s="20" t="str">
        <f t="shared" si="24"/>
        <v>N/A</v>
      </c>
    </row>
    <row r="98" spans="1:61" ht="24.95" customHeight="1">
      <c r="A98" s="135">
        <v>426</v>
      </c>
      <c r="B98" s="136" t="str">
        <f>VLOOKUP($A98,'Matriz POA 2024-TRABAJO'!$A$5:$CD$9142,11,FALSE)</f>
        <v>Corporación Ciudad Alfaro</v>
      </c>
      <c r="C98" s="136" t="str">
        <f>VLOOKUP($A98,'Matriz POA 2024-TRABAJO'!$A$5:$CD$9142,14,FALSE)</f>
        <v>N/A</v>
      </c>
      <c r="D98" s="136" t="str">
        <f>VLOOKUP($A98,'Matriz POA 2024-TRABAJO'!$A$5:$CD$9142,15,FALSE)</f>
        <v>N/A</v>
      </c>
      <c r="E98" s="136" t="str">
        <f>VLOOKUP($A98,'Matriz POA 2024-TRABAJO'!$A$5:$CD$9142,18,FALSE)</f>
        <v>N/A</v>
      </c>
      <c r="F98" s="136" t="str">
        <f>VLOOKUP($A98,'Matriz POA 2024-TRABAJO'!$A$5:$CD$9142,20,FALSE)</f>
        <v>N/A</v>
      </c>
      <c r="G98" s="136" t="str">
        <f>VLOOKUP($A98,'Matriz POA 2024-TRABAJO'!$A$5:$CD$9142,21,FALSE)</f>
        <v>N/A</v>
      </c>
      <c r="H98" s="136" t="str">
        <f>VLOOKUP($A98,'Matriz POA 2024-TRABAJO'!$A$5:$CD$9142,22,FALSE)</f>
        <v>N/A</v>
      </c>
      <c r="I98" s="136" t="str">
        <f>VLOOKUP($A98,'Matriz POA 2024-TRABAJO'!$A$5:$CD$9142,23,FALSE)</f>
        <v>NUEVA</v>
      </c>
      <c r="J98" s="136" t="str">
        <f>VLOOKUP($A98,'Matriz POA 2024-TRABAJO'!$A$5:$CD$9142,24,FALSE)</f>
        <v>Compensación por Vacaciones no Gozadas por Cesación de Funciones</v>
      </c>
      <c r="K98" s="136" t="str">
        <f>VLOOKUP($A98,'Matriz POA 2024-TRABAJO'!$A$5:$CD$9142,25,FALSE)</f>
        <v>0035</v>
      </c>
      <c r="L98" s="136" t="str">
        <f>VLOOKUP($A98,'Matriz POA 2024-TRABAJO'!$A$5:$CD$9142,26,FALSE)</f>
        <v>80</v>
      </c>
      <c r="M98" s="136" t="str">
        <f>VLOOKUP($A98,'Matriz POA 2024-TRABAJO'!$A$5:$CD$9142,27,FALSE)</f>
        <v>000</v>
      </c>
      <c r="N98" s="136" t="str">
        <f>VLOOKUP($A98,'Matriz POA 2024-TRABAJO'!$A$5:$CD$9142,28,FALSE)</f>
        <v>002</v>
      </c>
      <c r="O98" s="136" t="str">
        <f>VLOOKUP($A98,'Matriz POA 2024-TRABAJO'!$A$5:$CD$9142,29,FALSE)</f>
        <v>51</v>
      </c>
      <c r="P98" s="136">
        <f>VLOOKUP($A98,'Matriz POA 2024-TRABAJO'!$A$5:$CD$9142,30,FALSE)</f>
        <v>510707</v>
      </c>
      <c r="Q98" s="136">
        <f>VLOOKUP($A98,'Matriz POA 2024-TRABAJO'!$A$5:$CD$9142,32,FALSE)</f>
        <v>1300</v>
      </c>
      <c r="R98" s="136" t="str">
        <f>VLOOKUP($A98,'Matriz POA 2024-TRABAJO'!$A$5:$CD$9142,33,FALSE)</f>
        <v>001</v>
      </c>
      <c r="S98" s="136" t="str">
        <f>VLOOKUP($A98,'Matriz POA 2024-TRABAJO'!$A$5:$CD$9142,34,FALSE)</f>
        <v>0000</v>
      </c>
      <c r="T98" s="136" t="str">
        <f>VLOOKUP($A98,'Matriz POA 2024-TRABAJO'!$A$5:$CD$9142,35,FALSE)</f>
        <v>0000</v>
      </c>
      <c r="U98" s="137" t="str">
        <f>VLOOKUP($A98,'Matriz POA 2024-TRABAJO'!$A$5:$CD$9142,66,FALSE)</f>
        <v/>
      </c>
      <c r="V98" s="137" t="str">
        <f>VLOOKUP($A98,'Matriz POA 2024-TRABAJO'!$A$5:$CD$9142,67,FALSE)</f>
        <v/>
      </c>
      <c r="W98" s="137" t="str">
        <f>VLOOKUP($A98,'Matriz POA 2024-TRABAJO'!$A$5:$CD$9142,68,FALSE)</f>
        <v/>
      </c>
      <c r="X98" s="137" t="str">
        <f>VLOOKUP($A98,'Matriz POA 2024-TRABAJO'!$A$5:$CD$9142,72,FALSE)</f>
        <v/>
      </c>
      <c r="Y98" s="390">
        <v>4800</v>
      </c>
      <c r="Z98" s="390">
        <v>0</v>
      </c>
      <c r="AA98" s="390">
        <v>4800</v>
      </c>
      <c r="AB98" s="391"/>
      <c r="AC98" s="391">
        <v>-4800</v>
      </c>
      <c r="AD98" s="138"/>
      <c r="AE98" s="138"/>
      <c r="AF98" s="138">
        <f t="shared" si="16"/>
        <v>0</v>
      </c>
      <c r="AG98" s="138">
        <f t="shared" si="17"/>
        <v>0</v>
      </c>
      <c r="AH98" s="138">
        <f t="shared" si="25"/>
        <v>0</v>
      </c>
      <c r="AI98" s="139"/>
      <c r="AJ98" s="139"/>
      <c r="AK98" s="129"/>
      <c r="AL98" s="129"/>
      <c r="AM98" s="129"/>
      <c r="AN98" s="129"/>
      <c r="AO98" s="129"/>
      <c r="AP98" s="129"/>
      <c r="AQ98" s="129"/>
      <c r="AR98" s="129"/>
      <c r="AS98" s="129"/>
      <c r="AT98" s="129"/>
      <c r="AU98" s="129">
        <f t="shared" si="26"/>
        <v>0</v>
      </c>
      <c r="AV98" s="13" t="b">
        <f t="shared" si="20"/>
        <v>1</v>
      </c>
      <c r="AW98" s="14" t="s">
        <v>961</v>
      </c>
      <c r="AX98" s="15" t="s">
        <v>962</v>
      </c>
      <c r="AY98" s="16">
        <v>45310</v>
      </c>
      <c r="AZ98" t="s">
        <v>963</v>
      </c>
      <c r="BA98" s="16">
        <v>45313</v>
      </c>
      <c r="BB98" s="17">
        <f t="shared" si="27"/>
        <v>3</v>
      </c>
      <c r="BC98" s="12"/>
      <c r="BD98" s="15"/>
      <c r="BE98" s="18"/>
      <c r="BF98" s="12"/>
      <c r="BG98" s="19" t="str">
        <f t="shared" si="28"/>
        <v>enero</v>
      </c>
      <c r="BH98" s="12" t="str">
        <f t="shared" si="23"/>
        <v>Corporación Ciudad Alfaro</v>
      </c>
      <c r="BI98" s="20" t="str">
        <f t="shared" si="24"/>
        <v>N/A</v>
      </c>
    </row>
    <row r="99" spans="1:61" ht="24.95" customHeight="1">
      <c r="A99" s="8">
        <v>415</v>
      </c>
      <c r="B99" s="12" t="str">
        <f>VLOOKUP($A99,'Matriz POA 2024-TRABAJO'!$A$5:$CD$9142,11,FALSE)</f>
        <v>Corporación Ciudad Alfaro</v>
      </c>
      <c r="C99" s="12" t="str">
        <f>VLOOKUP($A99,'Matriz POA 2024-TRABAJO'!$A$5:$CD$9142,14,FALSE)</f>
        <v>N/A</v>
      </c>
      <c r="D99" s="12" t="str">
        <f>VLOOKUP($A99,'Matriz POA 2024-TRABAJO'!$A$5:$CD$9142,15,FALSE)</f>
        <v>N/A</v>
      </c>
      <c r="E99" s="12" t="str">
        <f>VLOOKUP($A99,'Matriz POA 2024-TRABAJO'!$A$5:$CD$9142,18,FALSE)</f>
        <v>N/A</v>
      </c>
      <c r="F99" s="12" t="str">
        <f>VLOOKUP($A99,'Matriz POA 2024-TRABAJO'!$A$5:$CD$9142,20,FALSE)</f>
        <v>N/A</v>
      </c>
      <c r="G99" s="12" t="str">
        <f>VLOOKUP($A99,'Matriz POA 2024-TRABAJO'!$A$5:$CD$9142,21,FALSE)</f>
        <v>N/A</v>
      </c>
      <c r="H99" s="12" t="str">
        <f>VLOOKUP($A99,'Matriz POA 2024-TRABAJO'!$A$5:$CD$9142,22,FALSE)</f>
        <v>N/A</v>
      </c>
      <c r="I99" s="12" t="str">
        <f>VLOOKUP($A99,'Matriz POA 2024-TRABAJO'!$A$5:$CD$9142,23,FALSE)</f>
        <v>NUEVA</v>
      </c>
      <c r="J99" s="12" t="str">
        <f>VLOOKUP($A99,'Matriz POA 2024-TRABAJO'!$A$5:$CD$9142,24,FALSE)</f>
        <v>REMUNERACIONES UNIFICADAS</v>
      </c>
      <c r="K99" s="12" t="str">
        <f>VLOOKUP($A99,'Matriz POA 2024-TRABAJO'!$A$5:$CD$9142,25,FALSE)</f>
        <v>0035</v>
      </c>
      <c r="L99" s="12" t="str">
        <f>VLOOKUP($A99,'Matriz POA 2024-TRABAJO'!$A$5:$CD$9142,26,FALSE)</f>
        <v>80</v>
      </c>
      <c r="M99" s="12" t="str">
        <f>VLOOKUP($A99,'Matriz POA 2024-TRABAJO'!$A$5:$CD$9142,27,FALSE)</f>
        <v>000</v>
      </c>
      <c r="N99" s="12" t="str">
        <f>VLOOKUP($A99,'Matriz POA 2024-TRABAJO'!$A$5:$CD$9142,28,FALSE)</f>
        <v>002</v>
      </c>
      <c r="O99" s="12" t="str">
        <f>VLOOKUP($A99,'Matriz POA 2024-TRABAJO'!$A$5:$CD$9142,29,FALSE)</f>
        <v>51</v>
      </c>
      <c r="P99" s="12">
        <f>VLOOKUP($A99,'Matriz POA 2024-TRABAJO'!$A$5:$CD$9142,30,FALSE)</f>
        <v>510105</v>
      </c>
      <c r="Q99" s="12">
        <f>VLOOKUP($A99,'Matriz POA 2024-TRABAJO'!$A$5:$CD$9142,32,FALSE)</f>
        <v>1300</v>
      </c>
      <c r="R99" s="12" t="str">
        <f>VLOOKUP($A99,'Matriz POA 2024-TRABAJO'!$A$5:$CD$9142,33,FALSE)</f>
        <v>001</v>
      </c>
      <c r="S99" s="12" t="str">
        <f>VLOOKUP($A99,'Matriz POA 2024-TRABAJO'!$A$5:$CD$9142,34,FALSE)</f>
        <v>0000</v>
      </c>
      <c r="T99" s="12" t="str">
        <f>VLOOKUP($A99,'Matriz POA 2024-TRABAJO'!$A$5:$CD$9142,35,FALSE)</f>
        <v>0000</v>
      </c>
      <c r="U99" s="62">
        <f>VLOOKUP($A99,'Matriz POA 2024-TRABAJO'!$A$5:$CD$9142,66,FALSE)</f>
        <v>280176.77</v>
      </c>
      <c r="V99" s="62">
        <f>VLOOKUP($A99,'Matriz POA 2024-TRABAJO'!$A$5:$CD$9142,67,FALSE)</f>
        <v>-12424.770000000019</v>
      </c>
      <c r="W99" s="62">
        <f>VLOOKUP($A99,'Matriz POA 2024-TRABAJO'!$A$5:$CD$9142,68,FALSE)</f>
        <v>0</v>
      </c>
      <c r="X99" s="62">
        <f>VLOOKUP($A99,'Matriz POA 2024-TRABAJO'!$A$5:$CD$9142,72,FALSE)</f>
        <v>266098.39899999998</v>
      </c>
      <c r="Y99" s="388">
        <v>285036</v>
      </c>
      <c r="Z99" s="388">
        <v>0</v>
      </c>
      <c r="AA99" s="388">
        <v>285036</v>
      </c>
      <c r="AB99" s="389"/>
      <c r="AC99" s="389">
        <v>-8059.96</v>
      </c>
      <c r="AD99" s="13"/>
      <c r="AE99" s="13"/>
      <c r="AF99" s="13">
        <f t="shared" si="16"/>
        <v>276976.03999999998</v>
      </c>
      <c r="AG99" s="13">
        <f t="shared" si="17"/>
        <v>0</v>
      </c>
      <c r="AH99" s="13">
        <f t="shared" si="25"/>
        <v>276976.03999999998</v>
      </c>
      <c r="AI99" s="129">
        <v>23081.33</v>
      </c>
      <c r="AJ99" s="129">
        <v>23081.33</v>
      </c>
      <c r="AK99" s="129">
        <v>23081.33</v>
      </c>
      <c r="AL99" s="129">
        <v>23081.33</v>
      </c>
      <c r="AM99" s="129">
        <v>23081.33</v>
      </c>
      <c r="AN99" s="129">
        <v>23081.33</v>
      </c>
      <c r="AO99" s="129">
        <v>23081.33</v>
      </c>
      <c r="AP99" s="129">
        <v>23081.33</v>
      </c>
      <c r="AQ99" s="129">
        <v>23081.33</v>
      </c>
      <c r="AR99" s="129">
        <v>23081.33</v>
      </c>
      <c r="AS99" s="129">
        <v>23081.33</v>
      </c>
      <c r="AT99" s="129">
        <v>23081.41</v>
      </c>
      <c r="AU99" s="129">
        <f t="shared" si="26"/>
        <v>276976.04000000004</v>
      </c>
      <c r="AV99" s="13" t="b">
        <f t="shared" si="20"/>
        <v>1</v>
      </c>
      <c r="AW99" s="14" t="s">
        <v>964</v>
      </c>
      <c r="AX99" t="s">
        <v>962</v>
      </c>
      <c r="AY99" s="16">
        <v>45310</v>
      </c>
      <c r="AZ99" t="s">
        <v>963</v>
      </c>
      <c r="BA99" s="16">
        <v>45313</v>
      </c>
      <c r="BB99" s="17">
        <f t="shared" si="27"/>
        <v>3</v>
      </c>
      <c r="BC99" s="12"/>
      <c r="BD99" s="15"/>
      <c r="BE99" s="18"/>
      <c r="BF99" s="12"/>
      <c r="BG99" s="19" t="str">
        <f t="shared" si="28"/>
        <v>enero</v>
      </c>
      <c r="BH99" s="12" t="str">
        <f t="shared" si="23"/>
        <v>Corporación Ciudad Alfaro</v>
      </c>
      <c r="BI99" s="20" t="str">
        <f t="shared" si="24"/>
        <v>N/A</v>
      </c>
    </row>
    <row r="100" spans="1:61" ht="24.95" customHeight="1">
      <c r="A100" s="8">
        <v>416</v>
      </c>
      <c r="B100" s="12" t="str">
        <f>VLOOKUP($A100,'Matriz POA 2024-TRABAJO'!$A$5:$CD$9142,11,FALSE)</f>
        <v>Corporación Ciudad Alfaro</v>
      </c>
      <c r="C100" s="12" t="str">
        <f>VLOOKUP($A100,'Matriz POA 2024-TRABAJO'!$A$5:$CD$9142,14,FALSE)</f>
        <v>N/A</v>
      </c>
      <c r="D100" s="12" t="str">
        <f>VLOOKUP($A100,'Matriz POA 2024-TRABAJO'!$A$5:$CD$9142,15,FALSE)</f>
        <v>N/A</v>
      </c>
      <c r="E100" s="12" t="str">
        <f>VLOOKUP($A100,'Matriz POA 2024-TRABAJO'!$A$5:$CD$9142,18,FALSE)</f>
        <v>N/A</v>
      </c>
      <c r="F100" s="12" t="str">
        <f>VLOOKUP($A100,'Matriz POA 2024-TRABAJO'!$A$5:$CD$9142,20,FALSE)</f>
        <v>N/A</v>
      </c>
      <c r="G100" s="12" t="str">
        <f>VLOOKUP($A100,'Matriz POA 2024-TRABAJO'!$A$5:$CD$9142,21,FALSE)</f>
        <v>N/A</v>
      </c>
      <c r="H100" s="12" t="str">
        <f>VLOOKUP($A100,'Matriz POA 2024-TRABAJO'!$A$5:$CD$9142,22,FALSE)</f>
        <v>N/A</v>
      </c>
      <c r="I100" s="12" t="str">
        <f>VLOOKUP($A100,'Matriz POA 2024-TRABAJO'!$A$5:$CD$9142,23,FALSE)</f>
        <v>NUEVA</v>
      </c>
      <c r="J100" s="12" t="str">
        <f>VLOOKUP($A100,'Matriz POA 2024-TRABAJO'!$A$5:$CD$9142,24,FALSE)</f>
        <v>Salarios Unificados</v>
      </c>
      <c r="K100" s="12" t="str">
        <f>VLOOKUP($A100,'Matriz POA 2024-TRABAJO'!$A$5:$CD$9142,25,FALSE)</f>
        <v>0035</v>
      </c>
      <c r="L100" s="12" t="str">
        <f>VLOOKUP($A100,'Matriz POA 2024-TRABAJO'!$A$5:$CD$9142,26,FALSE)</f>
        <v>80</v>
      </c>
      <c r="M100" s="12" t="str">
        <f>VLOOKUP($A100,'Matriz POA 2024-TRABAJO'!$A$5:$CD$9142,27,FALSE)</f>
        <v>000</v>
      </c>
      <c r="N100" s="12" t="str">
        <f>VLOOKUP($A100,'Matriz POA 2024-TRABAJO'!$A$5:$CD$9142,28,FALSE)</f>
        <v>002</v>
      </c>
      <c r="O100" s="12" t="str">
        <f>VLOOKUP($A100,'Matriz POA 2024-TRABAJO'!$A$5:$CD$9142,29,FALSE)</f>
        <v>51</v>
      </c>
      <c r="P100" s="12">
        <f>VLOOKUP($A100,'Matriz POA 2024-TRABAJO'!$A$5:$CD$9142,30,FALSE)</f>
        <v>510106</v>
      </c>
      <c r="Q100" s="12">
        <f>VLOOKUP($A100,'Matriz POA 2024-TRABAJO'!$A$5:$CD$9142,32,FALSE)</f>
        <v>1300</v>
      </c>
      <c r="R100" s="12" t="str">
        <f>VLOOKUP($A100,'Matriz POA 2024-TRABAJO'!$A$5:$CD$9142,33,FALSE)</f>
        <v>001</v>
      </c>
      <c r="S100" s="12" t="str">
        <f>VLOOKUP($A100,'Matriz POA 2024-TRABAJO'!$A$5:$CD$9142,34,FALSE)</f>
        <v>0000</v>
      </c>
      <c r="T100" s="12" t="str">
        <f>VLOOKUP($A100,'Matriz POA 2024-TRABAJO'!$A$5:$CD$9142,35,FALSE)</f>
        <v>0000</v>
      </c>
      <c r="U100" s="62">
        <f>VLOOKUP($A100,'Matriz POA 2024-TRABAJO'!$A$5:$CD$9142,66,FALSE)</f>
        <v>68580</v>
      </c>
      <c r="V100" s="62">
        <f>VLOOKUP($A100,'Matriz POA 2024-TRABAJO'!$A$5:$CD$9142,67,FALSE)</f>
        <v>0</v>
      </c>
      <c r="W100" s="62">
        <f>VLOOKUP($A100,'Matriz POA 2024-TRABAJO'!$A$5:$CD$9142,68,FALSE)</f>
        <v>0</v>
      </c>
      <c r="X100" s="62">
        <f>VLOOKUP($A100,'Matriz POA 2024-TRABAJO'!$A$5:$CD$9142,72,FALSE)</f>
        <v>68580</v>
      </c>
      <c r="Y100" s="388">
        <v>67532.800000000003</v>
      </c>
      <c r="Z100" s="388">
        <v>0</v>
      </c>
      <c r="AA100" s="388">
        <v>67532.800000000003</v>
      </c>
      <c r="AB100" s="389">
        <v>1047.2</v>
      </c>
      <c r="AC100" s="389"/>
      <c r="AD100" s="13"/>
      <c r="AE100" s="13"/>
      <c r="AF100" s="13">
        <f t="shared" si="16"/>
        <v>68580</v>
      </c>
      <c r="AG100" s="13">
        <f t="shared" si="17"/>
        <v>0</v>
      </c>
      <c r="AH100" s="13">
        <f t="shared" si="25"/>
        <v>68580</v>
      </c>
      <c r="AI100" s="129">
        <v>5715</v>
      </c>
      <c r="AJ100" s="129">
        <v>5715</v>
      </c>
      <c r="AK100" s="129">
        <v>5715</v>
      </c>
      <c r="AL100" s="129">
        <v>5715</v>
      </c>
      <c r="AM100" s="129">
        <v>5715</v>
      </c>
      <c r="AN100" s="129">
        <v>5715</v>
      </c>
      <c r="AO100" s="129">
        <v>5715</v>
      </c>
      <c r="AP100" s="129">
        <v>5715</v>
      </c>
      <c r="AQ100" s="129">
        <v>5715</v>
      </c>
      <c r="AR100" s="129">
        <v>5715</v>
      </c>
      <c r="AS100" s="129">
        <v>5715</v>
      </c>
      <c r="AT100" s="129">
        <v>5715</v>
      </c>
      <c r="AU100" s="129">
        <f t="shared" si="26"/>
        <v>68580</v>
      </c>
      <c r="AV100" s="13" t="b">
        <f t="shared" si="20"/>
        <v>1</v>
      </c>
      <c r="AW100" s="14" t="s">
        <v>964</v>
      </c>
      <c r="AX100" t="s">
        <v>962</v>
      </c>
      <c r="AY100" s="16">
        <v>45310</v>
      </c>
      <c r="AZ100" t="s">
        <v>963</v>
      </c>
      <c r="BA100" s="16">
        <v>45313</v>
      </c>
      <c r="BB100" s="17">
        <f t="shared" si="27"/>
        <v>3</v>
      </c>
      <c r="BC100" s="12"/>
      <c r="BD100" s="15"/>
      <c r="BE100" s="18"/>
      <c r="BF100" s="12"/>
      <c r="BG100" s="19" t="str">
        <f t="shared" si="28"/>
        <v>enero</v>
      </c>
      <c r="BH100" s="12" t="str">
        <f t="shared" si="23"/>
        <v>Corporación Ciudad Alfaro</v>
      </c>
      <c r="BI100" s="20" t="str">
        <f t="shared" si="24"/>
        <v>N/A</v>
      </c>
    </row>
    <row r="101" spans="1:61" ht="24.95" customHeight="1">
      <c r="A101" s="8">
        <v>419</v>
      </c>
      <c r="B101" s="12" t="str">
        <f>VLOOKUP($A101,'Matriz POA 2024-TRABAJO'!$A$5:$CD$9142,11,FALSE)</f>
        <v>Corporación Ciudad Alfaro</v>
      </c>
      <c r="C101" s="12" t="str">
        <f>VLOOKUP($A101,'Matriz POA 2024-TRABAJO'!$A$5:$CD$9142,14,FALSE)</f>
        <v>N/A</v>
      </c>
      <c r="D101" s="12" t="str">
        <f>VLOOKUP($A101,'Matriz POA 2024-TRABAJO'!$A$5:$CD$9142,15,FALSE)</f>
        <v>N/A</v>
      </c>
      <c r="E101" s="12" t="str">
        <f>VLOOKUP($A101,'Matriz POA 2024-TRABAJO'!$A$5:$CD$9142,18,FALSE)</f>
        <v>N/A</v>
      </c>
      <c r="F101" s="12" t="str">
        <f>VLOOKUP($A101,'Matriz POA 2024-TRABAJO'!$A$5:$CD$9142,20,FALSE)</f>
        <v>N/A</v>
      </c>
      <c r="G101" s="12" t="str">
        <f>VLOOKUP($A101,'Matriz POA 2024-TRABAJO'!$A$5:$CD$9142,21,FALSE)</f>
        <v>N/A</v>
      </c>
      <c r="H101" s="12" t="str">
        <f>VLOOKUP($A101,'Matriz POA 2024-TRABAJO'!$A$5:$CD$9142,22,FALSE)</f>
        <v>N/A</v>
      </c>
      <c r="I101" s="12" t="str">
        <f>VLOOKUP($A101,'Matriz POA 2024-TRABAJO'!$A$5:$CD$9142,23,FALSE)</f>
        <v>NUEVA</v>
      </c>
      <c r="J101" s="12" t="str">
        <f>VLOOKUP($A101,'Matriz POA 2024-TRABAJO'!$A$5:$CD$9142,24,FALSE)</f>
        <v>Compensación por Transporte</v>
      </c>
      <c r="K101" s="12" t="str">
        <f>VLOOKUP($A101,'Matriz POA 2024-TRABAJO'!$A$5:$CD$9142,25,FALSE)</f>
        <v>0035</v>
      </c>
      <c r="L101" s="12" t="str">
        <f>VLOOKUP($A101,'Matriz POA 2024-TRABAJO'!$A$5:$CD$9142,26,FALSE)</f>
        <v>80</v>
      </c>
      <c r="M101" s="12" t="str">
        <f>VLOOKUP($A101,'Matriz POA 2024-TRABAJO'!$A$5:$CD$9142,27,FALSE)</f>
        <v>000</v>
      </c>
      <c r="N101" s="12" t="str">
        <f>VLOOKUP($A101,'Matriz POA 2024-TRABAJO'!$A$5:$CD$9142,28,FALSE)</f>
        <v>002</v>
      </c>
      <c r="O101" s="12" t="str">
        <f>VLOOKUP($A101,'Matriz POA 2024-TRABAJO'!$A$5:$CD$9142,29,FALSE)</f>
        <v>51</v>
      </c>
      <c r="P101" s="12">
        <f>VLOOKUP($A101,'Matriz POA 2024-TRABAJO'!$A$5:$CD$9142,30,FALSE)</f>
        <v>510304</v>
      </c>
      <c r="Q101" s="12">
        <f>VLOOKUP($A101,'Matriz POA 2024-TRABAJO'!$A$5:$CD$9142,32,FALSE)</f>
        <v>1300</v>
      </c>
      <c r="R101" s="12" t="str">
        <f>VLOOKUP($A101,'Matriz POA 2024-TRABAJO'!$A$5:$CD$9142,33,FALSE)</f>
        <v>001</v>
      </c>
      <c r="S101" s="12" t="str">
        <f>VLOOKUP($A101,'Matriz POA 2024-TRABAJO'!$A$5:$CD$9142,34,FALSE)</f>
        <v>0000</v>
      </c>
      <c r="T101" s="12" t="str">
        <f>VLOOKUP($A101,'Matriz POA 2024-TRABAJO'!$A$5:$CD$9142,35,FALSE)</f>
        <v>0000</v>
      </c>
      <c r="U101" s="62" t="str">
        <f>VLOOKUP($A101,'Matriz POA 2024-TRABAJO'!$A$5:$CD$9142,66,FALSE)</f>
        <v/>
      </c>
      <c r="V101" s="62" t="str">
        <f>VLOOKUP($A101,'Matriz POA 2024-TRABAJO'!$A$5:$CD$9142,67,FALSE)</f>
        <v/>
      </c>
      <c r="W101" s="62">
        <f>VLOOKUP($A101,'Matriz POA 2024-TRABAJO'!$A$5:$CD$9142,68,FALSE)</f>
        <v>0</v>
      </c>
      <c r="X101" s="62">
        <f>VLOOKUP($A101,'Matriz POA 2024-TRABAJO'!$A$5:$CD$9142,72,FALSE)</f>
        <v>1186</v>
      </c>
      <c r="Y101" s="388">
        <v>1104.5</v>
      </c>
      <c r="Z101" s="388">
        <v>0</v>
      </c>
      <c r="AA101" s="388">
        <v>1104.5</v>
      </c>
      <c r="AB101" s="389">
        <v>215.5</v>
      </c>
      <c r="AC101" s="389"/>
      <c r="AD101" s="13"/>
      <c r="AE101" s="13"/>
      <c r="AF101" s="13">
        <f t="shared" si="16"/>
        <v>1320</v>
      </c>
      <c r="AG101" s="13">
        <f t="shared" si="17"/>
        <v>0</v>
      </c>
      <c r="AH101" s="13">
        <f t="shared" si="25"/>
        <v>1320</v>
      </c>
      <c r="AI101" s="129">
        <v>110</v>
      </c>
      <c r="AJ101" s="129">
        <v>110</v>
      </c>
      <c r="AK101" s="129">
        <v>110</v>
      </c>
      <c r="AL101" s="129">
        <v>110</v>
      </c>
      <c r="AM101" s="129">
        <v>110</v>
      </c>
      <c r="AN101" s="129">
        <v>110</v>
      </c>
      <c r="AO101" s="129">
        <v>110</v>
      </c>
      <c r="AP101" s="129">
        <v>110</v>
      </c>
      <c r="AQ101" s="129">
        <v>110</v>
      </c>
      <c r="AR101" s="129">
        <v>110</v>
      </c>
      <c r="AS101" s="129">
        <v>110</v>
      </c>
      <c r="AT101" s="129">
        <v>110</v>
      </c>
      <c r="AU101" s="129">
        <f t="shared" si="26"/>
        <v>1320</v>
      </c>
      <c r="AV101" s="13" t="b">
        <f t="shared" si="20"/>
        <v>1</v>
      </c>
      <c r="AW101" s="14" t="s">
        <v>964</v>
      </c>
      <c r="AX101" t="s">
        <v>962</v>
      </c>
      <c r="AY101" s="16">
        <v>45310</v>
      </c>
      <c r="AZ101" t="s">
        <v>963</v>
      </c>
      <c r="BA101" s="16">
        <v>45313</v>
      </c>
      <c r="BB101" s="17">
        <f t="shared" si="27"/>
        <v>3</v>
      </c>
      <c r="BC101" s="12"/>
      <c r="BD101" s="15"/>
      <c r="BE101" s="18"/>
      <c r="BF101" s="12"/>
      <c r="BG101" s="19" t="str">
        <f t="shared" si="28"/>
        <v>enero</v>
      </c>
      <c r="BH101" s="12" t="str">
        <f t="shared" si="23"/>
        <v>Corporación Ciudad Alfaro</v>
      </c>
      <c r="BI101" s="20" t="str">
        <f t="shared" si="24"/>
        <v>N/A</v>
      </c>
    </row>
    <row r="102" spans="1:61" ht="24.95" customHeight="1">
      <c r="A102" s="8">
        <v>420</v>
      </c>
      <c r="B102" s="12" t="str">
        <f>VLOOKUP($A102,'Matriz POA 2024-TRABAJO'!$A$5:$CD$9142,11,FALSE)</f>
        <v>Corporación Ciudad Alfaro</v>
      </c>
      <c r="C102" s="12" t="str">
        <f>VLOOKUP($A102,'Matriz POA 2024-TRABAJO'!$A$5:$CD$9142,14,FALSE)</f>
        <v>N/A</v>
      </c>
      <c r="D102" s="12" t="str">
        <f>VLOOKUP($A102,'Matriz POA 2024-TRABAJO'!$A$5:$CD$9142,15,FALSE)</f>
        <v>N/A</v>
      </c>
      <c r="E102" s="12" t="str">
        <f>VLOOKUP($A102,'Matriz POA 2024-TRABAJO'!$A$5:$CD$9142,18,FALSE)</f>
        <v>N/A</v>
      </c>
      <c r="F102" s="12" t="str">
        <f>VLOOKUP($A102,'Matriz POA 2024-TRABAJO'!$A$5:$CD$9142,20,FALSE)</f>
        <v>N/A</v>
      </c>
      <c r="G102" s="12" t="str">
        <f>VLOOKUP($A102,'Matriz POA 2024-TRABAJO'!$A$5:$CD$9142,21,FALSE)</f>
        <v>N/A</v>
      </c>
      <c r="H102" s="12" t="str">
        <f>VLOOKUP($A102,'Matriz POA 2024-TRABAJO'!$A$5:$CD$9142,22,FALSE)</f>
        <v>N/A</v>
      </c>
      <c r="I102" s="12" t="str">
        <f>VLOOKUP($A102,'Matriz POA 2024-TRABAJO'!$A$5:$CD$9142,23,FALSE)</f>
        <v>NUEVA</v>
      </c>
      <c r="J102" s="12" t="str">
        <f>VLOOKUP($A102,'Matriz POA 2024-TRABAJO'!$A$5:$CD$9142,24,FALSE)</f>
        <v>Alimentación</v>
      </c>
      <c r="K102" s="12" t="str">
        <f>VLOOKUP($A102,'Matriz POA 2024-TRABAJO'!$A$5:$CD$9142,25,FALSE)</f>
        <v>0035</v>
      </c>
      <c r="L102" s="12" t="str">
        <f>VLOOKUP($A102,'Matriz POA 2024-TRABAJO'!$A$5:$CD$9142,26,FALSE)</f>
        <v>80</v>
      </c>
      <c r="M102" s="12" t="str">
        <f>VLOOKUP($A102,'Matriz POA 2024-TRABAJO'!$A$5:$CD$9142,27,FALSE)</f>
        <v>000</v>
      </c>
      <c r="N102" s="12" t="str">
        <f>VLOOKUP($A102,'Matriz POA 2024-TRABAJO'!$A$5:$CD$9142,28,FALSE)</f>
        <v>002</v>
      </c>
      <c r="O102" s="12" t="str">
        <f>VLOOKUP($A102,'Matriz POA 2024-TRABAJO'!$A$5:$CD$9142,29,FALSE)</f>
        <v>51</v>
      </c>
      <c r="P102" s="12">
        <f>VLOOKUP($A102,'Matriz POA 2024-TRABAJO'!$A$5:$CD$9142,30,FALSE)</f>
        <v>510306</v>
      </c>
      <c r="Q102" s="12">
        <f>VLOOKUP($A102,'Matriz POA 2024-TRABAJO'!$A$5:$CD$9142,32,FALSE)</f>
        <v>1300</v>
      </c>
      <c r="R102" s="12" t="str">
        <f>VLOOKUP($A102,'Matriz POA 2024-TRABAJO'!$A$5:$CD$9142,33,FALSE)</f>
        <v>001</v>
      </c>
      <c r="S102" s="12" t="str">
        <f>VLOOKUP($A102,'Matriz POA 2024-TRABAJO'!$A$5:$CD$9142,34,FALSE)</f>
        <v>0000</v>
      </c>
      <c r="T102" s="12" t="str">
        <f>VLOOKUP($A102,'Matriz POA 2024-TRABAJO'!$A$5:$CD$9142,35,FALSE)</f>
        <v>0000</v>
      </c>
      <c r="U102" s="62" t="str">
        <f>VLOOKUP($A102,'Matriz POA 2024-TRABAJO'!$A$5:$CD$9142,66,FALSE)</f>
        <v/>
      </c>
      <c r="V102" s="62" t="str">
        <f>VLOOKUP($A102,'Matriz POA 2024-TRABAJO'!$A$5:$CD$9142,67,FALSE)</f>
        <v/>
      </c>
      <c r="W102" s="62">
        <f>VLOOKUP($A102,'Matriz POA 2024-TRABAJO'!$A$5:$CD$9142,68,FALSE)</f>
        <v>0</v>
      </c>
      <c r="X102" s="62">
        <f>VLOOKUP($A102,'Matriz POA 2024-TRABAJO'!$A$5:$CD$9142,72,FALSE)</f>
        <v>8302</v>
      </c>
      <c r="Y102" s="388">
        <v>7555.5</v>
      </c>
      <c r="Z102" s="388">
        <v>0</v>
      </c>
      <c r="AA102" s="388">
        <v>7555.5</v>
      </c>
      <c r="AB102" s="389">
        <v>1684.5</v>
      </c>
      <c r="AC102" s="389"/>
      <c r="AD102" s="13"/>
      <c r="AE102" s="13"/>
      <c r="AF102" s="13">
        <f t="shared" si="16"/>
        <v>9240</v>
      </c>
      <c r="AG102" s="13">
        <f t="shared" si="17"/>
        <v>0</v>
      </c>
      <c r="AH102" s="13">
        <f t="shared" si="25"/>
        <v>9240</v>
      </c>
      <c r="AI102" s="129">
        <v>770</v>
      </c>
      <c r="AJ102" s="129">
        <v>770</v>
      </c>
      <c r="AK102" s="129">
        <v>770</v>
      </c>
      <c r="AL102" s="129">
        <v>770</v>
      </c>
      <c r="AM102" s="129">
        <v>770</v>
      </c>
      <c r="AN102" s="129">
        <v>770</v>
      </c>
      <c r="AO102" s="129">
        <v>770</v>
      </c>
      <c r="AP102" s="129">
        <v>770</v>
      </c>
      <c r="AQ102" s="129">
        <v>770</v>
      </c>
      <c r="AR102" s="129">
        <v>770</v>
      </c>
      <c r="AS102" s="129">
        <v>770</v>
      </c>
      <c r="AT102" s="129">
        <v>770</v>
      </c>
      <c r="AU102" s="129">
        <f t="shared" si="26"/>
        <v>9240</v>
      </c>
      <c r="AV102" s="13" t="b">
        <f t="shared" si="20"/>
        <v>1</v>
      </c>
      <c r="AW102" s="14" t="s">
        <v>964</v>
      </c>
      <c r="AX102" t="s">
        <v>962</v>
      </c>
      <c r="AY102" s="16">
        <v>45310</v>
      </c>
      <c r="AZ102" t="s">
        <v>963</v>
      </c>
      <c r="BA102" s="16">
        <v>45313</v>
      </c>
      <c r="BB102" s="17">
        <f t="shared" si="27"/>
        <v>3</v>
      </c>
      <c r="BC102" s="12"/>
      <c r="BD102" s="15"/>
      <c r="BE102" s="18"/>
      <c r="BF102" s="12"/>
      <c r="BG102" s="19" t="str">
        <f t="shared" si="28"/>
        <v>enero</v>
      </c>
      <c r="BH102" s="12" t="str">
        <f t="shared" si="23"/>
        <v>Corporación Ciudad Alfaro</v>
      </c>
      <c r="BI102" s="20" t="str">
        <f t="shared" si="24"/>
        <v>N/A</v>
      </c>
    </row>
    <row r="103" spans="1:61" ht="24.95" customHeight="1">
      <c r="A103" s="8">
        <v>422</v>
      </c>
      <c r="B103" s="12" t="str">
        <f>VLOOKUP($A103,'Matriz POA 2024-TRABAJO'!$A$5:$CD$9142,11,FALSE)</f>
        <v>Corporación Ciudad Alfaro</v>
      </c>
      <c r="C103" s="12" t="str">
        <f>VLOOKUP($A103,'Matriz POA 2024-TRABAJO'!$A$5:$CD$9142,14,FALSE)</f>
        <v>N/A</v>
      </c>
      <c r="D103" s="12" t="str">
        <f>VLOOKUP($A103,'Matriz POA 2024-TRABAJO'!$A$5:$CD$9142,15,FALSE)</f>
        <v>N/A</v>
      </c>
      <c r="E103" s="12" t="str">
        <f>VLOOKUP($A103,'Matriz POA 2024-TRABAJO'!$A$5:$CD$9142,18,FALSE)</f>
        <v>N/A</v>
      </c>
      <c r="F103" s="12" t="str">
        <f>VLOOKUP($A103,'Matriz POA 2024-TRABAJO'!$A$5:$CD$9142,20,FALSE)</f>
        <v>N/A</v>
      </c>
      <c r="G103" s="12" t="str">
        <f>VLOOKUP($A103,'Matriz POA 2024-TRABAJO'!$A$5:$CD$9142,21,FALSE)</f>
        <v>N/A</v>
      </c>
      <c r="H103" s="12" t="str">
        <f>VLOOKUP($A103,'Matriz POA 2024-TRABAJO'!$A$5:$CD$9142,22,FALSE)</f>
        <v>N/A</v>
      </c>
      <c r="I103" s="12" t="str">
        <f>VLOOKUP($A103,'Matriz POA 2024-TRABAJO'!$A$5:$CD$9142,23,FALSE)</f>
        <v>NUEVA</v>
      </c>
      <c r="J103" s="12" t="str">
        <f>VLOOKUP($A103,'Matriz POA 2024-TRABAJO'!$A$5:$CD$9142,24,FALSE)</f>
        <v>Subsidio de Antigüedad</v>
      </c>
      <c r="K103" s="12" t="str">
        <f>VLOOKUP($A103,'Matriz POA 2024-TRABAJO'!$A$5:$CD$9142,25,FALSE)</f>
        <v>0035</v>
      </c>
      <c r="L103" s="12" t="str">
        <f>VLOOKUP($A103,'Matriz POA 2024-TRABAJO'!$A$5:$CD$9142,26,FALSE)</f>
        <v>80</v>
      </c>
      <c r="M103" s="12" t="str">
        <f>VLOOKUP($A103,'Matriz POA 2024-TRABAJO'!$A$5:$CD$9142,27,FALSE)</f>
        <v>000</v>
      </c>
      <c r="N103" s="12" t="str">
        <f>VLOOKUP($A103,'Matriz POA 2024-TRABAJO'!$A$5:$CD$9142,28,FALSE)</f>
        <v>002</v>
      </c>
      <c r="O103" s="12" t="str">
        <f>VLOOKUP($A103,'Matriz POA 2024-TRABAJO'!$A$5:$CD$9142,29,FALSE)</f>
        <v>51</v>
      </c>
      <c r="P103" s="12">
        <f>VLOOKUP($A103,'Matriz POA 2024-TRABAJO'!$A$5:$CD$9142,30,FALSE)</f>
        <v>510408</v>
      </c>
      <c r="Q103" s="12">
        <f>VLOOKUP($A103,'Matriz POA 2024-TRABAJO'!$A$5:$CD$9142,32,FALSE)</f>
        <v>1300</v>
      </c>
      <c r="R103" s="12" t="str">
        <f>VLOOKUP($A103,'Matriz POA 2024-TRABAJO'!$A$5:$CD$9142,33,FALSE)</f>
        <v>001</v>
      </c>
      <c r="S103" s="12" t="str">
        <f>VLOOKUP($A103,'Matriz POA 2024-TRABAJO'!$A$5:$CD$9142,34,FALSE)</f>
        <v>0000</v>
      </c>
      <c r="T103" s="12" t="str">
        <f>VLOOKUP($A103,'Matriz POA 2024-TRABAJO'!$A$5:$CD$9142,35,FALSE)</f>
        <v>0000</v>
      </c>
      <c r="U103" s="62" t="str">
        <f>VLOOKUP($A103,'Matriz POA 2024-TRABAJO'!$A$5:$CD$9142,66,FALSE)</f>
        <v/>
      </c>
      <c r="V103" s="62" t="str">
        <f>VLOOKUP($A103,'Matriz POA 2024-TRABAJO'!$A$5:$CD$9142,67,FALSE)</f>
        <v/>
      </c>
      <c r="W103" s="62">
        <f>VLOOKUP($A103,'Matriz POA 2024-TRABAJO'!$A$5:$CD$9142,68,FALSE)</f>
        <v>0</v>
      </c>
      <c r="X103" s="62">
        <f>VLOOKUP($A103,'Matriz POA 2024-TRABAJO'!$A$5:$CD$9142,72,FALSE)</f>
        <v>443.83</v>
      </c>
      <c r="Y103" s="388">
        <v>947.97</v>
      </c>
      <c r="Z103" s="388">
        <v>0</v>
      </c>
      <c r="AA103" s="388">
        <v>947.97</v>
      </c>
      <c r="AB103" s="389">
        <v>62.03</v>
      </c>
      <c r="AC103" s="389"/>
      <c r="AD103" s="13"/>
      <c r="AE103" s="13"/>
      <c r="AF103" s="13">
        <f t="shared" si="16"/>
        <v>1010</v>
      </c>
      <c r="AG103" s="13">
        <f t="shared" si="17"/>
        <v>0</v>
      </c>
      <c r="AH103" s="13">
        <f t="shared" si="25"/>
        <v>1010</v>
      </c>
      <c r="AI103" s="129">
        <v>84.16</v>
      </c>
      <c r="AJ103" s="129">
        <v>84.16</v>
      </c>
      <c r="AK103" s="129">
        <v>84.16</v>
      </c>
      <c r="AL103" s="129">
        <v>84.16</v>
      </c>
      <c r="AM103" s="129">
        <v>84.16</v>
      </c>
      <c r="AN103" s="129">
        <v>84.16</v>
      </c>
      <c r="AO103" s="129">
        <v>84.16</v>
      </c>
      <c r="AP103" s="129">
        <v>84.16</v>
      </c>
      <c r="AQ103" s="129">
        <v>84.16</v>
      </c>
      <c r="AR103" s="129">
        <v>84.16</v>
      </c>
      <c r="AS103" s="129">
        <v>84.16</v>
      </c>
      <c r="AT103" s="129">
        <v>84.24</v>
      </c>
      <c r="AU103" s="129">
        <f t="shared" si="26"/>
        <v>1009.9999999999998</v>
      </c>
      <c r="AV103" s="13" t="b">
        <f t="shared" si="20"/>
        <v>1</v>
      </c>
      <c r="AW103" s="14" t="s">
        <v>964</v>
      </c>
      <c r="AX103" t="s">
        <v>962</v>
      </c>
      <c r="AY103" s="16">
        <v>45310</v>
      </c>
      <c r="AZ103" t="s">
        <v>963</v>
      </c>
      <c r="BA103" s="16">
        <v>45313</v>
      </c>
      <c r="BB103" s="17">
        <f t="shared" si="27"/>
        <v>3</v>
      </c>
      <c r="BC103" s="12"/>
      <c r="BD103" s="15"/>
      <c r="BE103" s="18"/>
      <c r="BF103" s="12"/>
      <c r="BG103" s="19" t="str">
        <f t="shared" si="28"/>
        <v>enero</v>
      </c>
      <c r="BH103" s="12" t="str">
        <f t="shared" si="23"/>
        <v>Corporación Ciudad Alfaro</v>
      </c>
      <c r="BI103" s="20" t="str">
        <f t="shared" si="24"/>
        <v>N/A</v>
      </c>
    </row>
    <row r="104" spans="1:61" ht="24.95" customHeight="1">
      <c r="A104" s="8">
        <v>431</v>
      </c>
      <c r="B104" s="12" t="str">
        <f>VLOOKUP($A104,'Matriz POA 2024-TRABAJO'!$A$5:$CD$9142,11,FALSE)</f>
        <v>Corporación Ciudad Alfaro</v>
      </c>
      <c r="C104" s="12" t="str">
        <f>VLOOKUP($A104,'Matriz POA 2024-TRABAJO'!$A$5:$CD$9142,14,FALSE)</f>
        <v>N/A</v>
      </c>
      <c r="D104" s="12" t="str">
        <f>VLOOKUP($A104,'Matriz POA 2024-TRABAJO'!$A$5:$CD$9142,15,FALSE)</f>
        <v>N/A</v>
      </c>
      <c r="E104" s="12" t="str">
        <f>VLOOKUP($A104,'Matriz POA 2024-TRABAJO'!$A$5:$CD$9142,18,FALSE)</f>
        <v>N/A</v>
      </c>
      <c r="F104" s="12" t="str">
        <f>VLOOKUP($A104,'Matriz POA 2024-TRABAJO'!$A$5:$CD$9142,20,FALSE)</f>
        <v>N/A</v>
      </c>
      <c r="G104" s="12" t="str">
        <f>VLOOKUP($A104,'Matriz POA 2024-TRABAJO'!$A$5:$CD$9142,21,FALSE)</f>
        <v>N/A</v>
      </c>
      <c r="H104" s="12" t="str">
        <f>VLOOKUP($A104,'Matriz POA 2024-TRABAJO'!$A$5:$CD$9142,22,FALSE)</f>
        <v>N/A</v>
      </c>
      <c r="I104" s="12" t="str">
        <f>VLOOKUP($A104,'Matriz POA 2024-TRABAJO'!$A$5:$CD$9142,23,FALSE)</f>
        <v>ARRASTRE</v>
      </c>
      <c r="J104" s="12" t="str">
        <f>VLOOKUP($A104,'Matriz POA 2024-TRABAJO'!$A$5:$CD$9142,24,FALSE)</f>
        <v>Pago del servicio de telefonía fija e internet de los meses de Noviembre y Diciembre del 2024 de la Corporación Ciudad Alfaro</v>
      </c>
      <c r="K104" s="12" t="str">
        <f>VLOOKUP($A104,'Matriz POA 2024-TRABAJO'!$A$5:$CD$9142,25,FALSE)</f>
        <v>0035</v>
      </c>
      <c r="L104" s="12" t="str">
        <f>VLOOKUP($A104,'Matriz POA 2024-TRABAJO'!$A$5:$CD$9142,26,FALSE)</f>
        <v>80</v>
      </c>
      <c r="M104" s="12" t="str">
        <f>VLOOKUP($A104,'Matriz POA 2024-TRABAJO'!$A$5:$CD$9142,27,FALSE)</f>
        <v>000</v>
      </c>
      <c r="N104" s="12" t="str">
        <f>VLOOKUP($A104,'Matriz POA 2024-TRABAJO'!$A$5:$CD$9142,28,FALSE)</f>
        <v>002</v>
      </c>
      <c r="O104" s="12" t="str">
        <f>VLOOKUP($A104,'Matriz POA 2024-TRABAJO'!$A$5:$CD$9142,29,FALSE)</f>
        <v>53</v>
      </c>
      <c r="P104" s="12">
        <f>VLOOKUP($A104,'Matriz POA 2024-TRABAJO'!$A$5:$CD$9142,30,FALSE)</f>
        <v>530105</v>
      </c>
      <c r="Q104" s="12">
        <f>VLOOKUP($A104,'Matriz POA 2024-TRABAJO'!$A$5:$CD$9142,32,FALSE)</f>
        <v>1309</v>
      </c>
      <c r="R104" s="12" t="str">
        <f>VLOOKUP($A104,'Matriz POA 2024-TRABAJO'!$A$5:$CD$9142,33,FALSE)</f>
        <v>001</v>
      </c>
      <c r="S104" s="12" t="str">
        <f>VLOOKUP($A104,'Matriz POA 2024-TRABAJO'!$A$5:$CD$9142,34,FALSE)</f>
        <v>0000</v>
      </c>
      <c r="T104" s="12" t="str">
        <f>VLOOKUP($A104,'Matriz POA 2024-TRABAJO'!$A$5:$CD$9142,35,FALSE)</f>
        <v>0000</v>
      </c>
      <c r="U104" s="62" t="str">
        <f>VLOOKUP($A104,'Matriz POA 2024-TRABAJO'!$A$5:$CD$9142,66,FALSE)</f>
        <v/>
      </c>
      <c r="V104" s="62" t="str">
        <f>VLOOKUP($A104,'Matriz POA 2024-TRABAJO'!$A$5:$CD$9142,67,FALSE)</f>
        <v/>
      </c>
      <c r="W104" s="62" t="str">
        <f>VLOOKUP($A104,'Matriz POA 2024-TRABAJO'!$A$5:$CD$9142,68,FALSE)</f>
        <v/>
      </c>
      <c r="X104" s="62" t="str">
        <f>VLOOKUP($A104,'Matriz POA 2024-TRABAJO'!$A$5:$CD$9142,72,FALSE)</f>
        <v/>
      </c>
      <c r="Y104" s="388">
        <v>1600</v>
      </c>
      <c r="Z104" s="388">
        <v>0</v>
      </c>
      <c r="AA104" s="388">
        <v>1600</v>
      </c>
      <c r="AB104" s="389"/>
      <c r="AC104" s="389">
        <v>-1600</v>
      </c>
      <c r="AD104" s="13"/>
      <c r="AE104" s="13"/>
      <c r="AF104" s="13">
        <f t="shared" si="16"/>
        <v>0</v>
      </c>
      <c r="AG104" s="13">
        <f t="shared" si="17"/>
        <v>0</v>
      </c>
      <c r="AH104" s="13">
        <f t="shared" si="25"/>
        <v>0</v>
      </c>
      <c r="AI104" s="129"/>
      <c r="AJ104" s="129"/>
      <c r="AK104" s="129"/>
      <c r="AL104" s="129"/>
      <c r="AM104" s="129"/>
      <c r="AN104" s="129"/>
      <c r="AO104" s="129"/>
      <c r="AP104" s="129"/>
      <c r="AQ104" s="129"/>
      <c r="AR104" s="129"/>
      <c r="AS104" s="129"/>
      <c r="AT104" s="129"/>
      <c r="AU104" s="129">
        <f t="shared" si="26"/>
        <v>0</v>
      </c>
      <c r="AV104" s="13" t="b">
        <f t="shared" si="20"/>
        <v>1</v>
      </c>
      <c r="AW104" s="14" t="s">
        <v>964</v>
      </c>
      <c r="AX104" t="s">
        <v>962</v>
      </c>
      <c r="AY104" s="16">
        <v>45310</v>
      </c>
      <c r="AZ104" t="s">
        <v>963</v>
      </c>
      <c r="BA104" s="16">
        <v>45313</v>
      </c>
      <c r="BB104" s="17">
        <f t="shared" si="27"/>
        <v>3</v>
      </c>
      <c r="BC104" s="12"/>
      <c r="BD104" s="15"/>
      <c r="BE104" s="18"/>
      <c r="BF104" s="12"/>
      <c r="BG104" s="19" t="str">
        <f t="shared" si="28"/>
        <v>enero</v>
      </c>
      <c r="BH104" s="12" t="str">
        <f t="shared" si="23"/>
        <v>Corporación Ciudad Alfaro</v>
      </c>
      <c r="BI104" s="20" t="str">
        <f t="shared" si="24"/>
        <v>N/A</v>
      </c>
    </row>
    <row r="105" spans="1:61" ht="24.95" customHeight="1">
      <c r="A105" s="8">
        <v>435</v>
      </c>
      <c r="B105" s="12" t="str">
        <f>VLOOKUP($A105,'Matriz POA 2024-TRABAJO'!$A$5:$CD$9142,11,FALSE)</f>
        <v>Corporación Ciudad Alfaro</v>
      </c>
      <c r="C105" s="12" t="str">
        <f>VLOOKUP($A105,'Matriz POA 2024-TRABAJO'!$A$5:$CD$9142,14,FALSE)</f>
        <v>N/A</v>
      </c>
      <c r="D105" s="12" t="str">
        <f>VLOOKUP($A105,'Matriz POA 2024-TRABAJO'!$A$5:$CD$9142,15,FALSE)</f>
        <v>N/A</v>
      </c>
      <c r="E105" s="12" t="str">
        <f>VLOOKUP($A105,'Matriz POA 2024-TRABAJO'!$A$5:$CD$9142,18,FALSE)</f>
        <v>N/A</v>
      </c>
      <c r="F105" s="12" t="str">
        <f>VLOOKUP($A105,'Matriz POA 2024-TRABAJO'!$A$5:$CD$9142,20,FALSE)</f>
        <v>N/A</v>
      </c>
      <c r="G105" s="12" t="str">
        <f>VLOOKUP($A105,'Matriz POA 2024-TRABAJO'!$A$5:$CD$9142,21,FALSE)</f>
        <v>N/A</v>
      </c>
      <c r="H105" s="12" t="str">
        <f>VLOOKUP($A105,'Matriz POA 2024-TRABAJO'!$A$5:$CD$9142,22,FALSE)</f>
        <v>N/A</v>
      </c>
      <c r="I105" s="12" t="str">
        <f>VLOOKUP($A105,'Matriz POA 2024-TRABAJO'!$A$5:$CD$9142,23,FALSE)</f>
        <v>PLURIANUAL 2023-2024</v>
      </c>
      <c r="J105" s="12" t="str">
        <f>VLOOKUP($A105,'Matriz POA 2024-TRABAJO'!$A$5:$CD$9142,24,FALSE)</f>
        <v>Pago del servicio de aseo y limpieza del Museo Centro Cultural Manta por el período 2023-2024</v>
      </c>
      <c r="K105" s="12" t="str">
        <f>VLOOKUP($A105,'Matriz POA 2024-TRABAJO'!$A$5:$CD$9142,25,FALSE)</f>
        <v>0035</v>
      </c>
      <c r="L105" s="12" t="str">
        <f>VLOOKUP($A105,'Matriz POA 2024-TRABAJO'!$A$5:$CD$9142,26,FALSE)</f>
        <v>80</v>
      </c>
      <c r="M105" s="12" t="str">
        <f>VLOOKUP($A105,'Matriz POA 2024-TRABAJO'!$A$5:$CD$9142,27,FALSE)</f>
        <v>000</v>
      </c>
      <c r="N105" s="12" t="str">
        <f>VLOOKUP($A105,'Matriz POA 2024-TRABAJO'!$A$5:$CD$9142,28,FALSE)</f>
        <v>002</v>
      </c>
      <c r="O105" s="12" t="str">
        <f>VLOOKUP($A105,'Matriz POA 2024-TRABAJO'!$A$5:$CD$9142,29,FALSE)</f>
        <v>53</v>
      </c>
      <c r="P105" s="12">
        <f>VLOOKUP($A105,'Matriz POA 2024-TRABAJO'!$A$5:$CD$9142,30,FALSE)</f>
        <v>530209</v>
      </c>
      <c r="Q105" s="12">
        <f>VLOOKUP($A105,'Matriz POA 2024-TRABAJO'!$A$5:$CD$9142,32,FALSE)</f>
        <v>1308</v>
      </c>
      <c r="R105" s="12" t="str">
        <f>VLOOKUP($A105,'Matriz POA 2024-TRABAJO'!$A$5:$CD$9142,33,FALSE)</f>
        <v>001</v>
      </c>
      <c r="S105" s="12" t="str">
        <f>VLOOKUP($A105,'Matriz POA 2024-TRABAJO'!$A$5:$CD$9142,34,FALSE)</f>
        <v>0000</v>
      </c>
      <c r="T105" s="12" t="str">
        <f>VLOOKUP($A105,'Matriz POA 2024-TRABAJO'!$A$5:$CD$9142,35,FALSE)</f>
        <v>0000</v>
      </c>
      <c r="U105" s="62">
        <f>VLOOKUP($A105,'Matriz POA 2024-TRABAJO'!$A$5:$CD$9142,66,FALSE)</f>
        <v>22446</v>
      </c>
      <c r="V105" s="62">
        <f>VLOOKUP($A105,'Matriz POA 2024-TRABAJO'!$A$5:$CD$9142,67,FALSE)</f>
        <v>0</v>
      </c>
      <c r="W105" s="62">
        <f>VLOOKUP($A105,'Matriz POA 2024-TRABAJO'!$A$5:$CD$9142,68,FALSE)</f>
        <v>22446</v>
      </c>
      <c r="X105" s="62">
        <f>VLOOKUP($A105,'Matriz POA 2024-TRABAJO'!$A$5:$CD$9142,72,FALSE)</f>
        <v>20898</v>
      </c>
      <c r="Y105" s="388">
        <v>19737</v>
      </c>
      <c r="Z105" s="388">
        <v>0</v>
      </c>
      <c r="AA105" s="388">
        <v>19737</v>
      </c>
      <c r="AB105" s="389">
        <v>2709</v>
      </c>
      <c r="AC105" s="389"/>
      <c r="AD105" s="13"/>
      <c r="AE105" s="13"/>
      <c r="AF105" s="13">
        <f t="shared" si="16"/>
        <v>22446</v>
      </c>
      <c r="AG105" s="13">
        <f t="shared" si="17"/>
        <v>0</v>
      </c>
      <c r="AH105" s="13">
        <f t="shared" si="25"/>
        <v>22446</v>
      </c>
      <c r="AI105" s="129"/>
      <c r="AJ105" s="129">
        <v>338.62</v>
      </c>
      <c r="AK105" s="129">
        <v>338.62</v>
      </c>
      <c r="AL105" s="129">
        <v>338.62</v>
      </c>
      <c r="AM105" s="129">
        <v>338.62</v>
      </c>
      <c r="AN105" s="129">
        <v>338.62</v>
      </c>
      <c r="AO105" s="129">
        <v>338.62</v>
      </c>
      <c r="AP105" s="129">
        <v>338.62</v>
      </c>
      <c r="AQ105" s="129">
        <v>338.66</v>
      </c>
      <c r="AR105" s="129"/>
      <c r="AS105" s="129"/>
      <c r="AT105" s="129"/>
      <c r="AU105" s="129">
        <f t="shared" si="26"/>
        <v>2708.9999999999995</v>
      </c>
      <c r="AV105" s="13" t="b">
        <f t="shared" si="20"/>
        <v>0</v>
      </c>
      <c r="AW105" s="14" t="s">
        <v>964</v>
      </c>
      <c r="AX105" t="s">
        <v>962</v>
      </c>
      <c r="AY105" s="16">
        <v>45310</v>
      </c>
      <c r="AZ105" t="s">
        <v>963</v>
      </c>
      <c r="BA105" s="16">
        <v>45313</v>
      </c>
      <c r="BB105" s="17">
        <f t="shared" si="27"/>
        <v>3</v>
      </c>
      <c r="BC105" s="12"/>
      <c r="BD105" s="15"/>
      <c r="BE105" s="18"/>
      <c r="BF105" s="12"/>
      <c r="BG105" s="19" t="str">
        <f t="shared" si="28"/>
        <v>enero</v>
      </c>
      <c r="BH105" s="12" t="str">
        <f t="shared" si="23"/>
        <v>Corporación Ciudad Alfaro</v>
      </c>
      <c r="BI105" s="20" t="str">
        <f t="shared" si="24"/>
        <v>N/A</v>
      </c>
    </row>
    <row r="106" spans="1:61" ht="24.95" customHeight="1">
      <c r="A106" s="8">
        <v>436</v>
      </c>
      <c r="B106" s="12" t="str">
        <f>VLOOKUP($A106,'Matriz POA 2024-TRABAJO'!$A$5:$CD$9142,11,FALSE)</f>
        <v>Corporación Ciudad Alfaro</v>
      </c>
      <c r="C106" s="12" t="str">
        <f>VLOOKUP($A106,'Matriz POA 2024-TRABAJO'!$A$5:$CD$9142,14,FALSE)</f>
        <v>N/A</v>
      </c>
      <c r="D106" s="12" t="str">
        <f>VLOOKUP($A106,'Matriz POA 2024-TRABAJO'!$A$5:$CD$9142,15,FALSE)</f>
        <v>N/A</v>
      </c>
      <c r="E106" s="12" t="str">
        <f>VLOOKUP($A106,'Matriz POA 2024-TRABAJO'!$A$5:$CD$9142,18,FALSE)</f>
        <v>N/A</v>
      </c>
      <c r="F106" s="12" t="str">
        <f>VLOOKUP($A106,'Matriz POA 2024-TRABAJO'!$A$5:$CD$9142,20,FALSE)</f>
        <v>N/A</v>
      </c>
      <c r="G106" s="12" t="str">
        <f>VLOOKUP($A106,'Matriz POA 2024-TRABAJO'!$A$5:$CD$9142,21,FALSE)</f>
        <v>N/A</v>
      </c>
      <c r="H106" s="12" t="str">
        <f>VLOOKUP($A106,'Matriz POA 2024-TRABAJO'!$A$5:$CD$9142,22,FALSE)</f>
        <v>N/A</v>
      </c>
      <c r="I106" s="12" t="str">
        <f>VLOOKUP($A106,'Matriz POA 2024-TRABAJO'!$A$5:$CD$9142,23,FALSE)</f>
        <v>PLURIANUAL 2023-2024</v>
      </c>
      <c r="J106" s="12" t="str">
        <f>VLOOKUP($A106,'Matriz POA 2024-TRABAJO'!$A$5:$CD$9142,24,FALSE)</f>
        <v>Pago del Servicio de aseo y Limpieza del Museo Bahía de Caráquez por el período 2023-2024</v>
      </c>
      <c r="K106" s="12" t="str">
        <f>VLOOKUP($A106,'Matriz POA 2024-TRABAJO'!$A$5:$CD$9142,25,FALSE)</f>
        <v>0035</v>
      </c>
      <c r="L106" s="12" t="str">
        <f>VLOOKUP($A106,'Matriz POA 2024-TRABAJO'!$A$5:$CD$9142,26,FALSE)</f>
        <v>80</v>
      </c>
      <c r="M106" s="12" t="str">
        <f>VLOOKUP($A106,'Matriz POA 2024-TRABAJO'!$A$5:$CD$9142,27,FALSE)</f>
        <v>000</v>
      </c>
      <c r="N106" s="12" t="str">
        <f>VLOOKUP($A106,'Matriz POA 2024-TRABAJO'!$A$5:$CD$9142,28,FALSE)</f>
        <v>002</v>
      </c>
      <c r="O106" s="12" t="str">
        <f>VLOOKUP($A106,'Matriz POA 2024-TRABAJO'!$A$5:$CD$9142,29,FALSE)</f>
        <v>53</v>
      </c>
      <c r="P106" s="12">
        <f>VLOOKUP($A106,'Matriz POA 2024-TRABAJO'!$A$5:$CD$9142,30,FALSE)</f>
        <v>530209</v>
      </c>
      <c r="Q106" s="12">
        <f>VLOOKUP($A106,'Matriz POA 2024-TRABAJO'!$A$5:$CD$9142,32,FALSE)</f>
        <v>1314</v>
      </c>
      <c r="R106" s="12" t="str">
        <f>VLOOKUP($A106,'Matriz POA 2024-TRABAJO'!$A$5:$CD$9142,33,FALSE)</f>
        <v>001</v>
      </c>
      <c r="S106" s="12" t="str">
        <f>VLOOKUP($A106,'Matriz POA 2024-TRABAJO'!$A$5:$CD$9142,34,FALSE)</f>
        <v>0000</v>
      </c>
      <c r="T106" s="12" t="str">
        <f>VLOOKUP($A106,'Matriz POA 2024-TRABAJO'!$A$5:$CD$9142,35,FALSE)</f>
        <v>0000</v>
      </c>
      <c r="U106" s="62">
        <f>VLOOKUP($A106,'Matriz POA 2024-TRABAJO'!$A$5:$CD$9142,66,FALSE)</f>
        <v>22446</v>
      </c>
      <c r="V106" s="62">
        <f>VLOOKUP($A106,'Matriz POA 2024-TRABAJO'!$A$5:$CD$9142,67,FALSE)</f>
        <v>0</v>
      </c>
      <c r="W106" s="62">
        <f>VLOOKUP($A106,'Matriz POA 2024-TRABAJO'!$A$5:$CD$9142,68,FALSE)</f>
        <v>22446</v>
      </c>
      <c r="X106" s="62">
        <f>VLOOKUP($A106,'Matriz POA 2024-TRABAJO'!$A$5:$CD$9142,72,FALSE)</f>
        <v>22446</v>
      </c>
      <c r="Y106" s="388">
        <v>19737</v>
      </c>
      <c r="Z106" s="388">
        <v>0</v>
      </c>
      <c r="AA106" s="388">
        <v>19737</v>
      </c>
      <c r="AB106" s="389">
        <v>2709</v>
      </c>
      <c r="AC106" s="389"/>
      <c r="AD106" s="13"/>
      <c r="AE106" s="13"/>
      <c r="AF106" s="13">
        <f t="shared" si="16"/>
        <v>22446</v>
      </c>
      <c r="AG106" s="13">
        <f t="shared" si="17"/>
        <v>0</v>
      </c>
      <c r="AH106" s="13">
        <f t="shared" si="25"/>
        <v>22446</v>
      </c>
      <c r="AI106" s="129"/>
      <c r="AJ106" s="129">
        <v>338.62</v>
      </c>
      <c r="AK106" s="129">
        <v>338.62</v>
      </c>
      <c r="AL106" s="129">
        <v>338.62</v>
      </c>
      <c r="AM106" s="129">
        <v>338.62</v>
      </c>
      <c r="AN106" s="129">
        <v>338.62</v>
      </c>
      <c r="AO106" s="129">
        <v>338.62</v>
      </c>
      <c r="AP106" s="129">
        <v>338.62</v>
      </c>
      <c r="AQ106" s="129">
        <v>338.66</v>
      </c>
      <c r="AR106" s="129"/>
      <c r="AS106" s="129"/>
      <c r="AT106" s="129"/>
      <c r="AU106" s="129">
        <f t="shared" si="26"/>
        <v>2708.9999999999995</v>
      </c>
      <c r="AV106" s="13" t="b">
        <f t="shared" si="20"/>
        <v>0</v>
      </c>
      <c r="AW106" s="14" t="s">
        <v>964</v>
      </c>
      <c r="AX106" t="s">
        <v>962</v>
      </c>
      <c r="AY106" s="16">
        <v>45310</v>
      </c>
      <c r="AZ106" t="s">
        <v>963</v>
      </c>
      <c r="BA106" s="16">
        <v>45313</v>
      </c>
      <c r="BB106" s="17">
        <f t="shared" si="27"/>
        <v>3</v>
      </c>
      <c r="BC106" s="12"/>
      <c r="BD106" s="15"/>
      <c r="BE106" s="18"/>
      <c r="BF106" s="12"/>
      <c r="BG106" s="19" t="str">
        <f t="shared" si="28"/>
        <v>enero</v>
      </c>
      <c r="BH106" s="12" t="str">
        <f t="shared" si="23"/>
        <v>Corporación Ciudad Alfaro</v>
      </c>
      <c r="BI106" s="20" t="str">
        <f t="shared" si="24"/>
        <v>N/A</v>
      </c>
    </row>
    <row r="107" spans="1:61" ht="24.95" customHeight="1">
      <c r="A107" s="8">
        <v>437</v>
      </c>
      <c r="B107" s="12" t="str">
        <f>VLOOKUP($A107,'Matriz POA 2024-TRABAJO'!$A$5:$CD$9142,11,FALSE)</f>
        <v>Corporación Ciudad Alfaro</v>
      </c>
      <c r="C107" s="12" t="str">
        <f>VLOOKUP($A107,'Matriz POA 2024-TRABAJO'!$A$5:$CD$9142,14,FALSE)</f>
        <v>N/A</v>
      </c>
      <c r="D107" s="12" t="str">
        <f>VLOOKUP($A107,'Matriz POA 2024-TRABAJO'!$A$5:$CD$9142,15,FALSE)</f>
        <v>N/A</v>
      </c>
      <c r="E107" s="12" t="str">
        <f>VLOOKUP($A107,'Matriz POA 2024-TRABAJO'!$A$5:$CD$9142,18,FALSE)</f>
        <v>N/A</v>
      </c>
      <c r="F107" s="12" t="str">
        <f>VLOOKUP($A107,'Matriz POA 2024-TRABAJO'!$A$5:$CD$9142,20,FALSE)</f>
        <v>N/A</v>
      </c>
      <c r="G107" s="12" t="str">
        <f>VLOOKUP($A107,'Matriz POA 2024-TRABAJO'!$A$5:$CD$9142,21,FALSE)</f>
        <v>N/A</v>
      </c>
      <c r="H107" s="12" t="str">
        <f>VLOOKUP($A107,'Matriz POA 2024-TRABAJO'!$A$5:$CD$9142,22,FALSE)</f>
        <v>N/A</v>
      </c>
      <c r="I107" s="12" t="str">
        <f>VLOOKUP($A107,'Matriz POA 2024-TRABAJO'!$A$5:$CD$9142,23,FALSE)</f>
        <v>NUEVA</v>
      </c>
      <c r="J107" s="12" t="str">
        <f>VLOOKUP($A107,'Matriz POA 2024-TRABAJO'!$A$5:$CD$9142,24,FALSE)</f>
        <v>Pago del Servicio de aseo y Limpieza de la Corporación Ciudad Alfaro</v>
      </c>
      <c r="K107" s="12" t="str">
        <f>VLOOKUP($A107,'Matriz POA 2024-TRABAJO'!$A$5:$CD$9142,25,FALSE)</f>
        <v>0035</v>
      </c>
      <c r="L107" s="12" t="str">
        <f>VLOOKUP($A107,'Matriz POA 2024-TRABAJO'!$A$5:$CD$9142,26,FALSE)</f>
        <v>80</v>
      </c>
      <c r="M107" s="12" t="str">
        <f>VLOOKUP($A107,'Matriz POA 2024-TRABAJO'!$A$5:$CD$9142,27,FALSE)</f>
        <v>000</v>
      </c>
      <c r="N107" s="12" t="str">
        <f>VLOOKUP($A107,'Matriz POA 2024-TRABAJO'!$A$5:$CD$9142,28,FALSE)</f>
        <v>002</v>
      </c>
      <c r="O107" s="12" t="str">
        <f>VLOOKUP($A107,'Matriz POA 2024-TRABAJO'!$A$5:$CD$9142,29,FALSE)</f>
        <v>53</v>
      </c>
      <c r="P107" s="12">
        <f>VLOOKUP($A107,'Matriz POA 2024-TRABAJO'!$A$5:$CD$9142,30,FALSE)</f>
        <v>530209</v>
      </c>
      <c r="Q107" s="12">
        <f>VLOOKUP($A107,'Matriz POA 2024-TRABAJO'!$A$5:$CD$9142,32,FALSE)</f>
        <v>1309</v>
      </c>
      <c r="R107" s="12" t="str">
        <f>VLOOKUP($A107,'Matriz POA 2024-TRABAJO'!$A$5:$CD$9142,33,FALSE)</f>
        <v>001</v>
      </c>
      <c r="S107" s="12" t="str">
        <f>VLOOKUP($A107,'Matriz POA 2024-TRABAJO'!$A$5:$CD$9142,34,FALSE)</f>
        <v>0000</v>
      </c>
      <c r="T107" s="12" t="str">
        <f>VLOOKUP($A107,'Matriz POA 2024-TRABAJO'!$A$5:$CD$9142,35,FALSE)</f>
        <v>0000</v>
      </c>
      <c r="U107" s="62" t="str">
        <f>VLOOKUP($A107,'Matriz POA 2024-TRABAJO'!$A$5:$CD$9142,66,FALSE)</f>
        <v/>
      </c>
      <c r="V107" s="62" t="str">
        <f>VLOOKUP($A107,'Matriz POA 2024-TRABAJO'!$A$5:$CD$9142,67,FALSE)</f>
        <v/>
      </c>
      <c r="W107" s="62" t="str">
        <f>VLOOKUP($A107,'Matriz POA 2024-TRABAJO'!$A$5:$CD$9142,68,FALSE)</f>
        <v/>
      </c>
      <c r="X107" s="62" t="str">
        <f>VLOOKUP($A107,'Matriz POA 2024-TRABAJO'!$A$5:$CD$9142,72,FALSE)</f>
        <v/>
      </c>
      <c r="Y107" s="388">
        <v>19583</v>
      </c>
      <c r="Z107" s="388">
        <v>0</v>
      </c>
      <c r="AA107" s="388">
        <v>19583</v>
      </c>
      <c r="AB107" s="389"/>
      <c r="AC107" s="389">
        <v>-8204.4</v>
      </c>
      <c r="AD107" s="13"/>
      <c r="AE107" s="13"/>
      <c r="AF107" s="13">
        <f t="shared" si="16"/>
        <v>11378.6</v>
      </c>
      <c r="AG107" s="13">
        <f t="shared" si="17"/>
        <v>0</v>
      </c>
      <c r="AH107" s="13">
        <f t="shared" si="25"/>
        <v>11378.6</v>
      </c>
      <c r="AI107" s="129"/>
      <c r="AJ107" s="129"/>
      <c r="AK107" s="129"/>
      <c r="AL107" s="129"/>
      <c r="AM107" s="129">
        <v>3792.86</v>
      </c>
      <c r="AN107" s="129">
        <v>3792.86</v>
      </c>
      <c r="AO107" s="129">
        <v>3792.88</v>
      </c>
      <c r="AP107" s="129"/>
      <c r="AQ107" s="129"/>
      <c r="AR107" s="129"/>
      <c r="AS107" s="129"/>
      <c r="AT107" s="129"/>
      <c r="AU107" s="129">
        <f t="shared" si="26"/>
        <v>11378.6</v>
      </c>
      <c r="AV107" s="13" t="b">
        <f t="shared" si="20"/>
        <v>1</v>
      </c>
      <c r="AW107" s="14" t="s">
        <v>964</v>
      </c>
      <c r="AX107" t="s">
        <v>962</v>
      </c>
      <c r="AY107" s="16">
        <v>45310</v>
      </c>
      <c r="AZ107" t="s">
        <v>963</v>
      </c>
      <c r="BA107" s="16">
        <v>45313</v>
      </c>
      <c r="BB107" s="17">
        <f t="shared" si="27"/>
        <v>3</v>
      </c>
      <c r="BC107" s="12"/>
      <c r="BD107" s="15"/>
      <c r="BE107" s="18"/>
      <c r="BF107" s="12"/>
      <c r="BG107" s="19" t="str">
        <f t="shared" si="28"/>
        <v>enero</v>
      </c>
      <c r="BH107" s="12" t="str">
        <f t="shared" si="23"/>
        <v>Corporación Ciudad Alfaro</v>
      </c>
      <c r="BI107" s="20" t="str">
        <f t="shared" si="24"/>
        <v>N/A</v>
      </c>
    </row>
    <row r="108" spans="1:61" ht="24.95" customHeight="1">
      <c r="A108" s="8">
        <v>438</v>
      </c>
      <c r="B108" s="12" t="str">
        <f>VLOOKUP($A108,'Matriz POA 2024-TRABAJO'!$A$5:$CD$9142,11,FALSE)</f>
        <v>Corporación Ciudad Alfaro</v>
      </c>
      <c r="C108" s="12" t="str">
        <f>VLOOKUP($A108,'Matriz POA 2024-TRABAJO'!$A$5:$CD$9142,14,FALSE)</f>
        <v>N/A</v>
      </c>
      <c r="D108" s="12" t="str">
        <f>VLOOKUP($A108,'Matriz POA 2024-TRABAJO'!$A$5:$CD$9142,15,FALSE)</f>
        <v>N/A</v>
      </c>
      <c r="E108" s="12" t="str">
        <f>VLOOKUP($A108,'Matriz POA 2024-TRABAJO'!$A$5:$CD$9142,18,FALSE)</f>
        <v>N/A</v>
      </c>
      <c r="F108" s="12" t="str">
        <f>VLOOKUP($A108,'Matriz POA 2024-TRABAJO'!$A$5:$CD$9142,20,FALSE)</f>
        <v>N/A</v>
      </c>
      <c r="G108" s="12" t="str">
        <f>VLOOKUP($A108,'Matriz POA 2024-TRABAJO'!$A$5:$CD$9142,21,FALSE)</f>
        <v>N/A</v>
      </c>
      <c r="H108" s="12" t="str">
        <f>VLOOKUP($A108,'Matriz POA 2024-TRABAJO'!$A$5:$CD$9142,22,FALSE)</f>
        <v>N/A</v>
      </c>
      <c r="I108" s="12" t="str">
        <f>VLOOKUP($A108,'Matriz POA 2024-TRABAJO'!$A$5:$CD$9142,23,FALSE)</f>
        <v>PLURIANUAL 2023-2024</v>
      </c>
      <c r="J108" s="12" t="str">
        <f>VLOOKUP($A108,'Matriz POA 2024-TRABAJO'!$A$5:$CD$9142,24,FALSE)</f>
        <v>Pago del Servicio de aseo y Limpieza de la Corporación Ciudad Alfaro</v>
      </c>
      <c r="K108" s="12" t="str">
        <f>VLOOKUP($A108,'Matriz POA 2024-TRABAJO'!$A$5:$CD$9142,25,FALSE)</f>
        <v>0035</v>
      </c>
      <c r="L108" s="12" t="str">
        <f>VLOOKUP($A108,'Matriz POA 2024-TRABAJO'!$A$5:$CD$9142,26,FALSE)</f>
        <v>80</v>
      </c>
      <c r="M108" s="12" t="str">
        <f>VLOOKUP($A108,'Matriz POA 2024-TRABAJO'!$A$5:$CD$9142,27,FALSE)</f>
        <v>000</v>
      </c>
      <c r="N108" s="12" t="str">
        <f>VLOOKUP($A108,'Matriz POA 2024-TRABAJO'!$A$5:$CD$9142,28,FALSE)</f>
        <v>002</v>
      </c>
      <c r="O108" s="12" t="str">
        <f>VLOOKUP($A108,'Matriz POA 2024-TRABAJO'!$A$5:$CD$9142,29,FALSE)</f>
        <v>53</v>
      </c>
      <c r="P108" s="12">
        <f>VLOOKUP($A108,'Matriz POA 2024-TRABAJO'!$A$5:$CD$9142,30,FALSE)</f>
        <v>530209</v>
      </c>
      <c r="Q108" s="12">
        <f>VLOOKUP($A108,'Matriz POA 2024-TRABAJO'!$A$5:$CD$9142,32,FALSE)</f>
        <v>1309</v>
      </c>
      <c r="R108" s="12" t="str">
        <f>VLOOKUP($A108,'Matriz POA 2024-TRABAJO'!$A$5:$CD$9142,33,FALSE)</f>
        <v>001</v>
      </c>
      <c r="S108" s="12" t="str">
        <f>VLOOKUP($A108,'Matriz POA 2024-TRABAJO'!$A$5:$CD$9142,34,FALSE)</f>
        <v>0000</v>
      </c>
      <c r="T108" s="12" t="str">
        <f>VLOOKUP($A108,'Matriz POA 2024-TRABAJO'!$A$5:$CD$9142,35,FALSE)</f>
        <v>0000</v>
      </c>
      <c r="U108" s="62">
        <f>VLOOKUP($A108,'Matriz POA 2024-TRABAJO'!$A$5:$CD$9142,66,FALSE)</f>
        <v>22523.4</v>
      </c>
      <c r="V108" s="62">
        <f>VLOOKUP($A108,'Matriz POA 2024-TRABAJO'!$A$5:$CD$9142,67,FALSE)</f>
        <v>0</v>
      </c>
      <c r="W108" s="62">
        <f>VLOOKUP($A108,'Matriz POA 2024-TRABAJO'!$A$5:$CD$9142,68,FALSE)</f>
        <v>22523.4</v>
      </c>
      <c r="X108" s="62">
        <f>VLOOKUP($A108,'Matriz POA 2024-TRABAJO'!$A$5:$CD$9142,72,FALSE)</f>
        <v>22446</v>
      </c>
      <c r="Y108" s="388">
        <v>19737</v>
      </c>
      <c r="Z108" s="388">
        <v>0</v>
      </c>
      <c r="AA108" s="388">
        <v>19737</v>
      </c>
      <c r="AB108" s="389">
        <v>2786.4</v>
      </c>
      <c r="AC108" s="389"/>
      <c r="AD108" s="13"/>
      <c r="AE108" s="13"/>
      <c r="AF108" s="13">
        <f t="shared" si="16"/>
        <v>22523.4</v>
      </c>
      <c r="AG108" s="13">
        <f t="shared" si="17"/>
        <v>0</v>
      </c>
      <c r="AH108" s="13">
        <f t="shared" si="25"/>
        <v>22523.4</v>
      </c>
      <c r="AI108" s="129"/>
      <c r="AJ108" s="129">
        <v>348.3</v>
      </c>
      <c r="AK108" s="129">
        <v>348.3</v>
      </c>
      <c r="AL108" s="129">
        <v>348.3</v>
      </c>
      <c r="AM108" s="129">
        <v>348.3</v>
      </c>
      <c r="AN108" s="129">
        <v>348.3</v>
      </c>
      <c r="AO108" s="129">
        <v>348.3</v>
      </c>
      <c r="AP108" s="129">
        <v>348.3</v>
      </c>
      <c r="AQ108" s="129">
        <v>348.3</v>
      </c>
      <c r="AR108" s="129"/>
      <c r="AS108" s="129"/>
      <c r="AT108" s="129"/>
      <c r="AU108" s="129">
        <f t="shared" si="26"/>
        <v>2786.4000000000005</v>
      </c>
      <c r="AV108" s="13" t="b">
        <f t="shared" si="20"/>
        <v>0</v>
      </c>
      <c r="AW108" s="14" t="s">
        <v>964</v>
      </c>
      <c r="AX108" t="s">
        <v>962</v>
      </c>
      <c r="AY108" s="16">
        <v>45310</v>
      </c>
      <c r="AZ108" t="s">
        <v>963</v>
      </c>
      <c r="BA108" s="16">
        <v>45313</v>
      </c>
      <c r="BB108" s="17">
        <f t="shared" si="27"/>
        <v>3</v>
      </c>
      <c r="BC108" s="12"/>
      <c r="BD108" s="15"/>
      <c r="BE108" s="18"/>
      <c r="BF108" s="12"/>
      <c r="BG108" s="19" t="str">
        <f t="shared" si="28"/>
        <v>enero</v>
      </c>
      <c r="BH108" s="12" t="str">
        <f t="shared" si="23"/>
        <v>Corporación Ciudad Alfaro</v>
      </c>
      <c r="BI108" s="20" t="str">
        <f t="shared" si="24"/>
        <v>N/A</v>
      </c>
    </row>
    <row r="109" spans="1:61" ht="24.95" customHeight="1">
      <c r="A109" s="8">
        <v>457</v>
      </c>
      <c r="B109" s="12" t="str">
        <f>VLOOKUP($A109,'Matriz POA 2024-TRABAJO'!$A$5:$CD$9142,11,FALSE)</f>
        <v>Corporación Ciudad Alfaro</v>
      </c>
      <c r="C109" s="12" t="str">
        <f>VLOOKUP($A109,'Matriz POA 2024-TRABAJO'!$A$5:$CD$9142,14,FALSE)</f>
        <v>N/A</v>
      </c>
      <c r="D109" s="12" t="str">
        <f>VLOOKUP($A109,'Matriz POA 2024-TRABAJO'!$A$5:$CD$9142,15,FALSE)</f>
        <v>N/A</v>
      </c>
      <c r="E109" s="12" t="str">
        <f>VLOOKUP($A109,'Matriz POA 2024-TRABAJO'!$A$5:$CD$9142,18,FALSE)</f>
        <v>N/A</v>
      </c>
      <c r="F109" s="12" t="str">
        <f>VLOOKUP($A109,'Matriz POA 2024-TRABAJO'!$A$5:$CD$9142,20,FALSE)</f>
        <v>N/A</v>
      </c>
      <c r="G109" s="12" t="str">
        <f>VLOOKUP($A109,'Matriz POA 2024-TRABAJO'!$A$5:$CD$9142,21,FALSE)</f>
        <v>N/A</v>
      </c>
      <c r="H109" s="12" t="str">
        <f>VLOOKUP($A109,'Matriz POA 2024-TRABAJO'!$A$5:$CD$9142,22,FALSE)</f>
        <v>N/A</v>
      </c>
      <c r="I109" s="12" t="str">
        <f>VLOOKUP($A109,'Matriz POA 2024-TRABAJO'!$A$5:$CD$9142,23,FALSE)</f>
        <v>NUEVA</v>
      </c>
      <c r="J109" s="12" t="str">
        <f>VLOOKUP($A109,'Matriz POA 2024-TRABAJO'!$A$5:$CD$9142,24,FALSE)</f>
        <v>Pago mensual del servicio de energía eléctrica del Museo y Centro Cultural de Manta</v>
      </c>
      <c r="K109" s="12" t="str">
        <f>VLOOKUP($A109,'Matriz POA 2024-TRABAJO'!$A$5:$CD$9142,25,FALSE)</f>
        <v>0035</v>
      </c>
      <c r="L109" s="12" t="str">
        <f>VLOOKUP($A109,'Matriz POA 2024-TRABAJO'!$A$5:$CD$9142,26,FALSE)</f>
        <v>80</v>
      </c>
      <c r="M109" s="12" t="str">
        <f>VLOOKUP($A109,'Matriz POA 2024-TRABAJO'!$A$5:$CD$9142,27,FALSE)</f>
        <v>000</v>
      </c>
      <c r="N109" s="12" t="str">
        <f>VLOOKUP($A109,'Matriz POA 2024-TRABAJO'!$A$5:$CD$9142,28,FALSE)</f>
        <v>002</v>
      </c>
      <c r="O109" s="12" t="str">
        <f>VLOOKUP($A109,'Matriz POA 2024-TRABAJO'!$A$5:$CD$9142,29,FALSE)</f>
        <v>53</v>
      </c>
      <c r="P109" s="12">
        <f>VLOOKUP($A109,'Matriz POA 2024-TRABAJO'!$A$5:$CD$9142,30,FALSE)</f>
        <v>530104</v>
      </c>
      <c r="Q109" s="12">
        <f>VLOOKUP($A109,'Matriz POA 2024-TRABAJO'!$A$5:$CD$9142,32,FALSE)</f>
        <v>1308</v>
      </c>
      <c r="R109" s="12" t="str">
        <f>VLOOKUP($A109,'Matriz POA 2024-TRABAJO'!$A$5:$CD$9142,33,FALSE)</f>
        <v>001</v>
      </c>
      <c r="S109" s="12" t="str">
        <f>VLOOKUP($A109,'Matriz POA 2024-TRABAJO'!$A$5:$CD$9142,34,FALSE)</f>
        <v>0000</v>
      </c>
      <c r="T109" s="12" t="str">
        <f>VLOOKUP($A109,'Matriz POA 2024-TRABAJO'!$A$5:$CD$9142,35,FALSE)</f>
        <v>0000</v>
      </c>
      <c r="U109" s="62" t="str">
        <f>VLOOKUP($A109,'Matriz POA 2024-TRABAJO'!$A$5:$CD$9142,66,FALSE)</f>
        <v/>
      </c>
      <c r="V109" s="62" t="str">
        <f>VLOOKUP($A109,'Matriz POA 2024-TRABAJO'!$A$5:$CD$9142,67,FALSE)</f>
        <v/>
      </c>
      <c r="W109" s="62" t="str">
        <f>VLOOKUP($A109,'Matriz POA 2024-TRABAJO'!$A$5:$CD$9142,68,FALSE)</f>
        <v/>
      </c>
      <c r="X109" s="62" t="str">
        <f>VLOOKUP($A109,'Matriz POA 2024-TRABAJO'!$A$5:$CD$9142,72,FALSE)</f>
        <v/>
      </c>
      <c r="Y109" s="388">
        <v>40000</v>
      </c>
      <c r="Z109" s="388">
        <v>0</v>
      </c>
      <c r="AA109" s="388">
        <v>40000</v>
      </c>
      <c r="AB109" s="389"/>
      <c r="AC109" s="389">
        <v>-20883.8</v>
      </c>
      <c r="AD109" s="13"/>
      <c r="AE109" s="13"/>
      <c r="AF109" s="13">
        <f t="shared" si="16"/>
        <v>19116.2</v>
      </c>
      <c r="AG109" s="13">
        <f t="shared" si="17"/>
        <v>0</v>
      </c>
      <c r="AH109" s="13">
        <f t="shared" si="25"/>
        <v>19116.2</v>
      </c>
      <c r="AI109" s="129"/>
      <c r="AJ109" s="129"/>
      <c r="AK109" s="129"/>
      <c r="AL109" s="129"/>
      <c r="AM109" s="129"/>
      <c r="AN109" s="129"/>
      <c r="AO109" s="129">
        <v>19116.2</v>
      </c>
      <c r="AP109" s="129"/>
      <c r="AQ109" s="129"/>
      <c r="AR109" s="129"/>
      <c r="AS109" s="129"/>
      <c r="AT109" s="129"/>
      <c r="AU109" s="129">
        <f t="shared" si="26"/>
        <v>19116.2</v>
      </c>
      <c r="AV109" s="13" t="b">
        <f t="shared" si="20"/>
        <v>1</v>
      </c>
      <c r="AW109" s="14" t="s">
        <v>964</v>
      </c>
      <c r="AX109" t="s">
        <v>962</v>
      </c>
      <c r="AY109" s="16">
        <v>45310</v>
      </c>
      <c r="AZ109" t="s">
        <v>963</v>
      </c>
      <c r="BA109" s="16">
        <v>45313</v>
      </c>
      <c r="BB109" s="17">
        <f t="shared" si="27"/>
        <v>3</v>
      </c>
      <c r="BC109" s="12"/>
      <c r="BD109" s="15"/>
      <c r="BE109" s="18"/>
      <c r="BF109" s="12"/>
      <c r="BG109" s="19" t="str">
        <f t="shared" si="28"/>
        <v>enero</v>
      </c>
      <c r="BH109" s="12" t="str">
        <f t="shared" si="23"/>
        <v>Corporación Ciudad Alfaro</v>
      </c>
      <c r="BI109" s="20" t="str">
        <f t="shared" si="24"/>
        <v>N/A</v>
      </c>
    </row>
    <row r="110" spans="1:61" ht="24.95" customHeight="1">
      <c r="A110" s="8">
        <v>466</v>
      </c>
      <c r="B110" s="12" t="str">
        <f>VLOOKUP($A110,'Matriz POA 2024-TRABAJO'!$A$5:$CD$9142,11,FALSE)</f>
        <v>Corporación Ciudad Alfaro</v>
      </c>
      <c r="C110" s="12" t="str">
        <f>VLOOKUP($A110,'Matriz POA 2024-TRABAJO'!$A$5:$CD$9142,14,FALSE)</f>
        <v>N/A</v>
      </c>
      <c r="D110" s="12" t="str">
        <f>VLOOKUP($A110,'Matriz POA 2024-TRABAJO'!$A$5:$CD$9142,15,FALSE)</f>
        <v>N/A</v>
      </c>
      <c r="E110" s="12" t="str">
        <f>VLOOKUP($A110,'Matriz POA 2024-TRABAJO'!$A$5:$CD$9142,18,FALSE)</f>
        <v>N/A</v>
      </c>
      <c r="F110" s="12" t="str">
        <f>VLOOKUP($A110,'Matriz POA 2024-TRABAJO'!$A$5:$CD$9142,20,FALSE)</f>
        <v>N/A</v>
      </c>
      <c r="G110" s="12" t="str">
        <f>VLOOKUP($A110,'Matriz POA 2024-TRABAJO'!$A$5:$CD$9142,21,FALSE)</f>
        <v>N/A</v>
      </c>
      <c r="H110" s="12" t="str">
        <f>VLOOKUP($A110,'Matriz POA 2024-TRABAJO'!$A$5:$CD$9142,22,FALSE)</f>
        <v>N/A</v>
      </c>
      <c r="I110" s="12" t="str">
        <f>VLOOKUP($A110,'Matriz POA 2024-TRABAJO'!$A$5:$CD$9142,23,FALSE)</f>
        <v>NUEVA</v>
      </c>
      <c r="J110" s="12" t="str">
        <f>VLOOKUP($A110,'Matriz POA 2024-TRABAJO'!$A$5:$CD$9142,24,FALSE)</f>
        <v xml:space="preserve">Pago de impuesto predial 2023 del Museo Centro Cultural Manta </v>
      </c>
      <c r="K110" s="12" t="str">
        <f>VLOOKUP($A110,'Matriz POA 2024-TRABAJO'!$A$5:$CD$9142,25,FALSE)</f>
        <v>0035</v>
      </c>
      <c r="L110" s="12" t="str">
        <f>VLOOKUP($A110,'Matriz POA 2024-TRABAJO'!$A$5:$CD$9142,26,FALSE)</f>
        <v>80</v>
      </c>
      <c r="M110" s="12" t="str">
        <f>VLOOKUP($A110,'Matriz POA 2024-TRABAJO'!$A$5:$CD$9142,27,FALSE)</f>
        <v>000</v>
      </c>
      <c r="N110" s="12" t="str">
        <f>VLOOKUP($A110,'Matriz POA 2024-TRABAJO'!$A$5:$CD$9142,28,FALSE)</f>
        <v>002</v>
      </c>
      <c r="O110" s="12" t="str">
        <f>VLOOKUP($A110,'Matriz POA 2024-TRABAJO'!$A$5:$CD$9142,29,FALSE)</f>
        <v>57</v>
      </c>
      <c r="P110" s="12">
        <f>VLOOKUP($A110,'Matriz POA 2024-TRABAJO'!$A$5:$CD$9142,30,FALSE)</f>
        <v>570102</v>
      </c>
      <c r="Q110" s="12">
        <f>VLOOKUP($A110,'Matriz POA 2024-TRABAJO'!$A$5:$CD$9142,32,FALSE)</f>
        <v>1308</v>
      </c>
      <c r="R110" s="12" t="str">
        <f>VLOOKUP($A110,'Matriz POA 2024-TRABAJO'!$A$5:$CD$9142,33,FALSE)</f>
        <v>001</v>
      </c>
      <c r="S110" s="12" t="str">
        <f>VLOOKUP($A110,'Matriz POA 2024-TRABAJO'!$A$5:$CD$9142,34,FALSE)</f>
        <v>0000</v>
      </c>
      <c r="T110" s="12" t="str">
        <f>VLOOKUP($A110,'Matriz POA 2024-TRABAJO'!$A$5:$CD$9142,35,FALSE)</f>
        <v>0000</v>
      </c>
      <c r="U110" s="62" t="str">
        <f>VLOOKUP($A110,'Matriz POA 2024-TRABAJO'!$A$5:$CD$9142,66,FALSE)</f>
        <v/>
      </c>
      <c r="V110" s="62" t="str">
        <f>VLOOKUP($A110,'Matriz POA 2024-TRABAJO'!$A$5:$CD$9142,67,FALSE)</f>
        <v/>
      </c>
      <c r="W110" s="62" t="str">
        <f>VLOOKUP($A110,'Matriz POA 2024-TRABAJO'!$A$5:$CD$9142,68,FALSE)</f>
        <v/>
      </c>
      <c r="X110" s="62" t="str">
        <f>VLOOKUP($A110,'Matriz POA 2024-TRABAJO'!$A$5:$CD$9142,72,FALSE)</f>
        <v/>
      </c>
      <c r="Y110" s="388">
        <v>6000</v>
      </c>
      <c r="Z110" s="388">
        <v>0</v>
      </c>
      <c r="AA110" s="388">
        <v>6000</v>
      </c>
      <c r="AB110" s="389">
        <v>1224.44</v>
      </c>
      <c r="AC110" s="389"/>
      <c r="AD110" s="13"/>
      <c r="AE110" s="13"/>
      <c r="AF110" s="13">
        <f t="shared" si="16"/>
        <v>7224.4400000000005</v>
      </c>
      <c r="AG110" s="13">
        <f t="shared" si="17"/>
        <v>0</v>
      </c>
      <c r="AH110" s="13">
        <f t="shared" si="25"/>
        <v>7224.4400000000005</v>
      </c>
      <c r="AI110" s="129"/>
      <c r="AJ110" s="129">
        <v>1224.44</v>
      </c>
      <c r="AK110" s="129"/>
      <c r="AL110" s="129"/>
      <c r="AM110" s="129"/>
      <c r="AN110" s="129"/>
      <c r="AO110" s="129"/>
      <c r="AP110" s="129"/>
      <c r="AQ110" s="129"/>
      <c r="AR110" s="129"/>
      <c r="AS110" s="129"/>
      <c r="AT110" s="129"/>
      <c r="AU110" s="129">
        <f t="shared" si="26"/>
        <v>1224.44</v>
      </c>
      <c r="AV110" s="13" t="b">
        <f t="shared" si="20"/>
        <v>0</v>
      </c>
      <c r="AW110" s="14" t="s">
        <v>964</v>
      </c>
      <c r="AX110" t="s">
        <v>962</v>
      </c>
      <c r="AY110" s="16">
        <v>45310</v>
      </c>
      <c r="AZ110" t="s">
        <v>963</v>
      </c>
      <c r="BA110" s="16">
        <v>45313</v>
      </c>
      <c r="BB110" s="17">
        <f t="shared" si="27"/>
        <v>3</v>
      </c>
      <c r="BC110" s="12"/>
      <c r="BD110" s="15"/>
      <c r="BE110" s="18"/>
      <c r="BF110" s="12"/>
      <c r="BG110" s="19" t="str">
        <f t="shared" si="28"/>
        <v>enero</v>
      </c>
      <c r="BH110" s="12" t="str">
        <f t="shared" si="23"/>
        <v>Corporación Ciudad Alfaro</v>
      </c>
      <c r="BI110" s="20" t="str">
        <f t="shared" si="24"/>
        <v>N/A</v>
      </c>
    </row>
    <row r="111" spans="1:61" ht="24.95" customHeight="1">
      <c r="A111" s="8">
        <v>484</v>
      </c>
      <c r="B111" s="12" t="str">
        <f>VLOOKUP($A111,'Matriz POA 2024-TRABAJO'!$A$5:$CD$9142,11,FALSE)</f>
        <v>Corporación Ciudad Alfaro</v>
      </c>
      <c r="C111" s="12" t="str">
        <f>VLOOKUP($A111,'Matriz POA 2024-TRABAJO'!$A$5:$CD$9142,14,FALSE)</f>
        <v>N/A</v>
      </c>
      <c r="D111" s="12" t="str">
        <f>VLOOKUP($A111,'Matriz POA 2024-TRABAJO'!$A$5:$CD$9142,15,FALSE)</f>
        <v>N/A</v>
      </c>
      <c r="E111" s="12" t="str">
        <f>VLOOKUP($A111,'Matriz POA 2024-TRABAJO'!$A$5:$CD$9142,18,FALSE)</f>
        <v>N/A</v>
      </c>
      <c r="F111" s="12" t="str">
        <f>VLOOKUP($A111,'Matriz POA 2024-TRABAJO'!$A$5:$CD$9142,20,FALSE)</f>
        <v>N/A</v>
      </c>
      <c r="G111" s="12" t="str">
        <f>VLOOKUP($A111,'Matriz POA 2024-TRABAJO'!$A$5:$CD$9142,21,FALSE)</f>
        <v>N/A</v>
      </c>
      <c r="H111" s="12" t="str">
        <f>VLOOKUP($A111,'Matriz POA 2024-TRABAJO'!$A$5:$CD$9142,22,FALSE)</f>
        <v>N/A</v>
      </c>
      <c r="I111" s="12" t="str">
        <f>VLOOKUP($A111,'Matriz POA 2024-TRABAJO'!$A$5:$CD$9142,23,FALSE)</f>
        <v>NUEVA</v>
      </c>
      <c r="J111" s="12" t="str">
        <f>VLOOKUP($A111,'Matriz POA 2024-TRABAJO'!$A$5:$CD$9142,24,FALSE)</f>
        <v>Construcción de cubierta en la sede del Museo Bahía de Caráquez</v>
      </c>
      <c r="K111" s="12" t="str">
        <f>VLOOKUP($A111,'Matriz POA 2024-TRABAJO'!$A$5:$CD$9142,25,FALSE)</f>
        <v>0035</v>
      </c>
      <c r="L111" s="12" t="str">
        <f>VLOOKUP($A111,'Matriz POA 2024-TRABAJO'!$A$5:$CD$9142,26,FALSE)</f>
        <v>80</v>
      </c>
      <c r="M111" s="12" t="str">
        <f>VLOOKUP($A111,'Matriz POA 2024-TRABAJO'!$A$5:$CD$9142,27,FALSE)</f>
        <v>000</v>
      </c>
      <c r="N111" s="12" t="str">
        <f>VLOOKUP($A111,'Matriz POA 2024-TRABAJO'!$A$5:$CD$9142,28,FALSE)</f>
        <v>002</v>
      </c>
      <c r="O111" s="12" t="str">
        <f>VLOOKUP($A111,'Matriz POA 2024-TRABAJO'!$A$5:$CD$9142,29,FALSE)</f>
        <v>53</v>
      </c>
      <c r="P111" s="12">
        <f>VLOOKUP($A111,'Matriz POA 2024-TRABAJO'!$A$5:$CD$9142,30,FALSE)</f>
        <v>530425</v>
      </c>
      <c r="Q111" s="12">
        <f>VLOOKUP($A111,'Matriz POA 2024-TRABAJO'!$A$5:$CD$9142,32,FALSE)</f>
        <v>1314</v>
      </c>
      <c r="R111" s="12" t="str">
        <f>VLOOKUP($A111,'Matriz POA 2024-TRABAJO'!$A$5:$CD$9142,33,FALSE)</f>
        <v>001</v>
      </c>
      <c r="S111" s="12" t="str">
        <f>VLOOKUP($A111,'Matriz POA 2024-TRABAJO'!$A$5:$CD$9142,34,FALSE)</f>
        <v>0000</v>
      </c>
      <c r="T111" s="12" t="str">
        <f>VLOOKUP($A111,'Matriz POA 2024-TRABAJO'!$A$5:$CD$9142,35,FALSE)</f>
        <v>0000</v>
      </c>
      <c r="U111" s="62">
        <f>VLOOKUP($A111,'Matriz POA 2024-TRABAJO'!$A$5:$CD$9142,66,FALSE)</f>
        <v>0</v>
      </c>
      <c r="V111" s="62">
        <f>VLOOKUP($A111,'Matriz POA 2024-TRABAJO'!$A$5:$CD$9142,67,FALSE)</f>
        <v>0</v>
      </c>
      <c r="W111" s="62" t="str">
        <f>VLOOKUP($A111,'Matriz POA 2024-TRABAJO'!$A$5:$CD$9142,68,FALSE)</f>
        <v/>
      </c>
      <c r="X111" s="62" t="str">
        <f>VLOOKUP($A111,'Matriz POA 2024-TRABAJO'!$A$5:$CD$9142,72,FALSE)</f>
        <v/>
      </c>
      <c r="Y111" s="388">
        <v>7000</v>
      </c>
      <c r="Z111" s="388">
        <v>0</v>
      </c>
      <c r="AA111" s="388">
        <v>7000</v>
      </c>
      <c r="AB111" s="389">
        <v>1000</v>
      </c>
      <c r="AC111" s="389"/>
      <c r="AD111" s="13"/>
      <c r="AE111" s="13"/>
      <c r="AF111" s="13">
        <f t="shared" si="16"/>
        <v>8000</v>
      </c>
      <c r="AG111" s="13">
        <f t="shared" si="17"/>
        <v>0</v>
      </c>
      <c r="AH111" s="13">
        <f t="shared" si="25"/>
        <v>8000</v>
      </c>
      <c r="AI111" s="129"/>
      <c r="AJ111" s="129"/>
      <c r="AK111" s="129"/>
      <c r="AL111" s="129"/>
      <c r="AM111" s="129">
        <v>1000</v>
      </c>
      <c r="AN111" s="129"/>
      <c r="AO111" s="129"/>
      <c r="AP111" s="129"/>
      <c r="AQ111" s="129"/>
      <c r="AR111" s="129"/>
      <c r="AS111" s="129"/>
      <c r="AT111" s="129"/>
      <c r="AU111" s="129">
        <f t="shared" si="26"/>
        <v>1000</v>
      </c>
      <c r="AV111" s="13" t="b">
        <f t="shared" si="20"/>
        <v>0</v>
      </c>
      <c r="AW111" s="14" t="s">
        <v>964</v>
      </c>
      <c r="AX111" t="s">
        <v>962</v>
      </c>
      <c r="AY111" s="16">
        <v>45310</v>
      </c>
      <c r="AZ111" t="s">
        <v>963</v>
      </c>
      <c r="BA111" s="16">
        <v>45313</v>
      </c>
      <c r="BB111" s="17">
        <f t="shared" si="27"/>
        <v>3</v>
      </c>
      <c r="BC111" s="12"/>
      <c r="BD111" s="15"/>
      <c r="BE111" s="18"/>
      <c r="BF111" s="12"/>
      <c r="BG111" s="19" t="str">
        <f t="shared" si="28"/>
        <v>enero</v>
      </c>
      <c r="BH111" s="12" t="str">
        <f t="shared" si="23"/>
        <v>Corporación Ciudad Alfaro</v>
      </c>
      <c r="BI111" s="20" t="str">
        <f t="shared" si="24"/>
        <v>N/A</v>
      </c>
    </row>
    <row r="112" spans="1:61" ht="24.95" customHeight="1">
      <c r="A112" s="8">
        <v>731</v>
      </c>
      <c r="B112" s="12" t="str">
        <f>VLOOKUP($A112,'Matriz POA 2024-TRABAJO'!$A$5:$CD$9142,11,FALSE)</f>
        <v>Corporación Ciudad Alfaro</v>
      </c>
      <c r="C112" s="12" t="str">
        <f>VLOOKUP($A112,'Matriz POA 2024-TRABAJO'!$A$5:$CD$9142,14,FALSE)</f>
        <v>N/A</v>
      </c>
      <c r="D112" s="12" t="str">
        <f>VLOOKUP($A112,'Matriz POA 2024-TRABAJO'!$A$5:$CD$9142,15,FALSE)</f>
        <v>N/A</v>
      </c>
      <c r="E112" s="12" t="str">
        <f>VLOOKUP($A112,'Matriz POA 2024-TRABAJO'!$A$5:$CD$9142,18,FALSE)</f>
        <v>N/A</v>
      </c>
      <c r="F112" s="12" t="str">
        <f>VLOOKUP($A112,'Matriz POA 2024-TRABAJO'!$A$5:$CD$9142,20,FALSE)</f>
        <v>N/A</v>
      </c>
      <c r="G112" s="12" t="str">
        <f>VLOOKUP($A112,'Matriz POA 2024-TRABAJO'!$A$5:$CD$9142,21,FALSE)</f>
        <v>N/A</v>
      </c>
      <c r="H112" s="12" t="str">
        <f>VLOOKUP($A112,'Matriz POA 2024-TRABAJO'!$A$5:$CD$9142,22,FALSE)</f>
        <v>N/A</v>
      </c>
      <c r="I112" s="12" t="str">
        <f>VLOOKUP($A112,'Matriz POA 2024-TRABAJO'!$A$5:$CD$9142,23,FALSE)</f>
        <v>NUEVA</v>
      </c>
      <c r="J112" s="12" t="str">
        <f>VLOOKUP($A112,'Matriz POA 2024-TRABAJO'!$A$5:$CD$9142,24,FALSE)</f>
        <v>Subrogación</v>
      </c>
      <c r="K112" s="12" t="str">
        <f>VLOOKUP($A112,'Matriz POA 2024-TRABAJO'!$A$5:$CD$9142,25,FALSE)</f>
        <v>0035</v>
      </c>
      <c r="L112" s="12" t="str">
        <f>VLOOKUP($A112,'Matriz POA 2024-TRABAJO'!$A$5:$CD$9142,26,FALSE)</f>
        <v>80</v>
      </c>
      <c r="M112" s="12" t="str">
        <f>VLOOKUP($A112,'Matriz POA 2024-TRABAJO'!$A$5:$CD$9142,27,FALSE)</f>
        <v>000</v>
      </c>
      <c r="N112" s="12" t="str">
        <f>VLOOKUP($A112,'Matriz POA 2024-TRABAJO'!$A$5:$CD$9142,28,FALSE)</f>
        <v>002</v>
      </c>
      <c r="O112" s="12" t="str">
        <f>VLOOKUP($A112,'Matriz POA 2024-TRABAJO'!$A$5:$CD$9142,29,FALSE)</f>
        <v>51</v>
      </c>
      <c r="P112" s="12">
        <f>VLOOKUP($A112,'Matriz POA 2024-TRABAJO'!$A$5:$CD$9142,30,FALSE)</f>
        <v>510512</v>
      </c>
      <c r="Q112" s="12">
        <f>VLOOKUP($A112,'Matriz POA 2024-TRABAJO'!$A$5:$CD$9142,32,FALSE)</f>
        <v>1300</v>
      </c>
      <c r="R112" s="12" t="str">
        <f>VLOOKUP($A112,'Matriz POA 2024-TRABAJO'!$A$5:$CD$9142,33,FALSE)</f>
        <v>001</v>
      </c>
      <c r="S112" s="12" t="str">
        <f>VLOOKUP($A112,'Matriz POA 2024-TRABAJO'!$A$5:$CD$9142,34,FALSE)</f>
        <v>0000</v>
      </c>
      <c r="T112" s="12" t="str">
        <f>VLOOKUP($A112,'Matriz POA 2024-TRABAJO'!$A$5:$CD$9142,35,FALSE)</f>
        <v>0000</v>
      </c>
      <c r="U112" s="62" t="str">
        <f>VLOOKUP($A112,'Matriz POA 2024-TRABAJO'!$A$5:$CD$9142,66,FALSE)</f>
        <v/>
      </c>
      <c r="V112" s="62" t="str">
        <f>VLOOKUP($A112,'Matriz POA 2024-TRABAJO'!$A$5:$CD$9142,67,FALSE)</f>
        <v/>
      </c>
      <c r="W112" s="62">
        <f>VLOOKUP($A112,'Matriz POA 2024-TRABAJO'!$A$5:$CD$9142,68,FALSE)</f>
        <v>0</v>
      </c>
      <c r="X112" s="62">
        <f>VLOOKUP($A112,'Matriz POA 2024-TRABAJO'!$A$5:$CD$9142,72,FALSE)</f>
        <v>3357.21</v>
      </c>
      <c r="Y112" s="388">
        <v>507.83</v>
      </c>
      <c r="Z112" s="388">
        <v>0</v>
      </c>
      <c r="AA112" s="388">
        <v>507.83</v>
      </c>
      <c r="AB112" s="389"/>
      <c r="AC112" s="389">
        <v>-507.83</v>
      </c>
      <c r="AD112" s="13"/>
      <c r="AE112" s="13"/>
      <c r="AF112" s="13">
        <f t="shared" si="16"/>
        <v>0</v>
      </c>
      <c r="AG112" s="13">
        <f t="shared" si="17"/>
        <v>0</v>
      </c>
      <c r="AH112" s="13">
        <f t="shared" si="25"/>
        <v>0</v>
      </c>
      <c r="AI112" s="129"/>
      <c r="AJ112" s="129"/>
      <c r="AK112" s="129"/>
      <c r="AL112" s="129"/>
      <c r="AM112" s="129"/>
      <c r="AN112" s="129"/>
      <c r="AO112" s="129"/>
      <c r="AP112" s="129"/>
      <c r="AQ112" s="129"/>
      <c r="AR112" s="129"/>
      <c r="AS112" s="129"/>
      <c r="AT112" s="129"/>
      <c r="AU112" s="129">
        <f t="shared" si="26"/>
        <v>0</v>
      </c>
      <c r="AV112" s="13" t="b">
        <f t="shared" si="20"/>
        <v>1</v>
      </c>
      <c r="AW112" s="14" t="s">
        <v>964</v>
      </c>
      <c r="AX112" t="s">
        <v>962</v>
      </c>
      <c r="AY112" s="16">
        <v>45310</v>
      </c>
      <c r="AZ112" t="s">
        <v>963</v>
      </c>
      <c r="BA112" s="16">
        <v>45313</v>
      </c>
      <c r="BB112" s="17">
        <f t="shared" si="27"/>
        <v>3</v>
      </c>
      <c r="BC112" s="12"/>
      <c r="BD112" s="15"/>
      <c r="BE112" s="18"/>
      <c r="BF112" s="12"/>
      <c r="BG112" s="19" t="str">
        <f t="shared" si="28"/>
        <v>enero</v>
      </c>
      <c r="BH112" s="12" t="str">
        <f t="shared" si="23"/>
        <v>Corporación Ciudad Alfaro</v>
      </c>
      <c r="BI112" s="20" t="str">
        <f t="shared" si="24"/>
        <v>N/A</v>
      </c>
    </row>
    <row r="113" spans="1:61" ht="24.95" customHeight="1">
      <c r="A113" s="8">
        <v>732</v>
      </c>
      <c r="B113" s="12" t="str">
        <f>VLOOKUP($A113,'Matriz POA 2024-TRABAJO'!$A$5:$CD$9142,11,FALSE)</f>
        <v>Corporación Ciudad Alfaro</v>
      </c>
      <c r="C113" s="12" t="str">
        <f>VLOOKUP($A113,'Matriz POA 2024-TRABAJO'!$A$5:$CD$9142,14,FALSE)</f>
        <v>N/A</v>
      </c>
      <c r="D113" s="12" t="str">
        <f>VLOOKUP($A113,'Matriz POA 2024-TRABAJO'!$A$5:$CD$9142,15,FALSE)</f>
        <v>N/A</v>
      </c>
      <c r="E113" s="12" t="str">
        <f>VLOOKUP($A113,'Matriz POA 2024-TRABAJO'!$A$5:$CD$9142,18,FALSE)</f>
        <v>N/A</v>
      </c>
      <c r="F113" s="12" t="str">
        <f>VLOOKUP($A113,'Matriz POA 2024-TRABAJO'!$A$5:$CD$9142,20,FALSE)</f>
        <v>N/A</v>
      </c>
      <c r="G113" s="12" t="str">
        <f>VLOOKUP($A113,'Matriz POA 2024-TRABAJO'!$A$5:$CD$9142,21,FALSE)</f>
        <v>N/A</v>
      </c>
      <c r="H113" s="12" t="str">
        <f>VLOOKUP($A113,'Matriz POA 2024-TRABAJO'!$A$5:$CD$9142,22,FALSE)</f>
        <v>N/A</v>
      </c>
      <c r="I113" s="12" t="str">
        <f>VLOOKUP($A113,'Matriz POA 2024-TRABAJO'!$A$5:$CD$9142,23,FALSE)</f>
        <v>ARRASTRE</v>
      </c>
      <c r="J113" s="12" t="str">
        <f>VLOOKUP($A113,'Matriz POA 2024-TRABAJO'!$A$5:$CD$9142,24,FALSE)</f>
        <v>Pago del servicio de telefonía fija e internet del mes de Diciembre del 2023 de la Corporación Ciudad Alfaro</v>
      </c>
      <c r="K113" s="12" t="str">
        <f>VLOOKUP($A113,'Matriz POA 2024-TRABAJO'!$A$5:$CD$9142,25,FALSE)</f>
        <v>0035</v>
      </c>
      <c r="L113" s="12" t="str">
        <f>VLOOKUP($A113,'Matriz POA 2024-TRABAJO'!$A$5:$CD$9142,26,FALSE)</f>
        <v>80</v>
      </c>
      <c r="M113" s="12" t="str">
        <f>VLOOKUP($A113,'Matriz POA 2024-TRABAJO'!$A$5:$CD$9142,27,FALSE)</f>
        <v>000</v>
      </c>
      <c r="N113" s="12" t="str">
        <f>VLOOKUP($A113,'Matriz POA 2024-TRABAJO'!$A$5:$CD$9142,28,FALSE)</f>
        <v>002</v>
      </c>
      <c r="O113" s="12" t="str">
        <f>VLOOKUP($A113,'Matriz POA 2024-TRABAJO'!$A$5:$CD$9142,29,FALSE)</f>
        <v>53</v>
      </c>
      <c r="P113" s="12">
        <f>VLOOKUP($A113,'Matriz POA 2024-TRABAJO'!$A$5:$CD$9142,30,FALSE)</f>
        <v>530105</v>
      </c>
      <c r="Q113" s="12">
        <f>VLOOKUP($A113,'Matriz POA 2024-TRABAJO'!$A$5:$CD$9142,32,FALSE)</f>
        <v>1309</v>
      </c>
      <c r="R113" s="12" t="str">
        <f>VLOOKUP($A113,'Matriz POA 2024-TRABAJO'!$A$5:$CD$9142,33,FALSE)</f>
        <v>001</v>
      </c>
      <c r="S113" s="12" t="str">
        <f>VLOOKUP($A113,'Matriz POA 2024-TRABAJO'!$A$5:$CD$9142,34,FALSE)</f>
        <v>0000</v>
      </c>
      <c r="T113" s="12" t="str">
        <f>VLOOKUP($A113,'Matriz POA 2024-TRABAJO'!$A$5:$CD$9142,35,FALSE)</f>
        <v>0000</v>
      </c>
      <c r="U113" s="62">
        <f>VLOOKUP($A113,'Matriz POA 2024-TRABAJO'!$A$5:$CD$9142,66,FALSE)</f>
        <v>1194.77</v>
      </c>
      <c r="V113" s="62">
        <f>VLOOKUP($A113,'Matriz POA 2024-TRABAJO'!$A$5:$CD$9142,67,FALSE)</f>
        <v>0</v>
      </c>
      <c r="W113" s="62">
        <f>VLOOKUP($A113,'Matriz POA 2024-TRABAJO'!$A$5:$CD$9142,68,FALSE)</f>
        <v>0</v>
      </c>
      <c r="X113" s="62">
        <f>VLOOKUP($A113,'Matriz POA 2024-TRABAJO'!$A$5:$CD$9142,72,FALSE)</f>
        <v>1066.76</v>
      </c>
      <c r="Y113" s="388">
        <v>0</v>
      </c>
      <c r="Z113" s="388">
        <v>0</v>
      </c>
      <c r="AA113" s="388">
        <v>0</v>
      </c>
      <c r="AB113" s="389">
        <v>1600</v>
      </c>
      <c r="AC113" s="389"/>
      <c r="AD113" s="13"/>
      <c r="AE113" s="13"/>
      <c r="AF113" s="13">
        <f t="shared" si="16"/>
        <v>1600</v>
      </c>
      <c r="AG113" s="13">
        <f t="shared" si="17"/>
        <v>0</v>
      </c>
      <c r="AH113" s="13">
        <f t="shared" si="25"/>
        <v>1600</v>
      </c>
      <c r="AI113" s="129"/>
      <c r="AJ113" s="129">
        <v>1600</v>
      </c>
      <c r="AK113" s="129"/>
      <c r="AL113" s="129"/>
      <c r="AM113" s="129"/>
      <c r="AN113" s="129"/>
      <c r="AO113" s="129"/>
      <c r="AP113" s="129"/>
      <c r="AQ113" s="129"/>
      <c r="AR113" s="129"/>
      <c r="AS113" s="129"/>
      <c r="AT113" s="129"/>
      <c r="AU113" s="129">
        <f t="shared" si="26"/>
        <v>1600</v>
      </c>
      <c r="AV113" s="13" t="b">
        <f t="shared" si="20"/>
        <v>1</v>
      </c>
      <c r="AW113" s="14" t="s">
        <v>964</v>
      </c>
      <c r="AX113" t="s">
        <v>962</v>
      </c>
      <c r="AY113" s="16">
        <v>45310</v>
      </c>
      <c r="AZ113" t="s">
        <v>963</v>
      </c>
      <c r="BA113" s="16">
        <v>45313</v>
      </c>
      <c r="BB113" s="17">
        <f t="shared" si="27"/>
        <v>3</v>
      </c>
      <c r="BC113" s="12"/>
      <c r="BD113" s="15"/>
      <c r="BE113" s="18"/>
      <c r="BF113" s="12"/>
      <c r="BG113" s="19" t="str">
        <f t="shared" si="28"/>
        <v>enero</v>
      </c>
      <c r="BH113" s="12" t="str">
        <f t="shared" si="23"/>
        <v>Corporación Ciudad Alfaro</v>
      </c>
      <c r="BI113" s="20" t="str">
        <f t="shared" si="24"/>
        <v>N/A</v>
      </c>
    </row>
    <row r="114" spans="1:61" ht="24.95" customHeight="1">
      <c r="A114" s="8">
        <v>733</v>
      </c>
      <c r="B114" s="12" t="str">
        <f>VLOOKUP($A114,'Matriz POA 2024-TRABAJO'!$A$5:$CD$9142,11,FALSE)</f>
        <v>Corporación Ciudad Alfaro</v>
      </c>
      <c r="C114" s="12" t="str">
        <f>VLOOKUP($A114,'Matriz POA 2024-TRABAJO'!$A$5:$CD$9142,14,FALSE)</f>
        <v>N/A</v>
      </c>
      <c r="D114" s="12" t="str">
        <f>VLOOKUP($A114,'Matriz POA 2024-TRABAJO'!$A$5:$CD$9142,15,FALSE)</f>
        <v>N/A</v>
      </c>
      <c r="E114" s="12" t="str">
        <f>VLOOKUP($A114,'Matriz POA 2024-TRABAJO'!$A$5:$CD$9142,18,FALSE)</f>
        <v>N/A</v>
      </c>
      <c r="F114" s="12" t="str">
        <f>VLOOKUP($A114,'Matriz POA 2024-TRABAJO'!$A$5:$CD$9142,20,FALSE)</f>
        <v>N/A</v>
      </c>
      <c r="G114" s="12" t="str">
        <f>VLOOKUP($A114,'Matriz POA 2024-TRABAJO'!$A$5:$CD$9142,21,FALSE)</f>
        <v>N/A</v>
      </c>
      <c r="H114" s="12" t="str">
        <f>VLOOKUP($A114,'Matriz POA 2024-TRABAJO'!$A$5:$CD$9142,22,FALSE)</f>
        <v>N/A</v>
      </c>
      <c r="I114" s="12" t="str">
        <f>VLOOKUP($A114,'Matriz POA 2024-TRABAJO'!$A$5:$CD$9142,23,FALSE)</f>
        <v>NUEVA</v>
      </c>
      <c r="J114" s="12" t="str">
        <f>VLOOKUP($A114,'Matriz POA 2024-TRABAJO'!$A$5:$CD$9142,24,FALSE)</f>
        <v>Pago mensual del servicio de energía eléctrica del Museo y Centro Cultural de Manta por el período 2024</v>
      </c>
      <c r="K114" s="12" t="str">
        <f>VLOOKUP($A114,'Matriz POA 2024-TRABAJO'!$A$5:$CD$9142,25,FALSE)</f>
        <v>0035</v>
      </c>
      <c r="L114" s="12" t="str">
        <f>VLOOKUP($A114,'Matriz POA 2024-TRABAJO'!$A$5:$CD$9142,26,FALSE)</f>
        <v>80</v>
      </c>
      <c r="M114" s="12" t="str">
        <f>VLOOKUP($A114,'Matriz POA 2024-TRABAJO'!$A$5:$CD$9142,27,FALSE)</f>
        <v>000</v>
      </c>
      <c r="N114" s="12" t="str">
        <f>VLOOKUP($A114,'Matriz POA 2024-TRABAJO'!$A$5:$CD$9142,28,FALSE)</f>
        <v>002</v>
      </c>
      <c r="O114" s="12" t="str">
        <f>VLOOKUP($A114,'Matriz POA 2024-TRABAJO'!$A$5:$CD$9142,29,FALSE)</f>
        <v>53</v>
      </c>
      <c r="P114" s="12">
        <f>VLOOKUP($A114,'Matriz POA 2024-TRABAJO'!$A$5:$CD$9142,30,FALSE)</f>
        <v>530104</v>
      </c>
      <c r="Q114" s="12">
        <f>VLOOKUP($A114,'Matriz POA 2024-TRABAJO'!$A$5:$CD$9142,32,FALSE)</f>
        <v>1308</v>
      </c>
      <c r="R114" s="12" t="str">
        <f>VLOOKUP($A114,'Matriz POA 2024-TRABAJO'!$A$5:$CD$9142,33,FALSE)</f>
        <v>001</v>
      </c>
      <c r="S114" s="12" t="str">
        <f>VLOOKUP($A114,'Matriz POA 2024-TRABAJO'!$A$5:$CD$9142,34,FALSE)</f>
        <v>0000</v>
      </c>
      <c r="T114" s="12" t="str">
        <f>VLOOKUP($A114,'Matriz POA 2024-TRABAJO'!$A$5:$CD$9142,35,FALSE)</f>
        <v>0000</v>
      </c>
      <c r="U114" s="62">
        <f>VLOOKUP($A114,'Matriz POA 2024-TRABAJO'!$A$5:$CD$9142,66,FALSE)</f>
        <v>14500</v>
      </c>
      <c r="V114" s="62">
        <f>VLOOKUP($A114,'Matriz POA 2024-TRABAJO'!$A$5:$CD$9142,67,FALSE)</f>
        <v>499.67000000000007</v>
      </c>
      <c r="W114" s="62">
        <f>VLOOKUP($A114,'Matriz POA 2024-TRABAJO'!$A$5:$CD$9142,68,FALSE)</f>
        <v>8938.76</v>
      </c>
      <c r="X114" s="62">
        <f>VLOOKUP($A114,'Matriz POA 2024-TRABAJO'!$A$5:$CD$9142,72,FALSE)</f>
        <v>8388.9699999999993</v>
      </c>
      <c r="Y114" s="388">
        <v>0</v>
      </c>
      <c r="Z114" s="388">
        <v>0</v>
      </c>
      <c r="AA114" s="388">
        <v>0</v>
      </c>
      <c r="AB114" s="389">
        <v>12000</v>
      </c>
      <c r="AC114" s="389"/>
      <c r="AD114" s="13"/>
      <c r="AE114" s="13"/>
      <c r="AF114" s="13">
        <f t="shared" si="16"/>
        <v>12000</v>
      </c>
      <c r="AG114" s="13">
        <f t="shared" si="17"/>
        <v>0</v>
      </c>
      <c r="AH114" s="13">
        <f t="shared" si="25"/>
        <v>12000</v>
      </c>
      <c r="AI114" s="129"/>
      <c r="AJ114" s="129">
        <v>1090.9000000000001</v>
      </c>
      <c r="AK114" s="129">
        <v>1090.9000000000001</v>
      </c>
      <c r="AL114" s="129">
        <v>1090.9000000000001</v>
      </c>
      <c r="AM114" s="129">
        <v>1090.9000000000001</v>
      </c>
      <c r="AN114" s="129">
        <v>1090.9000000000001</v>
      </c>
      <c r="AO114" s="129">
        <v>1090.9000000000001</v>
      </c>
      <c r="AP114" s="129">
        <v>1090.9000000000001</v>
      </c>
      <c r="AQ114" s="129">
        <v>1090.9000000000001</v>
      </c>
      <c r="AR114" s="129">
        <v>1090.9000000000001</v>
      </c>
      <c r="AS114" s="129">
        <v>1090.9000000000001</v>
      </c>
      <c r="AT114" s="129">
        <v>1091</v>
      </c>
      <c r="AU114" s="129">
        <f t="shared" si="26"/>
        <v>11999.999999999998</v>
      </c>
      <c r="AV114" s="13" t="b">
        <f t="shared" si="20"/>
        <v>1</v>
      </c>
      <c r="AW114" s="14" t="s">
        <v>964</v>
      </c>
      <c r="AX114" t="s">
        <v>962</v>
      </c>
      <c r="AY114" s="16">
        <v>45310</v>
      </c>
      <c r="AZ114" t="s">
        <v>963</v>
      </c>
      <c r="BA114" s="16">
        <v>45313</v>
      </c>
      <c r="BB114" s="17">
        <f t="shared" si="27"/>
        <v>3</v>
      </c>
      <c r="BC114" s="12"/>
      <c r="BD114" s="15"/>
      <c r="BE114" s="18"/>
      <c r="BF114" s="12"/>
      <c r="BG114" s="19" t="str">
        <f t="shared" si="28"/>
        <v>enero</v>
      </c>
      <c r="BH114" s="12" t="str">
        <f t="shared" si="23"/>
        <v>Corporación Ciudad Alfaro</v>
      </c>
      <c r="BI114" s="20" t="str">
        <f t="shared" si="24"/>
        <v>N/A</v>
      </c>
    </row>
    <row r="115" spans="1:61" ht="24.95" customHeight="1">
      <c r="A115" s="8">
        <v>734</v>
      </c>
      <c r="B115" s="12" t="str">
        <f>VLOOKUP($A115,'Matriz POA 2024-TRABAJO'!$A$5:$CD$9142,11,FALSE)</f>
        <v>Corporación Ciudad Alfaro</v>
      </c>
      <c r="C115" s="12" t="str">
        <f>VLOOKUP($A115,'Matriz POA 2024-TRABAJO'!$A$5:$CD$9142,14,FALSE)</f>
        <v>N/A</v>
      </c>
      <c r="D115" s="12" t="str">
        <f>VLOOKUP($A115,'Matriz POA 2024-TRABAJO'!$A$5:$CD$9142,15,FALSE)</f>
        <v>N/A</v>
      </c>
      <c r="E115" s="12" t="str">
        <f>VLOOKUP($A115,'Matriz POA 2024-TRABAJO'!$A$5:$CD$9142,18,FALSE)</f>
        <v>N/A</v>
      </c>
      <c r="F115" s="12" t="str">
        <f>VLOOKUP($A115,'Matriz POA 2024-TRABAJO'!$A$5:$CD$9142,20,FALSE)</f>
        <v>N/A</v>
      </c>
      <c r="G115" s="12" t="str">
        <f>VLOOKUP($A115,'Matriz POA 2024-TRABAJO'!$A$5:$CD$9142,21,FALSE)</f>
        <v>N/A</v>
      </c>
      <c r="H115" s="12" t="str">
        <f>VLOOKUP($A115,'Matriz POA 2024-TRABAJO'!$A$5:$CD$9142,22,FALSE)</f>
        <v>N/A</v>
      </c>
      <c r="I115" s="12" t="str">
        <f>VLOOKUP($A115,'Matriz POA 2024-TRABAJO'!$A$5:$CD$9142,23,FALSE)</f>
        <v>NUEVA</v>
      </c>
      <c r="J115" s="12" t="str">
        <f>VLOOKUP($A115,'Matriz POA 2024-TRABAJO'!$A$5:$CD$9142,24,FALSE)</f>
        <v>Contratación del servicio de combustible para  los vehículos de la Corporación Ciudad Alfaro para el año 2024</v>
      </c>
      <c r="K115" s="12" t="str">
        <f>VLOOKUP($A115,'Matriz POA 2024-TRABAJO'!$A$5:$CD$9142,25,FALSE)</f>
        <v>0035</v>
      </c>
      <c r="L115" s="12" t="str">
        <f>VLOOKUP($A115,'Matriz POA 2024-TRABAJO'!$A$5:$CD$9142,26,FALSE)</f>
        <v>80</v>
      </c>
      <c r="M115" s="12" t="str">
        <f>VLOOKUP($A115,'Matriz POA 2024-TRABAJO'!$A$5:$CD$9142,27,FALSE)</f>
        <v>000</v>
      </c>
      <c r="N115" s="12" t="str">
        <f>VLOOKUP($A115,'Matriz POA 2024-TRABAJO'!$A$5:$CD$9142,28,FALSE)</f>
        <v>002</v>
      </c>
      <c r="O115" s="12" t="str">
        <f>VLOOKUP($A115,'Matriz POA 2024-TRABAJO'!$A$5:$CD$9142,29,FALSE)</f>
        <v>53</v>
      </c>
      <c r="P115" s="12">
        <f>VLOOKUP($A115,'Matriz POA 2024-TRABAJO'!$A$5:$CD$9142,30,FALSE)</f>
        <v>530255</v>
      </c>
      <c r="Q115" s="12">
        <f>VLOOKUP($A115,'Matriz POA 2024-TRABAJO'!$A$5:$CD$9142,32,FALSE)</f>
        <v>1309</v>
      </c>
      <c r="R115" s="12" t="str">
        <f>VLOOKUP($A115,'Matriz POA 2024-TRABAJO'!$A$5:$CD$9142,33,FALSE)</f>
        <v>001</v>
      </c>
      <c r="S115" s="12" t="str">
        <f>VLOOKUP($A115,'Matriz POA 2024-TRABAJO'!$A$5:$CD$9142,34,FALSE)</f>
        <v>0000</v>
      </c>
      <c r="T115" s="12" t="str">
        <f>VLOOKUP($A115,'Matriz POA 2024-TRABAJO'!$A$5:$CD$9142,35,FALSE)</f>
        <v>0000</v>
      </c>
      <c r="U115" s="62">
        <f>VLOOKUP($A115,'Matriz POA 2024-TRABAJO'!$A$5:$CD$9142,66,FALSE)</f>
        <v>6659.36</v>
      </c>
      <c r="V115" s="62">
        <f>VLOOKUP($A115,'Matriz POA 2024-TRABAJO'!$A$5:$CD$9142,67,FALSE)</f>
        <v>0</v>
      </c>
      <c r="W115" s="62">
        <f>VLOOKUP($A115,'Matriz POA 2024-TRABAJO'!$A$5:$CD$9142,68,FALSE)</f>
        <v>6659.36</v>
      </c>
      <c r="X115" s="62">
        <f>VLOOKUP($A115,'Matriz POA 2024-TRABAJO'!$A$5:$CD$9142,72,FALSE)</f>
        <v>3278.5299999999997</v>
      </c>
      <c r="Y115" s="388">
        <v>0</v>
      </c>
      <c r="Z115" s="388">
        <v>0</v>
      </c>
      <c r="AA115" s="388">
        <v>0</v>
      </c>
      <c r="AB115" s="389">
        <v>6659.36</v>
      </c>
      <c r="AC115" s="389"/>
      <c r="AD115" s="13"/>
      <c r="AE115" s="13"/>
      <c r="AF115" s="13">
        <f t="shared" si="16"/>
        <v>6659.36</v>
      </c>
      <c r="AG115" s="13">
        <f t="shared" si="17"/>
        <v>0</v>
      </c>
      <c r="AH115" s="13">
        <f t="shared" si="25"/>
        <v>6659.36</v>
      </c>
      <c r="AI115" s="129"/>
      <c r="AJ115" s="129">
        <v>605.39</v>
      </c>
      <c r="AK115" s="129">
        <v>605.39</v>
      </c>
      <c r="AL115" s="129">
        <v>605.39</v>
      </c>
      <c r="AM115" s="129">
        <v>605.39</v>
      </c>
      <c r="AN115" s="129">
        <v>605.39</v>
      </c>
      <c r="AO115" s="129">
        <v>605.39</v>
      </c>
      <c r="AP115" s="129">
        <v>605.39</v>
      </c>
      <c r="AQ115" s="129">
        <v>605.39</v>
      </c>
      <c r="AR115" s="129">
        <v>605.39</v>
      </c>
      <c r="AS115" s="129">
        <v>605.39</v>
      </c>
      <c r="AT115" s="129">
        <v>605.46</v>
      </c>
      <c r="AU115" s="129">
        <f t="shared" si="26"/>
        <v>6659.3600000000006</v>
      </c>
      <c r="AV115" s="13" t="b">
        <f t="shared" si="20"/>
        <v>1</v>
      </c>
      <c r="AW115" s="14" t="s">
        <v>964</v>
      </c>
      <c r="AX115" t="s">
        <v>962</v>
      </c>
      <c r="AY115" s="16">
        <v>45310</v>
      </c>
      <c r="AZ115" t="s">
        <v>963</v>
      </c>
      <c r="BA115" s="16">
        <v>45313</v>
      </c>
      <c r="BB115" s="17">
        <f t="shared" si="27"/>
        <v>3</v>
      </c>
      <c r="BC115" s="12"/>
      <c r="BD115" s="15"/>
      <c r="BE115" s="18"/>
      <c r="BF115" s="12"/>
      <c r="BG115" s="19" t="str">
        <f t="shared" si="28"/>
        <v>enero</v>
      </c>
      <c r="BH115" s="12" t="str">
        <f t="shared" si="23"/>
        <v>Corporación Ciudad Alfaro</v>
      </c>
      <c r="BI115" s="20" t="str">
        <f t="shared" si="24"/>
        <v>N/A</v>
      </c>
    </row>
    <row r="116" spans="1:61" ht="24.95" customHeight="1">
      <c r="A116" s="8">
        <v>735</v>
      </c>
      <c r="B116" s="12" t="str">
        <f>VLOOKUP($A116,'Matriz POA 2024-TRABAJO'!$A$5:$CD$9142,11,FALSE)</f>
        <v>Corporación Ciudad Alfaro</v>
      </c>
      <c r="C116" s="12" t="str">
        <f>VLOOKUP($A116,'Matriz POA 2024-TRABAJO'!$A$5:$CD$9142,14,FALSE)</f>
        <v>N/A</v>
      </c>
      <c r="D116" s="12" t="str">
        <f>VLOOKUP($A116,'Matriz POA 2024-TRABAJO'!$A$5:$CD$9142,15,FALSE)</f>
        <v>N/A</v>
      </c>
      <c r="E116" s="12" t="str">
        <f>VLOOKUP($A116,'Matriz POA 2024-TRABAJO'!$A$5:$CD$9142,18,FALSE)</f>
        <v>N/A</v>
      </c>
      <c r="F116" s="12" t="str">
        <f>VLOOKUP($A116,'Matriz POA 2024-TRABAJO'!$A$5:$CD$9142,20,FALSE)</f>
        <v>N/A</v>
      </c>
      <c r="G116" s="12" t="str">
        <f>VLOOKUP($A116,'Matriz POA 2024-TRABAJO'!$A$5:$CD$9142,21,FALSE)</f>
        <v>N/A</v>
      </c>
      <c r="H116" s="12" t="str">
        <f>VLOOKUP($A116,'Matriz POA 2024-TRABAJO'!$A$5:$CD$9142,22,FALSE)</f>
        <v>N/A</v>
      </c>
      <c r="I116" s="12" t="str">
        <f>VLOOKUP($A116,'Matriz POA 2024-TRABAJO'!$A$5:$CD$9142,23,FALSE)</f>
        <v>NUEVA</v>
      </c>
      <c r="J116" s="12" t="str">
        <f>VLOOKUP($A116,'Matriz POA 2024-TRABAJO'!$A$5:$CD$9142,24,FALSE)</f>
        <v>Obligaciones de Ejercicios Anteriores por Egresos de Personal</v>
      </c>
      <c r="K116" s="12" t="str">
        <f>VLOOKUP($A116,'Matriz POA 2024-TRABAJO'!$A$5:$CD$9142,25,FALSE)</f>
        <v>0035</v>
      </c>
      <c r="L116" s="12" t="str">
        <f>VLOOKUP($A116,'Matriz POA 2024-TRABAJO'!$A$5:$CD$9142,26,FALSE)</f>
        <v>80</v>
      </c>
      <c r="M116" s="12" t="str">
        <f>VLOOKUP($A116,'Matriz POA 2024-TRABAJO'!$A$5:$CD$9142,27,FALSE)</f>
        <v>000</v>
      </c>
      <c r="N116" s="12" t="str">
        <f>VLOOKUP($A116,'Matriz POA 2024-TRABAJO'!$A$5:$CD$9142,28,FALSE)</f>
        <v>002</v>
      </c>
      <c r="O116" s="12" t="str">
        <f>VLOOKUP($A116,'Matriz POA 2024-TRABAJO'!$A$5:$CD$9142,29,FALSE)</f>
        <v>99</v>
      </c>
      <c r="P116" s="12">
        <f>VLOOKUP($A116,'Matriz POA 2024-TRABAJO'!$A$5:$CD$9142,30,FALSE)</f>
        <v>990101</v>
      </c>
      <c r="Q116" s="12">
        <f>VLOOKUP($A116,'Matriz POA 2024-TRABAJO'!$A$5:$CD$9142,32,FALSE)</f>
        <v>1300</v>
      </c>
      <c r="R116" s="12" t="str">
        <f>VLOOKUP($A116,'Matriz POA 2024-TRABAJO'!$A$5:$CD$9142,33,FALSE)</f>
        <v>001</v>
      </c>
      <c r="S116" s="12" t="str">
        <f>VLOOKUP($A116,'Matriz POA 2024-TRABAJO'!$A$5:$CD$9142,34,FALSE)</f>
        <v>0000</v>
      </c>
      <c r="T116" s="12" t="str">
        <f>VLOOKUP($A116,'Matriz POA 2024-TRABAJO'!$A$5:$CD$9142,35,FALSE)</f>
        <v>0000</v>
      </c>
      <c r="U116" s="62" t="str">
        <f>VLOOKUP($A116,'Matriz POA 2024-TRABAJO'!$A$5:$CD$9142,66,FALSE)</f>
        <v/>
      </c>
      <c r="V116" s="62" t="str">
        <f>VLOOKUP($A116,'Matriz POA 2024-TRABAJO'!$A$5:$CD$9142,67,FALSE)</f>
        <v/>
      </c>
      <c r="W116" s="62" t="str">
        <f>VLOOKUP($A116,'Matriz POA 2024-TRABAJO'!$A$5:$CD$9142,68,FALSE)</f>
        <v/>
      </c>
      <c r="X116" s="62" t="str">
        <f>VLOOKUP($A116,'Matriz POA 2024-TRABAJO'!$A$5:$CD$9142,72,FALSE)</f>
        <v/>
      </c>
      <c r="Y116" s="388">
        <v>0</v>
      </c>
      <c r="Z116" s="388">
        <v>0</v>
      </c>
      <c r="AA116" s="388">
        <v>0</v>
      </c>
      <c r="AB116" s="389">
        <v>5558.56</v>
      </c>
      <c r="AC116" s="389"/>
      <c r="AD116" s="13"/>
      <c r="AE116" s="13"/>
      <c r="AF116" s="13">
        <f t="shared" si="16"/>
        <v>5558.56</v>
      </c>
      <c r="AG116" s="13">
        <f t="shared" si="17"/>
        <v>0</v>
      </c>
      <c r="AH116" s="13">
        <f t="shared" si="25"/>
        <v>5558.56</v>
      </c>
      <c r="AI116" s="129">
        <v>463.14</v>
      </c>
      <c r="AJ116" s="129">
        <v>463.14</v>
      </c>
      <c r="AK116" s="129">
        <v>463.14</v>
      </c>
      <c r="AL116" s="129">
        <v>463.14</v>
      </c>
      <c r="AM116" s="129">
        <v>463.14</v>
      </c>
      <c r="AN116" s="129">
        <v>463.14</v>
      </c>
      <c r="AO116" s="129">
        <v>463.14</v>
      </c>
      <c r="AP116" s="129">
        <v>463.14</v>
      </c>
      <c r="AQ116" s="129">
        <v>463.14</v>
      </c>
      <c r="AR116" s="129">
        <v>463.14</v>
      </c>
      <c r="AS116" s="129">
        <v>463.14</v>
      </c>
      <c r="AT116" s="129">
        <v>464.02</v>
      </c>
      <c r="AU116" s="129">
        <f t="shared" si="26"/>
        <v>5558.5599999999995</v>
      </c>
      <c r="AV116" s="13" t="b">
        <f t="shared" si="20"/>
        <v>1</v>
      </c>
      <c r="AW116" s="14" t="s">
        <v>964</v>
      </c>
      <c r="AX116" t="s">
        <v>962</v>
      </c>
      <c r="AY116" s="16">
        <v>45310</v>
      </c>
      <c r="AZ116" t="s">
        <v>963</v>
      </c>
      <c r="BA116" s="16">
        <v>45313</v>
      </c>
      <c r="BB116" s="17">
        <f t="shared" si="27"/>
        <v>3</v>
      </c>
      <c r="BC116" s="12"/>
      <c r="BD116" s="15"/>
      <c r="BE116" s="18"/>
      <c r="BF116" s="12"/>
      <c r="BG116" s="19" t="str">
        <f t="shared" si="28"/>
        <v>enero</v>
      </c>
      <c r="BH116" s="12" t="str">
        <f t="shared" si="23"/>
        <v>Corporación Ciudad Alfaro</v>
      </c>
      <c r="BI116" s="20" t="str">
        <f t="shared" si="24"/>
        <v>N/A</v>
      </c>
    </row>
    <row r="117" spans="1:61" ht="24.95" customHeight="1">
      <c r="A117" s="8">
        <v>735</v>
      </c>
      <c r="B117" s="12" t="str">
        <f>VLOOKUP($A117,'Matriz POA 2024-TRABAJO'!$A$5:$CD$9142,11,FALSE)</f>
        <v>Corporación Ciudad Alfaro</v>
      </c>
      <c r="C117" s="12" t="str">
        <f>VLOOKUP($A117,'Matriz POA 2024-TRABAJO'!$A$5:$CD$9142,14,FALSE)</f>
        <v>N/A</v>
      </c>
      <c r="D117" s="12" t="str">
        <f>VLOOKUP($A117,'Matriz POA 2024-TRABAJO'!$A$5:$CD$9142,15,FALSE)</f>
        <v>N/A</v>
      </c>
      <c r="E117" s="12" t="str">
        <f>VLOOKUP($A117,'Matriz POA 2024-TRABAJO'!$A$5:$CD$9142,18,FALSE)</f>
        <v>N/A</v>
      </c>
      <c r="F117" s="12" t="str">
        <f>VLOOKUP($A117,'Matriz POA 2024-TRABAJO'!$A$5:$CD$9142,20,FALSE)</f>
        <v>N/A</v>
      </c>
      <c r="G117" s="12" t="str">
        <f>VLOOKUP($A117,'Matriz POA 2024-TRABAJO'!$A$5:$CD$9142,21,FALSE)</f>
        <v>N/A</v>
      </c>
      <c r="H117" s="12" t="str">
        <f>VLOOKUP($A117,'Matriz POA 2024-TRABAJO'!$A$5:$CD$9142,22,FALSE)</f>
        <v>N/A</v>
      </c>
      <c r="I117" s="12" t="str">
        <f>VLOOKUP($A117,'Matriz POA 2024-TRABAJO'!$A$5:$CD$9142,23,FALSE)</f>
        <v>NUEVA</v>
      </c>
      <c r="J117" s="12" t="str">
        <f>VLOOKUP($A117,'Matriz POA 2024-TRABAJO'!$A$5:$CD$9142,24,FALSE)</f>
        <v>Obligaciones de Ejercicios Anteriores por Egresos de Personal</v>
      </c>
      <c r="K117" s="12" t="str">
        <f>VLOOKUP($A117,'Matriz POA 2024-TRABAJO'!$A$5:$CD$9142,25,FALSE)</f>
        <v>0035</v>
      </c>
      <c r="L117" s="12" t="str">
        <f>VLOOKUP($A117,'Matriz POA 2024-TRABAJO'!$A$5:$CD$9142,26,FALSE)</f>
        <v>80</v>
      </c>
      <c r="M117" s="12" t="str">
        <f>VLOOKUP($A117,'Matriz POA 2024-TRABAJO'!$A$5:$CD$9142,27,FALSE)</f>
        <v>000</v>
      </c>
      <c r="N117" s="12" t="str">
        <f>VLOOKUP($A117,'Matriz POA 2024-TRABAJO'!$A$5:$CD$9142,28,FALSE)</f>
        <v>002</v>
      </c>
      <c r="O117" s="12" t="str">
        <f>VLOOKUP($A117,'Matriz POA 2024-TRABAJO'!$A$5:$CD$9142,29,FALSE)</f>
        <v>99</v>
      </c>
      <c r="P117" s="12">
        <f>VLOOKUP($A117,'Matriz POA 2024-TRABAJO'!$A$5:$CD$9142,30,FALSE)</f>
        <v>990101</v>
      </c>
      <c r="Q117" s="12">
        <f>VLOOKUP($A117,'Matriz POA 2024-TRABAJO'!$A$5:$CD$9142,32,FALSE)</f>
        <v>1300</v>
      </c>
      <c r="R117" s="12" t="str">
        <f>VLOOKUP($A117,'Matriz POA 2024-TRABAJO'!$A$5:$CD$9142,33,FALSE)</f>
        <v>001</v>
      </c>
      <c r="S117" s="12" t="str">
        <f>VLOOKUP($A117,'Matriz POA 2024-TRABAJO'!$A$5:$CD$9142,34,FALSE)</f>
        <v>0000</v>
      </c>
      <c r="T117" s="12" t="str">
        <f>VLOOKUP($A117,'Matriz POA 2024-TRABAJO'!$A$5:$CD$9142,35,FALSE)</f>
        <v>0000</v>
      </c>
      <c r="U117" s="62" t="str">
        <f>VLOOKUP($A117,'Matriz POA 2024-TRABAJO'!$A$5:$CD$9142,66,FALSE)</f>
        <v/>
      </c>
      <c r="V117" s="62" t="str">
        <f>VLOOKUP($A117,'Matriz POA 2024-TRABAJO'!$A$5:$CD$9142,67,FALSE)</f>
        <v/>
      </c>
      <c r="W117" s="62" t="str">
        <f>VLOOKUP($A117,'Matriz POA 2024-TRABAJO'!$A$5:$CD$9142,68,FALSE)</f>
        <v/>
      </c>
      <c r="X117" s="62" t="str">
        <f>VLOOKUP($A117,'Matriz POA 2024-TRABAJO'!$A$5:$CD$9142,72,FALSE)</f>
        <v/>
      </c>
      <c r="Y117" s="388">
        <v>5558.56</v>
      </c>
      <c r="Z117" s="388">
        <v>0</v>
      </c>
      <c r="AA117" s="388">
        <v>5558.56</v>
      </c>
      <c r="AB117" s="389"/>
      <c r="AC117" s="389">
        <v>-5558.56</v>
      </c>
      <c r="AD117" s="13"/>
      <c r="AE117" s="13"/>
      <c r="AF117" s="13">
        <f t="shared" ref="AF117:AF118" si="29">Y117+AB117+AC117</f>
        <v>0</v>
      </c>
      <c r="AG117" s="13">
        <f t="shared" ref="AG117:AG118" si="30">Z117+AD117+AE117</f>
        <v>0</v>
      </c>
      <c r="AH117" s="13">
        <f t="shared" ref="AH117:AH118" si="31">+AF117+AG117</f>
        <v>0</v>
      </c>
      <c r="AI117" s="129"/>
      <c r="AJ117" s="129"/>
      <c r="AK117" s="129"/>
      <c r="AL117" s="129"/>
      <c r="AM117" s="129"/>
      <c r="AN117" s="129"/>
      <c r="AO117" s="129"/>
      <c r="AP117" s="129"/>
      <c r="AQ117" s="129"/>
      <c r="AR117" s="129"/>
      <c r="AS117" s="129"/>
      <c r="AT117" s="129"/>
      <c r="AU117" s="129">
        <f t="shared" ref="AU117:AU118" si="32">SUM(AI117:AT117)</f>
        <v>0</v>
      </c>
      <c r="AV117" s="13" t="b">
        <f t="shared" ref="AV117:AV118" si="33">SUM(AI117:AT117)=AH117</f>
        <v>1</v>
      </c>
      <c r="AW117" s="14" t="s">
        <v>967</v>
      </c>
      <c r="AX117" s="92" t="s">
        <v>968</v>
      </c>
      <c r="AY117" s="142">
        <v>45317</v>
      </c>
      <c r="AZ117" t="s">
        <v>969</v>
      </c>
      <c r="BA117" s="16">
        <v>45320</v>
      </c>
      <c r="BB117" s="17">
        <f t="shared" ref="BB117:BB118" si="34">BA117-AY117</f>
        <v>3</v>
      </c>
      <c r="BC117" s="12"/>
      <c r="BD117" s="15"/>
      <c r="BE117" s="18"/>
      <c r="BF117" s="12"/>
      <c r="BG117" s="19" t="str">
        <f t="shared" ref="BG117:BG118" si="35">TEXT(BA117,"MMMM")</f>
        <v>enero</v>
      </c>
      <c r="BH117" s="12" t="str">
        <f t="shared" ref="BH117:BH118" si="36">B117</f>
        <v>Corporación Ciudad Alfaro</v>
      </c>
      <c r="BI117" s="20" t="str">
        <f t="shared" ref="BI117:BI118" si="37">E117</f>
        <v>N/A</v>
      </c>
    </row>
    <row r="118" spans="1:61" ht="24.95" customHeight="1">
      <c r="A118" s="8">
        <v>741</v>
      </c>
      <c r="B118" s="12" t="str">
        <f>VLOOKUP($A118,'Matriz POA 2024-TRABAJO'!$A$5:$CD$9142,11,FALSE)</f>
        <v>Corporación Ciudad Alfaro</v>
      </c>
      <c r="C118" s="12" t="str">
        <f>VLOOKUP($A118,'Matriz POA 2024-TRABAJO'!$A$5:$CD$9142,14,FALSE)</f>
        <v>N/A</v>
      </c>
      <c r="D118" s="12" t="str">
        <f>VLOOKUP($A118,'Matriz POA 2024-TRABAJO'!$A$5:$CD$9142,15,FALSE)</f>
        <v>N/A</v>
      </c>
      <c r="E118" s="12" t="str">
        <f>VLOOKUP($A118,'Matriz POA 2024-TRABAJO'!$A$5:$CD$9142,18,FALSE)</f>
        <v>N/A</v>
      </c>
      <c r="F118" s="12" t="str">
        <f>VLOOKUP($A118,'Matriz POA 2024-TRABAJO'!$A$5:$CD$9142,20,FALSE)</f>
        <v>N/A</v>
      </c>
      <c r="G118" s="12" t="str">
        <f>VLOOKUP($A118,'Matriz POA 2024-TRABAJO'!$A$5:$CD$9142,21,FALSE)</f>
        <v>N/A</v>
      </c>
      <c r="H118" s="12" t="str">
        <f>VLOOKUP($A118,'Matriz POA 2024-TRABAJO'!$A$5:$CD$9142,22,FALSE)</f>
        <v>N/A</v>
      </c>
      <c r="I118" s="12" t="str">
        <f>VLOOKUP($A118,'Matriz POA 2024-TRABAJO'!$A$5:$CD$9142,23,FALSE)</f>
        <v>NUEVA</v>
      </c>
      <c r="J118" s="12" t="str">
        <f>VLOOKUP($A118,'Matriz POA 2024-TRABAJO'!$A$5:$CD$9142,24,FALSE)</f>
        <v>Obligaciones de Ejercicios Anteriores por Egresos de Personal</v>
      </c>
      <c r="K118" s="12" t="str">
        <f>VLOOKUP($A118,'Matriz POA 2024-TRABAJO'!$A$5:$CD$9142,25,FALSE)</f>
        <v>0035</v>
      </c>
      <c r="L118" s="12" t="str">
        <f>VLOOKUP($A118,'Matriz POA 2024-TRABAJO'!$A$5:$CD$9142,26,FALSE)</f>
        <v>80</v>
      </c>
      <c r="M118" s="12" t="str">
        <f>VLOOKUP($A118,'Matriz POA 2024-TRABAJO'!$A$5:$CD$9142,27,FALSE)</f>
        <v>000</v>
      </c>
      <c r="N118" s="12" t="str">
        <f>VLOOKUP($A118,'Matriz POA 2024-TRABAJO'!$A$5:$CD$9142,28,FALSE)</f>
        <v>002</v>
      </c>
      <c r="O118" s="12" t="str">
        <f>VLOOKUP($A118,'Matriz POA 2024-TRABAJO'!$A$5:$CD$9142,29,FALSE)</f>
        <v>99</v>
      </c>
      <c r="P118" s="12">
        <f>VLOOKUP($A118,'Matriz POA 2024-TRABAJO'!$A$5:$CD$9142,30,FALSE)</f>
        <v>990101</v>
      </c>
      <c r="Q118" s="12">
        <f>VLOOKUP($A118,'Matriz POA 2024-TRABAJO'!$A$5:$CD$9142,32,FALSE)</f>
        <v>1309</v>
      </c>
      <c r="R118" s="12" t="str">
        <f>VLOOKUP($A118,'Matriz POA 2024-TRABAJO'!$A$5:$CD$9142,33,FALSE)</f>
        <v>001</v>
      </c>
      <c r="S118" s="12" t="str">
        <f>VLOOKUP($A118,'Matriz POA 2024-TRABAJO'!$A$5:$CD$9142,34,FALSE)</f>
        <v>0000</v>
      </c>
      <c r="T118" s="12" t="str">
        <f>VLOOKUP($A118,'Matriz POA 2024-TRABAJO'!$A$5:$CD$9142,35,FALSE)</f>
        <v>0000</v>
      </c>
      <c r="U118" s="62">
        <f>VLOOKUP($A118,'Matriz POA 2024-TRABAJO'!$A$5:$CD$9142,66,FALSE)</f>
        <v>11120.92</v>
      </c>
      <c r="V118" s="62">
        <f>VLOOKUP($A118,'Matriz POA 2024-TRABAJO'!$A$5:$CD$9142,67,FALSE)</f>
        <v>-5560.46</v>
      </c>
      <c r="W118" s="62">
        <f>VLOOKUP($A118,'Matriz POA 2024-TRABAJO'!$A$5:$CD$9142,68,FALSE)</f>
        <v>0</v>
      </c>
      <c r="X118" s="62">
        <f>VLOOKUP($A118,'Matriz POA 2024-TRABAJO'!$A$5:$CD$9142,72,FALSE)</f>
        <v>5560.46</v>
      </c>
      <c r="Y118" s="388">
        <v>0</v>
      </c>
      <c r="Z118" s="388">
        <v>0</v>
      </c>
      <c r="AA118" s="388">
        <v>0</v>
      </c>
      <c r="AB118" s="389">
        <v>5558.56</v>
      </c>
      <c r="AC118" s="389"/>
      <c r="AD118" s="13"/>
      <c r="AE118" s="13"/>
      <c r="AF118" s="13">
        <f t="shared" si="29"/>
        <v>5558.56</v>
      </c>
      <c r="AG118" s="13">
        <f t="shared" si="30"/>
        <v>0</v>
      </c>
      <c r="AH118" s="13">
        <f t="shared" si="31"/>
        <v>5558.56</v>
      </c>
      <c r="AI118" s="129">
        <v>463.14</v>
      </c>
      <c r="AJ118" s="129">
        <v>463.14</v>
      </c>
      <c r="AK118" s="129">
        <v>463.14</v>
      </c>
      <c r="AL118" s="129">
        <v>463.14</v>
      </c>
      <c r="AM118" s="129">
        <v>463.14</v>
      </c>
      <c r="AN118" s="129">
        <v>463.14</v>
      </c>
      <c r="AO118" s="129">
        <v>463.14</v>
      </c>
      <c r="AP118" s="129">
        <v>463.14</v>
      </c>
      <c r="AQ118" s="129">
        <v>463.14</v>
      </c>
      <c r="AR118" s="129">
        <v>463.14</v>
      </c>
      <c r="AS118" s="129">
        <v>463.14</v>
      </c>
      <c r="AT118" s="129">
        <v>464.02</v>
      </c>
      <c r="AU118" s="129">
        <f t="shared" si="32"/>
        <v>5558.5599999999995</v>
      </c>
      <c r="AV118" s="13" t="b">
        <f t="shared" si="33"/>
        <v>1</v>
      </c>
      <c r="AW118" s="14" t="s">
        <v>967</v>
      </c>
      <c r="AX118" s="92" t="s">
        <v>968</v>
      </c>
      <c r="AY118" s="142">
        <v>45317</v>
      </c>
      <c r="AZ118" t="s">
        <v>969</v>
      </c>
      <c r="BA118" s="16">
        <v>45320</v>
      </c>
      <c r="BB118" s="17">
        <f t="shared" si="34"/>
        <v>3</v>
      </c>
      <c r="BC118" s="12"/>
      <c r="BD118" s="15"/>
      <c r="BE118" s="18"/>
      <c r="BF118" s="12"/>
      <c r="BG118" s="19" t="str">
        <f t="shared" si="35"/>
        <v>enero</v>
      </c>
      <c r="BH118" s="12" t="str">
        <f t="shared" si="36"/>
        <v>Corporación Ciudad Alfaro</v>
      </c>
      <c r="BI118" s="20" t="str">
        <f t="shared" si="37"/>
        <v>N/A</v>
      </c>
    </row>
    <row r="119" spans="1:61" ht="24.95" customHeight="1">
      <c r="A119" s="8">
        <v>466</v>
      </c>
      <c r="B119" s="12" t="str">
        <f>VLOOKUP($A119,'Matriz POA 2024-TRABAJO'!$A$5:$CD$9142,11,FALSE)</f>
        <v>Corporación Ciudad Alfaro</v>
      </c>
      <c r="C119" s="12" t="str">
        <f>VLOOKUP($A119,'Matriz POA 2024-TRABAJO'!$A$5:$CD$9142,14,FALSE)</f>
        <v>N/A</v>
      </c>
      <c r="D119" s="12" t="str">
        <f>VLOOKUP($A119,'Matriz POA 2024-TRABAJO'!$A$5:$CD$9142,15,FALSE)</f>
        <v>N/A</v>
      </c>
      <c r="E119" s="12" t="str">
        <f>VLOOKUP($A119,'Matriz POA 2024-TRABAJO'!$A$5:$CD$9142,18,FALSE)</f>
        <v>N/A</v>
      </c>
      <c r="F119" s="12" t="str">
        <f>VLOOKUP($A119,'Matriz POA 2024-TRABAJO'!$A$5:$CD$9142,20,FALSE)</f>
        <v>N/A</v>
      </c>
      <c r="G119" s="12" t="str">
        <f>VLOOKUP($A119,'Matriz POA 2024-TRABAJO'!$A$5:$CD$9142,21,FALSE)</f>
        <v>N/A</v>
      </c>
      <c r="H119" s="12" t="str">
        <f>VLOOKUP($A119,'Matriz POA 2024-TRABAJO'!$A$5:$CD$9142,22,FALSE)</f>
        <v>N/A</v>
      </c>
      <c r="I119" s="12" t="str">
        <f>VLOOKUP($A119,'Matriz POA 2024-TRABAJO'!$A$5:$CD$9142,23,FALSE)</f>
        <v>NUEVA</v>
      </c>
      <c r="J119" s="12" t="str">
        <f>VLOOKUP($A119,'Matriz POA 2024-TRABAJO'!$A$5:$CD$9142,24,FALSE)</f>
        <v xml:space="preserve">Pago de impuesto predial 2023 del Museo Centro Cultural Manta </v>
      </c>
      <c r="K119" s="12" t="str">
        <f>VLOOKUP($A119,'Matriz POA 2024-TRABAJO'!$A$5:$CD$9142,25,FALSE)</f>
        <v>0035</v>
      </c>
      <c r="L119" s="12" t="str">
        <f>VLOOKUP($A119,'Matriz POA 2024-TRABAJO'!$A$5:$CD$9142,26,FALSE)</f>
        <v>80</v>
      </c>
      <c r="M119" s="12" t="str">
        <f>VLOOKUP($A119,'Matriz POA 2024-TRABAJO'!$A$5:$CD$9142,27,FALSE)</f>
        <v>000</v>
      </c>
      <c r="N119" s="12" t="str">
        <f>VLOOKUP($A119,'Matriz POA 2024-TRABAJO'!$A$5:$CD$9142,28,FALSE)</f>
        <v>002</v>
      </c>
      <c r="O119" s="12" t="str">
        <f>VLOOKUP($A119,'Matriz POA 2024-TRABAJO'!$A$5:$CD$9142,29,FALSE)</f>
        <v>57</v>
      </c>
      <c r="P119" s="12">
        <f>VLOOKUP($A119,'Matriz POA 2024-TRABAJO'!$A$5:$CD$9142,30,FALSE)</f>
        <v>570102</v>
      </c>
      <c r="Q119" s="12">
        <f>VLOOKUP($A119,'Matriz POA 2024-TRABAJO'!$A$5:$CD$9142,32,FALSE)</f>
        <v>1308</v>
      </c>
      <c r="R119" s="12" t="str">
        <f>VLOOKUP($A119,'Matriz POA 2024-TRABAJO'!$A$5:$CD$9142,33,FALSE)</f>
        <v>001</v>
      </c>
      <c r="S119" s="12" t="str">
        <f>VLOOKUP($A119,'Matriz POA 2024-TRABAJO'!$A$5:$CD$9142,34,FALSE)</f>
        <v>0000</v>
      </c>
      <c r="T119" s="12" t="str">
        <f>VLOOKUP($A119,'Matriz POA 2024-TRABAJO'!$A$5:$CD$9142,35,FALSE)</f>
        <v>0000</v>
      </c>
      <c r="U119" s="62" t="str">
        <f>VLOOKUP($A119,'Matriz POA 2024-TRABAJO'!$A$5:$CD$9142,66,FALSE)</f>
        <v/>
      </c>
      <c r="V119" s="62" t="str">
        <f>VLOOKUP($A119,'Matriz POA 2024-TRABAJO'!$A$5:$CD$9142,67,FALSE)</f>
        <v/>
      </c>
      <c r="W119" s="62" t="str">
        <f>VLOOKUP($A119,'Matriz POA 2024-TRABAJO'!$A$5:$CD$9142,68,FALSE)</f>
        <v/>
      </c>
      <c r="X119" s="62" t="str">
        <f>VLOOKUP($A119,'Matriz POA 2024-TRABAJO'!$A$5:$CD$9142,72,FALSE)</f>
        <v/>
      </c>
      <c r="Y119" s="388">
        <v>7224.4400000000005</v>
      </c>
      <c r="Z119" s="388">
        <v>0</v>
      </c>
      <c r="AA119" s="388">
        <v>7224.4400000000005</v>
      </c>
      <c r="AB119" s="389"/>
      <c r="AC119" s="389">
        <v>-7224.44</v>
      </c>
      <c r="AD119" s="13"/>
      <c r="AE119" s="13"/>
      <c r="AF119" s="13">
        <f t="shared" ref="AF119:AF120" si="38">Y119+AB119+AC119</f>
        <v>0</v>
      </c>
      <c r="AG119" s="13">
        <f t="shared" ref="AG119:AG120" si="39">Z119+AD119+AE119</f>
        <v>0</v>
      </c>
      <c r="AH119" s="13">
        <f t="shared" ref="AH119:AH120" si="40">+AF119+AG119</f>
        <v>0</v>
      </c>
      <c r="AI119" s="129"/>
      <c r="AJ119" s="129"/>
      <c r="AK119" s="129"/>
      <c r="AL119" s="129"/>
      <c r="AM119" s="129"/>
      <c r="AN119" s="129"/>
      <c r="AO119" s="129"/>
      <c r="AP119" s="129"/>
      <c r="AQ119" s="129"/>
      <c r="AR119" s="129"/>
      <c r="AS119" s="129"/>
      <c r="AT119" s="129"/>
      <c r="AU119" s="129">
        <f t="shared" ref="AU119:AU120" si="41">SUM(AI119:AT119)</f>
        <v>0</v>
      </c>
      <c r="AV119" s="13" t="b">
        <f t="shared" ref="AV119:AV120" si="42">SUM(AI119:AT119)=AH119</f>
        <v>1</v>
      </c>
      <c r="AW119" s="14" t="s">
        <v>970</v>
      </c>
      <c r="AX119" s="15" t="s">
        <v>971</v>
      </c>
      <c r="AY119" s="16">
        <v>45321</v>
      </c>
      <c r="AZ119" s="15" t="s">
        <v>972</v>
      </c>
      <c r="BA119" s="16">
        <v>45327</v>
      </c>
      <c r="BB119" s="17">
        <f t="shared" ref="BB119:BB120" si="43">BA119-AY119</f>
        <v>6</v>
      </c>
      <c r="BC119" s="12"/>
      <c r="BD119" s="15"/>
      <c r="BE119" s="18"/>
      <c r="BF119" s="12"/>
      <c r="BG119" s="19" t="str">
        <f t="shared" ref="BG119:BG120" si="44">TEXT(BA119,"MMMM")</f>
        <v>febrero</v>
      </c>
      <c r="BH119" s="12" t="str">
        <f t="shared" ref="BH119:BH120" si="45">B119</f>
        <v>Corporación Ciudad Alfaro</v>
      </c>
      <c r="BI119" s="20" t="str">
        <f t="shared" ref="BI119:BI120" si="46">E119</f>
        <v>N/A</v>
      </c>
    </row>
    <row r="120" spans="1:61" ht="24.95" customHeight="1">
      <c r="A120" s="8">
        <v>780</v>
      </c>
      <c r="B120" s="12" t="str">
        <f>VLOOKUP($A120,'Matriz POA 2024-TRABAJO'!$A$5:$CD$9142,11,FALSE)</f>
        <v>Corporación Ciudad Alfaro</v>
      </c>
      <c r="C120" s="12" t="str">
        <f>VLOOKUP($A120,'Matriz POA 2024-TRABAJO'!$A$5:$CD$9142,14,FALSE)</f>
        <v>N/A</v>
      </c>
      <c r="D120" s="12" t="str">
        <f>VLOOKUP($A120,'Matriz POA 2024-TRABAJO'!$A$5:$CD$9142,15,FALSE)</f>
        <v>N/A</v>
      </c>
      <c r="E120" s="12" t="str">
        <f>VLOOKUP($A120,'Matriz POA 2024-TRABAJO'!$A$5:$CD$9142,18,FALSE)</f>
        <v>N/A</v>
      </c>
      <c r="F120" s="12" t="str">
        <f>VLOOKUP($A120,'Matriz POA 2024-TRABAJO'!$A$5:$CD$9142,20,FALSE)</f>
        <v>N/A</v>
      </c>
      <c r="G120" s="12" t="str">
        <f>VLOOKUP($A120,'Matriz POA 2024-TRABAJO'!$A$5:$CD$9142,21,FALSE)</f>
        <v>N/A</v>
      </c>
      <c r="H120" s="12" t="str">
        <f>VLOOKUP($A120,'Matriz POA 2024-TRABAJO'!$A$5:$CD$9142,22,FALSE)</f>
        <v>N/A</v>
      </c>
      <c r="I120" s="12" t="str">
        <f>VLOOKUP($A120,'Matriz POA 2024-TRABAJO'!$A$5:$CD$9142,23,FALSE)</f>
        <v>NUEVA</v>
      </c>
      <c r="J120" s="12" t="str">
        <f>VLOOKUP($A120,'Matriz POA 2024-TRABAJO'!$A$5:$CD$9142,24,FALSE)</f>
        <v xml:space="preserve">Pago de impuesto predial 2024 del Museo Centro Cultural Manta </v>
      </c>
      <c r="K120" s="12" t="str">
        <f>VLOOKUP($A120,'Matriz POA 2024-TRABAJO'!$A$5:$CD$9142,25,FALSE)</f>
        <v>0035</v>
      </c>
      <c r="L120" s="12" t="str">
        <f>VLOOKUP($A120,'Matriz POA 2024-TRABAJO'!$A$5:$CD$9142,26,FALSE)</f>
        <v>80</v>
      </c>
      <c r="M120" s="12" t="str">
        <f>VLOOKUP($A120,'Matriz POA 2024-TRABAJO'!$A$5:$CD$9142,27,FALSE)</f>
        <v>000</v>
      </c>
      <c r="N120" s="12" t="str">
        <f>VLOOKUP($A120,'Matriz POA 2024-TRABAJO'!$A$5:$CD$9142,28,FALSE)</f>
        <v>002</v>
      </c>
      <c r="O120" s="12" t="str">
        <f>VLOOKUP($A120,'Matriz POA 2024-TRABAJO'!$A$5:$CD$9142,29,FALSE)</f>
        <v>57</v>
      </c>
      <c r="P120" s="12">
        <f>VLOOKUP($A120,'Matriz POA 2024-TRABAJO'!$A$5:$CD$9142,30,FALSE)</f>
        <v>570102</v>
      </c>
      <c r="Q120" s="12">
        <f>VLOOKUP($A120,'Matriz POA 2024-TRABAJO'!$A$5:$CD$9142,32,FALSE)</f>
        <v>1308</v>
      </c>
      <c r="R120" s="12" t="str">
        <f>VLOOKUP($A120,'Matriz POA 2024-TRABAJO'!$A$5:$CD$9142,33,FALSE)</f>
        <v>001</v>
      </c>
      <c r="S120" s="12" t="str">
        <f>VLOOKUP($A120,'Matriz POA 2024-TRABAJO'!$A$5:$CD$9142,34,FALSE)</f>
        <v>0000</v>
      </c>
      <c r="T120" s="12" t="str">
        <f>VLOOKUP($A120,'Matriz POA 2024-TRABAJO'!$A$5:$CD$9142,35,FALSE)</f>
        <v>0000</v>
      </c>
      <c r="U120" s="62">
        <f>VLOOKUP($A120,'Matriz POA 2024-TRABAJO'!$A$5:$CD$9142,66,FALSE)</f>
        <v>6283.11</v>
      </c>
      <c r="V120" s="62">
        <f>VLOOKUP($A120,'Matriz POA 2024-TRABAJO'!$A$5:$CD$9142,67,FALSE)</f>
        <v>0</v>
      </c>
      <c r="W120" s="62">
        <f>VLOOKUP($A120,'Matriz POA 2024-TRABAJO'!$A$5:$CD$9142,68,FALSE)</f>
        <v>0</v>
      </c>
      <c r="X120" s="62">
        <f>VLOOKUP($A120,'Matriz POA 2024-TRABAJO'!$A$5:$CD$9142,72,FALSE)</f>
        <v>6283.11</v>
      </c>
      <c r="Y120" s="388">
        <v>0</v>
      </c>
      <c r="Z120" s="388">
        <v>0</v>
      </c>
      <c r="AA120" s="388">
        <v>0</v>
      </c>
      <c r="AB120" s="389">
        <v>7224.44</v>
      </c>
      <c r="AC120" s="389"/>
      <c r="AD120" s="13"/>
      <c r="AE120" s="13"/>
      <c r="AF120" s="13">
        <f t="shared" si="38"/>
        <v>7224.44</v>
      </c>
      <c r="AG120" s="13">
        <f t="shared" si="39"/>
        <v>0</v>
      </c>
      <c r="AH120" s="13">
        <f t="shared" si="40"/>
        <v>7224.44</v>
      </c>
      <c r="AI120" s="129"/>
      <c r="AJ120" s="129">
        <v>7224.44</v>
      </c>
      <c r="AK120" s="129"/>
      <c r="AL120" s="129"/>
      <c r="AM120" s="129"/>
      <c r="AN120" s="129"/>
      <c r="AO120" s="129"/>
      <c r="AP120" s="129"/>
      <c r="AQ120" s="129"/>
      <c r="AR120" s="129"/>
      <c r="AS120" s="129"/>
      <c r="AT120" s="129"/>
      <c r="AU120" s="129">
        <f t="shared" si="41"/>
        <v>7224.44</v>
      </c>
      <c r="AV120" s="13" t="b">
        <f t="shared" si="42"/>
        <v>1</v>
      </c>
      <c r="AW120" s="14" t="s">
        <v>970</v>
      </c>
      <c r="AX120" s="15" t="s">
        <v>971</v>
      </c>
      <c r="AY120" s="16">
        <v>45321</v>
      </c>
      <c r="AZ120" s="15" t="s">
        <v>972</v>
      </c>
      <c r="BA120" s="16">
        <v>45327</v>
      </c>
      <c r="BB120" s="17">
        <f t="shared" si="43"/>
        <v>6</v>
      </c>
      <c r="BC120" s="12"/>
      <c r="BD120" s="15"/>
      <c r="BE120" s="18"/>
      <c r="BF120" s="12"/>
      <c r="BG120" s="19" t="str">
        <f t="shared" si="44"/>
        <v>febrero</v>
      </c>
      <c r="BH120" s="12" t="str">
        <f t="shared" si="45"/>
        <v>Corporación Ciudad Alfaro</v>
      </c>
      <c r="BI120" s="20" t="str">
        <f t="shared" si="46"/>
        <v>N/A</v>
      </c>
    </row>
    <row r="121" spans="1:61" ht="24.95" customHeight="1">
      <c r="A121" s="8">
        <v>419</v>
      </c>
      <c r="B121" s="12" t="str">
        <f>VLOOKUP($A121,'Matriz POA 2024-TRABAJO'!$A$5:$CD$9142,11,FALSE)</f>
        <v>Corporación Ciudad Alfaro</v>
      </c>
      <c r="C121" s="12" t="str">
        <f>VLOOKUP($A121,'Matriz POA 2024-TRABAJO'!$A$5:$CD$9142,14,FALSE)</f>
        <v>N/A</v>
      </c>
      <c r="D121" s="12" t="str">
        <f>VLOOKUP($A121,'Matriz POA 2024-TRABAJO'!$A$5:$CD$9142,15,FALSE)</f>
        <v>N/A</v>
      </c>
      <c r="E121" s="12" t="str">
        <f>VLOOKUP($A121,'Matriz POA 2024-TRABAJO'!$A$5:$CD$9142,18,FALSE)</f>
        <v>N/A</v>
      </c>
      <c r="F121" s="12" t="str">
        <f>VLOOKUP($A121,'Matriz POA 2024-TRABAJO'!$A$5:$CD$9142,20,FALSE)</f>
        <v>N/A</v>
      </c>
      <c r="G121" s="12" t="str">
        <f>VLOOKUP($A121,'Matriz POA 2024-TRABAJO'!$A$5:$CD$9142,21,FALSE)</f>
        <v>N/A</v>
      </c>
      <c r="H121" s="12" t="str">
        <f>VLOOKUP($A121,'Matriz POA 2024-TRABAJO'!$A$5:$CD$9142,22,FALSE)</f>
        <v>N/A</v>
      </c>
      <c r="I121" s="12" t="str">
        <f>VLOOKUP($A121,'Matriz POA 2024-TRABAJO'!$A$5:$CD$9142,23,FALSE)</f>
        <v>NUEVA</v>
      </c>
      <c r="J121" s="12" t="str">
        <f>VLOOKUP($A121,'Matriz POA 2024-TRABAJO'!$A$5:$CD$9142,24,FALSE)</f>
        <v>Compensación por Transporte</v>
      </c>
      <c r="K121" s="12" t="str">
        <f>VLOOKUP($A121,'Matriz POA 2024-TRABAJO'!$A$5:$CD$9142,25,FALSE)</f>
        <v>0035</v>
      </c>
      <c r="L121" s="12" t="str">
        <f>VLOOKUP($A121,'Matriz POA 2024-TRABAJO'!$A$5:$CD$9142,26,FALSE)</f>
        <v>80</v>
      </c>
      <c r="M121" s="12" t="str">
        <f>VLOOKUP($A121,'Matriz POA 2024-TRABAJO'!$A$5:$CD$9142,27,FALSE)</f>
        <v>000</v>
      </c>
      <c r="N121" s="12" t="str">
        <f>VLOOKUP($A121,'Matriz POA 2024-TRABAJO'!$A$5:$CD$9142,28,FALSE)</f>
        <v>002</v>
      </c>
      <c r="O121" s="12" t="str">
        <f>VLOOKUP($A121,'Matriz POA 2024-TRABAJO'!$A$5:$CD$9142,29,FALSE)</f>
        <v>51</v>
      </c>
      <c r="P121" s="12">
        <f>VLOOKUP($A121,'Matriz POA 2024-TRABAJO'!$A$5:$CD$9142,30,FALSE)</f>
        <v>510304</v>
      </c>
      <c r="Q121" s="12">
        <f>VLOOKUP($A121,'Matriz POA 2024-TRABAJO'!$A$5:$CD$9142,32,FALSE)</f>
        <v>1300</v>
      </c>
      <c r="R121" s="12" t="str">
        <f>VLOOKUP($A121,'Matriz POA 2024-TRABAJO'!$A$5:$CD$9142,33,FALSE)</f>
        <v>001</v>
      </c>
      <c r="S121" s="12" t="str">
        <f>VLOOKUP($A121,'Matriz POA 2024-TRABAJO'!$A$5:$CD$9142,34,FALSE)</f>
        <v>0000</v>
      </c>
      <c r="T121" s="12" t="str">
        <f>VLOOKUP($A121,'Matriz POA 2024-TRABAJO'!$A$5:$CD$9142,35,FALSE)</f>
        <v>0000</v>
      </c>
      <c r="U121" s="62" t="str">
        <f>VLOOKUP($A121,'Matriz POA 2024-TRABAJO'!$A$5:$CD$9142,66,FALSE)</f>
        <v/>
      </c>
      <c r="V121" s="62" t="str">
        <f>VLOOKUP($A121,'Matriz POA 2024-TRABAJO'!$A$5:$CD$9142,67,FALSE)</f>
        <v/>
      </c>
      <c r="W121" s="62">
        <f>VLOOKUP($A121,'Matriz POA 2024-TRABAJO'!$A$5:$CD$9142,68,FALSE)</f>
        <v>0</v>
      </c>
      <c r="X121" s="62">
        <f>VLOOKUP($A121,'Matriz POA 2024-TRABAJO'!$A$5:$CD$9142,72,FALSE)</f>
        <v>1186</v>
      </c>
      <c r="Y121" s="388">
        <v>1320</v>
      </c>
      <c r="Z121" s="388">
        <v>0</v>
      </c>
      <c r="AA121" s="388">
        <v>1320</v>
      </c>
      <c r="AB121" s="389"/>
      <c r="AC121" s="389"/>
      <c r="AD121" s="13"/>
      <c r="AE121" s="13"/>
      <c r="AF121" s="13">
        <f t="shared" ref="AF121:AF139" si="47">Y121+AB121+AC121</f>
        <v>1320</v>
      </c>
      <c r="AG121" s="13">
        <f t="shared" ref="AG121:AG139" si="48">Z121+AD121+AE121</f>
        <v>0</v>
      </c>
      <c r="AH121" s="13">
        <f t="shared" ref="AH121:AH137" si="49">+AF121+AG121</f>
        <v>1320</v>
      </c>
      <c r="AI121" s="129">
        <v>102.62</v>
      </c>
      <c r="AJ121" s="129">
        <v>102.62</v>
      </c>
      <c r="AK121" s="129">
        <v>102.62</v>
      </c>
      <c r="AL121" s="129">
        <v>102.62</v>
      </c>
      <c r="AM121" s="129">
        <v>102.62</v>
      </c>
      <c r="AN121" s="129">
        <v>102.62</v>
      </c>
      <c r="AO121" s="129">
        <v>102.62</v>
      </c>
      <c r="AP121" s="129">
        <v>102.62</v>
      </c>
      <c r="AQ121" s="129">
        <v>102.62</v>
      </c>
      <c r="AR121" s="129">
        <v>102.62</v>
      </c>
      <c r="AS121" s="129">
        <v>102.62</v>
      </c>
      <c r="AT121" s="129">
        <v>102.68</v>
      </c>
      <c r="AU121" s="129">
        <f t="shared" ref="AU121:AU137" si="50">SUM(AI121:AT121)</f>
        <v>1231.5000000000002</v>
      </c>
      <c r="AV121" s="13" t="b">
        <f t="shared" ref="AV121:AV139" si="51">SUM(AI121:AT121)=AH121</f>
        <v>0</v>
      </c>
      <c r="AW121" s="14" t="s">
        <v>976</v>
      </c>
      <c r="AX121" t="s">
        <v>977</v>
      </c>
      <c r="AY121" s="16">
        <v>45331</v>
      </c>
      <c r="AZ121" s="377" t="s">
        <v>978</v>
      </c>
      <c r="BA121" s="259"/>
      <c r="BB121" s="17">
        <f t="shared" ref="BB121:BB137" si="52">BA121-AY121</f>
        <v>-45331</v>
      </c>
      <c r="BC121" s="12"/>
      <c r="BD121" s="15"/>
      <c r="BE121" s="18"/>
      <c r="BF121" s="12"/>
      <c r="BG121" s="19" t="str">
        <f t="shared" ref="BG121:BG137" si="53">TEXT(BA121,"MMMM")</f>
        <v>enero</v>
      </c>
      <c r="BH121" s="12" t="str">
        <f t="shared" ref="BH121:BH139" si="54">B121</f>
        <v>Corporación Ciudad Alfaro</v>
      </c>
      <c r="BI121" s="20" t="str">
        <f t="shared" ref="BI121:BI139" si="55">E121</f>
        <v>N/A</v>
      </c>
    </row>
    <row r="122" spans="1:61" ht="24.95" customHeight="1">
      <c r="A122" s="8">
        <v>420</v>
      </c>
      <c r="B122" s="12" t="str">
        <f>VLOOKUP($A122,'Matriz POA 2024-TRABAJO'!$A$5:$CD$9142,11,FALSE)</f>
        <v>Corporación Ciudad Alfaro</v>
      </c>
      <c r="C122" s="12" t="str">
        <f>VLOOKUP($A122,'Matriz POA 2024-TRABAJO'!$A$5:$CD$9142,14,FALSE)</f>
        <v>N/A</v>
      </c>
      <c r="D122" s="12" t="str">
        <f>VLOOKUP($A122,'Matriz POA 2024-TRABAJO'!$A$5:$CD$9142,15,FALSE)</f>
        <v>N/A</v>
      </c>
      <c r="E122" s="12" t="str">
        <f>VLOOKUP($A122,'Matriz POA 2024-TRABAJO'!$A$5:$CD$9142,18,FALSE)</f>
        <v>N/A</v>
      </c>
      <c r="F122" s="12" t="str">
        <f>VLOOKUP($A122,'Matriz POA 2024-TRABAJO'!$A$5:$CD$9142,20,FALSE)</f>
        <v>N/A</v>
      </c>
      <c r="G122" s="12" t="str">
        <f>VLOOKUP($A122,'Matriz POA 2024-TRABAJO'!$A$5:$CD$9142,21,FALSE)</f>
        <v>N/A</v>
      </c>
      <c r="H122" s="12" t="str">
        <f>VLOOKUP($A122,'Matriz POA 2024-TRABAJO'!$A$5:$CD$9142,22,FALSE)</f>
        <v>N/A</v>
      </c>
      <c r="I122" s="12" t="str">
        <f>VLOOKUP($A122,'Matriz POA 2024-TRABAJO'!$A$5:$CD$9142,23,FALSE)</f>
        <v>NUEVA</v>
      </c>
      <c r="J122" s="12" t="str">
        <f>VLOOKUP($A122,'Matriz POA 2024-TRABAJO'!$A$5:$CD$9142,24,FALSE)</f>
        <v>Alimentación</v>
      </c>
      <c r="K122" s="12" t="str">
        <f>VLOOKUP($A122,'Matriz POA 2024-TRABAJO'!$A$5:$CD$9142,25,FALSE)</f>
        <v>0035</v>
      </c>
      <c r="L122" s="12" t="str">
        <f>VLOOKUP($A122,'Matriz POA 2024-TRABAJO'!$A$5:$CD$9142,26,FALSE)</f>
        <v>80</v>
      </c>
      <c r="M122" s="12" t="str">
        <f>VLOOKUP($A122,'Matriz POA 2024-TRABAJO'!$A$5:$CD$9142,27,FALSE)</f>
        <v>000</v>
      </c>
      <c r="N122" s="12" t="str">
        <f>VLOOKUP($A122,'Matriz POA 2024-TRABAJO'!$A$5:$CD$9142,28,FALSE)</f>
        <v>002</v>
      </c>
      <c r="O122" s="12" t="str">
        <f>VLOOKUP($A122,'Matriz POA 2024-TRABAJO'!$A$5:$CD$9142,29,FALSE)</f>
        <v>51</v>
      </c>
      <c r="P122" s="12">
        <f>VLOOKUP($A122,'Matriz POA 2024-TRABAJO'!$A$5:$CD$9142,30,FALSE)</f>
        <v>510306</v>
      </c>
      <c r="Q122" s="12">
        <f>VLOOKUP($A122,'Matriz POA 2024-TRABAJO'!$A$5:$CD$9142,32,FALSE)</f>
        <v>1300</v>
      </c>
      <c r="R122" s="12" t="str">
        <f>VLOOKUP($A122,'Matriz POA 2024-TRABAJO'!$A$5:$CD$9142,33,FALSE)</f>
        <v>001</v>
      </c>
      <c r="S122" s="12" t="str">
        <f>VLOOKUP($A122,'Matriz POA 2024-TRABAJO'!$A$5:$CD$9142,34,FALSE)</f>
        <v>0000</v>
      </c>
      <c r="T122" s="12" t="str">
        <f>VLOOKUP($A122,'Matriz POA 2024-TRABAJO'!$A$5:$CD$9142,35,FALSE)</f>
        <v>0000</v>
      </c>
      <c r="U122" s="62" t="str">
        <f>VLOOKUP($A122,'Matriz POA 2024-TRABAJO'!$A$5:$CD$9142,66,FALSE)</f>
        <v/>
      </c>
      <c r="V122" s="62" t="str">
        <f>VLOOKUP($A122,'Matriz POA 2024-TRABAJO'!$A$5:$CD$9142,67,FALSE)</f>
        <v/>
      </c>
      <c r="W122" s="62">
        <f>VLOOKUP($A122,'Matriz POA 2024-TRABAJO'!$A$5:$CD$9142,68,FALSE)</f>
        <v>0</v>
      </c>
      <c r="X122" s="62">
        <f>VLOOKUP($A122,'Matriz POA 2024-TRABAJO'!$A$5:$CD$9142,72,FALSE)</f>
        <v>8302</v>
      </c>
      <c r="Y122" s="388">
        <v>9240</v>
      </c>
      <c r="Z122" s="388">
        <v>0</v>
      </c>
      <c r="AA122" s="388">
        <v>9240</v>
      </c>
      <c r="AB122" s="389"/>
      <c r="AC122" s="389"/>
      <c r="AD122" s="13"/>
      <c r="AE122" s="13"/>
      <c r="AF122" s="13">
        <f t="shared" si="47"/>
        <v>9240</v>
      </c>
      <c r="AG122" s="13">
        <f t="shared" si="48"/>
        <v>0</v>
      </c>
      <c r="AH122" s="13">
        <f t="shared" si="49"/>
        <v>9240</v>
      </c>
      <c r="AI122" s="129">
        <v>718.37</v>
      </c>
      <c r="AJ122" s="129">
        <v>718.37</v>
      </c>
      <c r="AK122" s="129">
        <v>718.37</v>
      </c>
      <c r="AL122" s="129">
        <v>718.37</v>
      </c>
      <c r="AM122" s="129">
        <v>718.37</v>
      </c>
      <c r="AN122" s="129">
        <v>718.37</v>
      </c>
      <c r="AO122" s="129">
        <v>718.37</v>
      </c>
      <c r="AP122" s="129">
        <v>718.37</v>
      </c>
      <c r="AQ122" s="129">
        <v>718.37</v>
      </c>
      <c r="AR122" s="129">
        <v>718.37</v>
      </c>
      <c r="AS122" s="129">
        <v>718.37</v>
      </c>
      <c r="AT122" s="129">
        <v>718.43</v>
      </c>
      <c r="AU122" s="129">
        <f t="shared" si="50"/>
        <v>8620.5</v>
      </c>
      <c r="AV122" s="13" t="b">
        <f t="shared" si="51"/>
        <v>0</v>
      </c>
      <c r="AW122" s="14" t="s">
        <v>976</v>
      </c>
      <c r="AX122" t="s">
        <v>977</v>
      </c>
      <c r="AY122" s="16">
        <v>45331</v>
      </c>
      <c r="AZ122" s="377" t="s">
        <v>978</v>
      </c>
      <c r="BA122" s="259"/>
      <c r="BB122" s="17">
        <f t="shared" si="52"/>
        <v>-45331</v>
      </c>
      <c r="BC122" s="12"/>
      <c r="BD122" s="15"/>
      <c r="BE122" s="18"/>
      <c r="BF122" s="12"/>
      <c r="BG122" s="19" t="str">
        <f t="shared" si="53"/>
        <v>enero</v>
      </c>
      <c r="BH122" s="12" t="str">
        <f t="shared" si="54"/>
        <v>Corporación Ciudad Alfaro</v>
      </c>
      <c r="BI122" s="20" t="str">
        <f t="shared" si="55"/>
        <v>N/A</v>
      </c>
    </row>
    <row r="123" spans="1:61" ht="24.95" customHeight="1">
      <c r="A123" s="8">
        <v>421</v>
      </c>
      <c r="B123" s="12" t="str">
        <f>VLOOKUP($A123,'Matriz POA 2024-TRABAJO'!$A$5:$CD$9142,11,FALSE)</f>
        <v>Corporación Ciudad Alfaro</v>
      </c>
      <c r="C123" s="12" t="str">
        <f>VLOOKUP($A123,'Matriz POA 2024-TRABAJO'!$A$5:$CD$9142,14,FALSE)</f>
        <v>N/A</v>
      </c>
      <c r="D123" s="12" t="str">
        <f>VLOOKUP($A123,'Matriz POA 2024-TRABAJO'!$A$5:$CD$9142,15,FALSE)</f>
        <v>N/A</v>
      </c>
      <c r="E123" s="12" t="str">
        <f>VLOOKUP($A123,'Matriz POA 2024-TRABAJO'!$A$5:$CD$9142,18,FALSE)</f>
        <v>N/A</v>
      </c>
      <c r="F123" s="12" t="str">
        <f>VLOOKUP($A123,'Matriz POA 2024-TRABAJO'!$A$5:$CD$9142,20,FALSE)</f>
        <v>N/A</v>
      </c>
      <c r="G123" s="12" t="str">
        <f>VLOOKUP($A123,'Matriz POA 2024-TRABAJO'!$A$5:$CD$9142,21,FALSE)</f>
        <v>N/A</v>
      </c>
      <c r="H123" s="12" t="str">
        <f>VLOOKUP($A123,'Matriz POA 2024-TRABAJO'!$A$5:$CD$9142,22,FALSE)</f>
        <v>N/A</v>
      </c>
      <c r="I123" s="12" t="str">
        <f>VLOOKUP($A123,'Matriz POA 2024-TRABAJO'!$A$5:$CD$9142,23,FALSE)</f>
        <v>NUEVA</v>
      </c>
      <c r="J123" s="12" t="str">
        <f>VLOOKUP($A123,'Matriz POA 2024-TRABAJO'!$A$5:$CD$9142,24,FALSE)</f>
        <v>Por Cargas Familiares</v>
      </c>
      <c r="K123" s="12" t="str">
        <f>VLOOKUP($A123,'Matriz POA 2024-TRABAJO'!$A$5:$CD$9142,25,FALSE)</f>
        <v>0035</v>
      </c>
      <c r="L123" s="12" t="str">
        <f>VLOOKUP($A123,'Matriz POA 2024-TRABAJO'!$A$5:$CD$9142,26,FALSE)</f>
        <v>80</v>
      </c>
      <c r="M123" s="12" t="str">
        <f>VLOOKUP($A123,'Matriz POA 2024-TRABAJO'!$A$5:$CD$9142,27,FALSE)</f>
        <v>000</v>
      </c>
      <c r="N123" s="12" t="str">
        <f>VLOOKUP($A123,'Matriz POA 2024-TRABAJO'!$A$5:$CD$9142,28,FALSE)</f>
        <v>002</v>
      </c>
      <c r="O123" s="12" t="str">
        <f>VLOOKUP($A123,'Matriz POA 2024-TRABAJO'!$A$5:$CD$9142,29,FALSE)</f>
        <v>51</v>
      </c>
      <c r="P123" s="12">
        <f>VLOOKUP($A123,'Matriz POA 2024-TRABAJO'!$A$5:$CD$9142,30,FALSE)</f>
        <v>510401</v>
      </c>
      <c r="Q123" s="12">
        <f>VLOOKUP($A123,'Matriz POA 2024-TRABAJO'!$A$5:$CD$9142,32,FALSE)</f>
        <v>1300</v>
      </c>
      <c r="R123" s="12" t="str">
        <f>VLOOKUP($A123,'Matriz POA 2024-TRABAJO'!$A$5:$CD$9142,33,FALSE)</f>
        <v>001</v>
      </c>
      <c r="S123" s="12" t="str">
        <f>VLOOKUP($A123,'Matriz POA 2024-TRABAJO'!$A$5:$CD$9142,34,FALSE)</f>
        <v>0000</v>
      </c>
      <c r="T123" s="12" t="str">
        <f>VLOOKUP($A123,'Matriz POA 2024-TRABAJO'!$A$5:$CD$9142,35,FALSE)</f>
        <v>0000</v>
      </c>
      <c r="U123" s="62" t="str">
        <f>VLOOKUP($A123,'Matriz POA 2024-TRABAJO'!$A$5:$CD$9142,66,FALSE)</f>
        <v/>
      </c>
      <c r="V123" s="62" t="str">
        <f>VLOOKUP($A123,'Matriz POA 2024-TRABAJO'!$A$5:$CD$9142,67,FALSE)</f>
        <v/>
      </c>
      <c r="W123" s="62">
        <f>VLOOKUP($A123,'Matriz POA 2024-TRABAJO'!$A$5:$CD$9142,68,FALSE)</f>
        <v>0</v>
      </c>
      <c r="X123" s="62">
        <f>VLOOKUP($A123,'Matriz POA 2024-TRABAJO'!$A$5:$CD$9142,72,FALSE)</f>
        <v>396.47999999999996</v>
      </c>
      <c r="Y123" s="388">
        <v>453.12</v>
      </c>
      <c r="Z123" s="388">
        <v>0</v>
      </c>
      <c r="AA123" s="388">
        <v>453.12</v>
      </c>
      <c r="AB123" s="389"/>
      <c r="AC123" s="389"/>
      <c r="AD123" s="13"/>
      <c r="AE123" s="13"/>
      <c r="AF123" s="13">
        <f t="shared" si="47"/>
        <v>453.12</v>
      </c>
      <c r="AG123" s="13">
        <f t="shared" si="48"/>
        <v>0</v>
      </c>
      <c r="AH123" s="13">
        <f t="shared" si="49"/>
        <v>453.12</v>
      </c>
      <c r="AI123" s="129">
        <v>34.81</v>
      </c>
      <c r="AJ123" s="129">
        <v>34.81</v>
      </c>
      <c r="AK123" s="129">
        <v>34.81</v>
      </c>
      <c r="AL123" s="129">
        <v>34.81</v>
      </c>
      <c r="AM123" s="129">
        <v>34.81</v>
      </c>
      <c r="AN123" s="129">
        <v>34.81</v>
      </c>
      <c r="AO123" s="129">
        <v>34.81</v>
      </c>
      <c r="AP123" s="129">
        <v>34.81</v>
      </c>
      <c r="AQ123" s="129">
        <v>34.81</v>
      </c>
      <c r="AR123" s="129">
        <v>34.81</v>
      </c>
      <c r="AS123" s="129">
        <v>34.81</v>
      </c>
      <c r="AT123" s="129">
        <v>34.81</v>
      </c>
      <c r="AU123" s="129">
        <f t="shared" si="50"/>
        <v>417.72</v>
      </c>
      <c r="AV123" s="13" t="b">
        <f t="shared" si="51"/>
        <v>0</v>
      </c>
      <c r="AW123" s="14" t="s">
        <v>976</v>
      </c>
      <c r="AX123" t="s">
        <v>977</v>
      </c>
      <c r="AY123" s="16">
        <v>45331</v>
      </c>
      <c r="AZ123" s="377" t="s">
        <v>978</v>
      </c>
      <c r="BA123" s="259"/>
      <c r="BB123" s="17">
        <f t="shared" si="52"/>
        <v>-45331</v>
      </c>
      <c r="BC123" s="12"/>
      <c r="BD123" s="15"/>
      <c r="BE123" s="18"/>
      <c r="BF123" s="12"/>
      <c r="BG123" s="19" t="str">
        <f t="shared" si="53"/>
        <v>enero</v>
      </c>
      <c r="BH123" s="12" t="str">
        <f t="shared" si="54"/>
        <v>Corporación Ciudad Alfaro</v>
      </c>
      <c r="BI123" s="20" t="str">
        <f t="shared" si="55"/>
        <v>N/A</v>
      </c>
    </row>
    <row r="124" spans="1:61" ht="24.95" customHeight="1">
      <c r="A124" s="8">
        <v>422</v>
      </c>
      <c r="B124" s="12" t="str">
        <f>VLOOKUP($A124,'Matriz POA 2024-TRABAJO'!$A$5:$CD$9142,11,FALSE)</f>
        <v>Corporación Ciudad Alfaro</v>
      </c>
      <c r="C124" s="12" t="str">
        <f>VLOOKUP($A124,'Matriz POA 2024-TRABAJO'!$A$5:$CD$9142,14,FALSE)</f>
        <v>N/A</v>
      </c>
      <c r="D124" s="12" t="str">
        <f>VLOOKUP($A124,'Matriz POA 2024-TRABAJO'!$A$5:$CD$9142,15,FALSE)</f>
        <v>N/A</v>
      </c>
      <c r="E124" s="12" t="str">
        <f>VLOOKUP($A124,'Matriz POA 2024-TRABAJO'!$A$5:$CD$9142,18,FALSE)</f>
        <v>N/A</v>
      </c>
      <c r="F124" s="12" t="str">
        <f>VLOOKUP($A124,'Matriz POA 2024-TRABAJO'!$A$5:$CD$9142,20,FALSE)</f>
        <v>N/A</v>
      </c>
      <c r="G124" s="12" t="str">
        <f>VLOOKUP($A124,'Matriz POA 2024-TRABAJO'!$A$5:$CD$9142,21,FALSE)</f>
        <v>N/A</v>
      </c>
      <c r="H124" s="12" t="str">
        <f>VLOOKUP($A124,'Matriz POA 2024-TRABAJO'!$A$5:$CD$9142,22,FALSE)</f>
        <v>N/A</v>
      </c>
      <c r="I124" s="12" t="str">
        <f>VLOOKUP($A124,'Matriz POA 2024-TRABAJO'!$A$5:$CD$9142,23,FALSE)</f>
        <v>NUEVA</v>
      </c>
      <c r="J124" s="12" t="str">
        <f>VLOOKUP($A124,'Matriz POA 2024-TRABAJO'!$A$5:$CD$9142,24,FALSE)</f>
        <v>Subsidio de Antigüedad</v>
      </c>
      <c r="K124" s="12" t="str">
        <f>VLOOKUP($A124,'Matriz POA 2024-TRABAJO'!$A$5:$CD$9142,25,FALSE)</f>
        <v>0035</v>
      </c>
      <c r="L124" s="12" t="str">
        <f>VLOOKUP($A124,'Matriz POA 2024-TRABAJO'!$A$5:$CD$9142,26,FALSE)</f>
        <v>80</v>
      </c>
      <c r="M124" s="12" t="str">
        <f>VLOOKUP($A124,'Matriz POA 2024-TRABAJO'!$A$5:$CD$9142,27,FALSE)</f>
        <v>000</v>
      </c>
      <c r="N124" s="12" t="str">
        <f>VLOOKUP($A124,'Matriz POA 2024-TRABAJO'!$A$5:$CD$9142,28,FALSE)</f>
        <v>002</v>
      </c>
      <c r="O124" s="12" t="str">
        <f>VLOOKUP($A124,'Matriz POA 2024-TRABAJO'!$A$5:$CD$9142,29,FALSE)</f>
        <v>51</v>
      </c>
      <c r="P124" s="12">
        <f>VLOOKUP($A124,'Matriz POA 2024-TRABAJO'!$A$5:$CD$9142,30,FALSE)</f>
        <v>510408</v>
      </c>
      <c r="Q124" s="12">
        <f>VLOOKUP($A124,'Matriz POA 2024-TRABAJO'!$A$5:$CD$9142,32,FALSE)</f>
        <v>1300</v>
      </c>
      <c r="R124" s="12" t="str">
        <f>VLOOKUP($A124,'Matriz POA 2024-TRABAJO'!$A$5:$CD$9142,33,FALSE)</f>
        <v>001</v>
      </c>
      <c r="S124" s="12" t="str">
        <f>VLOOKUP($A124,'Matriz POA 2024-TRABAJO'!$A$5:$CD$9142,34,FALSE)</f>
        <v>0000</v>
      </c>
      <c r="T124" s="12" t="str">
        <f>VLOOKUP($A124,'Matriz POA 2024-TRABAJO'!$A$5:$CD$9142,35,FALSE)</f>
        <v>0000</v>
      </c>
      <c r="U124" s="62" t="str">
        <f>VLOOKUP($A124,'Matriz POA 2024-TRABAJO'!$A$5:$CD$9142,66,FALSE)</f>
        <v/>
      </c>
      <c r="V124" s="62" t="str">
        <f>VLOOKUP($A124,'Matriz POA 2024-TRABAJO'!$A$5:$CD$9142,67,FALSE)</f>
        <v/>
      </c>
      <c r="W124" s="62">
        <f>VLOOKUP($A124,'Matriz POA 2024-TRABAJO'!$A$5:$CD$9142,68,FALSE)</f>
        <v>0</v>
      </c>
      <c r="X124" s="62">
        <f>VLOOKUP($A124,'Matriz POA 2024-TRABAJO'!$A$5:$CD$9142,72,FALSE)</f>
        <v>443.83</v>
      </c>
      <c r="Y124" s="388">
        <v>1010</v>
      </c>
      <c r="Z124" s="388">
        <v>0</v>
      </c>
      <c r="AA124" s="388">
        <v>1010</v>
      </c>
      <c r="AB124" s="389"/>
      <c r="AC124" s="389"/>
      <c r="AD124" s="13"/>
      <c r="AE124" s="13"/>
      <c r="AF124" s="13">
        <f t="shared" si="47"/>
        <v>1010</v>
      </c>
      <c r="AG124" s="13">
        <f t="shared" si="48"/>
        <v>0</v>
      </c>
      <c r="AH124" s="13">
        <f t="shared" si="49"/>
        <v>1010</v>
      </c>
      <c r="AI124" s="129">
        <v>77.84</v>
      </c>
      <c r="AJ124" s="129">
        <v>77.84</v>
      </c>
      <c r="AK124" s="129">
        <v>77.84</v>
      </c>
      <c r="AL124" s="129">
        <v>77.84</v>
      </c>
      <c r="AM124" s="129">
        <v>77.84</v>
      </c>
      <c r="AN124" s="129">
        <v>77.84</v>
      </c>
      <c r="AO124" s="129">
        <v>77.84</v>
      </c>
      <c r="AP124" s="129">
        <v>77.84</v>
      </c>
      <c r="AQ124" s="129">
        <v>77.84</v>
      </c>
      <c r="AR124" s="129">
        <v>77.84</v>
      </c>
      <c r="AS124" s="129">
        <v>77.84</v>
      </c>
      <c r="AT124" s="129">
        <v>77.95</v>
      </c>
      <c r="AU124" s="129">
        <f t="shared" si="50"/>
        <v>934.19000000000028</v>
      </c>
      <c r="AV124" s="13" t="b">
        <f t="shared" si="51"/>
        <v>0</v>
      </c>
      <c r="AW124" s="14" t="s">
        <v>976</v>
      </c>
      <c r="AX124" t="s">
        <v>977</v>
      </c>
      <c r="AY124" s="16">
        <v>45331</v>
      </c>
      <c r="AZ124" s="377" t="s">
        <v>978</v>
      </c>
      <c r="BA124" s="259"/>
      <c r="BB124" s="17">
        <f t="shared" si="52"/>
        <v>-45331</v>
      </c>
      <c r="BC124" s="12"/>
      <c r="BD124" s="15"/>
      <c r="BE124" s="18"/>
      <c r="BF124" s="12"/>
      <c r="BG124" s="19" t="str">
        <f t="shared" si="53"/>
        <v>enero</v>
      </c>
      <c r="BH124" s="12" t="str">
        <f t="shared" si="54"/>
        <v>Corporación Ciudad Alfaro</v>
      </c>
      <c r="BI124" s="20" t="str">
        <f t="shared" si="55"/>
        <v>N/A</v>
      </c>
    </row>
    <row r="125" spans="1:61" ht="24.95" customHeight="1">
      <c r="A125" s="8">
        <v>437</v>
      </c>
      <c r="B125" s="12" t="str">
        <f>VLOOKUP($A125,'Matriz POA 2024-TRABAJO'!$A$5:$CD$9142,11,FALSE)</f>
        <v>Corporación Ciudad Alfaro</v>
      </c>
      <c r="C125" s="12" t="str">
        <f>VLOOKUP($A125,'Matriz POA 2024-TRABAJO'!$A$5:$CD$9142,14,FALSE)</f>
        <v>N/A</v>
      </c>
      <c r="D125" s="12" t="str">
        <f>VLOOKUP($A125,'Matriz POA 2024-TRABAJO'!$A$5:$CD$9142,15,FALSE)</f>
        <v>N/A</v>
      </c>
      <c r="E125" s="12" t="str">
        <f>VLOOKUP($A125,'Matriz POA 2024-TRABAJO'!$A$5:$CD$9142,18,FALSE)</f>
        <v>N/A</v>
      </c>
      <c r="F125" s="12" t="str">
        <f>VLOOKUP($A125,'Matriz POA 2024-TRABAJO'!$A$5:$CD$9142,20,FALSE)</f>
        <v>N/A</v>
      </c>
      <c r="G125" s="12" t="str">
        <f>VLOOKUP($A125,'Matriz POA 2024-TRABAJO'!$A$5:$CD$9142,21,FALSE)</f>
        <v>N/A</v>
      </c>
      <c r="H125" s="12" t="str">
        <f>VLOOKUP($A125,'Matriz POA 2024-TRABAJO'!$A$5:$CD$9142,22,FALSE)</f>
        <v>N/A</v>
      </c>
      <c r="I125" s="12" t="str">
        <f>VLOOKUP($A125,'Matriz POA 2024-TRABAJO'!$A$5:$CD$9142,23,FALSE)</f>
        <v>NUEVA</v>
      </c>
      <c r="J125" s="12" t="str">
        <f>VLOOKUP($A125,'Matriz POA 2024-TRABAJO'!$A$5:$CD$9142,24,FALSE)</f>
        <v>Pago del Servicio de aseo y Limpieza de la Corporación Ciudad Alfaro</v>
      </c>
      <c r="K125" s="12" t="str">
        <f>VLOOKUP($A125,'Matriz POA 2024-TRABAJO'!$A$5:$CD$9142,25,FALSE)</f>
        <v>0035</v>
      </c>
      <c r="L125" s="12" t="str">
        <f>VLOOKUP($A125,'Matriz POA 2024-TRABAJO'!$A$5:$CD$9142,26,FALSE)</f>
        <v>80</v>
      </c>
      <c r="M125" s="12" t="str">
        <f>VLOOKUP($A125,'Matriz POA 2024-TRABAJO'!$A$5:$CD$9142,27,FALSE)</f>
        <v>000</v>
      </c>
      <c r="N125" s="12" t="str">
        <f>VLOOKUP($A125,'Matriz POA 2024-TRABAJO'!$A$5:$CD$9142,28,FALSE)</f>
        <v>002</v>
      </c>
      <c r="O125" s="12" t="str">
        <f>VLOOKUP($A125,'Matriz POA 2024-TRABAJO'!$A$5:$CD$9142,29,FALSE)</f>
        <v>53</v>
      </c>
      <c r="P125" s="12">
        <f>VLOOKUP($A125,'Matriz POA 2024-TRABAJO'!$A$5:$CD$9142,30,FALSE)</f>
        <v>530209</v>
      </c>
      <c r="Q125" s="12">
        <f>VLOOKUP($A125,'Matriz POA 2024-TRABAJO'!$A$5:$CD$9142,32,FALSE)</f>
        <v>1309</v>
      </c>
      <c r="R125" s="12" t="str">
        <f>VLOOKUP($A125,'Matriz POA 2024-TRABAJO'!$A$5:$CD$9142,33,FALSE)</f>
        <v>001</v>
      </c>
      <c r="S125" s="12" t="str">
        <f>VLOOKUP($A125,'Matriz POA 2024-TRABAJO'!$A$5:$CD$9142,34,FALSE)</f>
        <v>0000</v>
      </c>
      <c r="T125" s="12" t="str">
        <f>VLOOKUP($A125,'Matriz POA 2024-TRABAJO'!$A$5:$CD$9142,35,FALSE)</f>
        <v>0000</v>
      </c>
      <c r="U125" s="62" t="str">
        <f>VLOOKUP($A125,'Matriz POA 2024-TRABAJO'!$A$5:$CD$9142,66,FALSE)</f>
        <v/>
      </c>
      <c r="V125" s="62" t="str">
        <f>VLOOKUP($A125,'Matriz POA 2024-TRABAJO'!$A$5:$CD$9142,67,FALSE)</f>
        <v/>
      </c>
      <c r="W125" s="62" t="str">
        <f>VLOOKUP($A125,'Matriz POA 2024-TRABAJO'!$A$5:$CD$9142,68,FALSE)</f>
        <v/>
      </c>
      <c r="X125" s="62" t="str">
        <f>VLOOKUP($A125,'Matriz POA 2024-TRABAJO'!$A$5:$CD$9142,72,FALSE)</f>
        <v/>
      </c>
      <c r="Y125" s="388">
        <v>11378.6</v>
      </c>
      <c r="Z125" s="388">
        <v>0</v>
      </c>
      <c r="AA125" s="388">
        <v>11378.6</v>
      </c>
      <c r="AB125" s="389"/>
      <c r="AC125" s="389"/>
      <c r="AD125" s="13"/>
      <c r="AE125" s="13"/>
      <c r="AF125" s="13">
        <f t="shared" si="47"/>
        <v>11378.6</v>
      </c>
      <c r="AG125" s="13">
        <f t="shared" si="48"/>
        <v>0</v>
      </c>
      <c r="AH125" s="13">
        <f t="shared" si="49"/>
        <v>11378.6</v>
      </c>
      <c r="AI125" s="129"/>
      <c r="AJ125" s="129"/>
      <c r="AK125" s="129"/>
      <c r="AL125" s="129"/>
      <c r="AM125" s="129"/>
      <c r="AN125" s="129"/>
      <c r="AO125" s="129"/>
      <c r="AP125" s="129"/>
      <c r="AQ125" s="129"/>
      <c r="AR125" s="129"/>
      <c r="AS125" s="129"/>
      <c r="AT125" s="129"/>
      <c r="AU125" s="129">
        <f t="shared" si="50"/>
        <v>0</v>
      </c>
      <c r="AV125" s="13" t="b">
        <f t="shared" si="51"/>
        <v>0</v>
      </c>
      <c r="AW125" s="14" t="s">
        <v>976</v>
      </c>
      <c r="AX125" t="s">
        <v>977</v>
      </c>
      <c r="AY125" s="16">
        <v>45331</v>
      </c>
      <c r="AZ125" s="377" t="s">
        <v>978</v>
      </c>
      <c r="BA125" s="259"/>
      <c r="BB125" s="17">
        <f t="shared" si="52"/>
        <v>-45331</v>
      </c>
      <c r="BC125" s="12"/>
      <c r="BD125" s="15"/>
      <c r="BE125" s="18"/>
      <c r="BF125" s="12"/>
      <c r="BG125" s="19" t="str">
        <f t="shared" si="53"/>
        <v>enero</v>
      </c>
      <c r="BH125" s="12" t="str">
        <f t="shared" si="54"/>
        <v>Corporación Ciudad Alfaro</v>
      </c>
      <c r="BI125" s="20" t="str">
        <f t="shared" si="55"/>
        <v>N/A</v>
      </c>
    </row>
    <row r="126" spans="1:61" ht="24.95" customHeight="1">
      <c r="A126" s="8">
        <v>441</v>
      </c>
      <c r="B126" s="12" t="str">
        <f>VLOOKUP($A126,'Matriz POA 2024-TRABAJO'!$A$5:$CD$9142,11,FALSE)</f>
        <v>Corporación Ciudad Alfaro</v>
      </c>
      <c r="C126" s="12" t="str">
        <f>VLOOKUP($A126,'Matriz POA 2024-TRABAJO'!$A$5:$CD$9142,14,FALSE)</f>
        <v>N/A</v>
      </c>
      <c r="D126" s="12" t="str">
        <f>VLOOKUP($A126,'Matriz POA 2024-TRABAJO'!$A$5:$CD$9142,15,FALSE)</f>
        <v>N/A</v>
      </c>
      <c r="E126" s="12" t="str">
        <f>VLOOKUP($A126,'Matriz POA 2024-TRABAJO'!$A$5:$CD$9142,18,FALSE)</f>
        <v>N/A</v>
      </c>
      <c r="F126" s="12" t="str">
        <f>VLOOKUP($A126,'Matriz POA 2024-TRABAJO'!$A$5:$CD$9142,20,FALSE)</f>
        <v>N/A</v>
      </c>
      <c r="G126" s="12" t="str">
        <f>VLOOKUP($A126,'Matriz POA 2024-TRABAJO'!$A$5:$CD$9142,21,FALSE)</f>
        <v>N/A</v>
      </c>
      <c r="H126" s="12" t="str">
        <f>VLOOKUP($A126,'Matriz POA 2024-TRABAJO'!$A$5:$CD$9142,22,FALSE)</f>
        <v>N/A</v>
      </c>
      <c r="I126" s="12" t="str">
        <f>VLOOKUP($A126,'Matriz POA 2024-TRABAJO'!$A$5:$CD$9142,23,FALSE)</f>
        <v>NUEVA</v>
      </c>
      <c r="J126" s="12" t="str">
        <f>VLOOKUP($A126,'Matriz POA 2024-TRABAJO'!$A$5:$CD$9142,24,FALSE)</f>
        <v>Contratación del servicio de agua potable por tanquero para la Corporación Ciudad Alfaro y sus Sedes</v>
      </c>
      <c r="K126" s="12" t="str">
        <f>VLOOKUP($A126,'Matriz POA 2024-TRABAJO'!$A$5:$CD$9142,25,FALSE)</f>
        <v>0035</v>
      </c>
      <c r="L126" s="12" t="str">
        <f>VLOOKUP($A126,'Matriz POA 2024-TRABAJO'!$A$5:$CD$9142,26,FALSE)</f>
        <v>80</v>
      </c>
      <c r="M126" s="12" t="str">
        <f>VLOOKUP($A126,'Matriz POA 2024-TRABAJO'!$A$5:$CD$9142,27,FALSE)</f>
        <v>000</v>
      </c>
      <c r="N126" s="12" t="str">
        <f>VLOOKUP($A126,'Matriz POA 2024-TRABAJO'!$A$5:$CD$9142,28,FALSE)</f>
        <v>002</v>
      </c>
      <c r="O126" s="12" t="str">
        <f>VLOOKUP($A126,'Matriz POA 2024-TRABAJO'!$A$5:$CD$9142,29,FALSE)</f>
        <v>53</v>
      </c>
      <c r="P126" s="12">
        <f>VLOOKUP($A126,'Matriz POA 2024-TRABAJO'!$A$5:$CD$9142,30,FALSE)</f>
        <v>530101</v>
      </c>
      <c r="Q126" s="12">
        <f>VLOOKUP($A126,'Matriz POA 2024-TRABAJO'!$A$5:$CD$9142,32,FALSE)</f>
        <v>1309</v>
      </c>
      <c r="R126" s="12" t="str">
        <f>VLOOKUP($A126,'Matriz POA 2024-TRABAJO'!$A$5:$CD$9142,33,FALSE)</f>
        <v>001</v>
      </c>
      <c r="S126" s="12" t="str">
        <f>VLOOKUP($A126,'Matriz POA 2024-TRABAJO'!$A$5:$CD$9142,34,FALSE)</f>
        <v>0000</v>
      </c>
      <c r="T126" s="12" t="str">
        <f>VLOOKUP($A126,'Matriz POA 2024-TRABAJO'!$A$5:$CD$9142,35,FALSE)</f>
        <v>0000</v>
      </c>
      <c r="U126" s="62" t="str">
        <f>VLOOKUP($A126,'Matriz POA 2024-TRABAJO'!$A$5:$CD$9142,66,FALSE)</f>
        <v/>
      </c>
      <c r="V126" s="62" t="str">
        <f>VLOOKUP($A126,'Matriz POA 2024-TRABAJO'!$A$5:$CD$9142,67,FALSE)</f>
        <v/>
      </c>
      <c r="W126" s="62" t="str">
        <f>VLOOKUP($A126,'Matriz POA 2024-TRABAJO'!$A$5:$CD$9142,68,FALSE)</f>
        <v/>
      </c>
      <c r="X126" s="62" t="str">
        <f>VLOOKUP($A126,'Matriz POA 2024-TRABAJO'!$A$5:$CD$9142,72,FALSE)</f>
        <v/>
      </c>
      <c r="Y126" s="388">
        <v>500</v>
      </c>
      <c r="Z126" s="388">
        <v>0</v>
      </c>
      <c r="AA126" s="388">
        <v>500</v>
      </c>
      <c r="AB126" s="389"/>
      <c r="AC126" s="389"/>
      <c r="AD126" s="13"/>
      <c r="AE126" s="13"/>
      <c r="AF126" s="13">
        <f t="shared" si="47"/>
        <v>500</v>
      </c>
      <c r="AG126" s="13">
        <f t="shared" si="48"/>
        <v>0</v>
      </c>
      <c r="AH126" s="13">
        <f t="shared" si="49"/>
        <v>500</v>
      </c>
      <c r="AI126" s="129"/>
      <c r="AJ126" s="129"/>
      <c r="AK126" s="129"/>
      <c r="AL126" s="129"/>
      <c r="AM126" s="129"/>
      <c r="AN126" s="129"/>
      <c r="AO126" s="129"/>
      <c r="AP126" s="129"/>
      <c r="AQ126" s="129"/>
      <c r="AR126" s="129"/>
      <c r="AS126" s="129"/>
      <c r="AT126" s="129"/>
      <c r="AU126" s="129">
        <f t="shared" si="50"/>
        <v>0</v>
      </c>
      <c r="AV126" s="13" t="b">
        <f t="shared" si="51"/>
        <v>0</v>
      </c>
      <c r="AW126" s="14" t="s">
        <v>976</v>
      </c>
      <c r="AX126" t="s">
        <v>977</v>
      </c>
      <c r="AY126" s="16">
        <v>45331</v>
      </c>
      <c r="AZ126" s="377" t="s">
        <v>978</v>
      </c>
      <c r="BA126" s="259"/>
      <c r="BB126" s="17">
        <f t="shared" si="52"/>
        <v>-45331</v>
      </c>
      <c r="BC126" s="12"/>
      <c r="BD126" s="15"/>
      <c r="BE126" s="18"/>
      <c r="BF126" s="12"/>
      <c r="BG126" s="19" t="str">
        <f t="shared" si="53"/>
        <v>enero</v>
      </c>
      <c r="BH126" s="12" t="str">
        <f t="shared" si="54"/>
        <v>Corporación Ciudad Alfaro</v>
      </c>
      <c r="BI126" s="20" t="str">
        <f t="shared" si="55"/>
        <v>N/A</v>
      </c>
    </row>
    <row r="127" spans="1:61" ht="24.95" customHeight="1">
      <c r="A127" s="8">
        <v>457</v>
      </c>
      <c r="B127" s="12" t="str">
        <f>VLOOKUP($A127,'Matriz POA 2024-TRABAJO'!$A$5:$CD$9142,11,FALSE)</f>
        <v>Corporación Ciudad Alfaro</v>
      </c>
      <c r="C127" s="12" t="str">
        <f>VLOOKUP($A127,'Matriz POA 2024-TRABAJO'!$A$5:$CD$9142,14,FALSE)</f>
        <v>N/A</v>
      </c>
      <c r="D127" s="12" t="str">
        <f>VLOOKUP($A127,'Matriz POA 2024-TRABAJO'!$A$5:$CD$9142,15,FALSE)</f>
        <v>N/A</v>
      </c>
      <c r="E127" s="12" t="str">
        <f>VLOOKUP($A127,'Matriz POA 2024-TRABAJO'!$A$5:$CD$9142,18,FALSE)</f>
        <v>N/A</v>
      </c>
      <c r="F127" s="12" t="str">
        <f>VLOOKUP($A127,'Matriz POA 2024-TRABAJO'!$A$5:$CD$9142,20,FALSE)</f>
        <v>N/A</v>
      </c>
      <c r="G127" s="12" t="str">
        <f>VLOOKUP($A127,'Matriz POA 2024-TRABAJO'!$A$5:$CD$9142,21,FALSE)</f>
        <v>N/A</v>
      </c>
      <c r="H127" s="12" t="str">
        <f>VLOOKUP($A127,'Matriz POA 2024-TRABAJO'!$A$5:$CD$9142,22,FALSE)</f>
        <v>N/A</v>
      </c>
      <c r="I127" s="12" t="str">
        <f>VLOOKUP($A127,'Matriz POA 2024-TRABAJO'!$A$5:$CD$9142,23,FALSE)</f>
        <v>NUEVA</v>
      </c>
      <c r="J127" s="12" t="str">
        <f>VLOOKUP($A127,'Matriz POA 2024-TRABAJO'!$A$5:$CD$9142,24,FALSE)</f>
        <v>Pago mensual del servicio de energía eléctrica del Museo y Centro Cultural de Manta</v>
      </c>
      <c r="K127" s="12" t="str">
        <f>VLOOKUP($A127,'Matriz POA 2024-TRABAJO'!$A$5:$CD$9142,25,FALSE)</f>
        <v>0035</v>
      </c>
      <c r="L127" s="12" t="str">
        <f>VLOOKUP($A127,'Matriz POA 2024-TRABAJO'!$A$5:$CD$9142,26,FALSE)</f>
        <v>80</v>
      </c>
      <c r="M127" s="12" t="str">
        <f>VLOOKUP($A127,'Matriz POA 2024-TRABAJO'!$A$5:$CD$9142,27,FALSE)</f>
        <v>000</v>
      </c>
      <c r="N127" s="12" t="str">
        <f>VLOOKUP($A127,'Matriz POA 2024-TRABAJO'!$A$5:$CD$9142,28,FALSE)</f>
        <v>002</v>
      </c>
      <c r="O127" s="12" t="str">
        <f>VLOOKUP($A127,'Matriz POA 2024-TRABAJO'!$A$5:$CD$9142,29,FALSE)</f>
        <v>53</v>
      </c>
      <c r="P127" s="12">
        <f>VLOOKUP($A127,'Matriz POA 2024-TRABAJO'!$A$5:$CD$9142,30,FALSE)</f>
        <v>530104</v>
      </c>
      <c r="Q127" s="12">
        <f>VLOOKUP($A127,'Matriz POA 2024-TRABAJO'!$A$5:$CD$9142,32,FALSE)</f>
        <v>1308</v>
      </c>
      <c r="R127" s="12" t="str">
        <f>VLOOKUP($A127,'Matriz POA 2024-TRABAJO'!$A$5:$CD$9142,33,FALSE)</f>
        <v>001</v>
      </c>
      <c r="S127" s="12" t="str">
        <f>VLOOKUP($A127,'Matriz POA 2024-TRABAJO'!$A$5:$CD$9142,34,FALSE)</f>
        <v>0000</v>
      </c>
      <c r="T127" s="12" t="str">
        <f>VLOOKUP($A127,'Matriz POA 2024-TRABAJO'!$A$5:$CD$9142,35,FALSE)</f>
        <v>0000</v>
      </c>
      <c r="U127" s="62" t="str">
        <f>VLOOKUP($A127,'Matriz POA 2024-TRABAJO'!$A$5:$CD$9142,66,FALSE)</f>
        <v/>
      </c>
      <c r="V127" s="62" t="str">
        <f>VLOOKUP($A127,'Matriz POA 2024-TRABAJO'!$A$5:$CD$9142,67,FALSE)</f>
        <v/>
      </c>
      <c r="W127" s="62" t="str">
        <f>VLOOKUP($A127,'Matriz POA 2024-TRABAJO'!$A$5:$CD$9142,68,FALSE)</f>
        <v/>
      </c>
      <c r="X127" s="62" t="str">
        <f>VLOOKUP($A127,'Matriz POA 2024-TRABAJO'!$A$5:$CD$9142,72,FALSE)</f>
        <v/>
      </c>
      <c r="Y127" s="388">
        <v>19116.2</v>
      </c>
      <c r="Z127" s="388">
        <v>0</v>
      </c>
      <c r="AA127" s="388">
        <v>19116.2</v>
      </c>
      <c r="AB127" s="389"/>
      <c r="AC127" s="389"/>
      <c r="AD127" s="13"/>
      <c r="AE127" s="13"/>
      <c r="AF127" s="13">
        <f t="shared" si="47"/>
        <v>19116.2</v>
      </c>
      <c r="AG127" s="13">
        <f t="shared" si="48"/>
        <v>0</v>
      </c>
      <c r="AH127" s="13">
        <f t="shared" si="49"/>
        <v>19116.2</v>
      </c>
      <c r="AI127" s="129"/>
      <c r="AJ127" s="129"/>
      <c r="AK127" s="129"/>
      <c r="AL127" s="129"/>
      <c r="AM127" s="129"/>
      <c r="AN127" s="129"/>
      <c r="AO127" s="129"/>
      <c r="AP127" s="129"/>
      <c r="AQ127" s="129"/>
      <c r="AR127" s="129"/>
      <c r="AS127" s="129"/>
      <c r="AT127" s="129"/>
      <c r="AU127" s="129">
        <f t="shared" si="50"/>
        <v>0</v>
      </c>
      <c r="AV127" s="13" t="b">
        <f t="shared" si="51"/>
        <v>0</v>
      </c>
      <c r="AW127" s="14" t="s">
        <v>976</v>
      </c>
      <c r="AX127" t="s">
        <v>977</v>
      </c>
      <c r="AY127" s="16">
        <v>45331</v>
      </c>
      <c r="AZ127" s="377" t="s">
        <v>978</v>
      </c>
      <c r="BA127" s="259"/>
      <c r="BB127" s="17">
        <f t="shared" si="52"/>
        <v>-45331</v>
      </c>
      <c r="BC127" s="12"/>
      <c r="BD127" s="15"/>
      <c r="BE127" s="18"/>
      <c r="BF127" s="12"/>
      <c r="BG127" s="19" t="str">
        <f t="shared" si="53"/>
        <v>enero</v>
      </c>
      <c r="BH127" s="12" t="str">
        <f t="shared" si="54"/>
        <v>Corporación Ciudad Alfaro</v>
      </c>
      <c r="BI127" s="20" t="str">
        <f t="shared" si="55"/>
        <v>N/A</v>
      </c>
    </row>
    <row r="128" spans="1:61" ht="24.95" customHeight="1">
      <c r="A128" s="8">
        <v>467</v>
      </c>
      <c r="B128" s="12" t="str">
        <f>VLOOKUP($A128,'Matriz POA 2024-TRABAJO'!$A$5:$CD$9142,11,FALSE)</f>
        <v>Corporación Ciudad Alfaro</v>
      </c>
      <c r="C128" s="12" t="str">
        <f>VLOOKUP($A128,'Matriz POA 2024-TRABAJO'!$A$5:$CD$9142,14,FALSE)</f>
        <v>N/A</v>
      </c>
      <c r="D128" s="12" t="str">
        <f>VLOOKUP($A128,'Matriz POA 2024-TRABAJO'!$A$5:$CD$9142,15,FALSE)</f>
        <v>N/A</v>
      </c>
      <c r="E128" s="12" t="str">
        <f>VLOOKUP($A128,'Matriz POA 2024-TRABAJO'!$A$5:$CD$9142,18,FALSE)</f>
        <v>N/A</v>
      </c>
      <c r="F128" s="12" t="str">
        <f>VLOOKUP($A128,'Matriz POA 2024-TRABAJO'!$A$5:$CD$9142,20,FALSE)</f>
        <v>N/A</v>
      </c>
      <c r="G128" s="12" t="str">
        <f>VLOOKUP($A128,'Matriz POA 2024-TRABAJO'!$A$5:$CD$9142,21,FALSE)</f>
        <v>N/A</v>
      </c>
      <c r="H128" s="12" t="str">
        <f>VLOOKUP($A128,'Matriz POA 2024-TRABAJO'!$A$5:$CD$9142,22,FALSE)</f>
        <v>N/A</v>
      </c>
      <c r="I128" s="12" t="str">
        <f>VLOOKUP($A128,'Matriz POA 2024-TRABAJO'!$A$5:$CD$9142,23,FALSE)</f>
        <v>NUEVA</v>
      </c>
      <c r="J128" s="12" t="str">
        <f>VLOOKUP($A128,'Matriz POA 2024-TRABAJO'!$A$5:$CD$9142,24,FALSE)</f>
        <v>Contratación del servicio de combustible para  los vehículos de la Corporación Ciudad Alfaro</v>
      </c>
      <c r="K128" s="12" t="str">
        <f>VLOOKUP($A128,'Matriz POA 2024-TRABAJO'!$A$5:$CD$9142,25,FALSE)</f>
        <v>0035</v>
      </c>
      <c r="L128" s="12" t="str">
        <f>VLOOKUP($A128,'Matriz POA 2024-TRABAJO'!$A$5:$CD$9142,26,FALSE)</f>
        <v>80</v>
      </c>
      <c r="M128" s="12" t="str">
        <f>VLOOKUP($A128,'Matriz POA 2024-TRABAJO'!$A$5:$CD$9142,27,FALSE)</f>
        <v>000</v>
      </c>
      <c r="N128" s="12" t="str">
        <f>VLOOKUP($A128,'Matriz POA 2024-TRABAJO'!$A$5:$CD$9142,28,FALSE)</f>
        <v>002</v>
      </c>
      <c r="O128" s="12" t="str">
        <f>VLOOKUP($A128,'Matriz POA 2024-TRABAJO'!$A$5:$CD$9142,29,FALSE)</f>
        <v>53</v>
      </c>
      <c r="P128" s="12">
        <f>VLOOKUP($A128,'Matriz POA 2024-TRABAJO'!$A$5:$CD$9142,30,FALSE)</f>
        <v>530803</v>
      </c>
      <c r="Q128" s="12">
        <f>VLOOKUP($A128,'Matriz POA 2024-TRABAJO'!$A$5:$CD$9142,32,FALSE)</f>
        <v>1309</v>
      </c>
      <c r="R128" s="12" t="str">
        <f>VLOOKUP($A128,'Matriz POA 2024-TRABAJO'!$A$5:$CD$9142,33,FALSE)</f>
        <v>001</v>
      </c>
      <c r="S128" s="12" t="str">
        <f>VLOOKUP($A128,'Matriz POA 2024-TRABAJO'!$A$5:$CD$9142,34,FALSE)</f>
        <v>0000</v>
      </c>
      <c r="T128" s="12" t="str">
        <f>VLOOKUP($A128,'Matriz POA 2024-TRABAJO'!$A$5:$CD$9142,35,FALSE)</f>
        <v>0000</v>
      </c>
      <c r="U128" s="62" t="str">
        <f>VLOOKUP($A128,'Matriz POA 2024-TRABAJO'!$A$5:$CD$9142,66,FALSE)</f>
        <v/>
      </c>
      <c r="V128" s="62" t="str">
        <f>VLOOKUP($A128,'Matriz POA 2024-TRABAJO'!$A$5:$CD$9142,67,FALSE)</f>
        <v/>
      </c>
      <c r="W128" s="62" t="str">
        <f>VLOOKUP($A128,'Matriz POA 2024-TRABAJO'!$A$5:$CD$9142,68,FALSE)</f>
        <v/>
      </c>
      <c r="X128" s="62" t="str">
        <f>VLOOKUP($A128,'Matriz POA 2024-TRABAJO'!$A$5:$CD$9142,72,FALSE)</f>
        <v/>
      </c>
      <c r="Y128" s="388">
        <v>3533.2</v>
      </c>
      <c r="Z128" s="388">
        <v>0</v>
      </c>
      <c r="AA128" s="388">
        <v>3533.2</v>
      </c>
      <c r="AB128" s="389"/>
      <c r="AC128" s="389"/>
      <c r="AD128" s="13"/>
      <c r="AE128" s="13"/>
      <c r="AF128" s="13">
        <f t="shared" si="47"/>
        <v>3533.2</v>
      </c>
      <c r="AG128" s="13">
        <f t="shared" si="48"/>
        <v>0</v>
      </c>
      <c r="AH128" s="13">
        <f t="shared" si="49"/>
        <v>3533.2</v>
      </c>
      <c r="AI128" s="129"/>
      <c r="AJ128" s="129"/>
      <c r="AK128" s="129"/>
      <c r="AL128" s="129"/>
      <c r="AM128" s="129"/>
      <c r="AN128" s="129"/>
      <c r="AO128" s="129"/>
      <c r="AP128" s="129"/>
      <c r="AQ128" s="129"/>
      <c r="AR128" s="129"/>
      <c r="AS128" s="129"/>
      <c r="AT128" s="129"/>
      <c r="AU128" s="129">
        <f t="shared" si="50"/>
        <v>0</v>
      </c>
      <c r="AV128" s="13" t="b">
        <f t="shared" si="51"/>
        <v>0</v>
      </c>
      <c r="AW128" s="14" t="s">
        <v>976</v>
      </c>
      <c r="AX128" t="s">
        <v>977</v>
      </c>
      <c r="AY128" s="16">
        <v>45331</v>
      </c>
      <c r="AZ128" s="377" t="s">
        <v>978</v>
      </c>
      <c r="BA128" s="259"/>
      <c r="BB128" s="17">
        <f t="shared" si="52"/>
        <v>-45331</v>
      </c>
      <c r="BC128" s="12"/>
      <c r="BD128" s="15"/>
      <c r="BE128" s="18"/>
      <c r="BF128" s="12"/>
      <c r="BG128" s="19" t="str">
        <f t="shared" si="53"/>
        <v>enero</v>
      </c>
      <c r="BH128" s="12" t="str">
        <f t="shared" si="54"/>
        <v>Corporación Ciudad Alfaro</v>
      </c>
      <c r="BI128" s="20" t="str">
        <f t="shared" si="55"/>
        <v>N/A</v>
      </c>
    </row>
    <row r="129" spans="1:61" ht="24.95" customHeight="1">
      <c r="A129" s="8">
        <v>471</v>
      </c>
      <c r="B129" s="12" t="str">
        <f>VLOOKUP($A129,'Matriz POA 2024-TRABAJO'!$A$5:$CD$9142,11,FALSE)</f>
        <v>Corporación Ciudad Alfaro</v>
      </c>
      <c r="C129" s="12" t="str">
        <f>VLOOKUP($A129,'Matriz POA 2024-TRABAJO'!$A$5:$CD$9142,14,FALSE)</f>
        <v>N/A</v>
      </c>
      <c r="D129" s="12" t="str">
        <f>VLOOKUP($A129,'Matriz POA 2024-TRABAJO'!$A$5:$CD$9142,15,FALSE)</f>
        <v>N/A</v>
      </c>
      <c r="E129" s="12" t="str">
        <f>VLOOKUP($A129,'Matriz POA 2024-TRABAJO'!$A$5:$CD$9142,18,FALSE)</f>
        <v>N/A</v>
      </c>
      <c r="F129" s="12" t="str">
        <f>VLOOKUP($A129,'Matriz POA 2024-TRABAJO'!$A$5:$CD$9142,20,FALSE)</f>
        <v>N/A</v>
      </c>
      <c r="G129" s="12" t="str">
        <f>VLOOKUP($A129,'Matriz POA 2024-TRABAJO'!$A$5:$CD$9142,21,FALSE)</f>
        <v>N/A</v>
      </c>
      <c r="H129" s="12" t="str">
        <f>VLOOKUP($A129,'Matriz POA 2024-TRABAJO'!$A$5:$CD$9142,22,FALSE)</f>
        <v>N/A</v>
      </c>
      <c r="I129" s="12" t="str">
        <f>VLOOKUP($A129,'Matriz POA 2024-TRABAJO'!$A$5:$CD$9142,23,FALSE)</f>
        <v>NUEVA</v>
      </c>
      <c r="J129" s="12" t="str">
        <f>VLOOKUP($A129,'Matriz POA 2024-TRABAJO'!$A$5:$CD$9142,24,FALSE)</f>
        <v>Instalación del sistema contra incendios para el Museo Bahía de Caráquez</v>
      </c>
      <c r="K129" s="12" t="str">
        <f>VLOOKUP($A129,'Matriz POA 2024-TRABAJO'!$A$5:$CD$9142,25,FALSE)</f>
        <v>0035</v>
      </c>
      <c r="L129" s="12" t="str">
        <f>VLOOKUP($A129,'Matriz POA 2024-TRABAJO'!$A$5:$CD$9142,26,FALSE)</f>
        <v>80</v>
      </c>
      <c r="M129" s="12" t="str">
        <f>VLOOKUP($A129,'Matriz POA 2024-TRABAJO'!$A$5:$CD$9142,27,FALSE)</f>
        <v>000</v>
      </c>
      <c r="N129" s="12" t="str">
        <f>VLOOKUP($A129,'Matriz POA 2024-TRABAJO'!$A$5:$CD$9142,28,FALSE)</f>
        <v>002</v>
      </c>
      <c r="O129" s="12" t="str">
        <f>VLOOKUP($A129,'Matriz POA 2024-TRABAJO'!$A$5:$CD$9142,29,FALSE)</f>
        <v>53</v>
      </c>
      <c r="P129" s="12">
        <f>VLOOKUP($A129,'Matriz POA 2024-TRABAJO'!$A$5:$CD$9142,30,FALSE)</f>
        <v>530402</v>
      </c>
      <c r="Q129" s="12">
        <f>VLOOKUP($A129,'Matriz POA 2024-TRABAJO'!$A$5:$CD$9142,32,FALSE)</f>
        <v>1314</v>
      </c>
      <c r="R129" s="12" t="str">
        <f>VLOOKUP($A129,'Matriz POA 2024-TRABAJO'!$A$5:$CD$9142,33,FALSE)</f>
        <v>001</v>
      </c>
      <c r="S129" s="12" t="str">
        <f>VLOOKUP($A129,'Matriz POA 2024-TRABAJO'!$A$5:$CD$9142,34,FALSE)</f>
        <v>0000</v>
      </c>
      <c r="T129" s="12" t="str">
        <f>VLOOKUP($A129,'Matriz POA 2024-TRABAJO'!$A$5:$CD$9142,35,FALSE)</f>
        <v>0000</v>
      </c>
      <c r="U129" s="62">
        <f>VLOOKUP($A129,'Matriz POA 2024-TRABAJO'!$A$5:$CD$9142,66,FALSE)</f>
        <v>0</v>
      </c>
      <c r="V129" s="62">
        <f>VLOOKUP($A129,'Matriz POA 2024-TRABAJO'!$A$5:$CD$9142,67,FALSE)</f>
        <v>0</v>
      </c>
      <c r="W129" s="62">
        <f>VLOOKUP($A129,'Matriz POA 2024-TRABAJO'!$A$5:$CD$9142,68,FALSE)</f>
        <v>0</v>
      </c>
      <c r="X129" s="62" t="str">
        <f>VLOOKUP($A129,'Matriz POA 2024-TRABAJO'!$A$5:$CD$9142,72,FALSE)</f>
        <v/>
      </c>
      <c r="Y129" s="388">
        <v>3600</v>
      </c>
      <c r="Z129" s="388">
        <v>0</v>
      </c>
      <c r="AA129" s="388">
        <v>3600</v>
      </c>
      <c r="AB129" s="389"/>
      <c r="AC129" s="389"/>
      <c r="AD129" s="13"/>
      <c r="AE129" s="13"/>
      <c r="AF129" s="13">
        <f t="shared" si="47"/>
        <v>3600</v>
      </c>
      <c r="AG129" s="13">
        <f t="shared" si="48"/>
        <v>0</v>
      </c>
      <c r="AH129" s="13">
        <f t="shared" si="49"/>
        <v>3600</v>
      </c>
      <c r="AI129" s="129"/>
      <c r="AJ129" s="129"/>
      <c r="AK129" s="129"/>
      <c r="AL129" s="129"/>
      <c r="AM129" s="129"/>
      <c r="AN129" s="129"/>
      <c r="AO129" s="129"/>
      <c r="AP129" s="129"/>
      <c r="AQ129" s="129"/>
      <c r="AR129" s="129"/>
      <c r="AS129" s="129"/>
      <c r="AT129" s="129"/>
      <c r="AU129" s="129">
        <f t="shared" si="50"/>
        <v>0</v>
      </c>
      <c r="AV129" s="13" t="b">
        <f t="shared" si="51"/>
        <v>0</v>
      </c>
      <c r="AW129" s="14" t="s">
        <v>976</v>
      </c>
      <c r="AX129" t="s">
        <v>977</v>
      </c>
      <c r="AY129" s="16">
        <v>45331</v>
      </c>
      <c r="AZ129" s="377" t="s">
        <v>978</v>
      </c>
      <c r="BA129" s="259"/>
      <c r="BB129" s="17">
        <f t="shared" si="52"/>
        <v>-45331</v>
      </c>
      <c r="BC129" s="12"/>
      <c r="BD129" s="15"/>
      <c r="BE129" s="18"/>
      <c r="BF129" s="12"/>
      <c r="BG129" s="19" t="str">
        <f t="shared" si="53"/>
        <v>enero</v>
      </c>
      <c r="BH129" s="12" t="str">
        <f t="shared" si="54"/>
        <v>Corporación Ciudad Alfaro</v>
      </c>
      <c r="BI129" s="20" t="str">
        <f t="shared" si="55"/>
        <v>N/A</v>
      </c>
    </row>
    <row r="130" spans="1:61" ht="24.95" customHeight="1">
      <c r="A130" s="8">
        <v>479</v>
      </c>
      <c r="B130" s="12" t="str">
        <f>VLOOKUP($A130,'Matriz POA 2024-TRABAJO'!$A$5:$CD$9142,11,FALSE)</f>
        <v>Corporación Ciudad Alfaro</v>
      </c>
      <c r="C130" s="12" t="str">
        <f>VLOOKUP($A130,'Matriz POA 2024-TRABAJO'!$A$5:$CD$9142,14,FALSE)</f>
        <v>N/A</v>
      </c>
      <c r="D130" s="12" t="str">
        <f>VLOOKUP($A130,'Matriz POA 2024-TRABAJO'!$A$5:$CD$9142,15,FALSE)</f>
        <v>N/A</v>
      </c>
      <c r="E130" s="12" t="str">
        <f>VLOOKUP($A130,'Matriz POA 2024-TRABAJO'!$A$5:$CD$9142,18,FALSE)</f>
        <v>N/A</v>
      </c>
      <c r="F130" s="12" t="str">
        <f>VLOOKUP($A130,'Matriz POA 2024-TRABAJO'!$A$5:$CD$9142,20,FALSE)</f>
        <v>N/A</v>
      </c>
      <c r="G130" s="12" t="str">
        <f>VLOOKUP($A130,'Matriz POA 2024-TRABAJO'!$A$5:$CD$9142,21,FALSE)</f>
        <v>N/A</v>
      </c>
      <c r="H130" s="12" t="str">
        <f>VLOOKUP($A130,'Matriz POA 2024-TRABAJO'!$A$5:$CD$9142,22,FALSE)</f>
        <v>N/A</v>
      </c>
      <c r="I130" s="12" t="str">
        <f>VLOOKUP($A130,'Matriz POA 2024-TRABAJO'!$A$5:$CD$9142,23,FALSE)</f>
        <v>NUEVA</v>
      </c>
      <c r="J130" s="12" t="str">
        <f>VLOOKUP($A130,'Matriz POA 2024-TRABAJO'!$A$5:$CD$9142,24,FALSE)</f>
        <v>Mantenimiento, Reparación preventivo y correctivo de los vehículos de la corporación ciudad alfaro</v>
      </c>
      <c r="K130" s="12" t="str">
        <f>VLOOKUP($A130,'Matriz POA 2024-TRABAJO'!$A$5:$CD$9142,25,FALSE)</f>
        <v>0035</v>
      </c>
      <c r="L130" s="12" t="str">
        <f>VLOOKUP($A130,'Matriz POA 2024-TRABAJO'!$A$5:$CD$9142,26,FALSE)</f>
        <v>80</v>
      </c>
      <c r="M130" s="12" t="str">
        <f>VLOOKUP($A130,'Matriz POA 2024-TRABAJO'!$A$5:$CD$9142,27,FALSE)</f>
        <v>000</v>
      </c>
      <c r="N130" s="12" t="str">
        <f>VLOOKUP($A130,'Matriz POA 2024-TRABAJO'!$A$5:$CD$9142,28,FALSE)</f>
        <v>002</v>
      </c>
      <c r="O130" s="12" t="str">
        <f>VLOOKUP($A130,'Matriz POA 2024-TRABAJO'!$A$5:$CD$9142,29,FALSE)</f>
        <v>53</v>
      </c>
      <c r="P130" s="12">
        <f>VLOOKUP($A130,'Matriz POA 2024-TRABAJO'!$A$5:$CD$9142,30,FALSE)</f>
        <v>530405</v>
      </c>
      <c r="Q130" s="12">
        <f>VLOOKUP($A130,'Matriz POA 2024-TRABAJO'!$A$5:$CD$9142,32,FALSE)</f>
        <v>1309</v>
      </c>
      <c r="R130" s="12" t="str">
        <f>VLOOKUP($A130,'Matriz POA 2024-TRABAJO'!$A$5:$CD$9142,33,FALSE)</f>
        <v>001</v>
      </c>
      <c r="S130" s="12" t="str">
        <f>VLOOKUP($A130,'Matriz POA 2024-TRABAJO'!$A$5:$CD$9142,34,FALSE)</f>
        <v>0000</v>
      </c>
      <c r="T130" s="12" t="str">
        <f>VLOOKUP($A130,'Matriz POA 2024-TRABAJO'!$A$5:$CD$9142,35,FALSE)</f>
        <v>0000</v>
      </c>
      <c r="U130" s="62">
        <f>VLOOKUP($A130,'Matriz POA 2024-TRABAJO'!$A$5:$CD$9142,66,FALSE)</f>
        <v>14158.92</v>
      </c>
      <c r="V130" s="62">
        <f>VLOOKUP($A130,'Matriz POA 2024-TRABAJO'!$A$5:$CD$9142,67,FALSE)</f>
        <v>-7578.920000000001</v>
      </c>
      <c r="W130" s="62">
        <f>VLOOKUP($A130,'Matriz POA 2024-TRABAJO'!$A$5:$CD$9142,68,FALSE)</f>
        <v>0</v>
      </c>
      <c r="X130" s="62">
        <f>VLOOKUP($A130,'Matriz POA 2024-TRABAJO'!$A$5:$CD$9142,72,FALSE)</f>
        <v>6580</v>
      </c>
      <c r="Y130" s="388">
        <v>8079.4599999999991</v>
      </c>
      <c r="Z130" s="388">
        <v>0</v>
      </c>
      <c r="AA130" s="388">
        <v>8079.4599999999991</v>
      </c>
      <c r="AB130" s="389"/>
      <c r="AC130" s="389"/>
      <c r="AD130" s="13"/>
      <c r="AE130" s="13"/>
      <c r="AF130" s="13">
        <f t="shared" si="47"/>
        <v>8079.4599999999991</v>
      </c>
      <c r="AG130" s="13">
        <f t="shared" si="48"/>
        <v>0</v>
      </c>
      <c r="AH130" s="13">
        <f t="shared" si="49"/>
        <v>8079.4599999999991</v>
      </c>
      <c r="AI130" s="129"/>
      <c r="AJ130" s="129"/>
      <c r="AK130" s="129">
        <v>3000</v>
      </c>
      <c r="AL130" s="129">
        <v>2000</v>
      </c>
      <c r="AM130" s="129">
        <v>2000</v>
      </c>
      <c r="AN130" s="129">
        <v>2000</v>
      </c>
      <c r="AO130" s="129">
        <v>2000</v>
      </c>
      <c r="AP130" s="129">
        <v>2000</v>
      </c>
      <c r="AQ130" s="129">
        <v>2000</v>
      </c>
      <c r="AR130" s="129">
        <v>2000</v>
      </c>
      <c r="AS130" s="129">
        <v>2000</v>
      </c>
      <c r="AT130" s="129">
        <v>1000</v>
      </c>
      <c r="AU130" s="129">
        <f t="shared" si="50"/>
        <v>20000</v>
      </c>
      <c r="AV130" s="13" t="b">
        <f t="shared" si="51"/>
        <v>0</v>
      </c>
      <c r="AW130" s="14" t="s">
        <v>976</v>
      </c>
      <c r="AX130" t="s">
        <v>977</v>
      </c>
      <c r="AY130" s="16">
        <v>45331</v>
      </c>
      <c r="AZ130" s="377" t="s">
        <v>978</v>
      </c>
      <c r="BA130" s="259"/>
      <c r="BB130" s="17">
        <f t="shared" si="52"/>
        <v>-45331</v>
      </c>
      <c r="BC130" s="12"/>
      <c r="BD130" s="15"/>
      <c r="BE130" s="18"/>
      <c r="BF130" s="12"/>
      <c r="BG130" s="19" t="str">
        <f t="shared" si="53"/>
        <v>enero</v>
      </c>
      <c r="BH130" s="12" t="str">
        <f t="shared" si="54"/>
        <v>Corporación Ciudad Alfaro</v>
      </c>
      <c r="BI130" s="20" t="str">
        <f t="shared" si="55"/>
        <v>N/A</v>
      </c>
    </row>
    <row r="131" spans="1:61" ht="24.95" customHeight="1">
      <c r="A131" s="8">
        <v>484</v>
      </c>
      <c r="B131" s="12" t="str">
        <f>VLOOKUP($A131,'Matriz POA 2024-TRABAJO'!$A$5:$CD$9142,11,FALSE)</f>
        <v>Corporación Ciudad Alfaro</v>
      </c>
      <c r="C131" s="12" t="str">
        <f>VLOOKUP($A131,'Matriz POA 2024-TRABAJO'!$A$5:$CD$9142,14,FALSE)</f>
        <v>N/A</v>
      </c>
      <c r="D131" s="12" t="str">
        <f>VLOOKUP($A131,'Matriz POA 2024-TRABAJO'!$A$5:$CD$9142,15,FALSE)</f>
        <v>N/A</v>
      </c>
      <c r="E131" s="12" t="str">
        <f>VLOOKUP($A131,'Matriz POA 2024-TRABAJO'!$A$5:$CD$9142,18,FALSE)</f>
        <v>N/A</v>
      </c>
      <c r="F131" s="12" t="str">
        <f>VLOOKUP($A131,'Matriz POA 2024-TRABAJO'!$A$5:$CD$9142,20,FALSE)</f>
        <v>N/A</v>
      </c>
      <c r="G131" s="12" t="str">
        <f>VLOOKUP($A131,'Matriz POA 2024-TRABAJO'!$A$5:$CD$9142,21,FALSE)</f>
        <v>N/A</v>
      </c>
      <c r="H131" s="12" t="str">
        <f>VLOOKUP($A131,'Matriz POA 2024-TRABAJO'!$A$5:$CD$9142,22,FALSE)</f>
        <v>N/A</v>
      </c>
      <c r="I131" s="12" t="str">
        <f>VLOOKUP($A131,'Matriz POA 2024-TRABAJO'!$A$5:$CD$9142,23,FALSE)</f>
        <v>NUEVA</v>
      </c>
      <c r="J131" s="12" t="str">
        <f>VLOOKUP($A131,'Matriz POA 2024-TRABAJO'!$A$5:$CD$9142,24,FALSE)</f>
        <v>Construcción de cubierta en la sede del Museo Bahía de Caráquez</v>
      </c>
      <c r="K131" s="12" t="str">
        <f>VLOOKUP($A131,'Matriz POA 2024-TRABAJO'!$A$5:$CD$9142,25,FALSE)</f>
        <v>0035</v>
      </c>
      <c r="L131" s="12" t="str">
        <f>VLOOKUP($A131,'Matriz POA 2024-TRABAJO'!$A$5:$CD$9142,26,FALSE)</f>
        <v>80</v>
      </c>
      <c r="M131" s="12" t="str">
        <f>VLOOKUP($A131,'Matriz POA 2024-TRABAJO'!$A$5:$CD$9142,27,FALSE)</f>
        <v>000</v>
      </c>
      <c r="N131" s="12" t="str">
        <f>VLOOKUP($A131,'Matriz POA 2024-TRABAJO'!$A$5:$CD$9142,28,FALSE)</f>
        <v>002</v>
      </c>
      <c r="O131" s="12" t="str">
        <f>VLOOKUP($A131,'Matriz POA 2024-TRABAJO'!$A$5:$CD$9142,29,FALSE)</f>
        <v>53</v>
      </c>
      <c r="P131" s="12">
        <f>VLOOKUP($A131,'Matriz POA 2024-TRABAJO'!$A$5:$CD$9142,30,FALSE)</f>
        <v>530425</v>
      </c>
      <c r="Q131" s="12">
        <f>VLOOKUP($A131,'Matriz POA 2024-TRABAJO'!$A$5:$CD$9142,32,FALSE)</f>
        <v>1314</v>
      </c>
      <c r="R131" s="12" t="str">
        <f>VLOOKUP($A131,'Matriz POA 2024-TRABAJO'!$A$5:$CD$9142,33,FALSE)</f>
        <v>001</v>
      </c>
      <c r="S131" s="12" t="str">
        <f>VLOOKUP($A131,'Matriz POA 2024-TRABAJO'!$A$5:$CD$9142,34,FALSE)</f>
        <v>0000</v>
      </c>
      <c r="T131" s="12" t="str">
        <f>VLOOKUP($A131,'Matriz POA 2024-TRABAJO'!$A$5:$CD$9142,35,FALSE)</f>
        <v>0000</v>
      </c>
      <c r="U131" s="62">
        <f>VLOOKUP($A131,'Matriz POA 2024-TRABAJO'!$A$5:$CD$9142,66,FALSE)</f>
        <v>0</v>
      </c>
      <c r="V131" s="62">
        <f>VLOOKUP($A131,'Matriz POA 2024-TRABAJO'!$A$5:$CD$9142,67,FALSE)</f>
        <v>0</v>
      </c>
      <c r="W131" s="62" t="str">
        <f>VLOOKUP($A131,'Matriz POA 2024-TRABAJO'!$A$5:$CD$9142,68,FALSE)</f>
        <v/>
      </c>
      <c r="X131" s="62" t="str">
        <f>VLOOKUP($A131,'Matriz POA 2024-TRABAJO'!$A$5:$CD$9142,72,FALSE)</f>
        <v/>
      </c>
      <c r="Y131" s="388">
        <v>8000</v>
      </c>
      <c r="Z131" s="388">
        <v>0</v>
      </c>
      <c r="AA131" s="388">
        <v>8000</v>
      </c>
      <c r="AB131" s="389"/>
      <c r="AC131" s="389"/>
      <c r="AD131" s="13"/>
      <c r="AE131" s="13"/>
      <c r="AF131" s="13">
        <f t="shared" si="47"/>
        <v>8000</v>
      </c>
      <c r="AG131" s="13">
        <f t="shared" si="48"/>
        <v>0</v>
      </c>
      <c r="AH131" s="13">
        <f t="shared" si="49"/>
        <v>8000</v>
      </c>
      <c r="AI131" s="129"/>
      <c r="AJ131" s="129"/>
      <c r="AK131" s="129"/>
      <c r="AL131" s="129"/>
      <c r="AM131" s="129"/>
      <c r="AN131" s="129"/>
      <c r="AO131" s="129"/>
      <c r="AP131" s="129"/>
      <c r="AQ131" s="129"/>
      <c r="AR131" s="129"/>
      <c r="AS131" s="129"/>
      <c r="AT131" s="129"/>
      <c r="AU131" s="129">
        <f t="shared" si="50"/>
        <v>0</v>
      </c>
      <c r="AV131" s="13" t="b">
        <f t="shared" si="51"/>
        <v>0</v>
      </c>
      <c r="AW131" s="14" t="s">
        <v>976</v>
      </c>
      <c r="AX131" t="s">
        <v>977</v>
      </c>
      <c r="AY131" s="16">
        <v>45331</v>
      </c>
      <c r="AZ131" s="377" t="s">
        <v>978</v>
      </c>
      <c r="BA131" s="259"/>
      <c r="BB131" s="17">
        <f t="shared" si="52"/>
        <v>-45331</v>
      </c>
      <c r="BC131" s="12"/>
      <c r="BD131" s="15"/>
      <c r="BE131" s="18"/>
      <c r="BF131" s="12"/>
      <c r="BG131" s="19" t="str">
        <f t="shared" si="53"/>
        <v>enero</v>
      </c>
      <c r="BH131" s="12" t="str">
        <f t="shared" si="54"/>
        <v>Corporación Ciudad Alfaro</v>
      </c>
      <c r="BI131" s="20" t="str">
        <f t="shared" si="55"/>
        <v>N/A</v>
      </c>
    </row>
    <row r="132" spans="1:61" ht="24.95" customHeight="1">
      <c r="A132" s="8">
        <v>489</v>
      </c>
      <c r="B132" s="12" t="str">
        <f>VLOOKUP($A132,'Matriz POA 2024-TRABAJO'!$A$5:$CD$9142,11,FALSE)</f>
        <v>Corporación Ciudad Alfaro</v>
      </c>
      <c r="C132" s="12" t="str">
        <f>VLOOKUP($A132,'Matriz POA 2024-TRABAJO'!$A$5:$CD$9142,14,FALSE)</f>
        <v>N/A</v>
      </c>
      <c r="D132" s="12" t="str">
        <f>VLOOKUP($A132,'Matriz POA 2024-TRABAJO'!$A$5:$CD$9142,15,FALSE)</f>
        <v>N/A</v>
      </c>
      <c r="E132" s="12" t="str">
        <f>VLOOKUP($A132,'Matriz POA 2024-TRABAJO'!$A$5:$CD$9142,18,FALSE)</f>
        <v>N/A</v>
      </c>
      <c r="F132" s="12" t="str">
        <f>VLOOKUP($A132,'Matriz POA 2024-TRABAJO'!$A$5:$CD$9142,20,FALSE)</f>
        <v>N/A</v>
      </c>
      <c r="G132" s="12" t="str">
        <f>VLOOKUP($A132,'Matriz POA 2024-TRABAJO'!$A$5:$CD$9142,21,FALSE)</f>
        <v>N/A</v>
      </c>
      <c r="H132" s="12" t="str">
        <f>VLOOKUP($A132,'Matriz POA 2024-TRABAJO'!$A$5:$CD$9142,22,FALSE)</f>
        <v>N/A</v>
      </c>
      <c r="I132" s="12" t="str">
        <f>VLOOKUP($A132,'Matriz POA 2024-TRABAJO'!$A$5:$CD$9142,23,FALSE)</f>
        <v>NUEVA</v>
      </c>
      <c r="J132" s="12" t="str">
        <f>VLOOKUP($A132,'Matriz POA 2024-TRABAJO'!$A$5:$CD$9142,24,FALSE)</f>
        <v xml:space="preserve">Adquisición de materiales y suministros de conservación y restauración para la Corporación Ciudad Alfaro y sus sedes </v>
      </c>
      <c r="K132" s="12" t="str">
        <f>VLOOKUP($A132,'Matriz POA 2024-TRABAJO'!$A$5:$CD$9142,25,FALSE)</f>
        <v>0035</v>
      </c>
      <c r="L132" s="12" t="str">
        <f>VLOOKUP($A132,'Matriz POA 2024-TRABAJO'!$A$5:$CD$9142,26,FALSE)</f>
        <v>80</v>
      </c>
      <c r="M132" s="12" t="str">
        <f>VLOOKUP($A132,'Matriz POA 2024-TRABAJO'!$A$5:$CD$9142,27,FALSE)</f>
        <v>000</v>
      </c>
      <c r="N132" s="12" t="str">
        <f>VLOOKUP($A132,'Matriz POA 2024-TRABAJO'!$A$5:$CD$9142,28,FALSE)</f>
        <v>002</v>
      </c>
      <c r="O132" s="12" t="str">
        <f>VLOOKUP($A132,'Matriz POA 2024-TRABAJO'!$A$5:$CD$9142,29,FALSE)</f>
        <v>53</v>
      </c>
      <c r="P132" s="12">
        <f>VLOOKUP($A132,'Matriz POA 2024-TRABAJO'!$A$5:$CD$9142,30,FALSE)</f>
        <v>530811</v>
      </c>
      <c r="Q132" s="12">
        <f>VLOOKUP($A132,'Matriz POA 2024-TRABAJO'!$A$5:$CD$9142,32,FALSE)</f>
        <v>1309</v>
      </c>
      <c r="R132" s="12" t="str">
        <f>VLOOKUP($A132,'Matriz POA 2024-TRABAJO'!$A$5:$CD$9142,33,FALSE)</f>
        <v>001</v>
      </c>
      <c r="S132" s="12" t="str">
        <f>VLOOKUP($A132,'Matriz POA 2024-TRABAJO'!$A$5:$CD$9142,34,FALSE)</f>
        <v>0000</v>
      </c>
      <c r="T132" s="12" t="str">
        <f>VLOOKUP($A132,'Matriz POA 2024-TRABAJO'!$A$5:$CD$9142,35,FALSE)</f>
        <v>0000</v>
      </c>
      <c r="U132" s="62">
        <f>VLOOKUP($A132,'Matriz POA 2024-TRABAJO'!$A$5:$CD$9142,66,FALSE)</f>
        <v>3942.38</v>
      </c>
      <c r="V132" s="62">
        <f>VLOOKUP($A132,'Matriz POA 2024-TRABAJO'!$A$5:$CD$9142,67,FALSE)</f>
        <v>-3942.38</v>
      </c>
      <c r="W132" s="62">
        <f>VLOOKUP($A132,'Matriz POA 2024-TRABAJO'!$A$5:$CD$9142,68,FALSE)</f>
        <v>0</v>
      </c>
      <c r="X132" s="62" t="str">
        <f>VLOOKUP($A132,'Matriz POA 2024-TRABAJO'!$A$5:$CD$9142,72,FALSE)</f>
        <v/>
      </c>
      <c r="Y132" s="388">
        <v>3942.38</v>
      </c>
      <c r="Z132" s="388">
        <v>0</v>
      </c>
      <c r="AA132" s="388">
        <v>3942.38</v>
      </c>
      <c r="AB132" s="389"/>
      <c r="AC132" s="389"/>
      <c r="AD132" s="13"/>
      <c r="AE132" s="13"/>
      <c r="AF132" s="13">
        <f t="shared" si="47"/>
        <v>3942.38</v>
      </c>
      <c r="AG132" s="13">
        <f t="shared" si="48"/>
        <v>0</v>
      </c>
      <c r="AH132" s="13">
        <f t="shared" si="49"/>
        <v>3942.38</v>
      </c>
      <c r="AI132" s="129"/>
      <c r="AJ132" s="129"/>
      <c r="AK132" s="129">
        <v>4699.84</v>
      </c>
      <c r="AL132" s="129"/>
      <c r="AM132" s="129"/>
      <c r="AN132" s="129"/>
      <c r="AO132" s="129"/>
      <c r="AP132" s="129"/>
      <c r="AQ132" s="129"/>
      <c r="AR132" s="129"/>
      <c r="AS132" s="129"/>
      <c r="AT132" s="129"/>
      <c r="AU132" s="129">
        <f t="shared" si="50"/>
        <v>4699.84</v>
      </c>
      <c r="AV132" s="13" t="b">
        <f t="shared" si="51"/>
        <v>0</v>
      </c>
      <c r="AW132" s="14" t="s">
        <v>976</v>
      </c>
      <c r="AX132" t="s">
        <v>977</v>
      </c>
      <c r="AY132" s="16">
        <v>45331</v>
      </c>
      <c r="AZ132" s="377" t="s">
        <v>978</v>
      </c>
      <c r="BA132" s="259"/>
      <c r="BB132" s="17">
        <f t="shared" si="52"/>
        <v>-45331</v>
      </c>
      <c r="BC132" s="12"/>
      <c r="BD132" s="15"/>
      <c r="BE132" s="18"/>
      <c r="BF132" s="12"/>
      <c r="BG132" s="19" t="str">
        <f t="shared" si="53"/>
        <v>enero</v>
      </c>
      <c r="BH132" s="12" t="str">
        <f t="shared" si="54"/>
        <v>Corporación Ciudad Alfaro</v>
      </c>
      <c r="BI132" s="20" t="str">
        <f t="shared" si="55"/>
        <v>N/A</v>
      </c>
    </row>
    <row r="133" spans="1:61" ht="24.95" customHeight="1">
      <c r="A133" s="8">
        <v>741</v>
      </c>
      <c r="B133" s="12" t="str">
        <f>VLOOKUP($A133,'Matriz POA 2024-TRABAJO'!$A$5:$CD$9142,11,FALSE)</f>
        <v>Corporación Ciudad Alfaro</v>
      </c>
      <c r="C133" s="12" t="str">
        <f>VLOOKUP($A133,'Matriz POA 2024-TRABAJO'!$A$5:$CD$9142,14,FALSE)</f>
        <v>N/A</v>
      </c>
      <c r="D133" s="12" t="str">
        <f>VLOOKUP($A133,'Matriz POA 2024-TRABAJO'!$A$5:$CD$9142,15,FALSE)</f>
        <v>N/A</v>
      </c>
      <c r="E133" s="12" t="str">
        <f>VLOOKUP($A133,'Matriz POA 2024-TRABAJO'!$A$5:$CD$9142,18,FALSE)</f>
        <v>N/A</v>
      </c>
      <c r="F133" s="12" t="str">
        <f>VLOOKUP($A133,'Matriz POA 2024-TRABAJO'!$A$5:$CD$9142,20,FALSE)</f>
        <v>N/A</v>
      </c>
      <c r="G133" s="12" t="str">
        <f>VLOOKUP($A133,'Matriz POA 2024-TRABAJO'!$A$5:$CD$9142,21,FALSE)</f>
        <v>N/A</v>
      </c>
      <c r="H133" s="12" t="str">
        <f>VLOOKUP($A133,'Matriz POA 2024-TRABAJO'!$A$5:$CD$9142,22,FALSE)</f>
        <v>N/A</v>
      </c>
      <c r="I133" s="12" t="str">
        <f>VLOOKUP($A133,'Matriz POA 2024-TRABAJO'!$A$5:$CD$9142,23,FALSE)</f>
        <v>NUEVA</v>
      </c>
      <c r="J133" s="12" t="str">
        <f>VLOOKUP($A133,'Matriz POA 2024-TRABAJO'!$A$5:$CD$9142,24,FALSE)</f>
        <v>Obligaciones de Ejercicios Anteriores por Egresos de Personal</v>
      </c>
      <c r="K133" s="12" t="str">
        <f>VLOOKUP($A133,'Matriz POA 2024-TRABAJO'!$A$5:$CD$9142,25,FALSE)</f>
        <v>0035</v>
      </c>
      <c r="L133" s="12" t="str">
        <f>VLOOKUP($A133,'Matriz POA 2024-TRABAJO'!$A$5:$CD$9142,26,FALSE)</f>
        <v>80</v>
      </c>
      <c r="M133" s="12" t="str">
        <f>VLOOKUP($A133,'Matriz POA 2024-TRABAJO'!$A$5:$CD$9142,27,FALSE)</f>
        <v>000</v>
      </c>
      <c r="N133" s="12" t="str">
        <f>VLOOKUP($A133,'Matriz POA 2024-TRABAJO'!$A$5:$CD$9142,28,FALSE)</f>
        <v>002</v>
      </c>
      <c r="O133" s="12" t="str">
        <f>VLOOKUP($A133,'Matriz POA 2024-TRABAJO'!$A$5:$CD$9142,29,FALSE)</f>
        <v>99</v>
      </c>
      <c r="P133" s="12">
        <f>VLOOKUP($A133,'Matriz POA 2024-TRABAJO'!$A$5:$CD$9142,30,FALSE)</f>
        <v>990101</v>
      </c>
      <c r="Q133" s="12">
        <f>VLOOKUP($A133,'Matriz POA 2024-TRABAJO'!$A$5:$CD$9142,32,FALSE)</f>
        <v>1309</v>
      </c>
      <c r="R133" s="12" t="str">
        <f>VLOOKUP($A133,'Matriz POA 2024-TRABAJO'!$A$5:$CD$9142,33,FALSE)</f>
        <v>001</v>
      </c>
      <c r="S133" s="12" t="str">
        <f>VLOOKUP($A133,'Matriz POA 2024-TRABAJO'!$A$5:$CD$9142,34,FALSE)</f>
        <v>0000</v>
      </c>
      <c r="T133" s="12" t="str">
        <f>VLOOKUP($A133,'Matriz POA 2024-TRABAJO'!$A$5:$CD$9142,35,FALSE)</f>
        <v>0000</v>
      </c>
      <c r="U133" s="62">
        <f>VLOOKUP($A133,'Matriz POA 2024-TRABAJO'!$A$5:$CD$9142,66,FALSE)</f>
        <v>11120.92</v>
      </c>
      <c r="V133" s="62">
        <f>VLOOKUP($A133,'Matriz POA 2024-TRABAJO'!$A$5:$CD$9142,67,FALSE)</f>
        <v>-5560.46</v>
      </c>
      <c r="W133" s="62">
        <f>VLOOKUP($A133,'Matriz POA 2024-TRABAJO'!$A$5:$CD$9142,68,FALSE)</f>
        <v>0</v>
      </c>
      <c r="X133" s="62">
        <f>VLOOKUP($A133,'Matriz POA 2024-TRABAJO'!$A$5:$CD$9142,72,FALSE)</f>
        <v>5560.46</v>
      </c>
      <c r="Y133" s="388">
        <v>5558.56</v>
      </c>
      <c r="Z133" s="388">
        <v>0</v>
      </c>
      <c r="AA133" s="388">
        <v>5558.56</v>
      </c>
      <c r="AB133" s="389"/>
      <c r="AC133" s="389"/>
      <c r="AD133" s="13"/>
      <c r="AE133" s="13"/>
      <c r="AF133" s="13">
        <f t="shared" si="47"/>
        <v>5558.56</v>
      </c>
      <c r="AG133" s="13">
        <f t="shared" si="48"/>
        <v>0</v>
      </c>
      <c r="AH133" s="13">
        <f t="shared" si="49"/>
        <v>5558.56</v>
      </c>
      <c r="AI133" s="129">
        <v>463.14</v>
      </c>
      <c r="AJ133" s="129">
        <v>463.14</v>
      </c>
      <c r="AK133" s="129">
        <v>1282.3499999999999</v>
      </c>
      <c r="AL133" s="129">
        <v>463.14</v>
      </c>
      <c r="AM133" s="129">
        <v>463.14</v>
      </c>
      <c r="AN133" s="129">
        <v>463.14</v>
      </c>
      <c r="AO133" s="129">
        <v>463.14</v>
      </c>
      <c r="AP133" s="129">
        <v>463.14</v>
      </c>
      <c r="AQ133" s="129">
        <v>463.14</v>
      </c>
      <c r="AR133" s="129">
        <v>463.14</v>
      </c>
      <c r="AS133" s="129">
        <v>463.14</v>
      </c>
      <c r="AT133" s="129">
        <v>464.02</v>
      </c>
      <c r="AU133" s="129">
        <f t="shared" si="50"/>
        <v>6377.77</v>
      </c>
      <c r="AV133" s="13" t="b">
        <f t="shared" si="51"/>
        <v>0</v>
      </c>
      <c r="AW133" s="14" t="s">
        <v>976</v>
      </c>
      <c r="AX133" t="s">
        <v>977</v>
      </c>
      <c r="AY133" s="16">
        <v>45331</v>
      </c>
      <c r="AZ133" s="377" t="s">
        <v>978</v>
      </c>
      <c r="BA133" s="259"/>
      <c r="BB133" s="17">
        <f t="shared" si="52"/>
        <v>-45331</v>
      </c>
      <c r="BC133" s="12"/>
      <c r="BD133" s="15"/>
      <c r="BE133" s="18"/>
      <c r="BF133" s="12"/>
      <c r="BG133" s="19" t="str">
        <f t="shared" si="53"/>
        <v>enero</v>
      </c>
      <c r="BH133" s="12" t="str">
        <f t="shared" si="54"/>
        <v>Corporación Ciudad Alfaro</v>
      </c>
      <c r="BI133" s="20" t="str">
        <f t="shared" si="55"/>
        <v>N/A</v>
      </c>
    </row>
    <row r="134" spans="1:61" ht="24.95" customHeight="1">
      <c r="A134" s="8">
        <v>786</v>
      </c>
      <c r="B134" s="12" t="str">
        <f>VLOOKUP($A134,'Matriz POA 2024-TRABAJO'!$A$5:$CD$9142,11,FALSE)</f>
        <v>Corporación Ciudad Alfaro</v>
      </c>
      <c r="C134" s="12" t="str">
        <f>VLOOKUP($A134,'Matriz POA 2024-TRABAJO'!$A$5:$CD$9142,14,FALSE)</f>
        <v>N/A</v>
      </c>
      <c r="D134" s="12" t="str">
        <f>VLOOKUP($A134,'Matriz POA 2024-TRABAJO'!$A$5:$CD$9142,15,FALSE)</f>
        <v>N/A</v>
      </c>
      <c r="E134" s="12" t="str">
        <f>VLOOKUP($A134,'Matriz POA 2024-TRABAJO'!$A$5:$CD$9142,18,FALSE)</f>
        <v>N/A</v>
      </c>
      <c r="F134" s="12" t="str">
        <f>VLOOKUP($A134,'Matriz POA 2024-TRABAJO'!$A$5:$CD$9142,20,FALSE)</f>
        <v>N/A</v>
      </c>
      <c r="G134" s="12" t="str">
        <f>VLOOKUP($A134,'Matriz POA 2024-TRABAJO'!$A$5:$CD$9142,21,FALSE)</f>
        <v>N/A</v>
      </c>
      <c r="H134" s="12" t="str">
        <f>VLOOKUP($A134,'Matriz POA 2024-TRABAJO'!$A$5:$CD$9142,22,FALSE)</f>
        <v>N/A</v>
      </c>
      <c r="I134" s="12" t="str">
        <f>VLOOKUP($A134,'Matriz POA 2024-TRABAJO'!$A$5:$CD$9142,23,FALSE)</f>
        <v>NUEVA</v>
      </c>
      <c r="J134" s="12" t="str">
        <f>VLOOKUP($A134,'Matriz POA 2024-TRABAJO'!$A$5:$CD$9142,24,FALSE)</f>
        <v>Instalación del sistema de detección de humo automático en planta baja, mezzanine, 1erpiso del museo bahía de caráquez.</v>
      </c>
      <c r="K134" s="12" t="str">
        <f>VLOOKUP($A134,'Matriz POA 2024-TRABAJO'!$A$5:$CD$9142,25,FALSE)</f>
        <v>0035</v>
      </c>
      <c r="L134" s="12">
        <f>VLOOKUP($A134,'Matriz POA 2024-TRABAJO'!$A$5:$CD$9142,26,FALSE)</f>
        <v>80</v>
      </c>
      <c r="M134" s="12" t="str">
        <f>VLOOKUP($A134,'Matriz POA 2024-TRABAJO'!$A$5:$CD$9142,27,FALSE)</f>
        <v>000</v>
      </c>
      <c r="N134" s="12" t="str">
        <f>VLOOKUP($A134,'Matriz POA 2024-TRABAJO'!$A$5:$CD$9142,28,FALSE)</f>
        <v>002</v>
      </c>
      <c r="O134" s="12" t="str">
        <f>VLOOKUP($A134,'Matriz POA 2024-TRABAJO'!$A$5:$CD$9142,29,FALSE)</f>
        <v>53</v>
      </c>
      <c r="P134" s="12">
        <f>VLOOKUP($A134,'Matriz POA 2024-TRABAJO'!$A$5:$CD$9142,30,FALSE)</f>
        <v>530811</v>
      </c>
      <c r="Q134" s="12">
        <f>VLOOKUP($A134,'Matriz POA 2024-TRABAJO'!$A$5:$CD$9142,32,FALSE)</f>
        <v>1314</v>
      </c>
      <c r="R134" s="12" t="str">
        <f>VLOOKUP($A134,'Matriz POA 2024-TRABAJO'!$A$5:$CD$9142,33,FALSE)</f>
        <v>001</v>
      </c>
      <c r="S134" s="12" t="str">
        <f>VLOOKUP($A134,'Matriz POA 2024-TRABAJO'!$A$5:$CD$9142,34,FALSE)</f>
        <v>0000</v>
      </c>
      <c r="T134" s="12" t="str">
        <f>VLOOKUP($A134,'Matriz POA 2024-TRABAJO'!$A$5:$CD$9142,35,FALSE)</f>
        <v>0000</v>
      </c>
      <c r="U134" s="62" t="str">
        <f>VLOOKUP($A134,'Matriz POA 2024-TRABAJO'!$A$5:$CD$9142,66,FALSE)</f>
        <v/>
      </c>
      <c r="V134" s="62" t="str">
        <f>VLOOKUP($A134,'Matriz POA 2024-TRABAJO'!$A$5:$CD$9142,67,FALSE)</f>
        <v/>
      </c>
      <c r="W134" s="62" t="str">
        <f>VLOOKUP($A134,'Matriz POA 2024-TRABAJO'!$A$5:$CD$9142,68,FALSE)</f>
        <v/>
      </c>
      <c r="X134" s="62" t="str">
        <f>VLOOKUP($A134,'Matriz POA 2024-TRABAJO'!$A$5:$CD$9142,72,FALSE)</f>
        <v/>
      </c>
      <c r="Y134" s="388">
        <v>0</v>
      </c>
      <c r="Z134" s="388">
        <v>0</v>
      </c>
      <c r="AA134" s="388">
        <v>0</v>
      </c>
      <c r="AB134" s="389"/>
      <c r="AC134" s="389"/>
      <c r="AD134" s="13"/>
      <c r="AE134" s="13"/>
      <c r="AF134" s="13">
        <f t="shared" si="47"/>
        <v>0</v>
      </c>
      <c r="AG134" s="13">
        <f t="shared" si="48"/>
        <v>0</v>
      </c>
      <c r="AH134" s="13">
        <f t="shared" si="49"/>
        <v>0</v>
      </c>
      <c r="AI134" s="129"/>
      <c r="AJ134" s="129"/>
      <c r="AK134" s="129">
        <v>3600</v>
      </c>
      <c r="AL134" s="129"/>
      <c r="AM134" s="129"/>
      <c r="AN134" s="129"/>
      <c r="AO134" s="129"/>
      <c r="AP134" s="129"/>
      <c r="AQ134" s="129"/>
      <c r="AR134" s="129"/>
      <c r="AS134" s="129"/>
      <c r="AT134" s="129"/>
      <c r="AU134" s="129">
        <f t="shared" si="50"/>
        <v>3600</v>
      </c>
      <c r="AV134" s="13" t="b">
        <f t="shared" si="51"/>
        <v>0</v>
      </c>
      <c r="AW134" s="14" t="s">
        <v>976</v>
      </c>
      <c r="AX134" t="s">
        <v>977</v>
      </c>
      <c r="AY134" s="16">
        <v>45331</v>
      </c>
      <c r="AZ134" s="377" t="s">
        <v>978</v>
      </c>
      <c r="BA134" s="259"/>
      <c r="BB134" s="17">
        <f t="shared" si="52"/>
        <v>-45331</v>
      </c>
      <c r="BC134" s="12"/>
      <c r="BD134" s="15"/>
      <c r="BE134" s="18"/>
      <c r="BF134" s="12"/>
      <c r="BG134" s="19" t="str">
        <f t="shared" si="53"/>
        <v>enero</v>
      </c>
      <c r="BH134" s="12" t="str">
        <f t="shared" si="54"/>
        <v>Corporación Ciudad Alfaro</v>
      </c>
      <c r="BI134" s="20" t="str">
        <f t="shared" si="55"/>
        <v>N/A</v>
      </c>
    </row>
    <row r="135" spans="1:61" ht="24.95" customHeight="1">
      <c r="A135" s="8">
        <v>787</v>
      </c>
      <c r="B135" s="12" t="str">
        <f>VLOOKUP($A135,'Matriz POA 2024-TRABAJO'!$A$5:$CD$9142,11,FALSE)</f>
        <v>Corporación Ciudad Alfaro</v>
      </c>
      <c r="C135" s="12" t="str">
        <f>VLOOKUP($A135,'Matriz POA 2024-TRABAJO'!$A$5:$CD$9142,14,FALSE)</f>
        <v>N/A</v>
      </c>
      <c r="D135" s="12" t="str">
        <f>VLOOKUP($A135,'Matriz POA 2024-TRABAJO'!$A$5:$CD$9142,15,FALSE)</f>
        <v>N/A</v>
      </c>
      <c r="E135" s="12" t="str">
        <f>VLOOKUP($A135,'Matriz POA 2024-TRABAJO'!$A$5:$CD$9142,18,FALSE)</f>
        <v>N/A</v>
      </c>
      <c r="F135" s="12" t="str">
        <f>VLOOKUP($A135,'Matriz POA 2024-TRABAJO'!$A$5:$CD$9142,20,FALSE)</f>
        <v>N/A</v>
      </c>
      <c r="G135" s="12" t="str">
        <f>VLOOKUP($A135,'Matriz POA 2024-TRABAJO'!$A$5:$CD$9142,21,FALSE)</f>
        <v>N/A</v>
      </c>
      <c r="H135" s="12" t="str">
        <f>VLOOKUP($A135,'Matriz POA 2024-TRABAJO'!$A$5:$CD$9142,22,FALSE)</f>
        <v>N/A</v>
      </c>
      <c r="I135" s="12" t="str">
        <f>VLOOKUP($A135,'Matriz POA 2024-TRABAJO'!$A$5:$CD$9142,23,FALSE)</f>
        <v>NUEVA</v>
      </c>
      <c r="J135" s="12" t="str">
        <f>VLOOKUP($A135,'Matriz POA 2024-TRABAJO'!$A$5:$CD$9142,24,FALSE)</f>
        <v>Construcción cubierta en la sede del Museo Bahía de Caráquez</v>
      </c>
      <c r="K135" s="12" t="str">
        <f>VLOOKUP($A135,'Matriz POA 2024-TRABAJO'!$A$5:$CD$9142,25,FALSE)</f>
        <v>0035</v>
      </c>
      <c r="L135" s="12">
        <f>VLOOKUP($A135,'Matriz POA 2024-TRABAJO'!$A$5:$CD$9142,26,FALSE)</f>
        <v>80</v>
      </c>
      <c r="M135" s="12" t="str">
        <f>VLOOKUP($A135,'Matriz POA 2024-TRABAJO'!$A$5:$CD$9142,27,FALSE)</f>
        <v>000</v>
      </c>
      <c r="N135" s="12" t="str">
        <f>VLOOKUP($A135,'Matriz POA 2024-TRABAJO'!$A$5:$CD$9142,28,FALSE)</f>
        <v>002</v>
      </c>
      <c r="O135" s="12" t="str">
        <f>VLOOKUP($A135,'Matriz POA 2024-TRABAJO'!$A$5:$CD$9142,29,FALSE)</f>
        <v>53</v>
      </c>
      <c r="P135" s="12">
        <f>VLOOKUP($A135,'Matriz POA 2024-TRABAJO'!$A$5:$CD$9142,30,FALSE)</f>
        <v>530402</v>
      </c>
      <c r="Q135" s="12">
        <f>VLOOKUP($A135,'Matriz POA 2024-TRABAJO'!$A$5:$CD$9142,32,FALSE)</f>
        <v>1314</v>
      </c>
      <c r="R135" s="12" t="str">
        <f>VLOOKUP($A135,'Matriz POA 2024-TRABAJO'!$A$5:$CD$9142,33,FALSE)</f>
        <v>001</v>
      </c>
      <c r="S135" s="12" t="str">
        <f>VLOOKUP($A135,'Matriz POA 2024-TRABAJO'!$A$5:$CD$9142,34,FALSE)</f>
        <v>0000</v>
      </c>
      <c r="T135" s="12" t="str">
        <f>VLOOKUP($A135,'Matriz POA 2024-TRABAJO'!$A$5:$CD$9142,35,FALSE)</f>
        <v>0000</v>
      </c>
      <c r="U135" s="62" t="str">
        <f>VLOOKUP($A135,'Matriz POA 2024-TRABAJO'!$A$5:$CD$9142,66,FALSE)</f>
        <v/>
      </c>
      <c r="V135" s="62" t="str">
        <f>VLOOKUP($A135,'Matriz POA 2024-TRABAJO'!$A$5:$CD$9142,67,FALSE)</f>
        <v/>
      </c>
      <c r="W135" s="62" t="str">
        <f>VLOOKUP($A135,'Matriz POA 2024-TRABAJO'!$A$5:$CD$9142,68,FALSE)</f>
        <v/>
      </c>
      <c r="X135" s="62" t="str">
        <f>VLOOKUP($A135,'Matriz POA 2024-TRABAJO'!$A$5:$CD$9142,72,FALSE)</f>
        <v/>
      </c>
      <c r="Y135" s="388">
        <v>0</v>
      </c>
      <c r="Z135" s="388">
        <v>0</v>
      </c>
      <c r="AA135" s="388">
        <v>0</v>
      </c>
      <c r="AB135" s="389"/>
      <c r="AC135" s="389"/>
      <c r="AD135" s="13"/>
      <c r="AE135" s="13"/>
      <c r="AF135" s="13">
        <f t="shared" si="47"/>
        <v>0</v>
      </c>
      <c r="AG135" s="13">
        <f t="shared" si="48"/>
        <v>0</v>
      </c>
      <c r="AH135" s="13">
        <f t="shared" si="49"/>
        <v>0</v>
      </c>
      <c r="AI135" s="129"/>
      <c r="AJ135" s="129"/>
      <c r="AK135" s="129"/>
      <c r="AL135" s="129">
        <v>10000</v>
      </c>
      <c r="AM135" s="129"/>
      <c r="AN135" s="129"/>
      <c r="AO135" s="129"/>
      <c r="AP135" s="129"/>
      <c r="AQ135" s="129"/>
      <c r="AR135" s="129"/>
      <c r="AS135" s="129"/>
      <c r="AT135" s="129"/>
      <c r="AU135" s="129">
        <f t="shared" si="50"/>
        <v>10000</v>
      </c>
      <c r="AV135" s="13" t="b">
        <f t="shared" si="51"/>
        <v>0</v>
      </c>
      <c r="AW135" s="14" t="s">
        <v>976</v>
      </c>
      <c r="AX135" t="s">
        <v>977</v>
      </c>
      <c r="AY135" s="16">
        <v>45331</v>
      </c>
      <c r="AZ135" s="377" t="s">
        <v>978</v>
      </c>
      <c r="BA135" s="259"/>
      <c r="BB135" s="17">
        <f t="shared" si="52"/>
        <v>-45331</v>
      </c>
      <c r="BC135" s="12"/>
      <c r="BD135" s="15"/>
      <c r="BE135" s="18"/>
      <c r="BF135" s="12"/>
      <c r="BG135" s="19" t="str">
        <f t="shared" si="53"/>
        <v>enero</v>
      </c>
      <c r="BH135" s="12" t="str">
        <f t="shared" si="54"/>
        <v>Corporación Ciudad Alfaro</v>
      </c>
      <c r="BI135" s="20" t="str">
        <f t="shared" si="55"/>
        <v>N/A</v>
      </c>
    </row>
    <row r="136" spans="1:61" ht="24.95" customHeight="1">
      <c r="A136" s="8">
        <v>788</v>
      </c>
      <c r="B136" s="12" t="str">
        <f>VLOOKUP($A136,'Matriz POA 2024-TRABAJO'!$A$5:$CD$9142,11,FALSE)</f>
        <v>Corporación Ciudad Alfaro</v>
      </c>
      <c r="C136" s="12" t="str">
        <f>VLOOKUP($A136,'Matriz POA 2024-TRABAJO'!$A$5:$CD$9142,14,FALSE)</f>
        <v>N/A</v>
      </c>
      <c r="D136" s="12" t="str">
        <f>VLOOKUP($A136,'Matriz POA 2024-TRABAJO'!$A$5:$CD$9142,15,FALSE)</f>
        <v>N/A</v>
      </c>
      <c r="E136" s="12" t="str">
        <f>VLOOKUP($A136,'Matriz POA 2024-TRABAJO'!$A$5:$CD$9142,18,FALSE)</f>
        <v>N/A</v>
      </c>
      <c r="F136" s="12" t="str">
        <f>VLOOKUP($A136,'Matriz POA 2024-TRABAJO'!$A$5:$CD$9142,20,FALSE)</f>
        <v>N/A</v>
      </c>
      <c r="G136" s="12" t="str">
        <f>VLOOKUP($A136,'Matriz POA 2024-TRABAJO'!$A$5:$CD$9142,21,FALSE)</f>
        <v>N/A</v>
      </c>
      <c r="H136" s="12" t="str">
        <f>VLOOKUP($A136,'Matriz POA 2024-TRABAJO'!$A$5:$CD$9142,22,FALSE)</f>
        <v>N/A</v>
      </c>
      <c r="I136" s="12" t="str">
        <f>VLOOKUP($A136,'Matriz POA 2024-TRABAJO'!$A$5:$CD$9142,23,FALSE)</f>
        <v>NUEVA</v>
      </c>
      <c r="J136" s="12" t="str">
        <f>VLOOKUP($A136,'Matriz POA 2024-TRABAJO'!$A$5:$CD$9142,24,FALSE)</f>
        <v>Servicio de organización, producción y ejecución de los eventos enmarcados en el calendario patrimonial, cultural e histórico, para la difusión y fortalecimiento de la memoria social del Museo Nuclear Corporación Ciudad Alfaro, y sus sedes en Portoviejo, Manta y Bahía de Caráquez.</v>
      </c>
      <c r="K136" s="12" t="str">
        <f>VLOOKUP($A136,'Matriz POA 2024-TRABAJO'!$A$5:$CD$9142,25,FALSE)</f>
        <v>0035</v>
      </c>
      <c r="L136" s="12">
        <f>VLOOKUP($A136,'Matriz POA 2024-TRABAJO'!$A$5:$CD$9142,26,FALSE)</f>
        <v>80</v>
      </c>
      <c r="M136" s="12" t="str">
        <f>VLOOKUP($A136,'Matriz POA 2024-TRABAJO'!$A$5:$CD$9142,27,FALSE)</f>
        <v>000</v>
      </c>
      <c r="N136" s="12" t="str">
        <f>VLOOKUP($A136,'Matriz POA 2024-TRABAJO'!$A$5:$CD$9142,28,FALSE)</f>
        <v>002</v>
      </c>
      <c r="O136" s="12" t="str">
        <f>VLOOKUP($A136,'Matriz POA 2024-TRABAJO'!$A$5:$CD$9142,29,FALSE)</f>
        <v>53</v>
      </c>
      <c r="P136" s="12">
        <f>VLOOKUP($A136,'Matriz POA 2024-TRABAJO'!$A$5:$CD$9142,30,FALSE)</f>
        <v>530205</v>
      </c>
      <c r="Q136" s="12">
        <f>VLOOKUP($A136,'Matriz POA 2024-TRABAJO'!$A$5:$CD$9142,32,FALSE)</f>
        <v>1309</v>
      </c>
      <c r="R136" s="12" t="str">
        <f>VLOOKUP($A136,'Matriz POA 2024-TRABAJO'!$A$5:$CD$9142,33,FALSE)</f>
        <v>001</v>
      </c>
      <c r="S136" s="12" t="str">
        <f>VLOOKUP($A136,'Matriz POA 2024-TRABAJO'!$A$5:$CD$9142,34,FALSE)</f>
        <v>0000</v>
      </c>
      <c r="T136" s="12" t="str">
        <f>VLOOKUP($A136,'Matriz POA 2024-TRABAJO'!$A$5:$CD$9142,35,FALSE)</f>
        <v>0000</v>
      </c>
      <c r="U136" s="62" t="str">
        <f>VLOOKUP($A136,'Matriz POA 2024-TRABAJO'!$A$5:$CD$9142,66,FALSE)</f>
        <v/>
      </c>
      <c r="V136" s="62" t="str">
        <f>VLOOKUP($A136,'Matriz POA 2024-TRABAJO'!$A$5:$CD$9142,67,FALSE)</f>
        <v/>
      </c>
      <c r="W136" s="62" t="str">
        <f>VLOOKUP($A136,'Matriz POA 2024-TRABAJO'!$A$5:$CD$9142,68,FALSE)</f>
        <v/>
      </c>
      <c r="X136" s="62" t="str">
        <f>VLOOKUP($A136,'Matriz POA 2024-TRABAJO'!$A$5:$CD$9142,72,FALSE)</f>
        <v/>
      </c>
      <c r="Y136" s="388">
        <v>0</v>
      </c>
      <c r="Z136" s="388">
        <v>0</v>
      </c>
      <c r="AA136" s="388">
        <v>0</v>
      </c>
      <c r="AB136" s="389"/>
      <c r="AC136" s="389"/>
      <c r="AD136" s="13"/>
      <c r="AE136" s="13"/>
      <c r="AF136" s="13">
        <f t="shared" si="47"/>
        <v>0</v>
      </c>
      <c r="AG136" s="13">
        <f t="shared" si="48"/>
        <v>0</v>
      </c>
      <c r="AH136" s="13">
        <f t="shared" si="49"/>
        <v>0</v>
      </c>
      <c r="AI136" s="129"/>
      <c r="AJ136" s="129"/>
      <c r="AK136" s="129"/>
      <c r="AL136" s="129"/>
      <c r="AM136" s="129">
        <v>3000</v>
      </c>
      <c r="AN136" s="129"/>
      <c r="AO136" s="129">
        <v>2500</v>
      </c>
      <c r="AP136" s="129"/>
      <c r="AQ136" s="129">
        <v>2500</v>
      </c>
      <c r="AR136" s="129"/>
      <c r="AS136" s="129"/>
      <c r="AT136" s="129">
        <v>2000</v>
      </c>
      <c r="AU136" s="129">
        <f t="shared" si="50"/>
        <v>10000</v>
      </c>
      <c r="AV136" s="13" t="b">
        <f t="shared" si="51"/>
        <v>0</v>
      </c>
      <c r="AW136" s="14" t="s">
        <v>976</v>
      </c>
      <c r="AX136" t="s">
        <v>977</v>
      </c>
      <c r="AY136" s="16">
        <v>45331</v>
      </c>
      <c r="AZ136" s="377" t="s">
        <v>978</v>
      </c>
      <c r="BA136" s="259"/>
      <c r="BB136" s="17">
        <f t="shared" si="52"/>
        <v>-45331</v>
      </c>
      <c r="BC136" s="12"/>
      <c r="BD136" s="15"/>
      <c r="BE136" s="18"/>
      <c r="BF136" s="12"/>
      <c r="BG136" s="19" t="str">
        <f t="shared" si="53"/>
        <v>enero</v>
      </c>
      <c r="BH136" s="12" t="str">
        <f t="shared" si="54"/>
        <v>Corporación Ciudad Alfaro</v>
      </c>
      <c r="BI136" s="20" t="str">
        <f t="shared" si="55"/>
        <v>N/A</v>
      </c>
    </row>
    <row r="137" spans="1:61" ht="24.95" customHeight="1">
      <c r="A137" s="8">
        <v>789</v>
      </c>
      <c r="B137" s="12" t="str">
        <f>VLOOKUP($A137,'Matriz POA 2024-TRABAJO'!$A$5:$CD$9142,11,FALSE)</f>
        <v>Corporación Ciudad Alfaro</v>
      </c>
      <c r="C137" s="12" t="str">
        <f>VLOOKUP($A137,'Matriz POA 2024-TRABAJO'!$A$5:$CD$9142,14,FALSE)</f>
        <v>N/A</v>
      </c>
      <c r="D137" s="12" t="str">
        <f>VLOOKUP($A137,'Matriz POA 2024-TRABAJO'!$A$5:$CD$9142,15,FALSE)</f>
        <v>N/A</v>
      </c>
      <c r="E137" s="12" t="str">
        <f>VLOOKUP($A137,'Matriz POA 2024-TRABAJO'!$A$5:$CD$9142,18,FALSE)</f>
        <v>N/A</v>
      </c>
      <c r="F137" s="12" t="str">
        <f>VLOOKUP($A137,'Matriz POA 2024-TRABAJO'!$A$5:$CD$9142,20,FALSE)</f>
        <v>N/A</v>
      </c>
      <c r="G137" s="12" t="str">
        <f>VLOOKUP($A137,'Matriz POA 2024-TRABAJO'!$A$5:$CD$9142,21,FALSE)</f>
        <v>N/A</v>
      </c>
      <c r="H137" s="12" t="str">
        <f>VLOOKUP($A137,'Matriz POA 2024-TRABAJO'!$A$5:$CD$9142,22,FALSE)</f>
        <v>N/A</v>
      </c>
      <c r="I137" s="12" t="str">
        <f>VLOOKUP($A137,'Matriz POA 2024-TRABAJO'!$A$5:$CD$9142,23,FALSE)</f>
        <v>NUEVA</v>
      </c>
      <c r="J137" s="12" t="str">
        <f>VLOOKUP($A137,'Matriz POA 2024-TRABAJO'!$A$5:$CD$9142,24,FALSE)</f>
        <v xml:space="preserve">Mantenimiento preventivo y correctivo de equipos menores del Museo Nuclear Corporación Ciudad Alfaro y su Sedes. </v>
      </c>
      <c r="K137" s="12" t="str">
        <f>VLOOKUP($A137,'Matriz POA 2024-TRABAJO'!$A$5:$CD$9142,25,FALSE)</f>
        <v>0035</v>
      </c>
      <c r="L137" s="12">
        <f>VLOOKUP($A137,'Matriz POA 2024-TRABAJO'!$A$5:$CD$9142,26,FALSE)</f>
        <v>80</v>
      </c>
      <c r="M137" s="12" t="str">
        <f>VLOOKUP($A137,'Matriz POA 2024-TRABAJO'!$A$5:$CD$9142,27,FALSE)</f>
        <v>000</v>
      </c>
      <c r="N137" s="12" t="str">
        <f>VLOOKUP($A137,'Matriz POA 2024-TRABAJO'!$A$5:$CD$9142,28,FALSE)</f>
        <v>002</v>
      </c>
      <c r="O137" s="12" t="str">
        <f>VLOOKUP($A137,'Matriz POA 2024-TRABAJO'!$A$5:$CD$9142,29,FALSE)</f>
        <v>53</v>
      </c>
      <c r="P137" s="12">
        <f>VLOOKUP($A137,'Matriz POA 2024-TRABAJO'!$A$5:$CD$9142,30,FALSE)</f>
        <v>530403</v>
      </c>
      <c r="Q137" s="12">
        <f>VLOOKUP($A137,'Matriz POA 2024-TRABAJO'!$A$5:$CD$9142,32,FALSE)</f>
        <v>1309</v>
      </c>
      <c r="R137" s="12" t="str">
        <f>VLOOKUP($A137,'Matriz POA 2024-TRABAJO'!$A$5:$CD$9142,33,FALSE)</f>
        <v>001</v>
      </c>
      <c r="S137" s="12" t="str">
        <f>VLOOKUP($A137,'Matriz POA 2024-TRABAJO'!$A$5:$CD$9142,34,FALSE)</f>
        <v>0000</v>
      </c>
      <c r="T137" s="12" t="str">
        <f>VLOOKUP($A137,'Matriz POA 2024-TRABAJO'!$A$5:$CD$9142,35,FALSE)</f>
        <v>0000</v>
      </c>
      <c r="U137" s="62" t="str">
        <f>VLOOKUP($A137,'Matriz POA 2024-TRABAJO'!$A$5:$CD$9142,66,FALSE)</f>
        <v/>
      </c>
      <c r="V137" s="62" t="str">
        <f>VLOOKUP($A137,'Matriz POA 2024-TRABAJO'!$A$5:$CD$9142,67,FALSE)</f>
        <v/>
      </c>
      <c r="W137" s="62" t="str">
        <f>VLOOKUP($A137,'Matriz POA 2024-TRABAJO'!$A$5:$CD$9142,68,FALSE)</f>
        <v/>
      </c>
      <c r="X137" s="62" t="str">
        <f>VLOOKUP($A137,'Matriz POA 2024-TRABAJO'!$A$5:$CD$9142,72,FALSE)</f>
        <v/>
      </c>
      <c r="Y137" s="388">
        <v>0</v>
      </c>
      <c r="Z137" s="388">
        <v>0</v>
      </c>
      <c r="AA137" s="388">
        <v>0</v>
      </c>
      <c r="AB137" s="389"/>
      <c r="AC137" s="389"/>
      <c r="AD137" s="13"/>
      <c r="AE137" s="13"/>
      <c r="AF137" s="13">
        <f t="shared" si="47"/>
        <v>0</v>
      </c>
      <c r="AG137" s="13">
        <f t="shared" si="48"/>
        <v>0</v>
      </c>
      <c r="AH137" s="13">
        <f t="shared" si="49"/>
        <v>0</v>
      </c>
      <c r="AI137" s="129"/>
      <c r="AJ137" s="129">
        <v>2000</v>
      </c>
      <c r="AK137" s="129"/>
      <c r="AL137" s="129"/>
      <c r="AM137" s="129"/>
      <c r="AN137" s="129"/>
      <c r="AO137" s="129"/>
      <c r="AP137" s="129"/>
      <c r="AQ137" s="129"/>
      <c r="AR137" s="129"/>
      <c r="AS137" s="129"/>
      <c r="AT137" s="129"/>
      <c r="AU137" s="129">
        <f t="shared" si="50"/>
        <v>2000</v>
      </c>
      <c r="AV137" s="13" t="b">
        <f t="shared" si="51"/>
        <v>0</v>
      </c>
      <c r="AW137" s="14" t="s">
        <v>976</v>
      </c>
      <c r="AX137" t="s">
        <v>977</v>
      </c>
      <c r="AY137" s="16">
        <v>45331</v>
      </c>
      <c r="AZ137" s="377" t="s">
        <v>978</v>
      </c>
      <c r="BA137" s="259"/>
      <c r="BB137" s="17">
        <f t="shared" si="52"/>
        <v>-45331</v>
      </c>
      <c r="BC137" s="12"/>
      <c r="BD137" s="15"/>
      <c r="BE137" s="18"/>
      <c r="BF137" s="12"/>
      <c r="BG137" s="19" t="str">
        <f t="shared" si="53"/>
        <v>enero</v>
      </c>
      <c r="BH137" s="12" t="str">
        <f t="shared" si="54"/>
        <v>Corporación Ciudad Alfaro</v>
      </c>
      <c r="BI137" s="20" t="str">
        <f t="shared" si="55"/>
        <v>N/A</v>
      </c>
    </row>
    <row r="138" spans="1:61" ht="24.95" customHeight="1">
      <c r="A138" s="8">
        <v>790</v>
      </c>
      <c r="B138" s="12" t="str">
        <f>VLOOKUP($A138,'Matriz POA 2024-TRABAJO'!$A$5:$CD$9142,11,FALSE)</f>
        <v>Corporación Ciudad Alfaro</v>
      </c>
      <c r="C138" s="12" t="str">
        <f>VLOOKUP($A138,'Matriz POA 2024-TRABAJO'!$A$5:$CD$9142,14,FALSE)</f>
        <v>N/A</v>
      </c>
      <c r="D138" s="12" t="str">
        <f>VLOOKUP($A138,'Matriz POA 2024-TRABAJO'!$A$5:$CD$9142,15,FALSE)</f>
        <v>N/A</v>
      </c>
      <c r="E138" s="12" t="str">
        <f>VLOOKUP($A138,'Matriz POA 2024-TRABAJO'!$A$5:$CD$9142,18,FALSE)</f>
        <v>N/A</v>
      </c>
      <c r="F138" s="12" t="str">
        <f>VLOOKUP($A138,'Matriz POA 2024-TRABAJO'!$A$5:$CD$9142,20,FALSE)</f>
        <v>N/A</v>
      </c>
      <c r="G138" s="12" t="str">
        <f>VLOOKUP($A138,'Matriz POA 2024-TRABAJO'!$A$5:$CD$9142,21,FALSE)</f>
        <v>N/A</v>
      </c>
      <c r="H138" s="12" t="str">
        <f>VLOOKUP($A138,'Matriz POA 2024-TRABAJO'!$A$5:$CD$9142,22,FALSE)</f>
        <v>N/A</v>
      </c>
      <c r="I138" s="12" t="str">
        <f>VLOOKUP($A138,'Matriz POA 2024-TRABAJO'!$A$5:$CD$9142,23,FALSE)</f>
        <v>NUEVA</v>
      </c>
      <c r="J138" s="12" t="str">
        <f>VLOOKUP($A138,'Matriz POA 2024-TRABAJO'!$A$5:$CD$9142,24,FALSE)</f>
        <v>Mantenimiento preventivo y correctivo de la puerta principal, cerramiento lateral y puerta   posterior del Museo Nuclear corporación Ciudad Alfaro.</v>
      </c>
      <c r="K138" s="12" t="str">
        <f>VLOOKUP($A138,'Matriz POA 2024-TRABAJO'!$A$5:$CD$9142,25,FALSE)</f>
        <v>0035</v>
      </c>
      <c r="L138" s="12">
        <f>VLOOKUP($A138,'Matriz POA 2024-TRABAJO'!$A$5:$CD$9142,26,FALSE)</f>
        <v>80</v>
      </c>
      <c r="M138" s="12" t="str">
        <f>VLOOKUP($A138,'Matriz POA 2024-TRABAJO'!$A$5:$CD$9142,27,FALSE)</f>
        <v>000</v>
      </c>
      <c r="N138" s="12" t="str">
        <f>VLOOKUP($A138,'Matriz POA 2024-TRABAJO'!$A$5:$CD$9142,28,FALSE)</f>
        <v>002</v>
      </c>
      <c r="O138" s="12" t="str">
        <f>VLOOKUP($A138,'Matriz POA 2024-TRABAJO'!$A$5:$CD$9142,29,FALSE)</f>
        <v>53</v>
      </c>
      <c r="P138" s="12">
        <f>VLOOKUP($A138,'Matriz POA 2024-TRABAJO'!$A$5:$CD$9142,30,FALSE)</f>
        <v>530425</v>
      </c>
      <c r="Q138" s="12">
        <f>VLOOKUP($A138,'Matriz POA 2024-TRABAJO'!$A$5:$CD$9142,32,FALSE)</f>
        <v>1309</v>
      </c>
      <c r="R138" s="12" t="str">
        <f>VLOOKUP($A138,'Matriz POA 2024-TRABAJO'!$A$5:$CD$9142,33,FALSE)</f>
        <v>001</v>
      </c>
      <c r="S138" s="12" t="str">
        <f>VLOOKUP($A138,'Matriz POA 2024-TRABAJO'!$A$5:$CD$9142,34,FALSE)</f>
        <v>0000</v>
      </c>
      <c r="T138" s="12" t="str">
        <f>VLOOKUP($A138,'Matriz POA 2024-TRABAJO'!$A$5:$CD$9142,35,FALSE)</f>
        <v>0000</v>
      </c>
      <c r="U138" s="62" t="str">
        <f>VLOOKUP($A138,'Matriz POA 2024-TRABAJO'!$A$5:$CD$9142,66,FALSE)</f>
        <v/>
      </c>
      <c r="V138" s="62" t="str">
        <f>VLOOKUP($A138,'Matriz POA 2024-TRABAJO'!$A$5:$CD$9142,67,FALSE)</f>
        <v/>
      </c>
      <c r="W138" s="62" t="str">
        <f>VLOOKUP($A138,'Matriz POA 2024-TRABAJO'!$A$5:$CD$9142,68,FALSE)</f>
        <v/>
      </c>
      <c r="X138" s="62" t="str">
        <f>VLOOKUP($A138,'Matriz POA 2024-TRABAJO'!$A$5:$CD$9142,72,FALSE)</f>
        <v/>
      </c>
      <c r="Y138" s="388">
        <v>0</v>
      </c>
      <c r="Z138" s="388">
        <v>0</v>
      </c>
      <c r="AA138" s="388">
        <v>0</v>
      </c>
      <c r="AB138" s="389"/>
      <c r="AC138" s="389"/>
      <c r="AD138" s="13"/>
      <c r="AE138" s="13"/>
      <c r="AF138" s="13">
        <f t="shared" si="47"/>
        <v>0</v>
      </c>
      <c r="AG138" s="13">
        <f t="shared" si="48"/>
        <v>0</v>
      </c>
      <c r="AH138" s="13">
        <f t="shared" ref="AH138:AH139" si="56">+AF138+AG138</f>
        <v>0</v>
      </c>
      <c r="AI138" s="129"/>
      <c r="AJ138" s="129"/>
      <c r="AK138" s="129">
        <v>6500</v>
      </c>
      <c r="AL138" s="129"/>
      <c r="AM138" s="129"/>
      <c r="AN138" s="129"/>
      <c r="AO138" s="129"/>
      <c r="AP138" s="129"/>
      <c r="AQ138" s="129"/>
      <c r="AR138" s="129"/>
      <c r="AS138" s="129"/>
      <c r="AT138" s="129"/>
      <c r="AU138" s="129">
        <f t="shared" ref="AU138:AU139" si="57">SUM(AI138:AT138)</f>
        <v>6500</v>
      </c>
      <c r="AV138" s="13" t="b">
        <f t="shared" si="51"/>
        <v>0</v>
      </c>
      <c r="AW138" s="14" t="s">
        <v>976</v>
      </c>
      <c r="AX138" t="s">
        <v>977</v>
      </c>
      <c r="AY138" s="16">
        <v>45331</v>
      </c>
      <c r="AZ138" s="377" t="s">
        <v>978</v>
      </c>
      <c r="BA138" s="259"/>
      <c r="BB138" s="17">
        <f>BA138-AY138</f>
        <v>-45331</v>
      </c>
      <c r="BC138" s="12"/>
      <c r="BD138" s="15"/>
      <c r="BE138" s="18"/>
      <c r="BF138" s="12"/>
      <c r="BG138" s="19" t="str">
        <f t="shared" ref="BG138:BG139" si="58">TEXT(BA138,"MMMM")</f>
        <v>enero</v>
      </c>
      <c r="BH138" s="12" t="str">
        <f t="shared" si="54"/>
        <v>Corporación Ciudad Alfaro</v>
      </c>
      <c r="BI138" s="20" t="str">
        <f t="shared" si="55"/>
        <v>N/A</v>
      </c>
    </row>
    <row r="139" spans="1:61" ht="24.95" customHeight="1">
      <c r="A139" s="8">
        <v>791</v>
      </c>
      <c r="B139" s="12" t="str">
        <f>VLOOKUP($A139,'Matriz POA 2024-TRABAJO'!$A$5:$CD$9142,11,FALSE)</f>
        <v>Corporación Ciudad Alfaro</v>
      </c>
      <c r="C139" s="12" t="str">
        <f>VLOOKUP($A139,'Matriz POA 2024-TRABAJO'!$A$5:$CD$9142,14,FALSE)</f>
        <v>N/A</v>
      </c>
      <c r="D139" s="12" t="str">
        <f>VLOOKUP($A139,'Matriz POA 2024-TRABAJO'!$A$5:$CD$9142,15,FALSE)</f>
        <v>N/A</v>
      </c>
      <c r="E139" s="12" t="str">
        <f>VLOOKUP($A139,'Matriz POA 2024-TRABAJO'!$A$5:$CD$9142,18,FALSE)</f>
        <v>N/A</v>
      </c>
      <c r="F139" s="12" t="str">
        <f>VLOOKUP($A139,'Matriz POA 2024-TRABAJO'!$A$5:$CD$9142,20,FALSE)</f>
        <v>N/A</v>
      </c>
      <c r="G139" s="12" t="str">
        <f>VLOOKUP($A139,'Matriz POA 2024-TRABAJO'!$A$5:$CD$9142,21,FALSE)</f>
        <v>N/A</v>
      </c>
      <c r="H139" s="12" t="str">
        <f>VLOOKUP($A139,'Matriz POA 2024-TRABAJO'!$A$5:$CD$9142,22,FALSE)</f>
        <v>N/A</v>
      </c>
      <c r="I139" s="12" t="str">
        <f>VLOOKUP($A139,'Matriz POA 2024-TRABAJO'!$A$5:$CD$9142,23,FALSE)</f>
        <v>NUEVA</v>
      </c>
      <c r="J139" s="12" t="str">
        <f>VLOOKUP($A139,'Matriz POA 2024-TRABAJO'!$A$5:$CD$9142,24,FALSE)</f>
        <v>Pago del servicio de combustible para los vehículos de la Corporación Ciudad Alfaro de los meses, octubre, noviembre y diciembre del año 2023</v>
      </c>
      <c r="K139" s="12" t="str">
        <f>VLOOKUP($A139,'Matriz POA 2024-TRABAJO'!$A$5:$CD$9142,25,FALSE)</f>
        <v>0035</v>
      </c>
      <c r="L139" s="12">
        <f>VLOOKUP($A139,'Matriz POA 2024-TRABAJO'!$A$5:$CD$9142,26,FALSE)</f>
        <v>80</v>
      </c>
      <c r="M139" s="12" t="str">
        <f>VLOOKUP($A139,'Matriz POA 2024-TRABAJO'!$A$5:$CD$9142,27,FALSE)</f>
        <v>000</v>
      </c>
      <c r="N139" s="12" t="str">
        <f>VLOOKUP($A139,'Matriz POA 2024-TRABAJO'!$A$5:$CD$9142,28,FALSE)</f>
        <v>002</v>
      </c>
      <c r="O139" s="12" t="str">
        <f>VLOOKUP($A139,'Matriz POA 2024-TRABAJO'!$A$5:$CD$9142,29,FALSE)</f>
        <v>99</v>
      </c>
      <c r="P139" s="12">
        <f>VLOOKUP($A139,'Matriz POA 2024-TRABAJO'!$A$5:$CD$9142,30,FALSE)</f>
        <v>990102</v>
      </c>
      <c r="Q139" s="12">
        <f>VLOOKUP($A139,'Matriz POA 2024-TRABAJO'!$A$5:$CD$9142,32,FALSE)</f>
        <v>1309</v>
      </c>
      <c r="R139" s="12" t="str">
        <f>VLOOKUP($A139,'Matriz POA 2024-TRABAJO'!$A$5:$CD$9142,33,FALSE)</f>
        <v>001</v>
      </c>
      <c r="S139" s="12" t="str">
        <f>VLOOKUP($A139,'Matriz POA 2024-TRABAJO'!$A$5:$CD$9142,34,FALSE)</f>
        <v>0000</v>
      </c>
      <c r="T139" s="12" t="str">
        <f>VLOOKUP($A139,'Matriz POA 2024-TRABAJO'!$A$5:$CD$9142,35,FALSE)</f>
        <v>0000</v>
      </c>
      <c r="U139" s="62" t="str">
        <f>VLOOKUP($A139,'Matriz POA 2024-TRABAJO'!$A$5:$CD$9142,66,FALSE)</f>
        <v/>
      </c>
      <c r="V139" s="62" t="str">
        <f>VLOOKUP($A139,'Matriz POA 2024-TRABAJO'!$A$5:$CD$9142,67,FALSE)</f>
        <v/>
      </c>
      <c r="W139" s="62" t="str">
        <f>VLOOKUP($A139,'Matriz POA 2024-TRABAJO'!$A$5:$CD$9142,68,FALSE)</f>
        <v/>
      </c>
      <c r="X139" s="62" t="str">
        <f>VLOOKUP($A139,'Matriz POA 2024-TRABAJO'!$A$5:$CD$9142,72,FALSE)</f>
        <v/>
      </c>
      <c r="Y139" s="388">
        <v>0</v>
      </c>
      <c r="Z139" s="388">
        <v>0</v>
      </c>
      <c r="AA139" s="388">
        <v>0</v>
      </c>
      <c r="AB139" s="389"/>
      <c r="AC139" s="389"/>
      <c r="AD139" s="13"/>
      <c r="AE139" s="13"/>
      <c r="AF139" s="13">
        <f t="shared" si="47"/>
        <v>0</v>
      </c>
      <c r="AG139" s="13">
        <f t="shared" si="48"/>
        <v>0</v>
      </c>
      <c r="AH139" s="13">
        <f t="shared" si="56"/>
        <v>0</v>
      </c>
      <c r="AI139" s="129"/>
      <c r="AJ139" s="129">
        <v>1350</v>
      </c>
      <c r="AK139" s="129"/>
      <c r="AL139" s="129"/>
      <c r="AM139" s="129"/>
      <c r="AN139" s="129"/>
      <c r="AO139" s="129"/>
      <c r="AP139" s="129"/>
      <c r="AQ139" s="129"/>
      <c r="AR139" s="129"/>
      <c r="AS139" s="129"/>
      <c r="AT139" s="129"/>
      <c r="AU139" s="129">
        <f t="shared" si="57"/>
        <v>1350</v>
      </c>
      <c r="AV139" s="13" t="b">
        <f t="shared" si="51"/>
        <v>0</v>
      </c>
      <c r="AW139" s="14" t="s">
        <v>976</v>
      </c>
      <c r="AX139" t="s">
        <v>977</v>
      </c>
      <c r="AY139" s="16">
        <v>45331</v>
      </c>
      <c r="AZ139" s="377" t="s">
        <v>978</v>
      </c>
      <c r="BA139" s="259"/>
      <c r="BB139" s="17">
        <f>BA139-AY139</f>
        <v>-45331</v>
      </c>
      <c r="BC139" s="12"/>
      <c r="BD139" s="15"/>
      <c r="BE139" s="18"/>
      <c r="BF139" s="12"/>
      <c r="BG139" s="19" t="str">
        <f t="shared" si="58"/>
        <v>enero</v>
      </c>
      <c r="BH139" s="12" t="str">
        <f t="shared" si="54"/>
        <v>Corporación Ciudad Alfaro</v>
      </c>
      <c r="BI139" s="20" t="str">
        <f t="shared" si="55"/>
        <v>N/A</v>
      </c>
    </row>
    <row r="140" spans="1:61" ht="24.95" customHeight="1">
      <c r="A140" s="8">
        <v>468</v>
      </c>
      <c r="B140" s="12" t="str">
        <f>VLOOKUP($A140,'Matriz POA 2024-TRABAJO'!$A$5:$CD$9142,11,FALSE)</f>
        <v>Corporación Ciudad Alfaro</v>
      </c>
      <c r="C140" s="12" t="str">
        <f>VLOOKUP($A140,'Matriz POA 2024-TRABAJO'!$A$5:$CD$9142,14,FALSE)</f>
        <v>N/A</v>
      </c>
      <c r="D140" s="12" t="str">
        <f>VLOOKUP($A140,'Matriz POA 2024-TRABAJO'!$A$5:$CD$9142,15,FALSE)</f>
        <v>N/A</v>
      </c>
      <c r="E140" s="12" t="str">
        <f>VLOOKUP($A140,'Matriz POA 2024-TRABAJO'!$A$5:$CD$9142,18,FALSE)</f>
        <v>N/A</v>
      </c>
      <c r="F140" s="12" t="str">
        <f>VLOOKUP($A140,'Matriz POA 2024-TRABAJO'!$A$5:$CD$9142,20,FALSE)</f>
        <v>N/A</v>
      </c>
      <c r="G140" s="12" t="str">
        <f>VLOOKUP($A140,'Matriz POA 2024-TRABAJO'!$A$5:$CD$9142,21,FALSE)</f>
        <v>N/A</v>
      </c>
      <c r="H140" s="12" t="str">
        <f>VLOOKUP($A140,'Matriz POA 2024-TRABAJO'!$A$5:$CD$9142,22,FALSE)</f>
        <v>N/A</v>
      </c>
      <c r="I140" s="12" t="str">
        <f>VLOOKUP($A140,'Matriz POA 2024-TRABAJO'!$A$5:$CD$9142,23,FALSE)</f>
        <v>NUEVA</v>
      </c>
      <c r="J140" s="12" t="str">
        <f>VLOOKUP($A140,'Matriz POA 2024-TRABAJO'!$A$5:$CD$9142,24,FALSE)</f>
        <v>Actualización y mantenimiento de sistemas informáticos</v>
      </c>
      <c r="K140" s="12" t="str">
        <f>VLOOKUP($A140,'Matriz POA 2024-TRABAJO'!$A$5:$CD$9142,25,FALSE)</f>
        <v>0035</v>
      </c>
      <c r="L140" s="12" t="str">
        <f>VLOOKUP($A140,'Matriz POA 2024-TRABAJO'!$A$5:$CD$9142,26,FALSE)</f>
        <v>80</v>
      </c>
      <c r="M140" s="12" t="str">
        <f>VLOOKUP($A140,'Matriz POA 2024-TRABAJO'!$A$5:$CD$9142,27,FALSE)</f>
        <v>000</v>
      </c>
      <c r="N140" s="12" t="str">
        <f>VLOOKUP($A140,'Matriz POA 2024-TRABAJO'!$A$5:$CD$9142,28,FALSE)</f>
        <v>002</v>
      </c>
      <c r="O140" s="12" t="str">
        <f>VLOOKUP($A140,'Matriz POA 2024-TRABAJO'!$A$5:$CD$9142,29,FALSE)</f>
        <v>53</v>
      </c>
      <c r="P140" s="12">
        <f>VLOOKUP($A140,'Matriz POA 2024-TRABAJO'!$A$5:$CD$9142,30,FALSE)</f>
        <v>530701</v>
      </c>
      <c r="Q140" s="12">
        <f>VLOOKUP($A140,'Matriz POA 2024-TRABAJO'!$A$5:$CD$9142,32,FALSE)</f>
        <v>1309</v>
      </c>
      <c r="R140" s="12" t="str">
        <f>VLOOKUP($A140,'Matriz POA 2024-TRABAJO'!$A$5:$CD$9142,33,FALSE)</f>
        <v>001</v>
      </c>
      <c r="S140" s="12" t="str">
        <f>VLOOKUP($A140,'Matriz POA 2024-TRABAJO'!$A$5:$CD$9142,34,FALSE)</f>
        <v>0000</v>
      </c>
      <c r="T140" s="12" t="str">
        <f>VLOOKUP($A140,'Matriz POA 2024-TRABAJO'!$A$5:$CD$9142,35,FALSE)</f>
        <v>0000</v>
      </c>
      <c r="U140" s="64" t="str">
        <f>VLOOKUP($A140,'Matriz POA 2024-TRABAJO'!$A$5:$CD$9142,66,FALSE)</f>
        <v/>
      </c>
      <c r="V140" s="64" t="str">
        <f>VLOOKUP($A140,'Matriz POA 2024-TRABAJO'!$A$5:$CD$9142,67,FALSE)</f>
        <v/>
      </c>
      <c r="W140" s="64" t="str">
        <f>VLOOKUP($A140,'Matriz POA 2024-TRABAJO'!$A$5:$CD$9142,68,FALSE)</f>
        <v/>
      </c>
      <c r="X140" s="64" t="str">
        <f>VLOOKUP($A140,'Matriz POA 2024-TRABAJO'!$A$5:$CD$9142,72,FALSE)</f>
        <v/>
      </c>
      <c r="Y140" s="388">
        <v>400</v>
      </c>
      <c r="Z140" s="388">
        <v>0</v>
      </c>
      <c r="AA140" s="388">
        <v>400</v>
      </c>
      <c r="AB140" s="389"/>
      <c r="AC140" s="389">
        <v>-400</v>
      </c>
      <c r="AD140" s="13"/>
      <c r="AE140" s="13"/>
      <c r="AF140" s="13">
        <f t="shared" ref="AF140:AF157" si="59">Y140+AB140+AC140</f>
        <v>0</v>
      </c>
      <c r="AG140" s="13">
        <f t="shared" ref="AG140:AG157" si="60">Z140+AD140+AE140</f>
        <v>0</v>
      </c>
      <c r="AH140" s="13">
        <f t="shared" ref="AH140:AH157" si="61">+AF140+AG140</f>
        <v>0</v>
      </c>
      <c r="AI140" s="129"/>
      <c r="AJ140" s="129"/>
      <c r="AK140" s="129"/>
      <c r="AL140" s="129"/>
      <c r="AM140" s="129"/>
      <c r="AN140" s="129"/>
      <c r="AO140" s="129"/>
      <c r="AP140" s="129"/>
      <c r="AQ140" s="129"/>
      <c r="AR140" s="129"/>
      <c r="AS140" s="129"/>
      <c r="AT140" s="129"/>
      <c r="AU140" s="129">
        <f t="shared" ref="AU140:AU157" si="62">SUM(AI140:AT140)</f>
        <v>0</v>
      </c>
      <c r="AV140" s="13" t="b">
        <f t="shared" ref="AV140:AV157" si="63">SUM(AI140:AT140)=AH140</f>
        <v>1</v>
      </c>
      <c r="AW140" s="10" t="s">
        <v>988</v>
      </c>
      <c r="AX140" s="15" t="s">
        <v>989</v>
      </c>
      <c r="AY140" s="16">
        <v>45358</v>
      </c>
      <c r="AZ140" s="15" t="s">
        <v>990</v>
      </c>
      <c r="BA140" s="16">
        <v>45366</v>
      </c>
      <c r="BB140" s="17">
        <f>BA140-AY140-2</f>
        <v>6</v>
      </c>
      <c r="BC140" s="12"/>
      <c r="BD140" s="15"/>
      <c r="BE140" s="18"/>
      <c r="BF140" s="12"/>
      <c r="BG140" s="19" t="str">
        <f t="shared" ref="BG140:BG157" si="64">TEXT(BA140,"MMMM")</f>
        <v>marzo</v>
      </c>
      <c r="BH140" s="12" t="str">
        <f t="shared" ref="BH140:BH157" si="65">B140</f>
        <v>Corporación Ciudad Alfaro</v>
      </c>
      <c r="BI140" s="20" t="str">
        <f t="shared" ref="BI140:BI157" si="66">E140</f>
        <v>N/A</v>
      </c>
    </row>
    <row r="141" spans="1:61" ht="24.95" customHeight="1">
      <c r="A141" s="8">
        <v>471</v>
      </c>
      <c r="B141" s="12" t="str">
        <f>VLOOKUP($A141,'Matriz POA 2024-TRABAJO'!$A$5:$CD$9142,11,FALSE)</f>
        <v>Corporación Ciudad Alfaro</v>
      </c>
      <c r="C141" s="12" t="str">
        <f>VLOOKUP($A141,'Matriz POA 2024-TRABAJO'!$A$5:$CD$9142,14,FALSE)</f>
        <v>N/A</v>
      </c>
      <c r="D141" s="12" t="str">
        <f>VLOOKUP($A141,'Matriz POA 2024-TRABAJO'!$A$5:$CD$9142,15,FALSE)</f>
        <v>N/A</v>
      </c>
      <c r="E141" s="12" t="str">
        <f>VLOOKUP($A141,'Matriz POA 2024-TRABAJO'!$A$5:$CD$9142,18,FALSE)</f>
        <v>N/A</v>
      </c>
      <c r="F141" s="12" t="str">
        <f>VLOOKUP($A141,'Matriz POA 2024-TRABAJO'!$A$5:$CD$9142,20,FALSE)</f>
        <v>N/A</v>
      </c>
      <c r="G141" s="12" t="str">
        <f>VLOOKUP($A141,'Matriz POA 2024-TRABAJO'!$A$5:$CD$9142,21,FALSE)</f>
        <v>N/A</v>
      </c>
      <c r="H141" s="12" t="str">
        <f>VLOOKUP($A141,'Matriz POA 2024-TRABAJO'!$A$5:$CD$9142,22,FALSE)</f>
        <v>N/A</v>
      </c>
      <c r="I141" s="12" t="str">
        <f>VLOOKUP($A141,'Matriz POA 2024-TRABAJO'!$A$5:$CD$9142,23,FALSE)</f>
        <v>NUEVA</v>
      </c>
      <c r="J141" s="12" t="str">
        <f>VLOOKUP($A141,'Matriz POA 2024-TRABAJO'!$A$5:$CD$9142,24,FALSE)</f>
        <v>Instalación del sistema contra incendios para el Museo Bahía de Caráquez</v>
      </c>
      <c r="K141" s="12" t="str">
        <f>VLOOKUP($A141,'Matriz POA 2024-TRABAJO'!$A$5:$CD$9142,25,FALSE)</f>
        <v>0035</v>
      </c>
      <c r="L141" s="12" t="str">
        <f>VLOOKUP($A141,'Matriz POA 2024-TRABAJO'!$A$5:$CD$9142,26,FALSE)</f>
        <v>80</v>
      </c>
      <c r="M141" s="12" t="str">
        <f>VLOOKUP($A141,'Matriz POA 2024-TRABAJO'!$A$5:$CD$9142,27,FALSE)</f>
        <v>000</v>
      </c>
      <c r="N141" s="12" t="str">
        <f>VLOOKUP($A141,'Matriz POA 2024-TRABAJO'!$A$5:$CD$9142,28,FALSE)</f>
        <v>002</v>
      </c>
      <c r="O141" s="12" t="str">
        <f>VLOOKUP($A141,'Matriz POA 2024-TRABAJO'!$A$5:$CD$9142,29,FALSE)</f>
        <v>53</v>
      </c>
      <c r="P141" s="12">
        <f>VLOOKUP($A141,'Matriz POA 2024-TRABAJO'!$A$5:$CD$9142,30,FALSE)</f>
        <v>530402</v>
      </c>
      <c r="Q141" s="12">
        <f>VLOOKUP($A141,'Matriz POA 2024-TRABAJO'!$A$5:$CD$9142,32,FALSE)</f>
        <v>1314</v>
      </c>
      <c r="R141" s="12" t="str">
        <f>VLOOKUP($A141,'Matriz POA 2024-TRABAJO'!$A$5:$CD$9142,33,FALSE)</f>
        <v>001</v>
      </c>
      <c r="S141" s="12" t="str">
        <f>VLOOKUP($A141,'Matriz POA 2024-TRABAJO'!$A$5:$CD$9142,34,FALSE)</f>
        <v>0000</v>
      </c>
      <c r="T141" s="12" t="str">
        <f>VLOOKUP($A141,'Matriz POA 2024-TRABAJO'!$A$5:$CD$9142,35,FALSE)</f>
        <v>0000</v>
      </c>
      <c r="U141" s="64">
        <f>VLOOKUP($A141,'Matriz POA 2024-TRABAJO'!$A$5:$CD$9142,66,FALSE)</f>
        <v>0</v>
      </c>
      <c r="V141" s="64">
        <f>VLOOKUP($A141,'Matriz POA 2024-TRABAJO'!$A$5:$CD$9142,67,FALSE)</f>
        <v>0</v>
      </c>
      <c r="W141" s="64">
        <f>VLOOKUP($A141,'Matriz POA 2024-TRABAJO'!$A$5:$CD$9142,68,FALSE)</f>
        <v>0</v>
      </c>
      <c r="X141" s="64" t="str">
        <f>VLOOKUP($A141,'Matriz POA 2024-TRABAJO'!$A$5:$CD$9142,72,FALSE)</f>
        <v/>
      </c>
      <c r="Y141" s="388">
        <v>3600</v>
      </c>
      <c r="Z141" s="388">
        <v>0</v>
      </c>
      <c r="AA141" s="388">
        <v>3600</v>
      </c>
      <c r="AB141" s="389"/>
      <c r="AC141" s="389">
        <v>-3600</v>
      </c>
      <c r="AD141" s="13"/>
      <c r="AE141" s="13"/>
      <c r="AF141" s="13">
        <f t="shared" si="59"/>
        <v>0</v>
      </c>
      <c r="AG141" s="13">
        <f t="shared" si="60"/>
        <v>0</v>
      </c>
      <c r="AH141" s="13">
        <f t="shared" si="61"/>
        <v>0</v>
      </c>
      <c r="AI141" s="129"/>
      <c r="AJ141" s="129"/>
      <c r="AK141" s="129"/>
      <c r="AL141" s="129"/>
      <c r="AM141" s="129"/>
      <c r="AN141" s="129"/>
      <c r="AO141" s="129"/>
      <c r="AP141" s="129"/>
      <c r="AQ141" s="129"/>
      <c r="AR141" s="129"/>
      <c r="AS141" s="129"/>
      <c r="AT141" s="129"/>
      <c r="AU141" s="129">
        <f t="shared" si="62"/>
        <v>0</v>
      </c>
      <c r="AV141" s="13" t="b">
        <f t="shared" si="63"/>
        <v>1</v>
      </c>
      <c r="AW141" s="10" t="s">
        <v>988</v>
      </c>
      <c r="AX141" s="15" t="s">
        <v>989</v>
      </c>
      <c r="AY141" s="16">
        <v>45358</v>
      </c>
      <c r="AZ141" s="15" t="s">
        <v>990</v>
      </c>
      <c r="BA141" s="16">
        <v>45366</v>
      </c>
      <c r="BB141" s="17">
        <f t="shared" ref="BB141:BB157" si="67">BA141-AY141-2</f>
        <v>6</v>
      </c>
      <c r="BC141" s="12"/>
      <c r="BD141" s="15"/>
      <c r="BE141" s="18"/>
      <c r="BF141" s="12"/>
      <c r="BG141" s="19" t="str">
        <f t="shared" si="64"/>
        <v>marzo</v>
      </c>
      <c r="BH141" s="12" t="str">
        <f t="shared" si="65"/>
        <v>Corporación Ciudad Alfaro</v>
      </c>
      <c r="BI141" s="20" t="str">
        <f t="shared" si="66"/>
        <v>N/A</v>
      </c>
    </row>
    <row r="142" spans="1:61" ht="24.95" customHeight="1">
      <c r="A142" s="8">
        <v>473</v>
      </c>
      <c r="B142" s="12" t="str">
        <f>VLOOKUP($A142,'Matriz POA 2024-TRABAJO'!$A$5:$CD$9142,11,FALSE)</f>
        <v>Corporación Ciudad Alfaro</v>
      </c>
      <c r="C142" s="12" t="str">
        <f>VLOOKUP($A142,'Matriz POA 2024-TRABAJO'!$A$5:$CD$9142,14,FALSE)</f>
        <v>N/A</v>
      </c>
      <c r="D142" s="12" t="str">
        <f>VLOOKUP($A142,'Matriz POA 2024-TRABAJO'!$A$5:$CD$9142,15,FALSE)</f>
        <v>N/A</v>
      </c>
      <c r="E142" s="12" t="str">
        <f>VLOOKUP($A142,'Matriz POA 2024-TRABAJO'!$A$5:$CD$9142,18,FALSE)</f>
        <v>N/A</v>
      </c>
      <c r="F142" s="12" t="str">
        <f>VLOOKUP($A142,'Matriz POA 2024-TRABAJO'!$A$5:$CD$9142,20,FALSE)</f>
        <v>N/A</v>
      </c>
      <c r="G142" s="12" t="str">
        <f>VLOOKUP($A142,'Matriz POA 2024-TRABAJO'!$A$5:$CD$9142,21,FALSE)</f>
        <v>N/A</v>
      </c>
      <c r="H142" s="12" t="str">
        <f>VLOOKUP($A142,'Matriz POA 2024-TRABAJO'!$A$5:$CD$9142,22,FALSE)</f>
        <v>N/A</v>
      </c>
      <c r="I142" s="12" t="str">
        <f>VLOOKUP($A142,'Matriz POA 2024-TRABAJO'!$A$5:$CD$9142,23,FALSE)</f>
        <v>NUEVA</v>
      </c>
      <c r="J142" s="12" t="str">
        <f>VLOOKUP($A142,'Matriz POA 2024-TRABAJO'!$A$5:$CD$9142,24,FALSE)</f>
        <v>Recarga de extintores contra incendios de la Corporación Ciudad Alfaro y sus Sedes</v>
      </c>
      <c r="K142" s="12" t="str">
        <f>VLOOKUP($A142,'Matriz POA 2024-TRABAJO'!$A$5:$CD$9142,25,FALSE)</f>
        <v>0035</v>
      </c>
      <c r="L142" s="12" t="str">
        <f>VLOOKUP($A142,'Matriz POA 2024-TRABAJO'!$A$5:$CD$9142,26,FALSE)</f>
        <v>80</v>
      </c>
      <c r="M142" s="12" t="str">
        <f>VLOOKUP($A142,'Matriz POA 2024-TRABAJO'!$A$5:$CD$9142,27,FALSE)</f>
        <v>000</v>
      </c>
      <c r="N142" s="12" t="str">
        <f>VLOOKUP($A142,'Matriz POA 2024-TRABAJO'!$A$5:$CD$9142,28,FALSE)</f>
        <v>002</v>
      </c>
      <c r="O142" s="12" t="str">
        <f>VLOOKUP($A142,'Matriz POA 2024-TRABAJO'!$A$5:$CD$9142,29,FALSE)</f>
        <v>53</v>
      </c>
      <c r="P142" s="12">
        <f>VLOOKUP($A142,'Matriz POA 2024-TRABAJO'!$A$5:$CD$9142,30,FALSE)</f>
        <v>530203</v>
      </c>
      <c r="Q142" s="12">
        <f>VLOOKUP($A142,'Matriz POA 2024-TRABAJO'!$A$5:$CD$9142,32,FALSE)</f>
        <v>1309</v>
      </c>
      <c r="R142" s="12" t="str">
        <f>VLOOKUP($A142,'Matriz POA 2024-TRABAJO'!$A$5:$CD$9142,33,FALSE)</f>
        <v>001</v>
      </c>
      <c r="S142" s="12" t="str">
        <f>VLOOKUP($A142,'Matriz POA 2024-TRABAJO'!$A$5:$CD$9142,34,FALSE)</f>
        <v>0000</v>
      </c>
      <c r="T142" s="12" t="str">
        <f>VLOOKUP($A142,'Matriz POA 2024-TRABAJO'!$A$5:$CD$9142,35,FALSE)</f>
        <v>0000</v>
      </c>
      <c r="U142" s="64">
        <f>VLOOKUP($A142,'Matriz POA 2024-TRABAJO'!$A$5:$CD$9142,66,FALSE)</f>
        <v>0</v>
      </c>
      <c r="V142" s="64">
        <f>VLOOKUP($A142,'Matriz POA 2024-TRABAJO'!$A$5:$CD$9142,67,FALSE)</f>
        <v>1600</v>
      </c>
      <c r="W142" s="64">
        <f>VLOOKUP($A142,'Matriz POA 2024-TRABAJO'!$A$5:$CD$9142,68,FALSE)</f>
        <v>1600</v>
      </c>
      <c r="X142" s="64">
        <f>VLOOKUP($A142,'Matriz POA 2024-TRABAJO'!$A$5:$CD$9142,72,FALSE)</f>
        <v>1549</v>
      </c>
      <c r="Y142" s="388">
        <v>1500</v>
      </c>
      <c r="Z142" s="388">
        <v>0</v>
      </c>
      <c r="AA142" s="388">
        <v>1500</v>
      </c>
      <c r="AB142" s="389"/>
      <c r="AC142" s="389">
        <v>-1500</v>
      </c>
      <c r="AD142" s="13"/>
      <c r="AE142" s="13"/>
      <c r="AF142" s="13">
        <f t="shared" si="59"/>
        <v>0</v>
      </c>
      <c r="AG142" s="13">
        <f t="shared" si="60"/>
        <v>0</v>
      </c>
      <c r="AH142" s="13">
        <f t="shared" si="61"/>
        <v>0</v>
      </c>
      <c r="AI142" s="129"/>
      <c r="AJ142" s="129"/>
      <c r="AK142" s="129"/>
      <c r="AL142" s="129"/>
      <c r="AM142" s="129"/>
      <c r="AN142" s="129"/>
      <c r="AO142" s="129"/>
      <c r="AP142" s="129"/>
      <c r="AQ142" s="129"/>
      <c r="AR142" s="129"/>
      <c r="AS142" s="129"/>
      <c r="AT142" s="129"/>
      <c r="AU142" s="129">
        <f t="shared" si="62"/>
        <v>0</v>
      </c>
      <c r="AV142" s="13" t="b">
        <f t="shared" si="63"/>
        <v>1</v>
      </c>
      <c r="AW142" s="10" t="s">
        <v>988</v>
      </c>
      <c r="AX142" s="15" t="s">
        <v>989</v>
      </c>
      <c r="AY142" s="16">
        <v>45358</v>
      </c>
      <c r="AZ142" s="15" t="s">
        <v>990</v>
      </c>
      <c r="BA142" s="16">
        <v>45366</v>
      </c>
      <c r="BB142" s="17">
        <f t="shared" si="67"/>
        <v>6</v>
      </c>
      <c r="BC142" s="12"/>
      <c r="BD142" s="15"/>
      <c r="BE142" s="18"/>
      <c r="BF142" s="12"/>
      <c r="BG142" s="19" t="str">
        <f t="shared" si="64"/>
        <v>marzo</v>
      </c>
      <c r="BH142" s="12" t="str">
        <f t="shared" si="65"/>
        <v>Corporación Ciudad Alfaro</v>
      </c>
      <c r="BI142" s="20" t="str">
        <f t="shared" si="66"/>
        <v>N/A</v>
      </c>
    </row>
    <row r="143" spans="1:61" ht="24.95" customHeight="1">
      <c r="A143" s="8">
        <v>484</v>
      </c>
      <c r="B143" s="12" t="str">
        <f>VLOOKUP($A143,'Matriz POA 2024-TRABAJO'!$A$5:$CD$9142,11,FALSE)</f>
        <v>Corporación Ciudad Alfaro</v>
      </c>
      <c r="C143" s="12" t="str">
        <f>VLOOKUP($A143,'Matriz POA 2024-TRABAJO'!$A$5:$CD$9142,14,FALSE)</f>
        <v>N/A</v>
      </c>
      <c r="D143" s="12" t="str">
        <f>VLOOKUP($A143,'Matriz POA 2024-TRABAJO'!$A$5:$CD$9142,15,FALSE)</f>
        <v>N/A</v>
      </c>
      <c r="E143" s="12" t="str">
        <f>VLOOKUP($A143,'Matriz POA 2024-TRABAJO'!$A$5:$CD$9142,18,FALSE)</f>
        <v>N/A</v>
      </c>
      <c r="F143" s="12" t="str">
        <f>VLOOKUP($A143,'Matriz POA 2024-TRABAJO'!$A$5:$CD$9142,20,FALSE)</f>
        <v>N/A</v>
      </c>
      <c r="G143" s="12" t="str">
        <f>VLOOKUP($A143,'Matriz POA 2024-TRABAJO'!$A$5:$CD$9142,21,FALSE)</f>
        <v>N/A</v>
      </c>
      <c r="H143" s="12" t="str">
        <f>VLOOKUP($A143,'Matriz POA 2024-TRABAJO'!$A$5:$CD$9142,22,FALSE)</f>
        <v>N/A</v>
      </c>
      <c r="I143" s="12" t="str">
        <f>VLOOKUP($A143,'Matriz POA 2024-TRABAJO'!$A$5:$CD$9142,23,FALSE)</f>
        <v>NUEVA</v>
      </c>
      <c r="J143" s="12" t="str">
        <f>VLOOKUP($A143,'Matriz POA 2024-TRABAJO'!$A$5:$CD$9142,24,FALSE)</f>
        <v>Construcción de cubierta en la sede del Museo Bahía de Caráquez</v>
      </c>
      <c r="K143" s="12" t="str">
        <f>VLOOKUP($A143,'Matriz POA 2024-TRABAJO'!$A$5:$CD$9142,25,FALSE)</f>
        <v>0035</v>
      </c>
      <c r="L143" s="12" t="str">
        <f>VLOOKUP($A143,'Matriz POA 2024-TRABAJO'!$A$5:$CD$9142,26,FALSE)</f>
        <v>80</v>
      </c>
      <c r="M143" s="12" t="str">
        <f>VLOOKUP($A143,'Matriz POA 2024-TRABAJO'!$A$5:$CD$9142,27,FALSE)</f>
        <v>000</v>
      </c>
      <c r="N143" s="12" t="str">
        <f>VLOOKUP($A143,'Matriz POA 2024-TRABAJO'!$A$5:$CD$9142,28,FALSE)</f>
        <v>002</v>
      </c>
      <c r="O143" s="12" t="str">
        <f>VLOOKUP($A143,'Matriz POA 2024-TRABAJO'!$A$5:$CD$9142,29,FALSE)</f>
        <v>53</v>
      </c>
      <c r="P143" s="12">
        <f>VLOOKUP($A143,'Matriz POA 2024-TRABAJO'!$A$5:$CD$9142,30,FALSE)</f>
        <v>530425</v>
      </c>
      <c r="Q143" s="12">
        <f>VLOOKUP($A143,'Matriz POA 2024-TRABAJO'!$A$5:$CD$9142,32,FALSE)</f>
        <v>1314</v>
      </c>
      <c r="R143" s="12" t="str">
        <f>VLOOKUP($A143,'Matriz POA 2024-TRABAJO'!$A$5:$CD$9142,33,FALSE)</f>
        <v>001</v>
      </c>
      <c r="S143" s="12" t="str">
        <f>VLOOKUP($A143,'Matriz POA 2024-TRABAJO'!$A$5:$CD$9142,34,FALSE)</f>
        <v>0000</v>
      </c>
      <c r="T143" s="12" t="str">
        <f>VLOOKUP($A143,'Matriz POA 2024-TRABAJO'!$A$5:$CD$9142,35,FALSE)</f>
        <v>0000</v>
      </c>
      <c r="U143" s="64">
        <f>VLOOKUP($A143,'Matriz POA 2024-TRABAJO'!$A$5:$CD$9142,66,FALSE)</f>
        <v>0</v>
      </c>
      <c r="V143" s="64">
        <f>VLOOKUP($A143,'Matriz POA 2024-TRABAJO'!$A$5:$CD$9142,67,FALSE)</f>
        <v>0</v>
      </c>
      <c r="W143" s="64" t="str">
        <f>VLOOKUP($A143,'Matriz POA 2024-TRABAJO'!$A$5:$CD$9142,68,FALSE)</f>
        <v/>
      </c>
      <c r="X143" s="64" t="str">
        <f>VLOOKUP($A143,'Matriz POA 2024-TRABAJO'!$A$5:$CD$9142,72,FALSE)</f>
        <v/>
      </c>
      <c r="Y143" s="388">
        <v>8000</v>
      </c>
      <c r="Z143" s="388">
        <v>0</v>
      </c>
      <c r="AA143" s="388">
        <v>8000</v>
      </c>
      <c r="AB143" s="389"/>
      <c r="AC143" s="389">
        <v>-8000</v>
      </c>
      <c r="AD143" s="13"/>
      <c r="AE143" s="13"/>
      <c r="AF143" s="13">
        <f t="shared" si="59"/>
        <v>0</v>
      </c>
      <c r="AG143" s="13">
        <f t="shared" si="60"/>
        <v>0</v>
      </c>
      <c r="AH143" s="13">
        <f t="shared" si="61"/>
        <v>0</v>
      </c>
      <c r="AI143" s="129"/>
      <c r="AJ143" s="129"/>
      <c r="AK143" s="129"/>
      <c r="AL143" s="129"/>
      <c r="AM143" s="129"/>
      <c r="AN143" s="129"/>
      <c r="AO143" s="129"/>
      <c r="AP143" s="129"/>
      <c r="AQ143" s="129"/>
      <c r="AR143" s="129"/>
      <c r="AS143" s="129"/>
      <c r="AT143" s="129"/>
      <c r="AU143" s="129">
        <f t="shared" si="62"/>
        <v>0</v>
      </c>
      <c r="AV143" s="13" t="b">
        <f t="shared" si="63"/>
        <v>1</v>
      </c>
      <c r="AW143" s="10" t="s">
        <v>988</v>
      </c>
      <c r="AX143" s="15" t="s">
        <v>989</v>
      </c>
      <c r="AY143" s="16">
        <v>45358</v>
      </c>
      <c r="AZ143" s="15" t="s">
        <v>990</v>
      </c>
      <c r="BA143" s="16">
        <v>45366</v>
      </c>
      <c r="BB143" s="17">
        <f t="shared" si="67"/>
        <v>6</v>
      </c>
      <c r="BC143" s="12"/>
      <c r="BD143" s="15"/>
      <c r="BE143" s="18"/>
      <c r="BF143" s="12"/>
      <c r="BG143" s="19" t="str">
        <f t="shared" si="64"/>
        <v>marzo</v>
      </c>
      <c r="BH143" s="12" t="str">
        <f t="shared" si="65"/>
        <v>Corporación Ciudad Alfaro</v>
      </c>
      <c r="BI143" s="20" t="str">
        <f t="shared" si="66"/>
        <v>N/A</v>
      </c>
    </row>
    <row r="144" spans="1:61" ht="24.95" customHeight="1">
      <c r="A144" s="8">
        <v>485</v>
      </c>
      <c r="B144" s="12" t="str">
        <f>VLOOKUP($A144,'Matriz POA 2024-TRABAJO'!$A$5:$CD$9142,11,FALSE)</f>
        <v>Corporación Ciudad Alfaro</v>
      </c>
      <c r="C144" s="12" t="str">
        <f>VLOOKUP($A144,'Matriz POA 2024-TRABAJO'!$A$5:$CD$9142,14,FALSE)</f>
        <v>N/A</v>
      </c>
      <c r="D144" s="12" t="str">
        <f>VLOOKUP($A144,'Matriz POA 2024-TRABAJO'!$A$5:$CD$9142,15,FALSE)</f>
        <v>N/A</v>
      </c>
      <c r="E144" s="12" t="str">
        <f>VLOOKUP($A144,'Matriz POA 2024-TRABAJO'!$A$5:$CD$9142,18,FALSE)</f>
        <v>N/A</v>
      </c>
      <c r="F144" s="12" t="str">
        <f>VLOOKUP($A144,'Matriz POA 2024-TRABAJO'!$A$5:$CD$9142,20,FALSE)</f>
        <v>N/A</v>
      </c>
      <c r="G144" s="12" t="str">
        <f>VLOOKUP($A144,'Matriz POA 2024-TRABAJO'!$A$5:$CD$9142,21,FALSE)</f>
        <v>N/A</v>
      </c>
      <c r="H144" s="12" t="str">
        <f>VLOOKUP($A144,'Matriz POA 2024-TRABAJO'!$A$5:$CD$9142,22,FALSE)</f>
        <v>N/A</v>
      </c>
      <c r="I144" s="12" t="str">
        <f>VLOOKUP($A144,'Matriz POA 2024-TRABAJO'!$A$5:$CD$9142,23,FALSE)</f>
        <v>NUEVA</v>
      </c>
      <c r="J144" s="12" t="str">
        <f>VLOOKUP($A144,'Matriz POA 2024-TRABAJO'!$A$5:$CD$9142,24,FALSE)</f>
        <v>Pago del servicio de correo de la Corporación Ciudad Alfaro y sus sedes</v>
      </c>
      <c r="K144" s="12" t="str">
        <f>VLOOKUP($A144,'Matriz POA 2024-TRABAJO'!$A$5:$CD$9142,25,FALSE)</f>
        <v>0035</v>
      </c>
      <c r="L144" s="12" t="str">
        <f>VLOOKUP($A144,'Matriz POA 2024-TRABAJO'!$A$5:$CD$9142,26,FALSE)</f>
        <v>80</v>
      </c>
      <c r="M144" s="12" t="str">
        <f>VLOOKUP($A144,'Matriz POA 2024-TRABAJO'!$A$5:$CD$9142,27,FALSE)</f>
        <v>000</v>
      </c>
      <c r="N144" s="12" t="str">
        <f>VLOOKUP($A144,'Matriz POA 2024-TRABAJO'!$A$5:$CD$9142,28,FALSE)</f>
        <v>002</v>
      </c>
      <c r="O144" s="12" t="str">
        <f>VLOOKUP($A144,'Matriz POA 2024-TRABAJO'!$A$5:$CD$9142,29,FALSE)</f>
        <v>53</v>
      </c>
      <c r="P144" s="12">
        <f>VLOOKUP($A144,'Matriz POA 2024-TRABAJO'!$A$5:$CD$9142,30,FALSE)</f>
        <v>530106</v>
      </c>
      <c r="Q144" s="12">
        <f>VLOOKUP($A144,'Matriz POA 2024-TRABAJO'!$A$5:$CD$9142,32,FALSE)</f>
        <v>1309</v>
      </c>
      <c r="R144" s="12" t="str">
        <f>VLOOKUP($A144,'Matriz POA 2024-TRABAJO'!$A$5:$CD$9142,33,FALSE)</f>
        <v>001</v>
      </c>
      <c r="S144" s="12" t="str">
        <f>VLOOKUP($A144,'Matriz POA 2024-TRABAJO'!$A$5:$CD$9142,34,FALSE)</f>
        <v>0000</v>
      </c>
      <c r="T144" s="12" t="str">
        <f>VLOOKUP($A144,'Matriz POA 2024-TRABAJO'!$A$5:$CD$9142,35,FALSE)</f>
        <v>0000</v>
      </c>
      <c r="U144" s="64" t="str">
        <f>VLOOKUP($A144,'Matriz POA 2024-TRABAJO'!$A$5:$CD$9142,66,FALSE)</f>
        <v/>
      </c>
      <c r="V144" s="64" t="str">
        <f>VLOOKUP($A144,'Matriz POA 2024-TRABAJO'!$A$5:$CD$9142,67,FALSE)</f>
        <v/>
      </c>
      <c r="W144" s="64" t="str">
        <f>VLOOKUP($A144,'Matriz POA 2024-TRABAJO'!$A$5:$CD$9142,68,FALSE)</f>
        <v/>
      </c>
      <c r="X144" s="64" t="str">
        <f>VLOOKUP($A144,'Matriz POA 2024-TRABAJO'!$A$5:$CD$9142,72,FALSE)</f>
        <v/>
      </c>
      <c r="Y144" s="388">
        <v>1000</v>
      </c>
      <c r="Z144" s="388">
        <v>0</v>
      </c>
      <c r="AA144" s="388">
        <v>1000</v>
      </c>
      <c r="AB144" s="389"/>
      <c r="AC144" s="389">
        <v>-1000</v>
      </c>
      <c r="AD144" s="13"/>
      <c r="AE144" s="13"/>
      <c r="AF144" s="13">
        <f t="shared" si="59"/>
        <v>0</v>
      </c>
      <c r="AG144" s="13">
        <f t="shared" si="60"/>
        <v>0</v>
      </c>
      <c r="AH144" s="13">
        <f t="shared" si="61"/>
        <v>0</v>
      </c>
      <c r="AI144" s="129"/>
      <c r="AJ144" s="129"/>
      <c r="AK144" s="129"/>
      <c r="AL144" s="129"/>
      <c r="AM144" s="129"/>
      <c r="AN144" s="129"/>
      <c r="AO144" s="129"/>
      <c r="AP144" s="129"/>
      <c r="AQ144" s="129"/>
      <c r="AR144" s="129"/>
      <c r="AS144" s="129"/>
      <c r="AT144" s="129"/>
      <c r="AU144" s="129">
        <f t="shared" si="62"/>
        <v>0</v>
      </c>
      <c r="AV144" s="13" t="b">
        <f t="shared" si="63"/>
        <v>1</v>
      </c>
      <c r="AW144" s="10" t="s">
        <v>988</v>
      </c>
      <c r="AX144" s="15" t="s">
        <v>989</v>
      </c>
      <c r="AY144" s="16">
        <v>45358</v>
      </c>
      <c r="AZ144" s="15" t="s">
        <v>990</v>
      </c>
      <c r="BA144" s="16">
        <v>45366</v>
      </c>
      <c r="BB144" s="17">
        <f t="shared" si="67"/>
        <v>6</v>
      </c>
      <c r="BC144" s="12"/>
      <c r="BD144" s="15"/>
      <c r="BE144" s="18"/>
      <c r="BF144" s="12"/>
      <c r="BG144" s="19" t="str">
        <f t="shared" si="64"/>
        <v>marzo</v>
      </c>
      <c r="BH144" s="12" t="str">
        <f t="shared" si="65"/>
        <v>Corporación Ciudad Alfaro</v>
      </c>
      <c r="BI144" s="20" t="str">
        <f t="shared" si="66"/>
        <v>N/A</v>
      </c>
    </row>
    <row r="145" spans="1:61" ht="24.95" customHeight="1">
      <c r="A145" s="8">
        <v>491</v>
      </c>
      <c r="B145" s="12" t="str">
        <f>VLOOKUP($A145,'Matriz POA 2024-TRABAJO'!$A$5:$CD$9142,11,FALSE)</f>
        <v>Corporación Ciudad Alfaro</v>
      </c>
      <c r="C145" s="12" t="str">
        <f>VLOOKUP($A145,'Matriz POA 2024-TRABAJO'!$A$5:$CD$9142,14,FALSE)</f>
        <v>N/A</v>
      </c>
      <c r="D145" s="12" t="str">
        <f>VLOOKUP($A145,'Matriz POA 2024-TRABAJO'!$A$5:$CD$9142,15,FALSE)</f>
        <v>N/A</v>
      </c>
      <c r="E145" s="12" t="str">
        <f>VLOOKUP($A145,'Matriz POA 2024-TRABAJO'!$A$5:$CD$9142,18,FALSE)</f>
        <v>N/A</v>
      </c>
      <c r="F145" s="12" t="str">
        <f>VLOOKUP($A145,'Matriz POA 2024-TRABAJO'!$A$5:$CD$9142,20,FALSE)</f>
        <v>N/A</v>
      </c>
      <c r="G145" s="12" t="str">
        <f>VLOOKUP($A145,'Matriz POA 2024-TRABAJO'!$A$5:$CD$9142,21,FALSE)</f>
        <v>N/A</v>
      </c>
      <c r="H145" s="12" t="str">
        <f>VLOOKUP($A145,'Matriz POA 2024-TRABAJO'!$A$5:$CD$9142,22,FALSE)</f>
        <v>N/A</v>
      </c>
      <c r="I145" s="12" t="str">
        <f>VLOOKUP($A145,'Matriz POA 2024-TRABAJO'!$A$5:$CD$9142,23,FALSE)</f>
        <v>NUEVA</v>
      </c>
      <c r="J145" s="12" t="str">
        <f>VLOOKUP($A145,'Matriz POA 2024-TRABAJO'!$A$5:$CD$9142,24,FALSE)</f>
        <v>Renovación, adecuación, reparación del museo rodante y los bienes museográficos culturales e implementacion de mobiliarios.</v>
      </c>
      <c r="K145" s="12" t="str">
        <f>VLOOKUP($A145,'Matriz POA 2024-TRABAJO'!$A$5:$CD$9142,25,FALSE)</f>
        <v>0035</v>
      </c>
      <c r="L145" s="12" t="str">
        <f>VLOOKUP($A145,'Matriz POA 2024-TRABAJO'!$A$5:$CD$9142,26,FALSE)</f>
        <v>80</v>
      </c>
      <c r="M145" s="12" t="str">
        <f>VLOOKUP($A145,'Matriz POA 2024-TRABAJO'!$A$5:$CD$9142,27,FALSE)</f>
        <v>000</v>
      </c>
      <c r="N145" s="12" t="str">
        <f>VLOOKUP($A145,'Matriz POA 2024-TRABAJO'!$A$5:$CD$9142,28,FALSE)</f>
        <v>002</v>
      </c>
      <c r="O145" s="12" t="str">
        <f>VLOOKUP($A145,'Matriz POA 2024-TRABAJO'!$A$5:$CD$9142,29,FALSE)</f>
        <v>53</v>
      </c>
      <c r="P145" s="12">
        <f>VLOOKUP($A145,'Matriz POA 2024-TRABAJO'!$A$5:$CD$9142,30,FALSE)</f>
        <v>530408</v>
      </c>
      <c r="Q145" s="12">
        <f>VLOOKUP($A145,'Matriz POA 2024-TRABAJO'!$A$5:$CD$9142,32,FALSE)</f>
        <v>1309</v>
      </c>
      <c r="R145" s="12" t="str">
        <f>VLOOKUP($A145,'Matriz POA 2024-TRABAJO'!$A$5:$CD$9142,33,FALSE)</f>
        <v>001</v>
      </c>
      <c r="S145" s="12" t="str">
        <f>VLOOKUP($A145,'Matriz POA 2024-TRABAJO'!$A$5:$CD$9142,34,FALSE)</f>
        <v>0000</v>
      </c>
      <c r="T145" s="12" t="str">
        <f>VLOOKUP($A145,'Matriz POA 2024-TRABAJO'!$A$5:$CD$9142,35,FALSE)</f>
        <v>0000</v>
      </c>
      <c r="U145" s="64" t="str">
        <f>VLOOKUP($A145,'Matriz POA 2024-TRABAJO'!$A$5:$CD$9142,66,FALSE)</f>
        <v/>
      </c>
      <c r="V145" s="64" t="str">
        <f>VLOOKUP($A145,'Matriz POA 2024-TRABAJO'!$A$5:$CD$9142,67,FALSE)</f>
        <v/>
      </c>
      <c r="W145" s="64" t="str">
        <f>VLOOKUP($A145,'Matriz POA 2024-TRABAJO'!$A$5:$CD$9142,68,FALSE)</f>
        <v/>
      </c>
      <c r="X145" s="64" t="str">
        <f>VLOOKUP($A145,'Matriz POA 2024-TRABAJO'!$A$5:$CD$9142,72,FALSE)</f>
        <v/>
      </c>
      <c r="Y145" s="388">
        <v>5000</v>
      </c>
      <c r="Z145" s="388">
        <v>0</v>
      </c>
      <c r="AA145" s="388">
        <v>5000</v>
      </c>
      <c r="AB145" s="389"/>
      <c r="AC145" s="389">
        <v>-5000</v>
      </c>
      <c r="AD145" s="13"/>
      <c r="AE145" s="13"/>
      <c r="AF145" s="13">
        <f t="shared" si="59"/>
        <v>0</v>
      </c>
      <c r="AG145" s="13">
        <f t="shared" si="60"/>
        <v>0</v>
      </c>
      <c r="AH145" s="13">
        <f t="shared" si="61"/>
        <v>0</v>
      </c>
      <c r="AI145" s="129"/>
      <c r="AJ145" s="129"/>
      <c r="AK145" s="129"/>
      <c r="AL145" s="129"/>
      <c r="AM145" s="129"/>
      <c r="AN145" s="129"/>
      <c r="AO145" s="129"/>
      <c r="AP145" s="129"/>
      <c r="AQ145" s="129"/>
      <c r="AR145" s="129"/>
      <c r="AS145" s="129"/>
      <c r="AT145" s="129"/>
      <c r="AU145" s="129">
        <f t="shared" si="62"/>
        <v>0</v>
      </c>
      <c r="AV145" s="13" t="b">
        <f t="shared" si="63"/>
        <v>1</v>
      </c>
      <c r="AW145" s="10" t="s">
        <v>988</v>
      </c>
      <c r="AX145" s="15" t="s">
        <v>989</v>
      </c>
      <c r="AY145" s="16">
        <v>45358</v>
      </c>
      <c r="AZ145" s="15" t="s">
        <v>990</v>
      </c>
      <c r="BA145" s="16">
        <v>45366</v>
      </c>
      <c r="BB145" s="17">
        <f t="shared" si="67"/>
        <v>6</v>
      </c>
      <c r="BC145" s="12"/>
      <c r="BD145" s="15"/>
      <c r="BE145" s="18"/>
      <c r="BF145" s="12"/>
      <c r="BG145" s="19" t="str">
        <f t="shared" si="64"/>
        <v>marzo</v>
      </c>
      <c r="BH145" s="12" t="str">
        <f t="shared" si="65"/>
        <v>Corporación Ciudad Alfaro</v>
      </c>
      <c r="BI145" s="20" t="str">
        <f t="shared" si="66"/>
        <v>N/A</v>
      </c>
    </row>
    <row r="146" spans="1:61" ht="24.95" customHeight="1">
      <c r="A146" s="8">
        <v>493</v>
      </c>
      <c r="B146" s="12" t="str">
        <f>VLOOKUP($A146,'Matriz POA 2024-TRABAJO'!$A$5:$CD$9142,11,FALSE)</f>
        <v>Corporación Ciudad Alfaro</v>
      </c>
      <c r="C146" s="12" t="str">
        <f>VLOOKUP($A146,'Matriz POA 2024-TRABAJO'!$A$5:$CD$9142,14,FALSE)</f>
        <v>N/A</v>
      </c>
      <c r="D146" s="12" t="str">
        <f>VLOOKUP($A146,'Matriz POA 2024-TRABAJO'!$A$5:$CD$9142,15,FALSE)</f>
        <v>N/A</v>
      </c>
      <c r="E146" s="12" t="str">
        <f>VLOOKUP($A146,'Matriz POA 2024-TRABAJO'!$A$5:$CD$9142,18,FALSE)</f>
        <v>N/A</v>
      </c>
      <c r="F146" s="12" t="str">
        <f>VLOOKUP($A146,'Matriz POA 2024-TRABAJO'!$A$5:$CD$9142,20,FALSE)</f>
        <v>N/A</v>
      </c>
      <c r="G146" s="12" t="str">
        <f>VLOOKUP($A146,'Matriz POA 2024-TRABAJO'!$A$5:$CD$9142,21,FALSE)</f>
        <v>N/A</v>
      </c>
      <c r="H146" s="12" t="str">
        <f>VLOOKUP($A146,'Matriz POA 2024-TRABAJO'!$A$5:$CD$9142,22,FALSE)</f>
        <v>N/A</v>
      </c>
      <c r="I146" s="12" t="str">
        <f>VLOOKUP($A146,'Matriz POA 2024-TRABAJO'!$A$5:$CD$9142,23,FALSE)</f>
        <v>NUEVA</v>
      </c>
      <c r="J146" s="12" t="str">
        <f>VLOOKUP($A146,'Matriz POA 2024-TRABAJO'!$A$5:$CD$9142,24,FALSE)</f>
        <v xml:space="preserve">Mantenimiento y reparación de bombas sumergibles y bombas de agua potable en el Museo Centro Cultural Manta, sede de la Corporación Ciudad Alfaro </v>
      </c>
      <c r="K146" s="12" t="str">
        <f>VLOOKUP($A146,'Matriz POA 2024-TRABAJO'!$A$5:$CD$9142,25,FALSE)</f>
        <v>0035</v>
      </c>
      <c r="L146" s="12" t="str">
        <f>VLOOKUP($A146,'Matriz POA 2024-TRABAJO'!$A$5:$CD$9142,26,FALSE)</f>
        <v>80</v>
      </c>
      <c r="M146" s="12" t="str">
        <f>VLOOKUP($A146,'Matriz POA 2024-TRABAJO'!$A$5:$CD$9142,27,FALSE)</f>
        <v>000</v>
      </c>
      <c r="N146" s="12" t="str">
        <f>VLOOKUP($A146,'Matriz POA 2024-TRABAJO'!$A$5:$CD$9142,28,FALSE)</f>
        <v>002</v>
      </c>
      <c r="O146" s="12" t="str">
        <f>VLOOKUP($A146,'Matriz POA 2024-TRABAJO'!$A$5:$CD$9142,29,FALSE)</f>
        <v>53</v>
      </c>
      <c r="P146" s="12">
        <f>VLOOKUP($A146,'Matriz POA 2024-TRABAJO'!$A$5:$CD$9142,30,FALSE)</f>
        <v>530403</v>
      </c>
      <c r="Q146" s="12">
        <f>VLOOKUP($A146,'Matriz POA 2024-TRABAJO'!$A$5:$CD$9142,32,FALSE)</f>
        <v>1308</v>
      </c>
      <c r="R146" s="12" t="str">
        <f>VLOOKUP($A146,'Matriz POA 2024-TRABAJO'!$A$5:$CD$9142,33,FALSE)</f>
        <v>001</v>
      </c>
      <c r="S146" s="12" t="str">
        <f>VLOOKUP($A146,'Matriz POA 2024-TRABAJO'!$A$5:$CD$9142,34,FALSE)</f>
        <v>0000</v>
      </c>
      <c r="T146" s="12" t="str">
        <f>VLOOKUP($A146,'Matriz POA 2024-TRABAJO'!$A$5:$CD$9142,35,FALSE)</f>
        <v>0000</v>
      </c>
      <c r="U146" s="64">
        <f>VLOOKUP($A146,'Matriz POA 2024-TRABAJO'!$A$5:$CD$9142,66,FALSE)</f>
        <v>0</v>
      </c>
      <c r="V146" s="64">
        <f>VLOOKUP($A146,'Matriz POA 2024-TRABAJO'!$A$5:$CD$9142,67,FALSE)</f>
        <v>0</v>
      </c>
      <c r="W146" s="64">
        <f>VLOOKUP($A146,'Matriz POA 2024-TRABAJO'!$A$5:$CD$9142,68,FALSE)</f>
        <v>0</v>
      </c>
      <c r="X146" s="64" t="str">
        <f>VLOOKUP($A146,'Matriz POA 2024-TRABAJO'!$A$5:$CD$9142,72,FALSE)</f>
        <v/>
      </c>
      <c r="Y146" s="388">
        <v>9788.9</v>
      </c>
      <c r="Z146" s="388">
        <v>0</v>
      </c>
      <c r="AA146" s="388">
        <v>9788.9</v>
      </c>
      <c r="AB146" s="389"/>
      <c r="AC146" s="389">
        <v>-9788.9</v>
      </c>
      <c r="AD146" s="13"/>
      <c r="AE146" s="13"/>
      <c r="AF146" s="13">
        <f t="shared" si="59"/>
        <v>0</v>
      </c>
      <c r="AG146" s="13">
        <f t="shared" si="60"/>
        <v>0</v>
      </c>
      <c r="AH146" s="13">
        <f t="shared" si="61"/>
        <v>0</v>
      </c>
      <c r="AI146" s="129"/>
      <c r="AJ146" s="129"/>
      <c r="AK146" s="129"/>
      <c r="AL146" s="129"/>
      <c r="AM146" s="129"/>
      <c r="AN146" s="129"/>
      <c r="AO146" s="129"/>
      <c r="AP146" s="129"/>
      <c r="AQ146" s="129"/>
      <c r="AR146" s="129"/>
      <c r="AS146" s="129"/>
      <c r="AT146" s="129"/>
      <c r="AU146" s="129">
        <f t="shared" si="62"/>
        <v>0</v>
      </c>
      <c r="AV146" s="13" t="b">
        <f t="shared" si="63"/>
        <v>1</v>
      </c>
      <c r="AW146" s="10" t="s">
        <v>988</v>
      </c>
      <c r="AX146" s="15" t="s">
        <v>989</v>
      </c>
      <c r="AY146" s="16">
        <v>45358</v>
      </c>
      <c r="AZ146" s="15" t="s">
        <v>990</v>
      </c>
      <c r="BA146" s="16">
        <v>45366</v>
      </c>
      <c r="BB146" s="17">
        <f t="shared" si="67"/>
        <v>6</v>
      </c>
      <c r="BC146" s="12"/>
      <c r="BD146" s="15"/>
      <c r="BE146" s="18"/>
      <c r="BF146" s="12"/>
      <c r="BG146" s="19" t="str">
        <f t="shared" si="64"/>
        <v>marzo</v>
      </c>
      <c r="BH146" s="12" t="str">
        <f t="shared" si="65"/>
        <v>Corporación Ciudad Alfaro</v>
      </c>
      <c r="BI146" s="20" t="str">
        <f t="shared" si="66"/>
        <v>N/A</v>
      </c>
    </row>
    <row r="147" spans="1:61" ht="24.95" customHeight="1">
      <c r="A147" s="8">
        <v>811</v>
      </c>
      <c r="B147" s="12" t="str">
        <f>VLOOKUP($A147,'Matriz POA 2024-TRABAJO'!$A$5:$CD$9142,11,FALSE)</f>
        <v>Corporación Ciudad Alfaro</v>
      </c>
      <c r="C147" s="12" t="str">
        <f>VLOOKUP($A147,'Matriz POA 2024-TRABAJO'!$A$5:$CD$9142,14,FALSE)</f>
        <v>N/A</v>
      </c>
      <c r="D147" s="12" t="str">
        <f>VLOOKUP($A147,'Matriz POA 2024-TRABAJO'!$A$5:$CD$9142,15,FALSE)</f>
        <v>N/A</v>
      </c>
      <c r="E147" s="12" t="str">
        <f>VLOOKUP($A147,'Matriz POA 2024-TRABAJO'!$A$5:$CD$9142,18,FALSE)</f>
        <v>N/A</v>
      </c>
      <c r="F147" s="12" t="str">
        <f>VLOOKUP($A147,'Matriz POA 2024-TRABAJO'!$A$5:$CD$9142,20,FALSE)</f>
        <v>N/A</v>
      </c>
      <c r="G147" s="12" t="str">
        <f>VLOOKUP($A147,'Matriz POA 2024-TRABAJO'!$A$5:$CD$9142,21,FALSE)</f>
        <v>N/A</v>
      </c>
      <c r="H147" s="12" t="str">
        <f>VLOOKUP($A147,'Matriz POA 2024-TRABAJO'!$A$5:$CD$9142,22,FALSE)</f>
        <v>N/A</v>
      </c>
      <c r="I147" s="12" t="str">
        <f>VLOOKUP($A147,'Matriz POA 2024-TRABAJO'!$A$5:$CD$9142,23,FALSE)</f>
        <v>NUEVA</v>
      </c>
      <c r="J147" s="12" t="str">
        <f>VLOOKUP($A147,'Matriz POA 2024-TRABAJO'!$A$5:$CD$9142,24,FALSE)</f>
        <v>Instalación del sistema de detección de humo automático en planta baja, mezzanine, 1erpiso del museo bahía de caráquez.</v>
      </c>
      <c r="K147" s="12" t="str">
        <f>VLOOKUP($A147,'Matriz POA 2024-TRABAJO'!$A$5:$CD$9142,25,FALSE)</f>
        <v>0035</v>
      </c>
      <c r="L147" s="12" t="str">
        <f>VLOOKUP($A147,'Matriz POA 2024-TRABAJO'!$A$5:$CD$9142,26,FALSE)</f>
        <v>80</v>
      </c>
      <c r="M147" s="12" t="str">
        <f>VLOOKUP($A147,'Matriz POA 2024-TRABAJO'!$A$5:$CD$9142,27,FALSE)</f>
        <v>000</v>
      </c>
      <c r="N147" s="12" t="str">
        <f>VLOOKUP($A147,'Matriz POA 2024-TRABAJO'!$A$5:$CD$9142,28,FALSE)</f>
        <v>002</v>
      </c>
      <c r="O147" s="12" t="str">
        <f>VLOOKUP($A147,'Matriz POA 2024-TRABAJO'!$A$5:$CD$9142,29,FALSE)</f>
        <v>53</v>
      </c>
      <c r="P147" s="12">
        <f>VLOOKUP($A147,'Matriz POA 2024-TRABAJO'!$A$5:$CD$9142,30,FALSE)</f>
        <v>530811</v>
      </c>
      <c r="Q147" s="12">
        <f>VLOOKUP($A147,'Matriz POA 2024-TRABAJO'!$A$5:$CD$9142,32,FALSE)</f>
        <v>1314</v>
      </c>
      <c r="R147" s="12" t="str">
        <f>VLOOKUP($A147,'Matriz POA 2024-TRABAJO'!$A$5:$CD$9142,33,FALSE)</f>
        <v>001</v>
      </c>
      <c r="S147" s="12" t="str">
        <f>VLOOKUP($A147,'Matriz POA 2024-TRABAJO'!$A$5:$CD$9142,34,FALSE)</f>
        <v>0000</v>
      </c>
      <c r="T147" s="12" t="str">
        <f>VLOOKUP($A147,'Matriz POA 2024-TRABAJO'!$A$5:$CD$9142,35,FALSE)</f>
        <v>0000</v>
      </c>
      <c r="U147" s="64" t="str">
        <f>VLOOKUP($A147,'Matriz POA 2024-TRABAJO'!$A$5:$CD$9142,66,FALSE)</f>
        <v/>
      </c>
      <c r="V147" s="64" t="str">
        <f>VLOOKUP($A147,'Matriz POA 2024-TRABAJO'!$A$5:$CD$9142,67,FALSE)</f>
        <v/>
      </c>
      <c r="W147" s="64" t="str">
        <f>VLOOKUP($A147,'Matriz POA 2024-TRABAJO'!$A$5:$CD$9142,68,FALSE)</f>
        <v/>
      </c>
      <c r="X147" s="64" t="str">
        <f>VLOOKUP($A147,'Matriz POA 2024-TRABAJO'!$A$5:$CD$9142,72,FALSE)</f>
        <v/>
      </c>
      <c r="Y147" s="388">
        <v>0</v>
      </c>
      <c r="Z147" s="388">
        <v>0</v>
      </c>
      <c r="AA147" s="388">
        <v>0</v>
      </c>
      <c r="AB147" s="389">
        <v>3600</v>
      </c>
      <c r="AC147" s="389"/>
      <c r="AD147" s="13"/>
      <c r="AE147" s="13"/>
      <c r="AF147" s="13">
        <f t="shared" si="59"/>
        <v>3600</v>
      </c>
      <c r="AG147" s="13">
        <f t="shared" si="60"/>
        <v>0</v>
      </c>
      <c r="AH147" s="13">
        <f t="shared" si="61"/>
        <v>3600</v>
      </c>
      <c r="AI147" s="129"/>
      <c r="AJ147" s="129"/>
      <c r="AK147" s="129"/>
      <c r="AL147" s="129">
        <v>3600</v>
      </c>
      <c r="AM147" s="129"/>
      <c r="AN147" s="129"/>
      <c r="AO147" s="129"/>
      <c r="AP147" s="129"/>
      <c r="AQ147" s="129"/>
      <c r="AR147" s="129"/>
      <c r="AS147" s="129"/>
      <c r="AT147" s="129"/>
      <c r="AU147" s="129">
        <f t="shared" si="62"/>
        <v>3600</v>
      </c>
      <c r="AV147" s="13" t="b">
        <f t="shared" si="63"/>
        <v>1</v>
      </c>
      <c r="AW147" s="10" t="s">
        <v>988</v>
      </c>
      <c r="AX147" s="15" t="s">
        <v>989</v>
      </c>
      <c r="AY147" s="16">
        <v>45358</v>
      </c>
      <c r="AZ147" s="15" t="s">
        <v>990</v>
      </c>
      <c r="BA147" s="16">
        <v>45366</v>
      </c>
      <c r="BB147" s="17">
        <f t="shared" si="67"/>
        <v>6</v>
      </c>
      <c r="BC147" s="12"/>
      <c r="BD147" s="15"/>
      <c r="BE147" s="18"/>
      <c r="BF147" s="12"/>
      <c r="BG147" s="19" t="str">
        <f t="shared" si="64"/>
        <v>marzo</v>
      </c>
      <c r="BH147" s="12" t="str">
        <f t="shared" si="65"/>
        <v>Corporación Ciudad Alfaro</v>
      </c>
      <c r="BI147" s="20" t="str">
        <f t="shared" si="66"/>
        <v>N/A</v>
      </c>
    </row>
    <row r="148" spans="1:61" ht="24.95" customHeight="1">
      <c r="A148" s="8">
        <v>812</v>
      </c>
      <c r="B148" s="12" t="str">
        <f>VLOOKUP($A148,'Matriz POA 2024-TRABAJO'!$A$5:$CD$9142,11,FALSE)</f>
        <v>Corporación Ciudad Alfaro</v>
      </c>
      <c r="C148" s="12" t="str">
        <f>VLOOKUP($A148,'Matriz POA 2024-TRABAJO'!$A$5:$CD$9142,14,FALSE)</f>
        <v>N/A</v>
      </c>
      <c r="D148" s="12" t="str">
        <f>VLOOKUP($A148,'Matriz POA 2024-TRABAJO'!$A$5:$CD$9142,15,FALSE)</f>
        <v>N/A</v>
      </c>
      <c r="E148" s="12" t="str">
        <f>VLOOKUP($A148,'Matriz POA 2024-TRABAJO'!$A$5:$CD$9142,18,FALSE)</f>
        <v>N/A</v>
      </c>
      <c r="F148" s="12" t="str">
        <f>VLOOKUP($A148,'Matriz POA 2024-TRABAJO'!$A$5:$CD$9142,20,FALSE)</f>
        <v>N/A</v>
      </c>
      <c r="G148" s="12" t="str">
        <f>VLOOKUP($A148,'Matriz POA 2024-TRABAJO'!$A$5:$CD$9142,21,FALSE)</f>
        <v>N/A</v>
      </c>
      <c r="H148" s="12" t="str">
        <f>VLOOKUP($A148,'Matriz POA 2024-TRABAJO'!$A$5:$CD$9142,22,FALSE)</f>
        <v>N/A</v>
      </c>
      <c r="I148" s="12" t="str">
        <f>VLOOKUP($A148,'Matriz POA 2024-TRABAJO'!$A$5:$CD$9142,23,FALSE)</f>
        <v>NUEVA</v>
      </c>
      <c r="J148" s="12" t="str">
        <f>VLOOKUP($A148,'Matriz POA 2024-TRABAJO'!$A$5:$CD$9142,24,FALSE)</f>
        <v>Construcción cubierta en la terraza del primer piso de la sede del Museo Bahía de Caráquez</v>
      </c>
      <c r="K148" s="12" t="str">
        <f>VLOOKUP($A148,'Matriz POA 2024-TRABAJO'!$A$5:$CD$9142,25,FALSE)</f>
        <v>0035</v>
      </c>
      <c r="L148" s="12" t="str">
        <f>VLOOKUP($A148,'Matriz POA 2024-TRABAJO'!$A$5:$CD$9142,26,FALSE)</f>
        <v>80</v>
      </c>
      <c r="M148" s="12" t="str">
        <f>VLOOKUP($A148,'Matriz POA 2024-TRABAJO'!$A$5:$CD$9142,27,FALSE)</f>
        <v>000</v>
      </c>
      <c r="N148" s="12" t="str">
        <f>VLOOKUP($A148,'Matriz POA 2024-TRABAJO'!$A$5:$CD$9142,28,FALSE)</f>
        <v>002</v>
      </c>
      <c r="O148" s="12" t="str">
        <f>VLOOKUP($A148,'Matriz POA 2024-TRABAJO'!$A$5:$CD$9142,29,FALSE)</f>
        <v>53</v>
      </c>
      <c r="P148" s="12">
        <f>VLOOKUP($A148,'Matriz POA 2024-TRABAJO'!$A$5:$CD$9142,30,FALSE)</f>
        <v>530402</v>
      </c>
      <c r="Q148" s="12">
        <f>VLOOKUP($A148,'Matriz POA 2024-TRABAJO'!$A$5:$CD$9142,32,FALSE)</f>
        <v>1314</v>
      </c>
      <c r="R148" s="12" t="str">
        <f>VLOOKUP($A148,'Matriz POA 2024-TRABAJO'!$A$5:$CD$9142,33,FALSE)</f>
        <v>001</v>
      </c>
      <c r="S148" s="12" t="str">
        <f>VLOOKUP($A148,'Matriz POA 2024-TRABAJO'!$A$5:$CD$9142,34,FALSE)</f>
        <v>0000</v>
      </c>
      <c r="T148" s="12" t="str">
        <f>VLOOKUP($A148,'Matriz POA 2024-TRABAJO'!$A$5:$CD$9142,35,FALSE)</f>
        <v>0000</v>
      </c>
      <c r="U148" s="64" t="str">
        <f>VLOOKUP($A148,'Matriz POA 2024-TRABAJO'!$A$5:$CD$9142,66,FALSE)</f>
        <v/>
      </c>
      <c r="V148" s="64" t="str">
        <f>VLOOKUP($A148,'Matriz POA 2024-TRABAJO'!$A$5:$CD$9142,67,FALSE)</f>
        <v/>
      </c>
      <c r="W148" s="64" t="str">
        <f>VLOOKUP($A148,'Matriz POA 2024-TRABAJO'!$A$5:$CD$9142,68,FALSE)</f>
        <v/>
      </c>
      <c r="X148" s="64" t="str">
        <f>VLOOKUP($A148,'Matriz POA 2024-TRABAJO'!$A$5:$CD$9142,72,FALSE)</f>
        <v/>
      </c>
      <c r="Y148" s="388">
        <v>0</v>
      </c>
      <c r="Z148" s="388">
        <v>0</v>
      </c>
      <c r="AA148" s="388">
        <v>0</v>
      </c>
      <c r="AB148" s="389">
        <v>8000</v>
      </c>
      <c r="AC148" s="389"/>
      <c r="AD148" s="13"/>
      <c r="AE148" s="13"/>
      <c r="AF148" s="13">
        <f t="shared" si="59"/>
        <v>8000</v>
      </c>
      <c r="AG148" s="13">
        <f t="shared" si="60"/>
        <v>0</v>
      </c>
      <c r="AH148" s="13">
        <f t="shared" si="61"/>
        <v>8000</v>
      </c>
      <c r="AI148" s="129"/>
      <c r="AJ148" s="129"/>
      <c r="AK148" s="129"/>
      <c r="AL148" s="129"/>
      <c r="AM148" s="129">
        <v>8000</v>
      </c>
      <c r="AN148" s="129"/>
      <c r="AO148" s="129"/>
      <c r="AP148" s="129"/>
      <c r="AQ148" s="129"/>
      <c r="AR148" s="129"/>
      <c r="AS148" s="129"/>
      <c r="AT148" s="129"/>
      <c r="AU148" s="129">
        <f t="shared" si="62"/>
        <v>8000</v>
      </c>
      <c r="AV148" s="13" t="b">
        <f t="shared" si="63"/>
        <v>1</v>
      </c>
      <c r="AW148" s="10" t="s">
        <v>988</v>
      </c>
      <c r="AX148" s="15" t="s">
        <v>989</v>
      </c>
      <c r="AY148" s="16">
        <v>45358</v>
      </c>
      <c r="AZ148" s="15" t="s">
        <v>990</v>
      </c>
      <c r="BA148" s="16">
        <v>45366</v>
      </c>
      <c r="BB148" s="17">
        <f t="shared" si="67"/>
        <v>6</v>
      </c>
      <c r="BC148" s="12"/>
      <c r="BD148" s="15"/>
      <c r="BE148" s="18"/>
      <c r="BF148" s="12"/>
      <c r="BG148" s="19" t="str">
        <f t="shared" si="64"/>
        <v>marzo</v>
      </c>
      <c r="BH148" s="12" t="str">
        <f t="shared" si="65"/>
        <v>Corporación Ciudad Alfaro</v>
      </c>
      <c r="BI148" s="20" t="str">
        <f t="shared" si="66"/>
        <v>N/A</v>
      </c>
    </row>
    <row r="149" spans="1:61" ht="24.95" customHeight="1">
      <c r="A149" s="8">
        <v>813</v>
      </c>
      <c r="B149" s="12" t="str">
        <f>VLOOKUP($A149,'Matriz POA 2024-TRABAJO'!$A$5:$CD$9142,11,FALSE)</f>
        <v>Corporación Ciudad Alfaro</v>
      </c>
      <c r="C149" s="12" t="str">
        <f>VLOOKUP($A149,'Matriz POA 2024-TRABAJO'!$A$5:$CD$9142,14,FALSE)</f>
        <v>N/A</v>
      </c>
      <c r="D149" s="12" t="str">
        <f>VLOOKUP($A149,'Matriz POA 2024-TRABAJO'!$A$5:$CD$9142,15,FALSE)</f>
        <v>N/A</v>
      </c>
      <c r="E149" s="12" t="str">
        <f>VLOOKUP($A149,'Matriz POA 2024-TRABAJO'!$A$5:$CD$9142,18,FALSE)</f>
        <v>N/A</v>
      </c>
      <c r="F149" s="12" t="str">
        <f>VLOOKUP($A149,'Matriz POA 2024-TRABAJO'!$A$5:$CD$9142,20,FALSE)</f>
        <v>N/A</v>
      </c>
      <c r="G149" s="12" t="str">
        <f>VLOOKUP($A149,'Matriz POA 2024-TRABAJO'!$A$5:$CD$9142,21,FALSE)</f>
        <v>N/A</v>
      </c>
      <c r="H149" s="12" t="str">
        <f>VLOOKUP($A149,'Matriz POA 2024-TRABAJO'!$A$5:$CD$9142,22,FALSE)</f>
        <v>N/A</v>
      </c>
      <c r="I149" s="12" t="str">
        <f>VLOOKUP($A149,'Matriz POA 2024-TRABAJO'!$A$5:$CD$9142,23,FALSE)</f>
        <v>NUEVA</v>
      </c>
      <c r="J149" s="12" t="str">
        <f>VLOOKUP($A149,'Matriz POA 2024-TRABAJO'!$A$5:$CD$9142,24,FALSE)</f>
        <v>Contratacion del servicio de mantenimiento preventivo y Recarga de extintores contraincendios del Museo Nuclear Corporación Ciudad  Alfaro y sus Sedes.</v>
      </c>
      <c r="K149" s="12" t="str">
        <f>VLOOKUP($A149,'Matriz POA 2024-TRABAJO'!$A$5:$CD$9142,25,FALSE)</f>
        <v>0035</v>
      </c>
      <c r="L149" s="12" t="str">
        <f>VLOOKUP($A149,'Matriz POA 2024-TRABAJO'!$A$5:$CD$9142,26,FALSE)</f>
        <v>80</v>
      </c>
      <c r="M149" s="12" t="str">
        <f>VLOOKUP($A149,'Matriz POA 2024-TRABAJO'!$A$5:$CD$9142,27,FALSE)</f>
        <v>000</v>
      </c>
      <c r="N149" s="12" t="str">
        <f>VLOOKUP($A149,'Matriz POA 2024-TRABAJO'!$A$5:$CD$9142,28,FALSE)</f>
        <v>002</v>
      </c>
      <c r="O149" s="12" t="str">
        <f>VLOOKUP($A149,'Matriz POA 2024-TRABAJO'!$A$5:$CD$9142,29,FALSE)</f>
        <v>53</v>
      </c>
      <c r="P149" s="12">
        <f>VLOOKUP($A149,'Matriz POA 2024-TRABAJO'!$A$5:$CD$9142,30,FALSE)</f>
        <v>530203</v>
      </c>
      <c r="Q149" s="12">
        <f>VLOOKUP($A149,'Matriz POA 2024-TRABAJO'!$A$5:$CD$9142,32,FALSE)</f>
        <v>1309</v>
      </c>
      <c r="R149" s="12" t="str">
        <f>VLOOKUP($A149,'Matriz POA 2024-TRABAJO'!$A$5:$CD$9142,33,FALSE)</f>
        <v>001</v>
      </c>
      <c r="S149" s="12" t="str">
        <f>VLOOKUP($A149,'Matriz POA 2024-TRABAJO'!$A$5:$CD$9142,34,FALSE)</f>
        <v>0000</v>
      </c>
      <c r="T149" s="12" t="str">
        <f>VLOOKUP($A149,'Matriz POA 2024-TRABAJO'!$A$5:$CD$9142,35,FALSE)</f>
        <v>0000</v>
      </c>
      <c r="U149" s="64" t="str">
        <f>VLOOKUP($A149,'Matriz POA 2024-TRABAJO'!$A$5:$CD$9142,66,FALSE)</f>
        <v/>
      </c>
      <c r="V149" s="64" t="str">
        <f>VLOOKUP($A149,'Matriz POA 2024-TRABAJO'!$A$5:$CD$9142,67,FALSE)</f>
        <v/>
      </c>
      <c r="W149" s="64" t="str">
        <f>VLOOKUP($A149,'Matriz POA 2024-TRABAJO'!$A$5:$CD$9142,68,FALSE)</f>
        <v/>
      </c>
      <c r="X149" s="64" t="str">
        <f>VLOOKUP($A149,'Matriz POA 2024-TRABAJO'!$A$5:$CD$9142,72,FALSE)</f>
        <v/>
      </c>
      <c r="Y149" s="388">
        <v>0</v>
      </c>
      <c r="Z149" s="388">
        <v>0</v>
      </c>
      <c r="AA149" s="388">
        <v>0</v>
      </c>
      <c r="AB149" s="389">
        <v>1500</v>
      </c>
      <c r="AC149" s="389"/>
      <c r="AD149" s="13"/>
      <c r="AE149" s="13"/>
      <c r="AF149" s="13">
        <f t="shared" si="59"/>
        <v>1500</v>
      </c>
      <c r="AG149" s="13">
        <f t="shared" si="60"/>
        <v>0</v>
      </c>
      <c r="AH149" s="13">
        <f t="shared" si="61"/>
        <v>1500</v>
      </c>
      <c r="AI149" s="129"/>
      <c r="AJ149" s="129"/>
      <c r="AK149" s="129"/>
      <c r="AL149" s="129"/>
      <c r="AM149" s="129"/>
      <c r="AN149" s="129"/>
      <c r="AO149" s="129"/>
      <c r="AP149" s="129"/>
      <c r="AQ149" s="129"/>
      <c r="AR149" s="129">
        <v>1500</v>
      </c>
      <c r="AS149" s="129"/>
      <c r="AT149" s="129"/>
      <c r="AU149" s="129">
        <f t="shared" si="62"/>
        <v>1500</v>
      </c>
      <c r="AV149" s="13" t="b">
        <f t="shared" si="63"/>
        <v>1</v>
      </c>
      <c r="AW149" s="10" t="s">
        <v>988</v>
      </c>
      <c r="AX149" s="15" t="s">
        <v>989</v>
      </c>
      <c r="AY149" s="16">
        <v>45358</v>
      </c>
      <c r="AZ149" s="15" t="s">
        <v>990</v>
      </c>
      <c r="BA149" s="16">
        <v>45366</v>
      </c>
      <c r="BB149" s="17">
        <f t="shared" si="67"/>
        <v>6</v>
      </c>
      <c r="BC149" s="12"/>
      <c r="BD149" s="15"/>
      <c r="BE149" s="18"/>
      <c r="BF149" s="12"/>
      <c r="BG149" s="19" t="str">
        <f t="shared" si="64"/>
        <v>marzo</v>
      </c>
      <c r="BH149" s="12" t="str">
        <f t="shared" si="65"/>
        <v>Corporación Ciudad Alfaro</v>
      </c>
      <c r="BI149" s="20" t="str">
        <f t="shared" si="66"/>
        <v>N/A</v>
      </c>
    </row>
    <row r="150" spans="1:61" ht="24.95" customHeight="1">
      <c r="A150" s="8">
        <v>814</v>
      </c>
      <c r="B150" s="12" t="str">
        <f>VLOOKUP($A150,'Matriz POA 2024-TRABAJO'!$A$5:$CD$9142,11,FALSE)</f>
        <v>Corporación Ciudad Alfaro</v>
      </c>
      <c r="C150" s="12" t="str">
        <f>VLOOKUP($A150,'Matriz POA 2024-TRABAJO'!$A$5:$CD$9142,14,FALSE)</f>
        <v>N/A</v>
      </c>
      <c r="D150" s="12" t="str">
        <f>VLOOKUP($A150,'Matriz POA 2024-TRABAJO'!$A$5:$CD$9142,15,FALSE)</f>
        <v>N/A</v>
      </c>
      <c r="E150" s="12" t="str">
        <f>VLOOKUP($A150,'Matriz POA 2024-TRABAJO'!$A$5:$CD$9142,18,FALSE)</f>
        <v>N/A</v>
      </c>
      <c r="F150" s="12" t="str">
        <f>VLOOKUP($A150,'Matriz POA 2024-TRABAJO'!$A$5:$CD$9142,20,FALSE)</f>
        <v>N/A</v>
      </c>
      <c r="G150" s="12" t="str">
        <f>VLOOKUP($A150,'Matriz POA 2024-TRABAJO'!$A$5:$CD$9142,21,FALSE)</f>
        <v>N/A</v>
      </c>
      <c r="H150" s="12" t="str">
        <f>VLOOKUP($A150,'Matriz POA 2024-TRABAJO'!$A$5:$CD$9142,22,FALSE)</f>
        <v>N/A</v>
      </c>
      <c r="I150" s="12" t="str">
        <f>VLOOKUP($A150,'Matriz POA 2024-TRABAJO'!$A$5:$CD$9142,23,FALSE)</f>
        <v>NUEVA</v>
      </c>
      <c r="J150" s="12" t="str">
        <f>VLOOKUP($A150,'Matriz POA 2024-TRABAJO'!$A$5:$CD$9142,24,FALSE)</f>
        <v>Contratación del servicio de correspondencia Nacional para el Museo Nuclear Corporación Ciudad Alfaro y sus sedes.</v>
      </c>
      <c r="K150" s="12" t="str">
        <f>VLOOKUP($A150,'Matriz POA 2024-TRABAJO'!$A$5:$CD$9142,25,FALSE)</f>
        <v>0035</v>
      </c>
      <c r="L150" s="12" t="str">
        <f>VLOOKUP($A150,'Matriz POA 2024-TRABAJO'!$A$5:$CD$9142,26,FALSE)</f>
        <v>80</v>
      </c>
      <c r="M150" s="12" t="str">
        <f>VLOOKUP($A150,'Matriz POA 2024-TRABAJO'!$A$5:$CD$9142,27,FALSE)</f>
        <v>000</v>
      </c>
      <c r="N150" s="12" t="str">
        <f>VLOOKUP($A150,'Matriz POA 2024-TRABAJO'!$A$5:$CD$9142,28,FALSE)</f>
        <v>002</v>
      </c>
      <c r="O150" s="12" t="str">
        <f>VLOOKUP($A150,'Matriz POA 2024-TRABAJO'!$A$5:$CD$9142,29,FALSE)</f>
        <v>53</v>
      </c>
      <c r="P150" s="12">
        <f>VLOOKUP($A150,'Matriz POA 2024-TRABAJO'!$A$5:$CD$9142,30,FALSE)</f>
        <v>530106</v>
      </c>
      <c r="Q150" s="12">
        <f>VLOOKUP($A150,'Matriz POA 2024-TRABAJO'!$A$5:$CD$9142,32,FALSE)</f>
        <v>1309</v>
      </c>
      <c r="R150" s="12" t="str">
        <f>VLOOKUP($A150,'Matriz POA 2024-TRABAJO'!$A$5:$CD$9142,33,FALSE)</f>
        <v>001</v>
      </c>
      <c r="S150" s="12" t="str">
        <f>VLOOKUP($A150,'Matriz POA 2024-TRABAJO'!$A$5:$CD$9142,34,FALSE)</f>
        <v>0000</v>
      </c>
      <c r="T150" s="12" t="str">
        <f>VLOOKUP($A150,'Matriz POA 2024-TRABAJO'!$A$5:$CD$9142,35,FALSE)</f>
        <v>0000</v>
      </c>
      <c r="U150" s="64">
        <f>VLOOKUP($A150,'Matriz POA 2024-TRABAJO'!$A$5:$CD$9142,66,FALSE)</f>
        <v>1000</v>
      </c>
      <c r="V150" s="64">
        <f>VLOOKUP($A150,'Matriz POA 2024-TRABAJO'!$A$5:$CD$9142,67,FALSE)</f>
        <v>-1000</v>
      </c>
      <c r="W150" s="64">
        <f>VLOOKUP($A150,'Matriz POA 2024-TRABAJO'!$A$5:$CD$9142,68,FALSE)</f>
        <v>0</v>
      </c>
      <c r="X150" s="64" t="str">
        <f>VLOOKUP($A150,'Matriz POA 2024-TRABAJO'!$A$5:$CD$9142,72,FALSE)</f>
        <v/>
      </c>
      <c r="Y150" s="388">
        <v>0</v>
      </c>
      <c r="Z150" s="388">
        <v>0</v>
      </c>
      <c r="AA150" s="388">
        <v>0</v>
      </c>
      <c r="AB150" s="389">
        <v>1000</v>
      </c>
      <c r="AC150" s="389"/>
      <c r="AD150" s="13"/>
      <c r="AE150" s="13"/>
      <c r="AF150" s="13">
        <f t="shared" si="59"/>
        <v>1000</v>
      </c>
      <c r="AG150" s="13">
        <f t="shared" si="60"/>
        <v>0</v>
      </c>
      <c r="AH150" s="13">
        <f t="shared" si="61"/>
        <v>1000</v>
      </c>
      <c r="AI150" s="129"/>
      <c r="AJ150" s="129"/>
      <c r="AK150" s="129"/>
      <c r="AL150" s="129">
        <v>125</v>
      </c>
      <c r="AM150" s="129">
        <v>125</v>
      </c>
      <c r="AN150" s="129">
        <v>125</v>
      </c>
      <c r="AO150" s="129">
        <v>125</v>
      </c>
      <c r="AP150" s="129">
        <v>125</v>
      </c>
      <c r="AQ150" s="129">
        <v>125</v>
      </c>
      <c r="AR150" s="129">
        <v>125</v>
      </c>
      <c r="AS150" s="129">
        <v>125</v>
      </c>
      <c r="AT150" s="129"/>
      <c r="AU150" s="129">
        <f t="shared" si="62"/>
        <v>1000</v>
      </c>
      <c r="AV150" s="13" t="b">
        <f t="shared" si="63"/>
        <v>1</v>
      </c>
      <c r="AW150" s="10" t="s">
        <v>988</v>
      </c>
      <c r="AX150" s="15" t="s">
        <v>989</v>
      </c>
      <c r="AY150" s="16">
        <v>45358</v>
      </c>
      <c r="AZ150" s="15" t="s">
        <v>990</v>
      </c>
      <c r="BA150" s="16">
        <v>45366</v>
      </c>
      <c r="BB150" s="17">
        <f t="shared" si="67"/>
        <v>6</v>
      </c>
      <c r="BC150" s="12"/>
      <c r="BD150" s="15"/>
      <c r="BE150" s="18"/>
      <c r="BF150" s="12"/>
      <c r="BG150" s="19" t="str">
        <f t="shared" si="64"/>
        <v>marzo</v>
      </c>
      <c r="BH150" s="12" t="str">
        <f t="shared" si="65"/>
        <v>Corporación Ciudad Alfaro</v>
      </c>
      <c r="BI150" s="20" t="str">
        <f t="shared" si="66"/>
        <v>N/A</v>
      </c>
    </row>
    <row r="151" spans="1:61" ht="24.95" customHeight="1">
      <c r="A151" s="8">
        <v>815</v>
      </c>
      <c r="B151" s="12" t="str">
        <f>VLOOKUP($A151,'Matriz POA 2024-TRABAJO'!$A$5:$CD$9142,11,FALSE)</f>
        <v>Corporación Ciudad Alfaro</v>
      </c>
      <c r="C151" s="12" t="str">
        <f>VLOOKUP($A151,'Matriz POA 2024-TRABAJO'!$A$5:$CD$9142,14,FALSE)</f>
        <v>N/A</v>
      </c>
      <c r="D151" s="12" t="str">
        <f>VLOOKUP($A151,'Matriz POA 2024-TRABAJO'!$A$5:$CD$9142,15,FALSE)</f>
        <v>N/A</v>
      </c>
      <c r="E151" s="12" t="str">
        <f>VLOOKUP($A151,'Matriz POA 2024-TRABAJO'!$A$5:$CD$9142,18,FALSE)</f>
        <v>N/A</v>
      </c>
      <c r="F151" s="12" t="str">
        <f>VLOOKUP($A151,'Matriz POA 2024-TRABAJO'!$A$5:$CD$9142,20,FALSE)</f>
        <v>N/A</v>
      </c>
      <c r="G151" s="12" t="str">
        <f>VLOOKUP($A151,'Matriz POA 2024-TRABAJO'!$A$5:$CD$9142,21,FALSE)</f>
        <v>N/A</v>
      </c>
      <c r="H151" s="12" t="str">
        <f>VLOOKUP($A151,'Matriz POA 2024-TRABAJO'!$A$5:$CD$9142,22,FALSE)</f>
        <v>N/A</v>
      </c>
      <c r="I151" s="12" t="str">
        <f>VLOOKUP($A151,'Matriz POA 2024-TRABAJO'!$A$5:$CD$9142,23,FALSE)</f>
        <v>NUEVA</v>
      </c>
      <c r="J151" s="12" t="str">
        <f>VLOOKUP($A151,'Matriz POA 2024-TRABAJO'!$A$5:$CD$9142,24,FALSE)</f>
        <v>Contratación del servicio de mantenimiento y readecuación del museo rodante del Museo Nuclear Corporación Ciudad Alfaro</v>
      </c>
      <c r="K151" s="12" t="str">
        <f>VLOOKUP($A151,'Matriz POA 2024-TRABAJO'!$A$5:$CD$9142,25,FALSE)</f>
        <v>0035</v>
      </c>
      <c r="L151" s="12" t="str">
        <f>VLOOKUP($A151,'Matriz POA 2024-TRABAJO'!$A$5:$CD$9142,26,FALSE)</f>
        <v>80</v>
      </c>
      <c r="M151" s="12" t="str">
        <f>VLOOKUP($A151,'Matriz POA 2024-TRABAJO'!$A$5:$CD$9142,27,FALSE)</f>
        <v>000</v>
      </c>
      <c r="N151" s="12" t="str">
        <f>VLOOKUP($A151,'Matriz POA 2024-TRABAJO'!$A$5:$CD$9142,28,FALSE)</f>
        <v>002</v>
      </c>
      <c r="O151" s="12" t="str">
        <f>VLOOKUP($A151,'Matriz POA 2024-TRABAJO'!$A$5:$CD$9142,29,FALSE)</f>
        <v>53</v>
      </c>
      <c r="P151" s="12">
        <f>VLOOKUP($A151,'Matriz POA 2024-TRABAJO'!$A$5:$CD$9142,30,FALSE)</f>
        <v>530408</v>
      </c>
      <c r="Q151" s="12">
        <f>VLOOKUP($A151,'Matriz POA 2024-TRABAJO'!$A$5:$CD$9142,32,FALSE)</f>
        <v>1309</v>
      </c>
      <c r="R151" s="12" t="str">
        <f>VLOOKUP($A151,'Matriz POA 2024-TRABAJO'!$A$5:$CD$9142,33,FALSE)</f>
        <v>001</v>
      </c>
      <c r="S151" s="12" t="str">
        <f>VLOOKUP($A151,'Matriz POA 2024-TRABAJO'!$A$5:$CD$9142,34,FALSE)</f>
        <v>0000</v>
      </c>
      <c r="T151" s="12" t="str">
        <f>VLOOKUP($A151,'Matriz POA 2024-TRABAJO'!$A$5:$CD$9142,35,FALSE)</f>
        <v>0000</v>
      </c>
      <c r="U151" s="64">
        <f>VLOOKUP($A151,'Matriz POA 2024-TRABAJO'!$A$5:$CD$9142,66,FALSE)</f>
        <v>5000</v>
      </c>
      <c r="V151" s="64">
        <f>VLOOKUP($A151,'Matriz POA 2024-TRABAJO'!$A$5:$CD$9142,67,FALSE)</f>
        <v>-5000</v>
      </c>
      <c r="W151" s="64">
        <f>VLOOKUP($A151,'Matriz POA 2024-TRABAJO'!$A$5:$CD$9142,68,FALSE)</f>
        <v>0</v>
      </c>
      <c r="X151" s="64" t="str">
        <f>VLOOKUP($A151,'Matriz POA 2024-TRABAJO'!$A$5:$CD$9142,72,FALSE)</f>
        <v/>
      </c>
      <c r="Y151" s="388">
        <v>0</v>
      </c>
      <c r="Z151" s="388">
        <v>0</v>
      </c>
      <c r="AA151" s="388">
        <v>0</v>
      </c>
      <c r="AB151" s="389">
        <v>5000</v>
      </c>
      <c r="AC151" s="389"/>
      <c r="AD151" s="13"/>
      <c r="AE151" s="13"/>
      <c r="AF151" s="13">
        <f t="shared" si="59"/>
        <v>5000</v>
      </c>
      <c r="AG151" s="13">
        <f t="shared" si="60"/>
        <v>0</v>
      </c>
      <c r="AH151" s="13">
        <f t="shared" si="61"/>
        <v>5000</v>
      </c>
      <c r="AI151" s="129"/>
      <c r="AJ151" s="129"/>
      <c r="AK151" s="129"/>
      <c r="AL151" s="129"/>
      <c r="AM151" s="129">
        <v>2500</v>
      </c>
      <c r="AN151" s="129">
        <v>2500</v>
      </c>
      <c r="AO151" s="129"/>
      <c r="AP151" s="129"/>
      <c r="AQ151" s="129"/>
      <c r="AR151" s="129"/>
      <c r="AS151" s="129"/>
      <c r="AT151" s="129"/>
      <c r="AU151" s="129">
        <f t="shared" si="62"/>
        <v>5000</v>
      </c>
      <c r="AV151" s="13" t="b">
        <f t="shared" si="63"/>
        <v>1</v>
      </c>
      <c r="AW151" s="10" t="s">
        <v>988</v>
      </c>
      <c r="AX151" s="15" t="s">
        <v>989</v>
      </c>
      <c r="AY151" s="16">
        <v>45358</v>
      </c>
      <c r="AZ151" s="15" t="s">
        <v>990</v>
      </c>
      <c r="BA151" s="16">
        <v>45366</v>
      </c>
      <c r="BB151" s="17">
        <f t="shared" si="67"/>
        <v>6</v>
      </c>
      <c r="BC151" s="12"/>
      <c r="BD151" s="15"/>
      <c r="BE151" s="18"/>
      <c r="BF151" s="12"/>
      <c r="BG151" s="19" t="str">
        <f t="shared" si="64"/>
        <v>marzo</v>
      </c>
      <c r="BH151" s="12" t="str">
        <f t="shared" si="65"/>
        <v>Corporación Ciudad Alfaro</v>
      </c>
      <c r="BI151" s="20" t="str">
        <f t="shared" si="66"/>
        <v>N/A</v>
      </c>
    </row>
    <row r="152" spans="1:61" ht="24.95" customHeight="1">
      <c r="A152" s="8">
        <v>816</v>
      </c>
      <c r="B152" s="12" t="str">
        <f>VLOOKUP($A152,'Matriz POA 2024-TRABAJO'!$A$5:$CD$9142,11,FALSE)</f>
        <v>Corporación Ciudad Alfaro</v>
      </c>
      <c r="C152" s="12" t="str">
        <f>VLOOKUP($A152,'Matriz POA 2024-TRABAJO'!$A$5:$CD$9142,14,FALSE)</f>
        <v>N/A</v>
      </c>
      <c r="D152" s="12" t="str">
        <f>VLOOKUP($A152,'Matriz POA 2024-TRABAJO'!$A$5:$CD$9142,15,FALSE)</f>
        <v>N/A</v>
      </c>
      <c r="E152" s="12" t="str">
        <f>VLOOKUP($A152,'Matriz POA 2024-TRABAJO'!$A$5:$CD$9142,18,FALSE)</f>
        <v>N/A</v>
      </c>
      <c r="F152" s="12" t="str">
        <f>VLOOKUP($A152,'Matriz POA 2024-TRABAJO'!$A$5:$CD$9142,20,FALSE)</f>
        <v>N/A</v>
      </c>
      <c r="G152" s="12" t="str">
        <f>VLOOKUP($A152,'Matriz POA 2024-TRABAJO'!$A$5:$CD$9142,21,FALSE)</f>
        <v>N/A</v>
      </c>
      <c r="H152" s="12" t="str">
        <f>VLOOKUP($A152,'Matriz POA 2024-TRABAJO'!$A$5:$CD$9142,22,FALSE)</f>
        <v>N/A</v>
      </c>
      <c r="I152" s="12" t="str">
        <f>VLOOKUP($A152,'Matriz POA 2024-TRABAJO'!$A$5:$CD$9142,23,FALSE)</f>
        <v>NUEVA</v>
      </c>
      <c r="J152" s="12" t="str">
        <f>VLOOKUP($A152,'Matriz POA 2024-TRABAJO'!$A$5:$CD$9142,24,FALSE)</f>
        <v>Contratación del servicio de mantenimiento preventivo y correctivo de bombas sumergibles y bombas de agua potable en el Museo Centro Cultural Manta,  sede de la Corporación Ciudad Alfaro</v>
      </c>
      <c r="K152" s="12" t="str">
        <f>VLOOKUP($A152,'Matriz POA 2024-TRABAJO'!$A$5:$CD$9142,25,FALSE)</f>
        <v>0035</v>
      </c>
      <c r="L152" s="12" t="str">
        <f>VLOOKUP($A152,'Matriz POA 2024-TRABAJO'!$A$5:$CD$9142,26,FALSE)</f>
        <v>80</v>
      </c>
      <c r="M152" s="12" t="str">
        <f>VLOOKUP($A152,'Matriz POA 2024-TRABAJO'!$A$5:$CD$9142,27,FALSE)</f>
        <v>000</v>
      </c>
      <c r="N152" s="12" t="str">
        <f>VLOOKUP($A152,'Matriz POA 2024-TRABAJO'!$A$5:$CD$9142,28,FALSE)</f>
        <v>002</v>
      </c>
      <c r="O152" s="12" t="str">
        <f>VLOOKUP($A152,'Matriz POA 2024-TRABAJO'!$A$5:$CD$9142,29,FALSE)</f>
        <v>53</v>
      </c>
      <c r="P152" s="12">
        <f>VLOOKUP($A152,'Matriz POA 2024-TRABAJO'!$A$5:$CD$9142,30,FALSE)</f>
        <v>530403</v>
      </c>
      <c r="Q152" s="12">
        <f>VLOOKUP($A152,'Matriz POA 2024-TRABAJO'!$A$5:$CD$9142,32,FALSE)</f>
        <v>1308</v>
      </c>
      <c r="R152" s="12" t="str">
        <f>VLOOKUP($A152,'Matriz POA 2024-TRABAJO'!$A$5:$CD$9142,33,FALSE)</f>
        <v>001</v>
      </c>
      <c r="S152" s="12" t="str">
        <f>VLOOKUP($A152,'Matriz POA 2024-TRABAJO'!$A$5:$CD$9142,34,FALSE)</f>
        <v>0000</v>
      </c>
      <c r="T152" s="12" t="str">
        <f>VLOOKUP($A152,'Matriz POA 2024-TRABAJO'!$A$5:$CD$9142,35,FALSE)</f>
        <v>0000</v>
      </c>
      <c r="U152" s="64">
        <f>VLOOKUP($A152,'Matriz POA 2024-TRABAJO'!$A$5:$CD$9142,66,FALSE)</f>
        <v>4800</v>
      </c>
      <c r="V152" s="64">
        <f>VLOOKUP($A152,'Matriz POA 2024-TRABAJO'!$A$5:$CD$9142,67,FALSE)</f>
        <v>-4800</v>
      </c>
      <c r="W152" s="64">
        <f>VLOOKUP($A152,'Matriz POA 2024-TRABAJO'!$A$5:$CD$9142,68,FALSE)</f>
        <v>0</v>
      </c>
      <c r="X152" s="64" t="str">
        <f>VLOOKUP($A152,'Matriz POA 2024-TRABAJO'!$A$5:$CD$9142,72,FALSE)</f>
        <v/>
      </c>
      <c r="Y152" s="388">
        <v>0</v>
      </c>
      <c r="Z152" s="388">
        <v>0</v>
      </c>
      <c r="AA152" s="388">
        <v>0</v>
      </c>
      <c r="AB152" s="389">
        <v>9788.9</v>
      </c>
      <c r="AC152" s="389"/>
      <c r="AD152" s="13"/>
      <c r="AE152" s="13"/>
      <c r="AF152" s="13">
        <f t="shared" si="59"/>
        <v>9788.9</v>
      </c>
      <c r="AG152" s="13">
        <f t="shared" si="60"/>
        <v>0</v>
      </c>
      <c r="AH152" s="13">
        <f t="shared" si="61"/>
        <v>9788.9</v>
      </c>
      <c r="AI152" s="129"/>
      <c r="AJ152" s="129"/>
      <c r="AK152" s="129"/>
      <c r="AL152" s="129"/>
      <c r="AM152" s="129">
        <v>9788.9</v>
      </c>
      <c r="AN152" s="129"/>
      <c r="AO152" s="129"/>
      <c r="AP152" s="129"/>
      <c r="AQ152" s="129"/>
      <c r="AR152" s="129"/>
      <c r="AS152" s="129"/>
      <c r="AT152" s="129"/>
      <c r="AU152" s="129">
        <f t="shared" si="62"/>
        <v>9788.9</v>
      </c>
      <c r="AV152" s="13" t="b">
        <f t="shared" si="63"/>
        <v>1</v>
      </c>
      <c r="AW152" s="10" t="s">
        <v>988</v>
      </c>
      <c r="AX152" s="15" t="s">
        <v>989</v>
      </c>
      <c r="AY152" s="16">
        <v>45358</v>
      </c>
      <c r="AZ152" s="15" t="s">
        <v>990</v>
      </c>
      <c r="BA152" s="16">
        <v>45366</v>
      </c>
      <c r="BB152" s="17">
        <f t="shared" si="67"/>
        <v>6</v>
      </c>
      <c r="BC152" s="12"/>
      <c r="BD152" s="15"/>
      <c r="BE152" s="18"/>
      <c r="BF152" s="12"/>
      <c r="BG152" s="19" t="str">
        <f t="shared" si="64"/>
        <v>marzo</v>
      </c>
      <c r="BH152" s="12" t="str">
        <f t="shared" si="65"/>
        <v>Corporación Ciudad Alfaro</v>
      </c>
      <c r="BI152" s="20" t="str">
        <f t="shared" si="66"/>
        <v>N/A</v>
      </c>
    </row>
    <row r="153" spans="1:61" ht="24.95" customHeight="1">
      <c r="A153" s="8">
        <v>817</v>
      </c>
      <c r="B153" s="12" t="str">
        <f>VLOOKUP($A153,'Matriz POA 2024-TRABAJO'!$A$5:$CD$9142,11,FALSE)</f>
        <v>Corporación Ciudad Alfaro</v>
      </c>
      <c r="C153" s="12" t="str">
        <f>VLOOKUP($A153,'Matriz POA 2024-TRABAJO'!$A$5:$CD$9142,14,FALSE)</f>
        <v>N/A</v>
      </c>
      <c r="D153" s="12" t="str">
        <f>VLOOKUP($A153,'Matriz POA 2024-TRABAJO'!$A$5:$CD$9142,15,FALSE)</f>
        <v>N/A</v>
      </c>
      <c r="E153" s="12" t="str">
        <f>VLOOKUP($A153,'Matriz POA 2024-TRABAJO'!$A$5:$CD$9142,18,FALSE)</f>
        <v>N/A</v>
      </c>
      <c r="F153" s="12" t="str">
        <f>VLOOKUP($A153,'Matriz POA 2024-TRABAJO'!$A$5:$CD$9142,20,FALSE)</f>
        <v>N/A</v>
      </c>
      <c r="G153" s="12" t="str">
        <f>VLOOKUP($A153,'Matriz POA 2024-TRABAJO'!$A$5:$CD$9142,21,FALSE)</f>
        <v>N/A</v>
      </c>
      <c r="H153" s="12" t="str">
        <f>VLOOKUP($A153,'Matriz POA 2024-TRABAJO'!$A$5:$CD$9142,22,FALSE)</f>
        <v>N/A</v>
      </c>
      <c r="I153" s="12" t="str">
        <f>VLOOKUP($A153,'Matriz POA 2024-TRABAJO'!$A$5:$CD$9142,23,FALSE)</f>
        <v>NUEVA</v>
      </c>
      <c r="J153" s="12" t="str">
        <f>VLOOKUP($A153,'Matriz POA 2024-TRABAJO'!$A$5:$CD$9142,24,FALSE)</f>
        <v>Contratación del servicio de actualización  de sistemas informáticos de la Corporación Ciudad Alfaro y sus sedes</v>
      </c>
      <c r="K153" s="12" t="str">
        <f>VLOOKUP($A153,'Matriz POA 2024-TRABAJO'!$A$5:$CD$9142,25,FALSE)</f>
        <v>0035</v>
      </c>
      <c r="L153" s="12" t="str">
        <f>VLOOKUP($A153,'Matriz POA 2024-TRABAJO'!$A$5:$CD$9142,26,FALSE)</f>
        <v>80</v>
      </c>
      <c r="M153" s="12" t="str">
        <f>VLOOKUP($A153,'Matriz POA 2024-TRABAJO'!$A$5:$CD$9142,27,FALSE)</f>
        <v>000</v>
      </c>
      <c r="N153" s="12" t="str">
        <f>VLOOKUP($A153,'Matriz POA 2024-TRABAJO'!$A$5:$CD$9142,28,FALSE)</f>
        <v>002</v>
      </c>
      <c r="O153" s="12" t="str">
        <f>VLOOKUP($A153,'Matriz POA 2024-TRABAJO'!$A$5:$CD$9142,29,FALSE)</f>
        <v>53</v>
      </c>
      <c r="P153" s="12">
        <f>VLOOKUP($A153,'Matriz POA 2024-TRABAJO'!$A$5:$CD$9142,30,FALSE)</f>
        <v>530701</v>
      </c>
      <c r="Q153" s="12">
        <f>VLOOKUP($A153,'Matriz POA 2024-TRABAJO'!$A$5:$CD$9142,32,FALSE)</f>
        <v>1309</v>
      </c>
      <c r="R153" s="12" t="str">
        <f>VLOOKUP($A153,'Matriz POA 2024-TRABAJO'!$A$5:$CD$9142,33,FALSE)</f>
        <v>001</v>
      </c>
      <c r="S153" s="12" t="str">
        <f>VLOOKUP($A153,'Matriz POA 2024-TRABAJO'!$A$5:$CD$9142,34,FALSE)</f>
        <v>0000</v>
      </c>
      <c r="T153" s="12" t="str">
        <f>VLOOKUP($A153,'Matriz POA 2024-TRABAJO'!$A$5:$CD$9142,35,FALSE)</f>
        <v>0000</v>
      </c>
      <c r="U153" s="64">
        <f>VLOOKUP($A153,'Matriz POA 2024-TRABAJO'!$A$5:$CD$9142,66,FALSE)</f>
        <v>400</v>
      </c>
      <c r="V153" s="64">
        <f>VLOOKUP($A153,'Matriz POA 2024-TRABAJO'!$A$5:$CD$9142,67,FALSE)</f>
        <v>-400</v>
      </c>
      <c r="W153" s="64">
        <f>VLOOKUP($A153,'Matriz POA 2024-TRABAJO'!$A$5:$CD$9142,68,FALSE)</f>
        <v>0</v>
      </c>
      <c r="X153" s="64" t="str">
        <f>VLOOKUP($A153,'Matriz POA 2024-TRABAJO'!$A$5:$CD$9142,72,FALSE)</f>
        <v/>
      </c>
      <c r="Y153" s="388">
        <v>0</v>
      </c>
      <c r="Z153" s="388">
        <v>0</v>
      </c>
      <c r="AA153" s="388">
        <v>0</v>
      </c>
      <c r="AB153" s="389">
        <v>400</v>
      </c>
      <c r="AC153" s="389"/>
      <c r="AD153" s="13"/>
      <c r="AE153" s="13"/>
      <c r="AF153" s="13">
        <f t="shared" si="59"/>
        <v>400</v>
      </c>
      <c r="AG153" s="13">
        <f t="shared" si="60"/>
        <v>0</v>
      </c>
      <c r="AH153" s="13">
        <f t="shared" si="61"/>
        <v>400</v>
      </c>
      <c r="AI153" s="129"/>
      <c r="AJ153" s="129"/>
      <c r="AK153" s="129"/>
      <c r="AL153" s="129"/>
      <c r="AM153" s="129">
        <v>400</v>
      </c>
      <c r="AN153" s="129"/>
      <c r="AO153" s="129"/>
      <c r="AP153" s="129"/>
      <c r="AQ153" s="129"/>
      <c r="AR153" s="129"/>
      <c r="AS153" s="129"/>
      <c r="AT153" s="129"/>
      <c r="AU153" s="129">
        <f t="shared" si="62"/>
        <v>400</v>
      </c>
      <c r="AV153" s="13" t="b">
        <f t="shared" si="63"/>
        <v>1</v>
      </c>
      <c r="AW153" s="10" t="s">
        <v>988</v>
      </c>
      <c r="AX153" s="15" t="s">
        <v>989</v>
      </c>
      <c r="AY153" s="16">
        <v>45358</v>
      </c>
      <c r="AZ153" s="15" t="s">
        <v>990</v>
      </c>
      <c r="BA153" s="16">
        <v>45366</v>
      </c>
      <c r="BB153" s="17">
        <f t="shared" si="67"/>
        <v>6</v>
      </c>
      <c r="BC153" s="12"/>
      <c r="BD153" s="15"/>
      <c r="BE153" s="18"/>
      <c r="BF153" s="12"/>
      <c r="BG153" s="19" t="str">
        <f t="shared" si="64"/>
        <v>marzo</v>
      </c>
      <c r="BH153" s="12" t="str">
        <f t="shared" si="65"/>
        <v>Corporación Ciudad Alfaro</v>
      </c>
      <c r="BI153" s="20" t="str">
        <f t="shared" si="66"/>
        <v>N/A</v>
      </c>
    </row>
    <row r="154" spans="1:61" ht="24.95" customHeight="1">
      <c r="A154" s="8">
        <v>818</v>
      </c>
      <c r="B154" s="12" t="str">
        <f>VLOOKUP($A154,'Matriz POA 2024-TRABAJO'!$A$5:$CD$9142,11,FALSE)</f>
        <v>Corporación Ciudad Alfaro</v>
      </c>
      <c r="C154" s="12" t="str">
        <f>VLOOKUP($A154,'Matriz POA 2024-TRABAJO'!$A$5:$CD$9142,14,FALSE)</f>
        <v>N/A</v>
      </c>
      <c r="D154" s="12" t="str">
        <f>VLOOKUP($A154,'Matriz POA 2024-TRABAJO'!$A$5:$CD$9142,15,FALSE)</f>
        <v>N/A</v>
      </c>
      <c r="E154" s="12" t="str">
        <f>VLOOKUP($A154,'Matriz POA 2024-TRABAJO'!$A$5:$CD$9142,18,FALSE)</f>
        <v>N/A</v>
      </c>
      <c r="F154" s="12" t="str">
        <f>VLOOKUP($A154,'Matriz POA 2024-TRABAJO'!$A$5:$CD$9142,20,FALSE)</f>
        <v>N/A</v>
      </c>
      <c r="G154" s="12" t="str">
        <f>VLOOKUP($A154,'Matriz POA 2024-TRABAJO'!$A$5:$CD$9142,21,FALSE)</f>
        <v>N/A</v>
      </c>
      <c r="H154" s="12" t="str">
        <f>VLOOKUP($A154,'Matriz POA 2024-TRABAJO'!$A$5:$CD$9142,22,FALSE)</f>
        <v>N/A</v>
      </c>
      <c r="I154" s="12" t="str">
        <f>VLOOKUP($A154,'Matriz POA 2024-TRABAJO'!$A$5:$CD$9142,23,FALSE)</f>
        <v>NUEVA</v>
      </c>
      <c r="J154" s="12" t="str">
        <f>VLOOKUP($A154,'Matriz POA 2024-TRABAJO'!$A$5:$CD$9142,24,FALSE)</f>
        <v>Servicio de organización, producción y ejecución de los eventos enmarcados en el calendario patrimonial, cultural e histórico, para la difusión y fortalecimiento de la memoria social del Museo Nuclear Corporación Ciudad Alfaro, y sus sedes en Portoviejo, Manta y Bahía de Caráquez.</v>
      </c>
      <c r="K154" s="12" t="str">
        <f>VLOOKUP($A154,'Matriz POA 2024-TRABAJO'!$A$5:$CD$9142,25,FALSE)</f>
        <v>0035</v>
      </c>
      <c r="L154" s="12" t="str">
        <f>VLOOKUP($A154,'Matriz POA 2024-TRABAJO'!$A$5:$CD$9142,26,FALSE)</f>
        <v>80</v>
      </c>
      <c r="M154" s="12" t="str">
        <f>VLOOKUP($A154,'Matriz POA 2024-TRABAJO'!$A$5:$CD$9142,27,FALSE)</f>
        <v>000</v>
      </c>
      <c r="N154" s="12" t="str">
        <f>VLOOKUP($A154,'Matriz POA 2024-TRABAJO'!$A$5:$CD$9142,28,FALSE)</f>
        <v>002</v>
      </c>
      <c r="O154" s="12" t="str">
        <f>VLOOKUP($A154,'Matriz POA 2024-TRABAJO'!$A$5:$CD$9142,29,FALSE)</f>
        <v>53</v>
      </c>
      <c r="P154" s="12">
        <f>VLOOKUP($A154,'Matriz POA 2024-TRABAJO'!$A$5:$CD$9142,30,FALSE)</f>
        <v>530205</v>
      </c>
      <c r="Q154" s="12">
        <f>VLOOKUP($A154,'Matriz POA 2024-TRABAJO'!$A$5:$CD$9142,32,FALSE)</f>
        <v>1309</v>
      </c>
      <c r="R154" s="12" t="str">
        <f>VLOOKUP($A154,'Matriz POA 2024-TRABAJO'!$A$5:$CD$9142,33,FALSE)</f>
        <v>001</v>
      </c>
      <c r="S154" s="12" t="str">
        <f>VLOOKUP($A154,'Matriz POA 2024-TRABAJO'!$A$5:$CD$9142,34,FALSE)</f>
        <v>0000</v>
      </c>
      <c r="T154" s="12" t="str">
        <f>VLOOKUP($A154,'Matriz POA 2024-TRABAJO'!$A$5:$CD$9142,35,FALSE)</f>
        <v>0000</v>
      </c>
      <c r="U154" s="64">
        <f>VLOOKUP($A154,'Matriz POA 2024-TRABAJO'!$A$5:$CD$9142,66,FALSE)</f>
        <v>5000</v>
      </c>
      <c r="V154" s="64">
        <f>VLOOKUP($A154,'Matriz POA 2024-TRABAJO'!$A$5:$CD$9142,67,FALSE)</f>
        <v>991.5</v>
      </c>
      <c r="W154" s="64">
        <f>VLOOKUP($A154,'Matriz POA 2024-TRABAJO'!$A$5:$CD$9142,68,FALSE)</f>
        <v>5991.5</v>
      </c>
      <c r="X154" s="64">
        <f>VLOOKUP($A154,'Matriz POA 2024-TRABAJO'!$A$5:$CD$9142,72,FALSE)</f>
        <v>5990</v>
      </c>
      <c r="Y154" s="388">
        <v>0</v>
      </c>
      <c r="Z154" s="388">
        <v>0</v>
      </c>
      <c r="AA154" s="388">
        <v>0</v>
      </c>
      <c r="AB154" s="389">
        <v>5000</v>
      </c>
      <c r="AC154" s="389"/>
      <c r="AD154" s="13"/>
      <c r="AE154" s="13"/>
      <c r="AF154" s="13">
        <f t="shared" si="59"/>
        <v>5000</v>
      </c>
      <c r="AG154" s="13">
        <f t="shared" si="60"/>
        <v>0</v>
      </c>
      <c r="AH154" s="13">
        <f t="shared" si="61"/>
        <v>5000</v>
      </c>
      <c r="AI154" s="129"/>
      <c r="AJ154" s="129"/>
      <c r="AK154" s="129"/>
      <c r="AL154" s="129">
        <v>2500</v>
      </c>
      <c r="AM154" s="129"/>
      <c r="AN154" s="129">
        <v>2500</v>
      </c>
      <c r="AO154" s="129"/>
      <c r="AP154" s="129"/>
      <c r="AQ154" s="129"/>
      <c r="AR154" s="129"/>
      <c r="AS154" s="129"/>
      <c r="AT154" s="129"/>
      <c r="AU154" s="129">
        <f t="shared" si="62"/>
        <v>5000</v>
      </c>
      <c r="AV154" s="13" t="b">
        <f t="shared" si="63"/>
        <v>1</v>
      </c>
      <c r="AW154" s="14" t="s">
        <v>991</v>
      </c>
      <c r="AX154" s="15" t="s">
        <v>989</v>
      </c>
      <c r="AY154" s="16">
        <v>45358</v>
      </c>
      <c r="AZ154" s="15" t="s">
        <v>990</v>
      </c>
      <c r="BA154" s="16">
        <v>45366</v>
      </c>
      <c r="BB154" s="17">
        <f t="shared" si="67"/>
        <v>6</v>
      </c>
      <c r="BC154" s="12"/>
      <c r="BD154" s="15"/>
      <c r="BE154" s="18"/>
      <c r="BF154" s="12"/>
      <c r="BG154" s="19" t="str">
        <f t="shared" si="64"/>
        <v>marzo</v>
      </c>
      <c r="BH154" s="12" t="str">
        <f t="shared" si="65"/>
        <v>Corporación Ciudad Alfaro</v>
      </c>
      <c r="BI154" s="20" t="str">
        <f t="shared" si="66"/>
        <v>N/A</v>
      </c>
    </row>
    <row r="155" spans="1:61" ht="24.95" customHeight="1">
      <c r="A155" s="8">
        <v>819</v>
      </c>
      <c r="B155" s="12" t="str">
        <f>VLOOKUP($A155,'Matriz POA 2024-TRABAJO'!$A$5:$CD$9142,11,FALSE)</f>
        <v>Corporación Ciudad Alfaro</v>
      </c>
      <c r="C155" s="12" t="str">
        <f>VLOOKUP($A155,'Matriz POA 2024-TRABAJO'!$A$5:$CD$9142,14,FALSE)</f>
        <v>N/A</v>
      </c>
      <c r="D155" s="12" t="str">
        <f>VLOOKUP($A155,'Matriz POA 2024-TRABAJO'!$A$5:$CD$9142,15,FALSE)</f>
        <v>N/A</v>
      </c>
      <c r="E155" s="12" t="str">
        <f>VLOOKUP($A155,'Matriz POA 2024-TRABAJO'!$A$5:$CD$9142,18,FALSE)</f>
        <v>N/A</v>
      </c>
      <c r="F155" s="12" t="str">
        <f>VLOOKUP($A155,'Matriz POA 2024-TRABAJO'!$A$5:$CD$9142,20,FALSE)</f>
        <v>N/A</v>
      </c>
      <c r="G155" s="12" t="str">
        <f>VLOOKUP($A155,'Matriz POA 2024-TRABAJO'!$A$5:$CD$9142,21,FALSE)</f>
        <v>N/A</v>
      </c>
      <c r="H155" s="12" t="str">
        <f>VLOOKUP($A155,'Matriz POA 2024-TRABAJO'!$A$5:$CD$9142,22,FALSE)</f>
        <v>N/A</v>
      </c>
      <c r="I155" s="12" t="str">
        <f>VLOOKUP($A155,'Matriz POA 2024-TRABAJO'!$A$5:$CD$9142,23,FALSE)</f>
        <v>NUEVA</v>
      </c>
      <c r="J155" s="12" t="str">
        <f>VLOOKUP($A155,'Matriz POA 2024-TRABAJO'!$A$5:$CD$9142,24,FALSE)</f>
        <v>Contratación del servicio de mantenimiento correctivo de los tableros de distribución eléctrica TDE de los equipos de climatización en el museo centro cultural manta</v>
      </c>
      <c r="K155" s="12" t="str">
        <f>VLOOKUP($A155,'Matriz POA 2024-TRABAJO'!$A$5:$CD$9142,25,FALSE)</f>
        <v>0035</v>
      </c>
      <c r="L155" s="12" t="str">
        <f>VLOOKUP($A155,'Matriz POA 2024-TRABAJO'!$A$5:$CD$9142,26,FALSE)</f>
        <v>80</v>
      </c>
      <c r="M155" s="12" t="str">
        <f>VLOOKUP($A155,'Matriz POA 2024-TRABAJO'!$A$5:$CD$9142,27,FALSE)</f>
        <v>000</v>
      </c>
      <c r="N155" s="12" t="str">
        <f>VLOOKUP($A155,'Matriz POA 2024-TRABAJO'!$A$5:$CD$9142,28,FALSE)</f>
        <v>002</v>
      </c>
      <c r="O155" s="12" t="str">
        <f>VLOOKUP($A155,'Matriz POA 2024-TRABAJO'!$A$5:$CD$9142,29,FALSE)</f>
        <v>53</v>
      </c>
      <c r="P155" s="12">
        <f>VLOOKUP($A155,'Matriz POA 2024-TRABAJO'!$A$5:$CD$9142,30,FALSE)</f>
        <v>530402</v>
      </c>
      <c r="Q155" s="12">
        <f>VLOOKUP($A155,'Matriz POA 2024-TRABAJO'!$A$5:$CD$9142,32,FALSE)</f>
        <v>1308</v>
      </c>
      <c r="R155" s="12" t="str">
        <f>VLOOKUP($A155,'Matriz POA 2024-TRABAJO'!$A$5:$CD$9142,33,FALSE)</f>
        <v>001</v>
      </c>
      <c r="S155" s="12" t="str">
        <f>VLOOKUP($A155,'Matriz POA 2024-TRABAJO'!$A$5:$CD$9142,34,FALSE)</f>
        <v>0000</v>
      </c>
      <c r="T155" s="12" t="str">
        <f>VLOOKUP($A155,'Matriz POA 2024-TRABAJO'!$A$5:$CD$9142,35,FALSE)</f>
        <v>0000</v>
      </c>
      <c r="U155" s="64">
        <f>VLOOKUP($A155,'Matriz POA 2024-TRABAJO'!$A$5:$CD$9142,66,FALSE)</f>
        <v>5000</v>
      </c>
      <c r="V155" s="64">
        <f>VLOOKUP($A155,'Matriz POA 2024-TRABAJO'!$A$5:$CD$9142,67,FALSE)</f>
        <v>-170</v>
      </c>
      <c r="W155" s="64">
        <f>VLOOKUP($A155,'Matriz POA 2024-TRABAJO'!$A$5:$CD$9142,68,FALSE)</f>
        <v>0</v>
      </c>
      <c r="X155" s="64">
        <f>VLOOKUP($A155,'Matriz POA 2024-TRABAJO'!$A$5:$CD$9142,72,FALSE)</f>
        <v>4830</v>
      </c>
      <c r="Y155" s="388">
        <v>0</v>
      </c>
      <c r="Z155" s="388">
        <v>0</v>
      </c>
      <c r="AA155" s="388">
        <v>0</v>
      </c>
      <c r="AB155" s="389">
        <v>5000</v>
      </c>
      <c r="AC155" s="389"/>
      <c r="AD155" s="13"/>
      <c r="AE155" s="13"/>
      <c r="AF155" s="13">
        <f t="shared" si="59"/>
        <v>5000</v>
      </c>
      <c r="AG155" s="13">
        <f t="shared" si="60"/>
        <v>0</v>
      </c>
      <c r="AH155" s="13">
        <f t="shared" si="61"/>
        <v>5000</v>
      </c>
      <c r="AI155" s="129"/>
      <c r="AJ155" s="129"/>
      <c r="AK155" s="129">
        <v>5000</v>
      </c>
      <c r="AL155" s="129"/>
      <c r="AM155" s="129"/>
      <c r="AN155" s="129"/>
      <c r="AO155" s="129"/>
      <c r="AP155" s="129"/>
      <c r="AQ155" s="129"/>
      <c r="AR155" s="129"/>
      <c r="AS155" s="129"/>
      <c r="AT155" s="129"/>
      <c r="AU155" s="129">
        <f t="shared" si="62"/>
        <v>5000</v>
      </c>
      <c r="AV155" s="13" t="b">
        <f t="shared" si="63"/>
        <v>1</v>
      </c>
      <c r="AW155" s="14" t="s">
        <v>991</v>
      </c>
      <c r="AX155" s="15" t="s">
        <v>989</v>
      </c>
      <c r="AY155" s="16">
        <v>45358</v>
      </c>
      <c r="AZ155" s="15" t="s">
        <v>990</v>
      </c>
      <c r="BA155" s="16">
        <v>45366</v>
      </c>
      <c r="BB155" s="17">
        <f t="shared" si="67"/>
        <v>6</v>
      </c>
      <c r="BC155" s="12"/>
      <c r="BD155" s="15"/>
      <c r="BE155" s="18"/>
      <c r="BF155" s="12"/>
      <c r="BG155" s="19" t="str">
        <f t="shared" si="64"/>
        <v>marzo</v>
      </c>
      <c r="BH155" s="12" t="str">
        <f t="shared" si="65"/>
        <v>Corporación Ciudad Alfaro</v>
      </c>
      <c r="BI155" s="20" t="str">
        <f t="shared" si="66"/>
        <v>N/A</v>
      </c>
    </row>
    <row r="156" spans="1:61" ht="24.95" customHeight="1">
      <c r="A156" s="8">
        <v>820</v>
      </c>
      <c r="B156" s="12" t="str">
        <f>VLOOKUP($A156,'Matriz POA 2024-TRABAJO'!$A$5:$CD$9142,11,FALSE)</f>
        <v>Corporación Ciudad Alfaro</v>
      </c>
      <c r="C156" s="12" t="str">
        <f>VLOOKUP($A156,'Matriz POA 2024-TRABAJO'!$A$5:$CD$9142,14,FALSE)</f>
        <v>N/A</v>
      </c>
      <c r="D156" s="12" t="str">
        <f>VLOOKUP($A156,'Matriz POA 2024-TRABAJO'!$A$5:$CD$9142,15,FALSE)</f>
        <v>N/A</v>
      </c>
      <c r="E156" s="12" t="str">
        <f>VLOOKUP($A156,'Matriz POA 2024-TRABAJO'!$A$5:$CD$9142,18,FALSE)</f>
        <v>N/A</v>
      </c>
      <c r="F156" s="12" t="str">
        <f>VLOOKUP($A156,'Matriz POA 2024-TRABAJO'!$A$5:$CD$9142,20,FALSE)</f>
        <v>N/A</v>
      </c>
      <c r="G156" s="12" t="str">
        <f>VLOOKUP($A156,'Matriz POA 2024-TRABAJO'!$A$5:$CD$9142,21,FALSE)</f>
        <v>N/A</v>
      </c>
      <c r="H156" s="12" t="str">
        <f>VLOOKUP($A156,'Matriz POA 2024-TRABAJO'!$A$5:$CD$9142,22,FALSE)</f>
        <v>N/A</v>
      </c>
      <c r="I156" s="12" t="str">
        <f>VLOOKUP($A156,'Matriz POA 2024-TRABAJO'!$A$5:$CD$9142,23,FALSE)</f>
        <v>NUEVA</v>
      </c>
      <c r="J156" s="12" t="str">
        <f>VLOOKUP($A156,'Matriz POA 2024-TRABAJO'!$A$5:$CD$9142,24,FALSE)</f>
        <v>Contratación del servicio de instalación, mantenimiento y reparación del auditorio del Museo Portoviejo y Archivo Histórico</v>
      </c>
      <c r="K156" s="12" t="str">
        <f>VLOOKUP($A156,'Matriz POA 2024-TRABAJO'!$A$5:$CD$9142,25,FALSE)</f>
        <v>0035</v>
      </c>
      <c r="L156" s="12" t="str">
        <f>VLOOKUP($A156,'Matriz POA 2024-TRABAJO'!$A$5:$CD$9142,26,FALSE)</f>
        <v>80</v>
      </c>
      <c r="M156" s="12" t="str">
        <f>VLOOKUP($A156,'Matriz POA 2024-TRABAJO'!$A$5:$CD$9142,27,FALSE)</f>
        <v>000</v>
      </c>
      <c r="N156" s="12" t="str">
        <f>VLOOKUP($A156,'Matriz POA 2024-TRABAJO'!$A$5:$CD$9142,28,FALSE)</f>
        <v>002</v>
      </c>
      <c r="O156" s="12" t="str">
        <f>VLOOKUP($A156,'Matriz POA 2024-TRABAJO'!$A$5:$CD$9142,29,FALSE)</f>
        <v>53</v>
      </c>
      <c r="P156" s="12">
        <f>VLOOKUP($A156,'Matriz POA 2024-TRABAJO'!$A$5:$CD$9142,30,FALSE)</f>
        <v>530403</v>
      </c>
      <c r="Q156" s="12">
        <f>VLOOKUP($A156,'Matriz POA 2024-TRABAJO'!$A$5:$CD$9142,32,FALSE)</f>
        <v>1301</v>
      </c>
      <c r="R156" s="12" t="str">
        <f>VLOOKUP($A156,'Matriz POA 2024-TRABAJO'!$A$5:$CD$9142,33,FALSE)</f>
        <v>001</v>
      </c>
      <c r="S156" s="12" t="str">
        <f>VLOOKUP($A156,'Matriz POA 2024-TRABAJO'!$A$5:$CD$9142,34,FALSE)</f>
        <v>0000</v>
      </c>
      <c r="T156" s="12" t="str">
        <f>VLOOKUP($A156,'Matriz POA 2024-TRABAJO'!$A$5:$CD$9142,35,FALSE)</f>
        <v>0000</v>
      </c>
      <c r="U156" s="64">
        <f>VLOOKUP($A156,'Matriz POA 2024-TRABAJO'!$A$5:$CD$9142,66,FALSE)</f>
        <v>5000</v>
      </c>
      <c r="V156" s="64">
        <f>VLOOKUP($A156,'Matriz POA 2024-TRABAJO'!$A$5:$CD$9142,67,FALSE)</f>
        <v>-5000</v>
      </c>
      <c r="W156" s="64">
        <f>VLOOKUP($A156,'Matriz POA 2024-TRABAJO'!$A$5:$CD$9142,68,FALSE)</f>
        <v>0</v>
      </c>
      <c r="X156" s="64" t="str">
        <f>VLOOKUP($A156,'Matriz POA 2024-TRABAJO'!$A$5:$CD$9142,72,FALSE)</f>
        <v/>
      </c>
      <c r="Y156" s="388">
        <v>0</v>
      </c>
      <c r="Z156" s="388">
        <v>0</v>
      </c>
      <c r="AA156" s="388">
        <v>0</v>
      </c>
      <c r="AB156" s="389">
        <v>5000</v>
      </c>
      <c r="AC156" s="389"/>
      <c r="AD156" s="13"/>
      <c r="AE156" s="13"/>
      <c r="AF156" s="13">
        <f t="shared" si="59"/>
        <v>5000</v>
      </c>
      <c r="AG156" s="13">
        <f t="shared" si="60"/>
        <v>0</v>
      </c>
      <c r="AH156" s="13">
        <f t="shared" si="61"/>
        <v>5000</v>
      </c>
      <c r="AI156" s="129"/>
      <c r="AJ156" s="129"/>
      <c r="AK156" s="129"/>
      <c r="AL156" s="129"/>
      <c r="AM156" s="129"/>
      <c r="AN156" s="129">
        <v>5000</v>
      </c>
      <c r="AO156" s="129"/>
      <c r="AP156" s="129"/>
      <c r="AQ156" s="129"/>
      <c r="AR156" s="129"/>
      <c r="AS156" s="129"/>
      <c r="AT156" s="129"/>
      <c r="AU156" s="129">
        <f t="shared" si="62"/>
        <v>5000</v>
      </c>
      <c r="AV156" s="13" t="b">
        <f t="shared" si="63"/>
        <v>1</v>
      </c>
      <c r="AW156" s="14" t="s">
        <v>991</v>
      </c>
      <c r="AX156" s="15" t="s">
        <v>989</v>
      </c>
      <c r="AY156" s="16">
        <v>45358</v>
      </c>
      <c r="AZ156" s="15" t="s">
        <v>990</v>
      </c>
      <c r="BA156" s="16">
        <v>45366</v>
      </c>
      <c r="BB156" s="17">
        <f t="shared" si="67"/>
        <v>6</v>
      </c>
      <c r="BC156" s="12"/>
      <c r="BD156" s="15"/>
      <c r="BE156" s="18"/>
      <c r="BF156" s="12"/>
      <c r="BG156" s="19" t="str">
        <f t="shared" si="64"/>
        <v>marzo</v>
      </c>
      <c r="BH156" s="12" t="str">
        <f t="shared" si="65"/>
        <v>Corporación Ciudad Alfaro</v>
      </c>
      <c r="BI156" s="20" t="str">
        <f t="shared" si="66"/>
        <v>N/A</v>
      </c>
    </row>
    <row r="157" spans="1:61" ht="24.95" customHeight="1">
      <c r="A157" s="8">
        <v>821</v>
      </c>
      <c r="B157" s="12" t="str">
        <f>VLOOKUP($A157,'Matriz POA 2024-TRABAJO'!$A$5:$CD$9142,11,FALSE)</f>
        <v>Corporación Ciudad Alfaro</v>
      </c>
      <c r="C157" s="12" t="str">
        <f>VLOOKUP($A157,'Matriz POA 2024-TRABAJO'!$A$5:$CD$9142,14,FALSE)</f>
        <v>N/A</v>
      </c>
      <c r="D157" s="12" t="str">
        <f>VLOOKUP($A157,'Matriz POA 2024-TRABAJO'!$A$5:$CD$9142,15,FALSE)</f>
        <v>N/A</v>
      </c>
      <c r="E157" s="12" t="str">
        <f>VLOOKUP($A157,'Matriz POA 2024-TRABAJO'!$A$5:$CD$9142,18,FALSE)</f>
        <v>N/A</v>
      </c>
      <c r="F157" s="12" t="str">
        <f>VLOOKUP($A157,'Matriz POA 2024-TRABAJO'!$A$5:$CD$9142,20,FALSE)</f>
        <v>N/A</v>
      </c>
      <c r="G157" s="12" t="str">
        <f>VLOOKUP($A157,'Matriz POA 2024-TRABAJO'!$A$5:$CD$9142,21,FALSE)</f>
        <v>N/A</v>
      </c>
      <c r="H157" s="12" t="str">
        <f>VLOOKUP($A157,'Matriz POA 2024-TRABAJO'!$A$5:$CD$9142,22,FALSE)</f>
        <v>N/A</v>
      </c>
      <c r="I157" s="12" t="str">
        <f>VLOOKUP($A157,'Matriz POA 2024-TRABAJO'!$A$5:$CD$9142,23,FALSE)</f>
        <v>NUEVA</v>
      </c>
      <c r="J157" s="12" t="str">
        <f>VLOOKUP($A157,'Matriz POA 2024-TRABAJO'!$A$5:$CD$9142,24,FALSE)</f>
        <v>Mantenimiento Preventivo y Correctivo para una central de aire de Planta Baja, una central de aire del Mezzanine, del Museo Bahía de Caráquez</v>
      </c>
      <c r="K157" s="12" t="str">
        <f>VLOOKUP($A157,'Matriz POA 2024-TRABAJO'!$A$5:$CD$9142,25,FALSE)</f>
        <v>0035</v>
      </c>
      <c r="L157" s="12" t="str">
        <f>VLOOKUP($A157,'Matriz POA 2024-TRABAJO'!$A$5:$CD$9142,26,FALSE)</f>
        <v>80</v>
      </c>
      <c r="M157" s="12" t="str">
        <f>VLOOKUP($A157,'Matriz POA 2024-TRABAJO'!$A$5:$CD$9142,27,FALSE)</f>
        <v>000</v>
      </c>
      <c r="N157" s="12" t="str">
        <f>VLOOKUP($A157,'Matriz POA 2024-TRABAJO'!$A$5:$CD$9142,28,FALSE)</f>
        <v>002</v>
      </c>
      <c r="O157" s="12" t="str">
        <f>VLOOKUP($A157,'Matriz POA 2024-TRABAJO'!$A$5:$CD$9142,29,FALSE)</f>
        <v>53</v>
      </c>
      <c r="P157" s="12">
        <f>VLOOKUP($A157,'Matriz POA 2024-TRABAJO'!$A$5:$CD$9142,30,FALSE)</f>
        <v>530404</v>
      </c>
      <c r="Q157" s="12">
        <f>VLOOKUP($A157,'Matriz POA 2024-TRABAJO'!$A$5:$CD$9142,32,FALSE)</f>
        <v>1314</v>
      </c>
      <c r="R157" s="12" t="str">
        <f>VLOOKUP($A157,'Matriz POA 2024-TRABAJO'!$A$5:$CD$9142,33,FALSE)</f>
        <v>001</v>
      </c>
      <c r="S157" s="12" t="str">
        <f>VLOOKUP($A157,'Matriz POA 2024-TRABAJO'!$A$5:$CD$9142,34,FALSE)</f>
        <v>0000</v>
      </c>
      <c r="T157" s="12" t="str">
        <f>VLOOKUP($A157,'Matriz POA 2024-TRABAJO'!$A$5:$CD$9142,35,FALSE)</f>
        <v>0000</v>
      </c>
      <c r="U157" s="64" t="str">
        <f>VLOOKUP($A157,'Matriz POA 2024-TRABAJO'!$A$5:$CD$9142,66,FALSE)</f>
        <v/>
      </c>
      <c r="V157" s="64" t="str">
        <f>VLOOKUP($A157,'Matriz POA 2024-TRABAJO'!$A$5:$CD$9142,67,FALSE)</f>
        <v/>
      </c>
      <c r="W157" s="64" t="str">
        <f>VLOOKUP($A157,'Matriz POA 2024-TRABAJO'!$A$5:$CD$9142,68,FALSE)</f>
        <v/>
      </c>
      <c r="X157" s="64" t="str">
        <f>VLOOKUP($A157,'Matriz POA 2024-TRABAJO'!$A$5:$CD$9142,72,FALSE)</f>
        <v/>
      </c>
      <c r="Y157" s="388">
        <v>0</v>
      </c>
      <c r="Z157" s="388">
        <v>0</v>
      </c>
      <c r="AA157" s="388">
        <v>0</v>
      </c>
      <c r="AB157" s="389">
        <v>5000</v>
      </c>
      <c r="AC157" s="389"/>
      <c r="AD157" s="13"/>
      <c r="AE157" s="13"/>
      <c r="AF157" s="13">
        <f t="shared" si="59"/>
        <v>5000</v>
      </c>
      <c r="AG157" s="13">
        <f t="shared" si="60"/>
        <v>0</v>
      </c>
      <c r="AH157" s="13">
        <f t="shared" si="61"/>
        <v>5000</v>
      </c>
      <c r="AI157" s="129"/>
      <c r="AJ157" s="129"/>
      <c r="AK157" s="129"/>
      <c r="AL157" s="129">
        <v>5000</v>
      </c>
      <c r="AM157" s="129"/>
      <c r="AN157" s="129"/>
      <c r="AO157" s="129"/>
      <c r="AP157" s="129"/>
      <c r="AQ157" s="129"/>
      <c r="AR157" s="129"/>
      <c r="AS157" s="129"/>
      <c r="AT157" s="129"/>
      <c r="AU157" s="129">
        <f t="shared" si="62"/>
        <v>5000</v>
      </c>
      <c r="AV157" s="13" t="b">
        <f t="shared" si="63"/>
        <v>1</v>
      </c>
      <c r="AW157" s="14" t="s">
        <v>991</v>
      </c>
      <c r="AX157" s="15" t="s">
        <v>989</v>
      </c>
      <c r="AY157" s="16">
        <v>45358</v>
      </c>
      <c r="AZ157" s="15" t="s">
        <v>990</v>
      </c>
      <c r="BA157" s="16">
        <v>45366</v>
      </c>
      <c r="BB157" s="17">
        <f t="shared" si="67"/>
        <v>6</v>
      </c>
      <c r="BC157" s="12"/>
      <c r="BD157" s="15"/>
      <c r="BE157" s="18"/>
      <c r="BF157" s="12"/>
      <c r="BG157" s="19" t="str">
        <f t="shared" si="64"/>
        <v>marzo</v>
      </c>
      <c r="BH157" s="12" t="str">
        <f t="shared" si="65"/>
        <v>Corporación Ciudad Alfaro</v>
      </c>
      <c r="BI157" s="20" t="str">
        <f t="shared" si="66"/>
        <v>N/A</v>
      </c>
    </row>
    <row r="158" spans="1:61" ht="24.95" customHeight="1">
      <c r="A158" s="167">
        <v>437</v>
      </c>
      <c r="B158" s="165" t="str">
        <f>VLOOKUP($A158,'Matriz POA 2024-TRABAJO'!$A$5:$CD$9142,11,FALSE)</f>
        <v>Corporación Ciudad Alfaro</v>
      </c>
      <c r="C158" s="165" t="str">
        <f>VLOOKUP($A158,'Matriz POA 2024-TRABAJO'!$A$5:$CD$9142,14,FALSE)</f>
        <v>N/A</v>
      </c>
      <c r="D158" s="165" t="str">
        <f>VLOOKUP($A158,'Matriz POA 2024-TRABAJO'!$A$5:$CD$9142,15,FALSE)</f>
        <v>N/A</v>
      </c>
      <c r="E158" s="165" t="str">
        <f>VLOOKUP($A158,'Matriz POA 2024-TRABAJO'!$A$5:$CD$9142,18,FALSE)</f>
        <v>N/A</v>
      </c>
      <c r="F158" s="165" t="str">
        <f>VLOOKUP($A158,'Matriz POA 2024-TRABAJO'!$A$5:$CD$9142,20,FALSE)</f>
        <v>N/A</v>
      </c>
      <c r="G158" s="165" t="str">
        <f>VLOOKUP($A158,'Matriz POA 2024-TRABAJO'!$A$5:$CD$9142,21,FALSE)</f>
        <v>N/A</v>
      </c>
      <c r="H158" s="165" t="str">
        <f>VLOOKUP($A158,'Matriz POA 2024-TRABAJO'!$A$5:$CD$9142,22,FALSE)</f>
        <v>N/A</v>
      </c>
      <c r="I158" s="165" t="str">
        <f>VLOOKUP($A158,'Matriz POA 2024-TRABAJO'!$A$5:$CD$9142,23,FALSE)</f>
        <v>NUEVA</v>
      </c>
      <c r="J158" s="165" t="str">
        <f>VLOOKUP($A158,'Matriz POA 2024-TRABAJO'!$A$5:$CD$9142,24,FALSE)</f>
        <v>Pago del Servicio de aseo y Limpieza de la Corporación Ciudad Alfaro</v>
      </c>
      <c r="K158" s="165" t="str">
        <f>VLOOKUP($A158,'Matriz POA 2024-TRABAJO'!$A$5:$CD$9142,25,FALSE)</f>
        <v>0035</v>
      </c>
      <c r="L158" s="165" t="str">
        <f>VLOOKUP($A158,'Matriz POA 2024-TRABAJO'!$A$5:$CD$9142,26,FALSE)</f>
        <v>80</v>
      </c>
      <c r="M158" s="165" t="str">
        <f>VLOOKUP($A158,'Matriz POA 2024-TRABAJO'!$A$5:$CD$9142,27,FALSE)</f>
        <v>000</v>
      </c>
      <c r="N158" s="165" t="str">
        <f>VLOOKUP($A158,'Matriz POA 2024-TRABAJO'!$A$5:$CD$9142,28,FALSE)</f>
        <v>002</v>
      </c>
      <c r="O158" s="165" t="str">
        <f>VLOOKUP($A158,'Matriz POA 2024-TRABAJO'!$A$5:$CD$9142,29,FALSE)</f>
        <v>53</v>
      </c>
      <c r="P158" s="165">
        <f>VLOOKUP($A158,'Matriz POA 2024-TRABAJO'!$A$5:$CD$9142,30,FALSE)</f>
        <v>530209</v>
      </c>
      <c r="Q158" s="165">
        <f>VLOOKUP($A158,'Matriz POA 2024-TRABAJO'!$A$5:$CD$9142,32,FALSE)</f>
        <v>1309</v>
      </c>
      <c r="R158" s="165" t="str">
        <f>VLOOKUP($A158,'Matriz POA 2024-TRABAJO'!$A$5:$CD$9142,33,FALSE)</f>
        <v>001</v>
      </c>
      <c r="S158" s="165" t="str">
        <f>VLOOKUP($A158,'Matriz POA 2024-TRABAJO'!$A$5:$CD$9142,34,FALSE)</f>
        <v>0000</v>
      </c>
      <c r="T158" s="165" t="str">
        <f>VLOOKUP($A158,'Matriz POA 2024-TRABAJO'!$A$5:$CD$9142,35,FALSE)</f>
        <v>0000</v>
      </c>
      <c r="U158" s="166" t="str">
        <f>VLOOKUP($A158,'Matriz POA 2024-TRABAJO'!$A$5:$CD$9142,66,FALSE)</f>
        <v/>
      </c>
      <c r="V158" s="166" t="str">
        <f>VLOOKUP($A158,'Matriz POA 2024-TRABAJO'!$A$5:$CD$9142,67,FALSE)</f>
        <v/>
      </c>
      <c r="W158" s="166" t="str">
        <f>VLOOKUP($A158,'Matriz POA 2024-TRABAJO'!$A$5:$CD$9142,68,FALSE)</f>
        <v/>
      </c>
      <c r="X158" s="166" t="str">
        <f>VLOOKUP($A158,'Matriz POA 2024-TRABAJO'!$A$5:$CD$9142,72,FALSE)</f>
        <v/>
      </c>
      <c r="Y158" s="392">
        <v>11378.6</v>
      </c>
      <c r="Z158" s="392">
        <v>0</v>
      </c>
      <c r="AA158" s="392">
        <v>11378.6</v>
      </c>
      <c r="AB158" s="393"/>
      <c r="AC158" s="393">
        <v>-11378.6</v>
      </c>
      <c r="AD158" s="168"/>
      <c r="AE158" s="168"/>
      <c r="AF158" s="168">
        <f t="shared" ref="AF158:AF161" si="68">Y158+AB158+AC158</f>
        <v>0</v>
      </c>
      <c r="AG158" s="168">
        <f t="shared" ref="AG158:AG161" si="69">Z158+AD158+AE158</f>
        <v>0</v>
      </c>
      <c r="AH158" s="168">
        <f t="shared" ref="AH158:AH161" si="70">+AF158+AG158</f>
        <v>0</v>
      </c>
      <c r="AI158" s="169"/>
      <c r="AJ158" s="169"/>
      <c r="AK158" s="169"/>
      <c r="AL158" s="169"/>
      <c r="AM158" s="169"/>
      <c r="AN158" s="169"/>
      <c r="AO158" s="169"/>
      <c r="AP158" s="169"/>
      <c r="AQ158" s="169"/>
      <c r="AR158" s="169"/>
      <c r="AS158" s="169"/>
      <c r="AT158" s="169"/>
      <c r="AU158" s="129">
        <f t="shared" ref="AU158:AU160" si="71">SUM(AI158:AT158)</f>
        <v>0</v>
      </c>
      <c r="AV158" s="168" t="b">
        <f t="shared" ref="AV158:AV161" si="72">SUM(AI158:AT158)=AH158</f>
        <v>1</v>
      </c>
      <c r="AW158" s="170" t="s">
        <v>992</v>
      </c>
      <c r="AX158" s="226" t="s">
        <v>989</v>
      </c>
      <c r="AY158" s="227">
        <v>45366</v>
      </c>
      <c r="AZ158" s="228" t="s">
        <v>990</v>
      </c>
      <c r="BA158" s="227">
        <v>45366</v>
      </c>
      <c r="BB158" s="229">
        <f t="shared" ref="BB158:BB161" si="73">BA158-AY158</f>
        <v>0</v>
      </c>
      <c r="BC158" s="165"/>
      <c r="BD158" s="226"/>
      <c r="BE158" s="230"/>
      <c r="BF158" s="165"/>
      <c r="BG158" s="231" t="str">
        <f t="shared" ref="BG158:BG161" si="74">TEXT(BA158,"MMMM")</f>
        <v>marzo</v>
      </c>
      <c r="BH158" s="165" t="str">
        <f t="shared" ref="BH158:BH161" si="75">B158</f>
        <v>Corporación Ciudad Alfaro</v>
      </c>
      <c r="BI158" s="232" t="str">
        <f t="shared" ref="BI158:BI161" si="76">E158</f>
        <v>N/A</v>
      </c>
    </row>
    <row r="159" spans="1:61" ht="24.95" customHeight="1">
      <c r="A159" s="167">
        <v>441</v>
      </c>
      <c r="B159" s="165" t="str">
        <f>VLOOKUP($A159,'Matriz POA 2024-TRABAJO'!$A$5:$CD$9142,11,FALSE)</f>
        <v>Corporación Ciudad Alfaro</v>
      </c>
      <c r="C159" s="165" t="str">
        <f>VLOOKUP($A159,'Matriz POA 2024-TRABAJO'!$A$5:$CD$9142,14,FALSE)</f>
        <v>N/A</v>
      </c>
      <c r="D159" s="165" t="str">
        <f>VLOOKUP($A159,'Matriz POA 2024-TRABAJO'!$A$5:$CD$9142,15,FALSE)</f>
        <v>N/A</v>
      </c>
      <c r="E159" s="165" t="str">
        <f>VLOOKUP($A159,'Matriz POA 2024-TRABAJO'!$A$5:$CD$9142,18,FALSE)</f>
        <v>N/A</v>
      </c>
      <c r="F159" s="165" t="str">
        <f>VLOOKUP($A159,'Matriz POA 2024-TRABAJO'!$A$5:$CD$9142,20,FALSE)</f>
        <v>N/A</v>
      </c>
      <c r="G159" s="165" t="str">
        <f>VLOOKUP($A159,'Matriz POA 2024-TRABAJO'!$A$5:$CD$9142,21,FALSE)</f>
        <v>N/A</v>
      </c>
      <c r="H159" s="165" t="str">
        <f>VLOOKUP($A159,'Matriz POA 2024-TRABAJO'!$A$5:$CD$9142,22,FALSE)</f>
        <v>N/A</v>
      </c>
      <c r="I159" s="165" t="str">
        <f>VLOOKUP($A159,'Matriz POA 2024-TRABAJO'!$A$5:$CD$9142,23,FALSE)</f>
        <v>NUEVA</v>
      </c>
      <c r="J159" s="165" t="str">
        <f>VLOOKUP($A159,'Matriz POA 2024-TRABAJO'!$A$5:$CD$9142,24,FALSE)</f>
        <v>Contratación del servicio de agua potable por tanquero para la Corporación Ciudad Alfaro y sus Sedes</v>
      </c>
      <c r="K159" s="165" t="str">
        <f>VLOOKUP($A159,'Matriz POA 2024-TRABAJO'!$A$5:$CD$9142,25,FALSE)</f>
        <v>0035</v>
      </c>
      <c r="L159" s="165" t="str">
        <f>VLOOKUP($A159,'Matriz POA 2024-TRABAJO'!$A$5:$CD$9142,26,FALSE)</f>
        <v>80</v>
      </c>
      <c r="M159" s="165" t="str">
        <f>VLOOKUP($A159,'Matriz POA 2024-TRABAJO'!$A$5:$CD$9142,27,FALSE)</f>
        <v>000</v>
      </c>
      <c r="N159" s="165" t="str">
        <f>VLOOKUP($A159,'Matriz POA 2024-TRABAJO'!$A$5:$CD$9142,28,FALSE)</f>
        <v>002</v>
      </c>
      <c r="O159" s="165" t="str">
        <f>VLOOKUP($A159,'Matriz POA 2024-TRABAJO'!$A$5:$CD$9142,29,FALSE)</f>
        <v>53</v>
      </c>
      <c r="P159" s="165">
        <f>VLOOKUP($A159,'Matriz POA 2024-TRABAJO'!$A$5:$CD$9142,30,FALSE)</f>
        <v>530101</v>
      </c>
      <c r="Q159" s="165">
        <f>VLOOKUP($A159,'Matriz POA 2024-TRABAJO'!$A$5:$CD$9142,32,FALSE)</f>
        <v>1309</v>
      </c>
      <c r="R159" s="165" t="str">
        <f>VLOOKUP($A159,'Matriz POA 2024-TRABAJO'!$A$5:$CD$9142,33,FALSE)</f>
        <v>001</v>
      </c>
      <c r="S159" s="165" t="str">
        <f>VLOOKUP($A159,'Matriz POA 2024-TRABAJO'!$A$5:$CD$9142,34,FALSE)</f>
        <v>0000</v>
      </c>
      <c r="T159" s="165" t="str">
        <f>VLOOKUP($A159,'Matriz POA 2024-TRABAJO'!$A$5:$CD$9142,35,FALSE)</f>
        <v>0000</v>
      </c>
      <c r="U159" s="166" t="str">
        <f>VLOOKUP($A159,'Matriz POA 2024-TRABAJO'!$A$5:$CD$9142,66,FALSE)</f>
        <v/>
      </c>
      <c r="V159" s="166" t="str">
        <f>VLOOKUP($A159,'Matriz POA 2024-TRABAJO'!$A$5:$CD$9142,67,FALSE)</f>
        <v/>
      </c>
      <c r="W159" s="166" t="str">
        <f>VLOOKUP($A159,'Matriz POA 2024-TRABAJO'!$A$5:$CD$9142,68,FALSE)</f>
        <v/>
      </c>
      <c r="X159" s="166" t="str">
        <f>VLOOKUP($A159,'Matriz POA 2024-TRABAJO'!$A$5:$CD$9142,72,FALSE)</f>
        <v/>
      </c>
      <c r="Y159" s="392">
        <v>500</v>
      </c>
      <c r="Z159" s="392">
        <v>0</v>
      </c>
      <c r="AA159" s="392">
        <v>500</v>
      </c>
      <c r="AB159" s="393"/>
      <c r="AC159" s="393">
        <v>-500</v>
      </c>
      <c r="AD159" s="168"/>
      <c r="AE159" s="168"/>
      <c r="AF159" s="168">
        <f t="shared" si="68"/>
        <v>0</v>
      </c>
      <c r="AG159" s="168">
        <f t="shared" si="69"/>
        <v>0</v>
      </c>
      <c r="AH159" s="168">
        <f t="shared" si="70"/>
        <v>0</v>
      </c>
      <c r="AI159" s="169"/>
      <c r="AJ159" s="169"/>
      <c r="AK159" s="169"/>
      <c r="AL159" s="169"/>
      <c r="AM159" s="169"/>
      <c r="AN159" s="169"/>
      <c r="AO159" s="169"/>
      <c r="AP159" s="169"/>
      <c r="AQ159" s="169"/>
      <c r="AR159" s="169"/>
      <c r="AS159" s="169"/>
      <c r="AT159" s="169"/>
      <c r="AU159" s="129">
        <f t="shared" si="71"/>
        <v>0</v>
      </c>
      <c r="AV159" s="168" t="b">
        <f t="shared" si="72"/>
        <v>1</v>
      </c>
      <c r="AW159" s="170" t="s">
        <v>992</v>
      </c>
      <c r="AX159" s="226" t="s">
        <v>989</v>
      </c>
      <c r="AY159" s="227">
        <v>45366</v>
      </c>
      <c r="AZ159" s="228" t="s">
        <v>990</v>
      </c>
      <c r="BA159" s="227">
        <v>45366</v>
      </c>
      <c r="BB159" s="229">
        <f t="shared" si="73"/>
        <v>0</v>
      </c>
      <c r="BC159" s="165"/>
      <c r="BD159" s="226"/>
      <c r="BE159" s="230"/>
      <c r="BF159" s="165"/>
      <c r="BG159" s="231" t="str">
        <f t="shared" si="74"/>
        <v>marzo</v>
      </c>
      <c r="BH159" s="165" t="str">
        <f t="shared" si="75"/>
        <v>Corporación Ciudad Alfaro</v>
      </c>
      <c r="BI159" s="232" t="str">
        <f t="shared" si="76"/>
        <v>N/A</v>
      </c>
    </row>
    <row r="160" spans="1:61" ht="24.95" customHeight="1">
      <c r="A160" s="167">
        <v>457</v>
      </c>
      <c r="B160" s="165" t="str">
        <f>VLOOKUP($A160,'Matriz POA 2024-TRABAJO'!$A$5:$CD$9142,11,FALSE)</f>
        <v>Corporación Ciudad Alfaro</v>
      </c>
      <c r="C160" s="165" t="str">
        <f>VLOOKUP($A160,'Matriz POA 2024-TRABAJO'!$A$5:$CD$9142,14,FALSE)</f>
        <v>N/A</v>
      </c>
      <c r="D160" s="165" t="str">
        <f>VLOOKUP($A160,'Matriz POA 2024-TRABAJO'!$A$5:$CD$9142,15,FALSE)</f>
        <v>N/A</v>
      </c>
      <c r="E160" s="165" t="str">
        <f>VLOOKUP($A160,'Matriz POA 2024-TRABAJO'!$A$5:$CD$9142,18,FALSE)</f>
        <v>N/A</v>
      </c>
      <c r="F160" s="165" t="str">
        <f>VLOOKUP($A160,'Matriz POA 2024-TRABAJO'!$A$5:$CD$9142,20,FALSE)</f>
        <v>N/A</v>
      </c>
      <c r="G160" s="165" t="str">
        <f>VLOOKUP($A160,'Matriz POA 2024-TRABAJO'!$A$5:$CD$9142,21,FALSE)</f>
        <v>N/A</v>
      </c>
      <c r="H160" s="165" t="str">
        <f>VLOOKUP($A160,'Matriz POA 2024-TRABAJO'!$A$5:$CD$9142,22,FALSE)</f>
        <v>N/A</v>
      </c>
      <c r="I160" s="165" t="str">
        <f>VLOOKUP($A160,'Matriz POA 2024-TRABAJO'!$A$5:$CD$9142,23,FALSE)</f>
        <v>NUEVA</v>
      </c>
      <c r="J160" s="165" t="str">
        <f>VLOOKUP($A160,'Matriz POA 2024-TRABAJO'!$A$5:$CD$9142,24,FALSE)</f>
        <v>Pago mensual del servicio de energía eléctrica del Museo y Centro Cultural de Manta</v>
      </c>
      <c r="K160" s="165" t="str">
        <f>VLOOKUP($A160,'Matriz POA 2024-TRABAJO'!$A$5:$CD$9142,25,FALSE)</f>
        <v>0035</v>
      </c>
      <c r="L160" s="165" t="str">
        <f>VLOOKUP($A160,'Matriz POA 2024-TRABAJO'!$A$5:$CD$9142,26,FALSE)</f>
        <v>80</v>
      </c>
      <c r="M160" s="165" t="str">
        <f>VLOOKUP($A160,'Matriz POA 2024-TRABAJO'!$A$5:$CD$9142,27,FALSE)</f>
        <v>000</v>
      </c>
      <c r="N160" s="165" t="str">
        <f>VLOOKUP($A160,'Matriz POA 2024-TRABAJO'!$A$5:$CD$9142,28,FALSE)</f>
        <v>002</v>
      </c>
      <c r="O160" s="165" t="str">
        <f>VLOOKUP($A160,'Matriz POA 2024-TRABAJO'!$A$5:$CD$9142,29,FALSE)</f>
        <v>53</v>
      </c>
      <c r="P160" s="165">
        <f>VLOOKUP($A160,'Matriz POA 2024-TRABAJO'!$A$5:$CD$9142,30,FALSE)</f>
        <v>530104</v>
      </c>
      <c r="Q160" s="165">
        <f>VLOOKUP($A160,'Matriz POA 2024-TRABAJO'!$A$5:$CD$9142,32,FALSE)</f>
        <v>1308</v>
      </c>
      <c r="R160" s="165" t="str">
        <f>VLOOKUP($A160,'Matriz POA 2024-TRABAJO'!$A$5:$CD$9142,33,FALSE)</f>
        <v>001</v>
      </c>
      <c r="S160" s="165" t="str">
        <f>VLOOKUP($A160,'Matriz POA 2024-TRABAJO'!$A$5:$CD$9142,34,FALSE)</f>
        <v>0000</v>
      </c>
      <c r="T160" s="165" t="str">
        <f>VLOOKUP($A160,'Matriz POA 2024-TRABAJO'!$A$5:$CD$9142,35,FALSE)</f>
        <v>0000</v>
      </c>
      <c r="U160" s="166" t="str">
        <f>VLOOKUP($A160,'Matriz POA 2024-TRABAJO'!$A$5:$CD$9142,66,FALSE)</f>
        <v/>
      </c>
      <c r="V160" s="166" t="str">
        <f>VLOOKUP($A160,'Matriz POA 2024-TRABAJO'!$A$5:$CD$9142,67,FALSE)</f>
        <v/>
      </c>
      <c r="W160" s="166" t="str">
        <f>VLOOKUP($A160,'Matriz POA 2024-TRABAJO'!$A$5:$CD$9142,68,FALSE)</f>
        <v/>
      </c>
      <c r="X160" s="166" t="str">
        <f>VLOOKUP($A160,'Matriz POA 2024-TRABAJO'!$A$5:$CD$9142,72,FALSE)</f>
        <v/>
      </c>
      <c r="Y160" s="392">
        <v>19116.2</v>
      </c>
      <c r="Z160" s="392">
        <v>0</v>
      </c>
      <c r="AA160" s="392">
        <v>19116.2</v>
      </c>
      <c r="AB160" s="393"/>
      <c r="AC160" s="393">
        <v>-19116.2</v>
      </c>
      <c r="AD160" s="168"/>
      <c r="AE160" s="168"/>
      <c r="AF160" s="168">
        <f t="shared" si="68"/>
        <v>0</v>
      </c>
      <c r="AG160" s="168">
        <f t="shared" si="69"/>
        <v>0</v>
      </c>
      <c r="AH160" s="168">
        <f t="shared" si="70"/>
        <v>0</v>
      </c>
      <c r="AI160" s="169"/>
      <c r="AJ160" s="169"/>
      <c r="AK160" s="169"/>
      <c r="AL160" s="169"/>
      <c r="AM160" s="169"/>
      <c r="AN160" s="169"/>
      <c r="AO160" s="169"/>
      <c r="AP160" s="169"/>
      <c r="AQ160" s="169"/>
      <c r="AR160" s="169"/>
      <c r="AS160" s="169"/>
      <c r="AT160" s="169"/>
      <c r="AU160" s="129">
        <f t="shared" si="71"/>
        <v>0</v>
      </c>
      <c r="AV160" s="168" t="b">
        <f t="shared" si="72"/>
        <v>1</v>
      </c>
      <c r="AW160" s="170" t="s">
        <v>992</v>
      </c>
      <c r="AX160" s="226" t="s">
        <v>989</v>
      </c>
      <c r="AY160" s="227">
        <v>45366</v>
      </c>
      <c r="AZ160" s="228" t="s">
        <v>990</v>
      </c>
      <c r="BA160" s="227">
        <v>45366</v>
      </c>
      <c r="BB160" s="229">
        <f t="shared" si="73"/>
        <v>0</v>
      </c>
      <c r="BC160" s="165"/>
      <c r="BD160" s="226"/>
      <c r="BE160" s="230"/>
      <c r="BF160" s="165"/>
      <c r="BG160" s="231" t="str">
        <f t="shared" si="74"/>
        <v>marzo</v>
      </c>
      <c r="BH160" s="165" t="str">
        <f t="shared" si="75"/>
        <v>Corporación Ciudad Alfaro</v>
      </c>
      <c r="BI160" s="232" t="str">
        <f t="shared" si="76"/>
        <v>N/A</v>
      </c>
    </row>
    <row r="161" spans="1:61" ht="24.95" customHeight="1">
      <c r="A161" s="167">
        <v>467</v>
      </c>
      <c r="B161" s="165" t="str">
        <f>VLOOKUP($A161,'Matriz POA 2024-TRABAJO'!$A$5:$CD$9142,11,FALSE)</f>
        <v>Corporación Ciudad Alfaro</v>
      </c>
      <c r="C161" s="165" t="str">
        <f>VLOOKUP($A161,'Matriz POA 2024-TRABAJO'!$A$5:$CD$9142,14,FALSE)</f>
        <v>N/A</v>
      </c>
      <c r="D161" s="165" t="str">
        <f>VLOOKUP($A161,'Matriz POA 2024-TRABAJO'!$A$5:$CD$9142,15,FALSE)</f>
        <v>N/A</v>
      </c>
      <c r="E161" s="165" t="str">
        <f>VLOOKUP($A161,'Matriz POA 2024-TRABAJO'!$A$5:$CD$9142,18,FALSE)</f>
        <v>N/A</v>
      </c>
      <c r="F161" s="165" t="str">
        <f>VLOOKUP($A161,'Matriz POA 2024-TRABAJO'!$A$5:$CD$9142,20,FALSE)</f>
        <v>N/A</v>
      </c>
      <c r="G161" s="165" t="str">
        <f>VLOOKUP($A161,'Matriz POA 2024-TRABAJO'!$A$5:$CD$9142,21,FALSE)</f>
        <v>N/A</v>
      </c>
      <c r="H161" s="165" t="str">
        <f>VLOOKUP($A161,'Matriz POA 2024-TRABAJO'!$A$5:$CD$9142,22,FALSE)</f>
        <v>N/A</v>
      </c>
      <c r="I161" s="165" t="str">
        <f>VLOOKUP($A161,'Matriz POA 2024-TRABAJO'!$A$5:$CD$9142,23,FALSE)</f>
        <v>NUEVA</v>
      </c>
      <c r="J161" s="165" t="str">
        <f>VLOOKUP($A161,'Matriz POA 2024-TRABAJO'!$A$5:$CD$9142,24,FALSE)</f>
        <v>Contratación del servicio de combustible para  los vehículos de la Corporación Ciudad Alfaro</v>
      </c>
      <c r="K161" s="165" t="str">
        <f>VLOOKUP($A161,'Matriz POA 2024-TRABAJO'!$A$5:$CD$9142,25,FALSE)</f>
        <v>0035</v>
      </c>
      <c r="L161" s="165" t="str">
        <f>VLOOKUP($A161,'Matriz POA 2024-TRABAJO'!$A$5:$CD$9142,26,FALSE)</f>
        <v>80</v>
      </c>
      <c r="M161" s="165" t="str">
        <f>VLOOKUP($A161,'Matriz POA 2024-TRABAJO'!$A$5:$CD$9142,27,FALSE)</f>
        <v>000</v>
      </c>
      <c r="N161" s="165" t="str">
        <f>VLOOKUP($A161,'Matriz POA 2024-TRABAJO'!$A$5:$CD$9142,28,FALSE)</f>
        <v>002</v>
      </c>
      <c r="O161" s="165" t="str">
        <f>VLOOKUP($A161,'Matriz POA 2024-TRABAJO'!$A$5:$CD$9142,29,FALSE)</f>
        <v>53</v>
      </c>
      <c r="P161" s="165">
        <f>VLOOKUP($A161,'Matriz POA 2024-TRABAJO'!$A$5:$CD$9142,30,FALSE)</f>
        <v>530803</v>
      </c>
      <c r="Q161" s="165">
        <f>VLOOKUP($A161,'Matriz POA 2024-TRABAJO'!$A$5:$CD$9142,32,FALSE)</f>
        <v>1309</v>
      </c>
      <c r="R161" s="165" t="str">
        <f>VLOOKUP($A161,'Matriz POA 2024-TRABAJO'!$A$5:$CD$9142,33,FALSE)</f>
        <v>001</v>
      </c>
      <c r="S161" s="165" t="str">
        <f>VLOOKUP($A161,'Matriz POA 2024-TRABAJO'!$A$5:$CD$9142,34,FALSE)</f>
        <v>0000</v>
      </c>
      <c r="T161" s="165" t="str">
        <f>VLOOKUP($A161,'Matriz POA 2024-TRABAJO'!$A$5:$CD$9142,35,FALSE)</f>
        <v>0000</v>
      </c>
      <c r="U161" s="166" t="str">
        <f>VLOOKUP($A161,'Matriz POA 2024-TRABAJO'!$A$5:$CD$9142,66,FALSE)</f>
        <v/>
      </c>
      <c r="V161" s="166" t="str">
        <f>VLOOKUP($A161,'Matriz POA 2024-TRABAJO'!$A$5:$CD$9142,67,FALSE)</f>
        <v/>
      </c>
      <c r="W161" s="166" t="str">
        <f>VLOOKUP($A161,'Matriz POA 2024-TRABAJO'!$A$5:$CD$9142,68,FALSE)</f>
        <v/>
      </c>
      <c r="X161" s="166" t="str">
        <f>VLOOKUP($A161,'Matriz POA 2024-TRABAJO'!$A$5:$CD$9142,72,FALSE)</f>
        <v/>
      </c>
      <c r="Y161" s="392">
        <v>3533.2</v>
      </c>
      <c r="Z161" s="392">
        <v>0</v>
      </c>
      <c r="AA161" s="392">
        <v>3533.2</v>
      </c>
      <c r="AB161" s="393"/>
      <c r="AC161" s="393">
        <v>-3533.2</v>
      </c>
      <c r="AD161" s="168"/>
      <c r="AE161" s="168"/>
      <c r="AF161" s="168">
        <f t="shared" si="68"/>
        <v>0</v>
      </c>
      <c r="AG161" s="168">
        <f t="shared" si="69"/>
        <v>0</v>
      </c>
      <c r="AH161" s="168">
        <f t="shared" si="70"/>
        <v>0</v>
      </c>
      <c r="AI161" s="169"/>
      <c r="AJ161" s="169"/>
      <c r="AK161" s="169"/>
      <c r="AL161" s="169"/>
      <c r="AM161" s="169"/>
      <c r="AN161" s="169"/>
      <c r="AO161" s="169"/>
      <c r="AP161" s="169"/>
      <c r="AQ161" s="169"/>
      <c r="AR161" s="169"/>
      <c r="AS161" s="169"/>
      <c r="AT161" s="169"/>
      <c r="AU161" s="129">
        <f t="shared" ref="AU161:AU169" si="77">SUM(AI161:AT161)</f>
        <v>0</v>
      </c>
      <c r="AV161" s="168" t="b">
        <f t="shared" si="72"/>
        <v>1</v>
      </c>
      <c r="AW161" s="170" t="s">
        <v>992</v>
      </c>
      <c r="AX161" s="226" t="s">
        <v>989</v>
      </c>
      <c r="AY161" s="227">
        <v>45366</v>
      </c>
      <c r="AZ161" s="228" t="s">
        <v>990</v>
      </c>
      <c r="BA161" s="227">
        <v>45366</v>
      </c>
      <c r="BB161" s="229">
        <f t="shared" si="73"/>
        <v>0</v>
      </c>
      <c r="BC161" s="165"/>
      <c r="BD161" s="226"/>
      <c r="BE161" s="230"/>
      <c r="BF161" s="165"/>
      <c r="BG161" s="231" t="str">
        <f t="shared" si="74"/>
        <v>marzo</v>
      </c>
      <c r="BH161" s="165" t="str">
        <f t="shared" si="75"/>
        <v>Corporación Ciudad Alfaro</v>
      </c>
      <c r="BI161" s="232" t="str">
        <f t="shared" si="76"/>
        <v>N/A</v>
      </c>
    </row>
    <row r="162" spans="1:61" ht="24.95" customHeight="1">
      <c r="A162" s="167">
        <v>435</v>
      </c>
      <c r="B162" s="165" t="str">
        <f>VLOOKUP($A162,'Matriz POA 2024-TRABAJO'!$A$5:$CD$9142,11,FALSE)</f>
        <v>Corporación Ciudad Alfaro</v>
      </c>
      <c r="C162" s="165" t="str">
        <f>VLOOKUP($A162,'Matriz POA 2024-TRABAJO'!$A$5:$CD$9142,14,FALSE)</f>
        <v>N/A</v>
      </c>
      <c r="D162" s="165" t="str">
        <f>VLOOKUP($A162,'Matriz POA 2024-TRABAJO'!$A$5:$CD$9142,15,FALSE)</f>
        <v>N/A</v>
      </c>
      <c r="E162" s="165" t="str">
        <f>VLOOKUP($A162,'Matriz POA 2024-TRABAJO'!$A$5:$CD$9142,18,FALSE)</f>
        <v>N/A</v>
      </c>
      <c r="F162" s="165" t="str">
        <f>VLOOKUP($A162,'Matriz POA 2024-TRABAJO'!$A$5:$CD$9142,20,FALSE)</f>
        <v>N/A</v>
      </c>
      <c r="G162" s="165" t="str">
        <f>VLOOKUP($A162,'Matriz POA 2024-TRABAJO'!$A$5:$CD$9142,21,FALSE)</f>
        <v>N/A</v>
      </c>
      <c r="H162" s="165" t="str">
        <f>VLOOKUP($A162,'Matriz POA 2024-TRABAJO'!$A$5:$CD$9142,22,FALSE)</f>
        <v>N/A</v>
      </c>
      <c r="I162" s="165" t="str">
        <f>VLOOKUP($A162,'Matriz POA 2024-TRABAJO'!$A$5:$CD$9142,23,FALSE)</f>
        <v>PLURIANUAL 2023-2024</v>
      </c>
      <c r="J162" s="165" t="str">
        <f>VLOOKUP($A162,'Matriz POA 2024-TRABAJO'!$A$5:$CD$9142,24,FALSE)</f>
        <v>Pago del servicio de aseo y limpieza del Museo Centro Cultural Manta por el período 2023-2024</v>
      </c>
      <c r="K162" s="165" t="str">
        <f>VLOOKUP($A162,'Matriz POA 2024-TRABAJO'!$A$5:$CD$9142,25,FALSE)</f>
        <v>0035</v>
      </c>
      <c r="L162" s="165" t="str">
        <f>VLOOKUP($A162,'Matriz POA 2024-TRABAJO'!$A$5:$CD$9142,26,FALSE)</f>
        <v>80</v>
      </c>
      <c r="M162" s="165" t="str">
        <f>VLOOKUP($A162,'Matriz POA 2024-TRABAJO'!$A$5:$CD$9142,27,FALSE)</f>
        <v>000</v>
      </c>
      <c r="N162" s="165" t="str">
        <f>VLOOKUP($A162,'Matriz POA 2024-TRABAJO'!$A$5:$CD$9142,28,FALSE)</f>
        <v>002</v>
      </c>
      <c r="O162" s="165" t="str">
        <f>VLOOKUP($A162,'Matriz POA 2024-TRABAJO'!$A$5:$CD$9142,29,FALSE)</f>
        <v>53</v>
      </c>
      <c r="P162" s="165">
        <f>VLOOKUP($A162,'Matriz POA 2024-TRABAJO'!$A$5:$CD$9142,30,FALSE)</f>
        <v>530209</v>
      </c>
      <c r="Q162" s="165">
        <f>VLOOKUP($A162,'Matriz POA 2024-TRABAJO'!$A$5:$CD$9142,32,FALSE)</f>
        <v>1308</v>
      </c>
      <c r="R162" s="165" t="str">
        <f>VLOOKUP($A162,'Matriz POA 2024-TRABAJO'!$A$5:$CD$9142,33,FALSE)</f>
        <v>001</v>
      </c>
      <c r="S162" s="165" t="str">
        <f>VLOOKUP($A162,'Matriz POA 2024-TRABAJO'!$A$5:$CD$9142,34,FALSE)</f>
        <v>0000</v>
      </c>
      <c r="T162" s="165" t="str">
        <f>VLOOKUP($A162,'Matriz POA 2024-TRABAJO'!$A$5:$CD$9142,35,FALSE)</f>
        <v>0000</v>
      </c>
      <c r="U162" s="166">
        <f>VLOOKUP($A162,'Matriz POA 2024-TRABAJO'!$A$5:$CD$9142,66,FALSE)</f>
        <v>22446</v>
      </c>
      <c r="V162" s="166">
        <f>VLOOKUP($A162,'Matriz POA 2024-TRABAJO'!$A$5:$CD$9142,67,FALSE)</f>
        <v>0</v>
      </c>
      <c r="W162" s="166">
        <f>VLOOKUP($A162,'Matriz POA 2024-TRABAJO'!$A$5:$CD$9142,68,FALSE)</f>
        <v>22446</v>
      </c>
      <c r="X162" s="166">
        <f>VLOOKUP($A162,'Matriz POA 2024-TRABAJO'!$A$5:$CD$9142,72,FALSE)</f>
        <v>20898</v>
      </c>
      <c r="Y162" s="392">
        <v>22446</v>
      </c>
      <c r="Z162" s="392">
        <v>0</v>
      </c>
      <c r="AA162" s="392">
        <v>22446</v>
      </c>
      <c r="AB162" s="393">
        <v>7740</v>
      </c>
      <c r="AC162" s="393"/>
      <c r="AD162" s="168"/>
      <c r="AE162" s="168"/>
      <c r="AF162" s="168">
        <f t="shared" ref="AF162:AF169" si="78">Y162+AB162+AC162</f>
        <v>30186</v>
      </c>
      <c r="AG162" s="168">
        <f t="shared" ref="AG162:AG169" si="79">Z162+AD162+AE162</f>
        <v>0</v>
      </c>
      <c r="AH162" s="168">
        <f t="shared" ref="AH162:AH169" si="80">+AF162+AG162</f>
        <v>30186</v>
      </c>
      <c r="AI162" s="169"/>
      <c r="AJ162" s="169">
        <v>2805.75</v>
      </c>
      <c r="AK162" s="169">
        <v>2805.75</v>
      </c>
      <c r="AL162" s="169">
        <v>2805.75</v>
      </c>
      <c r="AM162" s="169">
        <v>2805.75</v>
      </c>
      <c r="AN162" s="169">
        <v>2805.75</v>
      </c>
      <c r="AO162" s="169">
        <v>2805.75</v>
      </c>
      <c r="AP162" s="169">
        <v>2805.75</v>
      </c>
      <c r="AQ162" s="169">
        <v>2805.75</v>
      </c>
      <c r="AR162" s="169">
        <v>2805.75</v>
      </c>
      <c r="AS162" s="169">
        <v>2805.75</v>
      </c>
      <c r="AT162" s="169">
        <v>2128.5</v>
      </c>
      <c r="AU162" s="129">
        <f t="shared" si="77"/>
        <v>30186</v>
      </c>
      <c r="AV162" s="168" t="b">
        <f t="shared" ref="AV162:AV169" si="81">SUM(AI162:AT162)=AH162</f>
        <v>1</v>
      </c>
      <c r="AW162" s="170" t="s">
        <v>992</v>
      </c>
      <c r="AX162" s="226" t="s">
        <v>989</v>
      </c>
      <c r="AY162" s="227">
        <v>45366</v>
      </c>
      <c r="AZ162" s="228" t="s">
        <v>990</v>
      </c>
      <c r="BA162" s="227">
        <v>45366</v>
      </c>
      <c r="BB162" s="229">
        <f t="shared" ref="BB162:BB169" si="82">BA162-AY162</f>
        <v>0</v>
      </c>
      <c r="BC162" s="165"/>
      <c r="BD162" s="226"/>
      <c r="BE162" s="230"/>
      <c r="BF162" s="165"/>
      <c r="BG162" s="231" t="str">
        <f t="shared" ref="BG162:BG169" si="83">TEXT(BA162,"MMMM")</f>
        <v>marzo</v>
      </c>
      <c r="BH162" s="165" t="str">
        <f t="shared" ref="BH162:BH169" si="84">B162</f>
        <v>Corporación Ciudad Alfaro</v>
      </c>
      <c r="BI162" s="232" t="str">
        <f t="shared" ref="BI162:BI169" si="85">E162</f>
        <v>N/A</v>
      </c>
    </row>
    <row r="163" spans="1:61" ht="24.95" customHeight="1">
      <c r="A163" s="167">
        <v>436</v>
      </c>
      <c r="B163" s="165" t="str">
        <f>VLOOKUP($A163,'Matriz POA 2024-TRABAJO'!$A$5:$CD$9142,11,FALSE)</f>
        <v>Corporación Ciudad Alfaro</v>
      </c>
      <c r="C163" s="165" t="str">
        <f>VLOOKUP($A163,'Matriz POA 2024-TRABAJO'!$A$5:$CD$9142,14,FALSE)</f>
        <v>N/A</v>
      </c>
      <c r="D163" s="165" t="str">
        <f>VLOOKUP($A163,'Matriz POA 2024-TRABAJO'!$A$5:$CD$9142,15,FALSE)</f>
        <v>N/A</v>
      </c>
      <c r="E163" s="165" t="str">
        <f>VLOOKUP($A163,'Matriz POA 2024-TRABAJO'!$A$5:$CD$9142,18,FALSE)</f>
        <v>N/A</v>
      </c>
      <c r="F163" s="165" t="str">
        <f>VLOOKUP($A163,'Matriz POA 2024-TRABAJO'!$A$5:$CD$9142,20,FALSE)</f>
        <v>N/A</v>
      </c>
      <c r="G163" s="165" t="str">
        <f>VLOOKUP($A163,'Matriz POA 2024-TRABAJO'!$A$5:$CD$9142,21,FALSE)</f>
        <v>N/A</v>
      </c>
      <c r="H163" s="165" t="str">
        <f>VLOOKUP($A163,'Matriz POA 2024-TRABAJO'!$A$5:$CD$9142,22,FALSE)</f>
        <v>N/A</v>
      </c>
      <c r="I163" s="165" t="str">
        <f>VLOOKUP($A163,'Matriz POA 2024-TRABAJO'!$A$5:$CD$9142,23,FALSE)</f>
        <v>PLURIANUAL 2023-2024</v>
      </c>
      <c r="J163" s="165" t="str">
        <f>VLOOKUP($A163,'Matriz POA 2024-TRABAJO'!$A$5:$CD$9142,24,FALSE)</f>
        <v>Pago del Servicio de aseo y Limpieza del Museo Bahía de Caráquez por el período 2023-2024</v>
      </c>
      <c r="K163" s="165" t="str">
        <f>VLOOKUP($A163,'Matriz POA 2024-TRABAJO'!$A$5:$CD$9142,25,FALSE)</f>
        <v>0035</v>
      </c>
      <c r="L163" s="165" t="str">
        <f>VLOOKUP($A163,'Matriz POA 2024-TRABAJO'!$A$5:$CD$9142,26,FALSE)</f>
        <v>80</v>
      </c>
      <c r="M163" s="165" t="str">
        <f>VLOOKUP($A163,'Matriz POA 2024-TRABAJO'!$A$5:$CD$9142,27,FALSE)</f>
        <v>000</v>
      </c>
      <c r="N163" s="165" t="str">
        <f>VLOOKUP($A163,'Matriz POA 2024-TRABAJO'!$A$5:$CD$9142,28,FALSE)</f>
        <v>002</v>
      </c>
      <c r="O163" s="165" t="str">
        <f>VLOOKUP($A163,'Matriz POA 2024-TRABAJO'!$A$5:$CD$9142,29,FALSE)</f>
        <v>53</v>
      </c>
      <c r="P163" s="165">
        <f>VLOOKUP($A163,'Matriz POA 2024-TRABAJO'!$A$5:$CD$9142,30,FALSE)</f>
        <v>530209</v>
      </c>
      <c r="Q163" s="165">
        <f>VLOOKUP($A163,'Matriz POA 2024-TRABAJO'!$A$5:$CD$9142,32,FALSE)</f>
        <v>1314</v>
      </c>
      <c r="R163" s="165" t="str">
        <f>VLOOKUP($A163,'Matriz POA 2024-TRABAJO'!$A$5:$CD$9142,33,FALSE)</f>
        <v>001</v>
      </c>
      <c r="S163" s="165" t="str">
        <f>VLOOKUP($A163,'Matriz POA 2024-TRABAJO'!$A$5:$CD$9142,34,FALSE)</f>
        <v>0000</v>
      </c>
      <c r="T163" s="165" t="str">
        <f>VLOOKUP($A163,'Matriz POA 2024-TRABAJO'!$A$5:$CD$9142,35,FALSE)</f>
        <v>0000</v>
      </c>
      <c r="U163" s="166">
        <f>VLOOKUP($A163,'Matriz POA 2024-TRABAJO'!$A$5:$CD$9142,66,FALSE)</f>
        <v>22446</v>
      </c>
      <c r="V163" s="166">
        <f>VLOOKUP($A163,'Matriz POA 2024-TRABAJO'!$A$5:$CD$9142,67,FALSE)</f>
        <v>0</v>
      </c>
      <c r="W163" s="166">
        <f>VLOOKUP($A163,'Matriz POA 2024-TRABAJO'!$A$5:$CD$9142,68,FALSE)</f>
        <v>22446</v>
      </c>
      <c r="X163" s="166">
        <f>VLOOKUP($A163,'Matriz POA 2024-TRABAJO'!$A$5:$CD$9142,72,FALSE)</f>
        <v>22446</v>
      </c>
      <c r="Y163" s="392">
        <v>22446</v>
      </c>
      <c r="Z163" s="392">
        <v>0</v>
      </c>
      <c r="AA163" s="392">
        <v>22446</v>
      </c>
      <c r="AB163" s="393">
        <v>7740</v>
      </c>
      <c r="AC163" s="393"/>
      <c r="AD163" s="168"/>
      <c r="AE163" s="168"/>
      <c r="AF163" s="168">
        <f t="shared" si="78"/>
        <v>30186</v>
      </c>
      <c r="AG163" s="168">
        <f t="shared" si="79"/>
        <v>0</v>
      </c>
      <c r="AH163" s="168">
        <f t="shared" si="80"/>
        <v>30186</v>
      </c>
      <c r="AI163" s="169"/>
      <c r="AJ163" s="169">
        <v>2805.75</v>
      </c>
      <c r="AK163" s="169">
        <v>2805.75</v>
      </c>
      <c r="AL163" s="169">
        <v>2805.75</v>
      </c>
      <c r="AM163" s="169">
        <v>2805.75</v>
      </c>
      <c r="AN163" s="169">
        <v>2805.75</v>
      </c>
      <c r="AO163" s="169">
        <v>2805.75</v>
      </c>
      <c r="AP163" s="169">
        <v>2805.75</v>
      </c>
      <c r="AQ163" s="169">
        <v>2805.75</v>
      </c>
      <c r="AR163" s="169">
        <v>2805.75</v>
      </c>
      <c r="AS163" s="169">
        <v>2805.75</v>
      </c>
      <c r="AT163" s="169">
        <v>2128.5</v>
      </c>
      <c r="AU163" s="129">
        <f t="shared" si="77"/>
        <v>30186</v>
      </c>
      <c r="AV163" s="168" t="b">
        <f t="shared" si="81"/>
        <v>1</v>
      </c>
      <c r="AW163" s="170" t="s">
        <v>992</v>
      </c>
      <c r="AX163" s="226" t="s">
        <v>989</v>
      </c>
      <c r="AY163" s="227">
        <v>45366</v>
      </c>
      <c r="AZ163" s="228" t="s">
        <v>990</v>
      </c>
      <c r="BA163" s="227">
        <v>45366</v>
      </c>
      <c r="BB163" s="229">
        <f t="shared" si="82"/>
        <v>0</v>
      </c>
      <c r="BC163" s="165"/>
      <c r="BD163" s="226"/>
      <c r="BE163" s="230"/>
      <c r="BF163" s="165"/>
      <c r="BG163" s="231" t="str">
        <f t="shared" si="83"/>
        <v>marzo</v>
      </c>
      <c r="BH163" s="165" t="str">
        <f t="shared" si="84"/>
        <v>Corporación Ciudad Alfaro</v>
      </c>
      <c r="BI163" s="232" t="str">
        <f t="shared" si="85"/>
        <v>N/A</v>
      </c>
    </row>
    <row r="164" spans="1:61" ht="24.95" customHeight="1">
      <c r="A164" s="167">
        <v>438</v>
      </c>
      <c r="B164" s="165" t="str">
        <f>VLOOKUP($A164,'Matriz POA 2024-TRABAJO'!$A$5:$CD$9142,11,FALSE)</f>
        <v>Corporación Ciudad Alfaro</v>
      </c>
      <c r="C164" s="165" t="str">
        <f>VLOOKUP($A164,'Matriz POA 2024-TRABAJO'!$A$5:$CD$9142,14,FALSE)</f>
        <v>N/A</v>
      </c>
      <c r="D164" s="165" t="str">
        <f>VLOOKUP($A164,'Matriz POA 2024-TRABAJO'!$A$5:$CD$9142,15,FALSE)</f>
        <v>N/A</v>
      </c>
      <c r="E164" s="165" t="str">
        <f>VLOOKUP($A164,'Matriz POA 2024-TRABAJO'!$A$5:$CD$9142,18,FALSE)</f>
        <v>N/A</v>
      </c>
      <c r="F164" s="165" t="str">
        <f>VLOOKUP($A164,'Matriz POA 2024-TRABAJO'!$A$5:$CD$9142,20,FALSE)</f>
        <v>N/A</v>
      </c>
      <c r="G164" s="165" t="str">
        <f>VLOOKUP($A164,'Matriz POA 2024-TRABAJO'!$A$5:$CD$9142,21,FALSE)</f>
        <v>N/A</v>
      </c>
      <c r="H164" s="165" t="str">
        <f>VLOOKUP($A164,'Matriz POA 2024-TRABAJO'!$A$5:$CD$9142,22,FALSE)</f>
        <v>N/A</v>
      </c>
      <c r="I164" s="165" t="str">
        <f>VLOOKUP($A164,'Matriz POA 2024-TRABAJO'!$A$5:$CD$9142,23,FALSE)</f>
        <v>PLURIANUAL 2023-2024</v>
      </c>
      <c r="J164" s="165" t="str">
        <f>VLOOKUP($A164,'Matriz POA 2024-TRABAJO'!$A$5:$CD$9142,24,FALSE)</f>
        <v>Pago del Servicio de aseo y Limpieza de la Corporación Ciudad Alfaro</v>
      </c>
      <c r="K164" s="165" t="str">
        <f>VLOOKUP($A164,'Matriz POA 2024-TRABAJO'!$A$5:$CD$9142,25,FALSE)</f>
        <v>0035</v>
      </c>
      <c r="L164" s="165" t="str">
        <f>VLOOKUP($A164,'Matriz POA 2024-TRABAJO'!$A$5:$CD$9142,26,FALSE)</f>
        <v>80</v>
      </c>
      <c r="M164" s="165" t="str">
        <f>VLOOKUP($A164,'Matriz POA 2024-TRABAJO'!$A$5:$CD$9142,27,FALSE)</f>
        <v>000</v>
      </c>
      <c r="N164" s="165" t="str">
        <f>VLOOKUP($A164,'Matriz POA 2024-TRABAJO'!$A$5:$CD$9142,28,FALSE)</f>
        <v>002</v>
      </c>
      <c r="O164" s="165" t="str">
        <f>VLOOKUP($A164,'Matriz POA 2024-TRABAJO'!$A$5:$CD$9142,29,FALSE)</f>
        <v>53</v>
      </c>
      <c r="P164" s="165">
        <f>VLOOKUP($A164,'Matriz POA 2024-TRABAJO'!$A$5:$CD$9142,30,FALSE)</f>
        <v>530209</v>
      </c>
      <c r="Q164" s="165">
        <f>VLOOKUP($A164,'Matriz POA 2024-TRABAJO'!$A$5:$CD$9142,32,FALSE)</f>
        <v>1309</v>
      </c>
      <c r="R164" s="165" t="str">
        <f>VLOOKUP($A164,'Matriz POA 2024-TRABAJO'!$A$5:$CD$9142,33,FALSE)</f>
        <v>001</v>
      </c>
      <c r="S164" s="165" t="str">
        <f>VLOOKUP($A164,'Matriz POA 2024-TRABAJO'!$A$5:$CD$9142,34,FALSE)</f>
        <v>0000</v>
      </c>
      <c r="T164" s="165" t="str">
        <f>VLOOKUP($A164,'Matriz POA 2024-TRABAJO'!$A$5:$CD$9142,35,FALSE)</f>
        <v>0000</v>
      </c>
      <c r="U164" s="166">
        <f>VLOOKUP($A164,'Matriz POA 2024-TRABAJO'!$A$5:$CD$9142,66,FALSE)</f>
        <v>22523.4</v>
      </c>
      <c r="V164" s="166">
        <f>VLOOKUP($A164,'Matriz POA 2024-TRABAJO'!$A$5:$CD$9142,67,FALSE)</f>
        <v>0</v>
      </c>
      <c r="W164" s="166">
        <f>VLOOKUP($A164,'Matriz POA 2024-TRABAJO'!$A$5:$CD$9142,68,FALSE)</f>
        <v>22523.4</v>
      </c>
      <c r="X164" s="166">
        <f>VLOOKUP($A164,'Matriz POA 2024-TRABAJO'!$A$5:$CD$9142,72,FALSE)</f>
        <v>22446</v>
      </c>
      <c r="Y164" s="392">
        <v>22523.4</v>
      </c>
      <c r="Z164" s="392">
        <v>0</v>
      </c>
      <c r="AA164" s="392">
        <v>22523.4</v>
      </c>
      <c r="AB164" s="393">
        <v>7740</v>
      </c>
      <c r="AC164" s="393"/>
      <c r="AD164" s="168"/>
      <c r="AE164" s="168"/>
      <c r="AF164" s="168">
        <f t="shared" si="78"/>
        <v>30263.4</v>
      </c>
      <c r="AG164" s="168">
        <f t="shared" si="79"/>
        <v>0</v>
      </c>
      <c r="AH164" s="168">
        <f t="shared" si="80"/>
        <v>30263.4</v>
      </c>
      <c r="AI164" s="169"/>
      <c r="AJ164" s="169">
        <v>2815.42</v>
      </c>
      <c r="AK164" s="169">
        <v>2815.42</v>
      </c>
      <c r="AL164" s="169">
        <v>2815.42</v>
      </c>
      <c r="AM164" s="169">
        <v>2815.42</v>
      </c>
      <c r="AN164" s="169">
        <v>2815.42</v>
      </c>
      <c r="AO164" s="169">
        <v>2815.42</v>
      </c>
      <c r="AP164" s="169">
        <v>2815.42</v>
      </c>
      <c r="AQ164" s="169">
        <v>2815.42</v>
      </c>
      <c r="AR164" s="169">
        <v>2815.42</v>
      </c>
      <c r="AS164" s="169">
        <v>2815.42</v>
      </c>
      <c r="AT164" s="169">
        <v>2109.1999999999998</v>
      </c>
      <c r="AU164" s="129">
        <f t="shared" si="77"/>
        <v>30263.399999999998</v>
      </c>
      <c r="AV164" s="168" t="b">
        <f t="shared" si="81"/>
        <v>1</v>
      </c>
      <c r="AW164" s="170" t="s">
        <v>992</v>
      </c>
      <c r="AX164" s="226" t="s">
        <v>989</v>
      </c>
      <c r="AY164" s="227">
        <v>45366</v>
      </c>
      <c r="AZ164" s="228" t="s">
        <v>990</v>
      </c>
      <c r="BA164" s="227">
        <v>45366</v>
      </c>
      <c r="BB164" s="229">
        <f t="shared" si="82"/>
        <v>0</v>
      </c>
      <c r="BC164" s="165"/>
      <c r="BD164" s="226"/>
      <c r="BE164" s="230"/>
      <c r="BF164" s="165"/>
      <c r="BG164" s="231" t="str">
        <f t="shared" si="83"/>
        <v>marzo</v>
      </c>
      <c r="BH164" s="165" t="str">
        <f t="shared" si="84"/>
        <v>Corporación Ciudad Alfaro</v>
      </c>
      <c r="BI164" s="232" t="str">
        <f t="shared" si="85"/>
        <v>N/A</v>
      </c>
    </row>
    <row r="165" spans="1:61" ht="24.95" customHeight="1">
      <c r="A165" s="167">
        <v>733</v>
      </c>
      <c r="B165" s="165" t="str">
        <f>VLOOKUP($A165,'Matriz POA 2024-TRABAJO'!$A$5:$CD$9142,11,FALSE)</f>
        <v>Corporación Ciudad Alfaro</v>
      </c>
      <c r="C165" s="165" t="str">
        <f>VLOOKUP($A165,'Matriz POA 2024-TRABAJO'!$A$5:$CD$9142,14,FALSE)</f>
        <v>N/A</v>
      </c>
      <c r="D165" s="165" t="str">
        <f>VLOOKUP($A165,'Matriz POA 2024-TRABAJO'!$A$5:$CD$9142,15,FALSE)</f>
        <v>N/A</v>
      </c>
      <c r="E165" s="165" t="str">
        <f>VLOOKUP($A165,'Matriz POA 2024-TRABAJO'!$A$5:$CD$9142,18,FALSE)</f>
        <v>N/A</v>
      </c>
      <c r="F165" s="165" t="str">
        <f>VLOOKUP($A165,'Matriz POA 2024-TRABAJO'!$A$5:$CD$9142,20,FALSE)</f>
        <v>N/A</v>
      </c>
      <c r="G165" s="165" t="str">
        <f>VLOOKUP($A165,'Matriz POA 2024-TRABAJO'!$A$5:$CD$9142,21,FALSE)</f>
        <v>N/A</v>
      </c>
      <c r="H165" s="165" t="str">
        <f>VLOOKUP($A165,'Matriz POA 2024-TRABAJO'!$A$5:$CD$9142,22,FALSE)</f>
        <v>N/A</v>
      </c>
      <c r="I165" s="165" t="str">
        <f>VLOOKUP($A165,'Matriz POA 2024-TRABAJO'!$A$5:$CD$9142,23,FALSE)</f>
        <v>NUEVA</v>
      </c>
      <c r="J165" s="165" t="str">
        <f>VLOOKUP($A165,'Matriz POA 2024-TRABAJO'!$A$5:$CD$9142,24,FALSE)</f>
        <v>Pago mensual del servicio de energía eléctrica del Museo y Centro Cultural de Manta por el período 2024</v>
      </c>
      <c r="K165" s="165" t="str">
        <f>VLOOKUP($A165,'Matriz POA 2024-TRABAJO'!$A$5:$CD$9142,25,FALSE)</f>
        <v>0035</v>
      </c>
      <c r="L165" s="165" t="str">
        <f>VLOOKUP($A165,'Matriz POA 2024-TRABAJO'!$A$5:$CD$9142,26,FALSE)</f>
        <v>80</v>
      </c>
      <c r="M165" s="165" t="str">
        <f>VLOOKUP($A165,'Matriz POA 2024-TRABAJO'!$A$5:$CD$9142,27,FALSE)</f>
        <v>000</v>
      </c>
      <c r="N165" s="165" t="str">
        <f>VLOOKUP($A165,'Matriz POA 2024-TRABAJO'!$A$5:$CD$9142,28,FALSE)</f>
        <v>002</v>
      </c>
      <c r="O165" s="165" t="str">
        <f>VLOOKUP($A165,'Matriz POA 2024-TRABAJO'!$A$5:$CD$9142,29,FALSE)</f>
        <v>53</v>
      </c>
      <c r="P165" s="165">
        <f>VLOOKUP($A165,'Matriz POA 2024-TRABAJO'!$A$5:$CD$9142,30,FALSE)</f>
        <v>530104</v>
      </c>
      <c r="Q165" s="165">
        <f>VLOOKUP($A165,'Matriz POA 2024-TRABAJO'!$A$5:$CD$9142,32,FALSE)</f>
        <v>1308</v>
      </c>
      <c r="R165" s="165" t="str">
        <f>VLOOKUP($A165,'Matriz POA 2024-TRABAJO'!$A$5:$CD$9142,33,FALSE)</f>
        <v>001</v>
      </c>
      <c r="S165" s="165" t="str">
        <f>VLOOKUP($A165,'Matriz POA 2024-TRABAJO'!$A$5:$CD$9142,34,FALSE)</f>
        <v>0000</v>
      </c>
      <c r="T165" s="165" t="str">
        <f>VLOOKUP($A165,'Matriz POA 2024-TRABAJO'!$A$5:$CD$9142,35,FALSE)</f>
        <v>0000</v>
      </c>
      <c r="U165" s="166">
        <f>VLOOKUP($A165,'Matriz POA 2024-TRABAJO'!$A$5:$CD$9142,66,FALSE)</f>
        <v>14500</v>
      </c>
      <c r="V165" s="166">
        <f>VLOOKUP($A165,'Matriz POA 2024-TRABAJO'!$A$5:$CD$9142,67,FALSE)</f>
        <v>499.67000000000007</v>
      </c>
      <c r="W165" s="166">
        <f>VLOOKUP($A165,'Matriz POA 2024-TRABAJO'!$A$5:$CD$9142,68,FALSE)</f>
        <v>8938.76</v>
      </c>
      <c r="X165" s="166">
        <f>VLOOKUP($A165,'Matriz POA 2024-TRABAJO'!$A$5:$CD$9142,72,FALSE)</f>
        <v>8388.9699999999993</v>
      </c>
      <c r="Y165" s="392">
        <v>12000</v>
      </c>
      <c r="Z165" s="392">
        <v>0</v>
      </c>
      <c r="AA165" s="392">
        <v>12000</v>
      </c>
      <c r="AB165" s="393">
        <v>2500</v>
      </c>
      <c r="AC165" s="393"/>
      <c r="AD165" s="168"/>
      <c r="AE165" s="168"/>
      <c r="AF165" s="168">
        <f t="shared" si="78"/>
        <v>14500</v>
      </c>
      <c r="AG165" s="168">
        <f t="shared" si="79"/>
        <v>0</v>
      </c>
      <c r="AH165" s="168">
        <f t="shared" si="80"/>
        <v>14500</v>
      </c>
      <c r="AI165" s="169"/>
      <c r="AJ165" s="169">
        <v>1090.9000000000001</v>
      </c>
      <c r="AK165" s="169">
        <v>1340.91</v>
      </c>
      <c r="AL165" s="169">
        <v>1340.91</v>
      </c>
      <c r="AM165" s="169">
        <v>1340.91</v>
      </c>
      <c r="AN165" s="169">
        <v>1340.91</v>
      </c>
      <c r="AO165" s="169">
        <v>1340.91</v>
      </c>
      <c r="AP165" s="169">
        <v>1340.91</v>
      </c>
      <c r="AQ165" s="169">
        <v>1340.91</v>
      </c>
      <c r="AR165" s="169">
        <v>1340.91</v>
      </c>
      <c r="AS165" s="169">
        <v>1340.91</v>
      </c>
      <c r="AT165" s="169">
        <v>1340.91</v>
      </c>
      <c r="AU165" s="129">
        <f t="shared" si="77"/>
        <v>14500</v>
      </c>
      <c r="AV165" s="168" t="b">
        <f t="shared" si="81"/>
        <v>1</v>
      </c>
      <c r="AW165" s="170" t="s">
        <v>992</v>
      </c>
      <c r="AX165" s="226" t="s">
        <v>989</v>
      </c>
      <c r="AY165" s="227">
        <v>45366</v>
      </c>
      <c r="AZ165" s="228" t="s">
        <v>990</v>
      </c>
      <c r="BA165" s="227">
        <v>45366</v>
      </c>
      <c r="BB165" s="229">
        <f t="shared" si="82"/>
        <v>0</v>
      </c>
      <c r="BC165" s="165"/>
      <c r="BD165" s="226"/>
      <c r="BE165" s="230"/>
      <c r="BF165" s="165"/>
      <c r="BG165" s="231" t="str">
        <f t="shared" si="83"/>
        <v>marzo</v>
      </c>
      <c r="BH165" s="165" t="str">
        <f t="shared" si="84"/>
        <v>Corporación Ciudad Alfaro</v>
      </c>
      <c r="BI165" s="232" t="str">
        <f t="shared" si="85"/>
        <v>N/A</v>
      </c>
    </row>
    <row r="166" spans="1:61" ht="24.95" customHeight="1">
      <c r="A166" s="167">
        <v>432</v>
      </c>
      <c r="B166" s="165" t="str">
        <f>VLOOKUP($A166,'Matriz POA 2024-TRABAJO'!$A$5:$CD$9142,11,FALSE)</f>
        <v>Corporación Ciudad Alfaro</v>
      </c>
      <c r="C166" s="165" t="str">
        <f>VLOOKUP($A166,'Matriz POA 2024-TRABAJO'!$A$5:$CD$9142,14,FALSE)</f>
        <v>N/A</v>
      </c>
      <c r="D166" s="165" t="str">
        <f>VLOOKUP($A166,'Matriz POA 2024-TRABAJO'!$A$5:$CD$9142,15,FALSE)</f>
        <v>N/A</v>
      </c>
      <c r="E166" s="165" t="str">
        <f>VLOOKUP($A166,'Matriz POA 2024-TRABAJO'!$A$5:$CD$9142,18,FALSE)</f>
        <v>N/A</v>
      </c>
      <c r="F166" s="165" t="str">
        <f>VLOOKUP($A166,'Matriz POA 2024-TRABAJO'!$A$5:$CD$9142,20,FALSE)</f>
        <v>N/A</v>
      </c>
      <c r="G166" s="165" t="str">
        <f>VLOOKUP($A166,'Matriz POA 2024-TRABAJO'!$A$5:$CD$9142,21,FALSE)</f>
        <v>N/A</v>
      </c>
      <c r="H166" s="165" t="str">
        <f>VLOOKUP($A166,'Matriz POA 2024-TRABAJO'!$A$5:$CD$9142,22,FALSE)</f>
        <v>N/A</v>
      </c>
      <c r="I166" s="165" t="str">
        <f>VLOOKUP($A166,'Matriz POA 2024-TRABAJO'!$A$5:$CD$9142,23,FALSE)</f>
        <v>NUEVA</v>
      </c>
      <c r="J166" s="165" t="str">
        <f>VLOOKUP($A166,'Matriz POA 2024-TRABAJO'!$A$5:$CD$9142,24,FALSE)</f>
        <v>Pago del servicio de telefonía fija e internet de la Corporación Ciudad Alfaro</v>
      </c>
      <c r="K166" s="165" t="str">
        <f>VLOOKUP($A166,'Matriz POA 2024-TRABAJO'!$A$5:$CD$9142,25,FALSE)</f>
        <v>0035</v>
      </c>
      <c r="L166" s="165" t="str">
        <f>VLOOKUP($A166,'Matriz POA 2024-TRABAJO'!$A$5:$CD$9142,26,FALSE)</f>
        <v>80</v>
      </c>
      <c r="M166" s="165" t="str">
        <f>VLOOKUP($A166,'Matriz POA 2024-TRABAJO'!$A$5:$CD$9142,27,FALSE)</f>
        <v>000</v>
      </c>
      <c r="N166" s="165" t="str">
        <f>VLOOKUP($A166,'Matriz POA 2024-TRABAJO'!$A$5:$CD$9142,28,FALSE)</f>
        <v>002</v>
      </c>
      <c r="O166" s="165" t="str">
        <f>VLOOKUP($A166,'Matriz POA 2024-TRABAJO'!$A$5:$CD$9142,29,FALSE)</f>
        <v>53</v>
      </c>
      <c r="P166" s="165">
        <f>VLOOKUP($A166,'Matriz POA 2024-TRABAJO'!$A$5:$CD$9142,30,FALSE)</f>
        <v>530105</v>
      </c>
      <c r="Q166" s="165">
        <f>VLOOKUP($A166,'Matriz POA 2024-TRABAJO'!$A$5:$CD$9142,32,FALSE)</f>
        <v>1309</v>
      </c>
      <c r="R166" s="165" t="str">
        <f>VLOOKUP($A166,'Matriz POA 2024-TRABAJO'!$A$5:$CD$9142,33,FALSE)</f>
        <v>001</v>
      </c>
      <c r="S166" s="165" t="str">
        <f>VLOOKUP($A166,'Matriz POA 2024-TRABAJO'!$A$5:$CD$9142,34,FALSE)</f>
        <v>0000</v>
      </c>
      <c r="T166" s="165" t="str">
        <f>VLOOKUP($A166,'Matriz POA 2024-TRABAJO'!$A$5:$CD$9142,35,FALSE)</f>
        <v>0000</v>
      </c>
      <c r="U166" s="166">
        <f>VLOOKUP($A166,'Matriz POA 2024-TRABAJO'!$A$5:$CD$9142,66,FALSE)</f>
        <v>8836</v>
      </c>
      <c r="V166" s="166">
        <f>VLOOKUP($A166,'Matriz POA 2024-TRABAJO'!$A$5:$CD$9142,67,FALSE)</f>
        <v>-1397.6400000000003</v>
      </c>
      <c r="W166" s="166">
        <f>VLOOKUP($A166,'Matriz POA 2024-TRABAJO'!$A$5:$CD$9142,68,FALSE)</f>
        <v>1300</v>
      </c>
      <c r="X166" s="166">
        <f>VLOOKUP($A166,'Matriz POA 2024-TRABAJO'!$A$5:$CD$9142,72,FALSE)</f>
        <v>5801.64</v>
      </c>
      <c r="Y166" s="392">
        <v>8000</v>
      </c>
      <c r="Z166" s="392">
        <v>0</v>
      </c>
      <c r="AA166" s="392">
        <v>8000</v>
      </c>
      <c r="AB166" s="393">
        <v>836</v>
      </c>
      <c r="AC166" s="393"/>
      <c r="AD166" s="168"/>
      <c r="AE166" s="168"/>
      <c r="AF166" s="168">
        <f t="shared" si="78"/>
        <v>8836</v>
      </c>
      <c r="AG166" s="168">
        <f t="shared" si="79"/>
        <v>0</v>
      </c>
      <c r="AH166" s="168">
        <f t="shared" si="80"/>
        <v>8836</v>
      </c>
      <c r="AI166" s="169"/>
      <c r="AJ166" s="169">
        <v>700</v>
      </c>
      <c r="AK166" s="169">
        <v>810</v>
      </c>
      <c r="AL166" s="169">
        <v>810</v>
      </c>
      <c r="AM166" s="169">
        <v>810</v>
      </c>
      <c r="AN166" s="169">
        <v>810</v>
      </c>
      <c r="AO166" s="169">
        <v>810</v>
      </c>
      <c r="AP166" s="169">
        <v>810</v>
      </c>
      <c r="AQ166" s="169">
        <v>810</v>
      </c>
      <c r="AR166" s="169">
        <v>810</v>
      </c>
      <c r="AS166" s="169">
        <v>810</v>
      </c>
      <c r="AT166" s="169">
        <v>846</v>
      </c>
      <c r="AU166" s="129">
        <f t="shared" si="77"/>
        <v>8836</v>
      </c>
      <c r="AV166" s="168" t="b">
        <f t="shared" si="81"/>
        <v>1</v>
      </c>
      <c r="AW166" s="170" t="s">
        <v>992</v>
      </c>
      <c r="AX166" s="226" t="s">
        <v>989</v>
      </c>
      <c r="AY166" s="227">
        <v>45366</v>
      </c>
      <c r="AZ166" s="228" t="s">
        <v>990</v>
      </c>
      <c r="BA166" s="227">
        <v>45366</v>
      </c>
      <c r="BB166" s="229">
        <f t="shared" si="82"/>
        <v>0</v>
      </c>
      <c r="BC166" s="165"/>
      <c r="BD166" s="226"/>
      <c r="BE166" s="230"/>
      <c r="BF166" s="165"/>
      <c r="BG166" s="231" t="str">
        <f t="shared" si="83"/>
        <v>marzo</v>
      </c>
      <c r="BH166" s="165" t="str">
        <f t="shared" si="84"/>
        <v>Corporación Ciudad Alfaro</v>
      </c>
      <c r="BI166" s="232" t="str">
        <f t="shared" si="85"/>
        <v>N/A</v>
      </c>
    </row>
    <row r="167" spans="1:61" ht="24.95" customHeight="1">
      <c r="A167" s="167">
        <v>446</v>
      </c>
      <c r="B167" s="165" t="str">
        <f>VLOOKUP($A167,'Matriz POA 2024-TRABAJO'!$A$5:$CD$9142,11,FALSE)</f>
        <v>Corporación Ciudad Alfaro</v>
      </c>
      <c r="C167" s="165" t="str">
        <f>VLOOKUP($A167,'Matriz POA 2024-TRABAJO'!$A$5:$CD$9142,14,FALSE)</f>
        <v>N/A</v>
      </c>
      <c r="D167" s="165" t="str">
        <f>VLOOKUP($A167,'Matriz POA 2024-TRABAJO'!$A$5:$CD$9142,15,FALSE)</f>
        <v>N/A</v>
      </c>
      <c r="E167" s="165" t="str">
        <f>VLOOKUP($A167,'Matriz POA 2024-TRABAJO'!$A$5:$CD$9142,18,FALSE)</f>
        <v>N/A</v>
      </c>
      <c r="F167" s="165" t="str">
        <f>VLOOKUP($A167,'Matriz POA 2024-TRABAJO'!$A$5:$CD$9142,20,FALSE)</f>
        <v>N/A</v>
      </c>
      <c r="G167" s="165" t="str">
        <f>VLOOKUP($A167,'Matriz POA 2024-TRABAJO'!$A$5:$CD$9142,21,FALSE)</f>
        <v>N/A</v>
      </c>
      <c r="H167" s="165" t="str">
        <f>VLOOKUP($A167,'Matriz POA 2024-TRABAJO'!$A$5:$CD$9142,22,FALSE)</f>
        <v>N/A</v>
      </c>
      <c r="I167" s="165" t="str">
        <f>VLOOKUP($A167,'Matriz POA 2024-TRABAJO'!$A$5:$CD$9142,23,FALSE)</f>
        <v>NUEVA</v>
      </c>
      <c r="J167" s="165" t="str">
        <f>VLOOKUP($A167,'Matriz POA 2024-TRABAJO'!$A$5:$CD$9142,24,FALSE)</f>
        <v>Pago del servicio de energía eléctrica del Museo Portoviejo y Archivo Histórico</v>
      </c>
      <c r="K167" s="165" t="str">
        <f>VLOOKUP($A167,'Matriz POA 2024-TRABAJO'!$A$5:$CD$9142,25,FALSE)</f>
        <v>0035</v>
      </c>
      <c r="L167" s="165" t="str">
        <f>VLOOKUP($A167,'Matriz POA 2024-TRABAJO'!$A$5:$CD$9142,26,FALSE)</f>
        <v>80</v>
      </c>
      <c r="M167" s="165" t="str">
        <f>VLOOKUP($A167,'Matriz POA 2024-TRABAJO'!$A$5:$CD$9142,27,FALSE)</f>
        <v>000</v>
      </c>
      <c r="N167" s="165" t="str">
        <f>VLOOKUP($A167,'Matriz POA 2024-TRABAJO'!$A$5:$CD$9142,28,FALSE)</f>
        <v>002</v>
      </c>
      <c r="O167" s="165" t="str">
        <f>VLOOKUP($A167,'Matriz POA 2024-TRABAJO'!$A$5:$CD$9142,29,FALSE)</f>
        <v>53</v>
      </c>
      <c r="P167" s="165">
        <f>VLOOKUP($A167,'Matriz POA 2024-TRABAJO'!$A$5:$CD$9142,30,FALSE)</f>
        <v>530104</v>
      </c>
      <c r="Q167" s="165">
        <f>VLOOKUP($A167,'Matriz POA 2024-TRABAJO'!$A$5:$CD$9142,32,FALSE)</f>
        <v>1301</v>
      </c>
      <c r="R167" s="165" t="str">
        <f>VLOOKUP($A167,'Matriz POA 2024-TRABAJO'!$A$5:$CD$9142,33,FALSE)</f>
        <v>001</v>
      </c>
      <c r="S167" s="165" t="str">
        <f>VLOOKUP($A167,'Matriz POA 2024-TRABAJO'!$A$5:$CD$9142,34,FALSE)</f>
        <v>0000</v>
      </c>
      <c r="T167" s="165" t="str">
        <f>VLOOKUP($A167,'Matriz POA 2024-TRABAJO'!$A$5:$CD$9142,35,FALSE)</f>
        <v>0000</v>
      </c>
      <c r="U167" s="166">
        <f>VLOOKUP($A167,'Matriz POA 2024-TRABAJO'!$A$5:$CD$9142,66,FALSE)</f>
        <v>8800</v>
      </c>
      <c r="V167" s="166">
        <f>VLOOKUP($A167,'Matriz POA 2024-TRABAJO'!$A$5:$CD$9142,67,FALSE)</f>
        <v>1027.8799999999992</v>
      </c>
      <c r="W167" s="166">
        <f>VLOOKUP($A167,'Matriz POA 2024-TRABAJO'!$A$5:$CD$9142,68,FALSE)</f>
        <v>3745.87</v>
      </c>
      <c r="X167" s="166">
        <f>VLOOKUP($A167,'Matriz POA 2024-TRABAJO'!$A$5:$CD$9142,72,FALSE)</f>
        <v>8551.68</v>
      </c>
      <c r="Y167" s="392">
        <v>8100</v>
      </c>
      <c r="Z167" s="392">
        <v>0</v>
      </c>
      <c r="AA167" s="392">
        <v>8100</v>
      </c>
      <c r="AB167" s="393">
        <v>700</v>
      </c>
      <c r="AC167" s="393"/>
      <c r="AD167" s="168"/>
      <c r="AE167" s="168"/>
      <c r="AF167" s="168">
        <f t="shared" si="78"/>
        <v>8800</v>
      </c>
      <c r="AG167" s="168">
        <f t="shared" si="79"/>
        <v>0</v>
      </c>
      <c r="AH167" s="168">
        <f t="shared" si="80"/>
        <v>8800</v>
      </c>
      <c r="AI167" s="169"/>
      <c r="AJ167" s="169">
        <v>900</v>
      </c>
      <c r="AK167" s="169">
        <v>790</v>
      </c>
      <c r="AL167" s="169">
        <v>790</v>
      </c>
      <c r="AM167" s="169">
        <v>790</v>
      </c>
      <c r="AN167" s="169">
        <v>790</v>
      </c>
      <c r="AO167" s="169">
        <v>790</v>
      </c>
      <c r="AP167" s="169">
        <v>790</v>
      </c>
      <c r="AQ167" s="169">
        <v>790</v>
      </c>
      <c r="AR167" s="169">
        <v>790</v>
      </c>
      <c r="AS167" s="169">
        <v>790</v>
      </c>
      <c r="AT167" s="169">
        <v>790</v>
      </c>
      <c r="AU167" s="129">
        <f t="shared" si="77"/>
        <v>8800</v>
      </c>
      <c r="AV167" s="168" t="b">
        <f t="shared" si="81"/>
        <v>1</v>
      </c>
      <c r="AW167" s="170" t="s">
        <v>992</v>
      </c>
      <c r="AX167" s="226" t="s">
        <v>989</v>
      </c>
      <c r="AY167" s="227">
        <v>45366</v>
      </c>
      <c r="AZ167" s="228" t="s">
        <v>990</v>
      </c>
      <c r="BA167" s="227">
        <v>45366</v>
      </c>
      <c r="BB167" s="229">
        <f t="shared" si="82"/>
        <v>0</v>
      </c>
      <c r="BC167" s="165"/>
      <c r="BD167" s="226"/>
      <c r="BE167" s="230"/>
      <c r="BF167" s="165"/>
      <c r="BG167" s="231" t="str">
        <f t="shared" si="83"/>
        <v>marzo</v>
      </c>
      <c r="BH167" s="165" t="str">
        <f t="shared" si="84"/>
        <v>Corporación Ciudad Alfaro</v>
      </c>
      <c r="BI167" s="232" t="str">
        <f t="shared" si="85"/>
        <v>N/A</v>
      </c>
    </row>
    <row r="168" spans="1:61" ht="24.95" customHeight="1">
      <c r="A168" s="167">
        <v>828</v>
      </c>
      <c r="B168" s="165" t="str">
        <f>VLOOKUP($A168,'Matriz POA 2024-TRABAJO'!$A$5:$CD$9142,11,FALSE)</f>
        <v>Corporación Ciudad Alfaro</v>
      </c>
      <c r="C168" s="165" t="str">
        <f>VLOOKUP($A168,'Matriz POA 2024-TRABAJO'!$A$5:$CD$9142,14,FALSE)</f>
        <v>N/A</v>
      </c>
      <c r="D168" s="165" t="str">
        <f>VLOOKUP($A168,'Matriz POA 2024-TRABAJO'!$A$5:$CD$9142,15,FALSE)</f>
        <v>N/A</v>
      </c>
      <c r="E168" s="165" t="str">
        <f>VLOOKUP($A168,'Matriz POA 2024-TRABAJO'!$A$5:$CD$9142,18,FALSE)</f>
        <v>N/A</v>
      </c>
      <c r="F168" s="165" t="str">
        <f>VLOOKUP($A168,'Matriz POA 2024-TRABAJO'!$A$5:$CD$9142,20,FALSE)</f>
        <v>N/A</v>
      </c>
      <c r="G168" s="165" t="str">
        <f>VLOOKUP($A168,'Matriz POA 2024-TRABAJO'!$A$5:$CD$9142,21,FALSE)</f>
        <v>N/A</v>
      </c>
      <c r="H168" s="165" t="str">
        <f>VLOOKUP($A168,'Matriz POA 2024-TRABAJO'!$A$5:$CD$9142,22,FALSE)</f>
        <v>N/A</v>
      </c>
      <c r="I168" s="165" t="str">
        <f>VLOOKUP($A168,'Matriz POA 2024-TRABAJO'!$A$5:$CD$9142,23,FALSE)</f>
        <v>NUEVA</v>
      </c>
      <c r="J168" s="165" t="str">
        <f>VLOOKUP($A168,'Matriz POA 2024-TRABAJO'!$A$5:$CD$9142,24,FALSE)</f>
        <v>Pago del servicio de energía eléctrica de la Corporación Ciudad Alfaro - octubre - noviembre</v>
      </c>
      <c r="K168" s="165" t="str">
        <f>VLOOKUP($A168,'Matriz POA 2024-TRABAJO'!$A$5:$CD$9142,25,FALSE)</f>
        <v>0035</v>
      </c>
      <c r="L168" s="165" t="str">
        <f>VLOOKUP($A168,'Matriz POA 2024-TRABAJO'!$A$5:$CD$9142,26,FALSE)</f>
        <v>80</v>
      </c>
      <c r="M168" s="165" t="str">
        <f>VLOOKUP($A168,'Matriz POA 2024-TRABAJO'!$A$5:$CD$9142,27,FALSE)</f>
        <v>000</v>
      </c>
      <c r="N168" s="165" t="str">
        <f>VLOOKUP($A168,'Matriz POA 2024-TRABAJO'!$A$5:$CD$9142,28,FALSE)</f>
        <v>002</v>
      </c>
      <c r="O168" s="165" t="str">
        <f>VLOOKUP($A168,'Matriz POA 2024-TRABAJO'!$A$5:$CD$9142,29,FALSE)</f>
        <v>53</v>
      </c>
      <c r="P168" s="165">
        <f>VLOOKUP($A168,'Matriz POA 2024-TRABAJO'!$A$5:$CD$9142,30,FALSE)</f>
        <v>530104</v>
      </c>
      <c r="Q168" s="165">
        <f>VLOOKUP($A168,'Matriz POA 2024-TRABAJO'!$A$5:$CD$9142,32,FALSE)</f>
        <v>1309</v>
      </c>
      <c r="R168" s="165" t="str">
        <f>VLOOKUP($A168,'Matriz POA 2024-TRABAJO'!$A$5:$CD$9142,33,FALSE)</f>
        <v>001</v>
      </c>
      <c r="S168" s="165" t="str">
        <f>VLOOKUP($A168,'Matriz POA 2024-TRABAJO'!$A$5:$CD$9142,34,FALSE)</f>
        <v>0000</v>
      </c>
      <c r="T168" s="165" t="str">
        <f>VLOOKUP($A168,'Matriz POA 2024-TRABAJO'!$A$5:$CD$9142,35,FALSE)</f>
        <v>0000</v>
      </c>
      <c r="U168" s="166">
        <f>VLOOKUP($A168,'Matriz POA 2024-TRABAJO'!$A$5:$CD$9142,66,FALSE)</f>
        <v>3422</v>
      </c>
      <c r="V168" s="166">
        <f>VLOOKUP($A168,'Matriz POA 2024-TRABAJO'!$A$5:$CD$9142,67,FALSE)</f>
        <v>-3422</v>
      </c>
      <c r="W168" s="166" t="str">
        <f>VLOOKUP($A168,'Matriz POA 2024-TRABAJO'!$A$5:$CD$9142,68,FALSE)</f>
        <v/>
      </c>
      <c r="X168" s="166" t="str">
        <f>VLOOKUP($A168,'Matriz POA 2024-TRABAJO'!$A$5:$CD$9142,72,FALSE)</f>
        <v/>
      </c>
      <c r="Y168" s="392">
        <v>0</v>
      </c>
      <c r="Z168" s="392">
        <v>0</v>
      </c>
      <c r="AA168" s="392">
        <v>0</v>
      </c>
      <c r="AB168" s="393">
        <v>5922</v>
      </c>
      <c r="AC168" s="393"/>
      <c r="AD168" s="168"/>
      <c r="AE168" s="168"/>
      <c r="AF168" s="168">
        <f t="shared" si="78"/>
        <v>5922</v>
      </c>
      <c r="AG168" s="168">
        <f t="shared" si="79"/>
        <v>0</v>
      </c>
      <c r="AH168" s="168">
        <f t="shared" si="80"/>
        <v>5922</v>
      </c>
      <c r="AI168" s="169"/>
      <c r="AJ168" s="169"/>
      <c r="AK168" s="169"/>
      <c r="AL168" s="169">
        <v>5922</v>
      </c>
      <c r="AM168" s="169"/>
      <c r="AN168" s="169"/>
      <c r="AO168" s="169"/>
      <c r="AP168" s="169"/>
      <c r="AQ168" s="169"/>
      <c r="AR168" s="169"/>
      <c r="AS168" s="169"/>
      <c r="AT168" s="169"/>
      <c r="AU168" s="129">
        <f t="shared" si="77"/>
        <v>5922</v>
      </c>
      <c r="AV168" s="168" t="b">
        <f t="shared" si="81"/>
        <v>1</v>
      </c>
      <c r="AW168" s="170" t="s">
        <v>992</v>
      </c>
      <c r="AX168" s="226" t="s">
        <v>989</v>
      </c>
      <c r="AY168" s="227">
        <v>45366</v>
      </c>
      <c r="AZ168" s="228" t="s">
        <v>990</v>
      </c>
      <c r="BA168" s="227">
        <v>45366</v>
      </c>
      <c r="BB168" s="229">
        <f t="shared" si="82"/>
        <v>0</v>
      </c>
      <c r="BC168" s="165"/>
      <c r="BD168" s="226"/>
      <c r="BE168" s="230"/>
      <c r="BF168" s="165"/>
      <c r="BG168" s="231" t="str">
        <f t="shared" si="83"/>
        <v>marzo</v>
      </c>
      <c r="BH168" s="165" t="str">
        <f t="shared" si="84"/>
        <v>Corporación Ciudad Alfaro</v>
      </c>
      <c r="BI168" s="232" t="str">
        <f t="shared" si="85"/>
        <v>N/A</v>
      </c>
    </row>
    <row r="169" spans="1:61" ht="24.95" customHeight="1">
      <c r="A169" s="167">
        <v>829</v>
      </c>
      <c r="B169" s="165" t="str">
        <f>VLOOKUP($A169,'Matriz POA 2024-TRABAJO'!$A$5:$CD$9142,11,FALSE)</f>
        <v>Corporación Ciudad Alfaro</v>
      </c>
      <c r="C169" s="165" t="str">
        <f>VLOOKUP($A169,'Matriz POA 2024-TRABAJO'!$A$5:$CD$9142,14,FALSE)</f>
        <v>N/A</v>
      </c>
      <c r="D169" s="165" t="str">
        <f>VLOOKUP($A169,'Matriz POA 2024-TRABAJO'!$A$5:$CD$9142,15,FALSE)</f>
        <v>N/A</v>
      </c>
      <c r="E169" s="165" t="str">
        <f>VLOOKUP($A169,'Matriz POA 2024-TRABAJO'!$A$5:$CD$9142,18,FALSE)</f>
        <v>N/A</v>
      </c>
      <c r="F169" s="165" t="str">
        <f>VLOOKUP($A169,'Matriz POA 2024-TRABAJO'!$A$5:$CD$9142,20,FALSE)</f>
        <v>N/A</v>
      </c>
      <c r="G169" s="165" t="str">
        <f>VLOOKUP($A169,'Matriz POA 2024-TRABAJO'!$A$5:$CD$9142,21,FALSE)</f>
        <v>N/A</v>
      </c>
      <c r="H169" s="165" t="str">
        <f>VLOOKUP($A169,'Matriz POA 2024-TRABAJO'!$A$5:$CD$9142,22,FALSE)</f>
        <v>N/A</v>
      </c>
      <c r="I169" s="165" t="str">
        <f>VLOOKUP($A169,'Matriz POA 2024-TRABAJO'!$A$5:$CD$9142,23,FALSE)</f>
        <v>NUEVA</v>
      </c>
      <c r="J169" s="165" t="str">
        <f>VLOOKUP($A169,'Matriz POA 2024-TRABAJO'!$A$5:$CD$9142,24,FALSE)</f>
        <v>Pago del servicio de combustible para los vehículos de la Corporación Ciudad Alfaro de los meses, octubre, noviembre y diciembre del año 2023</v>
      </c>
      <c r="K169" s="165" t="str">
        <f>VLOOKUP($A169,'Matriz POA 2024-TRABAJO'!$A$5:$CD$9142,25,FALSE)</f>
        <v>0035</v>
      </c>
      <c r="L169" s="165" t="str">
        <f>VLOOKUP($A169,'Matriz POA 2024-TRABAJO'!$A$5:$CD$9142,26,FALSE)</f>
        <v>80</v>
      </c>
      <c r="M169" s="165" t="str">
        <f>VLOOKUP($A169,'Matriz POA 2024-TRABAJO'!$A$5:$CD$9142,27,FALSE)</f>
        <v>000</v>
      </c>
      <c r="N169" s="165" t="str">
        <f>VLOOKUP($A169,'Matriz POA 2024-TRABAJO'!$A$5:$CD$9142,28,FALSE)</f>
        <v>002</v>
      </c>
      <c r="O169" s="165" t="str">
        <f>VLOOKUP($A169,'Matriz POA 2024-TRABAJO'!$A$5:$CD$9142,29,FALSE)</f>
        <v>99</v>
      </c>
      <c r="P169" s="165">
        <f>VLOOKUP($A169,'Matriz POA 2024-TRABAJO'!$A$5:$CD$9142,30,FALSE)</f>
        <v>990102</v>
      </c>
      <c r="Q169" s="165">
        <f>VLOOKUP($A169,'Matriz POA 2024-TRABAJO'!$A$5:$CD$9142,32,FALSE)</f>
        <v>1309</v>
      </c>
      <c r="R169" s="165" t="str">
        <f>VLOOKUP($A169,'Matriz POA 2024-TRABAJO'!$A$5:$CD$9142,33,FALSE)</f>
        <v>001</v>
      </c>
      <c r="S169" s="165" t="str">
        <f>VLOOKUP($A169,'Matriz POA 2024-TRABAJO'!$A$5:$CD$9142,34,FALSE)</f>
        <v>0000</v>
      </c>
      <c r="T169" s="165" t="str">
        <f>VLOOKUP($A169,'Matriz POA 2024-TRABAJO'!$A$5:$CD$9142,35,FALSE)</f>
        <v>0000</v>
      </c>
      <c r="U169" s="166">
        <f>VLOOKUP($A169,'Matriz POA 2024-TRABAJO'!$A$5:$CD$9142,66,FALSE)</f>
        <v>1350</v>
      </c>
      <c r="V169" s="166">
        <f>VLOOKUP($A169,'Matriz POA 2024-TRABAJO'!$A$5:$CD$9142,67,FALSE)</f>
        <v>-1350</v>
      </c>
      <c r="W169" s="166">
        <f>VLOOKUP($A169,'Matriz POA 2024-TRABAJO'!$A$5:$CD$9142,68,FALSE)</f>
        <v>0</v>
      </c>
      <c r="X169" s="166" t="str">
        <f>VLOOKUP($A169,'Matriz POA 2024-TRABAJO'!$A$5:$CD$9142,72,FALSE)</f>
        <v/>
      </c>
      <c r="Y169" s="392">
        <v>0</v>
      </c>
      <c r="Z169" s="392">
        <v>0</v>
      </c>
      <c r="AA169" s="392">
        <v>0</v>
      </c>
      <c r="AB169" s="393">
        <v>1350</v>
      </c>
      <c r="AC169" s="393"/>
      <c r="AD169" s="168"/>
      <c r="AE169" s="168"/>
      <c r="AF169" s="168">
        <f t="shared" si="78"/>
        <v>1350</v>
      </c>
      <c r="AG169" s="168">
        <f t="shared" si="79"/>
        <v>0</v>
      </c>
      <c r="AH169" s="168">
        <f t="shared" si="80"/>
        <v>1350</v>
      </c>
      <c r="AI169" s="169"/>
      <c r="AJ169" s="169"/>
      <c r="AK169" s="169"/>
      <c r="AL169" s="169">
        <v>1350</v>
      </c>
      <c r="AM169" s="169"/>
      <c r="AN169" s="169"/>
      <c r="AO169" s="169"/>
      <c r="AP169" s="169"/>
      <c r="AQ169" s="169"/>
      <c r="AR169" s="169"/>
      <c r="AS169" s="169"/>
      <c r="AT169" s="169"/>
      <c r="AU169" s="129">
        <f t="shared" si="77"/>
        <v>1350</v>
      </c>
      <c r="AV169" s="168" t="b">
        <f t="shared" si="81"/>
        <v>1</v>
      </c>
      <c r="AW169" s="170" t="s">
        <v>992</v>
      </c>
      <c r="AX169" s="226" t="s">
        <v>989</v>
      </c>
      <c r="AY169" s="227">
        <v>45366</v>
      </c>
      <c r="AZ169" s="228" t="s">
        <v>990</v>
      </c>
      <c r="BA169" s="227">
        <v>45366</v>
      </c>
      <c r="BB169" s="229">
        <f t="shared" si="82"/>
        <v>0</v>
      </c>
      <c r="BC169" s="165"/>
      <c r="BD169" s="226"/>
      <c r="BE169" s="230"/>
      <c r="BF169" s="165"/>
      <c r="BG169" s="231" t="str">
        <f t="shared" si="83"/>
        <v>marzo</v>
      </c>
      <c r="BH169" s="165" t="str">
        <f t="shared" si="84"/>
        <v>Corporación Ciudad Alfaro</v>
      </c>
      <c r="BI169" s="232" t="str">
        <f t="shared" si="85"/>
        <v>N/A</v>
      </c>
    </row>
    <row r="170" spans="1:61" ht="24.95" customHeight="1">
      <c r="A170" s="8">
        <v>811</v>
      </c>
      <c r="B170" s="12" t="str">
        <f>VLOOKUP($A170,'Matriz POA 2024-TRABAJO'!$A$5:$CD$9142,11,FALSE)</f>
        <v>Corporación Ciudad Alfaro</v>
      </c>
      <c r="C170" s="12" t="str">
        <f>VLOOKUP($A170,'Matriz POA 2024-TRABAJO'!$A$5:$CD$9142,14,FALSE)</f>
        <v>N/A</v>
      </c>
      <c r="D170" s="12" t="str">
        <f>VLOOKUP($A170,'Matriz POA 2024-TRABAJO'!$A$5:$CD$9142,15,FALSE)</f>
        <v>N/A</v>
      </c>
      <c r="E170" s="12" t="str">
        <f>VLOOKUP($A170,'Matriz POA 2024-TRABAJO'!$A$5:$CD$9142,18,FALSE)</f>
        <v>N/A</v>
      </c>
      <c r="F170" s="12" t="str">
        <f>VLOOKUP($A170,'Matriz POA 2024-TRABAJO'!$A$5:$CD$9142,20,FALSE)</f>
        <v>N/A</v>
      </c>
      <c r="G170" s="12" t="str">
        <f>VLOOKUP($A170,'Matriz POA 2024-TRABAJO'!$A$5:$CD$9142,21,FALSE)</f>
        <v>N/A</v>
      </c>
      <c r="H170" s="12" t="str">
        <f>VLOOKUP($A170,'Matriz POA 2024-TRABAJO'!$A$5:$CD$9142,22,FALSE)</f>
        <v>N/A</v>
      </c>
      <c r="I170" s="12" t="str">
        <f>VLOOKUP($A170,'Matriz POA 2024-TRABAJO'!$A$5:$CD$9142,23,FALSE)</f>
        <v>NUEVA</v>
      </c>
      <c r="J170" s="12" t="str">
        <f>VLOOKUP($A170,'Matriz POA 2024-TRABAJO'!$A$5:$CD$9142,24,FALSE)</f>
        <v>Instalación del sistema de detección de humo automático en planta baja, mezzanine, 1erpiso del museo bahía de caráquez.</v>
      </c>
      <c r="K170" s="12" t="str">
        <f>VLOOKUP($A170,'Matriz POA 2024-TRABAJO'!$A$5:$CD$9142,25,FALSE)</f>
        <v>0035</v>
      </c>
      <c r="L170" s="12" t="str">
        <f>VLOOKUP($A170,'Matriz POA 2024-TRABAJO'!$A$5:$CD$9142,26,FALSE)</f>
        <v>80</v>
      </c>
      <c r="M170" s="12" t="str">
        <f>VLOOKUP($A170,'Matriz POA 2024-TRABAJO'!$A$5:$CD$9142,27,FALSE)</f>
        <v>000</v>
      </c>
      <c r="N170" s="12" t="str">
        <f>VLOOKUP($A170,'Matriz POA 2024-TRABAJO'!$A$5:$CD$9142,28,FALSE)</f>
        <v>002</v>
      </c>
      <c r="O170" s="12" t="str">
        <f>VLOOKUP($A170,'Matriz POA 2024-TRABAJO'!$A$5:$CD$9142,29,FALSE)</f>
        <v>53</v>
      </c>
      <c r="P170" s="12">
        <f>VLOOKUP($A170,'Matriz POA 2024-TRABAJO'!$A$5:$CD$9142,30,FALSE)</f>
        <v>530811</v>
      </c>
      <c r="Q170" s="12">
        <f>VLOOKUP($A170,'Matriz POA 2024-TRABAJO'!$A$5:$CD$9142,32,FALSE)</f>
        <v>1314</v>
      </c>
      <c r="R170" s="12" t="str">
        <f>VLOOKUP($A170,'Matriz POA 2024-TRABAJO'!$A$5:$CD$9142,33,FALSE)</f>
        <v>001</v>
      </c>
      <c r="S170" s="12" t="str">
        <f>VLOOKUP($A170,'Matriz POA 2024-TRABAJO'!$A$5:$CD$9142,34,FALSE)</f>
        <v>0000</v>
      </c>
      <c r="T170" s="12" t="str">
        <f>VLOOKUP($A170,'Matriz POA 2024-TRABAJO'!$A$5:$CD$9142,35,FALSE)</f>
        <v>0000</v>
      </c>
      <c r="U170" s="62" t="str">
        <f>VLOOKUP($A170,'Matriz POA 2024-TRABAJO'!$A$5:$CD$9142,66,FALSE)</f>
        <v/>
      </c>
      <c r="V170" s="62" t="str">
        <f>VLOOKUP($A170,'Matriz POA 2024-TRABAJO'!$A$5:$CD$9142,67,FALSE)</f>
        <v/>
      </c>
      <c r="W170" s="62" t="str">
        <f>VLOOKUP($A170,'Matriz POA 2024-TRABAJO'!$A$5:$CD$9142,68,FALSE)</f>
        <v/>
      </c>
      <c r="X170" s="62" t="str">
        <f>VLOOKUP($A170,'Matriz POA 2024-TRABAJO'!$A$5:$CD$9142,72,FALSE)</f>
        <v/>
      </c>
      <c r="Y170" s="388">
        <v>3600</v>
      </c>
      <c r="Z170" s="388">
        <v>0</v>
      </c>
      <c r="AA170" s="388">
        <v>3600</v>
      </c>
      <c r="AB170" s="389"/>
      <c r="AC170" s="389">
        <v>-3600</v>
      </c>
      <c r="AD170" s="13"/>
      <c r="AE170" s="13"/>
      <c r="AF170" s="13">
        <f t="shared" ref="AF170:AF172" si="86">Y170+AB170+AC170</f>
        <v>0</v>
      </c>
      <c r="AG170" s="13">
        <f t="shared" ref="AG170:AG172" si="87">Z170+AD170+AE170</f>
        <v>0</v>
      </c>
      <c r="AH170" s="13">
        <f t="shared" ref="AH170:AH172" si="88">+AF170+AG170</f>
        <v>0</v>
      </c>
      <c r="AI170" s="129"/>
      <c r="AJ170" s="129"/>
      <c r="AK170" s="129"/>
      <c r="AL170" s="129"/>
      <c r="AM170" s="129"/>
      <c r="AN170" s="129"/>
      <c r="AO170" s="129"/>
      <c r="AP170" s="129"/>
      <c r="AQ170" s="129"/>
      <c r="AR170" s="129"/>
      <c r="AS170" s="129"/>
      <c r="AT170" s="129"/>
      <c r="AU170" s="129">
        <f t="shared" ref="AU170:AU172" si="89">SUM(AI170:AT170)</f>
        <v>0</v>
      </c>
      <c r="AV170" s="13" t="b">
        <f t="shared" ref="AV170:AV172" si="90">SUM(AI170:AT170)=AH170</f>
        <v>1</v>
      </c>
      <c r="AW170" s="14" t="s">
        <v>999</v>
      </c>
      <c r="AX170" s="15" t="s">
        <v>1000</v>
      </c>
      <c r="AY170" s="16">
        <v>45391</v>
      </c>
      <c r="AZ170" t="s">
        <v>1001</v>
      </c>
      <c r="BA170" s="16">
        <v>45392</v>
      </c>
      <c r="BB170" s="17">
        <f t="shared" ref="BB170:BB172" si="91">BA170-AY170</f>
        <v>1</v>
      </c>
      <c r="BC170" s="12"/>
      <c r="BD170" s="15"/>
      <c r="BE170" s="18"/>
      <c r="BF170" s="12"/>
      <c r="BG170" s="19" t="str">
        <f t="shared" ref="BG170:BG172" si="92">TEXT(BA170,"MMMM")</f>
        <v>abril</v>
      </c>
      <c r="BH170" s="12" t="str">
        <f t="shared" ref="BH170:BH172" si="93">B170</f>
        <v>Corporación Ciudad Alfaro</v>
      </c>
      <c r="BI170" s="20" t="str">
        <f t="shared" ref="BI170:BI172" si="94">E170</f>
        <v>N/A</v>
      </c>
    </row>
    <row r="171" spans="1:61" ht="24.95" customHeight="1">
      <c r="A171" s="8">
        <v>821</v>
      </c>
      <c r="B171" s="12" t="str">
        <f>VLOOKUP($A171,'Matriz POA 2024-TRABAJO'!$A$5:$CD$9142,11,FALSE)</f>
        <v>Corporación Ciudad Alfaro</v>
      </c>
      <c r="C171" s="12" t="str">
        <f>VLOOKUP($A171,'Matriz POA 2024-TRABAJO'!$A$5:$CD$9142,14,FALSE)</f>
        <v>N/A</v>
      </c>
      <c r="D171" s="12" t="str">
        <f>VLOOKUP($A171,'Matriz POA 2024-TRABAJO'!$A$5:$CD$9142,15,FALSE)</f>
        <v>N/A</v>
      </c>
      <c r="E171" s="12" t="str">
        <f>VLOOKUP($A171,'Matriz POA 2024-TRABAJO'!$A$5:$CD$9142,18,FALSE)</f>
        <v>N/A</v>
      </c>
      <c r="F171" s="12" t="str">
        <f>VLOOKUP($A171,'Matriz POA 2024-TRABAJO'!$A$5:$CD$9142,20,FALSE)</f>
        <v>N/A</v>
      </c>
      <c r="G171" s="12" t="str">
        <f>VLOOKUP($A171,'Matriz POA 2024-TRABAJO'!$A$5:$CD$9142,21,FALSE)</f>
        <v>N/A</v>
      </c>
      <c r="H171" s="12" t="str">
        <f>VLOOKUP($A171,'Matriz POA 2024-TRABAJO'!$A$5:$CD$9142,22,FALSE)</f>
        <v>N/A</v>
      </c>
      <c r="I171" s="12" t="str">
        <f>VLOOKUP($A171,'Matriz POA 2024-TRABAJO'!$A$5:$CD$9142,23,FALSE)</f>
        <v>NUEVA</v>
      </c>
      <c r="J171" s="12" t="str">
        <f>VLOOKUP($A171,'Matriz POA 2024-TRABAJO'!$A$5:$CD$9142,24,FALSE)</f>
        <v>Mantenimiento Preventivo y Correctivo para una central de aire de Planta Baja, una central de aire del Mezzanine, del Museo Bahía de Caráquez</v>
      </c>
      <c r="K171" s="12" t="str">
        <f>VLOOKUP($A171,'Matriz POA 2024-TRABAJO'!$A$5:$CD$9142,25,FALSE)</f>
        <v>0035</v>
      </c>
      <c r="L171" s="12" t="str">
        <f>VLOOKUP($A171,'Matriz POA 2024-TRABAJO'!$A$5:$CD$9142,26,FALSE)</f>
        <v>80</v>
      </c>
      <c r="M171" s="12" t="str">
        <f>VLOOKUP($A171,'Matriz POA 2024-TRABAJO'!$A$5:$CD$9142,27,FALSE)</f>
        <v>000</v>
      </c>
      <c r="N171" s="12" t="str">
        <f>VLOOKUP($A171,'Matriz POA 2024-TRABAJO'!$A$5:$CD$9142,28,FALSE)</f>
        <v>002</v>
      </c>
      <c r="O171" s="12" t="str">
        <f>VLOOKUP($A171,'Matriz POA 2024-TRABAJO'!$A$5:$CD$9142,29,FALSE)</f>
        <v>53</v>
      </c>
      <c r="P171" s="12">
        <f>VLOOKUP($A171,'Matriz POA 2024-TRABAJO'!$A$5:$CD$9142,30,FALSE)</f>
        <v>530404</v>
      </c>
      <c r="Q171" s="12">
        <f>VLOOKUP($A171,'Matriz POA 2024-TRABAJO'!$A$5:$CD$9142,32,FALSE)</f>
        <v>1314</v>
      </c>
      <c r="R171" s="12" t="str">
        <f>VLOOKUP($A171,'Matriz POA 2024-TRABAJO'!$A$5:$CD$9142,33,FALSE)</f>
        <v>001</v>
      </c>
      <c r="S171" s="12" t="str">
        <f>VLOOKUP($A171,'Matriz POA 2024-TRABAJO'!$A$5:$CD$9142,34,FALSE)</f>
        <v>0000</v>
      </c>
      <c r="T171" s="12" t="str">
        <f>VLOOKUP($A171,'Matriz POA 2024-TRABAJO'!$A$5:$CD$9142,35,FALSE)</f>
        <v>0000</v>
      </c>
      <c r="U171" s="62" t="str">
        <f>VLOOKUP($A171,'Matriz POA 2024-TRABAJO'!$A$5:$CD$9142,66,FALSE)</f>
        <v/>
      </c>
      <c r="V171" s="62" t="str">
        <f>VLOOKUP($A171,'Matriz POA 2024-TRABAJO'!$A$5:$CD$9142,67,FALSE)</f>
        <v/>
      </c>
      <c r="W171" s="62" t="str">
        <f>VLOOKUP($A171,'Matriz POA 2024-TRABAJO'!$A$5:$CD$9142,68,FALSE)</f>
        <v/>
      </c>
      <c r="X171" s="62" t="str">
        <f>VLOOKUP($A171,'Matriz POA 2024-TRABAJO'!$A$5:$CD$9142,72,FALSE)</f>
        <v/>
      </c>
      <c r="Y171" s="388">
        <v>5000</v>
      </c>
      <c r="Z171" s="388">
        <v>0</v>
      </c>
      <c r="AA171" s="388">
        <v>5000</v>
      </c>
      <c r="AB171" s="389"/>
      <c r="AC171" s="389">
        <v>-5000</v>
      </c>
      <c r="AD171" s="13"/>
      <c r="AE171" s="13"/>
      <c r="AF171" s="13">
        <f t="shared" si="86"/>
        <v>0</v>
      </c>
      <c r="AG171" s="13">
        <f t="shared" si="87"/>
        <v>0</v>
      </c>
      <c r="AH171" s="13">
        <f t="shared" si="88"/>
        <v>0</v>
      </c>
      <c r="AI171" s="129"/>
      <c r="AJ171" s="129"/>
      <c r="AK171" s="129"/>
      <c r="AL171" s="129"/>
      <c r="AM171" s="129"/>
      <c r="AN171" s="129"/>
      <c r="AO171" s="129"/>
      <c r="AP171" s="129"/>
      <c r="AQ171" s="129"/>
      <c r="AR171" s="129"/>
      <c r="AS171" s="129"/>
      <c r="AT171" s="129"/>
      <c r="AU171" s="129">
        <f t="shared" si="89"/>
        <v>0</v>
      </c>
      <c r="AV171" s="13" t="b">
        <f t="shared" si="90"/>
        <v>1</v>
      </c>
      <c r="AW171" s="14" t="s">
        <v>999</v>
      </c>
      <c r="AX171" s="262" t="s">
        <v>1000</v>
      </c>
      <c r="AY171" s="16">
        <v>45391</v>
      </c>
      <c r="AZ171" t="s">
        <v>1001</v>
      </c>
      <c r="BA171" s="16">
        <v>45392</v>
      </c>
      <c r="BB171" s="17">
        <f t="shared" si="91"/>
        <v>1</v>
      </c>
      <c r="BC171" s="12"/>
      <c r="BD171" s="15"/>
      <c r="BE171" s="18"/>
      <c r="BF171" s="12"/>
      <c r="BG171" s="19" t="str">
        <f t="shared" si="92"/>
        <v>abril</v>
      </c>
      <c r="BH171" s="12" t="str">
        <f t="shared" si="93"/>
        <v>Corporación Ciudad Alfaro</v>
      </c>
      <c r="BI171" s="20" t="str">
        <f t="shared" si="94"/>
        <v>N/A</v>
      </c>
    </row>
    <row r="172" spans="1:61" ht="24.95" customHeight="1">
      <c r="A172" s="8">
        <v>849</v>
      </c>
      <c r="B172" s="12" t="str">
        <f>VLOOKUP($A172,'Matriz POA 2024-TRABAJO'!$A$5:$CD$9142,11,FALSE)</f>
        <v>Corporación Ciudad Alfaro</v>
      </c>
      <c r="C172" s="12" t="str">
        <f>VLOOKUP($A172,'Matriz POA 2024-TRABAJO'!$A$5:$CD$9142,14,FALSE)</f>
        <v>N/A</v>
      </c>
      <c r="D172" s="12" t="str">
        <f>VLOOKUP($A172,'Matriz POA 2024-TRABAJO'!$A$5:$CD$9142,15,FALSE)</f>
        <v>N/A</v>
      </c>
      <c r="E172" s="12" t="str">
        <f>VLOOKUP($A172,'Matriz POA 2024-TRABAJO'!$A$5:$CD$9142,18,FALSE)</f>
        <v>N/A</v>
      </c>
      <c r="F172" s="12" t="str">
        <f>VLOOKUP($A172,'Matriz POA 2024-TRABAJO'!$A$5:$CD$9142,20,FALSE)</f>
        <v>N/A</v>
      </c>
      <c r="G172" s="12" t="str">
        <f>VLOOKUP($A172,'Matriz POA 2024-TRABAJO'!$A$5:$CD$9142,21,FALSE)</f>
        <v>N/A</v>
      </c>
      <c r="H172" s="12" t="str">
        <f>VLOOKUP($A172,'Matriz POA 2024-TRABAJO'!$A$5:$CD$9142,22,FALSE)</f>
        <v>N/A</v>
      </c>
      <c r="I172" s="12" t="str">
        <f>VLOOKUP($A172,'Matriz POA 2024-TRABAJO'!$A$5:$CD$9142,23,FALSE)</f>
        <v>NUEVA</v>
      </c>
      <c r="J172" s="12" t="str">
        <f>VLOOKUP($A172,'Matriz POA 2024-TRABAJO'!$A$5:$CD$9142,24,FALSE)</f>
        <v>Instalación del sistema de detección contra incendio automatizado para planta baja, mezzanine y 1er piso del Museo Bahía de Caráquez.</v>
      </c>
      <c r="K172" s="12" t="str">
        <f>VLOOKUP($A172,'Matriz POA 2024-TRABAJO'!$A$5:$CD$9142,25,FALSE)</f>
        <v>0035</v>
      </c>
      <c r="L172" s="12" t="str">
        <f>VLOOKUP($A172,'Matriz POA 2024-TRABAJO'!$A$5:$CD$9142,26,FALSE)</f>
        <v>80</v>
      </c>
      <c r="M172" s="12" t="str">
        <f>VLOOKUP($A172,'Matriz POA 2024-TRABAJO'!$A$5:$CD$9142,27,FALSE)</f>
        <v>000</v>
      </c>
      <c r="N172" s="12" t="str">
        <f>VLOOKUP($A172,'Matriz POA 2024-TRABAJO'!$A$5:$CD$9142,28,FALSE)</f>
        <v>002</v>
      </c>
      <c r="O172" s="12" t="str">
        <f>VLOOKUP($A172,'Matriz POA 2024-TRABAJO'!$A$5:$CD$9142,29,FALSE)</f>
        <v>53</v>
      </c>
      <c r="P172" s="12">
        <f>VLOOKUP($A172,'Matriz POA 2024-TRABAJO'!$A$5:$CD$9142,30,FALSE)</f>
        <v>530402</v>
      </c>
      <c r="Q172" s="12">
        <f>VLOOKUP($A172,'Matriz POA 2024-TRABAJO'!$A$5:$CD$9142,32,FALSE)</f>
        <v>1314</v>
      </c>
      <c r="R172" s="12" t="str">
        <f>VLOOKUP($A172,'Matriz POA 2024-TRABAJO'!$A$5:$CD$9142,33,FALSE)</f>
        <v>001</v>
      </c>
      <c r="S172" s="12" t="str">
        <f>VLOOKUP($A172,'Matriz POA 2024-TRABAJO'!$A$5:$CD$9142,34,FALSE)</f>
        <v>0000</v>
      </c>
      <c r="T172" s="12" t="str">
        <f>VLOOKUP($A172,'Matriz POA 2024-TRABAJO'!$A$5:$CD$9142,35,FALSE)</f>
        <v>0000</v>
      </c>
      <c r="U172" s="62">
        <f>VLOOKUP($A172,'Matriz POA 2024-TRABAJO'!$A$5:$CD$9142,66,FALSE)</f>
        <v>8600</v>
      </c>
      <c r="V172" s="62">
        <f>VLOOKUP($A172,'Matriz POA 2024-TRABAJO'!$A$5:$CD$9142,67,FALSE)</f>
        <v>-8600</v>
      </c>
      <c r="W172" s="62">
        <f>VLOOKUP($A172,'Matriz POA 2024-TRABAJO'!$A$5:$CD$9142,68,FALSE)</f>
        <v>0</v>
      </c>
      <c r="X172" s="62" t="str">
        <f>VLOOKUP($A172,'Matriz POA 2024-TRABAJO'!$A$5:$CD$9142,72,FALSE)</f>
        <v/>
      </c>
      <c r="Y172" s="388">
        <v>0</v>
      </c>
      <c r="Z172" s="388">
        <v>0</v>
      </c>
      <c r="AA172" s="388">
        <v>0</v>
      </c>
      <c r="AB172" s="389">
        <v>8600</v>
      </c>
      <c r="AC172" s="389"/>
      <c r="AD172" s="13"/>
      <c r="AE172" s="13"/>
      <c r="AF172" s="13">
        <f t="shared" si="86"/>
        <v>8600</v>
      </c>
      <c r="AG172" s="13">
        <f t="shared" si="87"/>
        <v>0</v>
      </c>
      <c r="AH172" s="13">
        <f t="shared" si="88"/>
        <v>8600</v>
      </c>
      <c r="AI172" s="129"/>
      <c r="AJ172" s="129"/>
      <c r="AK172" s="129"/>
      <c r="AL172" s="129"/>
      <c r="AM172" s="129"/>
      <c r="AN172" s="129"/>
      <c r="AO172" s="129"/>
      <c r="AP172" s="129"/>
      <c r="AQ172" s="129"/>
      <c r="AR172" s="129"/>
      <c r="AS172" s="129"/>
      <c r="AT172" s="129"/>
      <c r="AU172" s="129">
        <f t="shared" si="89"/>
        <v>0</v>
      </c>
      <c r="AV172" s="13" t="b">
        <f t="shared" si="90"/>
        <v>0</v>
      </c>
      <c r="AW172" s="14" t="s">
        <v>999</v>
      </c>
      <c r="AX172" s="262" t="s">
        <v>1000</v>
      </c>
      <c r="AY172" s="16">
        <v>45391</v>
      </c>
      <c r="AZ172" t="s">
        <v>1001</v>
      </c>
      <c r="BA172" s="16">
        <v>45392</v>
      </c>
      <c r="BB172" s="17">
        <f t="shared" si="91"/>
        <v>1</v>
      </c>
      <c r="BC172" s="12"/>
      <c r="BD172" s="15"/>
      <c r="BE172" s="18"/>
      <c r="BF172" s="12"/>
      <c r="BG172" s="19" t="str">
        <f t="shared" si="92"/>
        <v>abril</v>
      </c>
      <c r="BH172" s="12" t="str">
        <f t="shared" si="93"/>
        <v>Corporación Ciudad Alfaro</v>
      </c>
      <c r="BI172" s="20" t="str">
        <f t="shared" si="94"/>
        <v>N/A</v>
      </c>
    </row>
    <row r="173" spans="1:61" ht="24.95" customHeight="1">
      <c r="A173" s="8">
        <v>812</v>
      </c>
      <c r="B173" s="12" t="str">
        <f>VLOOKUP($A173,'Matriz POA 2024-TRABAJO'!$A$5:$CD$9142,11,FALSE)</f>
        <v>Corporación Ciudad Alfaro</v>
      </c>
      <c r="C173" s="12" t="str">
        <f>VLOOKUP($A173,'Matriz POA 2024-TRABAJO'!$A$5:$CD$9142,14,FALSE)</f>
        <v>N/A</v>
      </c>
      <c r="D173" s="12" t="str">
        <f>VLOOKUP($A173,'Matriz POA 2024-TRABAJO'!$A$5:$CD$9142,15,FALSE)</f>
        <v>N/A</v>
      </c>
      <c r="E173" s="12" t="str">
        <f>VLOOKUP($A173,'Matriz POA 2024-TRABAJO'!$A$5:$CD$9142,18,FALSE)</f>
        <v>N/A</v>
      </c>
      <c r="F173" s="12" t="str">
        <f>VLOOKUP($A173,'Matriz POA 2024-TRABAJO'!$A$5:$CD$9142,20,FALSE)</f>
        <v>N/A</v>
      </c>
      <c r="G173" s="12" t="str">
        <f>VLOOKUP($A173,'Matriz POA 2024-TRABAJO'!$A$5:$CD$9142,21,FALSE)</f>
        <v>N/A</v>
      </c>
      <c r="H173" s="12" t="str">
        <f>VLOOKUP($A173,'Matriz POA 2024-TRABAJO'!$A$5:$CD$9142,22,FALSE)</f>
        <v>N/A</v>
      </c>
      <c r="I173" s="12" t="str">
        <f>VLOOKUP($A173,'Matriz POA 2024-TRABAJO'!$A$5:$CD$9142,23,FALSE)</f>
        <v>NUEVA</v>
      </c>
      <c r="J173" s="12" t="str">
        <f>VLOOKUP($A173,'Matriz POA 2024-TRABAJO'!$A$5:$CD$9142,24,FALSE)</f>
        <v>Construcción cubierta en la terraza del primer piso de la sede del Museo Bahía de Caráquez</v>
      </c>
      <c r="K173" s="12" t="str">
        <f>VLOOKUP($A173,'Matriz POA 2024-TRABAJO'!$A$5:$CD$9142,25,FALSE)</f>
        <v>0035</v>
      </c>
      <c r="L173" s="12" t="str">
        <f>VLOOKUP($A173,'Matriz POA 2024-TRABAJO'!$A$5:$CD$9142,26,FALSE)</f>
        <v>80</v>
      </c>
      <c r="M173" s="12" t="str">
        <f>VLOOKUP($A173,'Matriz POA 2024-TRABAJO'!$A$5:$CD$9142,27,FALSE)</f>
        <v>000</v>
      </c>
      <c r="N173" s="12" t="str">
        <f>VLOOKUP($A173,'Matriz POA 2024-TRABAJO'!$A$5:$CD$9142,28,FALSE)</f>
        <v>002</v>
      </c>
      <c r="O173" s="12" t="str">
        <f>VLOOKUP($A173,'Matriz POA 2024-TRABAJO'!$A$5:$CD$9142,29,FALSE)</f>
        <v>53</v>
      </c>
      <c r="P173" s="12">
        <f>VLOOKUP($A173,'Matriz POA 2024-TRABAJO'!$A$5:$CD$9142,30,FALSE)</f>
        <v>530402</v>
      </c>
      <c r="Q173" s="12">
        <f>VLOOKUP($A173,'Matriz POA 2024-TRABAJO'!$A$5:$CD$9142,32,FALSE)</f>
        <v>1314</v>
      </c>
      <c r="R173" s="12" t="str">
        <f>VLOOKUP($A173,'Matriz POA 2024-TRABAJO'!$A$5:$CD$9142,33,FALSE)</f>
        <v>001</v>
      </c>
      <c r="S173" s="12" t="str">
        <f>VLOOKUP($A173,'Matriz POA 2024-TRABAJO'!$A$5:$CD$9142,34,FALSE)</f>
        <v>0000</v>
      </c>
      <c r="T173" s="12" t="str">
        <f>VLOOKUP($A173,'Matriz POA 2024-TRABAJO'!$A$5:$CD$9142,35,FALSE)</f>
        <v>0000</v>
      </c>
      <c r="U173" s="62" t="str">
        <f>VLOOKUP($A173,'Matriz POA 2024-TRABAJO'!$A$5:$CD$9142,66,FALSE)</f>
        <v/>
      </c>
      <c r="V173" s="62" t="str">
        <f>VLOOKUP($A173,'Matriz POA 2024-TRABAJO'!$A$5:$CD$9142,67,FALSE)</f>
        <v/>
      </c>
      <c r="W173" s="62" t="str">
        <f>VLOOKUP($A173,'Matriz POA 2024-TRABAJO'!$A$5:$CD$9142,68,FALSE)</f>
        <v/>
      </c>
      <c r="X173" s="62" t="str">
        <f>VLOOKUP($A173,'Matriz POA 2024-TRABAJO'!$A$5:$CD$9142,72,FALSE)</f>
        <v/>
      </c>
      <c r="Y173" s="388">
        <v>8000</v>
      </c>
      <c r="Z173" s="388">
        <v>0</v>
      </c>
      <c r="AA173" s="388">
        <v>8000</v>
      </c>
      <c r="AB173" s="389"/>
      <c r="AC173" s="389">
        <v>-8000</v>
      </c>
      <c r="AD173" s="13"/>
      <c r="AE173" s="13"/>
      <c r="AF173" s="13">
        <f t="shared" ref="AF173:AF199" si="95">Y173+AB173+AC173</f>
        <v>0</v>
      </c>
      <c r="AG173" s="13">
        <f t="shared" ref="AG173:AG199" si="96">Z173+AD173+AE173</f>
        <v>0</v>
      </c>
      <c r="AH173" s="13">
        <f t="shared" ref="AH173:AH199" si="97">+AF173+AG173</f>
        <v>0</v>
      </c>
      <c r="AI173" s="129"/>
      <c r="AJ173" s="129"/>
      <c r="AK173" s="129"/>
      <c r="AL173" s="129"/>
      <c r="AM173" s="129"/>
      <c r="AN173" s="129"/>
      <c r="AO173" s="129"/>
      <c r="AP173" s="129"/>
      <c r="AQ173" s="129"/>
      <c r="AR173" s="129"/>
      <c r="AS173" s="129"/>
      <c r="AT173" s="129"/>
      <c r="AU173" s="129">
        <f t="shared" ref="AU173:AU199" si="98">SUM(AI173:AT173)</f>
        <v>0</v>
      </c>
      <c r="AV173" s="13" t="b">
        <f t="shared" ref="AV173:AV199" si="99">SUM(AI173:AT173)=AH173</f>
        <v>1</v>
      </c>
      <c r="AW173" s="14" t="s">
        <v>1826</v>
      </c>
      <c r="AX173" s="15" t="s">
        <v>1799</v>
      </c>
      <c r="AY173" s="16">
        <v>45422</v>
      </c>
      <c r="AZ173" s="15" t="s">
        <v>1829</v>
      </c>
      <c r="BA173" s="16">
        <v>45428</v>
      </c>
      <c r="BB173" s="17">
        <f t="shared" ref="BB173:BB182" si="100">BA173-AY173</f>
        <v>6</v>
      </c>
      <c r="BC173" s="12"/>
      <c r="BD173" s="15"/>
      <c r="BE173" s="18"/>
      <c r="BF173" s="12"/>
      <c r="BG173" s="19" t="str">
        <f t="shared" ref="BG173:BG199" si="101">TEXT(BA173,"MMMM")</f>
        <v>mayo</v>
      </c>
      <c r="BH173" s="12" t="str">
        <f t="shared" ref="BH173:BH199" si="102">B173</f>
        <v>Corporación Ciudad Alfaro</v>
      </c>
      <c r="BI173" s="20" t="str">
        <f t="shared" ref="BI173:BI199" si="103">E173</f>
        <v>N/A</v>
      </c>
    </row>
    <row r="174" spans="1:61" ht="24.95" customHeight="1">
      <c r="A174" s="8">
        <v>482</v>
      </c>
      <c r="B174" s="12" t="str">
        <f>VLOOKUP($A174,'Matriz POA 2024-TRABAJO'!$A$5:$CD$9142,11,FALSE)</f>
        <v>Corporación Ciudad Alfaro</v>
      </c>
      <c r="C174" s="12" t="str">
        <f>VLOOKUP($A174,'Matriz POA 2024-TRABAJO'!$A$5:$CD$9142,14,FALSE)</f>
        <v>N/A</v>
      </c>
      <c r="D174" s="12" t="str">
        <f>VLOOKUP($A174,'Matriz POA 2024-TRABAJO'!$A$5:$CD$9142,15,FALSE)</f>
        <v>N/A</v>
      </c>
      <c r="E174" s="12" t="str">
        <f>VLOOKUP($A174,'Matriz POA 2024-TRABAJO'!$A$5:$CD$9142,18,FALSE)</f>
        <v>N/A</v>
      </c>
      <c r="F174" s="12" t="str">
        <f>VLOOKUP($A174,'Matriz POA 2024-TRABAJO'!$A$5:$CD$9142,20,FALSE)</f>
        <v>N/A</v>
      </c>
      <c r="G174" s="12" t="str">
        <f>VLOOKUP($A174,'Matriz POA 2024-TRABAJO'!$A$5:$CD$9142,21,FALSE)</f>
        <v>N/A</v>
      </c>
      <c r="H174" s="12" t="str">
        <f>VLOOKUP($A174,'Matriz POA 2024-TRABAJO'!$A$5:$CD$9142,22,FALSE)</f>
        <v>N/A</v>
      </c>
      <c r="I174" s="12" t="str">
        <f>VLOOKUP($A174,'Matriz POA 2024-TRABAJO'!$A$5:$CD$9142,23,FALSE)</f>
        <v>NUEVA</v>
      </c>
      <c r="J174" s="12" t="str">
        <f>VLOOKUP($A174,'Matriz POA 2024-TRABAJO'!$A$5:$CD$9142,24,FALSE)</f>
        <v>Mantenimiento preventivo y correctivo de las cerchas metálicas, ventanas, puertas y mampostería de la corporación ciudad alfaro</v>
      </c>
      <c r="K174" s="12" t="str">
        <f>VLOOKUP($A174,'Matriz POA 2024-TRABAJO'!$A$5:$CD$9142,25,FALSE)</f>
        <v>0035</v>
      </c>
      <c r="L174" s="12" t="str">
        <f>VLOOKUP($A174,'Matriz POA 2024-TRABAJO'!$A$5:$CD$9142,26,FALSE)</f>
        <v>80</v>
      </c>
      <c r="M174" s="12" t="str">
        <f>VLOOKUP($A174,'Matriz POA 2024-TRABAJO'!$A$5:$CD$9142,27,FALSE)</f>
        <v>000</v>
      </c>
      <c r="N174" s="12" t="str">
        <f>VLOOKUP($A174,'Matriz POA 2024-TRABAJO'!$A$5:$CD$9142,28,FALSE)</f>
        <v>002</v>
      </c>
      <c r="O174" s="12" t="str">
        <f>VLOOKUP($A174,'Matriz POA 2024-TRABAJO'!$A$5:$CD$9142,29,FALSE)</f>
        <v>53</v>
      </c>
      <c r="P174" s="12">
        <f>VLOOKUP($A174,'Matriz POA 2024-TRABAJO'!$A$5:$CD$9142,30,FALSE)</f>
        <v>530425</v>
      </c>
      <c r="Q174" s="12">
        <f>VLOOKUP($A174,'Matriz POA 2024-TRABAJO'!$A$5:$CD$9142,32,FALSE)</f>
        <v>1309</v>
      </c>
      <c r="R174" s="12" t="str">
        <f>VLOOKUP($A174,'Matriz POA 2024-TRABAJO'!$A$5:$CD$9142,33,FALSE)</f>
        <v>001</v>
      </c>
      <c r="S174" s="12" t="str">
        <f>VLOOKUP($A174,'Matriz POA 2024-TRABAJO'!$A$5:$CD$9142,34,FALSE)</f>
        <v>0000</v>
      </c>
      <c r="T174" s="12" t="str">
        <f>VLOOKUP($A174,'Matriz POA 2024-TRABAJO'!$A$5:$CD$9142,35,FALSE)</f>
        <v>0000</v>
      </c>
      <c r="U174" s="62">
        <f>VLOOKUP($A174,'Matriz POA 2024-TRABAJO'!$A$5:$CD$9142,66,FALSE)</f>
        <v>0</v>
      </c>
      <c r="V174" s="62">
        <f>VLOOKUP($A174,'Matriz POA 2024-TRABAJO'!$A$5:$CD$9142,67,FALSE)</f>
        <v>0</v>
      </c>
      <c r="W174" s="62">
        <f>VLOOKUP($A174,'Matriz POA 2024-TRABAJO'!$A$5:$CD$9142,68,FALSE)</f>
        <v>0</v>
      </c>
      <c r="X174" s="62" t="str">
        <f>VLOOKUP($A174,'Matriz POA 2024-TRABAJO'!$A$5:$CD$9142,72,FALSE)</f>
        <v/>
      </c>
      <c r="Y174" s="388">
        <v>7000</v>
      </c>
      <c r="Z174" s="388">
        <v>0</v>
      </c>
      <c r="AA174" s="388">
        <v>7000</v>
      </c>
      <c r="AB174" s="389"/>
      <c r="AC174" s="389">
        <v>-7000</v>
      </c>
      <c r="AD174" s="13"/>
      <c r="AE174" s="13"/>
      <c r="AF174" s="13">
        <f t="shared" si="95"/>
        <v>0</v>
      </c>
      <c r="AG174" s="13">
        <f t="shared" si="96"/>
        <v>0</v>
      </c>
      <c r="AH174" s="13">
        <f t="shared" si="97"/>
        <v>0</v>
      </c>
      <c r="AI174" s="129"/>
      <c r="AJ174" s="129"/>
      <c r="AK174" s="129"/>
      <c r="AL174" s="129"/>
      <c r="AM174" s="129"/>
      <c r="AN174" s="129"/>
      <c r="AO174" s="129"/>
      <c r="AP174" s="129"/>
      <c r="AQ174" s="129"/>
      <c r="AR174" s="129"/>
      <c r="AS174" s="129"/>
      <c r="AT174" s="129"/>
      <c r="AU174" s="129">
        <f t="shared" si="98"/>
        <v>0</v>
      </c>
      <c r="AV174" s="13" t="b">
        <f t="shared" si="99"/>
        <v>1</v>
      </c>
      <c r="AW174" s="14" t="s">
        <v>1826</v>
      </c>
      <c r="AX174" s="15" t="s">
        <v>1799</v>
      </c>
      <c r="AY174" s="16">
        <v>45422</v>
      </c>
      <c r="AZ174" s="15" t="s">
        <v>1829</v>
      </c>
      <c r="BA174" s="16">
        <v>45428</v>
      </c>
      <c r="BB174" s="17">
        <f t="shared" si="100"/>
        <v>6</v>
      </c>
      <c r="BC174" s="12"/>
      <c r="BD174" s="15"/>
      <c r="BE174" s="18"/>
      <c r="BF174" s="12"/>
      <c r="BG174" s="19" t="str">
        <f t="shared" si="101"/>
        <v>mayo</v>
      </c>
      <c r="BH174" s="12" t="str">
        <f t="shared" si="102"/>
        <v>Corporación Ciudad Alfaro</v>
      </c>
      <c r="BI174" s="20" t="str">
        <f t="shared" si="103"/>
        <v>N/A</v>
      </c>
    </row>
    <row r="175" spans="1:61" ht="24.95" customHeight="1">
      <c r="A175" s="8">
        <v>816</v>
      </c>
      <c r="B175" s="12" t="str">
        <f>VLOOKUP($A175,'Matriz POA 2024-TRABAJO'!$A$5:$CD$9142,11,FALSE)</f>
        <v>Corporación Ciudad Alfaro</v>
      </c>
      <c r="C175" s="12" t="str">
        <f>VLOOKUP($A175,'Matriz POA 2024-TRABAJO'!$A$5:$CD$9142,14,FALSE)</f>
        <v>N/A</v>
      </c>
      <c r="D175" s="12" t="str">
        <f>VLOOKUP($A175,'Matriz POA 2024-TRABAJO'!$A$5:$CD$9142,15,FALSE)</f>
        <v>N/A</v>
      </c>
      <c r="E175" s="12" t="str">
        <f>VLOOKUP($A175,'Matriz POA 2024-TRABAJO'!$A$5:$CD$9142,18,FALSE)</f>
        <v>N/A</v>
      </c>
      <c r="F175" s="12" t="str">
        <f>VLOOKUP($A175,'Matriz POA 2024-TRABAJO'!$A$5:$CD$9142,20,FALSE)</f>
        <v>N/A</v>
      </c>
      <c r="G175" s="12" t="str">
        <f>VLOOKUP($A175,'Matriz POA 2024-TRABAJO'!$A$5:$CD$9142,21,FALSE)</f>
        <v>N/A</v>
      </c>
      <c r="H175" s="12" t="str">
        <f>VLOOKUP($A175,'Matriz POA 2024-TRABAJO'!$A$5:$CD$9142,22,FALSE)</f>
        <v>N/A</v>
      </c>
      <c r="I175" s="12" t="str">
        <f>VLOOKUP($A175,'Matriz POA 2024-TRABAJO'!$A$5:$CD$9142,23,FALSE)</f>
        <v>NUEVA</v>
      </c>
      <c r="J175" s="12" t="str">
        <f>VLOOKUP($A175,'Matriz POA 2024-TRABAJO'!$A$5:$CD$9142,24,FALSE)</f>
        <v>Contratación del servicio de mantenimiento preventivo y correctivo de bombas sumergibles y bombas de agua potable en el Museo Centro Cultural Manta,  sede de la Corporación Ciudad Alfaro</v>
      </c>
      <c r="K175" s="12" t="str">
        <f>VLOOKUP($A175,'Matriz POA 2024-TRABAJO'!$A$5:$CD$9142,25,FALSE)</f>
        <v>0035</v>
      </c>
      <c r="L175" s="12" t="str">
        <f>VLOOKUP($A175,'Matriz POA 2024-TRABAJO'!$A$5:$CD$9142,26,FALSE)</f>
        <v>80</v>
      </c>
      <c r="M175" s="12" t="str">
        <f>VLOOKUP($A175,'Matriz POA 2024-TRABAJO'!$A$5:$CD$9142,27,FALSE)</f>
        <v>000</v>
      </c>
      <c r="N175" s="12" t="str">
        <f>VLOOKUP($A175,'Matriz POA 2024-TRABAJO'!$A$5:$CD$9142,28,FALSE)</f>
        <v>002</v>
      </c>
      <c r="O175" s="12" t="str">
        <f>VLOOKUP($A175,'Matriz POA 2024-TRABAJO'!$A$5:$CD$9142,29,FALSE)</f>
        <v>53</v>
      </c>
      <c r="P175" s="12">
        <f>VLOOKUP($A175,'Matriz POA 2024-TRABAJO'!$A$5:$CD$9142,30,FALSE)</f>
        <v>530403</v>
      </c>
      <c r="Q175" s="12">
        <f>VLOOKUP($A175,'Matriz POA 2024-TRABAJO'!$A$5:$CD$9142,32,FALSE)</f>
        <v>1308</v>
      </c>
      <c r="R175" s="12" t="str">
        <f>VLOOKUP($A175,'Matriz POA 2024-TRABAJO'!$A$5:$CD$9142,33,FALSE)</f>
        <v>001</v>
      </c>
      <c r="S175" s="12" t="str">
        <f>VLOOKUP($A175,'Matriz POA 2024-TRABAJO'!$A$5:$CD$9142,34,FALSE)</f>
        <v>0000</v>
      </c>
      <c r="T175" s="12" t="str">
        <f>VLOOKUP($A175,'Matriz POA 2024-TRABAJO'!$A$5:$CD$9142,35,FALSE)</f>
        <v>0000</v>
      </c>
      <c r="U175" s="62">
        <f>VLOOKUP($A175,'Matriz POA 2024-TRABAJO'!$A$5:$CD$9142,66,FALSE)</f>
        <v>4800</v>
      </c>
      <c r="V175" s="62">
        <f>VLOOKUP($A175,'Matriz POA 2024-TRABAJO'!$A$5:$CD$9142,67,FALSE)</f>
        <v>-4800</v>
      </c>
      <c r="W175" s="62">
        <f>VLOOKUP($A175,'Matriz POA 2024-TRABAJO'!$A$5:$CD$9142,68,FALSE)</f>
        <v>0</v>
      </c>
      <c r="X175" s="62" t="str">
        <f>VLOOKUP($A175,'Matriz POA 2024-TRABAJO'!$A$5:$CD$9142,72,FALSE)</f>
        <v/>
      </c>
      <c r="Y175" s="388">
        <v>9788.9</v>
      </c>
      <c r="Z175" s="388">
        <v>0</v>
      </c>
      <c r="AA175" s="388">
        <v>9788.9</v>
      </c>
      <c r="AB175" s="389"/>
      <c r="AC175" s="389">
        <v>-4988.8999999999996</v>
      </c>
      <c r="AD175" s="13"/>
      <c r="AE175" s="13"/>
      <c r="AF175" s="13">
        <f t="shared" si="95"/>
        <v>4800</v>
      </c>
      <c r="AG175" s="13">
        <f t="shared" si="96"/>
        <v>0</v>
      </c>
      <c r="AH175" s="13">
        <f t="shared" si="97"/>
        <v>4800</v>
      </c>
      <c r="AI175" s="129"/>
      <c r="AJ175" s="129"/>
      <c r="AK175" s="129"/>
      <c r="AL175" s="129"/>
      <c r="AM175" s="129"/>
      <c r="AN175" s="129"/>
      <c r="AO175" s="129"/>
      <c r="AP175" s="129"/>
      <c r="AQ175" s="129"/>
      <c r="AR175" s="129"/>
      <c r="AS175" s="129"/>
      <c r="AT175" s="129"/>
      <c r="AU175" s="129">
        <f t="shared" si="98"/>
        <v>0</v>
      </c>
      <c r="AV175" s="13" t="b">
        <f t="shared" si="99"/>
        <v>0</v>
      </c>
      <c r="AW175" s="14" t="s">
        <v>1826</v>
      </c>
      <c r="AX175" s="15" t="s">
        <v>1799</v>
      </c>
      <c r="AY175" s="16">
        <v>45422</v>
      </c>
      <c r="AZ175" s="15" t="s">
        <v>1829</v>
      </c>
      <c r="BA175" s="16">
        <v>45428</v>
      </c>
      <c r="BB175" s="17">
        <f t="shared" si="100"/>
        <v>6</v>
      </c>
      <c r="BC175" s="12"/>
      <c r="BD175" s="15"/>
      <c r="BE175" s="18"/>
      <c r="BF175" s="12"/>
      <c r="BG175" s="19" t="str">
        <f t="shared" si="101"/>
        <v>mayo</v>
      </c>
      <c r="BH175" s="12" t="str">
        <f t="shared" si="102"/>
        <v>Corporación Ciudad Alfaro</v>
      </c>
      <c r="BI175" s="20" t="str">
        <f t="shared" si="103"/>
        <v>N/A</v>
      </c>
    </row>
    <row r="176" spans="1:61" ht="24.95" customHeight="1">
      <c r="A176" s="8">
        <v>780</v>
      </c>
      <c r="B176" s="12" t="str">
        <f>VLOOKUP($A176,'Matriz POA 2024-TRABAJO'!$A$5:$CD$9142,11,FALSE)</f>
        <v>Corporación Ciudad Alfaro</v>
      </c>
      <c r="C176" s="12" t="str">
        <f>VLOOKUP($A176,'Matriz POA 2024-TRABAJO'!$A$5:$CD$9142,14,FALSE)</f>
        <v>N/A</v>
      </c>
      <c r="D176" s="12" t="str">
        <f>VLOOKUP($A176,'Matriz POA 2024-TRABAJO'!$A$5:$CD$9142,15,FALSE)</f>
        <v>N/A</v>
      </c>
      <c r="E176" s="12" t="str">
        <f>VLOOKUP($A176,'Matriz POA 2024-TRABAJO'!$A$5:$CD$9142,18,FALSE)</f>
        <v>N/A</v>
      </c>
      <c r="F176" s="12" t="str">
        <f>VLOOKUP($A176,'Matriz POA 2024-TRABAJO'!$A$5:$CD$9142,20,FALSE)</f>
        <v>N/A</v>
      </c>
      <c r="G176" s="12" t="str">
        <f>VLOOKUP($A176,'Matriz POA 2024-TRABAJO'!$A$5:$CD$9142,21,FALSE)</f>
        <v>N/A</v>
      </c>
      <c r="H176" s="12" t="str">
        <f>VLOOKUP($A176,'Matriz POA 2024-TRABAJO'!$A$5:$CD$9142,22,FALSE)</f>
        <v>N/A</v>
      </c>
      <c r="I176" s="12" t="str">
        <f>VLOOKUP($A176,'Matriz POA 2024-TRABAJO'!$A$5:$CD$9142,23,FALSE)</f>
        <v>NUEVA</v>
      </c>
      <c r="J176" s="12" t="str">
        <f>VLOOKUP($A176,'Matriz POA 2024-TRABAJO'!$A$5:$CD$9142,24,FALSE)</f>
        <v xml:space="preserve">Pago de impuesto predial 2024 del Museo Centro Cultural Manta </v>
      </c>
      <c r="K176" s="12" t="str">
        <f>VLOOKUP($A176,'Matriz POA 2024-TRABAJO'!$A$5:$CD$9142,25,FALSE)</f>
        <v>0035</v>
      </c>
      <c r="L176" s="12" t="str">
        <f>VLOOKUP($A176,'Matriz POA 2024-TRABAJO'!$A$5:$CD$9142,26,FALSE)</f>
        <v>80</v>
      </c>
      <c r="M176" s="12" t="str">
        <f>VLOOKUP($A176,'Matriz POA 2024-TRABAJO'!$A$5:$CD$9142,27,FALSE)</f>
        <v>000</v>
      </c>
      <c r="N176" s="12" t="str">
        <f>VLOOKUP($A176,'Matriz POA 2024-TRABAJO'!$A$5:$CD$9142,28,FALSE)</f>
        <v>002</v>
      </c>
      <c r="O176" s="12" t="str">
        <f>VLOOKUP($A176,'Matriz POA 2024-TRABAJO'!$A$5:$CD$9142,29,FALSE)</f>
        <v>57</v>
      </c>
      <c r="P176" s="12">
        <f>VLOOKUP($A176,'Matriz POA 2024-TRABAJO'!$A$5:$CD$9142,30,FALSE)</f>
        <v>570102</v>
      </c>
      <c r="Q176" s="12">
        <f>VLOOKUP($A176,'Matriz POA 2024-TRABAJO'!$A$5:$CD$9142,32,FALSE)</f>
        <v>1308</v>
      </c>
      <c r="R176" s="12" t="str">
        <f>VLOOKUP($A176,'Matriz POA 2024-TRABAJO'!$A$5:$CD$9142,33,FALSE)</f>
        <v>001</v>
      </c>
      <c r="S176" s="12" t="str">
        <f>VLOOKUP($A176,'Matriz POA 2024-TRABAJO'!$A$5:$CD$9142,34,FALSE)</f>
        <v>0000</v>
      </c>
      <c r="T176" s="12" t="str">
        <f>VLOOKUP($A176,'Matriz POA 2024-TRABAJO'!$A$5:$CD$9142,35,FALSE)</f>
        <v>0000</v>
      </c>
      <c r="U176" s="62">
        <f>VLOOKUP($A176,'Matriz POA 2024-TRABAJO'!$A$5:$CD$9142,66,FALSE)</f>
        <v>6283.11</v>
      </c>
      <c r="V176" s="62">
        <f>VLOOKUP($A176,'Matriz POA 2024-TRABAJO'!$A$5:$CD$9142,67,FALSE)</f>
        <v>0</v>
      </c>
      <c r="W176" s="62">
        <f>VLOOKUP($A176,'Matriz POA 2024-TRABAJO'!$A$5:$CD$9142,68,FALSE)</f>
        <v>0</v>
      </c>
      <c r="X176" s="62">
        <f>VLOOKUP($A176,'Matriz POA 2024-TRABAJO'!$A$5:$CD$9142,72,FALSE)</f>
        <v>6283.11</v>
      </c>
      <c r="Y176" s="388">
        <v>7224.44</v>
      </c>
      <c r="Z176" s="388">
        <v>0</v>
      </c>
      <c r="AA176" s="388">
        <v>7224.44</v>
      </c>
      <c r="AB176" s="389"/>
      <c r="AC176" s="389">
        <v>-941.33</v>
      </c>
      <c r="AD176" s="13"/>
      <c r="AE176" s="13"/>
      <c r="AF176" s="13">
        <f t="shared" si="95"/>
        <v>6283.11</v>
      </c>
      <c r="AG176" s="13">
        <f t="shared" si="96"/>
        <v>0</v>
      </c>
      <c r="AH176" s="13">
        <f t="shared" si="97"/>
        <v>6283.11</v>
      </c>
      <c r="AI176" s="129"/>
      <c r="AJ176" s="129"/>
      <c r="AK176" s="129"/>
      <c r="AL176" s="129"/>
      <c r="AM176" s="129"/>
      <c r="AN176" s="129"/>
      <c r="AO176" s="129"/>
      <c r="AP176" s="129"/>
      <c r="AQ176" s="129"/>
      <c r="AR176" s="129"/>
      <c r="AS176" s="129"/>
      <c r="AT176" s="129"/>
      <c r="AU176" s="129">
        <f t="shared" si="98"/>
        <v>0</v>
      </c>
      <c r="AV176" s="13" t="b">
        <f t="shared" si="99"/>
        <v>0</v>
      </c>
      <c r="AW176" s="14" t="s">
        <v>1826</v>
      </c>
      <c r="AX176" s="15" t="s">
        <v>1799</v>
      </c>
      <c r="AY176" s="16">
        <v>45422</v>
      </c>
      <c r="AZ176" s="15" t="s">
        <v>1829</v>
      </c>
      <c r="BA176" s="16">
        <v>45428</v>
      </c>
      <c r="BB176" s="17">
        <f t="shared" si="100"/>
        <v>6</v>
      </c>
      <c r="BC176" s="12"/>
      <c r="BD176" s="15"/>
      <c r="BE176" s="18"/>
      <c r="BF176" s="12"/>
      <c r="BG176" s="19" t="str">
        <f t="shared" si="101"/>
        <v>mayo</v>
      </c>
      <c r="BH176" s="12" t="str">
        <f t="shared" si="102"/>
        <v>Corporación Ciudad Alfaro</v>
      </c>
      <c r="BI176" s="20" t="str">
        <f t="shared" si="103"/>
        <v>N/A</v>
      </c>
    </row>
    <row r="177" spans="1:61" ht="24.95" customHeight="1">
      <c r="A177" s="8">
        <v>430</v>
      </c>
      <c r="B177" s="12" t="str">
        <f>VLOOKUP($A177,'Matriz POA 2024-TRABAJO'!$A$5:$CD$9142,11,FALSE)</f>
        <v>Corporación Ciudad Alfaro</v>
      </c>
      <c r="C177" s="12" t="str">
        <f>VLOOKUP($A177,'Matriz POA 2024-TRABAJO'!$A$5:$CD$9142,14,FALSE)</f>
        <v>N/A</v>
      </c>
      <c r="D177" s="12" t="str">
        <f>VLOOKUP($A177,'Matriz POA 2024-TRABAJO'!$A$5:$CD$9142,15,FALSE)</f>
        <v>N/A</v>
      </c>
      <c r="E177" s="12" t="str">
        <f>VLOOKUP($A177,'Matriz POA 2024-TRABAJO'!$A$5:$CD$9142,18,FALSE)</f>
        <v>N/A</v>
      </c>
      <c r="F177" s="12" t="str">
        <f>VLOOKUP($A177,'Matriz POA 2024-TRABAJO'!$A$5:$CD$9142,20,FALSE)</f>
        <v>N/A</v>
      </c>
      <c r="G177" s="12" t="str">
        <f>VLOOKUP($A177,'Matriz POA 2024-TRABAJO'!$A$5:$CD$9142,21,FALSE)</f>
        <v>N/A</v>
      </c>
      <c r="H177" s="12" t="str">
        <f>VLOOKUP($A177,'Matriz POA 2024-TRABAJO'!$A$5:$CD$9142,22,FALSE)</f>
        <v>N/A</v>
      </c>
      <c r="I177" s="12" t="str">
        <f>VLOOKUP($A177,'Matriz POA 2024-TRABAJO'!$A$5:$CD$9142,23,FALSE)</f>
        <v>NUEVA</v>
      </c>
      <c r="J177" s="12" t="str">
        <f>VLOOKUP($A177,'Matriz POA 2024-TRABAJO'!$A$5:$CD$9142,24,FALSE)</f>
        <v>Pago del servicio de telefonía fija  de las Sedes Museo y Centro Cultural de Manta, Museo Portoviejo y Archivo Histórico, y Museo Bahía de Caráquez de los años 2022 y 2023 cuya razón social se encuentra a nombre del Ministerio de Cultura y Patrimonio</v>
      </c>
      <c r="K177" s="12" t="str">
        <f>VLOOKUP($A177,'Matriz POA 2024-TRABAJO'!$A$5:$CD$9142,25,FALSE)</f>
        <v>0035</v>
      </c>
      <c r="L177" s="12" t="str">
        <f>VLOOKUP($A177,'Matriz POA 2024-TRABAJO'!$A$5:$CD$9142,26,FALSE)</f>
        <v>80</v>
      </c>
      <c r="M177" s="12" t="str">
        <f>VLOOKUP($A177,'Matriz POA 2024-TRABAJO'!$A$5:$CD$9142,27,FALSE)</f>
        <v>000</v>
      </c>
      <c r="N177" s="12" t="str">
        <f>VLOOKUP($A177,'Matriz POA 2024-TRABAJO'!$A$5:$CD$9142,28,FALSE)</f>
        <v>002</v>
      </c>
      <c r="O177" s="12" t="str">
        <f>VLOOKUP($A177,'Matriz POA 2024-TRABAJO'!$A$5:$CD$9142,29,FALSE)</f>
        <v>53</v>
      </c>
      <c r="P177" s="12">
        <f>VLOOKUP($A177,'Matriz POA 2024-TRABAJO'!$A$5:$CD$9142,30,FALSE)</f>
        <v>530105</v>
      </c>
      <c r="Q177" s="12">
        <f>VLOOKUP($A177,'Matriz POA 2024-TRABAJO'!$A$5:$CD$9142,32,FALSE)</f>
        <v>1309</v>
      </c>
      <c r="R177" s="12" t="str">
        <f>VLOOKUP($A177,'Matriz POA 2024-TRABAJO'!$A$5:$CD$9142,33,FALSE)</f>
        <v>001</v>
      </c>
      <c r="S177" s="12" t="str">
        <f>VLOOKUP($A177,'Matriz POA 2024-TRABAJO'!$A$5:$CD$9142,34,FALSE)</f>
        <v>0000</v>
      </c>
      <c r="T177" s="12" t="str">
        <f>VLOOKUP($A177,'Matriz POA 2024-TRABAJO'!$A$5:$CD$9142,35,FALSE)</f>
        <v>0000</v>
      </c>
      <c r="U177" s="62">
        <f>VLOOKUP($A177,'Matriz POA 2024-TRABAJO'!$A$5:$CD$9142,66,FALSE)</f>
        <v>0</v>
      </c>
      <c r="V177" s="62">
        <f>VLOOKUP($A177,'Matriz POA 2024-TRABAJO'!$A$5:$CD$9142,67,FALSE)</f>
        <v>0</v>
      </c>
      <c r="W177" s="62">
        <f>VLOOKUP($A177,'Matriz POA 2024-TRABAJO'!$A$5:$CD$9142,68,FALSE)</f>
        <v>0</v>
      </c>
      <c r="X177" s="62" t="str">
        <f>VLOOKUP($A177,'Matriz POA 2024-TRABAJO'!$A$5:$CD$9142,72,FALSE)</f>
        <v/>
      </c>
      <c r="Y177" s="388">
        <v>3000</v>
      </c>
      <c r="Z177" s="388">
        <v>0</v>
      </c>
      <c r="AA177" s="388">
        <v>3000</v>
      </c>
      <c r="AB177" s="389"/>
      <c r="AC177" s="389">
        <v>-3000</v>
      </c>
      <c r="AD177" s="13"/>
      <c r="AE177" s="13"/>
      <c r="AF177" s="13">
        <f t="shared" si="95"/>
        <v>0</v>
      </c>
      <c r="AG177" s="13">
        <f t="shared" si="96"/>
        <v>0</v>
      </c>
      <c r="AH177" s="13">
        <f t="shared" si="97"/>
        <v>0</v>
      </c>
      <c r="AI177" s="129"/>
      <c r="AJ177" s="129"/>
      <c r="AK177" s="129"/>
      <c r="AL177" s="129"/>
      <c r="AM177" s="129"/>
      <c r="AN177" s="129"/>
      <c r="AO177" s="129"/>
      <c r="AP177" s="129"/>
      <c r="AQ177" s="129"/>
      <c r="AR177" s="129"/>
      <c r="AS177" s="129"/>
      <c r="AT177" s="129"/>
      <c r="AU177" s="129">
        <f t="shared" si="98"/>
        <v>0</v>
      </c>
      <c r="AV177" s="13" t="b">
        <f t="shared" si="99"/>
        <v>1</v>
      </c>
      <c r="AW177" s="14" t="s">
        <v>1826</v>
      </c>
      <c r="AX177" s="15" t="s">
        <v>1799</v>
      </c>
      <c r="AY177" s="16">
        <v>45422</v>
      </c>
      <c r="AZ177" s="15" t="s">
        <v>1829</v>
      </c>
      <c r="BA177" s="16">
        <v>45428</v>
      </c>
      <c r="BB177" s="17">
        <f t="shared" si="100"/>
        <v>6</v>
      </c>
      <c r="BC177" s="12"/>
      <c r="BD177" s="15"/>
      <c r="BE177" s="18"/>
      <c r="BF177" s="12"/>
      <c r="BG177" s="19" t="str">
        <f t="shared" si="101"/>
        <v>mayo</v>
      </c>
      <c r="BH177" s="12" t="str">
        <f t="shared" si="102"/>
        <v>Corporación Ciudad Alfaro</v>
      </c>
      <c r="BI177" s="20" t="str">
        <f t="shared" si="103"/>
        <v>N/A</v>
      </c>
    </row>
    <row r="178" spans="1:61" ht="24.95" customHeight="1">
      <c r="A178" s="8">
        <v>442</v>
      </c>
      <c r="B178" s="12" t="str">
        <f>VLOOKUP($A178,'Matriz POA 2024-TRABAJO'!$A$5:$CD$9142,11,FALSE)</f>
        <v>Corporación Ciudad Alfaro</v>
      </c>
      <c r="C178" s="12" t="str">
        <f>VLOOKUP($A178,'Matriz POA 2024-TRABAJO'!$A$5:$CD$9142,14,FALSE)</f>
        <v>N/A</v>
      </c>
      <c r="D178" s="12" t="str">
        <f>VLOOKUP($A178,'Matriz POA 2024-TRABAJO'!$A$5:$CD$9142,15,FALSE)</f>
        <v>N/A</v>
      </c>
      <c r="E178" s="12" t="str">
        <f>VLOOKUP($A178,'Matriz POA 2024-TRABAJO'!$A$5:$CD$9142,18,FALSE)</f>
        <v>N/A</v>
      </c>
      <c r="F178" s="12" t="str">
        <f>VLOOKUP($A178,'Matriz POA 2024-TRABAJO'!$A$5:$CD$9142,20,FALSE)</f>
        <v>N/A</v>
      </c>
      <c r="G178" s="12" t="str">
        <f>VLOOKUP($A178,'Matriz POA 2024-TRABAJO'!$A$5:$CD$9142,21,FALSE)</f>
        <v>N/A</v>
      </c>
      <c r="H178" s="12" t="str">
        <f>VLOOKUP($A178,'Matriz POA 2024-TRABAJO'!$A$5:$CD$9142,22,FALSE)</f>
        <v>N/A</v>
      </c>
      <c r="I178" s="12" t="str">
        <f>VLOOKUP($A178,'Matriz POA 2024-TRABAJO'!$A$5:$CD$9142,23,FALSE)</f>
        <v>ARRASTRE</v>
      </c>
      <c r="J178" s="12" t="str">
        <f>VLOOKUP($A178,'Matriz POA 2024-TRABAJO'!$A$5:$CD$9142,24,FALSE)</f>
        <v>Pago del servicio de agua potable de los meses de Octubre, Noviembre y Diciembre del 2023 de la Corporación Ciudad Alfaro</v>
      </c>
      <c r="K178" s="12" t="str">
        <f>VLOOKUP($A178,'Matriz POA 2024-TRABAJO'!$A$5:$CD$9142,25,FALSE)</f>
        <v>0035</v>
      </c>
      <c r="L178" s="12" t="str">
        <f>VLOOKUP($A178,'Matriz POA 2024-TRABAJO'!$A$5:$CD$9142,26,FALSE)</f>
        <v>80</v>
      </c>
      <c r="M178" s="12" t="str">
        <f>VLOOKUP($A178,'Matriz POA 2024-TRABAJO'!$A$5:$CD$9142,27,FALSE)</f>
        <v>000</v>
      </c>
      <c r="N178" s="12" t="str">
        <f>VLOOKUP($A178,'Matriz POA 2024-TRABAJO'!$A$5:$CD$9142,28,FALSE)</f>
        <v>002</v>
      </c>
      <c r="O178" s="12" t="str">
        <f>VLOOKUP($A178,'Matriz POA 2024-TRABAJO'!$A$5:$CD$9142,29,FALSE)</f>
        <v>53</v>
      </c>
      <c r="P178" s="12">
        <f>VLOOKUP($A178,'Matriz POA 2024-TRABAJO'!$A$5:$CD$9142,30,FALSE)</f>
        <v>530101</v>
      </c>
      <c r="Q178" s="12">
        <f>VLOOKUP($A178,'Matriz POA 2024-TRABAJO'!$A$5:$CD$9142,32,FALSE)</f>
        <v>1309</v>
      </c>
      <c r="R178" s="12" t="str">
        <f>VLOOKUP($A178,'Matriz POA 2024-TRABAJO'!$A$5:$CD$9142,33,FALSE)</f>
        <v>001</v>
      </c>
      <c r="S178" s="12" t="str">
        <f>VLOOKUP($A178,'Matriz POA 2024-TRABAJO'!$A$5:$CD$9142,34,FALSE)</f>
        <v>0000</v>
      </c>
      <c r="T178" s="12" t="str">
        <f>VLOOKUP($A178,'Matriz POA 2024-TRABAJO'!$A$5:$CD$9142,35,FALSE)</f>
        <v>0000</v>
      </c>
      <c r="U178" s="62">
        <f>VLOOKUP($A178,'Matriz POA 2024-TRABAJO'!$A$5:$CD$9142,66,FALSE)</f>
        <v>3.7</v>
      </c>
      <c r="V178" s="62">
        <f>VLOOKUP($A178,'Matriz POA 2024-TRABAJO'!$A$5:$CD$9142,67,FALSE)</f>
        <v>4.5297099404706387E-14</v>
      </c>
      <c r="W178" s="62">
        <f>VLOOKUP($A178,'Matriz POA 2024-TRABAJO'!$A$5:$CD$9142,68,FALSE)</f>
        <v>0</v>
      </c>
      <c r="X178" s="62">
        <f>VLOOKUP($A178,'Matriz POA 2024-TRABAJO'!$A$5:$CD$9142,72,FALSE)</f>
        <v>3.7</v>
      </c>
      <c r="Y178" s="388">
        <v>600</v>
      </c>
      <c r="Z178" s="388">
        <v>0</v>
      </c>
      <c r="AA178" s="388">
        <v>600</v>
      </c>
      <c r="AB178" s="389"/>
      <c r="AC178" s="389">
        <v>-596.29999999999995</v>
      </c>
      <c r="AD178" s="13"/>
      <c r="AE178" s="13"/>
      <c r="AF178" s="13">
        <f t="shared" si="95"/>
        <v>3.7000000000000455</v>
      </c>
      <c r="AG178" s="13">
        <f t="shared" si="96"/>
        <v>0</v>
      </c>
      <c r="AH178" s="13">
        <f t="shared" si="97"/>
        <v>3.7000000000000455</v>
      </c>
      <c r="AI178" s="129"/>
      <c r="AJ178" s="129"/>
      <c r="AK178" s="129"/>
      <c r="AL178" s="129"/>
      <c r="AM178" s="129"/>
      <c r="AN178" s="129"/>
      <c r="AO178" s="129"/>
      <c r="AP178" s="129"/>
      <c r="AQ178" s="129"/>
      <c r="AR178" s="129"/>
      <c r="AS178" s="129"/>
      <c r="AT178" s="129"/>
      <c r="AU178" s="129">
        <f t="shared" si="98"/>
        <v>0</v>
      </c>
      <c r="AV178" s="13" t="b">
        <f t="shared" si="99"/>
        <v>0</v>
      </c>
      <c r="AW178" s="14" t="s">
        <v>1826</v>
      </c>
      <c r="AX178" s="15" t="s">
        <v>1799</v>
      </c>
      <c r="AY178" s="16">
        <v>45422</v>
      </c>
      <c r="AZ178" s="15" t="s">
        <v>1829</v>
      </c>
      <c r="BA178" s="16">
        <v>45428</v>
      </c>
      <c r="BB178" s="17">
        <f t="shared" si="100"/>
        <v>6</v>
      </c>
      <c r="BC178" s="12"/>
      <c r="BD178" s="15"/>
      <c r="BE178" s="18"/>
      <c r="BF178" s="12"/>
      <c r="BG178" s="19" t="str">
        <f t="shared" si="101"/>
        <v>mayo</v>
      </c>
      <c r="BH178" s="12" t="str">
        <f t="shared" si="102"/>
        <v>Corporación Ciudad Alfaro</v>
      </c>
      <c r="BI178" s="20" t="str">
        <f t="shared" si="103"/>
        <v>N/A</v>
      </c>
    </row>
    <row r="179" spans="1:61" ht="24.95" customHeight="1">
      <c r="A179" s="8">
        <v>444</v>
      </c>
      <c r="B179" s="12" t="str">
        <f>VLOOKUP($A179,'Matriz POA 2024-TRABAJO'!$A$5:$CD$9142,11,FALSE)</f>
        <v>Corporación Ciudad Alfaro</v>
      </c>
      <c r="C179" s="12" t="str">
        <f>VLOOKUP($A179,'Matriz POA 2024-TRABAJO'!$A$5:$CD$9142,14,FALSE)</f>
        <v>N/A</v>
      </c>
      <c r="D179" s="12" t="str">
        <f>VLOOKUP($A179,'Matriz POA 2024-TRABAJO'!$A$5:$CD$9142,15,FALSE)</f>
        <v>N/A</v>
      </c>
      <c r="E179" s="12" t="str">
        <f>VLOOKUP($A179,'Matriz POA 2024-TRABAJO'!$A$5:$CD$9142,18,FALSE)</f>
        <v>N/A</v>
      </c>
      <c r="F179" s="12" t="str">
        <f>VLOOKUP($A179,'Matriz POA 2024-TRABAJO'!$A$5:$CD$9142,20,FALSE)</f>
        <v>N/A</v>
      </c>
      <c r="G179" s="12" t="str">
        <f>VLOOKUP($A179,'Matriz POA 2024-TRABAJO'!$A$5:$CD$9142,21,FALSE)</f>
        <v>N/A</v>
      </c>
      <c r="H179" s="12" t="str">
        <f>VLOOKUP($A179,'Matriz POA 2024-TRABAJO'!$A$5:$CD$9142,22,FALSE)</f>
        <v>N/A</v>
      </c>
      <c r="I179" s="12" t="str">
        <f>VLOOKUP($A179,'Matriz POA 2024-TRABAJO'!$A$5:$CD$9142,23,FALSE)</f>
        <v>ARRASTRE</v>
      </c>
      <c r="J179" s="12" t="str">
        <f>VLOOKUP($A179,'Matriz POA 2024-TRABAJO'!$A$5:$CD$9142,24,FALSE)</f>
        <v>Pago del servicio de energía eléctrica de los meses de Noviembre y Diciembre del 2023 de la Corporación Ciudad Alfaro</v>
      </c>
      <c r="K179" s="12" t="str">
        <f>VLOOKUP($A179,'Matriz POA 2024-TRABAJO'!$A$5:$CD$9142,25,FALSE)</f>
        <v>0035</v>
      </c>
      <c r="L179" s="12" t="str">
        <f>VLOOKUP($A179,'Matriz POA 2024-TRABAJO'!$A$5:$CD$9142,26,FALSE)</f>
        <v>80</v>
      </c>
      <c r="M179" s="12" t="str">
        <f>VLOOKUP($A179,'Matriz POA 2024-TRABAJO'!$A$5:$CD$9142,27,FALSE)</f>
        <v>000</v>
      </c>
      <c r="N179" s="12" t="str">
        <f>VLOOKUP($A179,'Matriz POA 2024-TRABAJO'!$A$5:$CD$9142,28,FALSE)</f>
        <v>002</v>
      </c>
      <c r="O179" s="12" t="str">
        <f>VLOOKUP($A179,'Matriz POA 2024-TRABAJO'!$A$5:$CD$9142,29,FALSE)</f>
        <v>53</v>
      </c>
      <c r="P179" s="12">
        <f>VLOOKUP($A179,'Matriz POA 2024-TRABAJO'!$A$5:$CD$9142,30,FALSE)</f>
        <v>530104</v>
      </c>
      <c r="Q179" s="12">
        <f>VLOOKUP($A179,'Matriz POA 2024-TRABAJO'!$A$5:$CD$9142,32,FALSE)</f>
        <v>1309</v>
      </c>
      <c r="R179" s="12" t="str">
        <f>VLOOKUP($A179,'Matriz POA 2024-TRABAJO'!$A$5:$CD$9142,33,FALSE)</f>
        <v>001</v>
      </c>
      <c r="S179" s="12" t="str">
        <f>VLOOKUP($A179,'Matriz POA 2024-TRABAJO'!$A$5:$CD$9142,34,FALSE)</f>
        <v>0000</v>
      </c>
      <c r="T179" s="12" t="str">
        <f>VLOOKUP($A179,'Matriz POA 2024-TRABAJO'!$A$5:$CD$9142,35,FALSE)</f>
        <v>0000</v>
      </c>
      <c r="U179" s="62">
        <f>VLOOKUP($A179,'Matriz POA 2024-TRABAJO'!$A$5:$CD$9142,66,FALSE)</f>
        <v>2447.1799999999998</v>
      </c>
      <c r="V179" s="62">
        <f>VLOOKUP($A179,'Matriz POA 2024-TRABAJO'!$A$5:$CD$9142,67,FALSE)</f>
        <v>0</v>
      </c>
      <c r="W179" s="62">
        <f>VLOOKUP($A179,'Matriz POA 2024-TRABAJO'!$A$5:$CD$9142,68,FALSE)</f>
        <v>0</v>
      </c>
      <c r="X179" s="62">
        <f>VLOOKUP($A179,'Matriz POA 2024-TRABAJO'!$A$5:$CD$9142,72,FALSE)</f>
        <v>2447.1800000000003</v>
      </c>
      <c r="Y179" s="388">
        <v>6000</v>
      </c>
      <c r="Z179" s="388">
        <v>0</v>
      </c>
      <c r="AA179" s="388">
        <v>6000</v>
      </c>
      <c r="AB179" s="389"/>
      <c r="AC179" s="389">
        <v>-3552.82</v>
      </c>
      <c r="AD179" s="13"/>
      <c r="AE179" s="13"/>
      <c r="AF179" s="13">
        <f t="shared" si="95"/>
        <v>2447.1799999999998</v>
      </c>
      <c r="AG179" s="13">
        <f t="shared" si="96"/>
        <v>0</v>
      </c>
      <c r="AH179" s="13">
        <f t="shared" si="97"/>
        <v>2447.1799999999998</v>
      </c>
      <c r="AI179" s="129"/>
      <c r="AJ179" s="129"/>
      <c r="AK179" s="129"/>
      <c r="AL179" s="129"/>
      <c r="AM179" s="129"/>
      <c r="AN179" s="129"/>
      <c r="AO179" s="129"/>
      <c r="AP179" s="129"/>
      <c r="AQ179" s="129"/>
      <c r="AR179" s="129"/>
      <c r="AS179" s="129"/>
      <c r="AT179" s="129"/>
      <c r="AU179" s="129">
        <f t="shared" si="98"/>
        <v>0</v>
      </c>
      <c r="AV179" s="13" t="b">
        <f t="shared" si="99"/>
        <v>0</v>
      </c>
      <c r="AW179" s="14" t="s">
        <v>1826</v>
      </c>
      <c r="AX179" s="15" t="s">
        <v>1799</v>
      </c>
      <c r="AY179" s="16">
        <v>45422</v>
      </c>
      <c r="AZ179" s="15" t="s">
        <v>1829</v>
      </c>
      <c r="BA179" s="16">
        <v>45428</v>
      </c>
      <c r="BB179" s="17">
        <f t="shared" si="100"/>
        <v>6</v>
      </c>
      <c r="BC179" s="12"/>
      <c r="BD179" s="15"/>
      <c r="BE179" s="18"/>
      <c r="BF179" s="12"/>
      <c r="BG179" s="19" t="str">
        <f t="shared" si="101"/>
        <v>mayo</v>
      </c>
      <c r="BH179" s="12" t="str">
        <f t="shared" si="102"/>
        <v>Corporación Ciudad Alfaro</v>
      </c>
      <c r="BI179" s="20" t="str">
        <f t="shared" si="103"/>
        <v>N/A</v>
      </c>
    </row>
    <row r="180" spans="1:61" ht="24.95" customHeight="1">
      <c r="A180" s="8">
        <v>447</v>
      </c>
      <c r="B180" s="12" t="str">
        <f>VLOOKUP($A180,'Matriz POA 2024-TRABAJO'!$A$5:$CD$9142,11,FALSE)</f>
        <v>Corporación Ciudad Alfaro</v>
      </c>
      <c r="C180" s="12" t="str">
        <f>VLOOKUP($A180,'Matriz POA 2024-TRABAJO'!$A$5:$CD$9142,14,FALSE)</f>
        <v>N/A</v>
      </c>
      <c r="D180" s="12" t="str">
        <f>VLOOKUP($A180,'Matriz POA 2024-TRABAJO'!$A$5:$CD$9142,15,FALSE)</f>
        <v>N/A</v>
      </c>
      <c r="E180" s="12" t="str">
        <f>VLOOKUP($A180,'Matriz POA 2024-TRABAJO'!$A$5:$CD$9142,18,FALSE)</f>
        <v>N/A</v>
      </c>
      <c r="F180" s="12" t="str">
        <f>VLOOKUP($A180,'Matriz POA 2024-TRABAJO'!$A$5:$CD$9142,20,FALSE)</f>
        <v>N/A</v>
      </c>
      <c r="G180" s="12" t="str">
        <f>VLOOKUP($A180,'Matriz POA 2024-TRABAJO'!$A$5:$CD$9142,21,FALSE)</f>
        <v>N/A</v>
      </c>
      <c r="H180" s="12" t="str">
        <f>VLOOKUP($A180,'Matriz POA 2024-TRABAJO'!$A$5:$CD$9142,22,FALSE)</f>
        <v>N/A</v>
      </c>
      <c r="I180" s="12" t="str">
        <f>VLOOKUP($A180,'Matriz POA 2024-TRABAJO'!$A$5:$CD$9142,23,FALSE)</f>
        <v>ARRASTRE</v>
      </c>
      <c r="J180" s="12" t="str">
        <f>VLOOKUP($A180,'Matriz POA 2024-TRABAJO'!$A$5:$CD$9142,24,FALSE)</f>
        <v>Pago del servicio de energía eléctrica de los meses de Noviembre y Diciembre del 2023 del Museo Portoviejo y Archivo Histórico</v>
      </c>
      <c r="K180" s="12" t="str">
        <f>VLOOKUP($A180,'Matriz POA 2024-TRABAJO'!$A$5:$CD$9142,25,FALSE)</f>
        <v>0035</v>
      </c>
      <c r="L180" s="12" t="str">
        <f>VLOOKUP($A180,'Matriz POA 2024-TRABAJO'!$A$5:$CD$9142,26,FALSE)</f>
        <v>80</v>
      </c>
      <c r="M180" s="12" t="str">
        <f>VLOOKUP($A180,'Matriz POA 2024-TRABAJO'!$A$5:$CD$9142,27,FALSE)</f>
        <v>000</v>
      </c>
      <c r="N180" s="12" t="str">
        <f>VLOOKUP($A180,'Matriz POA 2024-TRABAJO'!$A$5:$CD$9142,28,FALSE)</f>
        <v>002</v>
      </c>
      <c r="O180" s="12" t="str">
        <f>VLOOKUP($A180,'Matriz POA 2024-TRABAJO'!$A$5:$CD$9142,29,FALSE)</f>
        <v>53</v>
      </c>
      <c r="P180" s="12">
        <f>VLOOKUP($A180,'Matriz POA 2024-TRABAJO'!$A$5:$CD$9142,30,FALSE)</f>
        <v>530104</v>
      </c>
      <c r="Q180" s="12">
        <f>VLOOKUP($A180,'Matriz POA 2024-TRABAJO'!$A$5:$CD$9142,32,FALSE)</f>
        <v>1301</v>
      </c>
      <c r="R180" s="12" t="str">
        <f>VLOOKUP($A180,'Matriz POA 2024-TRABAJO'!$A$5:$CD$9142,33,FALSE)</f>
        <v>001</v>
      </c>
      <c r="S180" s="12" t="str">
        <f>VLOOKUP($A180,'Matriz POA 2024-TRABAJO'!$A$5:$CD$9142,34,FALSE)</f>
        <v>0000</v>
      </c>
      <c r="T180" s="12" t="str">
        <f>VLOOKUP($A180,'Matriz POA 2024-TRABAJO'!$A$5:$CD$9142,35,FALSE)</f>
        <v>0000</v>
      </c>
      <c r="U180" s="62">
        <f>VLOOKUP($A180,'Matriz POA 2024-TRABAJO'!$A$5:$CD$9142,66,FALSE)</f>
        <v>1579.49</v>
      </c>
      <c r="V180" s="62">
        <f>VLOOKUP($A180,'Matriz POA 2024-TRABAJO'!$A$5:$CD$9142,67,FALSE)</f>
        <v>0</v>
      </c>
      <c r="W180" s="62">
        <f>VLOOKUP($A180,'Matriz POA 2024-TRABAJO'!$A$5:$CD$9142,68,FALSE)</f>
        <v>0</v>
      </c>
      <c r="X180" s="62">
        <f>VLOOKUP($A180,'Matriz POA 2024-TRABAJO'!$A$5:$CD$9142,72,FALSE)</f>
        <v>1579.49</v>
      </c>
      <c r="Y180" s="388">
        <v>1800</v>
      </c>
      <c r="Z180" s="388">
        <v>0</v>
      </c>
      <c r="AA180" s="388">
        <v>1800</v>
      </c>
      <c r="AB180" s="389"/>
      <c r="AC180" s="389">
        <v>-220.51</v>
      </c>
      <c r="AD180" s="13"/>
      <c r="AE180" s="13"/>
      <c r="AF180" s="13">
        <f t="shared" si="95"/>
        <v>1579.49</v>
      </c>
      <c r="AG180" s="13">
        <f t="shared" si="96"/>
        <v>0</v>
      </c>
      <c r="AH180" s="13">
        <f t="shared" si="97"/>
        <v>1579.49</v>
      </c>
      <c r="AI180" s="129"/>
      <c r="AJ180" s="129"/>
      <c r="AK180" s="129"/>
      <c r="AL180" s="129"/>
      <c r="AM180" s="129"/>
      <c r="AN180" s="129"/>
      <c r="AO180" s="129"/>
      <c r="AP180" s="129"/>
      <c r="AQ180" s="129"/>
      <c r="AR180" s="129"/>
      <c r="AS180" s="129"/>
      <c r="AT180" s="129"/>
      <c r="AU180" s="129">
        <f t="shared" si="98"/>
        <v>0</v>
      </c>
      <c r="AV180" s="13" t="b">
        <f t="shared" si="99"/>
        <v>0</v>
      </c>
      <c r="AW180" s="14" t="s">
        <v>1826</v>
      </c>
      <c r="AX180" s="15" t="s">
        <v>1799</v>
      </c>
      <c r="AY180" s="16">
        <v>45422</v>
      </c>
      <c r="AZ180" s="15" t="s">
        <v>1829</v>
      </c>
      <c r="BA180" s="16">
        <v>45428</v>
      </c>
      <c r="BB180" s="17">
        <f t="shared" si="100"/>
        <v>6</v>
      </c>
      <c r="BC180" s="12"/>
      <c r="BD180" s="15"/>
      <c r="BE180" s="18"/>
      <c r="BF180" s="12"/>
      <c r="BG180" s="19" t="str">
        <f t="shared" si="101"/>
        <v>mayo</v>
      </c>
      <c r="BH180" s="12" t="str">
        <f t="shared" si="102"/>
        <v>Corporación Ciudad Alfaro</v>
      </c>
      <c r="BI180" s="20" t="str">
        <f t="shared" si="103"/>
        <v>N/A</v>
      </c>
    </row>
    <row r="181" spans="1:61" ht="24.95" customHeight="1">
      <c r="A181" s="8">
        <v>461</v>
      </c>
      <c r="B181" s="12" t="str">
        <f>VLOOKUP($A181,'Matriz POA 2024-TRABAJO'!$A$5:$CD$9142,11,FALSE)</f>
        <v>Corporación Ciudad Alfaro</v>
      </c>
      <c r="C181" s="12" t="str">
        <f>VLOOKUP($A181,'Matriz POA 2024-TRABAJO'!$A$5:$CD$9142,14,FALSE)</f>
        <v>N/A</v>
      </c>
      <c r="D181" s="12" t="str">
        <f>VLOOKUP($A181,'Matriz POA 2024-TRABAJO'!$A$5:$CD$9142,15,FALSE)</f>
        <v>N/A</v>
      </c>
      <c r="E181" s="12" t="str">
        <f>VLOOKUP($A181,'Matriz POA 2024-TRABAJO'!$A$5:$CD$9142,18,FALSE)</f>
        <v>N/A</v>
      </c>
      <c r="F181" s="12" t="str">
        <f>VLOOKUP($A181,'Matriz POA 2024-TRABAJO'!$A$5:$CD$9142,20,FALSE)</f>
        <v>N/A</v>
      </c>
      <c r="G181" s="12" t="str">
        <f>VLOOKUP($A181,'Matriz POA 2024-TRABAJO'!$A$5:$CD$9142,21,FALSE)</f>
        <v>N/A</v>
      </c>
      <c r="H181" s="12" t="str">
        <f>VLOOKUP($A181,'Matriz POA 2024-TRABAJO'!$A$5:$CD$9142,22,FALSE)</f>
        <v>N/A</v>
      </c>
      <c r="I181" s="12" t="str">
        <f>VLOOKUP($A181,'Matriz POA 2024-TRABAJO'!$A$5:$CD$9142,23,FALSE)</f>
        <v>NUEVA</v>
      </c>
      <c r="J181" s="12" t="str">
        <f>VLOOKUP($A181,'Matriz POA 2024-TRABAJO'!$A$5:$CD$9142,24,FALSE)</f>
        <v>Pago de contribución especial por mejoramiento vial rural de los vehículos de la Corporación Ciudad Alfaro</v>
      </c>
      <c r="K181" s="12" t="str">
        <f>VLOOKUP($A181,'Matriz POA 2024-TRABAJO'!$A$5:$CD$9142,25,FALSE)</f>
        <v>0035</v>
      </c>
      <c r="L181" s="12" t="str">
        <f>VLOOKUP($A181,'Matriz POA 2024-TRABAJO'!$A$5:$CD$9142,26,FALSE)</f>
        <v>80</v>
      </c>
      <c r="M181" s="12" t="str">
        <f>VLOOKUP($A181,'Matriz POA 2024-TRABAJO'!$A$5:$CD$9142,27,FALSE)</f>
        <v>000</v>
      </c>
      <c r="N181" s="12" t="str">
        <f>VLOOKUP($A181,'Matriz POA 2024-TRABAJO'!$A$5:$CD$9142,28,FALSE)</f>
        <v>002</v>
      </c>
      <c r="O181" s="12" t="str">
        <f>VLOOKUP($A181,'Matriz POA 2024-TRABAJO'!$A$5:$CD$9142,29,FALSE)</f>
        <v>57</v>
      </c>
      <c r="P181" s="12">
        <f>VLOOKUP($A181,'Matriz POA 2024-TRABAJO'!$A$5:$CD$9142,30,FALSE)</f>
        <v>570102</v>
      </c>
      <c r="Q181" s="12">
        <f>VLOOKUP($A181,'Matriz POA 2024-TRABAJO'!$A$5:$CD$9142,32,FALSE)</f>
        <v>1309</v>
      </c>
      <c r="R181" s="12" t="str">
        <f>VLOOKUP($A181,'Matriz POA 2024-TRABAJO'!$A$5:$CD$9142,33,FALSE)</f>
        <v>001</v>
      </c>
      <c r="S181" s="12" t="str">
        <f>VLOOKUP($A181,'Matriz POA 2024-TRABAJO'!$A$5:$CD$9142,34,FALSE)</f>
        <v>0000</v>
      </c>
      <c r="T181" s="12" t="str">
        <f>VLOOKUP($A181,'Matriz POA 2024-TRABAJO'!$A$5:$CD$9142,35,FALSE)</f>
        <v>0000</v>
      </c>
      <c r="U181" s="62">
        <f>VLOOKUP($A181,'Matriz POA 2024-TRABAJO'!$A$5:$CD$9142,66,FALSE)</f>
        <v>65.16</v>
      </c>
      <c r="V181" s="62">
        <f>VLOOKUP($A181,'Matriz POA 2024-TRABAJO'!$A$5:$CD$9142,67,FALSE)</f>
        <v>0</v>
      </c>
      <c r="W181" s="62">
        <f>VLOOKUP($A181,'Matriz POA 2024-TRABAJO'!$A$5:$CD$9142,68,FALSE)</f>
        <v>0</v>
      </c>
      <c r="X181" s="62">
        <f>VLOOKUP($A181,'Matriz POA 2024-TRABAJO'!$A$5:$CD$9142,72,FALSE)</f>
        <v>65.16</v>
      </c>
      <c r="Y181" s="388">
        <v>250</v>
      </c>
      <c r="Z181" s="388">
        <v>0</v>
      </c>
      <c r="AA181" s="388">
        <v>250</v>
      </c>
      <c r="AB181" s="389"/>
      <c r="AC181" s="389">
        <v>-184.84</v>
      </c>
      <c r="AD181" s="13"/>
      <c r="AE181" s="13"/>
      <c r="AF181" s="13">
        <f t="shared" si="95"/>
        <v>65.16</v>
      </c>
      <c r="AG181" s="13">
        <f t="shared" si="96"/>
        <v>0</v>
      </c>
      <c r="AH181" s="13">
        <f t="shared" si="97"/>
        <v>65.16</v>
      </c>
      <c r="AI181" s="129"/>
      <c r="AJ181" s="129"/>
      <c r="AK181" s="129"/>
      <c r="AL181" s="129"/>
      <c r="AM181" s="129"/>
      <c r="AN181" s="129"/>
      <c r="AO181" s="129"/>
      <c r="AP181" s="129"/>
      <c r="AQ181" s="129"/>
      <c r="AR181" s="129"/>
      <c r="AS181" s="129"/>
      <c r="AT181" s="129"/>
      <c r="AU181" s="129">
        <f t="shared" si="98"/>
        <v>0</v>
      </c>
      <c r="AV181" s="13" t="b">
        <f t="shared" si="99"/>
        <v>0</v>
      </c>
      <c r="AW181" s="14" t="s">
        <v>1826</v>
      </c>
      <c r="AX181" s="15" t="s">
        <v>1799</v>
      </c>
      <c r="AY181" s="16">
        <v>45422</v>
      </c>
      <c r="AZ181" s="15" t="s">
        <v>1829</v>
      </c>
      <c r="BA181" s="16">
        <v>45428</v>
      </c>
      <c r="BB181" s="17">
        <f t="shared" si="100"/>
        <v>6</v>
      </c>
      <c r="BC181" s="12"/>
      <c r="BD181" s="15"/>
      <c r="BE181" s="18"/>
      <c r="BF181" s="12"/>
      <c r="BG181" s="19" t="str">
        <f t="shared" si="101"/>
        <v>mayo</v>
      </c>
      <c r="BH181" s="12" t="str">
        <f t="shared" si="102"/>
        <v>Corporación Ciudad Alfaro</v>
      </c>
      <c r="BI181" s="20" t="str">
        <f t="shared" si="103"/>
        <v>N/A</v>
      </c>
    </row>
    <row r="182" spans="1:61" ht="24.95" customHeight="1">
      <c r="A182" s="8">
        <v>462</v>
      </c>
      <c r="B182" s="12" t="str">
        <f>VLOOKUP($A182,'Matriz POA 2024-TRABAJO'!$A$5:$CD$9142,11,FALSE)</f>
        <v>Corporación Ciudad Alfaro</v>
      </c>
      <c r="C182" s="12" t="str">
        <f>VLOOKUP($A182,'Matriz POA 2024-TRABAJO'!$A$5:$CD$9142,14,FALSE)</f>
        <v>N/A</v>
      </c>
      <c r="D182" s="12" t="str">
        <f>VLOOKUP($A182,'Matriz POA 2024-TRABAJO'!$A$5:$CD$9142,15,FALSE)</f>
        <v>N/A</v>
      </c>
      <c r="E182" s="12" t="str">
        <f>VLOOKUP($A182,'Matriz POA 2024-TRABAJO'!$A$5:$CD$9142,18,FALSE)</f>
        <v>N/A</v>
      </c>
      <c r="F182" s="12" t="str">
        <f>VLOOKUP($A182,'Matriz POA 2024-TRABAJO'!$A$5:$CD$9142,20,FALSE)</f>
        <v>N/A</v>
      </c>
      <c r="G182" s="12" t="str">
        <f>VLOOKUP($A182,'Matriz POA 2024-TRABAJO'!$A$5:$CD$9142,21,FALSE)</f>
        <v>N/A</v>
      </c>
      <c r="H182" s="12" t="str">
        <f>VLOOKUP($A182,'Matriz POA 2024-TRABAJO'!$A$5:$CD$9142,22,FALSE)</f>
        <v>N/A</v>
      </c>
      <c r="I182" s="12" t="str">
        <f>VLOOKUP($A182,'Matriz POA 2024-TRABAJO'!$A$5:$CD$9142,23,FALSE)</f>
        <v>NUEVA</v>
      </c>
      <c r="J182" s="12" t="str">
        <f>VLOOKUP($A182,'Matriz POA 2024-TRABAJO'!$A$5:$CD$9142,24,FALSE)</f>
        <v>Pago de matriculación 2024 de los vehículos de la Corporación Ciudad Alfaro y sus sedes</v>
      </c>
      <c r="K182" s="12" t="str">
        <f>VLOOKUP($A182,'Matriz POA 2024-TRABAJO'!$A$5:$CD$9142,25,FALSE)</f>
        <v>0035</v>
      </c>
      <c r="L182" s="12" t="str">
        <f>VLOOKUP($A182,'Matriz POA 2024-TRABAJO'!$A$5:$CD$9142,26,FALSE)</f>
        <v>80</v>
      </c>
      <c r="M182" s="12" t="str">
        <f>VLOOKUP($A182,'Matriz POA 2024-TRABAJO'!$A$5:$CD$9142,27,FALSE)</f>
        <v>000</v>
      </c>
      <c r="N182" s="12" t="str">
        <f>VLOOKUP($A182,'Matriz POA 2024-TRABAJO'!$A$5:$CD$9142,28,FALSE)</f>
        <v>002</v>
      </c>
      <c r="O182" s="12" t="str">
        <f>VLOOKUP($A182,'Matriz POA 2024-TRABAJO'!$A$5:$CD$9142,29,FALSE)</f>
        <v>57</v>
      </c>
      <c r="P182" s="12">
        <f>VLOOKUP($A182,'Matriz POA 2024-TRABAJO'!$A$5:$CD$9142,30,FALSE)</f>
        <v>570102</v>
      </c>
      <c r="Q182" s="12">
        <f>VLOOKUP($A182,'Matriz POA 2024-TRABAJO'!$A$5:$CD$9142,32,FALSE)</f>
        <v>1309</v>
      </c>
      <c r="R182" s="12" t="str">
        <f>VLOOKUP($A182,'Matriz POA 2024-TRABAJO'!$A$5:$CD$9142,33,FALSE)</f>
        <v>001</v>
      </c>
      <c r="S182" s="12" t="str">
        <f>VLOOKUP($A182,'Matriz POA 2024-TRABAJO'!$A$5:$CD$9142,34,FALSE)</f>
        <v>0000</v>
      </c>
      <c r="T182" s="12" t="str">
        <f>VLOOKUP($A182,'Matriz POA 2024-TRABAJO'!$A$5:$CD$9142,35,FALSE)</f>
        <v>0000</v>
      </c>
      <c r="U182" s="62">
        <f>VLOOKUP($A182,'Matriz POA 2024-TRABAJO'!$A$5:$CD$9142,66,FALSE)</f>
        <v>622.08000000000004</v>
      </c>
      <c r="V182" s="62">
        <f>VLOOKUP($A182,'Matriz POA 2024-TRABAJO'!$A$5:$CD$9142,67,FALSE)</f>
        <v>0</v>
      </c>
      <c r="W182" s="62">
        <f>VLOOKUP($A182,'Matriz POA 2024-TRABAJO'!$A$5:$CD$9142,68,FALSE)</f>
        <v>0</v>
      </c>
      <c r="X182" s="62">
        <f>VLOOKUP($A182,'Matriz POA 2024-TRABAJO'!$A$5:$CD$9142,72,FALSE)</f>
        <v>622.08000000000004</v>
      </c>
      <c r="Y182" s="388">
        <v>800</v>
      </c>
      <c r="Z182" s="388">
        <v>0</v>
      </c>
      <c r="AA182" s="388">
        <v>800</v>
      </c>
      <c r="AB182" s="389"/>
      <c r="AC182" s="389">
        <v>-177.92</v>
      </c>
      <c r="AD182" s="13"/>
      <c r="AE182" s="13"/>
      <c r="AF182" s="13">
        <f t="shared" si="95"/>
        <v>622.08000000000004</v>
      </c>
      <c r="AG182" s="13">
        <f t="shared" si="96"/>
        <v>0</v>
      </c>
      <c r="AH182" s="13">
        <f t="shared" si="97"/>
        <v>622.08000000000004</v>
      </c>
      <c r="AI182" s="129"/>
      <c r="AJ182" s="129"/>
      <c r="AK182" s="129"/>
      <c r="AL182" s="129"/>
      <c r="AM182" s="129"/>
      <c r="AN182" s="129"/>
      <c r="AO182" s="129"/>
      <c r="AP182" s="129"/>
      <c r="AQ182" s="129"/>
      <c r="AR182" s="129"/>
      <c r="AS182" s="129"/>
      <c r="AT182" s="129"/>
      <c r="AU182" s="129">
        <f t="shared" si="98"/>
        <v>0</v>
      </c>
      <c r="AV182" s="13" t="b">
        <f t="shared" si="99"/>
        <v>0</v>
      </c>
      <c r="AW182" s="14" t="s">
        <v>1826</v>
      </c>
      <c r="AX182" s="15" t="s">
        <v>1799</v>
      </c>
      <c r="AY182" s="16">
        <v>45422</v>
      </c>
      <c r="AZ182" s="15" t="s">
        <v>1829</v>
      </c>
      <c r="BA182" s="16">
        <v>45428</v>
      </c>
      <c r="BB182" s="17">
        <f t="shared" si="100"/>
        <v>6</v>
      </c>
      <c r="BC182" s="12"/>
      <c r="BD182" s="15"/>
      <c r="BE182" s="18"/>
      <c r="BF182" s="12"/>
      <c r="BG182" s="19" t="str">
        <f t="shared" si="101"/>
        <v>mayo</v>
      </c>
      <c r="BH182" s="12" t="str">
        <f t="shared" si="102"/>
        <v>Corporación Ciudad Alfaro</v>
      </c>
      <c r="BI182" s="20" t="str">
        <f t="shared" si="103"/>
        <v>N/A</v>
      </c>
    </row>
    <row r="183" spans="1:61" ht="24.95" customHeight="1">
      <c r="A183" s="8">
        <v>465</v>
      </c>
      <c r="B183" s="12" t="str">
        <f>VLOOKUP($A183,'Matriz POA 2024-TRABAJO'!$A$5:$CD$9142,11,FALSE)</f>
        <v>Corporación Ciudad Alfaro</v>
      </c>
      <c r="C183" s="12" t="str">
        <f>VLOOKUP($A183,'Matriz POA 2024-TRABAJO'!$A$5:$CD$9142,14,FALSE)</f>
        <v>N/A</v>
      </c>
      <c r="D183" s="12" t="str">
        <f>VLOOKUP($A183,'Matriz POA 2024-TRABAJO'!$A$5:$CD$9142,15,FALSE)</f>
        <v>N/A</v>
      </c>
      <c r="E183" s="12" t="str">
        <f>VLOOKUP($A183,'Matriz POA 2024-TRABAJO'!$A$5:$CD$9142,18,FALSE)</f>
        <v>N/A</v>
      </c>
      <c r="F183" s="12" t="str">
        <f>VLOOKUP($A183,'Matriz POA 2024-TRABAJO'!$A$5:$CD$9142,20,FALSE)</f>
        <v>N/A</v>
      </c>
      <c r="G183" s="12" t="str">
        <f>VLOOKUP($A183,'Matriz POA 2024-TRABAJO'!$A$5:$CD$9142,21,FALSE)</f>
        <v>N/A</v>
      </c>
      <c r="H183" s="12" t="str">
        <f>VLOOKUP($A183,'Matriz POA 2024-TRABAJO'!$A$5:$CD$9142,22,FALSE)</f>
        <v>N/A</v>
      </c>
      <c r="I183" s="12" t="str">
        <f>VLOOKUP($A183,'Matriz POA 2024-TRABAJO'!$A$5:$CD$9142,23,FALSE)</f>
        <v>NUEVA</v>
      </c>
      <c r="J183" s="12" t="str">
        <f>VLOOKUP($A183,'Matriz POA 2024-TRABAJO'!$A$5:$CD$9142,24,FALSE)</f>
        <v>Pago de tasas y contribuciones a los predios urbanos y cuerpo de bomberos del Museo Portoviejo y Archivo Histórico</v>
      </c>
      <c r="K183" s="12" t="str">
        <f>VLOOKUP($A183,'Matriz POA 2024-TRABAJO'!$A$5:$CD$9142,25,FALSE)</f>
        <v>0035</v>
      </c>
      <c r="L183" s="12" t="str">
        <f>VLOOKUP($A183,'Matriz POA 2024-TRABAJO'!$A$5:$CD$9142,26,FALSE)</f>
        <v>80</v>
      </c>
      <c r="M183" s="12" t="str">
        <f>VLOOKUP($A183,'Matriz POA 2024-TRABAJO'!$A$5:$CD$9142,27,FALSE)</f>
        <v>000</v>
      </c>
      <c r="N183" s="12" t="str">
        <f>VLOOKUP($A183,'Matriz POA 2024-TRABAJO'!$A$5:$CD$9142,28,FALSE)</f>
        <v>002</v>
      </c>
      <c r="O183" s="12" t="str">
        <f>VLOOKUP($A183,'Matriz POA 2024-TRABAJO'!$A$5:$CD$9142,29,FALSE)</f>
        <v>57</v>
      </c>
      <c r="P183" s="12">
        <f>VLOOKUP($A183,'Matriz POA 2024-TRABAJO'!$A$5:$CD$9142,30,FALSE)</f>
        <v>570102</v>
      </c>
      <c r="Q183" s="12">
        <f>VLOOKUP($A183,'Matriz POA 2024-TRABAJO'!$A$5:$CD$9142,32,FALSE)</f>
        <v>1301</v>
      </c>
      <c r="R183" s="12" t="str">
        <f>VLOOKUP($A183,'Matriz POA 2024-TRABAJO'!$A$5:$CD$9142,33,FALSE)</f>
        <v>001</v>
      </c>
      <c r="S183" s="12" t="str">
        <f>VLOOKUP($A183,'Matriz POA 2024-TRABAJO'!$A$5:$CD$9142,34,FALSE)</f>
        <v>0000</v>
      </c>
      <c r="T183" s="12" t="str">
        <f>VLOOKUP($A183,'Matriz POA 2024-TRABAJO'!$A$5:$CD$9142,35,FALSE)</f>
        <v>0000</v>
      </c>
      <c r="U183" s="62">
        <f>VLOOKUP($A183,'Matriz POA 2024-TRABAJO'!$A$5:$CD$9142,66,FALSE)</f>
        <v>1407.92</v>
      </c>
      <c r="V183" s="62">
        <f>VLOOKUP($A183,'Matriz POA 2024-TRABAJO'!$A$5:$CD$9142,67,FALSE)</f>
        <v>0</v>
      </c>
      <c r="W183" s="62">
        <f>VLOOKUP($A183,'Matriz POA 2024-TRABAJO'!$A$5:$CD$9142,68,FALSE)</f>
        <v>0</v>
      </c>
      <c r="X183" s="62">
        <f>VLOOKUP($A183,'Matriz POA 2024-TRABAJO'!$A$5:$CD$9142,72,FALSE)</f>
        <v>1407.92</v>
      </c>
      <c r="Y183" s="388">
        <v>1700</v>
      </c>
      <c r="Z183" s="388">
        <v>0</v>
      </c>
      <c r="AA183" s="388">
        <v>1700</v>
      </c>
      <c r="AB183" s="389"/>
      <c r="AC183" s="389">
        <v>-292.08</v>
      </c>
      <c r="AD183" s="13"/>
      <c r="AE183" s="13"/>
      <c r="AF183" s="13">
        <f t="shared" si="95"/>
        <v>1407.92</v>
      </c>
      <c r="AG183" s="13">
        <f t="shared" si="96"/>
        <v>0</v>
      </c>
      <c r="AH183" s="13">
        <f t="shared" si="97"/>
        <v>1407.92</v>
      </c>
      <c r="AI183" s="129"/>
      <c r="AJ183" s="129"/>
      <c r="AK183" s="129"/>
      <c r="AL183" s="129"/>
      <c r="AM183" s="129"/>
      <c r="AN183" s="129"/>
      <c r="AO183" s="129"/>
      <c r="AP183" s="129"/>
      <c r="AQ183" s="129"/>
      <c r="AR183" s="129"/>
      <c r="AS183" s="129"/>
      <c r="AT183" s="129"/>
      <c r="AU183" s="129">
        <f t="shared" si="98"/>
        <v>0</v>
      </c>
      <c r="AV183" s="13" t="b">
        <f t="shared" si="99"/>
        <v>0</v>
      </c>
      <c r="AW183" s="14" t="s">
        <v>1826</v>
      </c>
      <c r="AX183" s="15" t="s">
        <v>1799</v>
      </c>
      <c r="AY183" s="16">
        <v>45422</v>
      </c>
      <c r="AZ183" s="15" t="s">
        <v>1829</v>
      </c>
      <c r="BA183" s="16">
        <v>45428</v>
      </c>
      <c r="BB183" s="17">
        <f t="shared" ref="BB183:BB205" si="104">BA183-AY183</f>
        <v>6</v>
      </c>
      <c r="BC183" s="12"/>
      <c r="BD183" s="15"/>
      <c r="BE183" s="18"/>
      <c r="BF183" s="12"/>
      <c r="BG183" s="19" t="str">
        <f t="shared" si="101"/>
        <v>mayo</v>
      </c>
      <c r="BH183" s="12" t="str">
        <f t="shared" si="102"/>
        <v>Corporación Ciudad Alfaro</v>
      </c>
      <c r="BI183" s="20" t="str">
        <f t="shared" si="103"/>
        <v>N/A</v>
      </c>
    </row>
    <row r="184" spans="1:61" ht="24.95" customHeight="1">
      <c r="A184" s="8">
        <v>475</v>
      </c>
      <c r="B184" s="12" t="str">
        <f>VLOOKUP($A184,'Matriz POA 2024-TRABAJO'!$A$5:$CD$9142,11,FALSE)</f>
        <v>Corporación Ciudad Alfaro</v>
      </c>
      <c r="C184" s="12" t="str">
        <f>VLOOKUP($A184,'Matriz POA 2024-TRABAJO'!$A$5:$CD$9142,14,FALSE)</f>
        <v>N/A</v>
      </c>
      <c r="D184" s="12" t="str">
        <f>VLOOKUP($A184,'Matriz POA 2024-TRABAJO'!$A$5:$CD$9142,15,FALSE)</f>
        <v>N/A</v>
      </c>
      <c r="E184" s="12" t="str">
        <f>VLOOKUP($A184,'Matriz POA 2024-TRABAJO'!$A$5:$CD$9142,18,FALSE)</f>
        <v>N/A</v>
      </c>
      <c r="F184" s="12" t="str">
        <f>VLOOKUP($A184,'Matriz POA 2024-TRABAJO'!$A$5:$CD$9142,20,FALSE)</f>
        <v>N/A</v>
      </c>
      <c r="G184" s="12" t="str">
        <f>VLOOKUP($A184,'Matriz POA 2024-TRABAJO'!$A$5:$CD$9142,21,FALSE)</f>
        <v>N/A</v>
      </c>
      <c r="H184" s="12" t="str">
        <f>VLOOKUP($A184,'Matriz POA 2024-TRABAJO'!$A$5:$CD$9142,22,FALSE)</f>
        <v>N/A</v>
      </c>
      <c r="I184" s="12" t="str">
        <f>VLOOKUP($A184,'Matriz POA 2024-TRABAJO'!$A$5:$CD$9142,23,FALSE)</f>
        <v>NUEVA</v>
      </c>
      <c r="J184" s="12" t="str">
        <f>VLOOKUP($A184,'Matriz POA 2024-TRABAJO'!$A$5:$CD$9142,24,FALSE)</f>
        <v>Adquisición de biométricos para La Corporación Centro Cívico Ciudad Alfaro Montecristi y sus sedes en Manta, Portoviejo y Bahía.</v>
      </c>
      <c r="K184" s="12" t="str">
        <f>VLOOKUP($A184,'Matriz POA 2024-TRABAJO'!$A$5:$CD$9142,25,FALSE)</f>
        <v>0035</v>
      </c>
      <c r="L184" s="12" t="str">
        <f>VLOOKUP($A184,'Matriz POA 2024-TRABAJO'!$A$5:$CD$9142,26,FALSE)</f>
        <v>80</v>
      </c>
      <c r="M184" s="12" t="str">
        <f>VLOOKUP($A184,'Matriz POA 2024-TRABAJO'!$A$5:$CD$9142,27,FALSE)</f>
        <v>000</v>
      </c>
      <c r="N184" s="12" t="str">
        <f>VLOOKUP($A184,'Matriz POA 2024-TRABAJO'!$A$5:$CD$9142,28,FALSE)</f>
        <v>002</v>
      </c>
      <c r="O184" s="12" t="str">
        <f>VLOOKUP($A184,'Matriz POA 2024-TRABAJO'!$A$5:$CD$9142,29,FALSE)</f>
        <v>53</v>
      </c>
      <c r="P184" s="12">
        <f>VLOOKUP($A184,'Matriz POA 2024-TRABAJO'!$A$5:$CD$9142,30,FALSE)</f>
        <v>530701</v>
      </c>
      <c r="Q184" s="12">
        <f>VLOOKUP($A184,'Matriz POA 2024-TRABAJO'!$A$5:$CD$9142,32,FALSE)</f>
        <v>1309</v>
      </c>
      <c r="R184" s="12" t="str">
        <f>VLOOKUP($A184,'Matriz POA 2024-TRABAJO'!$A$5:$CD$9142,33,FALSE)</f>
        <v>001</v>
      </c>
      <c r="S184" s="12" t="str">
        <f>VLOOKUP($A184,'Matriz POA 2024-TRABAJO'!$A$5:$CD$9142,34,FALSE)</f>
        <v>0000</v>
      </c>
      <c r="T184" s="12" t="str">
        <f>VLOOKUP($A184,'Matriz POA 2024-TRABAJO'!$A$5:$CD$9142,35,FALSE)</f>
        <v>0000</v>
      </c>
      <c r="U184" s="62" t="str">
        <f>VLOOKUP($A184,'Matriz POA 2024-TRABAJO'!$A$5:$CD$9142,66,FALSE)</f>
        <v/>
      </c>
      <c r="V184" s="62" t="str">
        <f>VLOOKUP($A184,'Matriz POA 2024-TRABAJO'!$A$5:$CD$9142,67,FALSE)</f>
        <v/>
      </c>
      <c r="W184" s="62" t="str">
        <f>VLOOKUP($A184,'Matriz POA 2024-TRABAJO'!$A$5:$CD$9142,68,FALSE)</f>
        <v/>
      </c>
      <c r="X184" s="62" t="str">
        <f>VLOOKUP($A184,'Matriz POA 2024-TRABAJO'!$A$5:$CD$9142,72,FALSE)</f>
        <v/>
      </c>
      <c r="Y184" s="388">
        <v>417</v>
      </c>
      <c r="Z184" s="388">
        <v>0</v>
      </c>
      <c r="AA184" s="388">
        <v>417</v>
      </c>
      <c r="AB184" s="389"/>
      <c r="AC184" s="389">
        <v>-417</v>
      </c>
      <c r="AD184" s="13"/>
      <c r="AE184" s="13"/>
      <c r="AF184" s="13">
        <f t="shared" si="95"/>
        <v>0</v>
      </c>
      <c r="AG184" s="13">
        <f t="shared" si="96"/>
        <v>0</v>
      </c>
      <c r="AH184" s="13">
        <f t="shared" si="97"/>
        <v>0</v>
      </c>
      <c r="AI184" s="129"/>
      <c r="AJ184" s="129"/>
      <c r="AK184" s="129"/>
      <c r="AL184" s="129"/>
      <c r="AM184" s="129"/>
      <c r="AN184" s="129"/>
      <c r="AO184" s="129"/>
      <c r="AP184" s="129"/>
      <c r="AQ184" s="129"/>
      <c r="AR184" s="129"/>
      <c r="AS184" s="129"/>
      <c r="AT184" s="129"/>
      <c r="AU184" s="129">
        <f t="shared" si="98"/>
        <v>0</v>
      </c>
      <c r="AV184" s="13" t="b">
        <f t="shared" si="99"/>
        <v>1</v>
      </c>
      <c r="AW184" s="14" t="s">
        <v>1826</v>
      </c>
      <c r="AX184" s="15" t="s">
        <v>1799</v>
      </c>
      <c r="AY184" s="16">
        <v>45422</v>
      </c>
      <c r="AZ184" s="15" t="s">
        <v>1829</v>
      </c>
      <c r="BA184" s="16">
        <v>45428</v>
      </c>
      <c r="BB184" s="17">
        <f t="shared" si="104"/>
        <v>6</v>
      </c>
      <c r="BC184" s="12"/>
      <c r="BD184" s="15"/>
      <c r="BE184" s="18"/>
      <c r="BF184" s="12"/>
      <c r="BG184" s="19" t="str">
        <f t="shared" si="101"/>
        <v>mayo</v>
      </c>
      <c r="BH184" s="12" t="str">
        <f t="shared" si="102"/>
        <v>Corporación Ciudad Alfaro</v>
      </c>
      <c r="BI184" s="20" t="str">
        <f t="shared" si="103"/>
        <v>N/A</v>
      </c>
    </row>
    <row r="185" spans="1:61" ht="24.95" customHeight="1">
      <c r="A185" s="8">
        <v>490</v>
      </c>
      <c r="B185" s="12" t="str">
        <f>VLOOKUP($A185,'Matriz POA 2024-TRABAJO'!$A$5:$CD$9142,11,FALSE)</f>
        <v>Corporación Ciudad Alfaro</v>
      </c>
      <c r="C185" s="12" t="str">
        <f>VLOOKUP($A185,'Matriz POA 2024-TRABAJO'!$A$5:$CD$9142,14,FALSE)</f>
        <v>N/A</v>
      </c>
      <c r="D185" s="12" t="str">
        <f>VLOOKUP($A185,'Matriz POA 2024-TRABAJO'!$A$5:$CD$9142,15,FALSE)</f>
        <v>N/A</v>
      </c>
      <c r="E185" s="12" t="str">
        <f>VLOOKUP($A185,'Matriz POA 2024-TRABAJO'!$A$5:$CD$9142,18,FALSE)</f>
        <v>N/A</v>
      </c>
      <c r="F185" s="12" t="str">
        <f>VLOOKUP($A185,'Matriz POA 2024-TRABAJO'!$A$5:$CD$9142,20,FALSE)</f>
        <v>N/A</v>
      </c>
      <c r="G185" s="12" t="str">
        <f>VLOOKUP($A185,'Matriz POA 2024-TRABAJO'!$A$5:$CD$9142,21,FALSE)</f>
        <v>N/A</v>
      </c>
      <c r="H185" s="12" t="str">
        <f>VLOOKUP($A185,'Matriz POA 2024-TRABAJO'!$A$5:$CD$9142,22,FALSE)</f>
        <v>N/A</v>
      </c>
      <c r="I185" s="12" t="str">
        <f>VLOOKUP($A185,'Matriz POA 2024-TRABAJO'!$A$5:$CD$9142,23,FALSE)</f>
        <v>NUEVA</v>
      </c>
      <c r="J185" s="12" t="str">
        <f>VLOOKUP($A185,'Matriz POA 2024-TRABAJO'!$A$5:$CD$9142,24,FALSE)</f>
        <v>Lavado de Menaje</v>
      </c>
      <c r="K185" s="12" t="str">
        <f>VLOOKUP($A185,'Matriz POA 2024-TRABAJO'!$A$5:$CD$9142,25,FALSE)</f>
        <v>0035</v>
      </c>
      <c r="L185" s="12" t="str">
        <f>VLOOKUP($A185,'Matriz POA 2024-TRABAJO'!$A$5:$CD$9142,26,FALSE)</f>
        <v>80</v>
      </c>
      <c r="M185" s="12" t="str">
        <f>VLOOKUP($A185,'Matriz POA 2024-TRABAJO'!$A$5:$CD$9142,27,FALSE)</f>
        <v>000</v>
      </c>
      <c r="N185" s="12" t="str">
        <f>VLOOKUP($A185,'Matriz POA 2024-TRABAJO'!$A$5:$CD$9142,28,FALSE)</f>
        <v>002</v>
      </c>
      <c r="O185" s="12" t="str">
        <f>VLOOKUP($A185,'Matriz POA 2024-TRABAJO'!$A$5:$CD$9142,29,FALSE)</f>
        <v>53</v>
      </c>
      <c r="P185" s="12">
        <f>VLOOKUP($A185,'Matriz POA 2024-TRABAJO'!$A$5:$CD$9142,30,FALSE)</f>
        <v>530209</v>
      </c>
      <c r="Q185" s="12">
        <f>VLOOKUP($A185,'Matriz POA 2024-TRABAJO'!$A$5:$CD$9142,32,FALSE)</f>
        <v>1309</v>
      </c>
      <c r="R185" s="12" t="str">
        <f>VLOOKUP($A185,'Matriz POA 2024-TRABAJO'!$A$5:$CD$9142,33,FALSE)</f>
        <v>001</v>
      </c>
      <c r="S185" s="12" t="str">
        <f>VLOOKUP($A185,'Matriz POA 2024-TRABAJO'!$A$5:$CD$9142,34,FALSE)</f>
        <v>0000</v>
      </c>
      <c r="T185" s="12" t="str">
        <f>VLOOKUP($A185,'Matriz POA 2024-TRABAJO'!$A$5:$CD$9142,35,FALSE)</f>
        <v>0000</v>
      </c>
      <c r="U185" s="62">
        <f>VLOOKUP($A185,'Matriz POA 2024-TRABAJO'!$A$5:$CD$9142,66,FALSE)</f>
        <v>1508.5</v>
      </c>
      <c r="V185" s="62">
        <f>VLOOKUP($A185,'Matriz POA 2024-TRABAJO'!$A$5:$CD$9142,67,FALSE)</f>
        <v>0</v>
      </c>
      <c r="W185" s="62">
        <f>VLOOKUP($A185,'Matriz POA 2024-TRABAJO'!$A$5:$CD$9142,68,FALSE)</f>
        <v>0</v>
      </c>
      <c r="X185" s="62">
        <f>VLOOKUP($A185,'Matriz POA 2024-TRABAJO'!$A$5:$CD$9142,72,FALSE)</f>
        <v>1508.5</v>
      </c>
      <c r="Y185" s="388">
        <v>2000</v>
      </c>
      <c r="Z185" s="388">
        <v>0</v>
      </c>
      <c r="AA185" s="388">
        <v>2000</v>
      </c>
      <c r="AB185" s="389"/>
      <c r="AC185" s="389">
        <v>-491.5</v>
      </c>
      <c r="AD185" s="13"/>
      <c r="AE185" s="13"/>
      <c r="AF185" s="13">
        <f t="shared" si="95"/>
        <v>1508.5</v>
      </c>
      <c r="AG185" s="13">
        <f t="shared" si="96"/>
        <v>0</v>
      </c>
      <c r="AH185" s="13">
        <f t="shared" si="97"/>
        <v>1508.5</v>
      </c>
      <c r="AI185" s="129"/>
      <c r="AJ185" s="129"/>
      <c r="AK185" s="129"/>
      <c r="AL185" s="129"/>
      <c r="AM185" s="129"/>
      <c r="AN185" s="129"/>
      <c r="AO185" s="129"/>
      <c r="AP185" s="129"/>
      <c r="AQ185" s="129"/>
      <c r="AR185" s="129"/>
      <c r="AS185" s="129"/>
      <c r="AT185" s="129"/>
      <c r="AU185" s="129">
        <f t="shared" si="98"/>
        <v>0</v>
      </c>
      <c r="AV185" s="13" t="b">
        <f t="shared" si="99"/>
        <v>0</v>
      </c>
      <c r="AW185" s="14" t="s">
        <v>1826</v>
      </c>
      <c r="AX185" s="15" t="s">
        <v>1799</v>
      </c>
      <c r="AY185" s="16">
        <v>45422</v>
      </c>
      <c r="AZ185" s="15" t="s">
        <v>1829</v>
      </c>
      <c r="BA185" s="16">
        <v>45428</v>
      </c>
      <c r="BB185" s="17">
        <f t="shared" si="104"/>
        <v>6</v>
      </c>
      <c r="BC185" s="12"/>
      <c r="BD185" s="15"/>
      <c r="BE185" s="18"/>
      <c r="BF185" s="12"/>
      <c r="BG185" s="19" t="str">
        <f t="shared" si="101"/>
        <v>mayo</v>
      </c>
      <c r="BH185" s="12" t="str">
        <f t="shared" si="102"/>
        <v>Corporación Ciudad Alfaro</v>
      </c>
      <c r="BI185" s="20" t="str">
        <f t="shared" si="103"/>
        <v>N/A</v>
      </c>
    </row>
    <row r="186" spans="1:61" ht="24.95" customHeight="1">
      <c r="A186" s="8">
        <v>732</v>
      </c>
      <c r="B186" s="12" t="str">
        <f>VLOOKUP($A186,'Matriz POA 2024-TRABAJO'!$A$5:$CD$9142,11,FALSE)</f>
        <v>Corporación Ciudad Alfaro</v>
      </c>
      <c r="C186" s="12" t="str">
        <f>VLOOKUP($A186,'Matriz POA 2024-TRABAJO'!$A$5:$CD$9142,14,FALSE)</f>
        <v>N/A</v>
      </c>
      <c r="D186" s="12" t="str">
        <f>VLOOKUP($A186,'Matriz POA 2024-TRABAJO'!$A$5:$CD$9142,15,FALSE)</f>
        <v>N/A</v>
      </c>
      <c r="E186" s="12" t="str">
        <f>VLOOKUP($A186,'Matriz POA 2024-TRABAJO'!$A$5:$CD$9142,18,FALSE)</f>
        <v>N/A</v>
      </c>
      <c r="F186" s="12" t="str">
        <f>VLOOKUP($A186,'Matriz POA 2024-TRABAJO'!$A$5:$CD$9142,20,FALSE)</f>
        <v>N/A</v>
      </c>
      <c r="G186" s="12" t="str">
        <f>VLOOKUP($A186,'Matriz POA 2024-TRABAJO'!$A$5:$CD$9142,21,FALSE)</f>
        <v>N/A</v>
      </c>
      <c r="H186" s="12" t="str">
        <f>VLOOKUP($A186,'Matriz POA 2024-TRABAJO'!$A$5:$CD$9142,22,FALSE)</f>
        <v>N/A</v>
      </c>
      <c r="I186" s="12" t="str">
        <f>VLOOKUP($A186,'Matriz POA 2024-TRABAJO'!$A$5:$CD$9142,23,FALSE)</f>
        <v>ARRASTRE</v>
      </c>
      <c r="J186" s="12" t="str">
        <f>VLOOKUP($A186,'Matriz POA 2024-TRABAJO'!$A$5:$CD$9142,24,FALSE)</f>
        <v>Pago del servicio de telefonía fija e internet del mes de Diciembre del 2023 de la Corporación Ciudad Alfaro</v>
      </c>
      <c r="K186" s="12" t="str">
        <f>VLOOKUP($A186,'Matriz POA 2024-TRABAJO'!$A$5:$CD$9142,25,FALSE)</f>
        <v>0035</v>
      </c>
      <c r="L186" s="12" t="str">
        <f>VLOOKUP($A186,'Matriz POA 2024-TRABAJO'!$A$5:$CD$9142,26,FALSE)</f>
        <v>80</v>
      </c>
      <c r="M186" s="12" t="str">
        <f>VLOOKUP($A186,'Matriz POA 2024-TRABAJO'!$A$5:$CD$9142,27,FALSE)</f>
        <v>000</v>
      </c>
      <c r="N186" s="12" t="str">
        <f>VLOOKUP($A186,'Matriz POA 2024-TRABAJO'!$A$5:$CD$9142,28,FALSE)</f>
        <v>002</v>
      </c>
      <c r="O186" s="12" t="str">
        <f>VLOOKUP($A186,'Matriz POA 2024-TRABAJO'!$A$5:$CD$9142,29,FALSE)</f>
        <v>53</v>
      </c>
      <c r="P186" s="12">
        <f>VLOOKUP($A186,'Matriz POA 2024-TRABAJO'!$A$5:$CD$9142,30,FALSE)</f>
        <v>530105</v>
      </c>
      <c r="Q186" s="12">
        <f>VLOOKUP($A186,'Matriz POA 2024-TRABAJO'!$A$5:$CD$9142,32,FALSE)</f>
        <v>1309</v>
      </c>
      <c r="R186" s="12" t="str">
        <f>VLOOKUP($A186,'Matriz POA 2024-TRABAJO'!$A$5:$CD$9142,33,FALSE)</f>
        <v>001</v>
      </c>
      <c r="S186" s="12" t="str">
        <f>VLOOKUP($A186,'Matriz POA 2024-TRABAJO'!$A$5:$CD$9142,34,FALSE)</f>
        <v>0000</v>
      </c>
      <c r="T186" s="12" t="str">
        <f>VLOOKUP($A186,'Matriz POA 2024-TRABAJO'!$A$5:$CD$9142,35,FALSE)</f>
        <v>0000</v>
      </c>
      <c r="U186" s="62">
        <f>VLOOKUP($A186,'Matriz POA 2024-TRABAJO'!$A$5:$CD$9142,66,FALSE)</f>
        <v>1194.77</v>
      </c>
      <c r="V186" s="62">
        <f>VLOOKUP($A186,'Matriz POA 2024-TRABAJO'!$A$5:$CD$9142,67,FALSE)</f>
        <v>0</v>
      </c>
      <c r="W186" s="62">
        <f>VLOOKUP($A186,'Matriz POA 2024-TRABAJO'!$A$5:$CD$9142,68,FALSE)</f>
        <v>0</v>
      </c>
      <c r="X186" s="62">
        <f>VLOOKUP($A186,'Matriz POA 2024-TRABAJO'!$A$5:$CD$9142,72,FALSE)</f>
        <v>1066.76</v>
      </c>
      <c r="Y186" s="388">
        <v>1600</v>
      </c>
      <c r="Z186" s="388">
        <v>0</v>
      </c>
      <c r="AA186" s="388">
        <v>1600</v>
      </c>
      <c r="AB186" s="389"/>
      <c r="AC186" s="389">
        <v>-405.23</v>
      </c>
      <c r="AD186" s="13"/>
      <c r="AE186" s="13"/>
      <c r="AF186" s="13">
        <f t="shared" si="95"/>
        <v>1194.77</v>
      </c>
      <c r="AG186" s="13">
        <f t="shared" si="96"/>
        <v>0</v>
      </c>
      <c r="AH186" s="13">
        <f t="shared" si="97"/>
        <v>1194.77</v>
      </c>
      <c r="AI186" s="129"/>
      <c r="AJ186" s="129"/>
      <c r="AK186" s="129"/>
      <c r="AL186" s="129"/>
      <c r="AM186" s="129"/>
      <c r="AN186" s="129"/>
      <c r="AO186" s="129"/>
      <c r="AP186" s="129"/>
      <c r="AQ186" s="129"/>
      <c r="AR186" s="129"/>
      <c r="AS186" s="129"/>
      <c r="AT186" s="129"/>
      <c r="AU186" s="129">
        <f t="shared" si="98"/>
        <v>0</v>
      </c>
      <c r="AV186" s="13" t="b">
        <f t="shared" si="99"/>
        <v>0</v>
      </c>
      <c r="AW186" s="14" t="s">
        <v>1826</v>
      </c>
      <c r="AX186" s="15" t="s">
        <v>1799</v>
      </c>
      <c r="AY186" s="16">
        <v>45422</v>
      </c>
      <c r="AZ186" s="15" t="s">
        <v>1829</v>
      </c>
      <c r="BA186" s="16">
        <v>45428</v>
      </c>
      <c r="BB186" s="17">
        <f t="shared" si="104"/>
        <v>6</v>
      </c>
      <c r="BC186" s="12"/>
      <c r="BD186" s="15"/>
      <c r="BE186" s="18"/>
      <c r="BF186" s="12"/>
      <c r="BG186" s="19" t="str">
        <f t="shared" si="101"/>
        <v>mayo</v>
      </c>
      <c r="BH186" s="12" t="str">
        <f t="shared" si="102"/>
        <v>Corporación Ciudad Alfaro</v>
      </c>
      <c r="BI186" s="20" t="str">
        <f t="shared" si="103"/>
        <v>N/A</v>
      </c>
    </row>
    <row r="187" spans="1:61" ht="24.95" customHeight="1">
      <c r="A187" s="8">
        <v>435</v>
      </c>
      <c r="B187" s="12" t="str">
        <f>VLOOKUP($A187,'Matriz POA 2024-TRABAJO'!$A$5:$CD$9142,11,FALSE)</f>
        <v>Corporación Ciudad Alfaro</v>
      </c>
      <c r="C187" s="12" t="str">
        <f>VLOOKUP($A187,'Matriz POA 2024-TRABAJO'!$A$5:$CD$9142,14,FALSE)</f>
        <v>N/A</v>
      </c>
      <c r="D187" s="12" t="str">
        <f>VLOOKUP($A187,'Matriz POA 2024-TRABAJO'!$A$5:$CD$9142,15,FALSE)</f>
        <v>N/A</v>
      </c>
      <c r="E187" s="12" t="str">
        <f>VLOOKUP($A187,'Matriz POA 2024-TRABAJO'!$A$5:$CD$9142,18,FALSE)</f>
        <v>N/A</v>
      </c>
      <c r="F187" s="12" t="str">
        <f>VLOOKUP($A187,'Matriz POA 2024-TRABAJO'!$A$5:$CD$9142,20,FALSE)</f>
        <v>N/A</v>
      </c>
      <c r="G187" s="12" t="str">
        <f>VLOOKUP($A187,'Matriz POA 2024-TRABAJO'!$A$5:$CD$9142,21,FALSE)</f>
        <v>N/A</v>
      </c>
      <c r="H187" s="12" t="str">
        <f>VLOOKUP($A187,'Matriz POA 2024-TRABAJO'!$A$5:$CD$9142,22,FALSE)</f>
        <v>N/A</v>
      </c>
      <c r="I187" s="12" t="str">
        <f>VLOOKUP($A187,'Matriz POA 2024-TRABAJO'!$A$5:$CD$9142,23,FALSE)</f>
        <v>PLURIANUAL 2023-2024</v>
      </c>
      <c r="J187" s="12" t="str">
        <f>VLOOKUP($A187,'Matriz POA 2024-TRABAJO'!$A$5:$CD$9142,24,FALSE)</f>
        <v>Pago del servicio de aseo y limpieza del Museo Centro Cultural Manta por el período 2023-2024</v>
      </c>
      <c r="K187" s="12" t="str">
        <f>VLOOKUP($A187,'Matriz POA 2024-TRABAJO'!$A$5:$CD$9142,25,FALSE)</f>
        <v>0035</v>
      </c>
      <c r="L187" s="12" t="str">
        <f>VLOOKUP($A187,'Matriz POA 2024-TRABAJO'!$A$5:$CD$9142,26,FALSE)</f>
        <v>80</v>
      </c>
      <c r="M187" s="12" t="str">
        <f>VLOOKUP($A187,'Matriz POA 2024-TRABAJO'!$A$5:$CD$9142,27,FALSE)</f>
        <v>000</v>
      </c>
      <c r="N187" s="12" t="str">
        <f>VLOOKUP($A187,'Matriz POA 2024-TRABAJO'!$A$5:$CD$9142,28,FALSE)</f>
        <v>002</v>
      </c>
      <c r="O187" s="12" t="str">
        <f>VLOOKUP($A187,'Matriz POA 2024-TRABAJO'!$A$5:$CD$9142,29,FALSE)</f>
        <v>53</v>
      </c>
      <c r="P187" s="12">
        <f>VLOOKUP($A187,'Matriz POA 2024-TRABAJO'!$A$5:$CD$9142,30,FALSE)</f>
        <v>530209</v>
      </c>
      <c r="Q187" s="12">
        <f>VLOOKUP($A187,'Matriz POA 2024-TRABAJO'!$A$5:$CD$9142,32,FALSE)</f>
        <v>1308</v>
      </c>
      <c r="R187" s="12" t="str">
        <f>VLOOKUP($A187,'Matriz POA 2024-TRABAJO'!$A$5:$CD$9142,33,FALSE)</f>
        <v>001</v>
      </c>
      <c r="S187" s="12" t="str">
        <f>VLOOKUP($A187,'Matriz POA 2024-TRABAJO'!$A$5:$CD$9142,34,FALSE)</f>
        <v>0000</v>
      </c>
      <c r="T187" s="12" t="str">
        <f>VLOOKUP($A187,'Matriz POA 2024-TRABAJO'!$A$5:$CD$9142,35,FALSE)</f>
        <v>0000</v>
      </c>
      <c r="U187" s="62">
        <f>VLOOKUP($A187,'Matriz POA 2024-TRABAJO'!$A$5:$CD$9142,66,FALSE)</f>
        <v>22446</v>
      </c>
      <c r="V187" s="62">
        <f>VLOOKUP($A187,'Matriz POA 2024-TRABAJO'!$A$5:$CD$9142,67,FALSE)</f>
        <v>0</v>
      </c>
      <c r="W187" s="62">
        <f>VLOOKUP($A187,'Matriz POA 2024-TRABAJO'!$A$5:$CD$9142,68,FALSE)</f>
        <v>22446</v>
      </c>
      <c r="X187" s="62">
        <f>VLOOKUP($A187,'Matriz POA 2024-TRABAJO'!$A$5:$CD$9142,72,FALSE)</f>
        <v>20898</v>
      </c>
      <c r="Y187" s="388">
        <v>30186</v>
      </c>
      <c r="Z187" s="388">
        <v>0</v>
      </c>
      <c r="AA187" s="388">
        <v>30186</v>
      </c>
      <c r="AB187" s="389"/>
      <c r="AC187" s="389">
        <v>-5344</v>
      </c>
      <c r="AD187" s="13"/>
      <c r="AE187" s="13"/>
      <c r="AF187" s="13">
        <f t="shared" si="95"/>
        <v>24842</v>
      </c>
      <c r="AG187" s="13">
        <f t="shared" si="96"/>
        <v>0</v>
      </c>
      <c r="AH187" s="13">
        <f t="shared" si="97"/>
        <v>24842</v>
      </c>
      <c r="AI187" s="129"/>
      <c r="AJ187" s="129"/>
      <c r="AK187" s="129"/>
      <c r="AL187" s="129"/>
      <c r="AM187" s="129"/>
      <c r="AN187" s="129"/>
      <c r="AO187" s="129"/>
      <c r="AP187" s="129"/>
      <c r="AQ187" s="129"/>
      <c r="AR187" s="129"/>
      <c r="AS187" s="129"/>
      <c r="AT187" s="129"/>
      <c r="AU187" s="129">
        <f t="shared" si="98"/>
        <v>0</v>
      </c>
      <c r="AV187" s="13" t="b">
        <f t="shared" si="99"/>
        <v>0</v>
      </c>
      <c r="AW187" s="14" t="s">
        <v>1826</v>
      </c>
      <c r="AX187" s="15" t="s">
        <v>1799</v>
      </c>
      <c r="AY187" s="16">
        <v>45422</v>
      </c>
      <c r="AZ187" s="15" t="s">
        <v>1829</v>
      </c>
      <c r="BA187" s="16">
        <v>45428</v>
      </c>
      <c r="BB187" s="17">
        <f t="shared" si="104"/>
        <v>6</v>
      </c>
      <c r="BC187" s="12"/>
      <c r="BD187" s="15"/>
      <c r="BE187" s="18"/>
      <c r="BF187" s="12"/>
      <c r="BG187" s="19" t="str">
        <f t="shared" si="101"/>
        <v>mayo</v>
      </c>
      <c r="BH187" s="12" t="str">
        <f t="shared" si="102"/>
        <v>Corporación Ciudad Alfaro</v>
      </c>
      <c r="BI187" s="20" t="str">
        <f t="shared" si="103"/>
        <v>N/A</v>
      </c>
    </row>
    <row r="188" spans="1:61" ht="24.95" customHeight="1">
      <c r="A188" s="8">
        <v>436</v>
      </c>
      <c r="B188" s="12" t="str">
        <f>VLOOKUP($A188,'Matriz POA 2024-TRABAJO'!$A$5:$CD$9142,11,FALSE)</f>
        <v>Corporación Ciudad Alfaro</v>
      </c>
      <c r="C188" s="12" t="str">
        <f>VLOOKUP($A188,'Matriz POA 2024-TRABAJO'!$A$5:$CD$9142,14,FALSE)</f>
        <v>N/A</v>
      </c>
      <c r="D188" s="12" t="str">
        <f>VLOOKUP($A188,'Matriz POA 2024-TRABAJO'!$A$5:$CD$9142,15,FALSE)</f>
        <v>N/A</v>
      </c>
      <c r="E188" s="12" t="str">
        <f>VLOOKUP($A188,'Matriz POA 2024-TRABAJO'!$A$5:$CD$9142,18,FALSE)</f>
        <v>N/A</v>
      </c>
      <c r="F188" s="12" t="str">
        <f>VLOOKUP($A188,'Matriz POA 2024-TRABAJO'!$A$5:$CD$9142,20,FALSE)</f>
        <v>N/A</v>
      </c>
      <c r="G188" s="12" t="str">
        <f>VLOOKUP($A188,'Matriz POA 2024-TRABAJO'!$A$5:$CD$9142,21,FALSE)</f>
        <v>N/A</v>
      </c>
      <c r="H188" s="12" t="str">
        <f>VLOOKUP($A188,'Matriz POA 2024-TRABAJO'!$A$5:$CD$9142,22,FALSE)</f>
        <v>N/A</v>
      </c>
      <c r="I188" s="12" t="str">
        <f>VLOOKUP($A188,'Matriz POA 2024-TRABAJO'!$A$5:$CD$9142,23,FALSE)</f>
        <v>PLURIANUAL 2023-2024</v>
      </c>
      <c r="J188" s="12" t="str">
        <f>VLOOKUP($A188,'Matriz POA 2024-TRABAJO'!$A$5:$CD$9142,24,FALSE)</f>
        <v>Pago del Servicio de aseo y Limpieza del Museo Bahía de Caráquez por el período 2023-2024</v>
      </c>
      <c r="K188" s="12" t="str">
        <f>VLOOKUP($A188,'Matriz POA 2024-TRABAJO'!$A$5:$CD$9142,25,FALSE)</f>
        <v>0035</v>
      </c>
      <c r="L188" s="12" t="str">
        <f>VLOOKUP($A188,'Matriz POA 2024-TRABAJO'!$A$5:$CD$9142,26,FALSE)</f>
        <v>80</v>
      </c>
      <c r="M188" s="12" t="str">
        <f>VLOOKUP($A188,'Matriz POA 2024-TRABAJO'!$A$5:$CD$9142,27,FALSE)</f>
        <v>000</v>
      </c>
      <c r="N188" s="12" t="str">
        <f>VLOOKUP($A188,'Matriz POA 2024-TRABAJO'!$A$5:$CD$9142,28,FALSE)</f>
        <v>002</v>
      </c>
      <c r="O188" s="12" t="str">
        <f>VLOOKUP($A188,'Matriz POA 2024-TRABAJO'!$A$5:$CD$9142,29,FALSE)</f>
        <v>53</v>
      </c>
      <c r="P188" s="12">
        <f>VLOOKUP($A188,'Matriz POA 2024-TRABAJO'!$A$5:$CD$9142,30,FALSE)</f>
        <v>530209</v>
      </c>
      <c r="Q188" s="12">
        <f>VLOOKUP($A188,'Matriz POA 2024-TRABAJO'!$A$5:$CD$9142,32,FALSE)</f>
        <v>1314</v>
      </c>
      <c r="R188" s="12" t="str">
        <f>VLOOKUP($A188,'Matriz POA 2024-TRABAJO'!$A$5:$CD$9142,33,FALSE)</f>
        <v>001</v>
      </c>
      <c r="S188" s="12" t="str">
        <f>VLOOKUP($A188,'Matriz POA 2024-TRABAJO'!$A$5:$CD$9142,34,FALSE)</f>
        <v>0000</v>
      </c>
      <c r="T188" s="12" t="str">
        <f>VLOOKUP($A188,'Matriz POA 2024-TRABAJO'!$A$5:$CD$9142,35,FALSE)</f>
        <v>0000</v>
      </c>
      <c r="U188" s="62">
        <f>VLOOKUP($A188,'Matriz POA 2024-TRABAJO'!$A$5:$CD$9142,66,FALSE)</f>
        <v>22446</v>
      </c>
      <c r="V188" s="62">
        <f>VLOOKUP($A188,'Matriz POA 2024-TRABAJO'!$A$5:$CD$9142,67,FALSE)</f>
        <v>0</v>
      </c>
      <c r="W188" s="62">
        <f>VLOOKUP($A188,'Matriz POA 2024-TRABAJO'!$A$5:$CD$9142,68,FALSE)</f>
        <v>22446</v>
      </c>
      <c r="X188" s="62">
        <f>VLOOKUP($A188,'Matriz POA 2024-TRABAJO'!$A$5:$CD$9142,72,FALSE)</f>
        <v>22446</v>
      </c>
      <c r="Y188" s="388">
        <v>30186</v>
      </c>
      <c r="Z188" s="388">
        <v>0</v>
      </c>
      <c r="AA188" s="388">
        <v>30186</v>
      </c>
      <c r="AB188" s="389"/>
      <c r="AC188" s="389">
        <v>-5344</v>
      </c>
      <c r="AD188" s="13"/>
      <c r="AE188" s="13"/>
      <c r="AF188" s="13">
        <f t="shared" si="95"/>
        <v>24842</v>
      </c>
      <c r="AG188" s="13">
        <f t="shared" si="96"/>
        <v>0</v>
      </c>
      <c r="AH188" s="13">
        <f t="shared" si="97"/>
        <v>24842</v>
      </c>
      <c r="AI188" s="129"/>
      <c r="AJ188" s="129"/>
      <c r="AK188" s="129"/>
      <c r="AL188" s="129"/>
      <c r="AM188" s="129"/>
      <c r="AN188" s="129"/>
      <c r="AO188" s="129"/>
      <c r="AP188" s="129"/>
      <c r="AQ188" s="129"/>
      <c r="AR188" s="129"/>
      <c r="AS188" s="129"/>
      <c r="AT188" s="129"/>
      <c r="AU188" s="129">
        <f t="shared" si="98"/>
        <v>0</v>
      </c>
      <c r="AV188" s="13" t="b">
        <f t="shared" si="99"/>
        <v>0</v>
      </c>
      <c r="AW188" s="14" t="s">
        <v>1826</v>
      </c>
      <c r="AX188" s="15" t="s">
        <v>1799</v>
      </c>
      <c r="AY188" s="16">
        <v>45422</v>
      </c>
      <c r="AZ188" s="15" t="s">
        <v>1829</v>
      </c>
      <c r="BA188" s="16">
        <v>45428</v>
      </c>
      <c r="BB188" s="17">
        <f t="shared" si="104"/>
        <v>6</v>
      </c>
      <c r="BC188" s="12"/>
      <c r="BD188" s="15"/>
      <c r="BE188" s="18"/>
      <c r="BF188" s="12"/>
      <c r="BG188" s="19" t="str">
        <f t="shared" si="101"/>
        <v>mayo</v>
      </c>
      <c r="BH188" s="12" t="str">
        <f t="shared" si="102"/>
        <v>Corporación Ciudad Alfaro</v>
      </c>
      <c r="BI188" s="20" t="str">
        <f t="shared" si="103"/>
        <v>N/A</v>
      </c>
    </row>
    <row r="189" spans="1:61" ht="24.95" customHeight="1">
      <c r="A189" s="8">
        <v>438</v>
      </c>
      <c r="B189" s="12" t="str">
        <f>VLOOKUP($A189,'Matriz POA 2024-TRABAJO'!$A$5:$CD$9142,11,FALSE)</f>
        <v>Corporación Ciudad Alfaro</v>
      </c>
      <c r="C189" s="12" t="str">
        <f>VLOOKUP($A189,'Matriz POA 2024-TRABAJO'!$A$5:$CD$9142,14,FALSE)</f>
        <v>N/A</v>
      </c>
      <c r="D189" s="12" t="str">
        <f>VLOOKUP($A189,'Matriz POA 2024-TRABAJO'!$A$5:$CD$9142,15,FALSE)</f>
        <v>N/A</v>
      </c>
      <c r="E189" s="12" t="str">
        <f>VLOOKUP($A189,'Matriz POA 2024-TRABAJO'!$A$5:$CD$9142,18,FALSE)</f>
        <v>N/A</v>
      </c>
      <c r="F189" s="12" t="str">
        <f>VLOOKUP($A189,'Matriz POA 2024-TRABAJO'!$A$5:$CD$9142,20,FALSE)</f>
        <v>N/A</v>
      </c>
      <c r="G189" s="12" t="str">
        <f>VLOOKUP($A189,'Matriz POA 2024-TRABAJO'!$A$5:$CD$9142,21,FALSE)</f>
        <v>N/A</v>
      </c>
      <c r="H189" s="12" t="str">
        <f>VLOOKUP($A189,'Matriz POA 2024-TRABAJO'!$A$5:$CD$9142,22,FALSE)</f>
        <v>N/A</v>
      </c>
      <c r="I189" s="12" t="str">
        <f>VLOOKUP($A189,'Matriz POA 2024-TRABAJO'!$A$5:$CD$9142,23,FALSE)</f>
        <v>PLURIANUAL 2023-2024</v>
      </c>
      <c r="J189" s="12" t="str">
        <f>VLOOKUP($A189,'Matriz POA 2024-TRABAJO'!$A$5:$CD$9142,24,FALSE)</f>
        <v>Pago del Servicio de aseo y Limpieza de la Corporación Ciudad Alfaro</v>
      </c>
      <c r="K189" s="12" t="str">
        <f>VLOOKUP($A189,'Matriz POA 2024-TRABAJO'!$A$5:$CD$9142,25,FALSE)</f>
        <v>0035</v>
      </c>
      <c r="L189" s="12" t="str">
        <f>VLOOKUP($A189,'Matriz POA 2024-TRABAJO'!$A$5:$CD$9142,26,FALSE)</f>
        <v>80</v>
      </c>
      <c r="M189" s="12" t="str">
        <f>VLOOKUP($A189,'Matriz POA 2024-TRABAJO'!$A$5:$CD$9142,27,FALSE)</f>
        <v>000</v>
      </c>
      <c r="N189" s="12" t="str">
        <f>VLOOKUP($A189,'Matriz POA 2024-TRABAJO'!$A$5:$CD$9142,28,FALSE)</f>
        <v>002</v>
      </c>
      <c r="O189" s="12" t="str">
        <f>VLOOKUP($A189,'Matriz POA 2024-TRABAJO'!$A$5:$CD$9142,29,FALSE)</f>
        <v>53</v>
      </c>
      <c r="P189" s="12">
        <f>VLOOKUP($A189,'Matriz POA 2024-TRABAJO'!$A$5:$CD$9142,30,FALSE)</f>
        <v>530209</v>
      </c>
      <c r="Q189" s="12">
        <f>VLOOKUP($A189,'Matriz POA 2024-TRABAJO'!$A$5:$CD$9142,32,FALSE)</f>
        <v>1309</v>
      </c>
      <c r="R189" s="12" t="str">
        <f>VLOOKUP($A189,'Matriz POA 2024-TRABAJO'!$A$5:$CD$9142,33,FALSE)</f>
        <v>001</v>
      </c>
      <c r="S189" s="12" t="str">
        <f>VLOOKUP($A189,'Matriz POA 2024-TRABAJO'!$A$5:$CD$9142,34,FALSE)</f>
        <v>0000</v>
      </c>
      <c r="T189" s="12" t="str">
        <f>VLOOKUP($A189,'Matriz POA 2024-TRABAJO'!$A$5:$CD$9142,35,FALSE)</f>
        <v>0000</v>
      </c>
      <c r="U189" s="62">
        <f>VLOOKUP($A189,'Matriz POA 2024-TRABAJO'!$A$5:$CD$9142,66,FALSE)</f>
        <v>22523.4</v>
      </c>
      <c r="V189" s="62">
        <f>VLOOKUP($A189,'Matriz POA 2024-TRABAJO'!$A$5:$CD$9142,67,FALSE)</f>
        <v>0</v>
      </c>
      <c r="W189" s="62">
        <f>VLOOKUP($A189,'Matriz POA 2024-TRABAJO'!$A$5:$CD$9142,68,FALSE)</f>
        <v>22523.4</v>
      </c>
      <c r="X189" s="62">
        <f>VLOOKUP($A189,'Matriz POA 2024-TRABAJO'!$A$5:$CD$9142,72,FALSE)</f>
        <v>22446</v>
      </c>
      <c r="Y189" s="388">
        <v>30263.4</v>
      </c>
      <c r="Z189" s="388">
        <v>0</v>
      </c>
      <c r="AA189" s="388">
        <v>30263.4</v>
      </c>
      <c r="AB189" s="389"/>
      <c r="AC189" s="389">
        <v>-5344</v>
      </c>
      <c r="AD189" s="13"/>
      <c r="AE189" s="13"/>
      <c r="AF189" s="13">
        <f t="shared" si="95"/>
        <v>24919.4</v>
      </c>
      <c r="AG189" s="13">
        <f t="shared" si="96"/>
        <v>0</v>
      </c>
      <c r="AH189" s="13">
        <f t="shared" si="97"/>
        <v>24919.4</v>
      </c>
      <c r="AI189" s="129"/>
      <c r="AJ189" s="129"/>
      <c r="AK189" s="129"/>
      <c r="AL189" s="129"/>
      <c r="AM189" s="129"/>
      <c r="AN189" s="129"/>
      <c r="AO189" s="129"/>
      <c r="AP189" s="129"/>
      <c r="AQ189" s="129"/>
      <c r="AR189" s="129"/>
      <c r="AS189" s="129"/>
      <c r="AT189" s="129"/>
      <c r="AU189" s="129">
        <f t="shared" si="98"/>
        <v>0</v>
      </c>
      <c r="AV189" s="13" t="b">
        <f t="shared" si="99"/>
        <v>0</v>
      </c>
      <c r="AW189" s="14" t="s">
        <v>1826</v>
      </c>
      <c r="AX189" s="15" t="s">
        <v>1799</v>
      </c>
      <c r="AY189" s="16">
        <v>45422</v>
      </c>
      <c r="AZ189" s="15" t="s">
        <v>1829</v>
      </c>
      <c r="BA189" s="16">
        <v>45428</v>
      </c>
      <c r="BB189" s="17">
        <f t="shared" si="104"/>
        <v>6</v>
      </c>
      <c r="BC189" s="12"/>
      <c r="BD189" s="15"/>
      <c r="BE189" s="18"/>
      <c r="BF189" s="12"/>
      <c r="BG189" s="19" t="str">
        <f t="shared" si="101"/>
        <v>mayo</v>
      </c>
      <c r="BH189" s="12" t="str">
        <f t="shared" si="102"/>
        <v>Corporación Ciudad Alfaro</v>
      </c>
      <c r="BI189" s="20" t="str">
        <f t="shared" si="103"/>
        <v>N/A</v>
      </c>
    </row>
    <row r="190" spans="1:61" ht="24.95" customHeight="1">
      <c r="A190" s="8">
        <v>456</v>
      </c>
      <c r="B190" s="12" t="str">
        <f>VLOOKUP($A190,'Matriz POA 2024-TRABAJO'!$A$5:$CD$9142,11,FALSE)</f>
        <v>Corporación Ciudad Alfaro</v>
      </c>
      <c r="C190" s="12" t="str">
        <f>VLOOKUP($A190,'Matriz POA 2024-TRABAJO'!$A$5:$CD$9142,14,FALSE)</f>
        <v>N/A</v>
      </c>
      <c r="D190" s="12" t="str">
        <f>VLOOKUP($A190,'Matriz POA 2024-TRABAJO'!$A$5:$CD$9142,15,FALSE)</f>
        <v>N/A</v>
      </c>
      <c r="E190" s="12" t="str">
        <f>VLOOKUP($A190,'Matriz POA 2024-TRABAJO'!$A$5:$CD$9142,18,FALSE)</f>
        <v>N/A</v>
      </c>
      <c r="F190" s="12" t="str">
        <f>VLOOKUP($A190,'Matriz POA 2024-TRABAJO'!$A$5:$CD$9142,20,FALSE)</f>
        <v>N/A</v>
      </c>
      <c r="G190" s="12" t="str">
        <f>VLOOKUP($A190,'Matriz POA 2024-TRABAJO'!$A$5:$CD$9142,21,FALSE)</f>
        <v>N/A</v>
      </c>
      <c r="H190" s="12" t="str">
        <f>VLOOKUP($A190,'Matriz POA 2024-TRABAJO'!$A$5:$CD$9142,22,FALSE)</f>
        <v>N/A</v>
      </c>
      <c r="I190" s="12" t="str">
        <f>VLOOKUP($A190,'Matriz POA 2024-TRABAJO'!$A$5:$CD$9142,23,FALSE)</f>
        <v>ARRASTRE</v>
      </c>
      <c r="J190" s="12" t="str">
        <f>VLOOKUP($A190,'Matriz POA 2024-TRABAJO'!$A$5:$CD$9142,24,FALSE)</f>
        <v>Pago mensual del servicio de energía eléctrica de los meses de Noviembre y Diciembre del 2023 del Museo y Centro Cultural de Manta</v>
      </c>
      <c r="K190" s="12" t="str">
        <f>VLOOKUP($A190,'Matriz POA 2024-TRABAJO'!$A$5:$CD$9142,25,FALSE)</f>
        <v>0035</v>
      </c>
      <c r="L190" s="12" t="str">
        <f>VLOOKUP($A190,'Matriz POA 2024-TRABAJO'!$A$5:$CD$9142,26,FALSE)</f>
        <v>80</v>
      </c>
      <c r="M190" s="12" t="str">
        <f>VLOOKUP($A190,'Matriz POA 2024-TRABAJO'!$A$5:$CD$9142,27,FALSE)</f>
        <v>000</v>
      </c>
      <c r="N190" s="12" t="str">
        <f>VLOOKUP($A190,'Matriz POA 2024-TRABAJO'!$A$5:$CD$9142,28,FALSE)</f>
        <v>002</v>
      </c>
      <c r="O190" s="12" t="str">
        <f>VLOOKUP($A190,'Matriz POA 2024-TRABAJO'!$A$5:$CD$9142,29,FALSE)</f>
        <v>53</v>
      </c>
      <c r="P190" s="12">
        <f>VLOOKUP($A190,'Matriz POA 2024-TRABAJO'!$A$5:$CD$9142,30,FALSE)</f>
        <v>530104</v>
      </c>
      <c r="Q190" s="12">
        <f>VLOOKUP($A190,'Matriz POA 2024-TRABAJO'!$A$5:$CD$9142,32,FALSE)</f>
        <v>1308</v>
      </c>
      <c r="R190" s="12" t="str">
        <f>VLOOKUP($A190,'Matriz POA 2024-TRABAJO'!$A$5:$CD$9142,33,FALSE)</f>
        <v>001</v>
      </c>
      <c r="S190" s="12" t="str">
        <f>VLOOKUP($A190,'Matriz POA 2024-TRABAJO'!$A$5:$CD$9142,34,FALSE)</f>
        <v>0000</v>
      </c>
      <c r="T190" s="12" t="str">
        <f>VLOOKUP($A190,'Matriz POA 2024-TRABAJO'!$A$5:$CD$9142,35,FALSE)</f>
        <v>0000</v>
      </c>
      <c r="U190" s="62">
        <f>VLOOKUP($A190,'Matriz POA 2024-TRABAJO'!$A$5:$CD$9142,66,FALSE)</f>
        <v>2941.33</v>
      </c>
      <c r="V190" s="62">
        <f>VLOOKUP($A190,'Matriz POA 2024-TRABAJO'!$A$5:$CD$9142,67,FALSE)</f>
        <v>0</v>
      </c>
      <c r="W190" s="62">
        <f>VLOOKUP($A190,'Matriz POA 2024-TRABAJO'!$A$5:$CD$9142,68,FALSE)</f>
        <v>1754.87</v>
      </c>
      <c r="X190" s="62">
        <f>VLOOKUP($A190,'Matriz POA 2024-TRABAJO'!$A$5:$CD$9142,72,FALSE)</f>
        <v>1186.46</v>
      </c>
      <c r="Y190" s="388">
        <v>2000</v>
      </c>
      <c r="Z190" s="388">
        <v>0</v>
      </c>
      <c r="AA190" s="388">
        <v>2000</v>
      </c>
      <c r="AB190" s="389">
        <v>941.33</v>
      </c>
      <c r="AC190" s="389"/>
      <c r="AD190" s="13"/>
      <c r="AE190" s="13"/>
      <c r="AF190" s="13">
        <f t="shared" si="95"/>
        <v>2941.33</v>
      </c>
      <c r="AG190" s="13">
        <f t="shared" si="96"/>
        <v>0</v>
      </c>
      <c r="AH190" s="13">
        <f t="shared" si="97"/>
        <v>2941.33</v>
      </c>
      <c r="AI190" s="129"/>
      <c r="AJ190" s="129"/>
      <c r="AK190" s="129"/>
      <c r="AL190" s="129"/>
      <c r="AM190" s="129"/>
      <c r="AN190" s="129"/>
      <c r="AO190" s="129"/>
      <c r="AP190" s="129"/>
      <c r="AQ190" s="129"/>
      <c r="AR190" s="129"/>
      <c r="AS190" s="129"/>
      <c r="AT190" s="129"/>
      <c r="AU190" s="129">
        <f t="shared" si="98"/>
        <v>0</v>
      </c>
      <c r="AV190" s="13" t="b">
        <f t="shared" si="99"/>
        <v>0</v>
      </c>
      <c r="AW190" s="14" t="s">
        <v>1826</v>
      </c>
      <c r="AX190" s="15" t="s">
        <v>1799</v>
      </c>
      <c r="AY190" s="16">
        <v>45422</v>
      </c>
      <c r="AZ190" s="15" t="s">
        <v>1829</v>
      </c>
      <c r="BA190" s="16">
        <v>45428</v>
      </c>
      <c r="BB190" s="17">
        <f t="shared" si="104"/>
        <v>6</v>
      </c>
      <c r="BC190" s="12"/>
      <c r="BD190" s="15"/>
      <c r="BE190" s="18"/>
      <c r="BF190" s="12"/>
      <c r="BG190" s="19" t="str">
        <f t="shared" si="101"/>
        <v>mayo</v>
      </c>
      <c r="BH190" s="12" t="str">
        <f t="shared" si="102"/>
        <v>Corporación Ciudad Alfaro</v>
      </c>
      <c r="BI190" s="20" t="str">
        <f t="shared" si="103"/>
        <v>N/A</v>
      </c>
    </row>
    <row r="191" spans="1:61" ht="24.95" customHeight="1">
      <c r="A191" s="8">
        <v>487</v>
      </c>
      <c r="B191" s="12" t="str">
        <f>VLOOKUP($A191,'Matriz POA 2024-TRABAJO'!$A$5:$CD$9142,11,FALSE)</f>
        <v>Corporación Ciudad Alfaro</v>
      </c>
      <c r="C191" s="12" t="str">
        <f>VLOOKUP($A191,'Matriz POA 2024-TRABAJO'!$A$5:$CD$9142,14,FALSE)</f>
        <v>N/A</v>
      </c>
      <c r="D191" s="12" t="str">
        <f>VLOOKUP($A191,'Matriz POA 2024-TRABAJO'!$A$5:$CD$9142,15,FALSE)</f>
        <v>N/A</v>
      </c>
      <c r="E191" s="12" t="str">
        <f>VLOOKUP($A191,'Matriz POA 2024-TRABAJO'!$A$5:$CD$9142,18,FALSE)</f>
        <v>N/A</v>
      </c>
      <c r="F191" s="12" t="str">
        <f>VLOOKUP($A191,'Matriz POA 2024-TRABAJO'!$A$5:$CD$9142,20,FALSE)</f>
        <v>N/A</v>
      </c>
      <c r="G191" s="12" t="str">
        <f>VLOOKUP($A191,'Matriz POA 2024-TRABAJO'!$A$5:$CD$9142,21,FALSE)</f>
        <v>N/A</v>
      </c>
      <c r="H191" s="12" t="str">
        <f>VLOOKUP($A191,'Matriz POA 2024-TRABAJO'!$A$5:$CD$9142,22,FALSE)</f>
        <v>N/A</v>
      </c>
      <c r="I191" s="12" t="str">
        <f>VLOOKUP($A191,'Matriz POA 2024-TRABAJO'!$A$5:$CD$9142,23,FALSE)</f>
        <v>NUEVA</v>
      </c>
      <c r="J191" s="12" t="str">
        <f>VLOOKUP($A191,'Matriz POA 2024-TRABAJO'!$A$5:$CD$9142,24,FALSE)</f>
        <v>Pago de viáticos para el personal de la Corporación Ciudad Alfaro y sus sedes</v>
      </c>
      <c r="K191" s="12" t="str">
        <f>VLOOKUP($A191,'Matriz POA 2024-TRABAJO'!$A$5:$CD$9142,25,FALSE)</f>
        <v>0035</v>
      </c>
      <c r="L191" s="12" t="str">
        <f>VLOOKUP($A191,'Matriz POA 2024-TRABAJO'!$A$5:$CD$9142,26,FALSE)</f>
        <v>80</v>
      </c>
      <c r="M191" s="12" t="str">
        <f>VLOOKUP($A191,'Matriz POA 2024-TRABAJO'!$A$5:$CD$9142,27,FALSE)</f>
        <v>000</v>
      </c>
      <c r="N191" s="12" t="str">
        <f>VLOOKUP($A191,'Matriz POA 2024-TRABAJO'!$A$5:$CD$9142,28,FALSE)</f>
        <v>002</v>
      </c>
      <c r="O191" s="12" t="str">
        <f>VLOOKUP($A191,'Matriz POA 2024-TRABAJO'!$A$5:$CD$9142,29,FALSE)</f>
        <v>53</v>
      </c>
      <c r="P191" s="12">
        <f>VLOOKUP($A191,'Matriz POA 2024-TRABAJO'!$A$5:$CD$9142,30,FALSE)</f>
        <v>530303</v>
      </c>
      <c r="Q191" s="12">
        <f>VLOOKUP($A191,'Matriz POA 2024-TRABAJO'!$A$5:$CD$9142,32,FALSE)</f>
        <v>1309</v>
      </c>
      <c r="R191" s="12" t="str">
        <f>VLOOKUP($A191,'Matriz POA 2024-TRABAJO'!$A$5:$CD$9142,33,FALSE)</f>
        <v>001</v>
      </c>
      <c r="S191" s="12" t="str">
        <f>VLOOKUP($A191,'Matriz POA 2024-TRABAJO'!$A$5:$CD$9142,34,FALSE)</f>
        <v>0000</v>
      </c>
      <c r="T191" s="12" t="str">
        <f>VLOOKUP($A191,'Matriz POA 2024-TRABAJO'!$A$5:$CD$9142,35,FALSE)</f>
        <v>0000</v>
      </c>
      <c r="U191" s="62">
        <f>VLOOKUP($A191,'Matriz POA 2024-TRABAJO'!$A$5:$CD$9142,66,FALSE)</f>
        <v>4801.58</v>
      </c>
      <c r="V191" s="62">
        <f>VLOOKUP($A191,'Matriz POA 2024-TRABAJO'!$A$5:$CD$9142,67,FALSE)</f>
        <v>-31.319999999999709</v>
      </c>
      <c r="W191" s="62">
        <f>VLOOKUP($A191,'Matriz POA 2024-TRABAJO'!$A$5:$CD$9142,68,FALSE)</f>
        <v>4110.26</v>
      </c>
      <c r="X191" s="62">
        <f>VLOOKUP($A191,'Matriz POA 2024-TRABAJO'!$A$5:$CD$9142,72,FALSE)</f>
        <v>3257.5</v>
      </c>
      <c r="Y191" s="388">
        <v>1085.8800000000001</v>
      </c>
      <c r="Z191" s="388">
        <v>0</v>
      </c>
      <c r="AA191" s="388">
        <v>1085.8800000000001</v>
      </c>
      <c r="AB191" s="389">
        <v>3715.7</v>
      </c>
      <c r="AC191" s="389"/>
      <c r="AD191" s="13"/>
      <c r="AE191" s="13"/>
      <c r="AF191" s="13">
        <f t="shared" si="95"/>
        <v>4801.58</v>
      </c>
      <c r="AG191" s="13">
        <f t="shared" si="96"/>
        <v>0</v>
      </c>
      <c r="AH191" s="13">
        <f t="shared" si="97"/>
        <v>4801.58</v>
      </c>
      <c r="AI191" s="129"/>
      <c r="AJ191" s="129"/>
      <c r="AK191" s="129"/>
      <c r="AL191" s="129"/>
      <c r="AM191" s="129"/>
      <c r="AN191" s="129"/>
      <c r="AO191" s="129"/>
      <c r="AP191" s="129"/>
      <c r="AQ191" s="129"/>
      <c r="AR191" s="129"/>
      <c r="AS191" s="129"/>
      <c r="AT191" s="129"/>
      <c r="AU191" s="129">
        <f t="shared" si="98"/>
        <v>0</v>
      </c>
      <c r="AV191" s="13" t="b">
        <f t="shared" si="99"/>
        <v>0</v>
      </c>
      <c r="AW191" s="14" t="s">
        <v>1826</v>
      </c>
      <c r="AX191" s="15" t="s">
        <v>1799</v>
      </c>
      <c r="AY191" s="16">
        <v>45422</v>
      </c>
      <c r="AZ191" s="15" t="s">
        <v>1829</v>
      </c>
      <c r="BA191" s="16">
        <v>45428</v>
      </c>
      <c r="BB191" s="17">
        <f t="shared" si="104"/>
        <v>6</v>
      </c>
      <c r="BC191" s="12"/>
      <c r="BD191" s="15"/>
      <c r="BE191" s="18"/>
      <c r="BF191" s="12"/>
      <c r="BG191" s="19" t="str">
        <f t="shared" si="101"/>
        <v>mayo</v>
      </c>
      <c r="BH191" s="12" t="str">
        <f t="shared" si="102"/>
        <v>Corporación Ciudad Alfaro</v>
      </c>
      <c r="BI191" s="20" t="str">
        <f t="shared" si="103"/>
        <v>N/A</v>
      </c>
    </row>
    <row r="192" spans="1:61" ht="24.95" customHeight="1">
      <c r="A192" s="8">
        <v>488</v>
      </c>
      <c r="B192" s="12" t="str">
        <f>VLOOKUP($A192,'Matriz POA 2024-TRABAJO'!$A$5:$CD$9142,11,FALSE)</f>
        <v>Corporación Ciudad Alfaro</v>
      </c>
      <c r="C192" s="12" t="str">
        <f>VLOOKUP($A192,'Matriz POA 2024-TRABAJO'!$A$5:$CD$9142,14,FALSE)</f>
        <v>N/A</v>
      </c>
      <c r="D192" s="12" t="str">
        <f>VLOOKUP($A192,'Matriz POA 2024-TRABAJO'!$A$5:$CD$9142,15,FALSE)</f>
        <v>N/A</v>
      </c>
      <c r="E192" s="12" t="str">
        <f>VLOOKUP($A192,'Matriz POA 2024-TRABAJO'!$A$5:$CD$9142,18,FALSE)</f>
        <v>N/A</v>
      </c>
      <c r="F192" s="12" t="str">
        <f>VLOOKUP($A192,'Matriz POA 2024-TRABAJO'!$A$5:$CD$9142,20,FALSE)</f>
        <v>N/A</v>
      </c>
      <c r="G192" s="12" t="str">
        <f>VLOOKUP($A192,'Matriz POA 2024-TRABAJO'!$A$5:$CD$9142,21,FALSE)</f>
        <v>N/A</v>
      </c>
      <c r="H192" s="12" t="str">
        <f>VLOOKUP($A192,'Matriz POA 2024-TRABAJO'!$A$5:$CD$9142,22,FALSE)</f>
        <v>N/A</v>
      </c>
      <c r="I192" s="12" t="str">
        <f>VLOOKUP($A192,'Matriz POA 2024-TRABAJO'!$A$5:$CD$9142,23,FALSE)</f>
        <v>NUEVA</v>
      </c>
      <c r="J192" s="12" t="str">
        <f>VLOOKUP($A192,'Matriz POA 2024-TRABAJO'!$A$5:$CD$9142,24,FALSE)</f>
        <v>Reembolso de pasajes aereos  para el personal de la Corporación Ciudad Alfaro y sus sedes</v>
      </c>
      <c r="K192" s="12" t="str">
        <f>VLOOKUP($A192,'Matriz POA 2024-TRABAJO'!$A$5:$CD$9142,25,FALSE)</f>
        <v>0035</v>
      </c>
      <c r="L192" s="12" t="str">
        <f>VLOOKUP($A192,'Matriz POA 2024-TRABAJO'!$A$5:$CD$9142,26,FALSE)</f>
        <v>80</v>
      </c>
      <c r="M192" s="12" t="str">
        <f>VLOOKUP($A192,'Matriz POA 2024-TRABAJO'!$A$5:$CD$9142,27,FALSE)</f>
        <v>000</v>
      </c>
      <c r="N192" s="12" t="str">
        <f>VLOOKUP($A192,'Matriz POA 2024-TRABAJO'!$A$5:$CD$9142,28,FALSE)</f>
        <v>002</v>
      </c>
      <c r="O192" s="12" t="str">
        <f>VLOOKUP($A192,'Matriz POA 2024-TRABAJO'!$A$5:$CD$9142,29,FALSE)</f>
        <v>53</v>
      </c>
      <c r="P192" s="12">
        <f>VLOOKUP($A192,'Matriz POA 2024-TRABAJO'!$A$5:$CD$9142,30,FALSE)</f>
        <v>530301</v>
      </c>
      <c r="Q192" s="12">
        <f>VLOOKUP($A192,'Matriz POA 2024-TRABAJO'!$A$5:$CD$9142,32,FALSE)</f>
        <v>1309</v>
      </c>
      <c r="R192" s="12" t="str">
        <f>VLOOKUP($A192,'Matriz POA 2024-TRABAJO'!$A$5:$CD$9142,33,FALSE)</f>
        <v>001</v>
      </c>
      <c r="S192" s="12" t="str">
        <f>VLOOKUP($A192,'Matriz POA 2024-TRABAJO'!$A$5:$CD$9142,34,FALSE)</f>
        <v>0000</v>
      </c>
      <c r="T192" s="12" t="str">
        <f>VLOOKUP($A192,'Matriz POA 2024-TRABAJO'!$A$5:$CD$9142,35,FALSE)</f>
        <v>0000</v>
      </c>
      <c r="U192" s="62">
        <f>VLOOKUP($A192,'Matriz POA 2024-TRABAJO'!$A$5:$CD$9142,66,FALSE)</f>
        <v>1500</v>
      </c>
      <c r="V192" s="62">
        <f>VLOOKUP($A192,'Matriz POA 2024-TRABAJO'!$A$5:$CD$9142,67,FALSE)</f>
        <v>-1500</v>
      </c>
      <c r="W192" s="62">
        <f>VLOOKUP($A192,'Matriz POA 2024-TRABAJO'!$A$5:$CD$9142,68,FALSE)</f>
        <v>0</v>
      </c>
      <c r="X192" s="62" t="str">
        <f>VLOOKUP($A192,'Matriz POA 2024-TRABAJO'!$A$5:$CD$9142,72,FALSE)</f>
        <v/>
      </c>
      <c r="Y192" s="388">
        <v>500</v>
      </c>
      <c r="Z192" s="388">
        <v>0</v>
      </c>
      <c r="AA192" s="388">
        <v>500</v>
      </c>
      <c r="AB192" s="389">
        <v>1000</v>
      </c>
      <c r="AC192" s="389"/>
      <c r="AD192" s="13"/>
      <c r="AE192" s="13"/>
      <c r="AF192" s="13">
        <f t="shared" si="95"/>
        <v>1500</v>
      </c>
      <c r="AG192" s="13">
        <f t="shared" si="96"/>
        <v>0</v>
      </c>
      <c r="AH192" s="13">
        <f t="shared" si="97"/>
        <v>1500</v>
      </c>
      <c r="AI192" s="129"/>
      <c r="AJ192" s="129"/>
      <c r="AK192" s="129"/>
      <c r="AL192" s="129"/>
      <c r="AM192" s="129"/>
      <c r="AN192" s="129"/>
      <c r="AO192" s="129"/>
      <c r="AP192" s="129"/>
      <c r="AQ192" s="129"/>
      <c r="AR192" s="129"/>
      <c r="AS192" s="129"/>
      <c r="AT192" s="129"/>
      <c r="AU192" s="129">
        <f t="shared" si="98"/>
        <v>0</v>
      </c>
      <c r="AV192" s="13" t="b">
        <f t="shared" si="99"/>
        <v>0</v>
      </c>
      <c r="AW192" s="14" t="s">
        <v>1826</v>
      </c>
      <c r="AX192" s="15" t="s">
        <v>1799</v>
      </c>
      <c r="AY192" s="16">
        <v>45422</v>
      </c>
      <c r="AZ192" s="15" t="s">
        <v>1829</v>
      </c>
      <c r="BA192" s="16">
        <v>45428</v>
      </c>
      <c r="BB192" s="17">
        <f t="shared" si="104"/>
        <v>6</v>
      </c>
      <c r="BC192" s="12"/>
      <c r="BD192" s="15"/>
      <c r="BE192" s="18"/>
      <c r="BF192" s="12"/>
      <c r="BG192" s="19" t="str">
        <f t="shared" si="101"/>
        <v>mayo</v>
      </c>
      <c r="BH192" s="12" t="str">
        <f t="shared" si="102"/>
        <v>Corporación Ciudad Alfaro</v>
      </c>
      <c r="BI192" s="20" t="str">
        <f t="shared" si="103"/>
        <v>N/A</v>
      </c>
    </row>
    <row r="193" spans="1:61" ht="24.95" customHeight="1">
      <c r="A193" s="8">
        <v>818</v>
      </c>
      <c r="B193" s="12" t="str">
        <f>VLOOKUP($A193,'Matriz POA 2024-TRABAJO'!$A$5:$CD$9142,11,FALSE)</f>
        <v>Corporación Ciudad Alfaro</v>
      </c>
      <c r="C193" s="12" t="str">
        <f>VLOOKUP($A193,'Matriz POA 2024-TRABAJO'!$A$5:$CD$9142,14,FALSE)</f>
        <v>N/A</v>
      </c>
      <c r="D193" s="12" t="str">
        <f>VLOOKUP($A193,'Matriz POA 2024-TRABAJO'!$A$5:$CD$9142,15,FALSE)</f>
        <v>N/A</v>
      </c>
      <c r="E193" s="12" t="str">
        <f>VLOOKUP($A193,'Matriz POA 2024-TRABAJO'!$A$5:$CD$9142,18,FALSE)</f>
        <v>N/A</v>
      </c>
      <c r="F193" s="12" t="str">
        <f>VLOOKUP($A193,'Matriz POA 2024-TRABAJO'!$A$5:$CD$9142,20,FALSE)</f>
        <v>N/A</v>
      </c>
      <c r="G193" s="12" t="str">
        <f>VLOOKUP($A193,'Matriz POA 2024-TRABAJO'!$A$5:$CD$9142,21,FALSE)</f>
        <v>N/A</v>
      </c>
      <c r="H193" s="12" t="str">
        <f>VLOOKUP($A193,'Matriz POA 2024-TRABAJO'!$A$5:$CD$9142,22,FALSE)</f>
        <v>N/A</v>
      </c>
      <c r="I193" s="12" t="str">
        <f>VLOOKUP($A193,'Matriz POA 2024-TRABAJO'!$A$5:$CD$9142,23,FALSE)</f>
        <v>NUEVA</v>
      </c>
      <c r="J193" s="12" t="str">
        <f>VLOOKUP($A193,'Matriz POA 2024-TRABAJO'!$A$5:$CD$9142,24,FALSE)</f>
        <v>Servicio de organización, producción y ejecución de los eventos enmarcados en el calendario patrimonial, cultural e histórico, para la difusión y fortalecimiento de la memoria social del Museo Nuclear Corporación Ciudad Alfaro, y sus sedes en Portoviejo, Manta y Bahía de Caráquez.</v>
      </c>
      <c r="K193" s="12" t="str">
        <f>VLOOKUP($A193,'Matriz POA 2024-TRABAJO'!$A$5:$CD$9142,25,FALSE)</f>
        <v>0035</v>
      </c>
      <c r="L193" s="12" t="str">
        <f>VLOOKUP($A193,'Matriz POA 2024-TRABAJO'!$A$5:$CD$9142,26,FALSE)</f>
        <v>80</v>
      </c>
      <c r="M193" s="12" t="str">
        <f>VLOOKUP($A193,'Matriz POA 2024-TRABAJO'!$A$5:$CD$9142,27,FALSE)</f>
        <v>000</v>
      </c>
      <c r="N193" s="12" t="str">
        <f>VLOOKUP($A193,'Matriz POA 2024-TRABAJO'!$A$5:$CD$9142,28,FALSE)</f>
        <v>002</v>
      </c>
      <c r="O193" s="12" t="str">
        <f>VLOOKUP($A193,'Matriz POA 2024-TRABAJO'!$A$5:$CD$9142,29,FALSE)</f>
        <v>53</v>
      </c>
      <c r="P193" s="12">
        <f>VLOOKUP($A193,'Matriz POA 2024-TRABAJO'!$A$5:$CD$9142,30,FALSE)</f>
        <v>530205</v>
      </c>
      <c r="Q193" s="12">
        <f>VLOOKUP($A193,'Matriz POA 2024-TRABAJO'!$A$5:$CD$9142,32,FALSE)</f>
        <v>1309</v>
      </c>
      <c r="R193" s="12" t="str">
        <f>VLOOKUP($A193,'Matriz POA 2024-TRABAJO'!$A$5:$CD$9142,33,FALSE)</f>
        <v>001</v>
      </c>
      <c r="S193" s="12" t="str">
        <f>VLOOKUP($A193,'Matriz POA 2024-TRABAJO'!$A$5:$CD$9142,34,FALSE)</f>
        <v>0000</v>
      </c>
      <c r="T193" s="12" t="str">
        <f>VLOOKUP($A193,'Matriz POA 2024-TRABAJO'!$A$5:$CD$9142,35,FALSE)</f>
        <v>0000</v>
      </c>
      <c r="U193" s="62">
        <f>VLOOKUP($A193,'Matriz POA 2024-TRABAJO'!$A$5:$CD$9142,66,FALSE)</f>
        <v>5000</v>
      </c>
      <c r="V193" s="62">
        <f>VLOOKUP($A193,'Matriz POA 2024-TRABAJO'!$A$5:$CD$9142,67,FALSE)</f>
        <v>991.5</v>
      </c>
      <c r="W193" s="62">
        <f>VLOOKUP($A193,'Matriz POA 2024-TRABAJO'!$A$5:$CD$9142,68,FALSE)</f>
        <v>5991.5</v>
      </c>
      <c r="X193" s="62">
        <f>VLOOKUP($A193,'Matriz POA 2024-TRABAJO'!$A$5:$CD$9142,72,FALSE)</f>
        <v>5990</v>
      </c>
      <c r="Y193" s="388">
        <v>5000</v>
      </c>
      <c r="Z193" s="388">
        <v>0</v>
      </c>
      <c r="AA193" s="388">
        <v>5000</v>
      </c>
      <c r="AB193" s="389">
        <v>991.5</v>
      </c>
      <c r="AC193" s="389"/>
      <c r="AD193" s="13"/>
      <c r="AE193" s="13"/>
      <c r="AF193" s="13">
        <f t="shared" si="95"/>
        <v>5991.5</v>
      </c>
      <c r="AG193" s="13">
        <f t="shared" si="96"/>
        <v>0</v>
      </c>
      <c r="AH193" s="13">
        <f t="shared" si="97"/>
        <v>5991.5</v>
      </c>
      <c r="AI193" s="129"/>
      <c r="AJ193" s="129"/>
      <c r="AK193" s="129"/>
      <c r="AL193" s="129"/>
      <c r="AM193" s="129"/>
      <c r="AN193" s="129"/>
      <c r="AO193" s="129"/>
      <c r="AP193" s="129"/>
      <c r="AQ193" s="129"/>
      <c r="AR193" s="129"/>
      <c r="AS193" s="129"/>
      <c r="AT193" s="129"/>
      <c r="AU193" s="129">
        <f t="shared" si="98"/>
        <v>0</v>
      </c>
      <c r="AV193" s="13" t="b">
        <f t="shared" si="99"/>
        <v>0</v>
      </c>
      <c r="AW193" s="14" t="s">
        <v>1826</v>
      </c>
      <c r="AX193" s="15" t="s">
        <v>1799</v>
      </c>
      <c r="AY193" s="16">
        <v>45422</v>
      </c>
      <c r="AZ193" s="15" t="s">
        <v>1829</v>
      </c>
      <c r="BA193" s="16">
        <v>45428</v>
      </c>
      <c r="BB193" s="17">
        <f t="shared" si="104"/>
        <v>6</v>
      </c>
      <c r="BC193" s="12"/>
      <c r="BD193" s="15"/>
      <c r="BE193" s="18"/>
      <c r="BF193" s="12"/>
      <c r="BG193" s="19" t="str">
        <f t="shared" si="101"/>
        <v>mayo</v>
      </c>
      <c r="BH193" s="12" t="str">
        <f t="shared" si="102"/>
        <v>Corporación Ciudad Alfaro</v>
      </c>
      <c r="BI193" s="20" t="str">
        <f t="shared" si="103"/>
        <v>N/A</v>
      </c>
    </row>
    <row r="194" spans="1:61" ht="24.95" customHeight="1">
      <c r="A194" s="8">
        <v>869</v>
      </c>
      <c r="B194" s="12" t="str">
        <f>VLOOKUP($A194,'Matriz POA 2024-TRABAJO'!$A$5:$CD$9142,11,FALSE)</f>
        <v>Corporación Ciudad Alfaro</v>
      </c>
      <c r="C194" s="12" t="str">
        <f>VLOOKUP($A194,'Matriz POA 2024-TRABAJO'!$A$5:$CD$9142,14,FALSE)</f>
        <v>N/A</v>
      </c>
      <c r="D194" s="12" t="str">
        <f>VLOOKUP($A194,'Matriz POA 2024-TRABAJO'!$A$5:$CD$9142,15,FALSE)</f>
        <v>N/A</v>
      </c>
      <c r="E194" s="12" t="str">
        <f>VLOOKUP($A194,'Matriz POA 2024-TRABAJO'!$A$5:$CD$9142,18,FALSE)</f>
        <v>N/A</v>
      </c>
      <c r="F194" s="12" t="str">
        <f>VLOOKUP($A194,'Matriz POA 2024-TRABAJO'!$A$5:$CD$9142,20,FALSE)</f>
        <v>N/A</v>
      </c>
      <c r="G194" s="12" t="str">
        <f>VLOOKUP($A194,'Matriz POA 2024-TRABAJO'!$A$5:$CD$9142,21,FALSE)</f>
        <v>N/A</v>
      </c>
      <c r="H194" s="12" t="str">
        <f>VLOOKUP($A194,'Matriz POA 2024-TRABAJO'!$A$5:$CD$9142,22,FALSE)</f>
        <v>N/A</v>
      </c>
      <c r="I194" s="12" t="str">
        <f>VLOOKUP($A194,'Matriz POA 2024-TRABAJO'!$A$5:$CD$9142,23,FALSE)</f>
        <v>NUEVA</v>
      </c>
      <c r="J194" s="12" t="str">
        <f>VLOOKUP($A194,'Matriz POA 2024-TRABAJO'!$A$5:$CD$9142,24,FALSE)</f>
        <v>Contratación del servicio de Construcción de la cubierta con estructura metálica ubicado en el primer piso del edificio Bahía de Caráquez y mantenimiento preventivo y correctivo de las cerchas metálicas del bloque cancebí correspondiente al Museo Nuclear Corporación Ciudad Alfaro</v>
      </c>
      <c r="K194" s="12" t="str">
        <f>VLOOKUP($A194,'Matriz POA 2024-TRABAJO'!$A$5:$CD$9142,25,FALSE)</f>
        <v>0035</v>
      </c>
      <c r="L194" s="12" t="str">
        <f>VLOOKUP($A194,'Matriz POA 2024-TRABAJO'!$A$5:$CD$9142,26,FALSE)</f>
        <v>80</v>
      </c>
      <c r="M194" s="12" t="str">
        <f>VLOOKUP($A194,'Matriz POA 2024-TRABAJO'!$A$5:$CD$9142,27,FALSE)</f>
        <v>000</v>
      </c>
      <c r="N194" s="12" t="str">
        <f>VLOOKUP($A194,'Matriz POA 2024-TRABAJO'!$A$5:$CD$9142,28,FALSE)</f>
        <v>002</v>
      </c>
      <c r="O194" s="12" t="str">
        <f>VLOOKUP($A194,'Matriz POA 2024-TRABAJO'!$A$5:$CD$9142,29,FALSE)</f>
        <v>53</v>
      </c>
      <c r="P194" s="12">
        <f>VLOOKUP($A194,'Matriz POA 2024-TRABAJO'!$A$5:$CD$9142,30,FALSE)</f>
        <v>530402</v>
      </c>
      <c r="Q194" s="12">
        <f>VLOOKUP($A194,'Matriz POA 2024-TRABAJO'!$A$5:$CD$9142,32,FALSE)</f>
        <v>1309</v>
      </c>
      <c r="R194" s="12" t="str">
        <f>VLOOKUP($A194,'Matriz POA 2024-TRABAJO'!$A$5:$CD$9142,33,FALSE)</f>
        <v>001</v>
      </c>
      <c r="S194" s="12" t="str">
        <f>VLOOKUP($A194,'Matriz POA 2024-TRABAJO'!$A$5:$CD$9142,34,FALSE)</f>
        <v>0000</v>
      </c>
      <c r="T194" s="12" t="str">
        <f>VLOOKUP($A194,'Matriz POA 2024-TRABAJO'!$A$5:$CD$9142,35,FALSE)</f>
        <v>0000</v>
      </c>
      <c r="U194" s="62" t="str">
        <f>VLOOKUP($A194,'Matriz POA 2024-TRABAJO'!$A$5:$CD$9142,66,FALSE)</f>
        <v/>
      </c>
      <c r="V194" s="62" t="str">
        <f>VLOOKUP($A194,'Matriz POA 2024-TRABAJO'!$A$5:$CD$9142,67,FALSE)</f>
        <v/>
      </c>
      <c r="W194" s="62">
        <f>VLOOKUP($A194,'Matriz POA 2024-TRABAJO'!$A$5:$CD$9142,68,FALSE)</f>
        <v>0</v>
      </c>
      <c r="X194" s="62" t="str">
        <f>VLOOKUP($A194,'Matriz POA 2024-TRABAJO'!$A$5:$CD$9142,72,FALSE)</f>
        <v/>
      </c>
      <c r="Y194" s="388">
        <v>0</v>
      </c>
      <c r="Z194" s="388">
        <v>0</v>
      </c>
      <c r="AA194" s="388">
        <v>0</v>
      </c>
      <c r="AB194" s="389">
        <v>15000</v>
      </c>
      <c r="AC194" s="389"/>
      <c r="AD194" s="13"/>
      <c r="AE194" s="13"/>
      <c r="AF194" s="13">
        <f t="shared" si="95"/>
        <v>15000</v>
      </c>
      <c r="AG194" s="13">
        <f t="shared" si="96"/>
        <v>0</v>
      </c>
      <c r="AH194" s="13">
        <f t="shared" si="97"/>
        <v>15000</v>
      </c>
      <c r="AI194" s="129"/>
      <c r="AJ194" s="129"/>
      <c r="AK194" s="129"/>
      <c r="AL194" s="129"/>
      <c r="AM194" s="129"/>
      <c r="AN194" s="129"/>
      <c r="AO194" s="129"/>
      <c r="AP194" s="129"/>
      <c r="AQ194" s="129"/>
      <c r="AR194" s="129"/>
      <c r="AS194" s="129"/>
      <c r="AT194" s="129"/>
      <c r="AU194" s="129">
        <f t="shared" si="98"/>
        <v>0</v>
      </c>
      <c r="AV194" s="13" t="b">
        <f t="shared" si="99"/>
        <v>0</v>
      </c>
      <c r="AW194" s="14" t="s">
        <v>1826</v>
      </c>
      <c r="AX194" s="15" t="s">
        <v>1799</v>
      </c>
      <c r="AY194" s="16">
        <v>45422</v>
      </c>
      <c r="AZ194" s="15" t="s">
        <v>1829</v>
      </c>
      <c r="BA194" s="16">
        <v>45428</v>
      </c>
      <c r="BB194" s="17">
        <f t="shared" si="104"/>
        <v>6</v>
      </c>
      <c r="BC194" s="12"/>
      <c r="BD194" s="15"/>
      <c r="BE194" s="18"/>
      <c r="BF194" s="12"/>
      <c r="BG194" s="19" t="str">
        <f t="shared" si="101"/>
        <v>mayo</v>
      </c>
      <c r="BH194" s="12" t="str">
        <f t="shared" si="102"/>
        <v>Corporación Ciudad Alfaro</v>
      </c>
      <c r="BI194" s="20" t="str">
        <f t="shared" si="103"/>
        <v>N/A</v>
      </c>
    </row>
    <row r="195" spans="1:61" ht="24.95" customHeight="1">
      <c r="A195" s="8">
        <v>870</v>
      </c>
      <c r="B195" s="12" t="str">
        <f>VLOOKUP($A195,'Matriz POA 2024-TRABAJO'!$A$5:$CD$9142,11,FALSE)</f>
        <v>Corporación Ciudad Alfaro</v>
      </c>
      <c r="C195" s="12" t="str">
        <f>VLOOKUP($A195,'Matriz POA 2024-TRABAJO'!$A$5:$CD$9142,14,FALSE)</f>
        <v>N/A</v>
      </c>
      <c r="D195" s="12" t="str">
        <f>VLOOKUP($A195,'Matriz POA 2024-TRABAJO'!$A$5:$CD$9142,15,FALSE)</f>
        <v>N/A</v>
      </c>
      <c r="E195" s="12" t="str">
        <f>VLOOKUP($A195,'Matriz POA 2024-TRABAJO'!$A$5:$CD$9142,18,FALSE)</f>
        <v>N/A</v>
      </c>
      <c r="F195" s="12" t="str">
        <f>VLOOKUP($A195,'Matriz POA 2024-TRABAJO'!$A$5:$CD$9142,20,FALSE)</f>
        <v>N/A</v>
      </c>
      <c r="G195" s="12" t="str">
        <f>VLOOKUP($A195,'Matriz POA 2024-TRABAJO'!$A$5:$CD$9142,21,FALSE)</f>
        <v>N/A</v>
      </c>
      <c r="H195" s="12" t="str">
        <f>VLOOKUP($A195,'Matriz POA 2024-TRABAJO'!$A$5:$CD$9142,22,FALSE)</f>
        <v>N/A</v>
      </c>
      <c r="I195" s="12" t="str">
        <f>VLOOKUP($A195,'Matriz POA 2024-TRABAJO'!$A$5:$CD$9142,23,FALSE)</f>
        <v>NUEVA</v>
      </c>
      <c r="J195" s="12" t="str">
        <f>VLOOKUP($A195,'Matriz POA 2024-TRABAJO'!$A$5:$CD$9142,24,FALSE)</f>
        <v>Contratación del servicio de mantenimiento preventivo y correctivo del sistema de climatización del piso 5 en el museo intermedio Manta, sede de la Corporación Ciudad Alfaro</v>
      </c>
      <c r="K195" s="12" t="str">
        <f>VLOOKUP($A195,'Matriz POA 2024-TRABAJO'!$A$5:$CD$9142,25,FALSE)</f>
        <v>0035</v>
      </c>
      <c r="L195" s="12" t="str">
        <f>VLOOKUP($A195,'Matriz POA 2024-TRABAJO'!$A$5:$CD$9142,26,FALSE)</f>
        <v>80</v>
      </c>
      <c r="M195" s="12" t="str">
        <f>VLOOKUP($A195,'Matriz POA 2024-TRABAJO'!$A$5:$CD$9142,27,FALSE)</f>
        <v>000</v>
      </c>
      <c r="N195" s="12" t="str">
        <f>VLOOKUP($A195,'Matriz POA 2024-TRABAJO'!$A$5:$CD$9142,28,FALSE)</f>
        <v>002</v>
      </c>
      <c r="O195" s="12" t="str">
        <f>VLOOKUP($A195,'Matriz POA 2024-TRABAJO'!$A$5:$CD$9142,29,FALSE)</f>
        <v>53</v>
      </c>
      <c r="P195" s="12">
        <f>VLOOKUP($A195,'Matriz POA 2024-TRABAJO'!$A$5:$CD$9142,30,FALSE)</f>
        <v>530404</v>
      </c>
      <c r="Q195" s="12">
        <f>VLOOKUP($A195,'Matriz POA 2024-TRABAJO'!$A$5:$CD$9142,32,FALSE)</f>
        <v>1308</v>
      </c>
      <c r="R195" s="12" t="str">
        <f>VLOOKUP($A195,'Matriz POA 2024-TRABAJO'!$A$5:$CD$9142,33,FALSE)</f>
        <v>001</v>
      </c>
      <c r="S195" s="12" t="str">
        <f>VLOOKUP($A195,'Matriz POA 2024-TRABAJO'!$A$5:$CD$9142,34,FALSE)</f>
        <v>0000</v>
      </c>
      <c r="T195" s="12" t="str">
        <f>VLOOKUP($A195,'Matriz POA 2024-TRABAJO'!$A$5:$CD$9142,35,FALSE)</f>
        <v>0000</v>
      </c>
      <c r="U195" s="62">
        <f>VLOOKUP($A195,'Matriz POA 2024-TRABAJO'!$A$5:$CD$9142,66,FALSE)</f>
        <v>4988.8999999999996</v>
      </c>
      <c r="V195" s="62">
        <f>VLOOKUP($A195,'Matriz POA 2024-TRABAJO'!$A$5:$CD$9142,67,FALSE)</f>
        <v>-113.89999999999964</v>
      </c>
      <c r="W195" s="62">
        <f>VLOOKUP($A195,'Matriz POA 2024-TRABAJO'!$A$5:$CD$9142,68,FALSE)</f>
        <v>4875</v>
      </c>
      <c r="X195" s="62">
        <f>VLOOKUP($A195,'Matriz POA 2024-TRABAJO'!$A$5:$CD$9142,72,FALSE)</f>
        <v>4875</v>
      </c>
      <c r="Y195" s="388">
        <v>0</v>
      </c>
      <c r="Z195" s="388">
        <v>0</v>
      </c>
      <c r="AA195" s="388">
        <v>0</v>
      </c>
      <c r="AB195" s="389">
        <v>4988.8999999999996</v>
      </c>
      <c r="AC195" s="389"/>
      <c r="AD195" s="13"/>
      <c r="AE195" s="13"/>
      <c r="AF195" s="13">
        <f t="shared" si="95"/>
        <v>4988.8999999999996</v>
      </c>
      <c r="AG195" s="13">
        <f t="shared" si="96"/>
        <v>0</v>
      </c>
      <c r="AH195" s="13">
        <f t="shared" si="97"/>
        <v>4988.8999999999996</v>
      </c>
      <c r="AI195" s="129"/>
      <c r="AJ195" s="129"/>
      <c r="AK195" s="129"/>
      <c r="AL195" s="129"/>
      <c r="AM195" s="129"/>
      <c r="AN195" s="129"/>
      <c r="AO195" s="129"/>
      <c r="AP195" s="129"/>
      <c r="AQ195" s="129"/>
      <c r="AR195" s="129"/>
      <c r="AS195" s="129"/>
      <c r="AT195" s="129"/>
      <c r="AU195" s="129">
        <f t="shared" si="98"/>
        <v>0</v>
      </c>
      <c r="AV195" s="13" t="b">
        <f t="shared" si="99"/>
        <v>0</v>
      </c>
      <c r="AW195" s="14" t="s">
        <v>1826</v>
      </c>
      <c r="AX195" s="15" t="s">
        <v>1799</v>
      </c>
      <c r="AY195" s="16">
        <v>45422</v>
      </c>
      <c r="AZ195" s="15" t="s">
        <v>1829</v>
      </c>
      <c r="BA195" s="16">
        <v>45428</v>
      </c>
      <c r="BB195" s="17">
        <f t="shared" si="104"/>
        <v>6</v>
      </c>
      <c r="BC195" s="12"/>
      <c r="BD195" s="15"/>
      <c r="BE195" s="18"/>
      <c r="BF195" s="12"/>
      <c r="BG195" s="19" t="str">
        <f t="shared" si="101"/>
        <v>mayo</v>
      </c>
      <c r="BH195" s="12" t="str">
        <f t="shared" si="102"/>
        <v>Corporación Ciudad Alfaro</v>
      </c>
      <c r="BI195" s="20" t="str">
        <f t="shared" si="103"/>
        <v>N/A</v>
      </c>
    </row>
    <row r="196" spans="1:61" ht="24.95" customHeight="1">
      <c r="A196" s="8">
        <v>871</v>
      </c>
      <c r="B196" s="12" t="str">
        <f>VLOOKUP($A196,'Matriz POA 2024-TRABAJO'!$A$5:$CD$9142,11,FALSE)</f>
        <v>Corporación Ciudad Alfaro</v>
      </c>
      <c r="C196" s="12" t="str">
        <f>VLOOKUP($A196,'Matriz POA 2024-TRABAJO'!$A$5:$CD$9142,14,FALSE)</f>
        <v>N/A</v>
      </c>
      <c r="D196" s="12" t="str">
        <f>VLOOKUP($A196,'Matriz POA 2024-TRABAJO'!$A$5:$CD$9142,15,FALSE)</f>
        <v>N/A</v>
      </c>
      <c r="E196" s="12" t="str">
        <f>VLOOKUP($A196,'Matriz POA 2024-TRABAJO'!$A$5:$CD$9142,18,FALSE)</f>
        <v>N/A</v>
      </c>
      <c r="F196" s="12" t="str">
        <f>VLOOKUP($A196,'Matriz POA 2024-TRABAJO'!$A$5:$CD$9142,20,FALSE)</f>
        <v>N/A</v>
      </c>
      <c r="G196" s="12" t="str">
        <f>VLOOKUP($A196,'Matriz POA 2024-TRABAJO'!$A$5:$CD$9142,21,FALSE)</f>
        <v>N/A</v>
      </c>
      <c r="H196" s="12" t="str">
        <f>VLOOKUP($A196,'Matriz POA 2024-TRABAJO'!$A$5:$CD$9142,22,FALSE)</f>
        <v>N/A</v>
      </c>
      <c r="I196" s="12" t="str">
        <f>VLOOKUP($A196,'Matriz POA 2024-TRABAJO'!$A$5:$CD$9142,23,FALSE)</f>
        <v>NUEVA</v>
      </c>
      <c r="J196" s="12" t="str">
        <f>VLOOKUP($A196,'Matriz POA 2024-TRABAJO'!$A$5:$CD$9142,24,FALSE)</f>
        <v>Pago del servicio de telefonía fija de las Sedes Museo y Centro Cultural de Manta, Museo Portoviejo y Archivo Histórico, y Museo Bahía de Caráquez cuya razón social se encuentra a nombre del Ministerio de Cultura y Patrimonio</v>
      </c>
      <c r="K196" s="12" t="str">
        <f>VLOOKUP($A196,'Matriz POA 2024-TRABAJO'!$A$5:$CD$9142,25,FALSE)</f>
        <v>0035</v>
      </c>
      <c r="L196" s="12" t="str">
        <f>VLOOKUP($A196,'Matriz POA 2024-TRABAJO'!$A$5:$CD$9142,26,FALSE)</f>
        <v>80</v>
      </c>
      <c r="M196" s="12" t="str">
        <f>VLOOKUP($A196,'Matriz POA 2024-TRABAJO'!$A$5:$CD$9142,27,FALSE)</f>
        <v>000</v>
      </c>
      <c r="N196" s="12" t="str">
        <f>VLOOKUP($A196,'Matriz POA 2024-TRABAJO'!$A$5:$CD$9142,28,FALSE)</f>
        <v>002</v>
      </c>
      <c r="O196" s="12" t="str">
        <f>VLOOKUP($A196,'Matriz POA 2024-TRABAJO'!$A$5:$CD$9142,29,FALSE)</f>
        <v>53</v>
      </c>
      <c r="P196" s="12">
        <f>VLOOKUP($A196,'Matriz POA 2024-TRABAJO'!$A$5:$CD$9142,30,FALSE)</f>
        <v>530105</v>
      </c>
      <c r="Q196" s="12">
        <f>VLOOKUP($A196,'Matriz POA 2024-TRABAJO'!$A$5:$CD$9142,32,FALSE)</f>
        <v>1309</v>
      </c>
      <c r="R196" s="12" t="str">
        <f>VLOOKUP($A196,'Matriz POA 2024-TRABAJO'!$A$5:$CD$9142,33,FALSE)</f>
        <v>001</v>
      </c>
      <c r="S196" s="12" t="str">
        <f>VLOOKUP($A196,'Matriz POA 2024-TRABAJO'!$A$5:$CD$9142,34,FALSE)</f>
        <v>0000</v>
      </c>
      <c r="T196" s="12" t="str">
        <f>VLOOKUP($A196,'Matriz POA 2024-TRABAJO'!$A$5:$CD$9142,35,FALSE)</f>
        <v>0000</v>
      </c>
      <c r="U196" s="62" t="str">
        <f>VLOOKUP($A196,'Matriz POA 2024-TRABAJO'!$A$5:$CD$9142,66,FALSE)</f>
        <v/>
      </c>
      <c r="V196" s="62" t="str">
        <f>VLOOKUP($A196,'Matriz POA 2024-TRABAJO'!$A$5:$CD$9142,67,FALSE)</f>
        <v/>
      </c>
      <c r="W196" s="62" t="str">
        <f>VLOOKUP($A196,'Matriz POA 2024-TRABAJO'!$A$5:$CD$9142,68,FALSE)</f>
        <v/>
      </c>
      <c r="X196" s="62" t="str">
        <f>VLOOKUP($A196,'Matriz POA 2024-TRABAJO'!$A$5:$CD$9142,72,FALSE)</f>
        <v/>
      </c>
      <c r="Y196" s="388">
        <v>0</v>
      </c>
      <c r="Z196" s="388">
        <v>0</v>
      </c>
      <c r="AA196" s="388">
        <v>0</v>
      </c>
      <c r="AB196" s="389">
        <v>3000</v>
      </c>
      <c r="AC196" s="389"/>
      <c r="AD196" s="13"/>
      <c r="AE196" s="13"/>
      <c r="AF196" s="13">
        <f t="shared" si="95"/>
        <v>3000</v>
      </c>
      <c r="AG196" s="13">
        <f t="shared" si="96"/>
        <v>0</v>
      </c>
      <c r="AH196" s="13">
        <f t="shared" si="97"/>
        <v>3000</v>
      </c>
      <c r="AI196" s="129"/>
      <c r="AJ196" s="129"/>
      <c r="AK196" s="129"/>
      <c r="AL196" s="129"/>
      <c r="AM196" s="129"/>
      <c r="AN196" s="129"/>
      <c r="AO196" s="129"/>
      <c r="AP196" s="129"/>
      <c r="AQ196" s="129"/>
      <c r="AR196" s="129"/>
      <c r="AS196" s="129"/>
      <c r="AT196" s="129"/>
      <c r="AU196" s="129">
        <f t="shared" si="98"/>
        <v>0</v>
      </c>
      <c r="AV196" s="13" t="b">
        <f t="shared" si="99"/>
        <v>0</v>
      </c>
      <c r="AW196" s="14" t="s">
        <v>1826</v>
      </c>
      <c r="AX196" s="15" t="s">
        <v>1799</v>
      </c>
      <c r="AY196" s="16">
        <v>45422</v>
      </c>
      <c r="AZ196" s="15" t="s">
        <v>1829</v>
      </c>
      <c r="BA196" s="16">
        <v>45428</v>
      </c>
      <c r="BB196" s="17">
        <f t="shared" si="104"/>
        <v>6</v>
      </c>
      <c r="BC196" s="12"/>
      <c r="BD196" s="15"/>
      <c r="BE196" s="18"/>
      <c r="BF196" s="12"/>
      <c r="BG196" s="19" t="str">
        <f t="shared" si="101"/>
        <v>mayo</v>
      </c>
      <c r="BH196" s="12" t="str">
        <f t="shared" si="102"/>
        <v>Corporación Ciudad Alfaro</v>
      </c>
      <c r="BI196" s="20" t="str">
        <f t="shared" si="103"/>
        <v>N/A</v>
      </c>
    </row>
    <row r="197" spans="1:61" ht="24.95" customHeight="1">
      <c r="A197" s="8">
        <v>872</v>
      </c>
      <c r="B197" s="12" t="str">
        <f>VLOOKUP($A197,'Matriz POA 2024-TRABAJO'!$A$5:$CD$9142,11,FALSE)</f>
        <v>Corporación Ciudad Alfaro</v>
      </c>
      <c r="C197" s="12" t="str">
        <f>VLOOKUP($A197,'Matriz POA 2024-TRABAJO'!$A$5:$CD$9142,14,FALSE)</f>
        <v>N/A</v>
      </c>
      <c r="D197" s="12" t="str">
        <f>VLOOKUP($A197,'Matriz POA 2024-TRABAJO'!$A$5:$CD$9142,15,FALSE)</f>
        <v>N/A</v>
      </c>
      <c r="E197" s="12" t="str">
        <f>VLOOKUP($A197,'Matriz POA 2024-TRABAJO'!$A$5:$CD$9142,18,FALSE)</f>
        <v>N/A</v>
      </c>
      <c r="F197" s="12" t="str">
        <f>VLOOKUP($A197,'Matriz POA 2024-TRABAJO'!$A$5:$CD$9142,20,FALSE)</f>
        <v>N/A</v>
      </c>
      <c r="G197" s="12" t="str">
        <f>VLOOKUP($A197,'Matriz POA 2024-TRABAJO'!$A$5:$CD$9142,21,FALSE)</f>
        <v>N/A</v>
      </c>
      <c r="H197" s="12" t="str">
        <f>VLOOKUP($A197,'Matriz POA 2024-TRABAJO'!$A$5:$CD$9142,22,FALSE)</f>
        <v>N/A</v>
      </c>
      <c r="I197" s="12" t="str">
        <f>VLOOKUP($A197,'Matriz POA 2024-TRABAJO'!$A$5:$CD$9142,23,FALSE)</f>
        <v>NUEVA</v>
      </c>
      <c r="J197" s="12" t="str">
        <f>VLOOKUP($A197,'Matriz POA 2024-TRABAJO'!$A$5:$CD$9142,24,FALSE)</f>
        <v xml:space="preserve">Regularización del IVA - año 2023, para conciliación de saldos contables y administrativos </v>
      </c>
      <c r="K197" s="12" t="str">
        <f>VLOOKUP($A197,'Matriz POA 2024-TRABAJO'!$A$5:$CD$9142,25,FALSE)</f>
        <v>0035</v>
      </c>
      <c r="L197" s="12" t="str">
        <f>VLOOKUP($A197,'Matriz POA 2024-TRABAJO'!$A$5:$CD$9142,26,FALSE)</f>
        <v>80</v>
      </c>
      <c r="M197" s="12" t="str">
        <f>VLOOKUP($A197,'Matriz POA 2024-TRABAJO'!$A$5:$CD$9142,27,FALSE)</f>
        <v>000</v>
      </c>
      <c r="N197" s="12" t="str">
        <f>VLOOKUP($A197,'Matriz POA 2024-TRABAJO'!$A$5:$CD$9142,28,FALSE)</f>
        <v>002</v>
      </c>
      <c r="O197" s="12" t="str">
        <f>VLOOKUP($A197,'Matriz POA 2024-TRABAJO'!$A$5:$CD$9142,29,FALSE)</f>
        <v>53</v>
      </c>
      <c r="P197" s="12">
        <f>VLOOKUP($A197,'Matriz POA 2024-TRABAJO'!$A$5:$CD$9142,30,FALSE)</f>
        <v>530813</v>
      </c>
      <c r="Q197" s="12">
        <f>VLOOKUP($A197,'Matriz POA 2024-TRABAJO'!$A$5:$CD$9142,32,FALSE)</f>
        <v>1309</v>
      </c>
      <c r="R197" s="12" t="str">
        <f>VLOOKUP($A197,'Matriz POA 2024-TRABAJO'!$A$5:$CD$9142,33,FALSE)</f>
        <v>001</v>
      </c>
      <c r="S197" s="12" t="str">
        <f>VLOOKUP($A197,'Matriz POA 2024-TRABAJO'!$A$5:$CD$9142,34,FALSE)</f>
        <v>0000</v>
      </c>
      <c r="T197" s="12" t="str">
        <f>VLOOKUP($A197,'Matriz POA 2024-TRABAJO'!$A$5:$CD$9142,35,FALSE)</f>
        <v>0000</v>
      </c>
      <c r="U197" s="62">
        <f>VLOOKUP($A197,'Matriz POA 2024-TRABAJO'!$A$5:$CD$9142,66,FALSE)</f>
        <v>115</v>
      </c>
      <c r="V197" s="62">
        <f>VLOOKUP($A197,'Matriz POA 2024-TRABAJO'!$A$5:$CD$9142,67,FALSE)</f>
        <v>-0.95999999999999375</v>
      </c>
      <c r="W197" s="62">
        <f>VLOOKUP($A197,'Matriz POA 2024-TRABAJO'!$A$5:$CD$9142,68,FALSE)</f>
        <v>0</v>
      </c>
      <c r="X197" s="62">
        <f>VLOOKUP($A197,'Matriz POA 2024-TRABAJO'!$A$5:$CD$9142,72,FALSE)</f>
        <v>114.04</v>
      </c>
      <c r="Y197" s="388">
        <v>0</v>
      </c>
      <c r="Z197" s="388">
        <v>0</v>
      </c>
      <c r="AA197" s="388">
        <v>0</v>
      </c>
      <c r="AB197" s="389">
        <v>115</v>
      </c>
      <c r="AC197" s="389"/>
      <c r="AD197" s="13"/>
      <c r="AE197" s="13"/>
      <c r="AF197" s="13">
        <f t="shared" si="95"/>
        <v>115</v>
      </c>
      <c r="AG197" s="13">
        <f t="shared" si="96"/>
        <v>0</v>
      </c>
      <c r="AH197" s="13">
        <f t="shared" si="97"/>
        <v>115</v>
      </c>
      <c r="AI197" s="129"/>
      <c r="AJ197" s="129"/>
      <c r="AK197" s="129"/>
      <c r="AL197" s="129"/>
      <c r="AM197" s="129"/>
      <c r="AN197" s="129"/>
      <c r="AO197" s="129"/>
      <c r="AP197" s="129"/>
      <c r="AQ197" s="129"/>
      <c r="AR197" s="129"/>
      <c r="AS197" s="129"/>
      <c r="AT197" s="129"/>
      <c r="AU197" s="129">
        <f t="shared" si="98"/>
        <v>0</v>
      </c>
      <c r="AV197" s="13" t="b">
        <f t="shared" si="99"/>
        <v>0</v>
      </c>
      <c r="AW197" s="14" t="s">
        <v>1826</v>
      </c>
      <c r="AX197" s="15" t="s">
        <v>1799</v>
      </c>
      <c r="AY197" s="16">
        <v>45422</v>
      </c>
      <c r="AZ197" s="15" t="s">
        <v>1829</v>
      </c>
      <c r="BA197" s="16">
        <v>45428</v>
      </c>
      <c r="BB197" s="17">
        <f t="shared" si="104"/>
        <v>6</v>
      </c>
      <c r="BC197" s="12"/>
      <c r="BD197" s="15"/>
      <c r="BE197" s="18"/>
      <c r="BF197" s="12"/>
      <c r="BG197" s="19" t="str">
        <f t="shared" si="101"/>
        <v>mayo</v>
      </c>
      <c r="BH197" s="12" t="str">
        <f t="shared" si="102"/>
        <v>Corporación Ciudad Alfaro</v>
      </c>
      <c r="BI197" s="20" t="str">
        <f t="shared" si="103"/>
        <v>N/A</v>
      </c>
    </row>
    <row r="198" spans="1:61" ht="24.95" customHeight="1">
      <c r="A198" s="8">
        <v>873</v>
      </c>
      <c r="B198" s="12" t="str">
        <f>VLOOKUP($A198,'Matriz POA 2024-TRABAJO'!$A$5:$CD$9142,11,FALSE)</f>
        <v>Corporación Ciudad Alfaro</v>
      </c>
      <c r="C198" s="12" t="str">
        <f>VLOOKUP($A198,'Matriz POA 2024-TRABAJO'!$A$5:$CD$9142,14,FALSE)</f>
        <v>N/A</v>
      </c>
      <c r="D198" s="12" t="str">
        <f>VLOOKUP($A198,'Matriz POA 2024-TRABAJO'!$A$5:$CD$9142,15,FALSE)</f>
        <v>N/A</v>
      </c>
      <c r="E198" s="12" t="str">
        <f>VLOOKUP($A198,'Matriz POA 2024-TRABAJO'!$A$5:$CD$9142,18,FALSE)</f>
        <v>N/A</v>
      </c>
      <c r="F198" s="12" t="str">
        <f>VLOOKUP($A198,'Matriz POA 2024-TRABAJO'!$A$5:$CD$9142,20,FALSE)</f>
        <v>N/A</v>
      </c>
      <c r="G198" s="12" t="str">
        <f>VLOOKUP($A198,'Matriz POA 2024-TRABAJO'!$A$5:$CD$9142,21,FALSE)</f>
        <v>N/A</v>
      </c>
      <c r="H198" s="12" t="str">
        <f>VLOOKUP($A198,'Matriz POA 2024-TRABAJO'!$A$5:$CD$9142,22,FALSE)</f>
        <v>N/A</v>
      </c>
      <c r="I198" s="12" t="str">
        <f>VLOOKUP($A198,'Matriz POA 2024-TRABAJO'!$A$5:$CD$9142,23,FALSE)</f>
        <v>NUEVA</v>
      </c>
      <c r="J198" s="12" t="str">
        <f>VLOOKUP($A198,'Matriz POA 2024-TRABAJO'!$A$5:$CD$9142,24,FALSE)</f>
        <v>Contratación del servicio de mantenimiento preventivo y correctivo de 4 aires acondicionados tipo Split ubicados en el Museo Nuclear Corporación Ciudad Alfaro</v>
      </c>
      <c r="K198" s="12" t="str">
        <f>VLOOKUP($A198,'Matriz POA 2024-TRABAJO'!$A$5:$CD$9142,25,FALSE)</f>
        <v>0035</v>
      </c>
      <c r="L198" s="12" t="str">
        <f>VLOOKUP($A198,'Matriz POA 2024-TRABAJO'!$A$5:$CD$9142,26,FALSE)</f>
        <v>80</v>
      </c>
      <c r="M198" s="12" t="str">
        <f>VLOOKUP($A198,'Matriz POA 2024-TRABAJO'!$A$5:$CD$9142,27,FALSE)</f>
        <v>000</v>
      </c>
      <c r="N198" s="12" t="str">
        <f>VLOOKUP($A198,'Matriz POA 2024-TRABAJO'!$A$5:$CD$9142,28,FALSE)</f>
        <v>002</v>
      </c>
      <c r="O198" s="12" t="str">
        <f>VLOOKUP($A198,'Matriz POA 2024-TRABAJO'!$A$5:$CD$9142,29,FALSE)</f>
        <v>53</v>
      </c>
      <c r="P198" s="12">
        <f>VLOOKUP($A198,'Matriz POA 2024-TRABAJO'!$A$5:$CD$9142,30,FALSE)</f>
        <v>530404</v>
      </c>
      <c r="Q198" s="12">
        <f>VLOOKUP($A198,'Matriz POA 2024-TRABAJO'!$A$5:$CD$9142,32,FALSE)</f>
        <v>1309</v>
      </c>
      <c r="R198" s="12" t="str">
        <f>VLOOKUP($A198,'Matriz POA 2024-TRABAJO'!$A$5:$CD$9142,33,FALSE)</f>
        <v>001</v>
      </c>
      <c r="S198" s="12" t="str">
        <f>VLOOKUP($A198,'Matriz POA 2024-TRABAJO'!$A$5:$CD$9142,34,FALSE)</f>
        <v>0000</v>
      </c>
      <c r="T198" s="12" t="str">
        <f>VLOOKUP($A198,'Matriz POA 2024-TRABAJO'!$A$5:$CD$9142,35,FALSE)</f>
        <v>0000</v>
      </c>
      <c r="U198" s="62">
        <f>VLOOKUP($A198,'Matriz POA 2024-TRABAJO'!$A$5:$CD$9142,66,FALSE)</f>
        <v>500</v>
      </c>
      <c r="V198" s="62">
        <f>VLOOKUP($A198,'Matriz POA 2024-TRABAJO'!$A$5:$CD$9142,67,FALSE)</f>
        <v>-500</v>
      </c>
      <c r="W198" s="62">
        <f>VLOOKUP($A198,'Matriz POA 2024-TRABAJO'!$A$5:$CD$9142,68,FALSE)</f>
        <v>0</v>
      </c>
      <c r="X198" s="62" t="str">
        <f>VLOOKUP($A198,'Matriz POA 2024-TRABAJO'!$A$5:$CD$9142,72,FALSE)</f>
        <v/>
      </c>
      <c r="Y198" s="388">
        <v>0</v>
      </c>
      <c r="Z198" s="388">
        <v>0</v>
      </c>
      <c r="AA198" s="388">
        <v>0</v>
      </c>
      <c r="AB198" s="389">
        <v>500</v>
      </c>
      <c r="AC198" s="389"/>
      <c r="AD198" s="13"/>
      <c r="AE198" s="13"/>
      <c r="AF198" s="13">
        <f t="shared" si="95"/>
        <v>500</v>
      </c>
      <c r="AG198" s="13">
        <f t="shared" si="96"/>
        <v>0</v>
      </c>
      <c r="AH198" s="13">
        <f t="shared" si="97"/>
        <v>500</v>
      </c>
      <c r="AI198" s="129"/>
      <c r="AJ198" s="129"/>
      <c r="AK198" s="129"/>
      <c r="AL198" s="129"/>
      <c r="AM198" s="129"/>
      <c r="AN198" s="129"/>
      <c r="AO198" s="129"/>
      <c r="AP198" s="129"/>
      <c r="AQ198" s="129"/>
      <c r="AR198" s="129"/>
      <c r="AS198" s="129"/>
      <c r="AT198" s="129"/>
      <c r="AU198" s="129">
        <f t="shared" si="98"/>
        <v>0</v>
      </c>
      <c r="AV198" s="13" t="b">
        <f t="shared" si="99"/>
        <v>0</v>
      </c>
      <c r="AW198" s="14" t="s">
        <v>1826</v>
      </c>
      <c r="AX198" s="15" t="s">
        <v>1799</v>
      </c>
      <c r="AY198" s="16">
        <v>45422</v>
      </c>
      <c r="AZ198" s="15" t="s">
        <v>1829</v>
      </c>
      <c r="BA198" s="16">
        <v>45428</v>
      </c>
      <c r="BB198" s="17">
        <f t="shared" si="104"/>
        <v>6</v>
      </c>
      <c r="BC198" s="12"/>
      <c r="BD198" s="15"/>
      <c r="BE198" s="18"/>
      <c r="BF198" s="12"/>
      <c r="BG198" s="19" t="str">
        <f t="shared" si="101"/>
        <v>mayo</v>
      </c>
      <c r="BH198" s="12" t="str">
        <f t="shared" si="102"/>
        <v>Corporación Ciudad Alfaro</v>
      </c>
      <c r="BI198" s="20" t="str">
        <f t="shared" si="103"/>
        <v>N/A</v>
      </c>
    </row>
    <row r="199" spans="1:61" ht="24.95" customHeight="1">
      <c r="A199" s="8">
        <v>874</v>
      </c>
      <c r="B199" s="12" t="str">
        <f>VLOOKUP($A199,'Matriz POA 2024-TRABAJO'!$A$5:$CD$9142,11,FALSE)</f>
        <v>Corporación Ciudad Alfaro</v>
      </c>
      <c r="C199" s="12" t="str">
        <f>VLOOKUP($A199,'Matriz POA 2024-TRABAJO'!$A$5:$CD$9142,14,FALSE)</f>
        <v>N/A</v>
      </c>
      <c r="D199" s="12" t="str">
        <f>VLOOKUP($A199,'Matriz POA 2024-TRABAJO'!$A$5:$CD$9142,15,FALSE)</f>
        <v>N/A</v>
      </c>
      <c r="E199" s="12" t="str">
        <f>VLOOKUP($A199,'Matriz POA 2024-TRABAJO'!$A$5:$CD$9142,18,FALSE)</f>
        <v>N/A</v>
      </c>
      <c r="F199" s="12" t="str">
        <f>VLOOKUP($A199,'Matriz POA 2024-TRABAJO'!$A$5:$CD$9142,20,FALSE)</f>
        <v>N/A</v>
      </c>
      <c r="G199" s="12" t="str">
        <f>VLOOKUP($A199,'Matriz POA 2024-TRABAJO'!$A$5:$CD$9142,21,FALSE)</f>
        <v>N/A</v>
      </c>
      <c r="H199" s="12" t="str">
        <f>VLOOKUP($A199,'Matriz POA 2024-TRABAJO'!$A$5:$CD$9142,22,FALSE)</f>
        <v>N/A</v>
      </c>
      <c r="I199" s="12" t="str">
        <f>VLOOKUP($A199,'Matriz POA 2024-TRABAJO'!$A$5:$CD$9142,23,FALSE)</f>
        <v>PLURIANUAL 2024 - 2025</v>
      </c>
      <c r="J199" s="12" t="str">
        <f>VLOOKUP($A199,'Matriz POA 2024-TRABAJO'!$A$5:$CD$9142,24,FALSE)</f>
        <v>Contratación del servicio de Aseo y limpieza para el Museo Nuclear Corporación Ciudad Alfaro, durante el período 2024-2025</v>
      </c>
      <c r="K199" s="12" t="str">
        <f>VLOOKUP($A199,'Matriz POA 2024-TRABAJO'!$A$5:$CD$9142,25,FALSE)</f>
        <v>0035</v>
      </c>
      <c r="L199" s="12" t="str">
        <f>VLOOKUP($A199,'Matriz POA 2024-TRABAJO'!$A$5:$CD$9142,26,FALSE)</f>
        <v>80</v>
      </c>
      <c r="M199" s="12" t="str">
        <f>VLOOKUP($A199,'Matriz POA 2024-TRABAJO'!$A$5:$CD$9142,27,FALSE)</f>
        <v>000</v>
      </c>
      <c r="N199" s="12" t="str">
        <f>VLOOKUP($A199,'Matriz POA 2024-TRABAJO'!$A$5:$CD$9142,28,FALSE)</f>
        <v>002</v>
      </c>
      <c r="O199" s="12" t="str">
        <f>VLOOKUP($A199,'Matriz POA 2024-TRABAJO'!$A$5:$CD$9142,29,FALSE)</f>
        <v>53</v>
      </c>
      <c r="P199" s="12">
        <f>VLOOKUP($A199,'Matriz POA 2024-TRABAJO'!$A$5:$CD$9142,30,FALSE)</f>
        <v>530209</v>
      </c>
      <c r="Q199" s="12">
        <f>VLOOKUP($A199,'Matriz POA 2024-TRABAJO'!$A$5:$CD$9142,32,FALSE)</f>
        <v>1309</v>
      </c>
      <c r="R199" s="12" t="str">
        <f>VLOOKUP($A199,'Matriz POA 2024-TRABAJO'!$A$5:$CD$9142,33,FALSE)</f>
        <v>001</v>
      </c>
      <c r="S199" s="12" t="str">
        <f>VLOOKUP($A199,'Matriz POA 2024-TRABAJO'!$A$5:$CD$9142,34,FALSE)</f>
        <v>0000</v>
      </c>
      <c r="T199" s="12" t="str">
        <f>VLOOKUP($A199,'Matriz POA 2024-TRABAJO'!$A$5:$CD$9142,35,FALSE)</f>
        <v>0000</v>
      </c>
      <c r="U199" s="62">
        <f>VLOOKUP($A199,'Matriz POA 2024-TRABAJO'!$A$5:$CD$9142,66,FALSE)</f>
        <v>5344</v>
      </c>
      <c r="V199" s="62">
        <f>VLOOKUP($A199,'Matriz POA 2024-TRABAJO'!$A$5:$CD$9142,67,FALSE)</f>
        <v>-3.3999999999996362</v>
      </c>
      <c r="W199" s="62">
        <f>VLOOKUP($A199,'Matriz POA 2024-TRABAJO'!$A$5:$CD$9142,68,FALSE)</f>
        <v>5340.6</v>
      </c>
      <c r="X199" s="62">
        <f>VLOOKUP($A199,'Matriz POA 2024-TRABAJO'!$A$5:$CD$9142,72,FALSE)</f>
        <v>5185.8</v>
      </c>
      <c r="Y199" s="388">
        <v>0</v>
      </c>
      <c r="Z199" s="388">
        <v>0</v>
      </c>
      <c r="AA199" s="388">
        <v>0</v>
      </c>
      <c r="AB199" s="389">
        <v>5344</v>
      </c>
      <c r="AC199" s="389"/>
      <c r="AD199" s="13"/>
      <c r="AE199" s="13"/>
      <c r="AF199" s="13">
        <f t="shared" si="95"/>
        <v>5344</v>
      </c>
      <c r="AG199" s="13">
        <f t="shared" si="96"/>
        <v>0</v>
      </c>
      <c r="AH199" s="13">
        <f t="shared" si="97"/>
        <v>5344</v>
      </c>
      <c r="AI199" s="129"/>
      <c r="AJ199" s="129"/>
      <c r="AK199" s="129"/>
      <c r="AL199" s="129"/>
      <c r="AM199" s="129"/>
      <c r="AN199" s="129"/>
      <c r="AO199" s="129"/>
      <c r="AP199" s="129"/>
      <c r="AQ199" s="129"/>
      <c r="AR199" s="129"/>
      <c r="AS199" s="129"/>
      <c r="AT199" s="129"/>
      <c r="AU199" s="129">
        <f t="shared" si="98"/>
        <v>0</v>
      </c>
      <c r="AV199" s="13" t="b">
        <f t="shared" si="99"/>
        <v>0</v>
      </c>
      <c r="AW199" s="14" t="s">
        <v>1826</v>
      </c>
      <c r="AX199" s="15" t="s">
        <v>1799</v>
      </c>
      <c r="AY199" s="16">
        <v>45422</v>
      </c>
      <c r="AZ199" s="15" t="s">
        <v>1829</v>
      </c>
      <c r="BA199" s="16">
        <v>45428</v>
      </c>
      <c r="BB199" s="17">
        <f t="shared" si="104"/>
        <v>6</v>
      </c>
      <c r="BC199" s="12"/>
      <c r="BD199" s="15"/>
      <c r="BE199" s="18"/>
      <c r="BF199" s="12"/>
      <c r="BG199" s="19" t="str">
        <f t="shared" si="101"/>
        <v>mayo</v>
      </c>
      <c r="BH199" s="12" t="str">
        <f t="shared" si="102"/>
        <v>Corporación Ciudad Alfaro</v>
      </c>
      <c r="BI199" s="20" t="str">
        <f t="shared" si="103"/>
        <v>N/A</v>
      </c>
    </row>
    <row r="200" spans="1:61" ht="24.95" customHeight="1">
      <c r="A200" s="8">
        <v>875</v>
      </c>
      <c r="B200" s="12" t="str">
        <f>VLOOKUP($A200,'Matriz POA 2024-TRABAJO'!$A$5:$CD$9142,11,FALSE)</f>
        <v>Corporación Ciudad Alfaro</v>
      </c>
      <c r="C200" s="12" t="str">
        <f>VLOOKUP($A200,'Matriz POA 2024-TRABAJO'!$A$5:$CD$9142,14,FALSE)</f>
        <v>N/A</v>
      </c>
      <c r="D200" s="12" t="str">
        <f>VLOOKUP($A200,'Matriz POA 2024-TRABAJO'!$A$5:$CD$9142,15,FALSE)</f>
        <v>N/A</v>
      </c>
      <c r="E200" s="12" t="str">
        <f>VLOOKUP($A200,'Matriz POA 2024-TRABAJO'!$A$5:$CD$9142,18,FALSE)</f>
        <v>N/A</v>
      </c>
      <c r="F200" s="12" t="str">
        <f>VLOOKUP($A200,'Matriz POA 2024-TRABAJO'!$A$5:$CD$9142,20,FALSE)</f>
        <v>N/A</v>
      </c>
      <c r="G200" s="12" t="str">
        <f>VLOOKUP($A200,'Matriz POA 2024-TRABAJO'!$A$5:$CD$9142,21,FALSE)</f>
        <v>N/A</v>
      </c>
      <c r="H200" s="12" t="str">
        <f>VLOOKUP($A200,'Matriz POA 2024-TRABAJO'!$A$5:$CD$9142,22,FALSE)</f>
        <v>N/A</v>
      </c>
      <c r="I200" s="12" t="str">
        <f>VLOOKUP($A200,'Matriz POA 2024-TRABAJO'!$A$5:$CD$9142,23,FALSE)</f>
        <v>PLURIANUAL 2024 - 2025</v>
      </c>
      <c r="J200" s="12" t="str">
        <f>VLOOKUP($A200,'Matriz POA 2024-TRABAJO'!$A$5:$CD$9142,24,FALSE)</f>
        <v>Contratación del servicio de Aseo y limpieza para el Museo Centro Cultural Manta, durante el período 2024-2025</v>
      </c>
      <c r="K200" s="12" t="str">
        <f>VLOOKUP($A200,'Matriz POA 2024-TRABAJO'!$A$5:$CD$9142,25,FALSE)</f>
        <v>0035</v>
      </c>
      <c r="L200" s="12" t="str">
        <f>VLOOKUP($A200,'Matriz POA 2024-TRABAJO'!$A$5:$CD$9142,26,FALSE)</f>
        <v>80</v>
      </c>
      <c r="M200" s="12" t="str">
        <f>VLOOKUP($A200,'Matriz POA 2024-TRABAJO'!$A$5:$CD$9142,27,FALSE)</f>
        <v>000</v>
      </c>
      <c r="N200" s="12" t="str">
        <f>VLOOKUP($A200,'Matriz POA 2024-TRABAJO'!$A$5:$CD$9142,28,FALSE)</f>
        <v>002</v>
      </c>
      <c r="O200" s="12" t="str">
        <f>VLOOKUP($A200,'Matriz POA 2024-TRABAJO'!$A$5:$CD$9142,29,FALSE)</f>
        <v>53</v>
      </c>
      <c r="P200" s="12">
        <f>VLOOKUP($A200,'Matriz POA 2024-TRABAJO'!$A$5:$CD$9142,30,FALSE)</f>
        <v>530209</v>
      </c>
      <c r="Q200" s="12">
        <f>VLOOKUP($A200,'Matriz POA 2024-TRABAJO'!$A$5:$CD$9142,32,FALSE)</f>
        <v>1308</v>
      </c>
      <c r="R200" s="12" t="str">
        <f>VLOOKUP($A200,'Matriz POA 2024-TRABAJO'!$A$5:$CD$9142,33,FALSE)</f>
        <v>001</v>
      </c>
      <c r="S200" s="12" t="str">
        <f>VLOOKUP($A200,'Matriz POA 2024-TRABAJO'!$A$5:$CD$9142,34,FALSE)</f>
        <v>0000</v>
      </c>
      <c r="T200" s="12" t="str">
        <f>VLOOKUP($A200,'Matriz POA 2024-TRABAJO'!$A$5:$CD$9142,35,FALSE)</f>
        <v>0000</v>
      </c>
      <c r="U200" s="62">
        <f>VLOOKUP($A200,'Matriz POA 2024-TRABAJO'!$A$5:$CD$9142,66,FALSE)</f>
        <v>5344</v>
      </c>
      <c r="V200" s="62">
        <f>VLOOKUP($A200,'Matriz POA 2024-TRABAJO'!$A$5:$CD$9142,67,FALSE)</f>
        <v>-3.3999999999996362</v>
      </c>
      <c r="W200" s="62">
        <f>VLOOKUP($A200,'Matriz POA 2024-TRABAJO'!$A$5:$CD$9142,68,FALSE)</f>
        <v>5340.6</v>
      </c>
      <c r="X200" s="62">
        <f>VLOOKUP($A200,'Matriz POA 2024-TRABAJO'!$A$5:$CD$9142,72,FALSE)</f>
        <v>6733.8</v>
      </c>
      <c r="Y200" s="388">
        <v>0</v>
      </c>
      <c r="Z200" s="388">
        <v>0</v>
      </c>
      <c r="AA200" s="388">
        <v>0</v>
      </c>
      <c r="AB200" s="389">
        <v>5344</v>
      </c>
      <c r="AC200" s="389"/>
      <c r="AD200" s="13"/>
      <c r="AE200" s="13"/>
      <c r="AF200" s="13">
        <f t="shared" ref="AF200:AF205" si="105">Y200+AB200+AC200</f>
        <v>5344</v>
      </c>
      <c r="AG200" s="13">
        <f t="shared" ref="AG200:AG205" si="106">Z200+AD200+AE200</f>
        <v>0</v>
      </c>
      <c r="AH200" s="13">
        <f t="shared" ref="AH200:AH205" si="107">+AF200+AG200</f>
        <v>5344</v>
      </c>
      <c r="AI200" s="129"/>
      <c r="AJ200" s="129"/>
      <c r="AK200" s="129"/>
      <c r="AL200" s="129"/>
      <c r="AM200" s="129"/>
      <c r="AN200" s="129"/>
      <c r="AO200" s="129"/>
      <c r="AP200" s="129"/>
      <c r="AQ200" s="129"/>
      <c r="AR200" s="129"/>
      <c r="AS200" s="129"/>
      <c r="AT200" s="129"/>
      <c r="AU200" s="129">
        <f t="shared" ref="AU200:AU205" si="108">SUM(AI200:AT200)</f>
        <v>0</v>
      </c>
      <c r="AV200" s="13" t="b">
        <f t="shared" ref="AV200:AV205" si="109">SUM(AI200:AT200)=AH200</f>
        <v>0</v>
      </c>
      <c r="AW200" s="14" t="s">
        <v>1826</v>
      </c>
      <c r="AX200" s="15" t="s">
        <v>1799</v>
      </c>
      <c r="AY200" s="16">
        <v>45422</v>
      </c>
      <c r="AZ200" s="15" t="s">
        <v>1829</v>
      </c>
      <c r="BA200" s="16">
        <v>45428</v>
      </c>
      <c r="BB200" s="17">
        <f t="shared" si="104"/>
        <v>6</v>
      </c>
      <c r="BC200" s="12"/>
      <c r="BD200" s="15"/>
      <c r="BE200" s="18"/>
      <c r="BF200" s="12"/>
      <c r="BG200" s="19" t="str">
        <f t="shared" ref="BG200:BG205" si="110">TEXT(BA200,"MMMM")</f>
        <v>mayo</v>
      </c>
      <c r="BH200" s="12" t="str">
        <f t="shared" ref="BH200:BH205" si="111">B200</f>
        <v>Corporación Ciudad Alfaro</v>
      </c>
      <c r="BI200" s="20" t="str">
        <f t="shared" ref="BI200:BI205" si="112">E200</f>
        <v>N/A</v>
      </c>
    </row>
    <row r="201" spans="1:61" ht="24.95" customHeight="1">
      <c r="A201" s="8">
        <v>876</v>
      </c>
      <c r="B201" s="12" t="str">
        <f>VLOOKUP($A201,'Matriz POA 2024-TRABAJO'!$A$5:$CD$9142,11,FALSE)</f>
        <v>Corporación Ciudad Alfaro</v>
      </c>
      <c r="C201" s="12" t="str">
        <f>VLOOKUP($A201,'Matriz POA 2024-TRABAJO'!$A$5:$CD$9142,14,FALSE)</f>
        <v>N/A</v>
      </c>
      <c r="D201" s="12" t="str">
        <f>VLOOKUP($A201,'Matriz POA 2024-TRABAJO'!$A$5:$CD$9142,15,FALSE)</f>
        <v>N/A</v>
      </c>
      <c r="E201" s="12" t="str">
        <f>VLOOKUP($A201,'Matriz POA 2024-TRABAJO'!$A$5:$CD$9142,18,FALSE)</f>
        <v>N/A</v>
      </c>
      <c r="F201" s="12" t="str">
        <f>VLOOKUP($A201,'Matriz POA 2024-TRABAJO'!$A$5:$CD$9142,20,FALSE)</f>
        <v>N/A</v>
      </c>
      <c r="G201" s="12" t="str">
        <f>VLOOKUP($A201,'Matriz POA 2024-TRABAJO'!$A$5:$CD$9142,21,FALSE)</f>
        <v>N/A</v>
      </c>
      <c r="H201" s="12" t="str">
        <f>VLOOKUP($A201,'Matriz POA 2024-TRABAJO'!$A$5:$CD$9142,22,FALSE)</f>
        <v>N/A</v>
      </c>
      <c r="I201" s="12" t="str">
        <f>VLOOKUP($A201,'Matriz POA 2024-TRABAJO'!$A$5:$CD$9142,23,FALSE)</f>
        <v>PLURIANUAL 2024 - 2025</v>
      </c>
      <c r="J201" s="12" t="str">
        <f>VLOOKUP($A201,'Matriz POA 2024-TRABAJO'!$A$5:$CD$9142,24,FALSE)</f>
        <v>Contratación del servicio de Aseo y limpieza para el Museo Bahía de Caráquez, durante el período 2024-2025</v>
      </c>
      <c r="K201" s="12" t="str">
        <f>VLOOKUP($A201,'Matriz POA 2024-TRABAJO'!$A$5:$CD$9142,25,FALSE)</f>
        <v>0035</v>
      </c>
      <c r="L201" s="12" t="str">
        <f>VLOOKUP($A201,'Matriz POA 2024-TRABAJO'!$A$5:$CD$9142,26,FALSE)</f>
        <v>80</v>
      </c>
      <c r="M201" s="12" t="str">
        <f>VLOOKUP($A201,'Matriz POA 2024-TRABAJO'!$A$5:$CD$9142,27,FALSE)</f>
        <v>000</v>
      </c>
      <c r="N201" s="12" t="str">
        <f>VLOOKUP($A201,'Matriz POA 2024-TRABAJO'!$A$5:$CD$9142,28,FALSE)</f>
        <v>002</v>
      </c>
      <c r="O201" s="12" t="str">
        <f>VLOOKUP($A201,'Matriz POA 2024-TRABAJO'!$A$5:$CD$9142,29,FALSE)</f>
        <v>53</v>
      </c>
      <c r="P201" s="12">
        <f>VLOOKUP($A201,'Matriz POA 2024-TRABAJO'!$A$5:$CD$9142,30,FALSE)</f>
        <v>530209</v>
      </c>
      <c r="Q201" s="12">
        <f>VLOOKUP($A201,'Matriz POA 2024-TRABAJO'!$A$5:$CD$9142,32,FALSE)</f>
        <v>1314</v>
      </c>
      <c r="R201" s="12" t="str">
        <f>VLOOKUP($A201,'Matriz POA 2024-TRABAJO'!$A$5:$CD$9142,33,FALSE)</f>
        <v>001</v>
      </c>
      <c r="S201" s="12" t="str">
        <f>VLOOKUP($A201,'Matriz POA 2024-TRABAJO'!$A$5:$CD$9142,34,FALSE)</f>
        <v>0000</v>
      </c>
      <c r="T201" s="12" t="str">
        <f>VLOOKUP($A201,'Matriz POA 2024-TRABAJO'!$A$5:$CD$9142,35,FALSE)</f>
        <v>0000</v>
      </c>
      <c r="U201" s="62">
        <f>VLOOKUP($A201,'Matriz POA 2024-TRABAJO'!$A$5:$CD$9142,66,FALSE)</f>
        <v>5344</v>
      </c>
      <c r="V201" s="62">
        <f>VLOOKUP($A201,'Matriz POA 2024-TRABAJO'!$A$5:$CD$9142,67,FALSE)</f>
        <v>-3.3999999999996362</v>
      </c>
      <c r="W201" s="62">
        <f>VLOOKUP($A201,'Matriz POA 2024-TRABAJO'!$A$5:$CD$9142,68,FALSE)</f>
        <v>5340.6</v>
      </c>
      <c r="X201" s="62">
        <f>VLOOKUP($A201,'Matriz POA 2024-TRABAJO'!$A$5:$CD$9142,72,FALSE)</f>
        <v>5185.8</v>
      </c>
      <c r="Y201" s="388">
        <v>0</v>
      </c>
      <c r="Z201" s="388">
        <v>0</v>
      </c>
      <c r="AA201" s="388">
        <v>0</v>
      </c>
      <c r="AB201" s="389">
        <v>5344</v>
      </c>
      <c r="AC201" s="389"/>
      <c r="AD201" s="13"/>
      <c r="AE201" s="13"/>
      <c r="AF201" s="13">
        <f t="shared" si="105"/>
        <v>5344</v>
      </c>
      <c r="AG201" s="13">
        <f t="shared" si="106"/>
        <v>0</v>
      </c>
      <c r="AH201" s="13">
        <f t="shared" si="107"/>
        <v>5344</v>
      </c>
      <c r="AI201" s="129"/>
      <c r="AJ201" s="129"/>
      <c r="AK201" s="129"/>
      <c r="AL201" s="129"/>
      <c r="AM201" s="129"/>
      <c r="AN201" s="129"/>
      <c r="AO201" s="129"/>
      <c r="AP201" s="129"/>
      <c r="AQ201" s="129"/>
      <c r="AR201" s="129"/>
      <c r="AS201" s="129"/>
      <c r="AT201" s="129"/>
      <c r="AU201" s="129">
        <f t="shared" si="108"/>
        <v>0</v>
      </c>
      <c r="AV201" s="13" t="b">
        <f t="shared" si="109"/>
        <v>0</v>
      </c>
      <c r="AW201" s="14" t="s">
        <v>1826</v>
      </c>
      <c r="AX201" s="15" t="s">
        <v>1799</v>
      </c>
      <c r="AY201" s="16">
        <v>45422</v>
      </c>
      <c r="AZ201" s="15" t="s">
        <v>1829</v>
      </c>
      <c r="BA201" s="16">
        <v>45428</v>
      </c>
      <c r="BB201" s="17">
        <f t="shared" si="104"/>
        <v>6</v>
      </c>
      <c r="BC201" s="12"/>
      <c r="BD201" s="15"/>
      <c r="BE201" s="18"/>
      <c r="BF201" s="12"/>
      <c r="BG201" s="19" t="str">
        <f t="shared" si="110"/>
        <v>mayo</v>
      </c>
      <c r="BH201" s="12" t="str">
        <f t="shared" si="111"/>
        <v>Corporación Ciudad Alfaro</v>
      </c>
      <c r="BI201" s="20" t="str">
        <f t="shared" si="112"/>
        <v>N/A</v>
      </c>
    </row>
    <row r="202" spans="1:61" ht="24.95" customHeight="1">
      <c r="A202" s="8">
        <v>877</v>
      </c>
      <c r="B202" s="12" t="str">
        <f>VLOOKUP($A202,'Matriz POA 2024-TRABAJO'!$A$5:$CD$9142,11,FALSE)</f>
        <v>Corporación Ciudad Alfaro</v>
      </c>
      <c r="C202" s="12" t="str">
        <f>VLOOKUP($A202,'Matriz POA 2024-TRABAJO'!$A$5:$CD$9142,14,FALSE)</f>
        <v>N/A</v>
      </c>
      <c r="D202" s="12" t="str">
        <f>VLOOKUP($A202,'Matriz POA 2024-TRABAJO'!$A$5:$CD$9142,15,FALSE)</f>
        <v>N/A</v>
      </c>
      <c r="E202" s="12" t="str">
        <f>VLOOKUP($A202,'Matriz POA 2024-TRABAJO'!$A$5:$CD$9142,18,FALSE)</f>
        <v>N/A</v>
      </c>
      <c r="F202" s="12" t="str">
        <f>VLOOKUP($A202,'Matriz POA 2024-TRABAJO'!$A$5:$CD$9142,20,FALSE)</f>
        <v>N/A</v>
      </c>
      <c r="G202" s="12" t="str">
        <f>VLOOKUP($A202,'Matriz POA 2024-TRABAJO'!$A$5:$CD$9142,21,FALSE)</f>
        <v>N/A</v>
      </c>
      <c r="H202" s="12" t="str">
        <f>VLOOKUP($A202,'Matriz POA 2024-TRABAJO'!$A$5:$CD$9142,22,FALSE)</f>
        <v>N/A</v>
      </c>
      <c r="I202" s="12" t="str">
        <f>VLOOKUP($A202,'Matriz POA 2024-TRABAJO'!$A$5:$CD$9142,23,FALSE)</f>
        <v>PLURIANUAL 2024 - 2025</v>
      </c>
      <c r="J202" s="12" t="str">
        <f>VLOOKUP($A202,'Matriz POA 2024-TRABAJO'!$A$5:$CD$9142,24,FALSE)</f>
        <v>Contratación del servicio de vigilancia y seguridad privada para el Museo Nuclear Corporación Ciudad Alfaro y sus Sedes, durante el período 2024-2025</v>
      </c>
      <c r="K202" s="12" t="str">
        <f>VLOOKUP($A202,'Matriz POA 2024-TRABAJO'!$A$5:$CD$9142,25,FALSE)</f>
        <v>0035</v>
      </c>
      <c r="L202" s="12" t="str">
        <f>VLOOKUP($A202,'Matriz POA 2024-TRABAJO'!$A$5:$CD$9142,26,FALSE)</f>
        <v>80</v>
      </c>
      <c r="M202" s="12" t="str">
        <f>VLOOKUP($A202,'Matriz POA 2024-TRABAJO'!$A$5:$CD$9142,27,FALSE)</f>
        <v>000</v>
      </c>
      <c r="N202" s="12" t="str">
        <f>VLOOKUP($A202,'Matriz POA 2024-TRABAJO'!$A$5:$CD$9142,28,FALSE)</f>
        <v>002</v>
      </c>
      <c r="O202" s="12" t="str">
        <f>VLOOKUP($A202,'Matriz POA 2024-TRABAJO'!$A$5:$CD$9142,29,FALSE)</f>
        <v>53</v>
      </c>
      <c r="P202" s="12">
        <f>VLOOKUP($A202,'Matriz POA 2024-TRABAJO'!$A$5:$CD$9142,30,FALSE)</f>
        <v>530208</v>
      </c>
      <c r="Q202" s="12">
        <f>VLOOKUP($A202,'Matriz POA 2024-TRABAJO'!$A$5:$CD$9142,32,FALSE)</f>
        <v>1309</v>
      </c>
      <c r="R202" s="12" t="str">
        <f>VLOOKUP($A202,'Matriz POA 2024-TRABAJO'!$A$5:$CD$9142,33,FALSE)</f>
        <v>001</v>
      </c>
      <c r="S202" s="12" t="str">
        <f>VLOOKUP($A202,'Matriz POA 2024-TRABAJO'!$A$5:$CD$9142,34,FALSE)</f>
        <v>0000</v>
      </c>
      <c r="T202" s="12" t="str">
        <f>VLOOKUP($A202,'Matriz POA 2024-TRABAJO'!$A$5:$CD$9142,35,FALSE)</f>
        <v>0000</v>
      </c>
      <c r="U202" s="62">
        <f>VLOOKUP($A202,'Matriz POA 2024-TRABAJO'!$A$5:$CD$9142,66,FALSE)</f>
        <v>16</v>
      </c>
      <c r="V202" s="62">
        <f>VLOOKUP($A202,'Matriz POA 2024-TRABAJO'!$A$5:$CD$9142,67,FALSE)</f>
        <v>9053.33</v>
      </c>
      <c r="W202" s="62">
        <f>VLOOKUP($A202,'Matriz POA 2024-TRABAJO'!$A$5:$CD$9142,68,FALSE)</f>
        <v>9069.33</v>
      </c>
      <c r="X202" s="62">
        <f>VLOOKUP($A202,'Matriz POA 2024-TRABAJO'!$A$5:$CD$9142,72,FALSE)</f>
        <v>8053.57</v>
      </c>
      <c r="Y202" s="388">
        <v>0</v>
      </c>
      <c r="Z202" s="388">
        <v>0</v>
      </c>
      <c r="AA202" s="388">
        <v>0</v>
      </c>
      <c r="AB202" s="389">
        <v>16</v>
      </c>
      <c r="AC202" s="389"/>
      <c r="AD202" s="13"/>
      <c r="AE202" s="13"/>
      <c r="AF202" s="13">
        <f t="shared" si="105"/>
        <v>16</v>
      </c>
      <c r="AG202" s="13">
        <f t="shared" si="106"/>
        <v>0</v>
      </c>
      <c r="AH202" s="13">
        <f t="shared" si="107"/>
        <v>16</v>
      </c>
      <c r="AI202" s="129"/>
      <c r="AJ202" s="129"/>
      <c r="AK202" s="129"/>
      <c r="AL202" s="129"/>
      <c r="AM202" s="129"/>
      <c r="AN202" s="129"/>
      <c r="AO202" s="129"/>
      <c r="AP202" s="129"/>
      <c r="AQ202" s="129"/>
      <c r="AR202" s="129"/>
      <c r="AS202" s="129"/>
      <c r="AT202" s="129"/>
      <c r="AU202" s="129">
        <f t="shared" si="108"/>
        <v>0</v>
      </c>
      <c r="AV202" s="13" t="b">
        <f t="shared" si="109"/>
        <v>0</v>
      </c>
      <c r="AW202" s="14" t="s">
        <v>1826</v>
      </c>
      <c r="AX202" s="15" t="s">
        <v>1799</v>
      </c>
      <c r="AY202" s="16">
        <v>45422</v>
      </c>
      <c r="AZ202" s="15" t="s">
        <v>1829</v>
      </c>
      <c r="BA202" s="16">
        <v>45428</v>
      </c>
      <c r="BB202" s="17">
        <f t="shared" si="104"/>
        <v>6</v>
      </c>
      <c r="BC202" s="12"/>
      <c r="BD202" s="15"/>
      <c r="BE202" s="18"/>
      <c r="BF202" s="12"/>
      <c r="BG202" s="19" t="str">
        <f t="shared" si="110"/>
        <v>mayo</v>
      </c>
      <c r="BH202" s="12" t="str">
        <f t="shared" si="111"/>
        <v>Corporación Ciudad Alfaro</v>
      </c>
      <c r="BI202" s="20" t="str">
        <f t="shared" si="112"/>
        <v>N/A</v>
      </c>
    </row>
    <row r="203" spans="1:61" ht="24.95" customHeight="1">
      <c r="A203" s="8">
        <v>415</v>
      </c>
      <c r="B203" s="12" t="str">
        <f>VLOOKUP($A203,'Matriz POA 2024-TRABAJO'!$A$5:$CD$9142,11,FALSE)</f>
        <v>Corporación Ciudad Alfaro</v>
      </c>
      <c r="C203" s="12" t="str">
        <f>VLOOKUP($A203,'Matriz POA 2024-TRABAJO'!$A$5:$CD$9142,14,FALSE)</f>
        <v>N/A</v>
      </c>
      <c r="D203" s="12" t="str">
        <f>VLOOKUP($A203,'Matriz POA 2024-TRABAJO'!$A$5:$CD$9142,15,FALSE)</f>
        <v>N/A</v>
      </c>
      <c r="E203" s="12" t="str">
        <f>VLOOKUP($A203,'Matriz POA 2024-TRABAJO'!$A$5:$CD$9142,18,FALSE)</f>
        <v>N/A</v>
      </c>
      <c r="F203" s="12" t="str">
        <f>VLOOKUP($A203,'Matriz POA 2024-TRABAJO'!$A$5:$CD$9142,20,FALSE)</f>
        <v>N/A</v>
      </c>
      <c r="G203" s="12" t="str">
        <f>VLOOKUP($A203,'Matriz POA 2024-TRABAJO'!$A$5:$CD$9142,21,FALSE)</f>
        <v>N/A</v>
      </c>
      <c r="H203" s="12" t="str">
        <f>VLOOKUP($A203,'Matriz POA 2024-TRABAJO'!$A$5:$CD$9142,22,FALSE)</f>
        <v>N/A</v>
      </c>
      <c r="I203" s="12" t="str">
        <f>VLOOKUP($A203,'Matriz POA 2024-TRABAJO'!$A$5:$CD$9142,23,FALSE)</f>
        <v>NUEVA</v>
      </c>
      <c r="J203" s="12" t="str">
        <f>VLOOKUP($A203,'Matriz POA 2024-TRABAJO'!$A$5:$CD$9142,24,FALSE)</f>
        <v>REMUNERACIONES UNIFICADAS</v>
      </c>
      <c r="K203" s="12" t="str">
        <f>VLOOKUP($A203,'Matriz POA 2024-TRABAJO'!$A$5:$CD$9142,25,FALSE)</f>
        <v>0035</v>
      </c>
      <c r="L203" s="12" t="str">
        <f>VLOOKUP($A203,'Matriz POA 2024-TRABAJO'!$A$5:$CD$9142,26,FALSE)</f>
        <v>80</v>
      </c>
      <c r="M203" s="12" t="str">
        <f>VLOOKUP($A203,'Matriz POA 2024-TRABAJO'!$A$5:$CD$9142,27,FALSE)</f>
        <v>000</v>
      </c>
      <c r="N203" s="12" t="str">
        <f>VLOOKUP($A203,'Matriz POA 2024-TRABAJO'!$A$5:$CD$9142,28,FALSE)</f>
        <v>002</v>
      </c>
      <c r="O203" s="12" t="str">
        <f>VLOOKUP($A203,'Matriz POA 2024-TRABAJO'!$A$5:$CD$9142,29,FALSE)</f>
        <v>51</v>
      </c>
      <c r="P203" s="12">
        <f>VLOOKUP($A203,'Matriz POA 2024-TRABAJO'!$A$5:$CD$9142,30,FALSE)</f>
        <v>510105</v>
      </c>
      <c r="Q203" s="12">
        <f>VLOOKUP($A203,'Matriz POA 2024-TRABAJO'!$A$5:$CD$9142,32,FALSE)</f>
        <v>1300</v>
      </c>
      <c r="R203" s="12" t="str">
        <f>VLOOKUP($A203,'Matriz POA 2024-TRABAJO'!$A$5:$CD$9142,33,FALSE)</f>
        <v>001</v>
      </c>
      <c r="S203" s="12" t="str">
        <f>VLOOKUP($A203,'Matriz POA 2024-TRABAJO'!$A$5:$CD$9142,34,FALSE)</f>
        <v>0000</v>
      </c>
      <c r="T203" s="12" t="str">
        <f>VLOOKUP($A203,'Matriz POA 2024-TRABAJO'!$A$5:$CD$9142,35,FALSE)</f>
        <v>0000</v>
      </c>
      <c r="U203" s="62">
        <f>VLOOKUP($A203,'Matriz POA 2024-TRABAJO'!$A$5:$CD$9142,66,FALSE)</f>
        <v>280176.77</v>
      </c>
      <c r="V203" s="62">
        <f>VLOOKUP($A203,'Matriz POA 2024-TRABAJO'!$A$5:$CD$9142,67,FALSE)</f>
        <v>-12424.770000000019</v>
      </c>
      <c r="W203" s="62">
        <f>VLOOKUP($A203,'Matriz POA 2024-TRABAJO'!$A$5:$CD$9142,68,FALSE)</f>
        <v>0</v>
      </c>
      <c r="X203" s="62">
        <f>VLOOKUP($A203,'Matriz POA 2024-TRABAJO'!$A$5:$CD$9142,72,FALSE)</f>
        <v>266098.39899999998</v>
      </c>
      <c r="Y203" s="388">
        <v>276976.03999999998</v>
      </c>
      <c r="Z203" s="388">
        <v>0</v>
      </c>
      <c r="AA203" s="388">
        <v>276976.03999999998</v>
      </c>
      <c r="AB203" s="389">
        <v>5050.7299999999996</v>
      </c>
      <c r="AC203" s="389"/>
      <c r="AD203" s="13"/>
      <c r="AE203" s="13"/>
      <c r="AF203" s="13">
        <f t="shared" si="105"/>
        <v>282026.76999999996</v>
      </c>
      <c r="AG203" s="13">
        <f t="shared" si="106"/>
        <v>0</v>
      </c>
      <c r="AH203" s="13">
        <f t="shared" si="107"/>
        <v>282026.76999999996</v>
      </c>
      <c r="AI203" s="129"/>
      <c r="AJ203" s="129"/>
      <c r="AK203" s="129"/>
      <c r="AL203" s="129"/>
      <c r="AM203" s="129"/>
      <c r="AN203" s="129"/>
      <c r="AO203" s="129"/>
      <c r="AP203" s="129"/>
      <c r="AQ203" s="129"/>
      <c r="AR203" s="129"/>
      <c r="AS203" s="129"/>
      <c r="AT203" s="129"/>
      <c r="AU203" s="129">
        <f t="shared" si="108"/>
        <v>0</v>
      </c>
      <c r="AV203" s="13" t="b">
        <f t="shared" si="109"/>
        <v>0</v>
      </c>
      <c r="AW203" s="14" t="s">
        <v>1828</v>
      </c>
      <c r="AX203" s="15" t="s">
        <v>1799</v>
      </c>
      <c r="AY203" s="16">
        <v>45422</v>
      </c>
      <c r="AZ203" s="15" t="s">
        <v>1829</v>
      </c>
      <c r="BA203" s="16">
        <v>45428</v>
      </c>
      <c r="BB203" s="17">
        <f t="shared" si="104"/>
        <v>6</v>
      </c>
      <c r="BC203" s="12"/>
      <c r="BD203" s="15"/>
      <c r="BE203" s="18"/>
      <c r="BF203" s="12"/>
      <c r="BG203" s="19" t="str">
        <f t="shared" si="110"/>
        <v>mayo</v>
      </c>
      <c r="BH203" s="12" t="str">
        <f t="shared" si="111"/>
        <v>Corporación Ciudad Alfaro</v>
      </c>
      <c r="BI203" s="20" t="str">
        <f t="shared" si="112"/>
        <v>N/A</v>
      </c>
    </row>
    <row r="204" spans="1:61" ht="24.95" customHeight="1">
      <c r="A204" s="8">
        <v>731</v>
      </c>
      <c r="B204" s="12" t="str">
        <f>VLOOKUP($A204,'Matriz POA 2024-TRABAJO'!$A$5:$CD$9142,11,FALSE)</f>
        <v>Corporación Ciudad Alfaro</v>
      </c>
      <c r="C204" s="12" t="str">
        <f>VLOOKUP($A204,'Matriz POA 2024-TRABAJO'!$A$5:$CD$9142,14,FALSE)</f>
        <v>N/A</v>
      </c>
      <c r="D204" s="12" t="str">
        <f>VLOOKUP($A204,'Matriz POA 2024-TRABAJO'!$A$5:$CD$9142,15,FALSE)</f>
        <v>N/A</v>
      </c>
      <c r="E204" s="12" t="str">
        <f>VLOOKUP($A204,'Matriz POA 2024-TRABAJO'!$A$5:$CD$9142,18,FALSE)</f>
        <v>N/A</v>
      </c>
      <c r="F204" s="12" t="str">
        <f>VLOOKUP($A204,'Matriz POA 2024-TRABAJO'!$A$5:$CD$9142,20,FALSE)</f>
        <v>N/A</v>
      </c>
      <c r="G204" s="12" t="str">
        <f>VLOOKUP($A204,'Matriz POA 2024-TRABAJO'!$A$5:$CD$9142,21,FALSE)</f>
        <v>N/A</v>
      </c>
      <c r="H204" s="12" t="str">
        <f>VLOOKUP($A204,'Matriz POA 2024-TRABAJO'!$A$5:$CD$9142,22,FALSE)</f>
        <v>N/A</v>
      </c>
      <c r="I204" s="12" t="str">
        <f>VLOOKUP($A204,'Matriz POA 2024-TRABAJO'!$A$5:$CD$9142,23,FALSE)</f>
        <v>NUEVA</v>
      </c>
      <c r="J204" s="12" t="str">
        <f>VLOOKUP($A204,'Matriz POA 2024-TRABAJO'!$A$5:$CD$9142,24,FALSE)</f>
        <v>Subrogación</v>
      </c>
      <c r="K204" s="12" t="str">
        <f>VLOOKUP($A204,'Matriz POA 2024-TRABAJO'!$A$5:$CD$9142,25,FALSE)</f>
        <v>0035</v>
      </c>
      <c r="L204" s="12" t="str">
        <f>VLOOKUP($A204,'Matriz POA 2024-TRABAJO'!$A$5:$CD$9142,26,FALSE)</f>
        <v>80</v>
      </c>
      <c r="M204" s="12" t="str">
        <f>VLOOKUP($A204,'Matriz POA 2024-TRABAJO'!$A$5:$CD$9142,27,FALSE)</f>
        <v>000</v>
      </c>
      <c r="N204" s="12" t="str">
        <f>VLOOKUP($A204,'Matriz POA 2024-TRABAJO'!$A$5:$CD$9142,28,FALSE)</f>
        <v>002</v>
      </c>
      <c r="O204" s="12" t="str">
        <f>VLOOKUP($A204,'Matriz POA 2024-TRABAJO'!$A$5:$CD$9142,29,FALSE)</f>
        <v>51</v>
      </c>
      <c r="P204" s="12">
        <f>VLOOKUP($A204,'Matriz POA 2024-TRABAJO'!$A$5:$CD$9142,30,FALSE)</f>
        <v>510512</v>
      </c>
      <c r="Q204" s="12">
        <f>VLOOKUP($A204,'Matriz POA 2024-TRABAJO'!$A$5:$CD$9142,32,FALSE)</f>
        <v>1300</v>
      </c>
      <c r="R204" s="12" t="str">
        <f>VLOOKUP($A204,'Matriz POA 2024-TRABAJO'!$A$5:$CD$9142,33,FALSE)</f>
        <v>001</v>
      </c>
      <c r="S204" s="12" t="str">
        <f>VLOOKUP($A204,'Matriz POA 2024-TRABAJO'!$A$5:$CD$9142,34,FALSE)</f>
        <v>0000</v>
      </c>
      <c r="T204" s="12" t="str">
        <f>VLOOKUP($A204,'Matriz POA 2024-TRABAJO'!$A$5:$CD$9142,35,FALSE)</f>
        <v>0000</v>
      </c>
      <c r="U204" s="62" t="str">
        <f>VLOOKUP($A204,'Matriz POA 2024-TRABAJO'!$A$5:$CD$9142,66,FALSE)</f>
        <v/>
      </c>
      <c r="V204" s="62" t="str">
        <f>VLOOKUP($A204,'Matriz POA 2024-TRABAJO'!$A$5:$CD$9142,67,FALSE)</f>
        <v/>
      </c>
      <c r="W204" s="62">
        <f>VLOOKUP($A204,'Matriz POA 2024-TRABAJO'!$A$5:$CD$9142,68,FALSE)</f>
        <v>0</v>
      </c>
      <c r="X204" s="62">
        <f>VLOOKUP($A204,'Matriz POA 2024-TRABAJO'!$A$5:$CD$9142,72,FALSE)</f>
        <v>3357.21</v>
      </c>
      <c r="Y204" s="388">
        <v>0</v>
      </c>
      <c r="Z204" s="388">
        <v>0</v>
      </c>
      <c r="AA204" s="388">
        <v>0</v>
      </c>
      <c r="AB204" s="389">
        <v>507.83</v>
      </c>
      <c r="AC204" s="389"/>
      <c r="AD204" s="13"/>
      <c r="AE204" s="13"/>
      <c r="AF204" s="13">
        <f t="shared" si="105"/>
        <v>507.83</v>
      </c>
      <c r="AG204" s="13">
        <f t="shared" si="106"/>
        <v>0</v>
      </c>
      <c r="AH204" s="13">
        <f t="shared" si="107"/>
        <v>507.83</v>
      </c>
      <c r="AI204" s="129"/>
      <c r="AJ204" s="129"/>
      <c r="AK204" s="129"/>
      <c r="AL204" s="129"/>
      <c r="AM204" s="129"/>
      <c r="AN204" s="129"/>
      <c r="AO204" s="129"/>
      <c r="AP204" s="129"/>
      <c r="AQ204" s="129"/>
      <c r="AR204" s="129"/>
      <c r="AS204" s="129"/>
      <c r="AT204" s="129"/>
      <c r="AU204" s="129">
        <f t="shared" si="108"/>
        <v>0</v>
      </c>
      <c r="AV204" s="13" t="b">
        <f t="shared" si="109"/>
        <v>0</v>
      </c>
      <c r="AW204" s="14" t="s">
        <v>1828</v>
      </c>
      <c r="AX204" s="15" t="s">
        <v>1799</v>
      </c>
      <c r="AY204" s="16">
        <v>45422</v>
      </c>
      <c r="AZ204" s="15" t="s">
        <v>1829</v>
      </c>
      <c r="BA204" s="16">
        <v>45428</v>
      </c>
      <c r="BB204" s="17">
        <f t="shared" si="104"/>
        <v>6</v>
      </c>
      <c r="BC204" s="12"/>
      <c r="BD204" s="15"/>
      <c r="BE204" s="18"/>
      <c r="BF204" s="12"/>
      <c r="BG204" s="19" t="str">
        <f t="shared" si="110"/>
        <v>mayo</v>
      </c>
      <c r="BH204" s="12" t="str">
        <f t="shared" si="111"/>
        <v>Corporación Ciudad Alfaro</v>
      </c>
      <c r="BI204" s="20" t="str">
        <f t="shared" si="112"/>
        <v>N/A</v>
      </c>
    </row>
    <row r="205" spans="1:61" ht="24.95" customHeight="1">
      <c r="A205" s="8">
        <v>741</v>
      </c>
      <c r="B205" s="12" t="str">
        <f>VLOOKUP($A205,'Matriz POA 2024-TRABAJO'!$A$5:$CD$9142,11,FALSE)</f>
        <v>Corporación Ciudad Alfaro</v>
      </c>
      <c r="C205" s="12" t="str">
        <f>VLOOKUP($A205,'Matriz POA 2024-TRABAJO'!$A$5:$CD$9142,14,FALSE)</f>
        <v>N/A</v>
      </c>
      <c r="D205" s="12" t="str">
        <f>VLOOKUP($A205,'Matriz POA 2024-TRABAJO'!$A$5:$CD$9142,15,FALSE)</f>
        <v>N/A</v>
      </c>
      <c r="E205" s="12" t="str">
        <f>VLOOKUP($A205,'Matriz POA 2024-TRABAJO'!$A$5:$CD$9142,18,FALSE)</f>
        <v>N/A</v>
      </c>
      <c r="F205" s="12" t="str">
        <f>VLOOKUP($A205,'Matriz POA 2024-TRABAJO'!$A$5:$CD$9142,20,FALSE)</f>
        <v>N/A</v>
      </c>
      <c r="G205" s="12" t="str">
        <f>VLOOKUP($A205,'Matriz POA 2024-TRABAJO'!$A$5:$CD$9142,21,FALSE)</f>
        <v>N/A</v>
      </c>
      <c r="H205" s="12" t="str">
        <f>VLOOKUP($A205,'Matriz POA 2024-TRABAJO'!$A$5:$CD$9142,22,FALSE)</f>
        <v>N/A</v>
      </c>
      <c r="I205" s="12" t="str">
        <f>VLOOKUP($A205,'Matriz POA 2024-TRABAJO'!$A$5:$CD$9142,23,FALSE)</f>
        <v>NUEVA</v>
      </c>
      <c r="J205" s="12" t="str">
        <f>VLOOKUP($A205,'Matriz POA 2024-TRABAJO'!$A$5:$CD$9142,24,FALSE)</f>
        <v>Obligaciones de Ejercicios Anteriores por Egresos de Personal</v>
      </c>
      <c r="K205" s="12" t="str">
        <f>VLOOKUP($A205,'Matriz POA 2024-TRABAJO'!$A$5:$CD$9142,25,FALSE)</f>
        <v>0035</v>
      </c>
      <c r="L205" s="12" t="str">
        <f>VLOOKUP($A205,'Matriz POA 2024-TRABAJO'!$A$5:$CD$9142,26,FALSE)</f>
        <v>80</v>
      </c>
      <c r="M205" s="12" t="str">
        <f>VLOOKUP($A205,'Matriz POA 2024-TRABAJO'!$A$5:$CD$9142,27,FALSE)</f>
        <v>000</v>
      </c>
      <c r="N205" s="12" t="str">
        <f>VLOOKUP($A205,'Matriz POA 2024-TRABAJO'!$A$5:$CD$9142,28,FALSE)</f>
        <v>002</v>
      </c>
      <c r="O205" s="12" t="str">
        <f>VLOOKUP($A205,'Matriz POA 2024-TRABAJO'!$A$5:$CD$9142,29,FALSE)</f>
        <v>99</v>
      </c>
      <c r="P205" s="12">
        <f>VLOOKUP($A205,'Matriz POA 2024-TRABAJO'!$A$5:$CD$9142,30,FALSE)</f>
        <v>990101</v>
      </c>
      <c r="Q205" s="12">
        <f>VLOOKUP($A205,'Matriz POA 2024-TRABAJO'!$A$5:$CD$9142,32,FALSE)</f>
        <v>1309</v>
      </c>
      <c r="R205" s="12" t="str">
        <f>VLOOKUP($A205,'Matriz POA 2024-TRABAJO'!$A$5:$CD$9142,33,FALSE)</f>
        <v>001</v>
      </c>
      <c r="S205" s="12" t="str">
        <f>VLOOKUP($A205,'Matriz POA 2024-TRABAJO'!$A$5:$CD$9142,34,FALSE)</f>
        <v>0000</v>
      </c>
      <c r="T205" s="12" t="str">
        <f>VLOOKUP($A205,'Matriz POA 2024-TRABAJO'!$A$5:$CD$9142,35,FALSE)</f>
        <v>0000</v>
      </c>
      <c r="U205" s="62">
        <f>VLOOKUP($A205,'Matriz POA 2024-TRABAJO'!$A$5:$CD$9142,66,FALSE)</f>
        <v>11120.92</v>
      </c>
      <c r="V205" s="62">
        <f>VLOOKUP($A205,'Matriz POA 2024-TRABAJO'!$A$5:$CD$9142,67,FALSE)</f>
        <v>-5560.46</v>
      </c>
      <c r="W205" s="62">
        <f>VLOOKUP($A205,'Matriz POA 2024-TRABAJO'!$A$5:$CD$9142,68,FALSE)</f>
        <v>0</v>
      </c>
      <c r="X205" s="62">
        <f>VLOOKUP($A205,'Matriz POA 2024-TRABAJO'!$A$5:$CD$9142,72,FALSE)</f>
        <v>5560.46</v>
      </c>
      <c r="Y205" s="388">
        <v>5558.56</v>
      </c>
      <c r="Z205" s="388">
        <v>0</v>
      </c>
      <c r="AA205" s="388">
        <v>5558.56</v>
      </c>
      <c r="AB205" s="389"/>
      <c r="AC205" s="389">
        <v>-5558.56</v>
      </c>
      <c r="AD205" s="13"/>
      <c r="AE205" s="13"/>
      <c r="AF205" s="13">
        <f t="shared" si="105"/>
        <v>0</v>
      </c>
      <c r="AG205" s="13">
        <f t="shared" si="106"/>
        <v>0</v>
      </c>
      <c r="AH205" s="13">
        <f t="shared" si="107"/>
        <v>0</v>
      </c>
      <c r="AI205" s="129"/>
      <c r="AJ205" s="129"/>
      <c r="AK205" s="129"/>
      <c r="AL205" s="129"/>
      <c r="AM205" s="129"/>
      <c r="AN205" s="129"/>
      <c r="AO205" s="129"/>
      <c r="AP205" s="129"/>
      <c r="AQ205" s="129"/>
      <c r="AR205" s="129"/>
      <c r="AS205" s="129"/>
      <c r="AT205" s="129"/>
      <c r="AU205" s="129">
        <f t="shared" si="108"/>
        <v>0</v>
      </c>
      <c r="AV205" s="13" t="b">
        <f t="shared" si="109"/>
        <v>1</v>
      </c>
      <c r="AW205" s="14" t="s">
        <v>1828</v>
      </c>
      <c r="AX205" s="15" t="s">
        <v>1799</v>
      </c>
      <c r="AY205" s="16">
        <v>45422</v>
      </c>
      <c r="AZ205" s="15" t="s">
        <v>1829</v>
      </c>
      <c r="BA205" s="16">
        <v>45428</v>
      </c>
      <c r="BB205" s="17">
        <f t="shared" si="104"/>
        <v>6</v>
      </c>
      <c r="BC205" s="12"/>
      <c r="BD205" s="15"/>
      <c r="BE205" s="18"/>
      <c r="BF205" s="12"/>
      <c r="BG205" s="19" t="str">
        <f t="shared" si="110"/>
        <v>mayo</v>
      </c>
      <c r="BH205" s="12" t="str">
        <f t="shared" si="111"/>
        <v>Corporación Ciudad Alfaro</v>
      </c>
      <c r="BI205" s="20" t="str">
        <f t="shared" si="112"/>
        <v>N/A</v>
      </c>
    </row>
    <row r="206" spans="1:61" ht="24.95" customHeight="1">
      <c r="A206" s="8">
        <v>481</v>
      </c>
      <c r="B206" s="12" t="str">
        <f>VLOOKUP($A206,'Matriz POA 2024-TRABAJO'!$A$5:$CD$9142,11,FALSE)</f>
        <v>Corporación Ciudad Alfaro</v>
      </c>
      <c r="C206" s="12" t="str">
        <f>VLOOKUP($A206,'Matriz POA 2024-TRABAJO'!$A$5:$CD$9142,14,FALSE)</f>
        <v>N/A</v>
      </c>
      <c r="D206" s="12" t="str">
        <f>VLOOKUP($A206,'Matriz POA 2024-TRABAJO'!$A$5:$CD$9142,15,FALSE)</f>
        <v>N/A</v>
      </c>
      <c r="E206" s="12" t="str">
        <f>VLOOKUP($A206,'Matriz POA 2024-TRABAJO'!$A$5:$CD$9142,18,FALSE)</f>
        <v>N/A</v>
      </c>
      <c r="F206" s="12" t="str">
        <f>VLOOKUP($A206,'Matriz POA 2024-TRABAJO'!$A$5:$CD$9142,20,FALSE)</f>
        <v>N/A</v>
      </c>
      <c r="G206" s="12" t="str">
        <f>VLOOKUP($A206,'Matriz POA 2024-TRABAJO'!$A$5:$CD$9142,21,FALSE)</f>
        <v>N/A</v>
      </c>
      <c r="H206" s="12" t="str">
        <f>VLOOKUP($A206,'Matriz POA 2024-TRABAJO'!$A$5:$CD$9142,22,FALSE)</f>
        <v>N/A</v>
      </c>
      <c r="I206" s="12" t="str">
        <f>VLOOKUP($A206,'Matriz POA 2024-TRABAJO'!$A$5:$CD$9142,23,FALSE)</f>
        <v>NUEVA</v>
      </c>
      <c r="J206" s="12" t="str">
        <f>VLOOKUP($A206,'Matriz POA 2024-TRABAJO'!$A$5:$CD$9142,24,FALSE)</f>
        <v>Adquisición de tonners y tintas para las impresoras de la corporación ciudad alfaro y sus sedes</v>
      </c>
      <c r="K206" s="12" t="str">
        <f>VLOOKUP($A206,'Matriz POA 2024-TRABAJO'!$A$5:$CD$9142,25,FALSE)</f>
        <v>0035</v>
      </c>
      <c r="L206" s="12" t="str">
        <f>VLOOKUP($A206,'Matriz POA 2024-TRABAJO'!$A$5:$CD$9142,26,FALSE)</f>
        <v>80</v>
      </c>
      <c r="M206" s="12" t="str">
        <f>VLOOKUP($A206,'Matriz POA 2024-TRABAJO'!$A$5:$CD$9142,27,FALSE)</f>
        <v>000</v>
      </c>
      <c r="N206" s="12" t="str">
        <f>VLOOKUP($A206,'Matriz POA 2024-TRABAJO'!$A$5:$CD$9142,28,FALSE)</f>
        <v>002</v>
      </c>
      <c r="O206" s="12" t="str">
        <f>VLOOKUP($A206,'Matriz POA 2024-TRABAJO'!$A$5:$CD$9142,29,FALSE)</f>
        <v>53</v>
      </c>
      <c r="P206" s="12">
        <f>VLOOKUP($A206,'Matriz POA 2024-TRABAJO'!$A$5:$CD$9142,30,FALSE)</f>
        <v>530807</v>
      </c>
      <c r="Q206" s="12">
        <f>VLOOKUP($A206,'Matriz POA 2024-TRABAJO'!$A$5:$CD$9142,32,FALSE)</f>
        <v>1309</v>
      </c>
      <c r="R206" s="12" t="str">
        <f>VLOOKUP($A206,'Matriz POA 2024-TRABAJO'!$A$5:$CD$9142,33,FALSE)</f>
        <v>001</v>
      </c>
      <c r="S206" s="12" t="str">
        <f>VLOOKUP($A206,'Matriz POA 2024-TRABAJO'!$A$5:$CD$9142,34,FALSE)</f>
        <v>0000</v>
      </c>
      <c r="T206" s="12" t="str">
        <f>VLOOKUP($A206,'Matriz POA 2024-TRABAJO'!$A$5:$CD$9142,35,FALSE)</f>
        <v>0000</v>
      </c>
      <c r="U206" s="62">
        <f>VLOOKUP($A206,'Matriz POA 2024-TRABAJO'!$A$5:$CD$9142,66,FALSE)</f>
        <v>2000</v>
      </c>
      <c r="V206" s="62">
        <f>VLOOKUP($A206,'Matriz POA 2024-TRABAJO'!$A$5:$CD$9142,67,FALSE)</f>
        <v>-1321</v>
      </c>
      <c r="W206" s="62">
        <f>VLOOKUP($A206,'Matriz POA 2024-TRABAJO'!$A$5:$CD$9142,68,FALSE)</f>
        <v>0</v>
      </c>
      <c r="X206" s="62">
        <f>VLOOKUP($A206,'Matriz POA 2024-TRABAJO'!$A$5:$CD$9142,72,FALSE)</f>
        <v>679</v>
      </c>
      <c r="Y206" s="388">
        <f>VLOOKUP($A206,'Matriz POA 2024-TRABAJO'!$A$5:$CD$9142,45,FALSE)</f>
        <v>679</v>
      </c>
      <c r="Z206" s="388">
        <f>VLOOKUP($A206,'Matriz POA 2024-TRABAJO'!$A$5:$CD$9142,46,FALSE)</f>
        <v>0</v>
      </c>
      <c r="AA206" s="388">
        <f>VLOOKUP($A206,'Matriz POA 2024-TRABAJO'!$A$5:$CD$9142,47,FALSE)</f>
        <v>679</v>
      </c>
      <c r="AB206" s="389"/>
      <c r="AC206" s="389"/>
      <c r="AD206" s="13"/>
      <c r="AE206" s="13"/>
      <c r="AF206" s="13">
        <f t="shared" ref="AF206:AF217" si="113">Y206+AB206+AC206</f>
        <v>679</v>
      </c>
      <c r="AG206" s="13">
        <f t="shared" ref="AG206:AG217" si="114">Z206+AD206+AE206</f>
        <v>0</v>
      </c>
      <c r="AH206" s="13">
        <f t="shared" ref="AH206:AH217" si="115">+AF206+AG206</f>
        <v>679</v>
      </c>
      <c r="AI206" s="129"/>
      <c r="AJ206" s="129"/>
      <c r="AK206" s="129"/>
      <c r="AL206" s="129"/>
      <c r="AM206" s="129"/>
      <c r="AN206" s="129"/>
      <c r="AO206" s="129"/>
      <c r="AP206" s="129"/>
      <c r="AQ206" s="129"/>
      <c r="AR206" s="129"/>
      <c r="AS206" s="129"/>
      <c r="AT206" s="129"/>
      <c r="AU206" s="129">
        <f t="shared" ref="AU206:AU217" si="116">SUM(AI206:AT206)</f>
        <v>0</v>
      </c>
      <c r="AV206" s="13" t="b">
        <f t="shared" ref="AV206:AV217" si="117">SUM(AI206:AT206)=AH206</f>
        <v>0</v>
      </c>
      <c r="AW206" s="14" t="s">
        <v>1827</v>
      </c>
      <c r="AX206" s="15" t="s">
        <v>1799</v>
      </c>
      <c r="AY206" s="16">
        <v>45422</v>
      </c>
      <c r="AZ206" s="15" t="s">
        <v>1829</v>
      </c>
      <c r="BA206" s="16">
        <v>45428</v>
      </c>
      <c r="BB206" s="17">
        <f t="shared" ref="BB206:BB217" si="118">BA206-AY206</f>
        <v>6</v>
      </c>
      <c r="BC206" s="12"/>
      <c r="BD206" s="15"/>
      <c r="BE206" s="18"/>
      <c r="BF206" s="12"/>
      <c r="BG206" s="19" t="str">
        <f t="shared" ref="BG206:BG217" si="119">TEXT(BA206,"MMMM")</f>
        <v>mayo</v>
      </c>
      <c r="BH206" s="12" t="str">
        <f t="shared" ref="BH206:BH217" si="120">B206</f>
        <v>Corporación Ciudad Alfaro</v>
      </c>
      <c r="BI206" s="20" t="str">
        <f t="shared" ref="BI206:BI217" si="121">E206</f>
        <v>N/A</v>
      </c>
    </row>
    <row r="207" spans="1:61" ht="24.95" customHeight="1">
      <c r="A207" s="8">
        <v>489</v>
      </c>
      <c r="B207" s="12" t="str">
        <f>VLOOKUP($A207,'Matriz POA 2024-TRABAJO'!$A$5:$CD$9142,11,FALSE)</f>
        <v>Corporación Ciudad Alfaro</v>
      </c>
      <c r="C207" s="12" t="str">
        <f>VLOOKUP($A207,'Matriz POA 2024-TRABAJO'!$A$5:$CD$9142,14,FALSE)</f>
        <v>N/A</v>
      </c>
      <c r="D207" s="12" t="str">
        <f>VLOOKUP($A207,'Matriz POA 2024-TRABAJO'!$A$5:$CD$9142,15,FALSE)</f>
        <v>N/A</v>
      </c>
      <c r="E207" s="12" t="str">
        <f>VLOOKUP($A207,'Matriz POA 2024-TRABAJO'!$A$5:$CD$9142,18,FALSE)</f>
        <v>N/A</v>
      </c>
      <c r="F207" s="12" t="str">
        <f>VLOOKUP($A207,'Matriz POA 2024-TRABAJO'!$A$5:$CD$9142,20,FALSE)</f>
        <v>N/A</v>
      </c>
      <c r="G207" s="12" t="str">
        <f>VLOOKUP($A207,'Matriz POA 2024-TRABAJO'!$A$5:$CD$9142,21,FALSE)</f>
        <v>N/A</v>
      </c>
      <c r="H207" s="12" t="str">
        <f>VLOOKUP($A207,'Matriz POA 2024-TRABAJO'!$A$5:$CD$9142,22,FALSE)</f>
        <v>N/A</v>
      </c>
      <c r="I207" s="12" t="str">
        <f>VLOOKUP($A207,'Matriz POA 2024-TRABAJO'!$A$5:$CD$9142,23,FALSE)</f>
        <v>NUEVA</v>
      </c>
      <c r="J207" s="12" t="str">
        <f>VLOOKUP($A207,'Matriz POA 2024-TRABAJO'!$A$5:$CD$9142,24,FALSE)</f>
        <v xml:space="preserve">Adquisición de materiales y suministros de conservación y restauración para la Corporación Ciudad Alfaro y sus sedes </v>
      </c>
      <c r="K207" s="12" t="str">
        <f>VLOOKUP($A207,'Matriz POA 2024-TRABAJO'!$A$5:$CD$9142,25,FALSE)</f>
        <v>0035</v>
      </c>
      <c r="L207" s="12" t="str">
        <f>VLOOKUP($A207,'Matriz POA 2024-TRABAJO'!$A$5:$CD$9142,26,FALSE)</f>
        <v>80</v>
      </c>
      <c r="M207" s="12" t="str">
        <f>VLOOKUP($A207,'Matriz POA 2024-TRABAJO'!$A$5:$CD$9142,27,FALSE)</f>
        <v>000</v>
      </c>
      <c r="N207" s="12" t="str">
        <f>VLOOKUP($A207,'Matriz POA 2024-TRABAJO'!$A$5:$CD$9142,28,FALSE)</f>
        <v>002</v>
      </c>
      <c r="O207" s="12" t="str">
        <f>VLOOKUP($A207,'Matriz POA 2024-TRABAJO'!$A$5:$CD$9142,29,FALSE)</f>
        <v>53</v>
      </c>
      <c r="P207" s="12">
        <f>VLOOKUP($A207,'Matriz POA 2024-TRABAJO'!$A$5:$CD$9142,30,FALSE)</f>
        <v>530811</v>
      </c>
      <c r="Q207" s="12">
        <f>VLOOKUP($A207,'Matriz POA 2024-TRABAJO'!$A$5:$CD$9142,32,FALSE)</f>
        <v>1309</v>
      </c>
      <c r="R207" s="12" t="str">
        <f>VLOOKUP($A207,'Matriz POA 2024-TRABAJO'!$A$5:$CD$9142,33,FALSE)</f>
        <v>001</v>
      </c>
      <c r="S207" s="12" t="str">
        <f>VLOOKUP($A207,'Matriz POA 2024-TRABAJO'!$A$5:$CD$9142,34,FALSE)</f>
        <v>0000</v>
      </c>
      <c r="T207" s="12" t="str">
        <f>VLOOKUP($A207,'Matriz POA 2024-TRABAJO'!$A$5:$CD$9142,35,FALSE)</f>
        <v>0000</v>
      </c>
      <c r="U207" s="62">
        <f>VLOOKUP($A207,'Matriz POA 2024-TRABAJO'!$A$5:$CD$9142,66,FALSE)</f>
        <v>3942.38</v>
      </c>
      <c r="V207" s="62">
        <f>VLOOKUP($A207,'Matriz POA 2024-TRABAJO'!$A$5:$CD$9142,67,FALSE)</f>
        <v>-3942.38</v>
      </c>
      <c r="W207" s="62">
        <f>VLOOKUP($A207,'Matriz POA 2024-TRABAJO'!$A$5:$CD$9142,68,FALSE)</f>
        <v>0</v>
      </c>
      <c r="X207" s="62" t="str">
        <f>VLOOKUP($A207,'Matriz POA 2024-TRABAJO'!$A$5:$CD$9142,72,FALSE)</f>
        <v/>
      </c>
      <c r="Y207" s="388">
        <f>VLOOKUP($A207,'Matriz POA 2024-TRABAJO'!$A$5:$CD$9142,45,FALSE)</f>
        <v>0</v>
      </c>
      <c r="Z207" s="388">
        <f>VLOOKUP($A207,'Matriz POA 2024-TRABAJO'!$A$5:$CD$9142,46,FALSE)</f>
        <v>0</v>
      </c>
      <c r="AA207" s="388">
        <f>VLOOKUP($A207,'Matriz POA 2024-TRABAJO'!$A$5:$CD$9142,47,FALSE)</f>
        <v>0</v>
      </c>
      <c r="AB207" s="389"/>
      <c r="AC207" s="389"/>
      <c r="AD207" s="13"/>
      <c r="AE207" s="13"/>
      <c r="AF207" s="13">
        <f t="shared" si="113"/>
        <v>0</v>
      </c>
      <c r="AG207" s="13">
        <f t="shared" si="114"/>
        <v>0</v>
      </c>
      <c r="AH207" s="13">
        <f t="shared" si="115"/>
        <v>0</v>
      </c>
      <c r="AI207" s="129"/>
      <c r="AJ207" s="129"/>
      <c r="AK207" s="129"/>
      <c r="AL207" s="129"/>
      <c r="AM207" s="129"/>
      <c r="AN207" s="129"/>
      <c r="AO207" s="129"/>
      <c r="AP207" s="129"/>
      <c r="AQ207" s="129"/>
      <c r="AR207" s="129"/>
      <c r="AS207" s="129"/>
      <c r="AT207" s="129"/>
      <c r="AU207" s="129">
        <f t="shared" si="116"/>
        <v>0</v>
      </c>
      <c r="AV207" s="13" t="b">
        <f t="shared" si="117"/>
        <v>1</v>
      </c>
      <c r="AW207" s="14" t="s">
        <v>1827</v>
      </c>
      <c r="AX207" s="15" t="s">
        <v>1799</v>
      </c>
      <c r="AY207" s="16">
        <v>45422</v>
      </c>
      <c r="AZ207" s="15" t="s">
        <v>1829</v>
      </c>
      <c r="BA207" s="16">
        <v>45428</v>
      </c>
      <c r="BB207" s="17">
        <f t="shared" si="118"/>
        <v>6</v>
      </c>
      <c r="BC207" s="12"/>
      <c r="BD207" s="15"/>
      <c r="BE207" s="18"/>
      <c r="BF207" s="12"/>
      <c r="BG207" s="19" t="str">
        <f t="shared" si="119"/>
        <v>mayo</v>
      </c>
      <c r="BH207" s="12" t="str">
        <f t="shared" si="120"/>
        <v>Corporación Ciudad Alfaro</v>
      </c>
      <c r="BI207" s="20" t="str">
        <f t="shared" si="121"/>
        <v>N/A</v>
      </c>
    </row>
    <row r="208" spans="1:61" ht="24.95" customHeight="1">
      <c r="A208" s="8">
        <v>492</v>
      </c>
      <c r="B208" s="12" t="str">
        <f>VLOOKUP($A208,'Matriz POA 2024-TRABAJO'!$A$5:$CD$9142,11,FALSE)</f>
        <v>Corporación Ciudad Alfaro</v>
      </c>
      <c r="C208" s="12" t="str">
        <f>VLOOKUP($A208,'Matriz POA 2024-TRABAJO'!$A$5:$CD$9142,14,FALSE)</f>
        <v>N/A</v>
      </c>
      <c r="D208" s="12" t="str">
        <f>VLOOKUP($A208,'Matriz POA 2024-TRABAJO'!$A$5:$CD$9142,15,FALSE)</f>
        <v>N/A</v>
      </c>
      <c r="E208" s="12" t="str">
        <f>VLOOKUP($A208,'Matriz POA 2024-TRABAJO'!$A$5:$CD$9142,18,FALSE)</f>
        <v>N/A</v>
      </c>
      <c r="F208" s="12" t="str">
        <f>VLOOKUP($A208,'Matriz POA 2024-TRABAJO'!$A$5:$CD$9142,20,FALSE)</f>
        <v>N/A</v>
      </c>
      <c r="G208" s="12" t="str">
        <f>VLOOKUP($A208,'Matriz POA 2024-TRABAJO'!$A$5:$CD$9142,21,FALSE)</f>
        <v>N/A</v>
      </c>
      <c r="H208" s="12" t="str">
        <f>VLOOKUP($A208,'Matriz POA 2024-TRABAJO'!$A$5:$CD$9142,22,FALSE)</f>
        <v>N/A</v>
      </c>
      <c r="I208" s="12" t="str">
        <f>VLOOKUP($A208,'Matriz POA 2024-TRABAJO'!$A$5:$CD$9142,23,FALSE)</f>
        <v>NUEVA</v>
      </c>
      <c r="J208" s="12" t="str">
        <f>VLOOKUP($A208,'Matriz POA 2024-TRABAJO'!$A$5:$CD$9142,24,FALSE)</f>
        <v>Eventos enmarcados en el rescate y la recuperación de los saberes ancestrales, difusión y fortalecimiento de la memoria social y cultural de la Corporación Ciudad Alfaro y sus sedes en Portoviejo, Manta y Bahía de Caráquez</v>
      </c>
      <c r="K208" s="12" t="str">
        <f>VLOOKUP($A208,'Matriz POA 2024-TRABAJO'!$A$5:$CD$9142,25,FALSE)</f>
        <v>0035</v>
      </c>
      <c r="L208" s="12" t="str">
        <f>VLOOKUP($A208,'Matriz POA 2024-TRABAJO'!$A$5:$CD$9142,26,FALSE)</f>
        <v>80</v>
      </c>
      <c r="M208" s="12" t="str">
        <f>VLOOKUP($A208,'Matriz POA 2024-TRABAJO'!$A$5:$CD$9142,27,FALSE)</f>
        <v>000</v>
      </c>
      <c r="N208" s="12" t="str">
        <f>VLOOKUP($A208,'Matriz POA 2024-TRABAJO'!$A$5:$CD$9142,28,FALSE)</f>
        <v>002</v>
      </c>
      <c r="O208" s="12" t="str">
        <f>VLOOKUP($A208,'Matriz POA 2024-TRABAJO'!$A$5:$CD$9142,29,FALSE)</f>
        <v>53</v>
      </c>
      <c r="P208" s="12">
        <f>VLOOKUP($A208,'Matriz POA 2024-TRABAJO'!$A$5:$CD$9142,30,FALSE)</f>
        <v>530205</v>
      </c>
      <c r="Q208" s="12">
        <f>VLOOKUP($A208,'Matriz POA 2024-TRABAJO'!$A$5:$CD$9142,32,FALSE)</f>
        <v>1309</v>
      </c>
      <c r="R208" s="12" t="str">
        <f>VLOOKUP($A208,'Matriz POA 2024-TRABAJO'!$A$5:$CD$9142,33,FALSE)</f>
        <v>002</v>
      </c>
      <c r="S208" s="12" t="str">
        <f>VLOOKUP($A208,'Matriz POA 2024-TRABAJO'!$A$5:$CD$9142,34,FALSE)</f>
        <v>0000</v>
      </c>
      <c r="T208" s="12" t="str">
        <f>VLOOKUP($A208,'Matriz POA 2024-TRABAJO'!$A$5:$CD$9142,35,FALSE)</f>
        <v>0000</v>
      </c>
      <c r="U208" s="62" t="str">
        <f>VLOOKUP($A208,'Matriz POA 2024-TRABAJO'!$A$5:$CD$9142,66,FALSE)</f>
        <v/>
      </c>
      <c r="V208" s="62" t="str">
        <f>VLOOKUP($A208,'Matriz POA 2024-TRABAJO'!$A$5:$CD$9142,67,FALSE)</f>
        <v/>
      </c>
      <c r="W208" s="62" t="str">
        <f>VLOOKUP($A208,'Matriz POA 2024-TRABAJO'!$A$5:$CD$9142,68,FALSE)</f>
        <v/>
      </c>
      <c r="X208" s="62" t="str">
        <f>VLOOKUP($A208,'Matriz POA 2024-TRABAJO'!$A$5:$CD$9142,72,FALSE)</f>
        <v/>
      </c>
      <c r="Y208" s="388">
        <f>VLOOKUP($A208,'Matriz POA 2024-TRABAJO'!$A$5:$CD$9142,45,FALSE)</f>
        <v>227.69999999999982</v>
      </c>
      <c r="Z208" s="388">
        <f>VLOOKUP($A208,'Matriz POA 2024-TRABAJO'!$A$5:$CD$9142,46,FALSE)</f>
        <v>0</v>
      </c>
      <c r="AA208" s="388">
        <f>VLOOKUP($A208,'Matriz POA 2024-TRABAJO'!$A$5:$CD$9142,47,FALSE)</f>
        <v>227.69999999999982</v>
      </c>
      <c r="AB208" s="389"/>
      <c r="AC208" s="389"/>
      <c r="AD208" s="13"/>
      <c r="AE208" s="13"/>
      <c r="AF208" s="13">
        <f t="shared" si="113"/>
        <v>227.69999999999982</v>
      </c>
      <c r="AG208" s="13">
        <f t="shared" si="114"/>
        <v>0</v>
      </c>
      <c r="AH208" s="13">
        <f t="shared" si="115"/>
        <v>227.69999999999982</v>
      </c>
      <c r="AI208" s="129"/>
      <c r="AJ208" s="129"/>
      <c r="AK208" s="129"/>
      <c r="AL208" s="129"/>
      <c r="AM208" s="129"/>
      <c r="AN208" s="129"/>
      <c r="AO208" s="129"/>
      <c r="AP208" s="129"/>
      <c r="AQ208" s="129"/>
      <c r="AR208" s="129"/>
      <c r="AS208" s="129"/>
      <c r="AT208" s="129"/>
      <c r="AU208" s="129">
        <f t="shared" si="116"/>
        <v>0</v>
      </c>
      <c r="AV208" s="13" t="b">
        <f t="shared" si="117"/>
        <v>0</v>
      </c>
      <c r="AW208" s="14" t="s">
        <v>1827</v>
      </c>
      <c r="AX208" s="15" t="s">
        <v>1799</v>
      </c>
      <c r="AY208" s="16">
        <v>45422</v>
      </c>
      <c r="AZ208" s="15" t="s">
        <v>1829</v>
      </c>
      <c r="BA208" s="16">
        <v>45428</v>
      </c>
      <c r="BB208" s="17">
        <f t="shared" si="118"/>
        <v>6</v>
      </c>
      <c r="BC208" s="12"/>
      <c r="BD208" s="15"/>
      <c r="BE208" s="18"/>
      <c r="BF208" s="12"/>
      <c r="BG208" s="19" t="str">
        <f t="shared" si="119"/>
        <v>mayo</v>
      </c>
      <c r="BH208" s="12" t="str">
        <f t="shared" si="120"/>
        <v>Corporación Ciudad Alfaro</v>
      </c>
      <c r="BI208" s="20" t="str">
        <f t="shared" si="121"/>
        <v>N/A</v>
      </c>
    </row>
    <row r="209" spans="1:61" ht="24.95" customHeight="1">
      <c r="A209" s="8">
        <v>819</v>
      </c>
      <c r="B209" s="12" t="str">
        <f>VLOOKUP($A209,'Matriz POA 2024-TRABAJO'!$A$5:$CD$9142,11,FALSE)</f>
        <v>Corporación Ciudad Alfaro</v>
      </c>
      <c r="C209" s="12" t="str">
        <f>VLOOKUP($A209,'Matriz POA 2024-TRABAJO'!$A$5:$CD$9142,14,FALSE)</f>
        <v>N/A</v>
      </c>
      <c r="D209" s="12" t="str">
        <f>VLOOKUP($A209,'Matriz POA 2024-TRABAJO'!$A$5:$CD$9142,15,FALSE)</f>
        <v>N/A</v>
      </c>
      <c r="E209" s="12" t="str">
        <f>VLOOKUP($A209,'Matriz POA 2024-TRABAJO'!$A$5:$CD$9142,18,FALSE)</f>
        <v>N/A</v>
      </c>
      <c r="F209" s="12" t="str">
        <f>VLOOKUP($A209,'Matriz POA 2024-TRABAJO'!$A$5:$CD$9142,20,FALSE)</f>
        <v>N/A</v>
      </c>
      <c r="G209" s="12" t="str">
        <f>VLOOKUP($A209,'Matriz POA 2024-TRABAJO'!$A$5:$CD$9142,21,FALSE)</f>
        <v>N/A</v>
      </c>
      <c r="H209" s="12" t="str">
        <f>VLOOKUP($A209,'Matriz POA 2024-TRABAJO'!$A$5:$CD$9142,22,FALSE)</f>
        <v>N/A</v>
      </c>
      <c r="I209" s="12" t="str">
        <f>VLOOKUP($A209,'Matriz POA 2024-TRABAJO'!$A$5:$CD$9142,23,FALSE)</f>
        <v>NUEVA</v>
      </c>
      <c r="J209" s="12" t="str">
        <f>VLOOKUP($A209,'Matriz POA 2024-TRABAJO'!$A$5:$CD$9142,24,FALSE)</f>
        <v>Contratación del servicio de mantenimiento correctivo de los tableros de distribución eléctrica TDE de los equipos de climatización en el museo centro cultural manta</v>
      </c>
      <c r="K209" s="12" t="str">
        <f>VLOOKUP($A209,'Matriz POA 2024-TRABAJO'!$A$5:$CD$9142,25,FALSE)</f>
        <v>0035</v>
      </c>
      <c r="L209" s="12" t="str">
        <f>VLOOKUP($A209,'Matriz POA 2024-TRABAJO'!$A$5:$CD$9142,26,FALSE)</f>
        <v>80</v>
      </c>
      <c r="M209" s="12" t="str">
        <f>VLOOKUP($A209,'Matriz POA 2024-TRABAJO'!$A$5:$CD$9142,27,FALSE)</f>
        <v>000</v>
      </c>
      <c r="N209" s="12" t="str">
        <f>VLOOKUP($A209,'Matriz POA 2024-TRABAJO'!$A$5:$CD$9142,28,FALSE)</f>
        <v>002</v>
      </c>
      <c r="O209" s="12" t="str">
        <f>VLOOKUP($A209,'Matriz POA 2024-TRABAJO'!$A$5:$CD$9142,29,FALSE)</f>
        <v>53</v>
      </c>
      <c r="P209" s="12">
        <f>VLOOKUP($A209,'Matriz POA 2024-TRABAJO'!$A$5:$CD$9142,30,FALSE)</f>
        <v>530402</v>
      </c>
      <c r="Q209" s="12">
        <f>VLOOKUP($A209,'Matriz POA 2024-TRABAJO'!$A$5:$CD$9142,32,FALSE)</f>
        <v>1308</v>
      </c>
      <c r="R209" s="12" t="str">
        <f>VLOOKUP($A209,'Matriz POA 2024-TRABAJO'!$A$5:$CD$9142,33,FALSE)</f>
        <v>001</v>
      </c>
      <c r="S209" s="12" t="str">
        <f>VLOOKUP($A209,'Matriz POA 2024-TRABAJO'!$A$5:$CD$9142,34,FALSE)</f>
        <v>0000</v>
      </c>
      <c r="T209" s="12" t="str">
        <f>VLOOKUP($A209,'Matriz POA 2024-TRABAJO'!$A$5:$CD$9142,35,FALSE)</f>
        <v>0000</v>
      </c>
      <c r="U209" s="62">
        <f>VLOOKUP($A209,'Matriz POA 2024-TRABAJO'!$A$5:$CD$9142,66,FALSE)</f>
        <v>5000</v>
      </c>
      <c r="V209" s="62">
        <f>VLOOKUP($A209,'Matriz POA 2024-TRABAJO'!$A$5:$CD$9142,67,FALSE)</f>
        <v>-170</v>
      </c>
      <c r="W209" s="62">
        <f>VLOOKUP($A209,'Matriz POA 2024-TRABAJO'!$A$5:$CD$9142,68,FALSE)</f>
        <v>0</v>
      </c>
      <c r="X209" s="62">
        <f>VLOOKUP($A209,'Matriz POA 2024-TRABAJO'!$A$5:$CD$9142,72,FALSE)</f>
        <v>4830</v>
      </c>
      <c r="Y209" s="388">
        <f>VLOOKUP($A209,'Matriz POA 2024-TRABAJO'!$A$5:$CD$9142,45,FALSE)</f>
        <v>4830</v>
      </c>
      <c r="Z209" s="388">
        <f>VLOOKUP($A209,'Matriz POA 2024-TRABAJO'!$A$5:$CD$9142,46,FALSE)</f>
        <v>0</v>
      </c>
      <c r="AA209" s="388">
        <f>VLOOKUP($A209,'Matriz POA 2024-TRABAJO'!$A$5:$CD$9142,47,FALSE)</f>
        <v>4830</v>
      </c>
      <c r="AB209" s="389"/>
      <c r="AC209" s="389"/>
      <c r="AD209" s="13"/>
      <c r="AE209" s="13"/>
      <c r="AF209" s="13">
        <f t="shared" si="113"/>
        <v>4830</v>
      </c>
      <c r="AG209" s="13">
        <f t="shared" si="114"/>
        <v>0</v>
      </c>
      <c r="AH209" s="13">
        <f t="shared" si="115"/>
        <v>4830</v>
      </c>
      <c r="AI209" s="129"/>
      <c r="AJ209" s="129"/>
      <c r="AK209" s="129"/>
      <c r="AL209" s="129"/>
      <c r="AM209" s="129"/>
      <c r="AN209" s="129"/>
      <c r="AO209" s="129"/>
      <c r="AP209" s="129"/>
      <c r="AQ209" s="129"/>
      <c r="AR209" s="129"/>
      <c r="AS209" s="129"/>
      <c r="AT209" s="129"/>
      <c r="AU209" s="129">
        <f t="shared" si="116"/>
        <v>0</v>
      </c>
      <c r="AV209" s="13" t="b">
        <f t="shared" si="117"/>
        <v>0</v>
      </c>
      <c r="AW209" s="14" t="s">
        <v>1827</v>
      </c>
      <c r="AX209" s="15" t="s">
        <v>1799</v>
      </c>
      <c r="AY209" s="16">
        <v>45422</v>
      </c>
      <c r="AZ209" s="15" t="s">
        <v>1829</v>
      </c>
      <c r="BA209" s="16">
        <v>45428</v>
      </c>
      <c r="BB209" s="17">
        <f t="shared" si="118"/>
        <v>6</v>
      </c>
      <c r="BC209" s="12"/>
      <c r="BD209" s="15"/>
      <c r="BE209" s="18"/>
      <c r="BF209" s="12"/>
      <c r="BG209" s="19" t="str">
        <f t="shared" si="119"/>
        <v>mayo</v>
      </c>
      <c r="BH209" s="12" t="str">
        <f t="shared" si="120"/>
        <v>Corporación Ciudad Alfaro</v>
      </c>
      <c r="BI209" s="20" t="str">
        <f t="shared" si="121"/>
        <v>N/A</v>
      </c>
    </row>
    <row r="210" spans="1:61" ht="24.95" customHeight="1">
      <c r="A210" s="8">
        <v>459</v>
      </c>
      <c r="B210" s="12" t="str">
        <f>VLOOKUP($A210,'Matriz POA 2024-TRABAJO'!$A$5:$CD$9142,11,FALSE)</f>
        <v>Corporación Ciudad Alfaro</v>
      </c>
      <c r="C210" s="12" t="str">
        <f>VLOOKUP($A210,'Matriz POA 2024-TRABAJO'!$A$5:$CD$9142,14,FALSE)</f>
        <v>N/A</v>
      </c>
      <c r="D210" s="12" t="str">
        <f>VLOOKUP($A210,'Matriz POA 2024-TRABAJO'!$A$5:$CD$9142,15,FALSE)</f>
        <v>N/A</v>
      </c>
      <c r="E210" s="12" t="str">
        <f>VLOOKUP($A210,'Matriz POA 2024-TRABAJO'!$A$5:$CD$9142,18,FALSE)</f>
        <v>N/A</v>
      </c>
      <c r="F210" s="12" t="str">
        <f>VLOOKUP($A210,'Matriz POA 2024-TRABAJO'!$A$5:$CD$9142,20,FALSE)</f>
        <v>N/A</v>
      </c>
      <c r="G210" s="12" t="str">
        <f>VLOOKUP($A210,'Matriz POA 2024-TRABAJO'!$A$5:$CD$9142,21,FALSE)</f>
        <v>N/A</v>
      </c>
      <c r="H210" s="12" t="str">
        <f>VLOOKUP($A210,'Matriz POA 2024-TRABAJO'!$A$5:$CD$9142,22,FALSE)</f>
        <v>N/A</v>
      </c>
      <c r="I210" s="12" t="str">
        <f>VLOOKUP($A210,'Matriz POA 2024-TRABAJO'!$A$5:$CD$9142,23,FALSE)</f>
        <v>NUEVA</v>
      </c>
      <c r="J210" s="12" t="str">
        <f>VLOOKUP($A210,'Matriz POA 2024-TRABAJO'!$A$5:$CD$9142,24,FALSE)</f>
        <v>Contratación del servicio de rastreo satelital para los vehículos de la Corporación Ciudad Alfaro</v>
      </c>
      <c r="K210" s="12" t="str">
        <f>VLOOKUP($A210,'Matriz POA 2024-TRABAJO'!$A$5:$CD$9142,25,FALSE)</f>
        <v>0035</v>
      </c>
      <c r="L210" s="12" t="str">
        <f>VLOOKUP($A210,'Matriz POA 2024-TRABAJO'!$A$5:$CD$9142,26,FALSE)</f>
        <v>80</v>
      </c>
      <c r="M210" s="12" t="str">
        <f>VLOOKUP($A210,'Matriz POA 2024-TRABAJO'!$A$5:$CD$9142,27,FALSE)</f>
        <v>000</v>
      </c>
      <c r="N210" s="12" t="str">
        <f>VLOOKUP($A210,'Matriz POA 2024-TRABAJO'!$A$5:$CD$9142,28,FALSE)</f>
        <v>002</v>
      </c>
      <c r="O210" s="12" t="str">
        <f>VLOOKUP($A210,'Matriz POA 2024-TRABAJO'!$A$5:$CD$9142,29,FALSE)</f>
        <v>53</v>
      </c>
      <c r="P210" s="12">
        <f>VLOOKUP($A210,'Matriz POA 2024-TRABAJO'!$A$5:$CD$9142,30,FALSE)</f>
        <v>530105</v>
      </c>
      <c r="Q210" s="12">
        <f>VLOOKUP($A210,'Matriz POA 2024-TRABAJO'!$A$5:$CD$9142,32,FALSE)</f>
        <v>1309</v>
      </c>
      <c r="R210" s="12" t="str">
        <f>VLOOKUP($A210,'Matriz POA 2024-TRABAJO'!$A$5:$CD$9142,33,FALSE)</f>
        <v>001</v>
      </c>
      <c r="S210" s="12" t="str">
        <f>VLOOKUP($A210,'Matriz POA 2024-TRABAJO'!$A$5:$CD$9142,34,FALSE)</f>
        <v>0000</v>
      </c>
      <c r="T210" s="12" t="str">
        <f>VLOOKUP($A210,'Matriz POA 2024-TRABAJO'!$A$5:$CD$9142,35,FALSE)</f>
        <v>0000</v>
      </c>
      <c r="U210" s="62">
        <f>VLOOKUP($A210,'Matriz POA 2024-TRABAJO'!$A$5:$CD$9142,66,FALSE)</f>
        <v>1200</v>
      </c>
      <c r="V210" s="62">
        <f>VLOOKUP($A210,'Matriz POA 2024-TRABAJO'!$A$5:$CD$9142,67,FALSE)</f>
        <v>-480</v>
      </c>
      <c r="W210" s="62">
        <f>VLOOKUP($A210,'Matriz POA 2024-TRABAJO'!$A$5:$CD$9142,68,FALSE)</f>
        <v>0</v>
      </c>
      <c r="X210" s="62">
        <f>VLOOKUP($A210,'Matriz POA 2024-TRABAJO'!$A$5:$CD$9142,72,FALSE)</f>
        <v>720</v>
      </c>
      <c r="Y210" s="388">
        <f>VLOOKUP($A210,'Matriz POA 2024-TRABAJO'!$A$5:$CD$9142,45,FALSE)</f>
        <v>720</v>
      </c>
      <c r="Z210" s="388">
        <f>VLOOKUP($A210,'Matriz POA 2024-TRABAJO'!$A$5:$CD$9142,46,FALSE)</f>
        <v>0</v>
      </c>
      <c r="AA210" s="388">
        <f>VLOOKUP($A210,'Matriz POA 2024-TRABAJO'!$A$5:$CD$9142,47,FALSE)</f>
        <v>720</v>
      </c>
      <c r="AB210" s="389"/>
      <c r="AC210" s="389"/>
      <c r="AD210" s="13"/>
      <c r="AE210" s="13"/>
      <c r="AF210" s="13">
        <f t="shared" si="113"/>
        <v>720</v>
      </c>
      <c r="AG210" s="13">
        <f t="shared" si="114"/>
        <v>0</v>
      </c>
      <c r="AH210" s="13">
        <f t="shared" si="115"/>
        <v>720</v>
      </c>
      <c r="AI210" s="129"/>
      <c r="AJ210" s="129"/>
      <c r="AK210" s="129"/>
      <c r="AL210" s="129"/>
      <c r="AM210" s="129"/>
      <c r="AN210" s="129"/>
      <c r="AO210" s="129"/>
      <c r="AP210" s="129"/>
      <c r="AQ210" s="129"/>
      <c r="AR210" s="129"/>
      <c r="AS210" s="129"/>
      <c r="AT210" s="129"/>
      <c r="AU210" s="129">
        <f t="shared" si="116"/>
        <v>0</v>
      </c>
      <c r="AV210" s="13" t="b">
        <f t="shared" si="117"/>
        <v>0</v>
      </c>
      <c r="AW210" s="14" t="s">
        <v>1827</v>
      </c>
      <c r="AX210" s="15" t="s">
        <v>1799</v>
      </c>
      <c r="AY210" s="16">
        <v>45422</v>
      </c>
      <c r="AZ210" s="15" t="s">
        <v>1829</v>
      </c>
      <c r="BA210" s="16">
        <v>45428</v>
      </c>
      <c r="BB210" s="17">
        <f t="shared" si="118"/>
        <v>6</v>
      </c>
      <c r="BC210" s="12"/>
      <c r="BD210" s="15"/>
      <c r="BE210" s="18"/>
      <c r="BF210" s="12"/>
      <c r="BG210" s="19" t="str">
        <f t="shared" si="119"/>
        <v>mayo</v>
      </c>
      <c r="BH210" s="12" t="str">
        <f t="shared" si="120"/>
        <v>Corporación Ciudad Alfaro</v>
      </c>
      <c r="BI210" s="20" t="str">
        <f t="shared" si="121"/>
        <v>N/A</v>
      </c>
    </row>
    <row r="211" spans="1:61" ht="24.95" customHeight="1">
      <c r="A211" s="8">
        <v>480</v>
      </c>
      <c r="B211" s="12" t="str">
        <f>VLOOKUP($A211,'Matriz POA 2024-TRABAJO'!$A$5:$CD$9142,11,FALSE)</f>
        <v>Corporación Ciudad Alfaro</v>
      </c>
      <c r="C211" s="12" t="str">
        <f>VLOOKUP($A211,'Matriz POA 2024-TRABAJO'!$A$5:$CD$9142,14,FALSE)</f>
        <v>N/A</v>
      </c>
      <c r="D211" s="12" t="str">
        <f>VLOOKUP($A211,'Matriz POA 2024-TRABAJO'!$A$5:$CD$9142,15,FALSE)</f>
        <v>N/A</v>
      </c>
      <c r="E211" s="12" t="str">
        <f>VLOOKUP($A211,'Matriz POA 2024-TRABAJO'!$A$5:$CD$9142,18,FALSE)</f>
        <v>N/A</v>
      </c>
      <c r="F211" s="12" t="str">
        <f>VLOOKUP($A211,'Matriz POA 2024-TRABAJO'!$A$5:$CD$9142,20,FALSE)</f>
        <v>N/A</v>
      </c>
      <c r="G211" s="12" t="str">
        <f>VLOOKUP($A211,'Matriz POA 2024-TRABAJO'!$A$5:$CD$9142,21,FALSE)</f>
        <v>N/A</v>
      </c>
      <c r="H211" s="12" t="str">
        <f>VLOOKUP($A211,'Matriz POA 2024-TRABAJO'!$A$5:$CD$9142,22,FALSE)</f>
        <v>N/A</v>
      </c>
      <c r="I211" s="12" t="str">
        <f>VLOOKUP($A211,'Matriz POA 2024-TRABAJO'!$A$5:$CD$9142,23,FALSE)</f>
        <v>NUEVA</v>
      </c>
      <c r="J211" s="12" t="str">
        <f>VLOOKUP($A211,'Matriz POA 2024-TRABAJO'!$A$5:$CD$9142,24,FALSE)</f>
        <v>Adquisición  de suministros y materiales de oficina para la corporación ciudad alfaro y sus sedes</v>
      </c>
      <c r="K211" s="12" t="str">
        <f>VLOOKUP($A211,'Matriz POA 2024-TRABAJO'!$A$5:$CD$9142,25,FALSE)</f>
        <v>0035</v>
      </c>
      <c r="L211" s="12" t="str">
        <f>VLOOKUP($A211,'Matriz POA 2024-TRABAJO'!$A$5:$CD$9142,26,FALSE)</f>
        <v>80</v>
      </c>
      <c r="M211" s="12" t="str">
        <f>VLOOKUP($A211,'Matriz POA 2024-TRABAJO'!$A$5:$CD$9142,27,FALSE)</f>
        <v>000</v>
      </c>
      <c r="N211" s="12" t="str">
        <f>VLOOKUP($A211,'Matriz POA 2024-TRABAJO'!$A$5:$CD$9142,28,FALSE)</f>
        <v>002</v>
      </c>
      <c r="O211" s="12" t="str">
        <f>VLOOKUP($A211,'Matriz POA 2024-TRABAJO'!$A$5:$CD$9142,29,FALSE)</f>
        <v>53</v>
      </c>
      <c r="P211" s="12">
        <f>VLOOKUP($A211,'Matriz POA 2024-TRABAJO'!$A$5:$CD$9142,30,FALSE)</f>
        <v>530804</v>
      </c>
      <c r="Q211" s="12">
        <f>VLOOKUP($A211,'Matriz POA 2024-TRABAJO'!$A$5:$CD$9142,32,FALSE)</f>
        <v>1309</v>
      </c>
      <c r="R211" s="12" t="str">
        <f>VLOOKUP($A211,'Matriz POA 2024-TRABAJO'!$A$5:$CD$9142,33,FALSE)</f>
        <v>001</v>
      </c>
      <c r="S211" s="12" t="str">
        <f>VLOOKUP($A211,'Matriz POA 2024-TRABAJO'!$A$5:$CD$9142,34,FALSE)</f>
        <v>0000</v>
      </c>
      <c r="T211" s="12" t="str">
        <f>VLOOKUP($A211,'Matriz POA 2024-TRABAJO'!$A$5:$CD$9142,35,FALSE)</f>
        <v>0000</v>
      </c>
      <c r="U211" s="62">
        <f>VLOOKUP($A211,'Matriz POA 2024-TRABAJO'!$A$5:$CD$9142,66,FALSE)</f>
        <v>8000</v>
      </c>
      <c r="V211" s="62">
        <f>VLOOKUP($A211,'Matriz POA 2024-TRABAJO'!$A$5:$CD$9142,67,FALSE)</f>
        <v>-4000</v>
      </c>
      <c r="W211" s="62">
        <f>VLOOKUP($A211,'Matriz POA 2024-TRABAJO'!$A$5:$CD$9142,68,FALSE)</f>
        <v>4000</v>
      </c>
      <c r="X211" s="62">
        <f>VLOOKUP($A211,'Matriz POA 2024-TRABAJO'!$A$5:$CD$9142,72,FALSE)</f>
        <v>737.4</v>
      </c>
      <c r="Y211" s="388">
        <f>VLOOKUP($A211,'Matriz POA 2024-TRABAJO'!$A$5:$CD$9142,45,FALSE)</f>
        <v>4000</v>
      </c>
      <c r="Z211" s="388">
        <f>VLOOKUP($A211,'Matriz POA 2024-TRABAJO'!$A$5:$CD$9142,46,FALSE)</f>
        <v>0</v>
      </c>
      <c r="AA211" s="388">
        <f>VLOOKUP($A211,'Matriz POA 2024-TRABAJO'!$A$5:$CD$9142,47,FALSE)</f>
        <v>4000</v>
      </c>
      <c r="AB211" s="389"/>
      <c r="AC211" s="389"/>
      <c r="AD211" s="13"/>
      <c r="AE211" s="13"/>
      <c r="AF211" s="13">
        <f t="shared" si="113"/>
        <v>4000</v>
      </c>
      <c r="AG211" s="13">
        <f t="shared" si="114"/>
        <v>0</v>
      </c>
      <c r="AH211" s="13">
        <f t="shared" si="115"/>
        <v>4000</v>
      </c>
      <c r="AI211" s="129"/>
      <c r="AJ211" s="129"/>
      <c r="AK211" s="129"/>
      <c r="AL211" s="129"/>
      <c r="AM211" s="129"/>
      <c r="AN211" s="129"/>
      <c r="AO211" s="129"/>
      <c r="AP211" s="129"/>
      <c r="AQ211" s="129"/>
      <c r="AR211" s="129"/>
      <c r="AS211" s="129"/>
      <c r="AT211" s="129"/>
      <c r="AU211" s="129">
        <f t="shared" si="116"/>
        <v>0</v>
      </c>
      <c r="AV211" s="13" t="b">
        <f t="shared" si="117"/>
        <v>0</v>
      </c>
      <c r="AW211" s="14" t="s">
        <v>1827</v>
      </c>
      <c r="AX211" s="15" t="s">
        <v>1799</v>
      </c>
      <c r="AY211" s="16">
        <v>45422</v>
      </c>
      <c r="AZ211" s="15" t="s">
        <v>1829</v>
      </c>
      <c r="BA211" s="16">
        <v>45428</v>
      </c>
      <c r="BB211" s="17">
        <f t="shared" si="118"/>
        <v>6</v>
      </c>
      <c r="BC211" s="12"/>
      <c r="BD211" s="15"/>
      <c r="BE211" s="18"/>
      <c r="BF211" s="12"/>
      <c r="BG211" s="19" t="str">
        <f t="shared" si="119"/>
        <v>mayo</v>
      </c>
      <c r="BH211" s="12" t="str">
        <f t="shared" si="120"/>
        <v>Corporación Ciudad Alfaro</v>
      </c>
      <c r="BI211" s="20" t="str">
        <f t="shared" si="121"/>
        <v>N/A</v>
      </c>
    </row>
    <row r="212" spans="1:61" ht="24.95" customHeight="1">
      <c r="A212" s="8">
        <v>483</v>
      </c>
      <c r="B212" s="12" t="str">
        <f>VLOOKUP($A212,'Matriz POA 2024-TRABAJO'!$A$5:$CD$9142,11,FALSE)</f>
        <v>Corporación Ciudad Alfaro</v>
      </c>
      <c r="C212" s="12" t="str">
        <f>VLOOKUP($A212,'Matriz POA 2024-TRABAJO'!$A$5:$CD$9142,14,FALSE)</f>
        <v>N/A</v>
      </c>
      <c r="D212" s="12" t="str">
        <f>VLOOKUP($A212,'Matriz POA 2024-TRABAJO'!$A$5:$CD$9142,15,FALSE)</f>
        <v>N/A</v>
      </c>
      <c r="E212" s="12" t="str">
        <f>VLOOKUP($A212,'Matriz POA 2024-TRABAJO'!$A$5:$CD$9142,18,FALSE)</f>
        <v>N/A</v>
      </c>
      <c r="F212" s="12" t="str">
        <f>VLOOKUP($A212,'Matriz POA 2024-TRABAJO'!$A$5:$CD$9142,20,FALSE)</f>
        <v>N/A</v>
      </c>
      <c r="G212" s="12" t="str">
        <f>VLOOKUP($A212,'Matriz POA 2024-TRABAJO'!$A$5:$CD$9142,21,FALSE)</f>
        <v>N/A</v>
      </c>
      <c r="H212" s="12" t="str">
        <f>VLOOKUP($A212,'Matriz POA 2024-TRABAJO'!$A$5:$CD$9142,22,FALSE)</f>
        <v>N/A</v>
      </c>
      <c r="I212" s="12" t="str">
        <f>VLOOKUP($A212,'Matriz POA 2024-TRABAJO'!$A$5:$CD$9142,23,FALSE)</f>
        <v>NUEVA</v>
      </c>
      <c r="J212" s="12" t="str">
        <f>VLOOKUP($A212,'Matriz POA 2024-TRABAJO'!$A$5:$CD$9142,24,FALSE)</f>
        <v>Mantenimiento y reparación de las puertas enrollables de la corporación ciudad alfaro y sus sedes</v>
      </c>
      <c r="K212" s="12" t="str">
        <f>VLOOKUP($A212,'Matriz POA 2024-TRABAJO'!$A$5:$CD$9142,25,FALSE)</f>
        <v>0035</v>
      </c>
      <c r="L212" s="12" t="str">
        <f>VLOOKUP($A212,'Matriz POA 2024-TRABAJO'!$A$5:$CD$9142,26,FALSE)</f>
        <v>80</v>
      </c>
      <c r="M212" s="12" t="str">
        <f>VLOOKUP($A212,'Matriz POA 2024-TRABAJO'!$A$5:$CD$9142,27,FALSE)</f>
        <v>000</v>
      </c>
      <c r="N212" s="12" t="str">
        <f>VLOOKUP($A212,'Matriz POA 2024-TRABAJO'!$A$5:$CD$9142,28,FALSE)</f>
        <v>002</v>
      </c>
      <c r="O212" s="12" t="str">
        <f>VLOOKUP($A212,'Matriz POA 2024-TRABAJO'!$A$5:$CD$9142,29,FALSE)</f>
        <v>53</v>
      </c>
      <c r="P212" s="12">
        <f>VLOOKUP($A212,'Matriz POA 2024-TRABAJO'!$A$5:$CD$9142,30,FALSE)</f>
        <v>530403</v>
      </c>
      <c r="Q212" s="12">
        <f>VLOOKUP($A212,'Matriz POA 2024-TRABAJO'!$A$5:$CD$9142,32,FALSE)</f>
        <v>1309</v>
      </c>
      <c r="R212" s="12" t="str">
        <f>VLOOKUP($A212,'Matriz POA 2024-TRABAJO'!$A$5:$CD$9142,33,FALSE)</f>
        <v>001</v>
      </c>
      <c r="S212" s="12" t="str">
        <f>VLOOKUP($A212,'Matriz POA 2024-TRABAJO'!$A$5:$CD$9142,34,FALSE)</f>
        <v>0000</v>
      </c>
      <c r="T212" s="12" t="str">
        <f>VLOOKUP($A212,'Matriz POA 2024-TRABAJO'!$A$5:$CD$9142,35,FALSE)</f>
        <v>0000</v>
      </c>
      <c r="U212" s="62">
        <f>VLOOKUP($A212,'Matriz POA 2024-TRABAJO'!$A$5:$CD$9142,66,FALSE)</f>
        <v>8000</v>
      </c>
      <c r="V212" s="62">
        <f>VLOOKUP($A212,'Matriz POA 2024-TRABAJO'!$A$5:$CD$9142,67,FALSE)</f>
        <v>-8000</v>
      </c>
      <c r="W212" s="62">
        <f>VLOOKUP($A212,'Matriz POA 2024-TRABAJO'!$A$5:$CD$9142,68,FALSE)</f>
        <v>0</v>
      </c>
      <c r="X212" s="62" t="str">
        <f>VLOOKUP($A212,'Matriz POA 2024-TRABAJO'!$A$5:$CD$9142,72,FALSE)</f>
        <v/>
      </c>
      <c r="Y212" s="388">
        <f>VLOOKUP($A212,'Matriz POA 2024-TRABAJO'!$A$5:$CD$9142,45,FALSE)</f>
        <v>0</v>
      </c>
      <c r="Z212" s="388">
        <f>VLOOKUP($A212,'Matriz POA 2024-TRABAJO'!$A$5:$CD$9142,46,FALSE)</f>
        <v>0</v>
      </c>
      <c r="AA212" s="388">
        <f>VLOOKUP($A212,'Matriz POA 2024-TRABAJO'!$A$5:$CD$9142,47,FALSE)</f>
        <v>0</v>
      </c>
      <c r="AB212" s="389"/>
      <c r="AC212" s="389"/>
      <c r="AD212" s="13"/>
      <c r="AE212" s="13"/>
      <c r="AF212" s="13">
        <f t="shared" si="113"/>
        <v>0</v>
      </c>
      <c r="AG212" s="13">
        <f t="shared" si="114"/>
        <v>0</v>
      </c>
      <c r="AH212" s="13">
        <f t="shared" si="115"/>
        <v>0</v>
      </c>
      <c r="AI212" s="129"/>
      <c r="AJ212" s="129"/>
      <c r="AK212" s="129"/>
      <c r="AL212" s="129"/>
      <c r="AM212" s="129"/>
      <c r="AN212" s="129"/>
      <c r="AO212" s="129"/>
      <c r="AP212" s="129"/>
      <c r="AQ212" s="129"/>
      <c r="AR212" s="129"/>
      <c r="AS212" s="129"/>
      <c r="AT212" s="129"/>
      <c r="AU212" s="129">
        <f t="shared" si="116"/>
        <v>0</v>
      </c>
      <c r="AV212" s="13" t="b">
        <f t="shared" si="117"/>
        <v>1</v>
      </c>
      <c r="AW212" s="14" t="s">
        <v>1827</v>
      </c>
      <c r="AX212" s="15" t="s">
        <v>1799</v>
      </c>
      <c r="AY212" s="16">
        <v>45422</v>
      </c>
      <c r="AZ212" s="15" t="s">
        <v>1829</v>
      </c>
      <c r="BA212" s="16">
        <v>45428</v>
      </c>
      <c r="BB212" s="17">
        <f t="shared" si="118"/>
        <v>6</v>
      </c>
      <c r="BC212" s="12"/>
      <c r="BD212" s="15"/>
      <c r="BE212" s="18"/>
      <c r="BF212" s="12"/>
      <c r="BG212" s="19" t="str">
        <f t="shared" si="119"/>
        <v>mayo</v>
      </c>
      <c r="BH212" s="12" t="str">
        <f t="shared" si="120"/>
        <v>Corporación Ciudad Alfaro</v>
      </c>
      <c r="BI212" s="20" t="str">
        <f t="shared" si="121"/>
        <v>N/A</v>
      </c>
    </row>
    <row r="213" spans="1:61" ht="24.95" customHeight="1">
      <c r="A213" s="8">
        <v>829</v>
      </c>
      <c r="B213" s="12" t="str">
        <f>VLOOKUP($A213,'Matriz POA 2024-TRABAJO'!$A$5:$CD$9142,11,FALSE)</f>
        <v>Corporación Ciudad Alfaro</v>
      </c>
      <c r="C213" s="12" t="str">
        <f>VLOOKUP($A213,'Matriz POA 2024-TRABAJO'!$A$5:$CD$9142,14,FALSE)</f>
        <v>N/A</v>
      </c>
      <c r="D213" s="12" t="str">
        <f>VLOOKUP($A213,'Matriz POA 2024-TRABAJO'!$A$5:$CD$9142,15,FALSE)</f>
        <v>N/A</v>
      </c>
      <c r="E213" s="12" t="str">
        <f>VLOOKUP($A213,'Matriz POA 2024-TRABAJO'!$A$5:$CD$9142,18,FALSE)</f>
        <v>N/A</v>
      </c>
      <c r="F213" s="12" t="str">
        <f>VLOOKUP($A213,'Matriz POA 2024-TRABAJO'!$A$5:$CD$9142,20,FALSE)</f>
        <v>N/A</v>
      </c>
      <c r="G213" s="12" t="str">
        <f>VLOOKUP($A213,'Matriz POA 2024-TRABAJO'!$A$5:$CD$9142,21,FALSE)</f>
        <v>N/A</v>
      </c>
      <c r="H213" s="12" t="str">
        <f>VLOOKUP($A213,'Matriz POA 2024-TRABAJO'!$A$5:$CD$9142,22,FALSE)</f>
        <v>N/A</v>
      </c>
      <c r="I213" s="12" t="str">
        <f>VLOOKUP($A213,'Matriz POA 2024-TRABAJO'!$A$5:$CD$9142,23,FALSE)</f>
        <v>NUEVA</v>
      </c>
      <c r="J213" s="12" t="str">
        <f>VLOOKUP($A213,'Matriz POA 2024-TRABAJO'!$A$5:$CD$9142,24,FALSE)</f>
        <v>Pago del servicio de combustible para los vehículos de la Corporación Ciudad Alfaro de los meses, octubre, noviembre y diciembre del año 2023</v>
      </c>
      <c r="K213" s="12" t="str">
        <f>VLOOKUP($A213,'Matriz POA 2024-TRABAJO'!$A$5:$CD$9142,25,FALSE)</f>
        <v>0035</v>
      </c>
      <c r="L213" s="12" t="str">
        <f>VLOOKUP($A213,'Matriz POA 2024-TRABAJO'!$A$5:$CD$9142,26,FALSE)</f>
        <v>80</v>
      </c>
      <c r="M213" s="12" t="str">
        <f>VLOOKUP($A213,'Matriz POA 2024-TRABAJO'!$A$5:$CD$9142,27,FALSE)</f>
        <v>000</v>
      </c>
      <c r="N213" s="12" t="str">
        <f>VLOOKUP($A213,'Matriz POA 2024-TRABAJO'!$A$5:$CD$9142,28,FALSE)</f>
        <v>002</v>
      </c>
      <c r="O213" s="12" t="str">
        <f>VLOOKUP($A213,'Matriz POA 2024-TRABAJO'!$A$5:$CD$9142,29,FALSE)</f>
        <v>99</v>
      </c>
      <c r="P213" s="12">
        <f>VLOOKUP($A213,'Matriz POA 2024-TRABAJO'!$A$5:$CD$9142,30,FALSE)</f>
        <v>990102</v>
      </c>
      <c r="Q213" s="12">
        <f>VLOOKUP($A213,'Matriz POA 2024-TRABAJO'!$A$5:$CD$9142,32,FALSE)</f>
        <v>1309</v>
      </c>
      <c r="R213" s="12" t="str">
        <f>VLOOKUP($A213,'Matriz POA 2024-TRABAJO'!$A$5:$CD$9142,33,FALSE)</f>
        <v>001</v>
      </c>
      <c r="S213" s="12" t="str">
        <f>VLOOKUP($A213,'Matriz POA 2024-TRABAJO'!$A$5:$CD$9142,34,FALSE)</f>
        <v>0000</v>
      </c>
      <c r="T213" s="12" t="str">
        <f>VLOOKUP($A213,'Matriz POA 2024-TRABAJO'!$A$5:$CD$9142,35,FALSE)</f>
        <v>0000</v>
      </c>
      <c r="U213" s="62">
        <f>VLOOKUP($A213,'Matriz POA 2024-TRABAJO'!$A$5:$CD$9142,66,FALSE)</f>
        <v>1350</v>
      </c>
      <c r="V213" s="62">
        <f>VLOOKUP($A213,'Matriz POA 2024-TRABAJO'!$A$5:$CD$9142,67,FALSE)</f>
        <v>-1350</v>
      </c>
      <c r="W213" s="62">
        <f>VLOOKUP($A213,'Matriz POA 2024-TRABAJO'!$A$5:$CD$9142,68,FALSE)</f>
        <v>0</v>
      </c>
      <c r="X213" s="62" t="str">
        <f>VLOOKUP($A213,'Matriz POA 2024-TRABAJO'!$A$5:$CD$9142,72,FALSE)</f>
        <v/>
      </c>
      <c r="Y213" s="388">
        <f>VLOOKUP($A213,'Matriz POA 2024-TRABAJO'!$A$5:$CD$9142,45,FALSE)</f>
        <v>0</v>
      </c>
      <c r="Z213" s="388">
        <f>VLOOKUP($A213,'Matriz POA 2024-TRABAJO'!$A$5:$CD$9142,46,FALSE)</f>
        <v>0</v>
      </c>
      <c r="AA213" s="388">
        <f>VLOOKUP($A213,'Matriz POA 2024-TRABAJO'!$A$5:$CD$9142,47,FALSE)</f>
        <v>0</v>
      </c>
      <c r="AB213" s="389"/>
      <c r="AC213" s="389"/>
      <c r="AD213" s="13"/>
      <c r="AE213" s="13"/>
      <c r="AF213" s="13">
        <f t="shared" si="113"/>
        <v>0</v>
      </c>
      <c r="AG213" s="13">
        <f t="shared" si="114"/>
        <v>0</v>
      </c>
      <c r="AH213" s="13">
        <f t="shared" si="115"/>
        <v>0</v>
      </c>
      <c r="AI213" s="129"/>
      <c r="AJ213" s="129"/>
      <c r="AK213" s="129"/>
      <c r="AL213" s="129"/>
      <c r="AM213" s="129"/>
      <c r="AN213" s="129"/>
      <c r="AO213" s="129"/>
      <c r="AP213" s="129"/>
      <c r="AQ213" s="129"/>
      <c r="AR213" s="129"/>
      <c r="AS213" s="129"/>
      <c r="AT213" s="129"/>
      <c r="AU213" s="129">
        <f t="shared" si="116"/>
        <v>0</v>
      </c>
      <c r="AV213" s="13" t="b">
        <f t="shared" si="117"/>
        <v>1</v>
      </c>
      <c r="AW213" s="14" t="s">
        <v>1827</v>
      </c>
      <c r="AX213" s="15" t="s">
        <v>1799</v>
      </c>
      <c r="AY213" s="16">
        <v>45422</v>
      </c>
      <c r="AZ213" s="15" t="s">
        <v>1829</v>
      </c>
      <c r="BA213" s="16">
        <v>45428</v>
      </c>
      <c r="BB213" s="17">
        <f t="shared" si="118"/>
        <v>6</v>
      </c>
      <c r="BC213" s="12"/>
      <c r="BD213" s="15"/>
      <c r="BE213" s="18"/>
      <c r="BF213" s="12"/>
      <c r="BG213" s="19" t="str">
        <f t="shared" si="119"/>
        <v>mayo</v>
      </c>
      <c r="BH213" s="12" t="str">
        <f t="shared" si="120"/>
        <v>Corporación Ciudad Alfaro</v>
      </c>
      <c r="BI213" s="20" t="str">
        <f t="shared" si="121"/>
        <v>N/A</v>
      </c>
    </row>
    <row r="214" spans="1:61" ht="24.95" customHeight="1">
      <c r="A214" s="8">
        <v>479</v>
      </c>
      <c r="B214" s="12" t="str">
        <f>VLOOKUP($A214,'Matriz POA 2024-TRABAJO'!$A$5:$CD$9142,11,FALSE)</f>
        <v>Corporación Ciudad Alfaro</v>
      </c>
      <c r="C214" s="12" t="str">
        <f>VLOOKUP($A214,'Matriz POA 2024-TRABAJO'!$A$5:$CD$9142,14,FALSE)</f>
        <v>N/A</v>
      </c>
      <c r="D214" s="12" t="str">
        <f>VLOOKUP($A214,'Matriz POA 2024-TRABAJO'!$A$5:$CD$9142,15,FALSE)</f>
        <v>N/A</v>
      </c>
      <c r="E214" s="12" t="str">
        <f>VLOOKUP($A214,'Matriz POA 2024-TRABAJO'!$A$5:$CD$9142,18,FALSE)</f>
        <v>N/A</v>
      </c>
      <c r="F214" s="12" t="str">
        <f>VLOOKUP($A214,'Matriz POA 2024-TRABAJO'!$A$5:$CD$9142,20,FALSE)</f>
        <v>N/A</v>
      </c>
      <c r="G214" s="12" t="str">
        <f>VLOOKUP($A214,'Matriz POA 2024-TRABAJO'!$A$5:$CD$9142,21,FALSE)</f>
        <v>N/A</v>
      </c>
      <c r="H214" s="12" t="str">
        <f>VLOOKUP($A214,'Matriz POA 2024-TRABAJO'!$A$5:$CD$9142,22,FALSE)</f>
        <v>N/A</v>
      </c>
      <c r="I214" s="12" t="str">
        <f>VLOOKUP($A214,'Matriz POA 2024-TRABAJO'!$A$5:$CD$9142,23,FALSE)</f>
        <v>NUEVA</v>
      </c>
      <c r="J214" s="12" t="str">
        <f>VLOOKUP($A214,'Matriz POA 2024-TRABAJO'!$A$5:$CD$9142,24,FALSE)</f>
        <v>Mantenimiento, Reparación preventivo y correctivo de los vehículos de la corporación ciudad alfaro</v>
      </c>
      <c r="K214" s="12" t="str">
        <f>VLOOKUP($A214,'Matriz POA 2024-TRABAJO'!$A$5:$CD$9142,25,FALSE)</f>
        <v>0035</v>
      </c>
      <c r="L214" s="12" t="str">
        <f>VLOOKUP($A214,'Matriz POA 2024-TRABAJO'!$A$5:$CD$9142,26,FALSE)</f>
        <v>80</v>
      </c>
      <c r="M214" s="12" t="str">
        <f>VLOOKUP($A214,'Matriz POA 2024-TRABAJO'!$A$5:$CD$9142,27,FALSE)</f>
        <v>000</v>
      </c>
      <c r="N214" s="12" t="str">
        <f>VLOOKUP($A214,'Matriz POA 2024-TRABAJO'!$A$5:$CD$9142,28,FALSE)</f>
        <v>002</v>
      </c>
      <c r="O214" s="12" t="str">
        <f>VLOOKUP($A214,'Matriz POA 2024-TRABAJO'!$A$5:$CD$9142,29,FALSE)</f>
        <v>53</v>
      </c>
      <c r="P214" s="12">
        <f>VLOOKUP($A214,'Matriz POA 2024-TRABAJO'!$A$5:$CD$9142,30,FALSE)</f>
        <v>530405</v>
      </c>
      <c r="Q214" s="12">
        <f>VLOOKUP($A214,'Matriz POA 2024-TRABAJO'!$A$5:$CD$9142,32,FALSE)</f>
        <v>1309</v>
      </c>
      <c r="R214" s="12" t="str">
        <f>VLOOKUP($A214,'Matriz POA 2024-TRABAJO'!$A$5:$CD$9142,33,FALSE)</f>
        <v>001</v>
      </c>
      <c r="S214" s="12" t="str">
        <f>VLOOKUP($A214,'Matriz POA 2024-TRABAJO'!$A$5:$CD$9142,34,FALSE)</f>
        <v>0000</v>
      </c>
      <c r="T214" s="12" t="str">
        <f>VLOOKUP($A214,'Matriz POA 2024-TRABAJO'!$A$5:$CD$9142,35,FALSE)</f>
        <v>0000</v>
      </c>
      <c r="U214" s="62">
        <f>VLOOKUP($A214,'Matriz POA 2024-TRABAJO'!$A$5:$CD$9142,66,FALSE)</f>
        <v>14158.92</v>
      </c>
      <c r="V214" s="62">
        <f>VLOOKUP($A214,'Matriz POA 2024-TRABAJO'!$A$5:$CD$9142,67,FALSE)</f>
        <v>-7578.920000000001</v>
      </c>
      <c r="W214" s="62">
        <f>VLOOKUP($A214,'Matriz POA 2024-TRABAJO'!$A$5:$CD$9142,68,FALSE)</f>
        <v>0</v>
      </c>
      <c r="X214" s="62">
        <f>VLOOKUP($A214,'Matriz POA 2024-TRABAJO'!$A$5:$CD$9142,72,FALSE)</f>
        <v>6580</v>
      </c>
      <c r="Y214" s="388">
        <f>VLOOKUP($A214,'Matriz POA 2024-TRABAJO'!$A$5:$CD$9142,45,FALSE)</f>
        <v>6579.9999999999991</v>
      </c>
      <c r="Z214" s="388">
        <f>VLOOKUP($A214,'Matriz POA 2024-TRABAJO'!$A$5:$CD$9142,46,FALSE)</f>
        <v>0</v>
      </c>
      <c r="AA214" s="388">
        <f>VLOOKUP($A214,'Matriz POA 2024-TRABAJO'!$A$5:$CD$9142,47,FALSE)</f>
        <v>6579.9999999999991</v>
      </c>
      <c r="AB214" s="389"/>
      <c r="AC214" s="389"/>
      <c r="AD214" s="13"/>
      <c r="AE214" s="13"/>
      <c r="AF214" s="13">
        <f t="shared" si="113"/>
        <v>6579.9999999999991</v>
      </c>
      <c r="AG214" s="13">
        <f t="shared" si="114"/>
        <v>0</v>
      </c>
      <c r="AH214" s="13">
        <f t="shared" si="115"/>
        <v>6579.9999999999991</v>
      </c>
      <c r="AI214" s="129"/>
      <c r="AJ214" s="129"/>
      <c r="AK214" s="129"/>
      <c r="AL214" s="129"/>
      <c r="AM214" s="129"/>
      <c r="AN214" s="129"/>
      <c r="AO214" s="129"/>
      <c r="AP214" s="129"/>
      <c r="AQ214" s="129"/>
      <c r="AR214" s="129"/>
      <c r="AS214" s="129"/>
      <c r="AT214" s="129"/>
      <c r="AU214" s="129">
        <f t="shared" si="116"/>
        <v>0</v>
      </c>
      <c r="AV214" s="13" t="b">
        <f t="shared" si="117"/>
        <v>0</v>
      </c>
      <c r="AW214" s="14" t="s">
        <v>1827</v>
      </c>
      <c r="AX214" s="15" t="s">
        <v>1799</v>
      </c>
      <c r="AY214" s="16">
        <v>45422</v>
      </c>
      <c r="AZ214" s="15" t="s">
        <v>1829</v>
      </c>
      <c r="BA214" s="16">
        <v>45428</v>
      </c>
      <c r="BB214" s="17">
        <f t="shared" si="118"/>
        <v>6</v>
      </c>
      <c r="BC214" s="12"/>
      <c r="BD214" s="15"/>
      <c r="BE214" s="18"/>
      <c r="BF214" s="12"/>
      <c r="BG214" s="19" t="str">
        <f t="shared" si="119"/>
        <v>mayo</v>
      </c>
      <c r="BH214" s="12" t="str">
        <f t="shared" si="120"/>
        <v>Corporación Ciudad Alfaro</v>
      </c>
      <c r="BI214" s="20" t="str">
        <f t="shared" si="121"/>
        <v>N/A</v>
      </c>
    </row>
    <row r="215" spans="1:61" ht="24.95" customHeight="1">
      <c r="A215" s="8">
        <v>460</v>
      </c>
      <c r="B215" s="12" t="str">
        <f>VLOOKUP($A215,'Matriz POA 2024-TRABAJO'!$A$5:$CD$9142,11,FALSE)</f>
        <v>Corporación Ciudad Alfaro</v>
      </c>
      <c r="C215" s="12" t="str">
        <f>VLOOKUP($A215,'Matriz POA 2024-TRABAJO'!$A$5:$CD$9142,14,FALSE)</f>
        <v>N/A</v>
      </c>
      <c r="D215" s="12" t="str">
        <f>VLOOKUP($A215,'Matriz POA 2024-TRABAJO'!$A$5:$CD$9142,15,FALSE)</f>
        <v>N/A</v>
      </c>
      <c r="E215" s="12" t="str">
        <f>VLOOKUP($A215,'Matriz POA 2024-TRABAJO'!$A$5:$CD$9142,18,FALSE)</f>
        <v>N/A</v>
      </c>
      <c r="F215" s="12" t="str">
        <f>VLOOKUP($A215,'Matriz POA 2024-TRABAJO'!$A$5:$CD$9142,20,FALSE)</f>
        <v>N/A</v>
      </c>
      <c r="G215" s="12" t="str">
        <f>VLOOKUP($A215,'Matriz POA 2024-TRABAJO'!$A$5:$CD$9142,21,FALSE)</f>
        <v>N/A</v>
      </c>
      <c r="H215" s="12" t="str">
        <f>VLOOKUP($A215,'Matriz POA 2024-TRABAJO'!$A$5:$CD$9142,22,FALSE)</f>
        <v>N/A</v>
      </c>
      <c r="I215" s="12" t="str">
        <f>VLOOKUP($A215,'Matriz POA 2024-TRABAJO'!$A$5:$CD$9142,23,FALSE)</f>
        <v>NUEVA</v>
      </c>
      <c r="J215" s="12" t="str">
        <f>VLOOKUP($A215,'Matriz POA 2024-TRABAJO'!$A$5:$CD$9142,24,FALSE)</f>
        <v xml:space="preserve">Reintegro de gastos por trámite de tasas de contribución especial en la matriculación vehicular por rodaje cantonal </v>
      </c>
      <c r="K215" s="12" t="str">
        <f>VLOOKUP($A215,'Matriz POA 2024-TRABAJO'!$A$5:$CD$9142,25,FALSE)</f>
        <v>0035</v>
      </c>
      <c r="L215" s="12" t="str">
        <f>VLOOKUP($A215,'Matriz POA 2024-TRABAJO'!$A$5:$CD$9142,26,FALSE)</f>
        <v>80</v>
      </c>
      <c r="M215" s="12" t="str">
        <f>VLOOKUP($A215,'Matriz POA 2024-TRABAJO'!$A$5:$CD$9142,27,FALSE)</f>
        <v>000</v>
      </c>
      <c r="N215" s="12" t="str">
        <f>VLOOKUP($A215,'Matriz POA 2024-TRABAJO'!$A$5:$CD$9142,28,FALSE)</f>
        <v>002</v>
      </c>
      <c r="O215" s="12" t="str">
        <f>VLOOKUP($A215,'Matriz POA 2024-TRABAJO'!$A$5:$CD$9142,29,FALSE)</f>
        <v>57</v>
      </c>
      <c r="P215" s="12">
        <f>VLOOKUP($A215,'Matriz POA 2024-TRABAJO'!$A$5:$CD$9142,30,FALSE)</f>
        <v>570102</v>
      </c>
      <c r="Q215" s="12">
        <f>VLOOKUP($A215,'Matriz POA 2024-TRABAJO'!$A$5:$CD$9142,32,FALSE)</f>
        <v>1309</v>
      </c>
      <c r="R215" s="12" t="str">
        <f>VLOOKUP($A215,'Matriz POA 2024-TRABAJO'!$A$5:$CD$9142,33,FALSE)</f>
        <v>001</v>
      </c>
      <c r="S215" s="12" t="str">
        <f>VLOOKUP($A215,'Matriz POA 2024-TRABAJO'!$A$5:$CD$9142,34,FALSE)</f>
        <v>0000</v>
      </c>
      <c r="T215" s="12" t="str">
        <f>VLOOKUP($A215,'Matriz POA 2024-TRABAJO'!$A$5:$CD$9142,35,FALSE)</f>
        <v>0000</v>
      </c>
      <c r="U215" s="62">
        <f>VLOOKUP($A215,'Matriz POA 2024-TRABAJO'!$A$5:$CD$9142,66,FALSE)</f>
        <v>200</v>
      </c>
      <c r="V215" s="62">
        <f>VLOOKUP($A215,'Matriz POA 2024-TRABAJO'!$A$5:$CD$9142,67,FALSE)</f>
        <v>0</v>
      </c>
      <c r="W215" s="62">
        <f>VLOOKUP($A215,'Matriz POA 2024-TRABAJO'!$A$5:$CD$9142,68,FALSE)</f>
        <v>0</v>
      </c>
      <c r="X215" s="62" t="str">
        <f>VLOOKUP($A215,'Matriz POA 2024-TRABAJO'!$A$5:$CD$9142,72,FALSE)</f>
        <v/>
      </c>
      <c r="Y215" s="388">
        <f>VLOOKUP($A215,'Matriz POA 2024-TRABAJO'!$A$5:$CD$9142,45,FALSE)</f>
        <v>200</v>
      </c>
      <c r="Z215" s="388">
        <f>VLOOKUP($A215,'Matriz POA 2024-TRABAJO'!$A$5:$CD$9142,46,FALSE)</f>
        <v>0</v>
      </c>
      <c r="AA215" s="388">
        <f>VLOOKUP($A215,'Matriz POA 2024-TRABAJO'!$A$5:$CD$9142,47,FALSE)</f>
        <v>200</v>
      </c>
      <c r="AB215" s="389"/>
      <c r="AC215" s="389"/>
      <c r="AD215" s="13"/>
      <c r="AE215" s="13"/>
      <c r="AF215" s="13">
        <f t="shared" si="113"/>
        <v>200</v>
      </c>
      <c r="AG215" s="13">
        <f t="shared" si="114"/>
        <v>0</v>
      </c>
      <c r="AH215" s="13">
        <f t="shared" si="115"/>
        <v>200</v>
      </c>
      <c r="AI215" s="129"/>
      <c r="AJ215" s="129"/>
      <c r="AK215" s="129"/>
      <c r="AL215" s="129"/>
      <c r="AM215" s="129"/>
      <c r="AN215" s="129"/>
      <c r="AO215" s="129"/>
      <c r="AP215" s="129"/>
      <c r="AQ215" s="129"/>
      <c r="AR215" s="129"/>
      <c r="AS215" s="129"/>
      <c r="AT215" s="129"/>
      <c r="AU215" s="129">
        <f t="shared" si="116"/>
        <v>0</v>
      </c>
      <c r="AV215" s="13" t="b">
        <f t="shared" si="117"/>
        <v>0</v>
      </c>
      <c r="AW215" s="14" t="s">
        <v>1827</v>
      </c>
      <c r="AX215" s="15" t="s">
        <v>1799</v>
      </c>
      <c r="AY215" s="16">
        <v>45422</v>
      </c>
      <c r="AZ215" s="15" t="s">
        <v>1829</v>
      </c>
      <c r="BA215" s="16">
        <v>45428</v>
      </c>
      <c r="BB215" s="17">
        <f t="shared" si="118"/>
        <v>6</v>
      </c>
      <c r="BC215" s="12"/>
      <c r="BD215" s="15"/>
      <c r="BE215" s="18"/>
      <c r="BF215" s="12"/>
      <c r="BG215" s="19" t="str">
        <f t="shared" si="119"/>
        <v>mayo</v>
      </c>
      <c r="BH215" s="12" t="str">
        <f t="shared" si="120"/>
        <v>Corporación Ciudad Alfaro</v>
      </c>
      <c r="BI215" s="20" t="str">
        <f t="shared" si="121"/>
        <v>N/A</v>
      </c>
    </row>
    <row r="216" spans="1:61" ht="24.95" customHeight="1">
      <c r="A216" s="8">
        <v>464</v>
      </c>
      <c r="B216" s="12" t="str">
        <f>VLOOKUP($A216,'Matriz POA 2024-TRABAJO'!$A$5:$CD$9142,11,FALSE)</f>
        <v>Corporación Ciudad Alfaro</v>
      </c>
      <c r="C216" s="12" t="str">
        <f>VLOOKUP($A216,'Matriz POA 2024-TRABAJO'!$A$5:$CD$9142,14,FALSE)</f>
        <v>N/A</v>
      </c>
      <c r="D216" s="12" t="str">
        <f>VLOOKUP($A216,'Matriz POA 2024-TRABAJO'!$A$5:$CD$9142,15,FALSE)</f>
        <v>N/A</v>
      </c>
      <c r="E216" s="12" t="str">
        <f>VLOOKUP($A216,'Matriz POA 2024-TRABAJO'!$A$5:$CD$9142,18,FALSE)</f>
        <v>N/A</v>
      </c>
      <c r="F216" s="12" t="str">
        <f>VLOOKUP($A216,'Matriz POA 2024-TRABAJO'!$A$5:$CD$9142,20,FALSE)</f>
        <v>N/A</v>
      </c>
      <c r="G216" s="12" t="str">
        <f>VLOOKUP($A216,'Matriz POA 2024-TRABAJO'!$A$5:$CD$9142,21,FALSE)</f>
        <v>N/A</v>
      </c>
      <c r="H216" s="12" t="str">
        <f>VLOOKUP($A216,'Matriz POA 2024-TRABAJO'!$A$5:$CD$9142,22,FALSE)</f>
        <v>N/A</v>
      </c>
      <c r="I216" s="12" t="str">
        <f>VLOOKUP($A216,'Matriz POA 2024-TRABAJO'!$A$5:$CD$9142,23,FALSE)</f>
        <v>NUEVA</v>
      </c>
      <c r="J216" s="12" t="str">
        <f>VLOOKUP($A216,'Matriz POA 2024-TRABAJO'!$A$5:$CD$9142,24,FALSE)</f>
        <v>Pago de tasas y contribuciones a los predios urbanos y cuerpo de bomberos de la Corporación Ciudad Alfaro</v>
      </c>
      <c r="K216" s="12" t="str">
        <f>VLOOKUP($A216,'Matriz POA 2024-TRABAJO'!$A$5:$CD$9142,25,FALSE)</f>
        <v>0035</v>
      </c>
      <c r="L216" s="12" t="str">
        <f>VLOOKUP($A216,'Matriz POA 2024-TRABAJO'!$A$5:$CD$9142,26,FALSE)</f>
        <v>80</v>
      </c>
      <c r="M216" s="12" t="str">
        <f>VLOOKUP($A216,'Matriz POA 2024-TRABAJO'!$A$5:$CD$9142,27,FALSE)</f>
        <v>000</v>
      </c>
      <c r="N216" s="12" t="str">
        <f>VLOOKUP($A216,'Matriz POA 2024-TRABAJO'!$A$5:$CD$9142,28,FALSE)</f>
        <v>002</v>
      </c>
      <c r="O216" s="12" t="str">
        <f>VLOOKUP($A216,'Matriz POA 2024-TRABAJO'!$A$5:$CD$9142,29,FALSE)</f>
        <v>57</v>
      </c>
      <c r="P216" s="12">
        <f>VLOOKUP($A216,'Matriz POA 2024-TRABAJO'!$A$5:$CD$9142,30,FALSE)</f>
        <v>570102</v>
      </c>
      <c r="Q216" s="12">
        <f>VLOOKUP($A216,'Matriz POA 2024-TRABAJO'!$A$5:$CD$9142,32,FALSE)</f>
        <v>1309</v>
      </c>
      <c r="R216" s="12" t="str">
        <f>VLOOKUP($A216,'Matriz POA 2024-TRABAJO'!$A$5:$CD$9142,33,FALSE)</f>
        <v>001</v>
      </c>
      <c r="S216" s="12" t="str">
        <f>VLOOKUP($A216,'Matriz POA 2024-TRABAJO'!$A$5:$CD$9142,34,FALSE)</f>
        <v>0000</v>
      </c>
      <c r="T216" s="12" t="str">
        <f>VLOOKUP($A216,'Matriz POA 2024-TRABAJO'!$A$5:$CD$9142,35,FALSE)</f>
        <v>0000</v>
      </c>
      <c r="U216" s="62">
        <f>VLOOKUP($A216,'Matriz POA 2024-TRABAJO'!$A$5:$CD$9142,66,FALSE)</f>
        <v>3000</v>
      </c>
      <c r="V216" s="62">
        <f>VLOOKUP($A216,'Matriz POA 2024-TRABAJO'!$A$5:$CD$9142,67,FALSE)</f>
        <v>-2424.64</v>
      </c>
      <c r="W216" s="62">
        <f>VLOOKUP($A216,'Matriz POA 2024-TRABAJO'!$A$5:$CD$9142,68,FALSE)</f>
        <v>0</v>
      </c>
      <c r="X216" s="62">
        <f>VLOOKUP($A216,'Matriz POA 2024-TRABAJO'!$A$5:$CD$9142,72,FALSE)</f>
        <v>575.36</v>
      </c>
      <c r="Y216" s="388">
        <f>VLOOKUP($A216,'Matriz POA 2024-TRABAJO'!$A$5:$CD$9142,45,FALSE)</f>
        <v>575.36000000000013</v>
      </c>
      <c r="Z216" s="388">
        <f>VLOOKUP($A216,'Matriz POA 2024-TRABAJO'!$A$5:$CD$9142,46,FALSE)</f>
        <v>0</v>
      </c>
      <c r="AA216" s="388">
        <f>VLOOKUP($A216,'Matriz POA 2024-TRABAJO'!$A$5:$CD$9142,47,FALSE)</f>
        <v>575.36000000000013</v>
      </c>
      <c r="AB216" s="389"/>
      <c r="AC216" s="389"/>
      <c r="AD216" s="13"/>
      <c r="AE216" s="13"/>
      <c r="AF216" s="13">
        <f t="shared" si="113"/>
        <v>575.36000000000013</v>
      </c>
      <c r="AG216" s="13">
        <f t="shared" si="114"/>
        <v>0</v>
      </c>
      <c r="AH216" s="13">
        <f t="shared" si="115"/>
        <v>575.36000000000013</v>
      </c>
      <c r="AI216" s="129"/>
      <c r="AJ216" s="129"/>
      <c r="AK216" s="129"/>
      <c r="AL216" s="129"/>
      <c r="AM216" s="129"/>
      <c r="AN216" s="129"/>
      <c r="AO216" s="129"/>
      <c r="AP216" s="129"/>
      <c r="AQ216" s="129"/>
      <c r="AR216" s="129"/>
      <c r="AS216" s="129"/>
      <c r="AT216" s="129"/>
      <c r="AU216" s="129">
        <f t="shared" si="116"/>
        <v>0</v>
      </c>
      <c r="AV216" s="13" t="b">
        <f t="shared" si="117"/>
        <v>0</v>
      </c>
      <c r="AW216" s="14" t="s">
        <v>1827</v>
      </c>
      <c r="AX216" s="15" t="s">
        <v>1799</v>
      </c>
      <c r="AY216" s="16">
        <v>45422</v>
      </c>
      <c r="AZ216" s="15" t="s">
        <v>1829</v>
      </c>
      <c r="BA216" s="16">
        <v>45428</v>
      </c>
      <c r="BB216" s="17">
        <f t="shared" si="118"/>
        <v>6</v>
      </c>
      <c r="BC216" s="12"/>
      <c r="BD216" s="15"/>
      <c r="BE216" s="18"/>
      <c r="BF216" s="12"/>
      <c r="BG216" s="19" t="str">
        <f t="shared" si="119"/>
        <v>mayo</v>
      </c>
      <c r="BH216" s="12" t="str">
        <f t="shared" si="120"/>
        <v>Corporación Ciudad Alfaro</v>
      </c>
      <c r="BI216" s="20" t="str">
        <f t="shared" si="121"/>
        <v>N/A</v>
      </c>
    </row>
    <row r="217" spans="1:61" ht="24.95" customHeight="1">
      <c r="A217" s="8">
        <v>814</v>
      </c>
      <c r="B217" s="12" t="str">
        <f>VLOOKUP($A217,'Matriz POA 2024-TRABAJO'!$A$5:$CD$9142,11,FALSE)</f>
        <v>Corporación Ciudad Alfaro</v>
      </c>
      <c r="C217" s="12" t="str">
        <f>VLOOKUP($A217,'Matriz POA 2024-TRABAJO'!$A$5:$CD$9142,14,FALSE)</f>
        <v>N/A</v>
      </c>
      <c r="D217" s="12" t="str">
        <f>VLOOKUP($A217,'Matriz POA 2024-TRABAJO'!$A$5:$CD$9142,15,FALSE)</f>
        <v>N/A</v>
      </c>
      <c r="E217" s="12" t="str">
        <f>VLOOKUP($A217,'Matriz POA 2024-TRABAJO'!$A$5:$CD$9142,18,FALSE)</f>
        <v>N/A</v>
      </c>
      <c r="F217" s="12" t="str">
        <f>VLOOKUP($A217,'Matriz POA 2024-TRABAJO'!$A$5:$CD$9142,20,FALSE)</f>
        <v>N/A</v>
      </c>
      <c r="G217" s="12" t="str">
        <f>VLOOKUP($A217,'Matriz POA 2024-TRABAJO'!$A$5:$CD$9142,21,FALSE)</f>
        <v>N/A</v>
      </c>
      <c r="H217" s="12" t="str">
        <f>VLOOKUP($A217,'Matriz POA 2024-TRABAJO'!$A$5:$CD$9142,22,FALSE)</f>
        <v>N/A</v>
      </c>
      <c r="I217" s="12" t="str">
        <f>VLOOKUP($A217,'Matriz POA 2024-TRABAJO'!$A$5:$CD$9142,23,FALSE)</f>
        <v>NUEVA</v>
      </c>
      <c r="J217" s="12" t="str">
        <f>VLOOKUP($A217,'Matriz POA 2024-TRABAJO'!$A$5:$CD$9142,24,FALSE)</f>
        <v>Contratación del servicio de correspondencia Nacional para el Museo Nuclear Corporación Ciudad Alfaro y sus sedes.</v>
      </c>
      <c r="K217" s="12" t="str">
        <f>VLOOKUP($A217,'Matriz POA 2024-TRABAJO'!$A$5:$CD$9142,25,FALSE)</f>
        <v>0035</v>
      </c>
      <c r="L217" s="12" t="str">
        <f>VLOOKUP($A217,'Matriz POA 2024-TRABAJO'!$A$5:$CD$9142,26,FALSE)</f>
        <v>80</v>
      </c>
      <c r="M217" s="12" t="str">
        <f>VLOOKUP($A217,'Matriz POA 2024-TRABAJO'!$A$5:$CD$9142,27,FALSE)</f>
        <v>000</v>
      </c>
      <c r="N217" s="12" t="str">
        <f>VLOOKUP($A217,'Matriz POA 2024-TRABAJO'!$A$5:$CD$9142,28,FALSE)</f>
        <v>002</v>
      </c>
      <c r="O217" s="12" t="str">
        <f>VLOOKUP($A217,'Matriz POA 2024-TRABAJO'!$A$5:$CD$9142,29,FALSE)</f>
        <v>53</v>
      </c>
      <c r="P217" s="12">
        <f>VLOOKUP($A217,'Matriz POA 2024-TRABAJO'!$A$5:$CD$9142,30,FALSE)</f>
        <v>530106</v>
      </c>
      <c r="Q217" s="12">
        <f>VLOOKUP($A217,'Matriz POA 2024-TRABAJO'!$A$5:$CD$9142,32,FALSE)</f>
        <v>1309</v>
      </c>
      <c r="R217" s="12" t="str">
        <f>VLOOKUP($A217,'Matriz POA 2024-TRABAJO'!$A$5:$CD$9142,33,FALSE)</f>
        <v>001</v>
      </c>
      <c r="S217" s="12" t="str">
        <f>VLOOKUP($A217,'Matriz POA 2024-TRABAJO'!$A$5:$CD$9142,34,FALSE)</f>
        <v>0000</v>
      </c>
      <c r="T217" s="12" t="str">
        <f>VLOOKUP($A217,'Matriz POA 2024-TRABAJO'!$A$5:$CD$9142,35,FALSE)</f>
        <v>0000</v>
      </c>
      <c r="U217" s="62">
        <f>VLOOKUP($A217,'Matriz POA 2024-TRABAJO'!$A$5:$CD$9142,66,FALSE)</f>
        <v>1000</v>
      </c>
      <c r="V217" s="62">
        <f>VLOOKUP($A217,'Matriz POA 2024-TRABAJO'!$A$5:$CD$9142,67,FALSE)</f>
        <v>-1000</v>
      </c>
      <c r="W217" s="62">
        <f>VLOOKUP($A217,'Matriz POA 2024-TRABAJO'!$A$5:$CD$9142,68,FALSE)</f>
        <v>0</v>
      </c>
      <c r="X217" s="62" t="str">
        <f>VLOOKUP($A217,'Matriz POA 2024-TRABAJO'!$A$5:$CD$9142,72,FALSE)</f>
        <v/>
      </c>
      <c r="Y217" s="388">
        <f>VLOOKUP($A217,'Matriz POA 2024-TRABAJO'!$A$5:$CD$9142,45,FALSE)</f>
        <v>0</v>
      </c>
      <c r="Z217" s="388">
        <f>VLOOKUP($A217,'Matriz POA 2024-TRABAJO'!$A$5:$CD$9142,46,FALSE)</f>
        <v>0</v>
      </c>
      <c r="AA217" s="388">
        <f>VLOOKUP($A217,'Matriz POA 2024-TRABAJO'!$A$5:$CD$9142,47,FALSE)</f>
        <v>0</v>
      </c>
      <c r="AB217" s="389"/>
      <c r="AC217" s="389"/>
      <c r="AD217" s="13"/>
      <c r="AE217" s="13"/>
      <c r="AF217" s="13">
        <f t="shared" si="113"/>
        <v>0</v>
      </c>
      <c r="AG217" s="13">
        <f t="shared" si="114"/>
        <v>0</v>
      </c>
      <c r="AH217" s="13">
        <f t="shared" si="115"/>
        <v>0</v>
      </c>
      <c r="AI217" s="129"/>
      <c r="AJ217" s="129"/>
      <c r="AK217" s="129"/>
      <c r="AL217" s="129"/>
      <c r="AM217" s="129"/>
      <c r="AN217" s="129"/>
      <c r="AO217" s="129"/>
      <c r="AP217" s="129"/>
      <c r="AQ217" s="129"/>
      <c r="AR217" s="129"/>
      <c r="AS217" s="129"/>
      <c r="AT217" s="129"/>
      <c r="AU217" s="129">
        <f t="shared" si="116"/>
        <v>0</v>
      </c>
      <c r="AV217" s="13" t="b">
        <f t="shared" si="117"/>
        <v>1</v>
      </c>
      <c r="AW217" s="14" t="s">
        <v>1827</v>
      </c>
      <c r="AX217" s="15" t="s">
        <v>1799</v>
      </c>
      <c r="AY217" s="16">
        <v>45422</v>
      </c>
      <c r="AZ217" s="15" t="s">
        <v>1829</v>
      </c>
      <c r="BA217" s="16">
        <v>45428</v>
      </c>
      <c r="BB217" s="17">
        <f t="shared" si="118"/>
        <v>6</v>
      </c>
      <c r="BC217" s="12"/>
      <c r="BD217" s="15"/>
      <c r="BE217" s="18"/>
      <c r="BF217" s="12"/>
      <c r="BG217" s="19" t="str">
        <f t="shared" si="119"/>
        <v>mayo</v>
      </c>
      <c r="BH217" s="12" t="str">
        <f t="shared" si="120"/>
        <v>Corporación Ciudad Alfaro</v>
      </c>
      <c r="BI217" s="20" t="str">
        <f t="shared" si="121"/>
        <v>N/A</v>
      </c>
    </row>
    <row r="218" spans="1:61" ht="24.95" customHeight="1">
      <c r="A218" s="8">
        <v>415</v>
      </c>
      <c r="B218" s="453" t="str">
        <f>VLOOKUP($A218,'Matriz POA 2024-TRABAJO'!$A$5:$CD$9142,11,FALSE)</f>
        <v>Corporación Ciudad Alfaro</v>
      </c>
      <c r="C218" s="453" t="str">
        <f>VLOOKUP($A218,'Matriz POA 2024-TRABAJO'!$A$5:$CD$9142,14,FALSE)</f>
        <v>N/A</v>
      </c>
      <c r="D218" s="453" t="str">
        <f>VLOOKUP($A218,'Matriz POA 2024-TRABAJO'!$A$5:$CD$9142,15,FALSE)</f>
        <v>N/A</v>
      </c>
      <c r="E218" s="453" t="str">
        <f>VLOOKUP($A218,'Matriz POA 2024-TRABAJO'!$A$5:$CD$9142,18,FALSE)</f>
        <v>N/A</v>
      </c>
      <c r="F218" s="453" t="str">
        <f>VLOOKUP($A218,'Matriz POA 2024-TRABAJO'!$A$5:$CD$9142,20,FALSE)</f>
        <v>N/A</v>
      </c>
      <c r="G218" s="453" t="str">
        <f>VLOOKUP($A218,'Matriz POA 2024-TRABAJO'!$A$5:$CD$9142,21,FALSE)</f>
        <v>N/A</v>
      </c>
      <c r="H218" s="453" t="str">
        <f>VLOOKUP($A218,'Matriz POA 2024-TRABAJO'!$A$5:$CD$9142,22,FALSE)</f>
        <v>N/A</v>
      </c>
      <c r="I218" s="453" t="str">
        <f>VLOOKUP($A218,'Matriz POA 2024-TRABAJO'!$A$5:$CD$9142,23,FALSE)</f>
        <v>NUEVA</v>
      </c>
      <c r="J218" s="453" t="str">
        <f>VLOOKUP($A218,'Matriz POA 2024-TRABAJO'!$A$5:$CD$9142,24,FALSE)</f>
        <v>REMUNERACIONES UNIFICADAS</v>
      </c>
      <c r="K218" s="453" t="str">
        <f>VLOOKUP($A218,'Matriz POA 2024-TRABAJO'!$A$5:$CD$9142,25,FALSE)</f>
        <v>0035</v>
      </c>
      <c r="L218" s="453" t="str">
        <f>VLOOKUP($A218,'Matriz POA 2024-TRABAJO'!$A$5:$CD$9142,26,FALSE)</f>
        <v>80</v>
      </c>
      <c r="M218" s="453" t="str">
        <f>VLOOKUP($A218,'Matriz POA 2024-TRABAJO'!$A$5:$CD$9142,27,FALSE)</f>
        <v>000</v>
      </c>
      <c r="N218" s="453" t="str">
        <f>VLOOKUP($A218,'Matriz POA 2024-TRABAJO'!$A$5:$CD$9142,28,FALSE)</f>
        <v>002</v>
      </c>
      <c r="O218" s="453" t="str">
        <f>VLOOKUP($A218,'Matriz POA 2024-TRABAJO'!$A$5:$CD$9142,29,FALSE)</f>
        <v>51</v>
      </c>
      <c r="P218" s="453">
        <f>VLOOKUP($A218,'Matriz POA 2024-TRABAJO'!$A$5:$CD$9142,30,FALSE)</f>
        <v>510105</v>
      </c>
      <c r="Q218" s="453">
        <f>VLOOKUP($A218,'Matriz POA 2024-TRABAJO'!$A$5:$CD$9142,32,FALSE)</f>
        <v>1300</v>
      </c>
      <c r="R218" s="453" t="str">
        <f>VLOOKUP($A218,'Matriz POA 2024-TRABAJO'!$A$5:$CD$9142,33,FALSE)</f>
        <v>001</v>
      </c>
      <c r="S218" s="453" t="str">
        <f>VLOOKUP($A218,'Matriz POA 2024-TRABAJO'!$A$5:$CD$9142,34,FALSE)</f>
        <v>0000</v>
      </c>
      <c r="T218" s="453" t="str">
        <f>VLOOKUP($A218,'Matriz POA 2024-TRABAJO'!$A$5:$CD$9142,35,FALSE)</f>
        <v>0000</v>
      </c>
      <c r="U218" s="454">
        <f>VLOOKUP($A218,'Matriz POA 2024-TRABAJO'!$A$5:$CD$9142,66,FALSE)</f>
        <v>280176.77</v>
      </c>
      <c r="V218" s="454">
        <f>VLOOKUP($A218,'Matriz POA 2024-TRABAJO'!$A$5:$CD$9142,67,FALSE)</f>
        <v>-12424.770000000019</v>
      </c>
      <c r="W218" s="454">
        <f>VLOOKUP($A218,'Matriz POA 2024-TRABAJO'!$A$5:$CD$9142,68,FALSE)</f>
        <v>0</v>
      </c>
      <c r="X218" s="454">
        <f>VLOOKUP($A218,'Matriz POA 2024-TRABAJO'!$A$5:$CD$9142,72,FALSE)</f>
        <v>266098.39899999998</v>
      </c>
      <c r="Y218" s="455">
        <v>282026.76999999996</v>
      </c>
      <c r="Z218" s="455">
        <v>0</v>
      </c>
      <c r="AA218" s="455">
        <v>282026.76999999996</v>
      </c>
      <c r="AB218" s="456"/>
      <c r="AC218" s="456">
        <v>-1850</v>
      </c>
      <c r="AD218" s="457"/>
      <c r="AE218" s="457"/>
      <c r="AF218" s="457">
        <f t="shared" ref="AF218:AF224" si="122">Y218+AB218+AC218</f>
        <v>280176.76999999996</v>
      </c>
      <c r="AG218" s="457">
        <f t="shared" ref="AG218:AG224" si="123">Z218+AD218+AE218</f>
        <v>0</v>
      </c>
      <c r="AH218" s="457">
        <f t="shared" ref="AH218:AH224" si="124">+AF218+AG218</f>
        <v>280176.76999999996</v>
      </c>
      <c r="AI218" s="458"/>
      <c r="AJ218" s="458"/>
      <c r="AK218" s="458"/>
      <c r="AL218" s="458"/>
      <c r="AM218" s="458"/>
      <c r="AN218" s="458"/>
      <c r="AO218" s="458"/>
      <c r="AP218" s="458"/>
      <c r="AQ218" s="458"/>
      <c r="AR218" s="458"/>
      <c r="AS218" s="458"/>
      <c r="AT218" s="458"/>
      <c r="AU218" s="458">
        <f t="shared" ref="AU218:AU224" si="125">SUM(AI218:AT218)</f>
        <v>0</v>
      </c>
      <c r="AV218" s="457" t="b">
        <f t="shared" ref="AV218:AV224" si="126">SUM(AI218:AT218)=AH218</f>
        <v>0</v>
      </c>
      <c r="AW218" s="459" t="s">
        <v>1867</v>
      </c>
      <c r="AX218" s="15" t="s">
        <v>1862</v>
      </c>
      <c r="AY218" s="16">
        <v>45449</v>
      </c>
      <c r="AZ218" s="15" t="s">
        <v>1863</v>
      </c>
      <c r="BA218" s="16">
        <v>45450</v>
      </c>
      <c r="BB218" s="17">
        <f t="shared" ref="BB218:BB227" si="127">BA218-AY218</f>
        <v>1</v>
      </c>
      <c r="BC218" s="12"/>
      <c r="BD218" s="15"/>
      <c r="BE218" s="18"/>
      <c r="BF218" s="12"/>
      <c r="BG218" s="19" t="str">
        <f t="shared" ref="BG218:BG224" si="128">TEXT(BA218,"MMMM")</f>
        <v>junio</v>
      </c>
      <c r="BH218" s="12" t="str">
        <f t="shared" ref="BH218:BH224" si="129">B218</f>
        <v>Corporación Ciudad Alfaro</v>
      </c>
      <c r="BI218" s="20" t="str">
        <f t="shared" ref="BI218:BI224" si="130">E218</f>
        <v>N/A</v>
      </c>
    </row>
    <row r="219" spans="1:61" ht="24.95" customHeight="1">
      <c r="A219" s="8">
        <v>417</v>
      </c>
      <c r="B219" s="12" t="str">
        <f>VLOOKUP($A219,'Matriz POA 2024-TRABAJO'!$A$5:$CD$9142,11,FALSE)</f>
        <v>Corporación Ciudad Alfaro</v>
      </c>
      <c r="C219" s="12" t="str">
        <f>VLOOKUP($A219,'Matriz POA 2024-TRABAJO'!$A$5:$CD$9142,14,FALSE)</f>
        <v>N/A</v>
      </c>
      <c r="D219" s="12" t="str">
        <f>VLOOKUP($A219,'Matriz POA 2024-TRABAJO'!$A$5:$CD$9142,15,FALSE)</f>
        <v>N/A</v>
      </c>
      <c r="E219" s="12" t="str">
        <f>VLOOKUP($A219,'Matriz POA 2024-TRABAJO'!$A$5:$CD$9142,18,FALSE)</f>
        <v>N/A</v>
      </c>
      <c r="F219" s="12" t="str">
        <f>VLOOKUP($A219,'Matriz POA 2024-TRABAJO'!$A$5:$CD$9142,20,FALSE)</f>
        <v>N/A</v>
      </c>
      <c r="G219" s="12" t="str">
        <f>VLOOKUP($A219,'Matriz POA 2024-TRABAJO'!$A$5:$CD$9142,21,FALSE)</f>
        <v>N/A</v>
      </c>
      <c r="H219" s="12" t="str">
        <f>VLOOKUP($A219,'Matriz POA 2024-TRABAJO'!$A$5:$CD$9142,22,FALSE)</f>
        <v>N/A</v>
      </c>
      <c r="I219" s="12" t="str">
        <f>VLOOKUP($A219,'Matriz POA 2024-TRABAJO'!$A$5:$CD$9142,23,FALSE)</f>
        <v>NUEVA</v>
      </c>
      <c r="J219" s="12" t="str">
        <f>VLOOKUP($A219,'Matriz POA 2024-TRABAJO'!$A$5:$CD$9142,24,FALSE)</f>
        <v>Décimo Tercer Sueldo</v>
      </c>
      <c r="K219" s="12" t="str">
        <f>VLOOKUP($A219,'Matriz POA 2024-TRABAJO'!$A$5:$CD$9142,25,FALSE)</f>
        <v>0035</v>
      </c>
      <c r="L219" s="12" t="str">
        <f>VLOOKUP($A219,'Matriz POA 2024-TRABAJO'!$A$5:$CD$9142,26,FALSE)</f>
        <v>80</v>
      </c>
      <c r="M219" s="12" t="str">
        <f>VLOOKUP($A219,'Matriz POA 2024-TRABAJO'!$A$5:$CD$9142,27,FALSE)</f>
        <v>000</v>
      </c>
      <c r="N219" s="12" t="str">
        <f>VLOOKUP($A219,'Matriz POA 2024-TRABAJO'!$A$5:$CD$9142,28,FALSE)</f>
        <v>002</v>
      </c>
      <c r="O219" s="12" t="str">
        <f>VLOOKUP($A219,'Matriz POA 2024-TRABAJO'!$A$5:$CD$9142,29,FALSE)</f>
        <v>51</v>
      </c>
      <c r="P219" s="12">
        <f>VLOOKUP($A219,'Matriz POA 2024-TRABAJO'!$A$5:$CD$9142,30,FALSE)</f>
        <v>510203</v>
      </c>
      <c r="Q219" s="12">
        <f>VLOOKUP($A219,'Matriz POA 2024-TRABAJO'!$A$5:$CD$9142,32,FALSE)</f>
        <v>1300</v>
      </c>
      <c r="R219" s="12" t="str">
        <f>VLOOKUP($A219,'Matriz POA 2024-TRABAJO'!$A$5:$CD$9142,33,FALSE)</f>
        <v>001</v>
      </c>
      <c r="S219" s="12" t="str">
        <f>VLOOKUP($A219,'Matriz POA 2024-TRABAJO'!$A$5:$CD$9142,34,FALSE)</f>
        <v>0000</v>
      </c>
      <c r="T219" s="12" t="str">
        <f>VLOOKUP($A219,'Matriz POA 2024-TRABAJO'!$A$5:$CD$9142,35,FALSE)</f>
        <v>0000</v>
      </c>
      <c r="U219" s="62">
        <f>VLOOKUP($A219,'Matriz POA 2024-TRABAJO'!$A$5:$CD$9142,66,FALSE)</f>
        <v>31901.07</v>
      </c>
      <c r="V219" s="62">
        <f>VLOOKUP($A219,'Matriz POA 2024-TRABAJO'!$A$5:$CD$9142,67,FALSE)</f>
        <v>-1212</v>
      </c>
      <c r="W219" s="62">
        <f>VLOOKUP($A219,'Matriz POA 2024-TRABAJO'!$A$5:$CD$9142,68,FALSE)</f>
        <v>0</v>
      </c>
      <c r="X219" s="62">
        <f>VLOOKUP($A219,'Matriz POA 2024-TRABAJO'!$A$5:$CD$9142,72,FALSE)</f>
        <v>29180.79</v>
      </c>
      <c r="Y219" s="388">
        <v>32101.07</v>
      </c>
      <c r="Z219" s="388">
        <v>0</v>
      </c>
      <c r="AA219" s="388">
        <v>32101.07</v>
      </c>
      <c r="AB219" s="389"/>
      <c r="AC219" s="389">
        <v>-200</v>
      </c>
      <c r="AD219" s="13"/>
      <c r="AE219" s="13"/>
      <c r="AF219" s="13">
        <f t="shared" si="122"/>
        <v>31901.07</v>
      </c>
      <c r="AG219" s="13">
        <f t="shared" si="123"/>
        <v>0</v>
      </c>
      <c r="AH219" s="13">
        <f t="shared" si="124"/>
        <v>31901.07</v>
      </c>
      <c r="AI219" s="129"/>
      <c r="AJ219" s="129"/>
      <c r="AK219" s="129"/>
      <c r="AL219" s="129"/>
      <c r="AM219" s="129"/>
      <c r="AN219" s="129"/>
      <c r="AO219" s="129"/>
      <c r="AP219" s="129"/>
      <c r="AQ219" s="129"/>
      <c r="AR219" s="129"/>
      <c r="AS219" s="129"/>
      <c r="AT219" s="129"/>
      <c r="AU219" s="129">
        <f t="shared" si="125"/>
        <v>0</v>
      </c>
      <c r="AV219" s="13" t="b">
        <f t="shared" si="126"/>
        <v>0</v>
      </c>
      <c r="AW219" s="14" t="s">
        <v>1867</v>
      </c>
      <c r="AX219" s="15" t="s">
        <v>1862</v>
      </c>
      <c r="AY219" s="16">
        <v>45449</v>
      </c>
      <c r="AZ219" s="15" t="s">
        <v>1863</v>
      </c>
      <c r="BA219" s="16">
        <v>45450</v>
      </c>
      <c r="BB219" s="17">
        <f t="shared" ref="BB219:BB224" si="131">BA219-AY219</f>
        <v>1</v>
      </c>
      <c r="BC219" s="12"/>
      <c r="BD219" s="15"/>
      <c r="BE219" s="18"/>
      <c r="BF219" s="12"/>
      <c r="BG219" s="19" t="str">
        <f t="shared" si="128"/>
        <v>junio</v>
      </c>
      <c r="BH219" s="12" t="str">
        <f t="shared" si="129"/>
        <v>Corporación Ciudad Alfaro</v>
      </c>
      <c r="BI219" s="20" t="str">
        <f t="shared" si="130"/>
        <v>N/A</v>
      </c>
    </row>
    <row r="220" spans="1:61" ht="24.95" customHeight="1">
      <c r="A220" s="8">
        <v>418</v>
      </c>
      <c r="B220" s="12" t="str">
        <f>VLOOKUP($A220,'Matriz POA 2024-TRABAJO'!$A$5:$CD$9142,11,FALSE)</f>
        <v>Corporación Ciudad Alfaro</v>
      </c>
      <c r="C220" s="12" t="str">
        <f>VLOOKUP($A220,'Matriz POA 2024-TRABAJO'!$A$5:$CD$9142,14,FALSE)</f>
        <v>N/A</v>
      </c>
      <c r="D220" s="12" t="str">
        <f>VLOOKUP($A220,'Matriz POA 2024-TRABAJO'!$A$5:$CD$9142,15,FALSE)</f>
        <v>N/A</v>
      </c>
      <c r="E220" s="12" t="str">
        <f>VLOOKUP($A220,'Matriz POA 2024-TRABAJO'!$A$5:$CD$9142,18,FALSE)</f>
        <v>N/A</v>
      </c>
      <c r="F220" s="12" t="str">
        <f>VLOOKUP($A220,'Matriz POA 2024-TRABAJO'!$A$5:$CD$9142,20,FALSE)</f>
        <v>N/A</v>
      </c>
      <c r="G220" s="12" t="str">
        <f>VLOOKUP($A220,'Matriz POA 2024-TRABAJO'!$A$5:$CD$9142,21,FALSE)</f>
        <v>N/A</v>
      </c>
      <c r="H220" s="12" t="str">
        <f>VLOOKUP($A220,'Matriz POA 2024-TRABAJO'!$A$5:$CD$9142,22,FALSE)</f>
        <v>N/A</v>
      </c>
      <c r="I220" s="12" t="str">
        <f>VLOOKUP($A220,'Matriz POA 2024-TRABAJO'!$A$5:$CD$9142,23,FALSE)</f>
        <v>NUEVA</v>
      </c>
      <c r="J220" s="12" t="str">
        <f>VLOOKUP($A220,'Matriz POA 2024-TRABAJO'!$A$5:$CD$9142,24,FALSE)</f>
        <v>Décimo Cuarto Sueldo</v>
      </c>
      <c r="K220" s="12" t="str">
        <f>VLOOKUP($A220,'Matriz POA 2024-TRABAJO'!$A$5:$CD$9142,25,FALSE)</f>
        <v>0035</v>
      </c>
      <c r="L220" s="12" t="str">
        <f>VLOOKUP($A220,'Matriz POA 2024-TRABAJO'!$A$5:$CD$9142,26,FALSE)</f>
        <v>80</v>
      </c>
      <c r="M220" s="12" t="str">
        <f>VLOOKUP($A220,'Matriz POA 2024-TRABAJO'!$A$5:$CD$9142,27,FALSE)</f>
        <v>000</v>
      </c>
      <c r="N220" s="12" t="str">
        <f>VLOOKUP($A220,'Matriz POA 2024-TRABAJO'!$A$5:$CD$9142,28,FALSE)</f>
        <v>002</v>
      </c>
      <c r="O220" s="12" t="str">
        <f>VLOOKUP($A220,'Matriz POA 2024-TRABAJO'!$A$5:$CD$9142,29,FALSE)</f>
        <v>51</v>
      </c>
      <c r="P220" s="12">
        <f>VLOOKUP($A220,'Matriz POA 2024-TRABAJO'!$A$5:$CD$9142,30,FALSE)</f>
        <v>510204</v>
      </c>
      <c r="Q220" s="12">
        <f>VLOOKUP($A220,'Matriz POA 2024-TRABAJO'!$A$5:$CD$9142,32,FALSE)</f>
        <v>1300</v>
      </c>
      <c r="R220" s="12" t="str">
        <f>VLOOKUP($A220,'Matriz POA 2024-TRABAJO'!$A$5:$CD$9142,33,FALSE)</f>
        <v>001</v>
      </c>
      <c r="S220" s="12" t="str">
        <f>VLOOKUP($A220,'Matriz POA 2024-TRABAJO'!$A$5:$CD$9142,34,FALSE)</f>
        <v>0000</v>
      </c>
      <c r="T220" s="12" t="str">
        <f>VLOOKUP($A220,'Matriz POA 2024-TRABAJO'!$A$5:$CD$9142,35,FALSE)</f>
        <v>0000</v>
      </c>
      <c r="U220" s="62">
        <f>VLOOKUP($A220,'Matriz POA 2024-TRABAJO'!$A$5:$CD$9142,66,FALSE)</f>
        <v>16817.650000000001</v>
      </c>
      <c r="V220" s="62">
        <f>VLOOKUP($A220,'Matriz POA 2024-TRABAJO'!$A$5:$CD$9142,67,FALSE)</f>
        <v>0</v>
      </c>
      <c r="W220" s="62">
        <f>VLOOKUP($A220,'Matriz POA 2024-TRABAJO'!$A$5:$CD$9142,68,FALSE)</f>
        <v>0</v>
      </c>
      <c r="X220" s="62">
        <f>VLOOKUP($A220,'Matriz POA 2024-TRABAJO'!$A$5:$CD$9142,72,FALSE)</f>
        <v>16495.419999999995</v>
      </c>
      <c r="Y220" s="388">
        <v>17567.650000000001</v>
      </c>
      <c r="Z220" s="388">
        <v>0</v>
      </c>
      <c r="AA220" s="388">
        <v>17567.650000000001</v>
      </c>
      <c r="AB220" s="389"/>
      <c r="AC220" s="389">
        <v>-750</v>
      </c>
      <c r="AD220" s="13"/>
      <c r="AE220" s="13"/>
      <c r="AF220" s="13">
        <f t="shared" si="122"/>
        <v>16817.650000000001</v>
      </c>
      <c r="AG220" s="13">
        <f t="shared" si="123"/>
        <v>0</v>
      </c>
      <c r="AH220" s="13">
        <f t="shared" si="124"/>
        <v>16817.650000000001</v>
      </c>
      <c r="AI220" s="129"/>
      <c r="AJ220" s="129"/>
      <c r="AK220" s="129"/>
      <c r="AL220" s="129"/>
      <c r="AM220" s="129"/>
      <c r="AN220" s="129"/>
      <c r="AO220" s="129"/>
      <c r="AP220" s="129"/>
      <c r="AQ220" s="129"/>
      <c r="AR220" s="129"/>
      <c r="AS220" s="129"/>
      <c r="AT220" s="129"/>
      <c r="AU220" s="129">
        <f t="shared" si="125"/>
        <v>0</v>
      </c>
      <c r="AV220" s="13" t="b">
        <f t="shared" si="126"/>
        <v>0</v>
      </c>
      <c r="AW220" s="14" t="s">
        <v>1867</v>
      </c>
      <c r="AX220" s="15" t="s">
        <v>1862</v>
      </c>
      <c r="AY220" s="16">
        <v>45449</v>
      </c>
      <c r="AZ220" s="15" t="s">
        <v>1863</v>
      </c>
      <c r="BA220" s="16">
        <v>45450</v>
      </c>
      <c r="BB220" s="17">
        <f t="shared" si="131"/>
        <v>1</v>
      </c>
      <c r="BC220" s="12"/>
      <c r="BD220" s="15"/>
      <c r="BE220" s="18"/>
      <c r="BF220" s="12"/>
      <c r="BG220" s="19" t="str">
        <f t="shared" si="128"/>
        <v>junio</v>
      </c>
      <c r="BH220" s="12" t="str">
        <f t="shared" si="129"/>
        <v>Corporación Ciudad Alfaro</v>
      </c>
      <c r="BI220" s="20" t="str">
        <f t="shared" si="130"/>
        <v>N/A</v>
      </c>
    </row>
    <row r="221" spans="1:61" ht="24.95" customHeight="1">
      <c r="A221" s="8">
        <v>419</v>
      </c>
      <c r="B221" s="12" t="str">
        <f>VLOOKUP($A221,'Matriz POA 2024-TRABAJO'!$A$5:$CD$9142,11,FALSE)</f>
        <v>Corporación Ciudad Alfaro</v>
      </c>
      <c r="C221" s="12" t="str">
        <f>VLOOKUP($A221,'Matriz POA 2024-TRABAJO'!$A$5:$CD$9142,14,FALSE)</f>
        <v>N/A</v>
      </c>
      <c r="D221" s="12" t="str">
        <f>VLOOKUP($A221,'Matriz POA 2024-TRABAJO'!$A$5:$CD$9142,15,FALSE)</f>
        <v>N/A</v>
      </c>
      <c r="E221" s="12" t="str">
        <f>VLOOKUP($A221,'Matriz POA 2024-TRABAJO'!$A$5:$CD$9142,18,FALSE)</f>
        <v>N/A</v>
      </c>
      <c r="F221" s="12" t="str">
        <f>VLOOKUP($A221,'Matriz POA 2024-TRABAJO'!$A$5:$CD$9142,20,FALSE)</f>
        <v>N/A</v>
      </c>
      <c r="G221" s="12" t="str">
        <f>VLOOKUP($A221,'Matriz POA 2024-TRABAJO'!$A$5:$CD$9142,21,FALSE)</f>
        <v>N/A</v>
      </c>
      <c r="H221" s="12" t="str">
        <f>VLOOKUP($A221,'Matriz POA 2024-TRABAJO'!$A$5:$CD$9142,22,FALSE)</f>
        <v>N/A</v>
      </c>
      <c r="I221" s="12" t="str">
        <f>VLOOKUP($A221,'Matriz POA 2024-TRABAJO'!$A$5:$CD$9142,23,FALSE)</f>
        <v>NUEVA</v>
      </c>
      <c r="J221" s="12" t="str">
        <f>VLOOKUP($A221,'Matriz POA 2024-TRABAJO'!$A$5:$CD$9142,24,FALSE)</f>
        <v>Compensación por Transporte</v>
      </c>
      <c r="K221" s="12" t="str">
        <f>VLOOKUP($A221,'Matriz POA 2024-TRABAJO'!$A$5:$CD$9142,25,FALSE)</f>
        <v>0035</v>
      </c>
      <c r="L221" s="12" t="str">
        <f>VLOOKUP($A221,'Matriz POA 2024-TRABAJO'!$A$5:$CD$9142,26,FALSE)</f>
        <v>80</v>
      </c>
      <c r="M221" s="12" t="str">
        <f>VLOOKUP($A221,'Matriz POA 2024-TRABAJO'!$A$5:$CD$9142,27,FALSE)</f>
        <v>000</v>
      </c>
      <c r="N221" s="12" t="str">
        <f>VLOOKUP($A221,'Matriz POA 2024-TRABAJO'!$A$5:$CD$9142,28,FALSE)</f>
        <v>002</v>
      </c>
      <c r="O221" s="12" t="str">
        <f>VLOOKUP($A221,'Matriz POA 2024-TRABAJO'!$A$5:$CD$9142,29,FALSE)</f>
        <v>51</v>
      </c>
      <c r="P221" s="12">
        <f>VLOOKUP($A221,'Matriz POA 2024-TRABAJO'!$A$5:$CD$9142,30,FALSE)</f>
        <v>510304</v>
      </c>
      <c r="Q221" s="12">
        <f>VLOOKUP($A221,'Matriz POA 2024-TRABAJO'!$A$5:$CD$9142,32,FALSE)</f>
        <v>1300</v>
      </c>
      <c r="R221" s="12" t="str">
        <f>VLOOKUP($A221,'Matriz POA 2024-TRABAJO'!$A$5:$CD$9142,33,FALSE)</f>
        <v>001</v>
      </c>
      <c r="S221" s="12" t="str">
        <f>VLOOKUP($A221,'Matriz POA 2024-TRABAJO'!$A$5:$CD$9142,34,FALSE)</f>
        <v>0000</v>
      </c>
      <c r="T221" s="12" t="str">
        <f>VLOOKUP($A221,'Matriz POA 2024-TRABAJO'!$A$5:$CD$9142,35,FALSE)</f>
        <v>0000</v>
      </c>
      <c r="U221" s="62" t="str">
        <f>VLOOKUP($A221,'Matriz POA 2024-TRABAJO'!$A$5:$CD$9142,66,FALSE)</f>
        <v/>
      </c>
      <c r="V221" s="62" t="str">
        <f>VLOOKUP($A221,'Matriz POA 2024-TRABAJO'!$A$5:$CD$9142,67,FALSE)</f>
        <v/>
      </c>
      <c r="W221" s="62">
        <f>VLOOKUP($A221,'Matriz POA 2024-TRABAJO'!$A$5:$CD$9142,68,FALSE)</f>
        <v>0</v>
      </c>
      <c r="X221" s="62">
        <f>VLOOKUP($A221,'Matriz POA 2024-TRABAJO'!$A$5:$CD$9142,72,FALSE)</f>
        <v>1186</v>
      </c>
      <c r="Y221" s="388">
        <v>1320</v>
      </c>
      <c r="Z221" s="388">
        <v>0</v>
      </c>
      <c r="AA221" s="388">
        <v>1320</v>
      </c>
      <c r="AB221" s="389"/>
      <c r="AC221" s="389">
        <v>-100</v>
      </c>
      <c r="AD221" s="13"/>
      <c r="AE221" s="13"/>
      <c r="AF221" s="13">
        <f t="shared" si="122"/>
        <v>1220</v>
      </c>
      <c r="AG221" s="13">
        <f t="shared" si="123"/>
        <v>0</v>
      </c>
      <c r="AH221" s="13">
        <f t="shared" si="124"/>
        <v>1220</v>
      </c>
      <c r="AI221" s="129"/>
      <c r="AJ221" s="129"/>
      <c r="AK221" s="129"/>
      <c r="AL221" s="129"/>
      <c r="AM221" s="129"/>
      <c r="AN221" s="129"/>
      <c r="AO221" s="129"/>
      <c r="AP221" s="129"/>
      <c r="AQ221" s="129"/>
      <c r="AR221" s="129"/>
      <c r="AS221" s="129"/>
      <c r="AT221" s="129"/>
      <c r="AU221" s="129">
        <f t="shared" si="125"/>
        <v>0</v>
      </c>
      <c r="AV221" s="13" t="b">
        <f t="shared" si="126"/>
        <v>0</v>
      </c>
      <c r="AW221" s="14" t="s">
        <v>1867</v>
      </c>
      <c r="AX221" s="15" t="s">
        <v>1862</v>
      </c>
      <c r="AY221" s="16">
        <v>45449</v>
      </c>
      <c r="AZ221" s="15" t="s">
        <v>1863</v>
      </c>
      <c r="BA221" s="16">
        <v>45450</v>
      </c>
      <c r="BB221" s="17">
        <f t="shared" si="131"/>
        <v>1</v>
      </c>
      <c r="BC221" s="12"/>
      <c r="BD221" s="15"/>
      <c r="BE221" s="18"/>
      <c r="BF221" s="12"/>
      <c r="BG221" s="19" t="str">
        <f t="shared" si="128"/>
        <v>junio</v>
      </c>
      <c r="BH221" s="12" t="str">
        <f t="shared" si="129"/>
        <v>Corporación Ciudad Alfaro</v>
      </c>
      <c r="BI221" s="20" t="str">
        <f t="shared" si="130"/>
        <v>N/A</v>
      </c>
    </row>
    <row r="222" spans="1:61" ht="24.95" customHeight="1">
      <c r="A222" s="8">
        <v>420</v>
      </c>
      <c r="B222" s="12" t="str">
        <f>VLOOKUP($A222,'Matriz POA 2024-TRABAJO'!$A$5:$CD$9142,11,FALSE)</f>
        <v>Corporación Ciudad Alfaro</v>
      </c>
      <c r="C222" s="12" t="str">
        <f>VLOOKUP($A222,'Matriz POA 2024-TRABAJO'!$A$5:$CD$9142,14,FALSE)</f>
        <v>N/A</v>
      </c>
      <c r="D222" s="12" t="str">
        <f>VLOOKUP($A222,'Matriz POA 2024-TRABAJO'!$A$5:$CD$9142,15,FALSE)</f>
        <v>N/A</v>
      </c>
      <c r="E222" s="12" t="str">
        <f>VLOOKUP($A222,'Matriz POA 2024-TRABAJO'!$A$5:$CD$9142,18,FALSE)</f>
        <v>N/A</v>
      </c>
      <c r="F222" s="12" t="str">
        <f>VLOOKUP($A222,'Matriz POA 2024-TRABAJO'!$A$5:$CD$9142,20,FALSE)</f>
        <v>N/A</v>
      </c>
      <c r="G222" s="12" t="str">
        <f>VLOOKUP($A222,'Matriz POA 2024-TRABAJO'!$A$5:$CD$9142,21,FALSE)</f>
        <v>N/A</v>
      </c>
      <c r="H222" s="12" t="str">
        <f>VLOOKUP($A222,'Matriz POA 2024-TRABAJO'!$A$5:$CD$9142,22,FALSE)</f>
        <v>N/A</v>
      </c>
      <c r="I222" s="12" t="str">
        <f>VLOOKUP($A222,'Matriz POA 2024-TRABAJO'!$A$5:$CD$9142,23,FALSE)</f>
        <v>NUEVA</v>
      </c>
      <c r="J222" s="12" t="str">
        <f>VLOOKUP($A222,'Matriz POA 2024-TRABAJO'!$A$5:$CD$9142,24,FALSE)</f>
        <v>Alimentación</v>
      </c>
      <c r="K222" s="12" t="str">
        <f>VLOOKUP($A222,'Matriz POA 2024-TRABAJO'!$A$5:$CD$9142,25,FALSE)</f>
        <v>0035</v>
      </c>
      <c r="L222" s="12" t="str">
        <f>VLOOKUP($A222,'Matriz POA 2024-TRABAJO'!$A$5:$CD$9142,26,FALSE)</f>
        <v>80</v>
      </c>
      <c r="M222" s="12" t="str">
        <f>VLOOKUP($A222,'Matriz POA 2024-TRABAJO'!$A$5:$CD$9142,27,FALSE)</f>
        <v>000</v>
      </c>
      <c r="N222" s="12" t="str">
        <f>VLOOKUP($A222,'Matriz POA 2024-TRABAJO'!$A$5:$CD$9142,28,FALSE)</f>
        <v>002</v>
      </c>
      <c r="O222" s="12" t="str">
        <f>VLOOKUP($A222,'Matriz POA 2024-TRABAJO'!$A$5:$CD$9142,29,FALSE)</f>
        <v>51</v>
      </c>
      <c r="P222" s="12">
        <f>VLOOKUP($A222,'Matriz POA 2024-TRABAJO'!$A$5:$CD$9142,30,FALSE)</f>
        <v>510306</v>
      </c>
      <c r="Q222" s="12">
        <f>VLOOKUP($A222,'Matriz POA 2024-TRABAJO'!$A$5:$CD$9142,32,FALSE)</f>
        <v>1300</v>
      </c>
      <c r="R222" s="12" t="str">
        <f>VLOOKUP($A222,'Matriz POA 2024-TRABAJO'!$A$5:$CD$9142,33,FALSE)</f>
        <v>001</v>
      </c>
      <c r="S222" s="12" t="str">
        <f>VLOOKUP($A222,'Matriz POA 2024-TRABAJO'!$A$5:$CD$9142,34,FALSE)</f>
        <v>0000</v>
      </c>
      <c r="T222" s="12" t="str">
        <f>VLOOKUP($A222,'Matriz POA 2024-TRABAJO'!$A$5:$CD$9142,35,FALSE)</f>
        <v>0000</v>
      </c>
      <c r="U222" s="62" t="str">
        <f>VLOOKUP($A222,'Matriz POA 2024-TRABAJO'!$A$5:$CD$9142,66,FALSE)</f>
        <v/>
      </c>
      <c r="V222" s="62" t="str">
        <f>VLOOKUP($A222,'Matriz POA 2024-TRABAJO'!$A$5:$CD$9142,67,FALSE)</f>
        <v/>
      </c>
      <c r="W222" s="62">
        <f>VLOOKUP($A222,'Matriz POA 2024-TRABAJO'!$A$5:$CD$9142,68,FALSE)</f>
        <v>0</v>
      </c>
      <c r="X222" s="62">
        <f>VLOOKUP($A222,'Matriz POA 2024-TRABAJO'!$A$5:$CD$9142,72,FALSE)</f>
        <v>8302</v>
      </c>
      <c r="Y222" s="388">
        <v>9240</v>
      </c>
      <c r="Z222" s="388">
        <v>0</v>
      </c>
      <c r="AA222" s="388">
        <v>9240</v>
      </c>
      <c r="AB222" s="389"/>
      <c r="AC222" s="389">
        <v>-600</v>
      </c>
      <c r="AD222" s="13"/>
      <c r="AE222" s="13"/>
      <c r="AF222" s="13">
        <f t="shared" si="122"/>
        <v>8640</v>
      </c>
      <c r="AG222" s="13">
        <f t="shared" si="123"/>
        <v>0</v>
      </c>
      <c r="AH222" s="13">
        <f t="shared" si="124"/>
        <v>8640</v>
      </c>
      <c r="AI222" s="129"/>
      <c r="AJ222" s="129"/>
      <c r="AK222" s="129"/>
      <c r="AL222" s="129"/>
      <c r="AM222" s="129"/>
      <c r="AN222" s="129"/>
      <c r="AO222" s="129"/>
      <c r="AP222" s="129"/>
      <c r="AQ222" s="129"/>
      <c r="AR222" s="129"/>
      <c r="AS222" s="129"/>
      <c r="AT222" s="129"/>
      <c r="AU222" s="129">
        <f t="shared" si="125"/>
        <v>0</v>
      </c>
      <c r="AV222" s="13" t="b">
        <f t="shared" si="126"/>
        <v>0</v>
      </c>
      <c r="AW222" s="14" t="s">
        <v>1867</v>
      </c>
      <c r="AX222" s="15" t="s">
        <v>1862</v>
      </c>
      <c r="AY222" s="16">
        <v>45449</v>
      </c>
      <c r="AZ222" s="15" t="s">
        <v>1863</v>
      </c>
      <c r="BA222" s="16">
        <v>45450</v>
      </c>
      <c r="BB222" s="17">
        <f t="shared" si="131"/>
        <v>1</v>
      </c>
      <c r="BC222" s="12"/>
      <c r="BD222" s="15"/>
      <c r="BE222" s="18"/>
      <c r="BF222" s="12"/>
      <c r="BG222" s="19" t="str">
        <f t="shared" si="128"/>
        <v>junio</v>
      </c>
      <c r="BH222" s="12" t="str">
        <f t="shared" si="129"/>
        <v>Corporación Ciudad Alfaro</v>
      </c>
      <c r="BI222" s="20" t="str">
        <f t="shared" si="130"/>
        <v>N/A</v>
      </c>
    </row>
    <row r="223" spans="1:61" ht="24.95" customHeight="1">
      <c r="A223" s="8">
        <v>421</v>
      </c>
      <c r="B223" s="12" t="str">
        <f>VLOOKUP($A223,'Matriz POA 2024-TRABAJO'!$A$5:$CD$9142,11,FALSE)</f>
        <v>Corporación Ciudad Alfaro</v>
      </c>
      <c r="C223" s="12" t="str">
        <f>VLOOKUP($A223,'Matriz POA 2024-TRABAJO'!$A$5:$CD$9142,14,FALSE)</f>
        <v>N/A</v>
      </c>
      <c r="D223" s="12" t="str">
        <f>VLOOKUP($A223,'Matriz POA 2024-TRABAJO'!$A$5:$CD$9142,15,FALSE)</f>
        <v>N/A</v>
      </c>
      <c r="E223" s="12" t="str">
        <f>VLOOKUP($A223,'Matriz POA 2024-TRABAJO'!$A$5:$CD$9142,18,FALSE)</f>
        <v>N/A</v>
      </c>
      <c r="F223" s="12" t="str">
        <f>VLOOKUP($A223,'Matriz POA 2024-TRABAJO'!$A$5:$CD$9142,20,FALSE)</f>
        <v>N/A</v>
      </c>
      <c r="G223" s="12" t="str">
        <f>VLOOKUP($A223,'Matriz POA 2024-TRABAJO'!$A$5:$CD$9142,21,FALSE)</f>
        <v>N/A</v>
      </c>
      <c r="H223" s="12" t="str">
        <f>VLOOKUP($A223,'Matriz POA 2024-TRABAJO'!$A$5:$CD$9142,22,FALSE)</f>
        <v>N/A</v>
      </c>
      <c r="I223" s="12" t="str">
        <f>VLOOKUP($A223,'Matriz POA 2024-TRABAJO'!$A$5:$CD$9142,23,FALSE)</f>
        <v>NUEVA</v>
      </c>
      <c r="J223" s="12" t="str">
        <f>VLOOKUP($A223,'Matriz POA 2024-TRABAJO'!$A$5:$CD$9142,24,FALSE)</f>
        <v>Por Cargas Familiares</v>
      </c>
      <c r="K223" s="12" t="str">
        <f>VLOOKUP($A223,'Matriz POA 2024-TRABAJO'!$A$5:$CD$9142,25,FALSE)</f>
        <v>0035</v>
      </c>
      <c r="L223" s="12" t="str">
        <f>VLOOKUP($A223,'Matriz POA 2024-TRABAJO'!$A$5:$CD$9142,26,FALSE)</f>
        <v>80</v>
      </c>
      <c r="M223" s="12" t="str">
        <f>VLOOKUP($A223,'Matriz POA 2024-TRABAJO'!$A$5:$CD$9142,27,FALSE)</f>
        <v>000</v>
      </c>
      <c r="N223" s="12" t="str">
        <f>VLOOKUP($A223,'Matriz POA 2024-TRABAJO'!$A$5:$CD$9142,28,FALSE)</f>
        <v>002</v>
      </c>
      <c r="O223" s="12" t="str">
        <f>VLOOKUP($A223,'Matriz POA 2024-TRABAJO'!$A$5:$CD$9142,29,FALSE)</f>
        <v>51</v>
      </c>
      <c r="P223" s="12">
        <f>VLOOKUP($A223,'Matriz POA 2024-TRABAJO'!$A$5:$CD$9142,30,FALSE)</f>
        <v>510401</v>
      </c>
      <c r="Q223" s="12">
        <f>VLOOKUP($A223,'Matriz POA 2024-TRABAJO'!$A$5:$CD$9142,32,FALSE)</f>
        <v>1300</v>
      </c>
      <c r="R223" s="12" t="str">
        <f>VLOOKUP($A223,'Matriz POA 2024-TRABAJO'!$A$5:$CD$9142,33,FALSE)</f>
        <v>001</v>
      </c>
      <c r="S223" s="12" t="str">
        <f>VLOOKUP($A223,'Matriz POA 2024-TRABAJO'!$A$5:$CD$9142,34,FALSE)</f>
        <v>0000</v>
      </c>
      <c r="T223" s="12" t="str">
        <f>VLOOKUP($A223,'Matriz POA 2024-TRABAJO'!$A$5:$CD$9142,35,FALSE)</f>
        <v>0000</v>
      </c>
      <c r="U223" s="62" t="str">
        <f>VLOOKUP($A223,'Matriz POA 2024-TRABAJO'!$A$5:$CD$9142,66,FALSE)</f>
        <v/>
      </c>
      <c r="V223" s="62" t="str">
        <f>VLOOKUP($A223,'Matriz POA 2024-TRABAJO'!$A$5:$CD$9142,67,FALSE)</f>
        <v/>
      </c>
      <c r="W223" s="62">
        <f>VLOOKUP($A223,'Matriz POA 2024-TRABAJO'!$A$5:$CD$9142,68,FALSE)</f>
        <v>0</v>
      </c>
      <c r="X223" s="62">
        <f>VLOOKUP($A223,'Matriz POA 2024-TRABAJO'!$A$5:$CD$9142,72,FALSE)</f>
        <v>396.47999999999996</v>
      </c>
      <c r="Y223" s="388">
        <v>453.12</v>
      </c>
      <c r="Z223" s="388">
        <v>0</v>
      </c>
      <c r="AA223" s="388">
        <v>453.12</v>
      </c>
      <c r="AB223" s="389"/>
      <c r="AC223" s="389">
        <v>-60</v>
      </c>
      <c r="AD223" s="13"/>
      <c r="AE223" s="13"/>
      <c r="AF223" s="13">
        <f t="shared" si="122"/>
        <v>393.12</v>
      </c>
      <c r="AG223" s="13">
        <f t="shared" si="123"/>
        <v>0</v>
      </c>
      <c r="AH223" s="13">
        <f t="shared" si="124"/>
        <v>393.12</v>
      </c>
      <c r="AI223" s="129"/>
      <c r="AJ223" s="129"/>
      <c r="AK223" s="129"/>
      <c r="AL223" s="129"/>
      <c r="AM223" s="129"/>
      <c r="AN223" s="129"/>
      <c r="AO223" s="129"/>
      <c r="AP223" s="129"/>
      <c r="AQ223" s="129"/>
      <c r="AR223" s="129"/>
      <c r="AS223" s="129"/>
      <c r="AT223" s="129"/>
      <c r="AU223" s="129">
        <f t="shared" si="125"/>
        <v>0</v>
      </c>
      <c r="AV223" s="13" t="b">
        <f t="shared" si="126"/>
        <v>0</v>
      </c>
      <c r="AW223" s="14" t="s">
        <v>1867</v>
      </c>
      <c r="AX223" s="15" t="s">
        <v>1862</v>
      </c>
      <c r="AY223" s="16">
        <v>45449</v>
      </c>
      <c r="AZ223" s="15" t="s">
        <v>1863</v>
      </c>
      <c r="BA223" s="16">
        <v>45450</v>
      </c>
      <c r="BB223" s="17">
        <f t="shared" si="131"/>
        <v>1</v>
      </c>
      <c r="BC223" s="12"/>
      <c r="BD223" s="15"/>
      <c r="BE223" s="18"/>
      <c r="BF223" s="12"/>
      <c r="BG223" s="19" t="str">
        <f t="shared" si="128"/>
        <v>junio</v>
      </c>
      <c r="BH223" s="12" t="str">
        <f t="shared" si="129"/>
        <v>Corporación Ciudad Alfaro</v>
      </c>
      <c r="BI223" s="20" t="str">
        <f t="shared" si="130"/>
        <v>N/A</v>
      </c>
    </row>
    <row r="224" spans="1:61" ht="24.95" customHeight="1">
      <c r="A224" s="8">
        <v>422</v>
      </c>
      <c r="B224" s="12" t="str">
        <f>VLOOKUP($A224,'Matriz POA 2024-TRABAJO'!$A$5:$CD$9142,11,FALSE)</f>
        <v>Corporación Ciudad Alfaro</v>
      </c>
      <c r="C224" s="12" t="str">
        <f>VLOOKUP($A224,'Matriz POA 2024-TRABAJO'!$A$5:$CD$9142,14,FALSE)</f>
        <v>N/A</v>
      </c>
      <c r="D224" s="12" t="str">
        <f>VLOOKUP($A224,'Matriz POA 2024-TRABAJO'!$A$5:$CD$9142,15,FALSE)</f>
        <v>N/A</v>
      </c>
      <c r="E224" s="12" t="str">
        <f>VLOOKUP($A224,'Matriz POA 2024-TRABAJO'!$A$5:$CD$9142,18,FALSE)</f>
        <v>N/A</v>
      </c>
      <c r="F224" s="12" t="str">
        <f>VLOOKUP($A224,'Matriz POA 2024-TRABAJO'!$A$5:$CD$9142,20,FALSE)</f>
        <v>N/A</v>
      </c>
      <c r="G224" s="12" t="str">
        <f>VLOOKUP($A224,'Matriz POA 2024-TRABAJO'!$A$5:$CD$9142,21,FALSE)</f>
        <v>N/A</v>
      </c>
      <c r="H224" s="12" t="str">
        <f>VLOOKUP($A224,'Matriz POA 2024-TRABAJO'!$A$5:$CD$9142,22,FALSE)</f>
        <v>N/A</v>
      </c>
      <c r="I224" s="12" t="str">
        <f>VLOOKUP($A224,'Matriz POA 2024-TRABAJO'!$A$5:$CD$9142,23,FALSE)</f>
        <v>NUEVA</v>
      </c>
      <c r="J224" s="12" t="str">
        <f>VLOOKUP($A224,'Matriz POA 2024-TRABAJO'!$A$5:$CD$9142,24,FALSE)</f>
        <v>Subsidio de Antigüedad</v>
      </c>
      <c r="K224" s="12" t="str">
        <f>VLOOKUP($A224,'Matriz POA 2024-TRABAJO'!$A$5:$CD$9142,25,FALSE)</f>
        <v>0035</v>
      </c>
      <c r="L224" s="12" t="str">
        <f>VLOOKUP($A224,'Matriz POA 2024-TRABAJO'!$A$5:$CD$9142,26,FALSE)</f>
        <v>80</v>
      </c>
      <c r="M224" s="12" t="str">
        <f>VLOOKUP($A224,'Matriz POA 2024-TRABAJO'!$A$5:$CD$9142,27,FALSE)</f>
        <v>000</v>
      </c>
      <c r="N224" s="12" t="str">
        <f>VLOOKUP($A224,'Matriz POA 2024-TRABAJO'!$A$5:$CD$9142,28,FALSE)</f>
        <v>002</v>
      </c>
      <c r="O224" s="12" t="str">
        <f>VLOOKUP($A224,'Matriz POA 2024-TRABAJO'!$A$5:$CD$9142,29,FALSE)</f>
        <v>51</v>
      </c>
      <c r="P224" s="12">
        <f>VLOOKUP($A224,'Matriz POA 2024-TRABAJO'!$A$5:$CD$9142,30,FALSE)</f>
        <v>510408</v>
      </c>
      <c r="Q224" s="12">
        <f>VLOOKUP($A224,'Matriz POA 2024-TRABAJO'!$A$5:$CD$9142,32,FALSE)</f>
        <v>1300</v>
      </c>
      <c r="R224" s="12" t="str">
        <f>VLOOKUP($A224,'Matriz POA 2024-TRABAJO'!$A$5:$CD$9142,33,FALSE)</f>
        <v>001</v>
      </c>
      <c r="S224" s="12" t="str">
        <f>VLOOKUP($A224,'Matriz POA 2024-TRABAJO'!$A$5:$CD$9142,34,FALSE)</f>
        <v>0000</v>
      </c>
      <c r="T224" s="12" t="str">
        <f>VLOOKUP($A224,'Matriz POA 2024-TRABAJO'!$A$5:$CD$9142,35,FALSE)</f>
        <v>0000</v>
      </c>
      <c r="U224" s="62" t="str">
        <f>VLOOKUP($A224,'Matriz POA 2024-TRABAJO'!$A$5:$CD$9142,66,FALSE)</f>
        <v/>
      </c>
      <c r="V224" s="62" t="str">
        <f>VLOOKUP($A224,'Matriz POA 2024-TRABAJO'!$A$5:$CD$9142,67,FALSE)</f>
        <v/>
      </c>
      <c r="W224" s="62">
        <f>VLOOKUP($A224,'Matriz POA 2024-TRABAJO'!$A$5:$CD$9142,68,FALSE)</f>
        <v>0</v>
      </c>
      <c r="X224" s="62">
        <f>VLOOKUP($A224,'Matriz POA 2024-TRABAJO'!$A$5:$CD$9142,72,FALSE)</f>
        <v>443.83</v>
      </c>
      <c r="Y224" s="388">
        <v>1010</v>
      </c>
      <c r="Z224" s="388">
        <v>0</v>
      </c>
      <c r="AA224" s="388">
        <v>1010</v>
      </c>
      <c r="AB224" s="389"/>
      <c r="AC224" s="389">
        <v>-500</v>
      </c>
      <c r="AD224" s="13"/>
      <c r="AE224" s="13"/>
      <c r="AF224" s="13">
        <f t="shared" si="122"/>
        <v>510</v>
      </c>
      <c r="AG224" s="13">
        <f t="shared" si="123"/>
        <v>0</v>
      </c>
      <c r="AH224" s="13">
        <f t="shared" si="124"/>
        <v>510</v>
      </c>
      <c r="AI224" s="129"/>
      <c r="AJ224" s="129"/>
      <c r="AK224" s="129"/>
      <c r="AL224" s="129"/>
      <c r="AM224" s="129"/>
      <c r="AN224" s="129"/>
      <c r="AO224" s="129"/>
      <c r="AP224" s="129"/>
      <c r="AQ224" s="129"/>
      <c r="AR224" s="129"/>
      <c r="AS224" s="129"/>
      <c r="AT224" s="129"/>
      <c r="AU224" s="129">
        <f t="shared" si="125"/>
        <v>0</v>
      </c>
      <c r="AV224" s="13" t="b">
        <f t="shared" si="126"/>
        <v>0</v>
      </c>
      <c r="AW224" s="14" t="s">
        <v>1867</v>
      </c>
      <c r="AX224" s="15" t="s">
        <v>1862</v>
      </c>
      <c r="AY224" s="16">
        <v>45449</v>
      </c>
      <c r="AZ224" s="15" t="s">
        <v>1863</v>
      </c>
      <c r="BA224" s="16">
        <v>45450</v>
      </c>
      <c r="BB224" s="17">
        <f t="shared" si="131"/>
        <v>1</v>
      </c>
      <c r="BC224" s="12"/>
      <c r="BD224" s="15"/>
      <c r="BE224" s="18"/>
      <c r="BF224" s="12"/>
      <c r="BG224" s="19" t="str">
        <f t="shared" si="128"/>
        <v>junio</v>
      </c>
      <c r="BH224" s="12" t="str">
        <f t="shared" si="129"/>
        <v>Corporación Ciudad Alfaro</v>
      </c>
      <c r="BI224" s="20" t="str">
        <f t="shared" si="130"/>
        <v>N/A</v>
      </c>
    </row>
    <row r="225" spans="1:61" ht="24.95" customHeight="1">
      <c r="A225" s="8">
        <v>424</v>
      </c>
      <c r="B225" s="12" t="str">
        <f>VLOOKUP($A225,'Matriz POA 2024-TRABAJO'!$A$5:$CD$9142,11,FALSE)</f>
        <v>Corporación Ciudad Alfaro</v>
      </c>
      <c r="C225" s="12" t="str">
        <f>VLOOKUP($A225,'Matriz POA 2024-TRABAJO'!$A$5:$CD$9142,14,FALSE)</f>
        <v>N/A</v>
      </c>
      <c r="D225" s="12" t="str">
        <f>VLOOKUP($A225,'Matriz POA 2024-TRABAJO'!$A$5:$CD$9142,15,FALSE)</f>
        <v>N/A</v>
      </c>
      <c r="E225" s="12" t="str">
        <f>VLOOKUP($A225,'Matriz POA 2024-TRABAJO'!$A$5:$CD$9142,18,FALSE)</f>
        <v>N/A</v>
      </c>
      <c r="F225" s="12" t="str">
        <f>VLOOKUP($A225,'Matriz POA 2024-TRABAJO'!$A$5:$CD$9142,20,FALSE)</f>
        <v>N/A</v>
      </c>
      <c r="G225" s="12" t="str">
        <f>VLOOKUP($A225,'Matriz POA 2024-TRABAJO'!$A$5:$CD$9142,21,FALSE)</f>
        <v>N/A</v>
      </c>
      <c r="H225" s="12" t="str">
        <f>VLOOKUP($A225,'Matriz POA 2024-TRABAJO'!$A$5:$CD$9142,22,FALSE)</f>
        <v>N/A</v>
      </c>
      <c r="I225" s="12" t="str">
        <f>VLOOKUP($A225,'Matriz POA 2024-TRABAJO'!$A$5:$CD$9142,23,FALSE)</f>
        <v>NUEVA</v>
      </c>
      <c r="J225" s="12" t="str">
        <f>VLOOKUP($A225,'Matriz POA 2024-TRABAJO'!$A$5:$CD$9142,24,FALSE)</f>
        <v xml:space="preserve">Aporte Patronal </v>
      </c>
      <c r="K225" s="12" t="str">
        <f>VLOOKUP($A225,'Matriz POA 2024-TRABAJO'!$A$5:$CD$9142,25,FALSE)</f>
        <v>0035</v>
      </c>
      <c r="L225" s="12" t="str">
        <f>VLOOKUP($A225,'Matriz POA 2024-TRABAJO'!$A$5:$CD$9142,26,FALSE)</f>
        <v>80</v>
      </c>
      <c r="M225" s="12" t="str">
        <f>VLOOKUP($A225,'Matriz POA 2024-TRABAJO'!$A$5:$CD$9142,27,FALSE)</f>
        <v>000</v>
      </c>
      <c r="N225" s="12" t="str">
        <f>VLOOKUP($A225,'Matriz POA 2024-TRABAJO'!$A$5:$CD$9142,28,FALSE)</f>
        <v>002</v>
      </c>
      <c r="O225" s="12" t="str">
        <f>VLOOKUP($A225,'Matriz POA 2024-TRABAJO'!$A$5:$CD$9142,29,FALSE)</f>
        <v>51</v>
      </c>
      <c r="P225" s="12">
        <f>VLOOKUP($A225,'Matriz POA 2024-TRABAJO'!$A$5:$CD$9142,30,FALSE)</f>
        <v>510601</v>
      </c>
      <c r="Q225" s="12">
        <f>VLOOKUP($A225,'Matriz POA 2024-TRABAJO'!$A$5:$CD$9142,32,FALSE)</f>
        <v>1300</v>
      </c>
      <c r="R225" s="12" t="str">
        <f>VLOOKUP($A225,'Matriz POA 2024-TRABAJO'!$A$5:$CD$9142,33,FALSE)</f>
        <v>001</v>
      </c>
      <c r="S225" s="12" t="str">
        <f>VLOOKUP($A225,'Matriz POA 2024-TRABAJO'!$A$5:$CD$9142,34,FALSE)</f>
        <v>0000</v>
      </c>
      <c r="T225" s="12" t="str">
        <f>VLOOKUP($A225,'Matriz POA 2024-TRABAJO'!$A$5:$CD$9142,35,FALSE)</f>
        <v>0000</v>
      </c>
      <c r="U225" s="62">
        <f>VLOOKUP($A225,'Matriz POA 2024-TRABAJO'!$A$5:$CD$9142,66,FALSE)</f>
        <v>38582.559999999998</v>
      </c>
      <c r="V225" s="62">
        <f>VLOOKUP($A225,'Matriz POA 2024-TRABAJO'!$A$5:$CD$9142,67,FALSE)</f>
        <v>-584.79000000000087</v>
      </c>
      <c r="W225" s="62">
        <f>VLOOKUP($A225,'Matriz POA 2024-TRABAJO'!$A$5:$CD$9142,68,FALSE)</f>
        <v>0</v>
      </c>
      <c r="X225" s="62">
        <f>VLOOKUP($A225,'Matriz POA 2024-TRABAJO'!$A$5:$CD$9142,72,FALSE)</f>
        <v>37446.300000000003</v>
      </c>
      <c r="Y225" s="388">
        <v>38782.559999999998</v>
      </c>
      <c r="Z225" s="388">
        <v>0</v>
      </c>
      <c r="AA225" s="388">
        <v>38782.559999999998</v>
      </c>
      <c r="AB225" s="389"/>
      <c r="AC225" s="389">
        <v>-200</v>
      </c>
      <c r="AD225" s="13"/>
      <c r="AE225" s="13"/>
      <c r="AF225" s="13">
        <f t="shared" ref="AF225" si="132">Y225+AB225+AC225</f>
        <v>38582.559999999998</v>
      </c>
      <c r="AG225" s="13">
        <f t="shared" ref="AG225" si="133">Z225+AD225+AE225</f>
        <v>0</v>
      </c>
      <c r="AH225" s="13">
        <f t="shared" ref="AH225" si="134">+AF225+AG225</f>
        <v>38582.559999999998</v>
      </c>
      <c r="AI225" s="129"/>
      <c r="AJ225" s="129"/>
      <c r="AK225" s="129"/>
      <c r="AL225" s="129"/>
      <c r="AM225" s="129"/>
      <c r="AN225" s="129"/>
      <c r="AO225" s="129"/>
      <c r="AP225" s="129"/>
      <c r="AQ225" s="129"/>
      <c r="AR225" s="129"/>
      <c r="AS225" s="129"/>
      <c r="AT225" s="129"/>
      <c r="AU225" s="129">
        <f t="shared" ref="AU225" si="135">SUM(AI225:AT225)</f>
        <v>0</v>
      </c>
      <c r="AV225" s="13" t="b">
        <f t="shared" ref="AV225" si="136">SUM(AI225:AT225)=AH225</f>
        <v>0</v>
      </c>
      <c r="AW225" s="14" t="s">
        <v>1867</v>
      </c>
      <c r="AX225" s="15" t="s">
        <v>1862</v>
      </c>
      <c r="AY225" s="16">
        <v>45449</v>
      </c>
      <c r="AZ225" s="15" t="s">
        <v>1863</v>
      </c>
      <c r="BA225" s="16">
        <v>45450</v>
      </c>
      <c r="BB225" s="17">
        <f t="shared" ref="BB225" si="137">BA225-AY225</f>
        <v>1</v>
      </c>
      <c r="BC225" s="12"/>
      <c r="BD225" s="15"/>
      <c r="BE225" s="18"/>
      <c r="BF225" s="12"/>
      <c r="BG225" s="19" t="str">
        <f t="shared" ref="BG225" si="138">TEXT(BA225,"MMMM")</f>
        <v>junio</v>
      </c>
      <c r="BH225" s="12" t="str">
        <f t="shared" ref="BH225" si="139">B225</f>
        <v>Corporación Ciudad Alfaro</v>
      </c>
      <c r="BI225" s="20" t="str">
        <f t="shared" ref="BI225" si="140">E225</f>
        <v>N/A</v>
      </c>
    </row>
    <row r="226" spans="1:61" ht="24.95" customHeight="1">
      <c r="A226" s="8">
        <v>425</v>
      </c>
      <c r="B226" s="12" t="str">
        <f>VLOOKUP($A226,'Matriz POA 2024-TRABAJO'!$A$5:$CD$9142,11,FALSE)</f>
        <v>Corporación Ciudad Alfaro</v>
      </c>
      <c r="C226" s="12" t="str">
        <f>VLOOKUP($A226,'Matriz POA 2024-TRABAJO'!$A$5:$CD$9142,14,FALSE)</f>
        <v>N/A</v>
      </c>
      <c r="D226" s="12" t="str">
        <f>VLOOKUP($A226,'Matriz POA 2024-TRABAJO'!$A$5:$CD$9142,15,FALSE)</f>
        <v>N/A</v>
      </c>
      <c r="E226" s="12" t="str">
        <f>VLOOKUP($A226,'Matriz POA 2024-TRABAJO'!$A$5:$CD$9142,18,FALSE)</f>
        <v>N/A</v>
      </c>
      <c r="F226" s="12" t="str">
        <f>VLOOKUP($A226,'Matriz POA 2024-TRABAJO'!$A$5:$CD$9142,20,FALSE)</f>
        <v>N/A</v>
      </c>
      <c r="G226" s="12" t="str">
        <f>VLOOKUP($A226,'Matriz POA 2024-TRABAJO'!$A$5:$CD$9142,21,FALSE)</f>
        <v>N/A</v>
      </c>
      <c r="H226" s="12" t="str">
        <f>VLOOKUP($A226,'Matriz POA 2024-TRABAJO'!$A$5:$CD$9142,22,FALSE)</f>
        <v>N/A</v>
      </c>
      <c r="I226" s="12" t="str">
        <f>VLOOKUP($A226,'Matriz POA 2024-TRABAJO'!$A$5:$CD$9142,23,FALSE)</f>
        <v>NUEVA</v>
      </c>
      <c r="J226" s="12" t="str">
        <f>VLOOKUP($A226,'Matriz POA 2024-TRABAJO'!$A$5:$CD$9142,24,FALSE)</f>
        <v>Fondo de Reserva</v>
      </c>
      <c r="K226" s="12" t="str">
        <f>VLOOKUP($A226,'Matriz POA 2024-TRABAJO'!$A$5:$CD$9142,25,FALSE)</f>
        <v>0035</v>
      </c>
      <c r="L226" s="12" t="str">
        <f>VLOOKUP($A226,'Matriz POA 2024-TRABAJO'!$A$5:$CD$9142,26,FALSE)</f>
        <v>80</v>
      </c>
      <c r="M226" s="12" t="str">
        <f>VLOOKUP($A226,'Matriz POA 2024-TRABAJO'!$A$5:$CD$9142,27,FALSE)</f>
        <v>000</v>
      </c>
      <c r="N226" s="12" t="str">
        <f>VLOOKUP($A226,'Matriz POA 2024-TRABAJO'!$A$5:$CD$9142,28,FALSE)</f>
        <v>002</v>
      </c>
      <c r="O226" s="12" t="str">
        <f>VLOOKUP($A226,'Matriz POA 2024-TRABAJO'!$A$5:$CD$9142,29,FALSE)</f>
        <v>51</v>
      </c>
      <c r="P226" s="12">
        <f>VLOOKUP($A226,'Matriz POA 2024-TRABAJO'!$A$5:$CD$9142,30,FALSE)</f>
        <v>510602</v>
      </c>
      <c r="Q226" s="12">
        <f>VLOOKUP($A226,'Matriz POA 2024-TRABAJO'!$A$5:$CD$9142,32,FALSE)</f>
        <v>1300</v>
      </c>
      <c r="R226" s="12" t="str">
        <f>VLOOKUP($A226,'Matriz POA 2024-TRABAJO'!$A$5:$CD$9142,33,FALSE)</f>
        <v>001</v>
      </c>
      <c r="S226" s="12" t="str">
        <f>VLOOKUP($A226,'Matriz POA 2024-TRABAJO'!$A$5:$CD$9142,34,FALSE)</f>
        <v>0000</v>
      </c>
      <c r="T226" s="12" t="str">
        <f>VLOOKUP($A226,'Matriz POA 2024-TRABAJO'!$A$5:$CD$9142,35,FALSE)</f>
        <v>0000</v>
      </c>
      <c r="U226" s="62">
        <f>VLOOKUP($A226,'Matriz POA 2024-TRABAJO'!$A$5:$CD$9142,66,FALSE)</f>
        <v>28176.35</v>
      </c>
      <c r="V226" s="62">
        <f>VLOOKUP($A226,'Matriz POA 2024-TRABAJO'!$A$5:$CD$9142,67,FALSE)</f>
        <v>-605.7599999999984</v>
      </c>
      <c r="W226" s="62">
        <f>VLOOKUP($A226,'Matriz POA 2024-TRABAJO'!$A$5:$CD$9142,68,FALSE)</f>
        <v>0</v>
      </c>
      <c r="X226" s="62">
        <f>VLOOKUP($A226,'Matriz POA 2024-TRABAJO'!$A$5:$CD$9142,72,FALSE)</f>
        <v>27296</v>
      </c>
      <c r="Y226" s="388">
        <v>29476.809999999998</v>
      </c>
      <c r="Z226" s="388">
        <v>0</v>
      </c>
      <c r="AA226" s="388">
        <v>29476.809999999998</v>
      </c>
      <c r="AB226" s="389"/>
      <c r="AC226" s="389">
        <v>-1300.46</v>
      </c>
      <c r="AD226" s="13"/>
      <c r="AE226" s="13"/>
      <c r="AF226" s="13">
        <f t="shared" ref="AF226:AF227" si="141">Y226+AB226+AC226</f>
        <v>28176.35</v>
      </c>
      <c r="AG226" s="13">
        <f t="shared" ref="AG226:AG227" si="142">Z226+AD226+AE226</f>
        <v>0</v>
      </c>
      <c r="AH226" s="13">
        <f t="shared" ref="AH226:AH227" si="143">+AF226+AG226</f>
        <v>28176.35</v>
      </c>
      <c r="AI226" s="129"/>
      <c r="AJ226" s="129"/>
      <c r="AK226" s="129"/>
      <c r="AL226" s="129"/>
      <c r="AM226" s="129"/>
      <c r="AN226" s="129"/>
      <c r="AO226" s="129"/>
      <c r="AP226" s="129"/>
      <c r="AQ226" s="129"/>
      <c r="AR226" s="129"/>
      <c r="AS226" s="129"/>
      <c r="AT226" s="129"/>
      <c r="AU226" s="129">
        <f t="shared" ref="AU226:AU227" si="144">SUM(AI226:AT226)</f>
        <v>0</v>
      </c>
      <c r="AV226" s="13" t="b">
        <f t="shared" ref="AV226:AV227" si="145">SUM(AI226:AT226)=AH226</f>
        <v>0</v>
      </c>
      <c r="AW226" s="14" t="s">
        <v>1867</v>
      </c>
      <c r="AX226" s="15" t="s">
        <v>1862</v>
      </c>
      <c r="AY226" s="16">
        <v>45449</v>
      </c>
      <c r="AZ226" s="15" t="s">
        <v>1863</v>
      </c>
      <c r="BA226" s="16">
        <v>45450</v>
      </c>
      <c r="BB226" s="17">
        <f t="shared" si="127"/>
        <v>1</v>
      </c>
      <c r="BC226" s="12"/>
      <c r="BD226" s="15"/>
      <c r="BE226" s="18"/>
      <c r="BF226" s="12"/>
      <c r="BG226" s="19" t="str">
        <f t="shared" ref="BG226:BG227" si="146">TEXT(BA226,"MMMM")</f>
        <v>junio</v>
      </c>
      <c r="BH226" s="12" t="str">
        <f t="shared" ref="BH226:BH227" si="147">B226</f>
        <v>Corporación Ciudad Alfaro</v>
      </c>
      <c r="BI226" s="20" t="str">
        <f t="shared" ref="BI226:BI227" si="148">E226</f>
        <v>N/A</v>
      </c>
    </row>
    <row r="227" spans="1:61" ht="24.95" customHeight="1">
      <c r="A227" s="8">
        <v>741</v>
      </c>
      <c r="B227" s="12" t="str">
        <f>VLOOKUP($A227,'Matriz POA 2024-TRABAJO'!$A$5:$CD$9142,11,FALSE)</f>
        <v>Corporación Ciudad Alfaro</v>
      </c>
      <c r="C227" s="12" t="str">
        <f>VLOOKUP($A227,'Matriz POA 2024-TRABAJO'!$A$5:$CD$9142,14,FALSE)</f>
        <v>N/A</v>
      </c>
      <c r="D227" s="12" t="str">
        <f>VLOOKUP($A227,'Matriz POA 2024-TRABAJO'!$A$5:$CD$9142,15,FALSE)</f>
        <v>N/A</v>
      </c>
      <c r="E227" s="12" t="str">
        <f>VLOOKUP($A227,'Matriz POA 2024-TRABAJO'!$A$5:$CD$9142,18,FALSE)</f>
        <v>N/A</v>
      </c>
      <c r="F227" s="12" t="str">
        <f>VLOOKUP($A227,'Matriz POA 2024-TRABAJO'!$A$5:$CD$9142,20,FALSE)</f>
        <v>N/A</v>
      </c>
      <c r="G227" s="12" t="str">
        <f>VLOOKUP($A227,'Matriz POA 2024-TRABAJO'!$A$5:$CD$9142,21,FALSE)</f>
        <v>N/A</v>
      </c>
      <c r="H227" s="12" t="str">
        <f>VLOOKUP($A227,'Matriz POA 2024-TRABAJO'!$A$5:$CD$9142,22,FALSE)</f>
        <v>N/A</v>
      </c>
      <c r="I227" s="12" t="str">
        <f>VLOOKUP($A227,'Matriz POA 2024-TRABAJO'!$A$5:$CD$9142,23,FALSE)</f>
        <v>NUEVA</v>
      </c>
      <c r="J227" s="12" t="str">
        <f>VLOOKUP($A227,'Matriz POA 2024-TRABAJO'!$A$5:$CD$9142,24,FALSE)</f>
        <v>Obligaciones de Ejercicios Anteriores por Egresos de Personal</v>
      </c>
      <c r="K227" s="12" t="str">
        <f>VLOOKUP($A227,'Matriz POA 2024-TRABAJO'!$A$5:$CD$9142,25,FALSE)</f>
        <v>0035</v>
      </c>
      <c r="L227" s="12" t="str">
        <f>VLOOKUP($A227,'Matriz POA 2024-TRABAJO'!$A$5:$CD$9142,26,FALSE)</f>
        <v>80</v>
      </c>
      <c r="M227" s="12" t="str">
        <f>VLOOKUP($A227,'Matriz POA 2024-TRABAJO'!$A$5:$CD$9142,27,FALSE)</f>
        <v>000</v>
      </c>
      <c r="N227" s="12" t="str">
        <f>VLOOKUP($A227,'Matriz POA 2024-TRABAJO'!$A$5:$CD$9142,28,FALSE)</f>
        <v>002</v>
      </c>
      <c r="O227" s="12" t="str">
        <f>VLOOKUP($A227,'Matriz POA 2024-TRABAJO'!$A$5:$CD$9142,29,FALSE)</f>
        <v>99</v>
      </c>
      <c r="P227" s="12">
        <f>VLOOKUP($A227,'Matriz POA 2024-TRABAJO'!$A$5:$CD$9142,30,FALSE)</f>
        <v>990101</v>
      </c>
      <c r="Q227" s="12">
        <f>VLOOKUP($A227,'Matriz POA 2024-TRABAJO'!$A$5:$CD$9142,32,FALSE)</f>
        <v>1309</v>
      </c>
      <c r="R227" s="12" t="str">
        <f>VLOOKUP($A227,'Matriz POA 2024-TRABAJO'!$A$5:$CD$9142,33,FALSE)</f>
        <v>001</v>
      </c>
      <c r="S227" s="12" t="str">
        <f>VLOOKUP($A227,'Matriz POA 2024-TRABAJO'!$A$5:$CD$9142,34,FALSE)</f>
        <v>0000</v>
      </c>
      <c r="T227" s="12" t="str">
        <f>VLOOKUP($A227,'Matriz POA 2024-TRABAJO'!$A$5:$CD$9142,35,FALSE)</f>
        <v>0000</v>
      </c>
      <c r="U227" s="62">
        <f>VLOOKUP($A227,'Matriz POA 2024-TRABAJO'!$A$5:$CD$9142,66,FALSE)</f>
        <v>11120.92</v>
      </c>
      <c r="V227" s="62">
        <f>VLOOKUP($A227,'Matriz POA 2024-TRABAJO'!$A$5:$CD$9142,67,FALSE)</f>
        <v>-5560.46</v>
      </c>
      <c r="W227" s="62">
        <f>VLOOKUP($A227,'Matriz POA 2024-TRABAJO'!$A$5:$CD$9142,68,FALSE)</f>
        <v>0</v>
      </c>
      <c r="X227" s="62">
        <f>VLOOKUP($A227,'Matriz POA 2024-TRABAJO'!$A$5:$CD$9142,72,FALSE)</f>
        <v>5560.46</v>
      </c>
      <c r="Y227" s="388">
        <v>0</v>
      </c>
      <c r="Z227" s="388">
        <v>0</v>
      </c>
      <c r="AA227" s="388">
        <v>0</v>
      </c>
      <c r="AB227" s="389">
        <v>5560.46</v>
      </c>
      <c r="AC227" s="389"/>
      <c r="AD227" s="13"/>
      <c r="AE227" s="13"/>
      <c r="AF227" s="13">
        <f t="shared" si="141"/>
        <v>5560.46</v>
      </c>
      <c r="AG227" s="13">
        <f t="shared" si="142"/>
        <v>0</v>
      </c>
      <c r="AH227" s="13">
        <f t="shared" si="143"/>
        <v>5560.46</v>
      </c>
      <c r="AI227" s="129"/>
      <c r="AJ227" s="129"/>
      <c r="AK227" s="129"/>
      <c r="AL227" s="129"/>
      <c r="AM227" s="129"/>
      <c r="AN227" s="129"/>
      <c r="AO227" s="129"/>
      <c r="AP227" s="129"/>
      <c r="AQ227" s="129"/>
      <c r="AR227" s="129"/>
      <c r="AS227" s="129"/>
      <c r="AT227" s="129"/>
      <c r="AU227" s="129">
        <f t="shared" si="144"/>
        <v>0</v>
      </c>
      <c r="AV227" s="13" t="b">
        <f t="shared" si="145"/>
        <v>0</v>
      </c>
      <c r="AW227" s="14" t="s">
        <v>1867</v>
      </c>
      <c r="AX227" s="15" t="s">
        <v>1862</v>
      </c>
      <c r="AY227" s="16">
        <v>45449</v>
      </c>
      <c r="AZ227" s="15" t="s">
        <v>1863</v>
      </c>
      <c r="BA227" s="16">
        <v>45450</v>
      </c>
      <c r="BB227" s="17">
        <f t="shared" si="127"/>
        <v>1</v>
      </c>
      <c r="BC227" s="12"/>
      <c r="BD227" s="15"/>
      <c r="BE227" s="18"/>
      <c r="BF227" s="12"/>
      <c r="BG227" s="19" t="str">
        <f t="shared" si="146"/>
        <v>junio</v>
      </c>
      <c r="BH227" s="12" t="str">
        <f t="shared" si="147"/>
        <v>Corporación Ciudad Alfaro</v>
      </c>
      <c r="BI227" s="20" t="str">
        <f t="shared" si="148"/>
        <v>N/A</v>
      </c>
    </row>
    <row r="228" spans="1:61" ht="24.95" customHeight="1">
      <c r="A228" s="452">
        <v>427</v>
      </c>
      <c r="B228" s="12" t="str">
        <f>VLOOKUP($A228,'Matriz POA 2024-TRABAJO'!$A$5:$CD$9142,11,FALSE)</f>
        <v>Corporación Ciudad Alfaro</v>
      </c>
      <c r="C228" s="12" t="str">
        <f>VLOOKUP($A228,'Matriz POA 2024-TRABAJO'!$A$5:$CD$9142,14,FALSE)</f>
        <v>N/A</v>
      </c>
      <c r="D228" s="12" t="str">
        <f>VLOOKUP($A228,'Matriz POA 2024-TRABAJO'!$A$5:$CD$9142,15,FALSE)</f>
        <v>N/A</v>
      </c>
      <c r="E228" s="12" t="str">
        <f>VLOOKUP($A228,'Matriz POA 2024-TRABAJO'!$A$5:$CD$9142,18,FALSE)</f>
        <v>N/A</v>
      </c>
      <c r="F228" s="12" t="str">
        <f>VLOOKUP($A228,'Matriz POA 2024-TRABAJO'!$A$5:$CD$9142,20,FALSE)</f>
        <v>N/A</v>
      </c>
      <c r="G228" s="12" t="str">
        <f>VLOOKUP($A228,'Matriz POA 2024-TRABAJO'!$A$5:$CD$9142,21,FALSE)</f>
        <v>N/A</v>
      </c>
      <c r="H228" s="12" t="str">
        <f>VLOOKUP($A228,'Matriz POA 2024-TRABAJO'!$A$5:$CD$9142,22,FALSE)</f>
        <v>N/A</v>
      </c>
      <c r="I228" s="12" t="str">
        <f>VLOOKUP($A228,'Matriz POA 2024-TRABAJO'!$A$5:$CD$9142,23,FALSE)</f>
        <v>NUEVA</v>
      </c>
      <c r="J228" s="12" t="str">
        <f>VLOOKUP($A228,'Matriz POA 2024-TRABAJO'!$A$5:$CD$9142,24,FALSE)</f>
        <v>Pago de servicio de telefonía fija de la Sede Museo y Centro Cultural de Manta</v>
      </c>
      <c r="K228" s="12" t="str">
        <f>VLOOKUP($A228,'Matriz POA 2024-TRABAJO'!$A$5:$CD$9142,25,FALSE)</f>
        <v>0035</v>
      </c>
      <c r="L228" s="12" t="str">
        <f>VLOOKUP($A228,'Matriz POA 2024-TRABAJO'!$A$5:$CD$9142,26,FALSE)</f>
        <v>80</v>
      </c>
      <c r="M228" s="12" t="str">
        <f>VLOOKUP($A228,'Matriz POA 2024-TRABAJO'!$A$5:$CD$9142,27,FALSE)</f>
        <v>000</v>
      </c>
      <c r="N228" s="12" t="str">
        <f>VLOOKUP($A228,'Matriz POA 2024-TRABAJO'!$A$5:$CD$9142,28,FALSE)</f>
        <v>002</v>
      </c>
      <c r="O228" s="12" t="str">
        <f>VLOOKUP($A228,'Matriz POA 2024-TRABAJO'!$A$5:$CD$9142,29,FALSE)</f>
        <v>53</v>
      </c>
      <c r="P228" s="12">
        <f>VLOOKUP($A228,'Matriz POA 2024-TRABAJO'!$A$5:$CD$9142,30,FALSE)</f>
        <v>530105</v>
      </c>
      <c r="Q228" s="12">
        <f>VLOOKUP($A228,'Matriz POA 2024-TRABAJO'!$A$5:$CD$9142,32,FALSE)</f>
        <v>1308</v>
      </c>
      <c r="R228" s="12" t="str">
        <f>VLOOKUP($A228,'Matriz POA 2024-TRABAJO'!$A$5:$CD$9142,33,FALSE)</f>
        <v>001</v>
      </c>
      <c r="S228" s="12" t="str">
        <f>VLOOKUP($A228,'Matriz POA 2024-TRABAJO'!$A$5:$CD$9142,34,FALSE)</f>
        <v>0000</v>
      </c>
      <c r="T228" s="12" t="str">
        <f>VLOOKUP($A228,'Matriz POA 2024-TRABAJO'!$A$5:$CD$9142,35,FALSE)</f>
        <v>0000</v>
      </c>
      <c r="U228" s="62">
        <f>VLOOKUP($A228,'Matriz POA 2024-TRABAJO'!$A$5:$CD$9142,66,FALSE)</f>
        <v>500</v>
      </c>
      <c r="V228" s="62">
        <f>VLOOKUP($A228,'Matriz POA 2024-TRABAJO'!$A$5:$CD$9142,67,FALSE)</f>
        <v>-500</v>
      </c>
      <c r="W228" s="62">
        <f>VLOOKUP($A228,'Matriz POA 2024-TRABAJO'!$A$5:$CD$9142,68,FALSE)</f>
        <v>0</v>
      </c>
      <c r="X228" s="62" t="str">
        <f>VLOOKUP($A228,'Matriz POA 2024-TRABAJO'!$A$5:$CD$9142,72,FALSE)</f>
        <v/>
      </c>
      <c r="Y228" s="388">
        <v>500</v>
      </c>
      <c r="Z228" s="388">
        <v>0</v>
      </c>
      <c r="AA228" s="388">
        <v>500</v>
      </c>
      <c r="AB228" s="389"/>
      <c r="AC228" s="389">
        <v>-500</v>
      </c>
      <c r="AD228" s="13"/>
      <c r="AE228" s="13"/>
      <c r="AF228" s="13">
        <f t="shared" ref="AF228" si="149">Y228+AB228+AC228</f>
        <v>0</v>
      </c>
      <c r="AG228" s="13">
        <f t="shared" ref="AG228" si="150">Z228+AD228+AE228</f>
        <v>0</v>
      </c>
      <c r="AH228" s="13">
        <f t="shared" ref="AH228" si="151">+AF228+AG228</f>
        <v>0</v>
      </c>
      <c r="AI228" s="129"/>
      <c r="AJ228" s="129"/>
      <c r="AK228" s="129"/>
      <c r="AL228" s="129"/>
      <c r="AM228" s="129"/>
      <c r="AN228" s="129"/>
      <c r="AO228" s="129"/>
      <c r="AP228" s="129"/>
      <c r="AQ228" s="129"/>
      <c r="AR228" s="129"/>
      <c r="AS228" s="129"/>
      <c r="AT228" s="129"/>
      <c r="AU228" s="129">
        <f t="shared" ref="AU228" si="152">SUM(AI228:AT228)</f>
        <v>0</v>
      </c>
      <c r="AV228" s="13" t="b">
        <f t="shared" ref="AV228" si="153">SUM(AI228:AT228)=AH228</f>
        <v>1</v>
      </c>
      <c r="AW228" s="14" t="s">
        <v>1870</v>
      </c>
      <c r="AX228" s="15" t="s">
        <v>1872</v>
      </c>
      <c r="AY228" s="16">
        <v>45448</v>
      </c>
      <c r="AZ228" s="15" t="s">
        <v>1871</v>
      </c>
      <c r="BA228" s="16">
        <v>45453</v>
      </c>
      <c r="BB228" s="17">
        <f>BA228-AY228-2</f>
        <v>3</v>
      </c>
      <c r="BC228" s="12"/>
      <c r="BD228" s="15"/>
      <c r="BE228" s="18"/>
      <c r="BF228" s="12"/>
      <c r="BG228" s="19" t="str">
        <f t="shared" ref="BG228" si="154">TEXT(BA228,"MMMM")</f>
        <v>junio</v>
      </c>
      <c r="BH228" s="12" t="str">
        <f t="shared" ref="BH228" si="155">B228</f>
        <v>Corporación Ciudad Alfaro</v>
      </c>
      <c r="BI228" s="20" t="str">
        <f t="shared" ref="BI228" si="156">E228</f>
        <v>N/A</v>
      </c>
    </row>
    <row r="229" spans="1:61" ht="24.95" customHeight="1">
      <c r="A229" s="452">
        <v>428</v>
      </c>
      <c r="B229" s="12" t="str">
        <f>VLOOKUP($A229,'Matriz POA 2024-TRABAJO'!$A$5:$CD$9142,11,FALSE)</f>
        <v>Corporación Ciudad Alfaro</v>
      </c>
      <c r="C229" s="12" t="str">
        <f>VLOOKUP($A229,'Matriz POA 2024-TRABAJO'!$A$5:$CD$9142,14,FALSE)</f>
        <v>N/A</v>
      </c>
      <c r="D229" s="12" t="str">
        <f>VLOOKUP($A229,'Matriz POA 2024-TRABAJO'!$A$5:$CD$9142,15,FALSE)</f>
        <v>N/A</v>
      </c>
      <c r="E229" s="12" t="str">
        <f>VLOOKUP($A229,'Matriz POA 2024-TRABAJO'!$A$5:$CD$9142,18,FALSE)</f>
        <v>N/A</v>
      </c>
      <c r="F229" s="12" t="str">
        <f>VLOOKUP($A229,'Matriz POA 2024-TRABAJO'!$A$5:$CD$9142,20,FALSE)</f>
        <v>N/A</v>
      </c>
      <c r="G229" s="12" t="str">
        <f>VLOOKUP($A229,'Matriz POA 2024-TRABAJO'!$A$5:$CD$9142,21,FALSE)</f>
        <v>N/A</v>
      </c>
      <c r="H229" s="12" t="str">
        <f>VLOOKUP($A229,'Matriz POA 2024-TRABAJO'!$A$5:$CD$9142,22,FALSE)</f>
        <v>N/A</v>
      </c>
      <c r="I229" s="12" t="str">
        <f>VLOOKUP($A229,'Matriz POA 2024-TRABAJO'!$A$5:$CD$9142,23,FALSE)</f>
        <v>NUEVA</v>
      </c>
      <c r="J229" s="12" t="str">
        <f>VLOOKUP($A229,'Matriz POA 2024-TRABAJO'!$A$5:$CD$9142,24,FALSE)</f>
        <v>Pago del servicio de telefonía fija de la Sede Museo Bahía de Caráquez</v>
      </c>
      <c r="K229" s="12" t="str">
        <f>VLOOKUP($A229,'Matriz POA 2024-TRABAJO'!$A$5:$CD$9142,25,FALSE)</f>
        <v>0035</v>
      </c>
      <c r="L229" s="12" t="str">
        <f>VLOOKUP($A229,'Matriz POA 2024-TRABAJO'!$A$5:$CD$9142,26,FALSE)</f>
        <v>80</v>
      </c>
      <c r="M229" s="12" t="str">
        <f>VLOOKUP($A229,'Matriz POA 2024-TRABAJO'!$A$5:$CD$9142,27,FALSE)</f>
        <v>000</v>
      </c>
      <c r="N229" s="12" t="str">
        <f>VLOOKUP($A229,'Matriz POA 2024-TRABAJO'!$A$5:$CD$9142,28,FALSE)</f>
        <v>002</v>
      </c>
      <c r="O229" s="12" t="str">
        <f>VLOOKUP($A229,'Matriz POA 2024-TRABAJO'!$A$5:$CD$9142,29,FALSE)</f>
        <v>53</v>
      </c>
      <c r="P229" s="12">
        <f>VLOOKUP($A229,'Matriz POA 2024-TRABAJO'!$A$5:$CD$9142,30,FALSE)</f>
        <v>530105</v>
      </c>
      <c r="Q229" s="12">
        <f>VLOOKUP($A229,'Matriz POA 2024-TRABAJO'!$A$5:$CD$9142,32,FALSE)</f>
        <v>1314</v>
      </c>
      <c r="R229" s="12" t="str">
        <f>VLOOKUP($A229,'Matriz POA 2024-TRABAJO'!$A$5:$CD$9142,33,FALSE)</f>
        <v>001</v>
      </c>
      <c r="S229" s="12" t="str">
        <f>VLOOKUP($A229,'Matriz POA 2024-TRABAJO'!$A$5:$CD$9142,34,FALSE)</f>
        <v>0000</v>
      </c>
      <c r="T229" s="12" t="str">
        <f>VLOOKUP($A229,'Matriz POA 2024-TRABAJO'!$A$5:$CD$9142,35,FALSE)</f>
        <v>0000</v>
      </c>
      <c r="U229" s="62">
        <f>VLOOKUP($A229,'Matriz POA 2024-TRABAJO'!$A$5:$CD$9142,66,FALSE)</f>
        <v>500</v>
      </c>
      <c r="V229" s="62">
        <f>VLOOKUP($A229,'Matriz POA 2024-TRABAJO'!$A$5:$CD$9142,67,FALSE)</f>
        <v>-500</v>
      </c>
      <c r="W229" s="62">
        <f>VLOOKUP($A229,'Matriz POA 2024-TRABAJO'!$A$5:$CD$9142,68,FALSE)</f>
        <v>0</v>
      </c>
      <c r="X229" s="62" t="str">
        <f>VLOOKUP($A229,'Matriz POA 2024-TRABAJO'!$A$5:$CD$9142,72,FALSE)</f>
        <v/>
      </c>
      <c r="Y229" s="388">
        <v>500</v>
      </c>
      <c r="Z229" s="388">
        <v>0</v>
      </c>
      <c r="AA229" s="388">
        <v>500</v>
      </c>
      <c r="AB229" s="389"/>
      <c r="AC229" s="389">
        <v>-500</v>
      </c>
      <c r="AD229" s="13"/>
      <c r="AE229" s="13"/>
      <c r="AF229" s="13">
        <f t="shared" ref="AF229:AF232" si="157">Y229+AB229+AC229</f>
        <v>0</v>
      </c>
      <c r="AG229" s="13">
        <f t="shared" ref="AG229:AG232" si="158">Z229+AD229+AE229</f>
        <v>0</v>
      </c>
      <c r="AH229" s="13">
        <f t="shared" ref="AH229:AH232" si="159">+AF229+AG229</f>
        <v>0</v>
      </c>
      <c r="AI229" s="129"/>
      <c r="AJ229" s="129"/>
      <c r="AK229" s="129"/>
      <c r="AL229" s="129"/>
      <c r="AM229" s="129"/>
      <c r="AN229" s="129"/>
      <c r="AO229" s="129"/>
      <c r="AP229" s="129"/>
      <c r="AQ229" s="129"/>
      <c r="AR229" s="129"/>
      <c r="AS229" s="129"/>
      <c r="AT229" s="129"/>
      <c r="AU229" s="129">
        <f t="shared" ref="AU229:AU232" si="160">SUM(AI229:AT229)</f>
        <v>0</v>
      </c>
      <c r="AV229" s="13" t="b">
        <f t="shared" ref="AV229:AV232" si="161">SUM(AI229:AT229)=AH229</f>
        <v>1</v>
      </c>
      <c r="AW229" s="14" t="s">
        <v>1870</v>
      </c>
      <c r="AX229" s="15" t="s">
        <v>1872</v>
      </c>
      <c r="AY229" s="16">
        <v>45448</v>
      </c>
      <c r="AZ229" s="15" t="s">
        <v>1871</v>
      </c>
      <c r="BA229" s="16">
        <v>45453</v>
      </c>
      <c r="BB229" s="17">
        <f t="shared" ref="BB229:BB235" si="162">BA229-AY229-2</f>
        <v>3</v>
      </c>
      <c r="BC229" s="12"/>
      <c r="BD229" s="15"/>
      <c r="BE229" s="18"/>
      <c r="BF229" s="12"/>
      <c r="BG229" s="19" t="str">
        <f t="shared" ref="BG229:BG232" si="163">TEXT(BA229,"MMMM")</f>
        <v>junio</v>
      </c>
      <c r="BH229" s="12" t="str">
        <f t="shared" ref="BH229:BH232" si="164">B229</f>
        <v>Corporación Ciudad Alfaro</v>
      </c>
      <c r="BI229" s="20" t="str">
        <f t="shared" ref="BI229:BI232" si="165">E229</f>
        <v>N/A</v>
      </c>
    </row>
    <row r="230" spans="1:61" ht="24.95" customHeight="1">
      <c r="A230" s="452">
        <v>429</v>
      </c>
      <c r="B230" s="12" t="str">
        <f>VLOOKUP($A230,'Matriz POA 2024-TRABAJO'!$A$5:$CD$9142,11,FALSE)</f>
        <v>Corporación Ciudad Alfaro</v>
      </c>
      <c r="C230" s="12" t="str">
        <f>VLOOKUP($A230,'Matriz POA 2024-TRABAJO'!$A$5:$CD$9142,14,FALSE)</f>
        <v>N/A</v>
      </c>
      <c r="D230" s="12" t="str">
        <f>VLOOKUP($A230,'Matriz POA 2024-TRABAJO'!$A$5:$CD$9142,15,FALSE)</f>
        <v>N/A</v>
      </c>
      <c r="E230" s="12" t="str">
        <f>VLOOKUP($A230,'Matriz POA 2024-TRABAJO'!$A$5:$CD$9142,18,FALSE)</f>
        <v>N/A</v>
      </c>
      <c r="F230" s="12" t="str">
        <f>VLOOKUP($A230,'Matriz POA 2024-TRABAJO'!$A$5:$CD$9142,20,FALSE)</f>
        <v>N/A</v>
      </c>
      <c r="G230" s="12" t="str">
        <f>VLOOKUP($A230,'Matriz POA 2024-TRABAJO'!$A$5:$CD$9142,21,FALSE)</f>
        <v>N/A</v>
      </c>
      <c r="H230" s="12" t="str">
        <f>VLOOKUP($A230,'Matriz POA 2024-TRABAJO'!$A$5:$CD$9142,22,FALSE)</f>
        <v>N/A</v>
      </c>
      <c r="I230" s="12" t="str">
        <f>VLOOKUP($A230,'Matriz POA 2024-TRABAJO'!$A$5:$CD$9142,23,FALSE)</f>
        <v>NUEVA</v>
      </c>
      <c r="J230" s="12" t="str">
        <f>VLOOKUP($A230,'Matriz POA 2024-TRABAJO'!$A$5:$CD$9142,24,FALSE)</f>
        <v>Pago del servicio de telefonía fija de la Sede Museo Portoviejo y Archivo Histórico</v>
      </c>
      <c r="K230" s="12" t="str">
        <f>VLOOKUP($A230,'Matriz POA 2024-TRABAJO'!$A$5:$CD$9142,25,FALSE)</f>
        <v>0035</v>
      </c>
      <c r="L230" s="12" t="str">
        <f>VLOOKUP($A230,'Matriz POA 2024-TRABAJO'!$A$5:$CD$9142,26,FALSE)</f>
        <v>80</v>
      </c>
      <c r="M230" s="12" t="str">
        <f>VLOOKUP($A230,'Matriz POA 2024-TRABAJO'!$A$5:$CD$9142,27,FALSE)</f>
        <v>000</v>
      </c>
      <c r="N230" s="12" t="str">
        <f>VLOOKUP($A230,'Matriz POA 2024-TRABAJO'!$A$5:$CD$9142,28,FALSE)</f>
        <v>002</v>
      </c>
      <c r="O230" s="12" t="str">
        <f>VLOOKUP($A230,'Matriz POA 2024-TRABAJO'!$A$5:$CD$9142,29,FALSE)</f>
        <v>53</v>
      </c>
      <c r="P230" s="12">
        <f>VLOOKUP($A230,'Matriz POA 2024-TRABAJO'!$A$5:$CD$9142,30,FALSE)</f>
        <v>530105</v>
      </c>
      <c r="Q230" s="12">
        <f>VLOOKUP($A230,'Matriz POA 2024-TRABAJO'!$A$5:$CD$9142,32,FALSE)</f>
        <v>1301</v>
      </c>
      <c r="R230" s="12" t="str">
        <f>VLOOKUP($A230,'Matriz POA 2024-TRABAJO'!$A$5:$CD$9142,33,FALSE)</f>
        <v>001</v>
      </c>
      <c r="S230" s="12" t="str">
        <f>VLOOKUP($A230,'Matriz POA 2024-TRABAJO'!$A$5:$CD$9142,34,FALSE)</f>
        <v>0000</v>
      </c>
      <c r="T230" s="12" t="str">
        <f>VLOOKUP($A230,'Matriz POA 2024-TRABAJO'!$A$5:$CD$9142,35,FALSE)</f>
        <v>0000</v>
      </c>
      <c r="U230" s="62">
        <f>VLOOKUP($A230,'Matriz POA 2024-TRABAJO'!$A$5:$CD$9142,66,FALSE)</f>
        <v>0</v>
      </c>
      <c r="V230" s="62">
        <f>VLOOKUP($A230,'Matriz POA 2024-TRABAJO'!$A$5:$CD$9142,67,FALSE)</f>
        <v>0</v>
      </c>
      <c r="W230" s="62">
        <f>VLOOKUP($A230,'Matriz POA 2024-TRABAJO'!$A$5:$CD$9142,68,FALSE)</f>
        <v>0</v>
      </c>
      <c r="X230" s="62" t="str">
        <f>VLOOKUP($A230,'Matriz POA 2024-TRABAJO'!$A$5:$CD$9142,72,FALSE)</f>
        <v/>
      </c>
      <c r="Y230" s="388">
        <v>500</v>
      </c>
      <c r="Z230" s="388">
        <v>0</v>
      </c>
      <c r="AA230" s="388">
        <v>500</v>
      </c>
      <c r="AB230" s="389"/>
      <c r="AC230" s="389">
        <v>-500</v>
      </c>
      <c r="AD230" s="13"/>
      <c r="AE230" s="13"/>
      <c r="AF230" s="13">
        <f t="shared" si="157"/>
        <v>0</v>
      </c>
      <c r="AG230" s="13">
        <f t="shared" si="158"/>
        <v>0</v>
      </c>
      <c r="AH230" s="13">
        <f t="shared" si="159"/>
        <v>0</v>
      </c>
      <c r="AI230" s="129"/>
      <c r="AJ230" s="129"/>
      <c r="AK230" s="129"/>
      <c r="AL230" s="129"/>
      <c r="AM230" s="129"/>
      <c r="AN230" s="129"/>
      <c r="AO230" s="129"/>
      <c r="AP230" s="129"/>
      <c r="AQ230" s="129"/>
      <c r="AR230" s="129"/>
      <c r="AS230" s="129"/>
      <c r="AT230" s="129"/>
      <c r="AU230" s="129">
        <f t="shared" si="160"/>
        <v>0</v>
      </c>
      <c r="AV230" s="13" t="b">
        <f t="shared" si="161"/>
        <v>1</v>
      </c>
      <c r="AW230" s="14" t="s">
        <v>1870</v>
      </c>
      <c r="AX230" s="15" t="s">
        <v>1872</v>
      </c>
      <c r="AY230" s="16">
        <v>45448</v>
      </c>
      <c r="AZ230" s="15" t="s">
        <v>1871</v>
      </c>
      <c r="BA230" s="16">
        <v>45453</v>
      </c>
      <c r="BB230" s="17">
        <f t="shared" si="162"/>
        <v>3</v>
      </c>
      <c r="BC230" s="12"/>
      <c r="BD230" s="15"/>
      <c r="BE230" s="18"/>
      <c r="BF230" s="12"/>
      <c r="BG230" s="19" t="str">
        <f t="shared" si="163"/>
        <v>junio</v>
      </c>
      <c r="BH230" s="12" t="str">
        <f t="shared" si="164"/>
        <v>Corporación Ciudad Alfaro</v>
      </c>
      <c r="BI230" s="20" t="str">
        <f t="shared" si="165"/>
        <v>N/A</v>
      </c>
    </row>
    <row r="231" spans="1:61" ht="24.95" customHeight="1">
      <c r="A231" s="452">
        <v>871</v>
      </c>
      <c r="B231" s="12" t="str">
        <f>VLOOKUP($A231,'Matriz POA 2024-TRABAJO'!$A$5:$CD$9142,11,FALSE)</f>
        <v>Corporación Ciudad Alfaro</v>
      </c>
      <c r="C231" s="12" t="str">
        <f>VLOOKUP($A231,'Matriz POA 2024-TRABAJO'!$A$5:$CD$9142,14,FALSE)</f>
        <v>N/A</v>
      </c>
      <c r="D231" s="12" t="str">
        <f>VLOOKUP($A231,'Matriz POA 2024-TRABAJO'!$A$5:$CD$9142,15,FALSE)</f>
        <v>N/A</v>
      </c>
      <c r="E231" s="12" t="str">
        <f>VLOOKUP($A231,'Matriz POA 2024-TRABAJO'!$A$5:$CD$9142,18,FALSE)</f>
        <v>N/A</v>
      </c>
      <c r="F231" s="12" t="str">
        <f>VLOOKUP($A231,'Matriz POA 2024-TRABAJO'!$A$5:$CD$9142,20,FALSE)</f>
        <v>N/A</v>
      </c>
      <c r="G231" s="12" t="str">
        <f>VLOOKUP($A231,'Matriz POA 2024-TRABAJO'!$A$5:$CD$9142,21,FALSE)</f>
        <v>N/A</v>
      </c>
      <c r="H231" s="12" t="str">
        <f>VLOOKUP($A231,'Matriz POA 2024-TRABAJO'!$A$5:$CD$9142,22,FALSE)</f>
        <v>N/A</v>
      </c>
      <c r="I231" s="12" t="str">
        <f>VLOOKUP($A231,'Matriz POA 2024-TRABAJO'!$A$5:$CD$9142,23,FALSE)</f>
        <v>NUEVA</v>
      </c>
      <c r="J231" s="12" t="str">
        <f>VLOOKUP($A231,'Matriz POA 2024-TRABAJO'!$A$5:$CD$9142,24,FALSE)</f>
        <v>Pago del servicio de telefonía fija de las Sedes Museo y Centro Cultural de Manta, Museo Portoviejo y Archivo Histórico, y Museo Bahía de Caráquez cuya razón social se encuentra a nombre del Ministerio de Cultura y Patrimonio</v>
      </c>
      <c r="K231" s="12" t="str">
        <f>VLOOKUP($A231,'Matriz POA 2024-TRABAJO'!$A$5:$CD$9142,25,FALSE)</f>
        <v>0035</v>
      </c>
      <c r="L231" s="12" t="str">
        <f>VLOOKUP($A231,'Matriz POA 2024-TRABAJO'!$A$5:$CD$9142,26,FALSE)</f>
        <v>80</v>
      </c>
      <c r="M231" s="12" t="str">
        <f>VLOOKUP($A231,'Matriz POA 2024-TRABAJO'!$A$5:$CD$9142,27,FALSE)</f>
        <v>000</v>
      </c>
      <c r="N231" s="12" t="str">
        <f>VLOOKUP($A231,'Matriz POA 2024-TRABAJO'!$A$5:$CD$9142,28,FALSE)</f>
        <v>002</v>
      </c>
      <c r="O231" s="12" t="str">
        <f>VLOOKUP($A231,'Matriz POA 2024-TRABAJO'!$A$5:$CD$9142,29,FALSE)</f>
        <v>53</v>
      </c>
      <c r="P231" s="12">
        <f>VLOOKUP($A231,'Matriz POA 2024-TRABAJO'!$A$5:$CD$9142,30,FALSE)</f>
        <v>530105</v>
      </c>
      <c r="Q231" s="12">
        <f>VLOOKUP($A231,'Matriz POA 2024-TRABAJO'!$A$5:$CD$9142,32,FALSE)</f>
        <v>1309</v>
      </c>
      <c r="R231" s="12" t="str">
        <f>VLOOKUP($A231,'Matriz POA 2024-TRABAJO'!$A$5:$CD$9142,33,FALSE)</f>
        <v>001</v>
      </c>
      <c r="S231" s="12" t="str">
        <f>VLOOKUP($A231,'Matriz POA 2024-TRABAJO'!$A$5:$CD$9142,34,FALSE)</f>
        <v>0000</v>
      </c>
      <c r="T231" s="12" t="str">
        <f>VLOOKUP($A231,'Matriz POA 2024-TRABAJO'!$A$5:$CD$9142,35,FALSE)</f>
        <v>0000</v>
      </c>
      <c r="U231" s="62" t="str">
        <f>VLOOKUP($A231,'Matriz POA 2024-TRABAJO'!$A$5:$CD$9142,66,FALSE)</f>
        <v/>
      </c>
      <c r="V231" s="62" t="str">
        <f>VLOOKUP($A231,'Matriz POA 2024-TRABAJO'!$A$5:$CD$9142,67,FALSE)</f>
        <v/>
      </c>
      <c r="W231" s="62" t="str">
        <f>VLOOKUP($A231,'Matriz POA 2024-TRABAJO'!$A$5:$CD$9142,68,FALSE)</f>
        <v/>
      </c>
      <c r="X231" s="62" t="str">
        <f>VLOOKUP($A231,'Matriz POA 2024-TRABAJO'!$A$5:$CD$9142,72,FALSE)</f>
        <v/>
      </c>
      <c r="Y231" s="388">
        <v>3000</v>
      </c>
      <c r="Z231" s="388">
        <v>0</v>
      </c>
      <c r="AA231" s="388">
        <v>3000</v>
      </c>
      <c r="AB231" s="389"/>
      <c r="AC231" s="389">
        <v>-3000</v>
      </c>
      <c r="AD231" s="13"/>
      <c r="AE231" s="13"/>
      <c r="AF231" s="13">
        <f t="shared" si="157"/>
        <v>0</v>
      </c>
      <c r="AG231" s="13">
        <f t="shared" si="158"/>
        <v>0</v>
      </c>
      <c r="AH231" s="13">
        <f t="shared" si="159"/>
        <v>0</v>
      </c>
      <c r="AI231" s="129"/>
      <c r="AJ231" s="129"/>
      <c r="AK231" s="129"/>
      <c r="AL231" s="129"/>
      <c r="AM231" s="129"/>
      <c r="AN231" s="129"/>
      <c r="AO231" s="129"/>
      <c r="AP231" s="129"/>
      <c r="AQ231" s="129"/>
      <c r="AR231" s="129"/>
      <c r="AS231" s="129"/>
      <c r="AT231" s="129"/>
      <c r="AU231" s="129">
        <f t="shared" si="160"/>
        <v>0</v>
      </c>
      <c r="AV231" s="13" t="b">
        <f t="shared" si="161"/>
        <v>1</v>
      </c>
      <c r="AW231" s="14" t="s">
        <v>1870</v>
      </c>
      <c r="AX231" s="15" t="s">
        <v>1872</v>
      </c>
      <c r="AY231" s="16">
        <v>45448</v>
      </c>
      <c r="AZ231" s="15" t="s">
        <v>1871</v>
      </c>
      <c r="BA231" s="16">
        <v>45453</v>
      </c>
      <c r="BB231" s="17">
        <f t="shared" si="162"/>
        <v>3</v>
      </c>
      <c r="BC231" s="12"/>
      <c r="BD231" s="15"/>
      <c r="BE231" s="18"/>
      <c r="BF231" s="12"/>
      <c r="BG231" s="19" t="str">
        <f t="shared" si="163"/>
        <v>junio</v>
      </c>
      <c r="BH231" s="12" t="str">
        <f t="shared" si="164"/>
        <v>Corporación Ciudad Alfaro</v>
      </c>
      <c r="BI231" s="20" t="str">
        <f t="shared" si="165"/>
        <v>N/A</v>
      </c>
    </row>
    <row r="232" spans="1:61" ht="24.95" customHeight="1">
      <c r="A232" s="452">
        <v>479</v>
      </c>
      <c r="B232" s="12" t="str">
        <f>VLOOKUP($A232,'Matriz POA 2024-TRABAJO'!$A$5:$CD$9142,11,FALSE)</f>
        <v>Corporación Ciudad Alfaro</v>
      </c>
      <c r="C232" s="12" t="str">
        <f>VLOOKUP($A232,'Matriz POA 2024-TRABAJO'!$A$5:$CD$9142,14,FALSE)</f>
        <v>N/A</v>
      </c>
      <c r="D232" s="12" t="str">
        <f>VLOOKUP($A232,'Matriz POA 2024-TRABAJO'!$A$5:$CD$9142,15,FALSE)</f>
        <v>N/A</v>
      </c>
      <c r="E232" s="12" t="str">
        <f>VLOOKUP($A232,'Matriz POA 2024-TRABAJO'!$A$5:$CD$9142,18,FALSE)</f>
        <v>N/A</v>
      </c>
      <c r="F232" s="12" t="str">
        <f>VLOOKUP($A232,'Matriz POA 2024-TRABAJO'!$A$5:$CD$9142,20,FALSE)</f>
        <v>N/A</v>
      </c>
      <c r="G232" s="12" t="str">
        <f>VLOOKUP($A232,'Matriz POA 2024-TRABAJO'!$A$5:$CD$9142,21,FALSE)</f>
        <v>N/A</v>
      </c>
      <c r="H232" s="12" t="str">
        <f>VLOOKUP($A232,'Matriz POA 2024-TRABAJO'!$A$5:$CD$9142,22,FALSE)</f>
        <v>N/A</v>
      </c>
      <c r="I232" s="12" t="str">
        <f>VLOOKUP($A232,'Matriz POA 2024-TRABAJO'!$A$5:$CD$9142,23,FALSE)</f>
        <v>NUEVA</v>
      </c>
      <c r="J232" s="12" t="str">
        <f>VLOOKUP($A232,'Matriz POA 2024-TRABAJO'!$A$5:$CD$9142,24,FALSE)</f>
        <v>Mantenimiento, Reparación preventivo y correctivo de los vehículos de la corporación ciudad alfaro</v>
      </c>
      <c r="K232" s="12" t="str">
        <f>VLOOKUP($A232,'Matriz POA 2024-TRABAJO'!$A$5:$CD$9142,25,FALSE)</f>
        <v>0035</v>
      </c>
      <c r="L232" s="12" t="str">
        <f>VLOOKUP($A232,'Matriz POA 2024-TRABAJO'!$A$5:$CD$9142,26,FALSE)</f>
        <v>80</v>
      </c>
      <c r="M232" s="12" t="str">
        <f>VLOOKUP($A232,'Matriz POA 2024-TRABAJO'!$A$5:$CD$9142,27,FALSE)</f>
        <v>000</v>
      </c>
      <c r="N232" s="12" t="str">
        <f>VLOOKUP($A232,'Matriz POA 2024-TRABAJO'!$A$5:$CD$9142,28,FALSE)</f>
        <v>002</v>
      </c>
      <c r="O232" s="12" t="str">
        <f>VLOOKUP($A232,'Matriz POA 2024-TRABAJO'!$A$5:$CD$9142,29,FALSE)</f>
        <v>53</v>
      </c>
      <c r="P232" s="12">
        <f>VLOOKUP($A232,'Matriz POA 2024-TRABAJO'!$A$5:$CD$9142,30,FALSE)</f>
        <v>530405</v>
      </c>
      <c r="Q232" s="12">
        <f>VLOOKUP($A232,'Matriz POA 2024-TRABAJO'!$A$5:$CD$9142,32,FALSE)</f>
        <v>1309</v>
      </c>
      <c r="R232" s="12" t="str">
        <f>VLOOKUP($A232,'Matriz POA 2024-TRABAJO'!$A$5:$CD$9142,33,FALSE)</f>
        <v>001</v>
      </c>
      <c r="S232" s="12" t="str">
        <f>VLOOKUP($A232,'Matriz POA 2024-TRABAJO'!$A$5:$CD$9142,34,FALSE)</f>
        <v>0000</v>
      </c>
      <c r="T232" s="12" t="str">
        <f>VLOOKUP($A232,'Matriz POA 2024-TRABAJO'!$A$5:$CD$9142,35,FALSE)</f>
        <v>0000</v>
      </c>
      <c r="U232" s="62">
        <f>VLOOKUP($A232,'Matriz POA 2024-TRABAJO'!$A$5:$CD$9142,66,FALSE)</f>
        <v>14158.92</v>
      </c>
      <c r="V232" s="62">
        <f>VLOOKUP($A232,'Matriz POA 2024-TRABAJO'!$A$5:$CD$9142,67,FALSE)</f>
        <v>-7578.920000000001</v>
      </c>
      <c r="W232" s="62">
        <f>VLOOKUP($A232,'Matriz POA 2024-TRABAJO'!$A$5:$CD$9142,68,FALSE)</f>
        <v>0</v>
      </c>
      <c r="X232" s="62">
        <f>VLOOKUP($A232,'Matriz POA 2024-TRABAJO'!$A$5:$CD$9142,72,FALSE)</f>
        <v>6580</v>
      </c>
      <c r="Y232" s="388">
        <v>8079.4599999999991</v>
      </c>
      <c r="Z232" s="388">
        <v>0</v>
      </c>
      <c r="AA232" s="388">
        <v>8079.4599999999991</v>
      </c>
      <c r="AB232" s="389"/>
      <c r="AC232" s="389">
        <v>-1000</v>
      </c>
      <c r="AD232" s="13"/>
      <c r="AE232" s="13"/>
      <c r="AF232" s="13">
        <f t="shared" si="157"/>
        <v>7079.4599999999991</v>
      </c>
      <c r="AG232" s="13">
        <f t="shared" si="158"/>
        <v>0</v>
      </c>
      <c r="AH232" s="13">
        <f t="shared" si="159"/>
        <v>7079.4599999999991</v>
      </c>
      <c r="AI232" s="129"/>
      <c r="AJ232" s="129"/>
      <c r="AK232" s="129"/>
      <c r="AL232" s="129"/>
      <c r="AM232" s="129"/>
      <c r="AN232" s="129"/>
      <c r="AO232" s="129"/>
      <c r="AP232" s="129"/>
      <c r="AQ232" s="129"/>
      <c r="AR232" s="129"/>
      <c r="AS232" s="129"/>
      <c r="AT232" s="129"/>
      <c r="AU232" s="129">
        <f t="shared" si="160"/>
        <v>0</v>
      </c>
      <c r="AV232" s="13" t="b">
        <f t="shared" si="161"/>
        <v>0</v>
      </c>
      <c r="AW232" s="14" t="s">
        <v>1870</v>
      </c>
      <c r="AX232" s="15" t="s">
        <v>1872</v>
      </c>
      <c r="AY232" s="16">
        <v>45448</v>
      </c>
      <c r="AZ232" s="15" t="s">
        <v>1871</v>
      </c>
      <c r="BA232" s="16">
        <v>45453</v>
      </c>
      <c r="BB232" s="17">
        <f t="shared" si="162"/>
        <v>3</v>
      </c>
      <c r="BC232" s="12"/>
      <c r="BD232" s="15"/>
      <c r="BE232" s="18"/>
      <c r="BF232" s="12"/>
      <c r="BG232" s="19" t="str">
        <f t="shared" si="163"/>
        <v>junio</v>
      </c>
      <c r="BH232" s="12" t="str">
        <f t="shared" si="164"/>
        <v>Corporación Ciudad Alfaro</v>
      </c>
      <c r="BI232" s="20" t="str">
        <f t="shared" si="165"/>
        <v>N/A</v>
      </c>
    </row>
    <row r="233" spans="1:61" ht="24.95" customHeight="1">
      <c r="A233" s="452">
        <v>873</v>
      </c>
      <c r="B233" s="12" t="str">
        <f>VLOOKUP($A233,'Matriz POA 2024-TRABAJO'!$A$5:$CD$9142,11,FALSE)</f>
        <v>Corporación Ciudad Alfaro</v>
      </c>
      <c r="C233" s="12" t="str">
        <f>VLOOKUP($A233,'Matriz POA 2024-TRABAJO'!$A$5:$CD$9142,14,FALSE)</f>
        <v>N/A</v>
      </c>
      <c r="D233" s="12" t="str">
        <f>VLOOKUP($A233,'Matriz POA 2024-TRABAJO'!$A$5:$CD$9142,15,FALSE)</f>
        <v>N/A</v>
      </c>
      <c r="E233" s="12" t="str">
        <f>VLOOKUP($A233,'Matriz POA 2024-TRABAJO'!$A$5:$CD$9142,18,FALSE)</f>
        <v>N/A</v>
      </c>
      <c r="F233" s="12" t="str">
        <f>VLOOKUP($A233,'Matriz POA 2024-TRABAJO'!$A$5:$CD$9142,20,FALSE)</f>
        <v>N/A</v>
      </c>
      <c r="G233" s="12" t="str">
        <f>VLOOKUP($A233,'Matriz POA 2024-TRABAJO'!$A$5:$CD$9142,21,FALSE)</f>
        <v>N/A</v>
      </c>
      <c r="H233" s="12" t="str">
        <f>VLOOKUP($A233,'Matriz POA 2024-TRABAJO'!$A$5:$CD$9142,22,FALSE)</f>
        <v>N/A</v>
      </c>
      <c r="I233" s="12" t="str">
        <f>VLOOKUP($A233,'Matriz POA 2024-TRABAJO'!$A$5:$CD$9142,23,FALSE)</f>
        <v>NUEVA</v>
      </c>
      <c r="J233" s="12" t="str">
        <f>VLOOKUP($A233,'Matriz POA 2024-TRABAJO'!$A$5:$CD$9142,24,FALSE)</f>
        <v>Contratación del servicio de mantenimiento preventivo y correctivo de 4 aires acondicionados tipo Split ubicados en el Museo Nuclear Corporación Ciudad Alfaro</v>
      </c>
      <c r="K233" s="12" t="str">
        <f>VLOOKUP($A233,'Matriz POA 2024-TRABAJO'!$A$5:$CD$9142,25,FALSE)</f>
        <v>0035</v>
      </c>
      <c r="L233" s="12" t="str">
        <f>VLOOKUP($A233,'Matriz POA 2024-TRABAJO'!$A$5:$CD$9142,26,FALSE)</f>
        <v>80</v>
      </c>
      <c r="M233" s="12" t="str">
        <f>VLOOKUP($A233,'Matriz POA 2024-TRABAJO'!$A$5:$CD$9142,27,FALSE)</f>
        <v>000</v>
      </c>
      <c r="N233" s="12" t="str">
        <f>VLOOKUP($A233,'Matriz POA 2024-TRABAJO'!$A$5:$CD$9142,28,FALSE)</f>
        <v>002</v>
      </c>
      <c r="O233" s="12" t="str">
        <f>VLOOKUP($A233,'Matriz POA 2024-TRABAJO'!$A$5:$CD$9142,29,FALSE)</f>
        <v>53</v>
      </c>
      <c r="P233" s="12">
        <f>VLOOKUP($A233,'Matriz POA 2024-TRABAJO'!$A$5:$CD$9142,30,FALSE)</f>
        <v>530404</v>
      </c>
      <c r="Q233" s="12">
        <f>VLOOKUP($A233,'Matriz POA 2024-TRABAJO'!$A$5:$CD$9142,32,FALSE)</f>
        <v>1309</v>
      </c>
      <c r="R233" s="12" t="str">
        <f>VLOOKUP($A233,'Matriz POA 2024-TRABAJO'!$A$5:$CD$9142,33,FALSE)</f>
        <v>001</v>
      </c>
      <c r="S233" s="12" t="str">
        <f>VLOOKUP($A233,'Matriz POA 2024-TRABAJO'!$A$5:$CD$9142,34,FALSE)</f>
        <v>0000</v>
      </c>
      <c r="T233" s="12" t="str">
        <f>VLOOKUP($A233,'Matriz POA 2024-TRABAJO'!$A$5:$CD$9142,35,FALSE)</f>
        <v>0000</v>
      </c>
      <c r="U233" s="62">
        <f>VLOOKUP($A233,'Matriz POA 2024-TRABAJO'!$A$5:$CD$9142,66,FALSE)</f>
        <v>500</v>
      </c>
      <c r="V233" s="62">
        <f>VLOOKUP($A233,'Matriz POA 2024-TRABAJO'!$A$5:$CD$9142,67,FALSE)</f>
        <v>-500</v>
      </c>
      <c r="W233" s="62">
        <f>VLOOKUP($A233,'Matriz POA 2024-TRABAJO'!$A$5:$CD$9142,68,FALSE)</f>
        <v>0</v>
      </c>
      <c r="X233" s="62" t="str">
        <f>VLOOKUP($A233,'Matriz POA 2024-TRABAJO'!$A$5:$CD$9142,72,FALSE)</f>
        <v/>
      </c>
      <c r="Y233" s="388">
        <v>500</v>
      </c>
      <c r="Z233" s="388">
        <v>0</v>
      </c>
      <c r="AA233" s="388">
        <v>500</v>
      </c>
      <c r="AB233" s="389"/>
      <c r="AC233" s="389">
        <v>-500</v>
      </c>
      <c r="AD233" s="13"/>
      <c r="AE233" s="13"/>
      <c r="AF233" s="13">
        <f t="shared" ref="AF233:AF235" si="166">Y233+AB233+AC233</f>
        <v>0</v>
      </c>
      <c r="AG233" s="13">
        <f t="shared" ref="AG233:AG235" si="167">Z233+AD233+AE233</f>
        <v>0</v>
      </c>
      <c r="AH233" s="13">
        <f t="shared" ref="AH233:AH235" si="168">+AF233+AG233</f>
        <v>0</v>
      </c>
      <c r="AI233" s="129"/>
      <c r="AJ233" s="129"/>
      <c r="AK233" s="129"/>
      <c r="AL233" s="129"/>
      <c r="AM233" s="129"/>
      <c r="AN233" s="129"/>
      <c r="AO233" s="129"/>
      <c r="AP233" s="129"/>
      <c r="AQ233" s="129"/>
      <c r="AR233" s="129"/>
      <c r="AS233" s="129"/>
      <c r="AT233" s="129"/>
      <c r="AU233" s="129">
        <f t="shared" ref="AU233:AU235" si="169">SUM(AI233:AT233)</f>
        <v>0</v>
      </c>
      <c r="AV233" s="13" t="b">
        <f t="shared" ref="AV233:AV235" si="170">SUM(AI233:AT233)=AH233</f>
        <v>1</v>
      </c>
      <c r="AW233" s="14" t="s">
        <v>1870</v>
      </c>
      <c r="AX233" s="15" t="s">
        <v>1872</v>
      </c>
      <c r="AY233" s="16">
        <v>45448</v>
      </c>
      <c r="AZ233" s="15" t="s">
        <v>1871</v>
      </c>
      <c r="BA233" s="16">
        <v>45453</v>
      </c>
      <c r="BB233" s="17">
        <f t="shared" si="162"/>
        <v>3</v>
      </c>
      <c r="BC233" s="12"/>
      <c r="BD233" s="15"/>
      <c r="BE233" s="18"/>
      <c r="BF233" s="12"/>
      <c r="BG233" s="19" t="str">
        <f t="shared" ref="BG233:BG235" si="171">TEXT(BA233,"MMMM")</f>
        <v>junio</v>
      </c>
      <c r="BH233" s="12" t="str">
        <f t="shared" ref="BH233:BH235" si="172">B233</f>
        <v>Corporación Ciudad Alfaro</v>
      </c>
      <c r="BI233" s="20" t="str">
        <f t="shared" ref="BI233:BI235" si="173">E233</f>
        <v>N/A</v>
      </c>
    </row>
    <row r="234" spans="1:61" ht="24.95" customHeight="1">
      <c r="A234" s="452">
        <v>813</v>
      </c>
      <c r="B234" s="12" t="str">
        <f>VLOOKUP($A234,'Matriz POA 2024-TRABAJO'!$A$5:$CD$9142,11,FALSE)</f>
        <v>Corporación Ciudad Alfaro</v>
      </c>
      <c r="C234" s="12" t="str">
        <f>VLOOKUP($A234,'Matriz POA 2024-TRABAJO'!$A$5:$CD$9142,14,FALSE)</f>
        <v>N/A</v>
      </c>
      <c r="D234" s="12" t="str">
        <f>VLOOKUP($A234,'Matriz POA 2024-TRABAJO'!$A$5:$CD$9142,15,FALSE)</f>
        <v>N/A</v>
      </c>
      <c r="E234" s="12" t="str">
        <f>VLOOKUP($A234,'Matriz POA 2024-TRABAJO'!$A$5:$CD$9142,18,FALSE)</f>
        <v>N/A</v>
      </c>
      <c r="F234" s="12" t="str">
        <f>VLOOKUP($A234,'Matriz POA 2024-TRABAJO'!$A$5:$CD$9142,20,FALSE)</f>
        <v>N/A</v>
      </c>
      <c r="G234" s="12" t="str">
        <f>VLOOKUP($A234,'Matriz POA 2024-TRABAJO'!$A$5:$CD$9142,21,FALSE)</f>
        <v>N/A</v>
      </c>
      <c r="H234" s="12" t="str">
        <f>VLOOKUP($A234,'Matriz POA 2024-TRABAJO'!$A$5:$CD$9142,22,FALSE)</f>
        <v>N/A</v>
      </c>
      <c r="I234" s="12" t="str">
        <f>VLOOKUP($A234,'Matriz POA 2024-TRABAJO'!$A$5:$CD$9142,23,FALSE)</f>
        <v>NUEVA</v>
      </c>
      <c r="J234" s="12" t="str">
        <f>VLOOKUP($A234,'Matriz POA 2024-TRABAJO'!$A$5:$CD$9142,24,FALSE)</f>
        <v>Contratacion del servicio de mantenimiento preventivo y Recarga de extintores contraincendios del Museo Nuclear Corporación Ciudad  Alfaro y sus Sedes.</v>
      </c>
      <c r="K234" s="12" t="str">
        <f>VLOOKUP($A234,'Matriz POA 2024-TRABAJO'!$A$5:$CD$9142,25,FALSE)</f>
        <v>0035</v>
      </c>
      <c r="L234" s="12" t="str">
        <f>VLOOKUP($A234,'Matriz POA 2024-TRABAJO'!$A$5:$CD$9142,26,FALSE)</f>
        <v>80</v>
      </c>
      <c r="M234" s="12" t="str">
        <f>VLOOKUP($A234,'Matriz POA 2024-TRABAJO'!$A$5:$CD$9142,27,FALSE)</f>
        <v>000</v>
      </c>
      <c r="N234" s="12" t="str">
        <f>VLOOKUP($A234,'Matriz POA 2024-TRABAJO'!$A$5:$CD$9142,28,FALSE)</f>
        <v>002</v>
      </c>
      <c r="O234" s="12" t="str">
        <f>VLOOKUP($A234,'Matriz POA 2024-TRABAJO'!$A$5:$CD$9142,29,FALSE)</f>
        <v>53</v>
      </c>
      <c r="P234" s="12">
        <f>VLOOKUP($A234,'Matriz POA 2024-TRABAJO'!$A$5:$CD$9142,30,FALSE)</f>
        <v>530203</v>
      </c>
      <c r="Q234" s="12">
        <f>VLOOKUP($A234,'Matriz POA 2024-TRABAJO'!$A$5:$CD$9142,32,FALSE)</f>
        <v>1309</v>
      </c>
      <c r="R234" s="12" t="str">
        <f>VLOOKUP($A234,'Matriz POA 2024-TRABAJO'!$A$5:$CD$9142,33,FALSE)</f>
        <v>001</v>
      </c>
      <c r="S234" s="12" t="str">
        <f>VLOOKUP($A234,'Matriz POA 2024-TRABAJO'!$A$5:$CD$9142,34,FALSE)</f>
        <v>0000</v>
      </c>
      <c r="T234" s="12" t="str">
        <f>VLOOKUP($A234,'Matriz POA 2024-TRABAJO'!$A$5:$CD$9142,35,FALSE)</f>
        <v>0000</v>
      </c>
      <c r="U234" s="62" t="str">
        <f>VLOOKUP($A234,'Matriz POA 2024-TRABAJO'!$A$5:$CD$9142,66,FALSE)</f>
        <v/>
      </c>
      <c r="V234" s="62" t="str">
        <f>VLOOKUP($A234,'Matriz POA 2024-TRABAJO'!$A$5:$CD$9142,67,FALSE)</f>
        <v/>
      </c>
      <c r="W234" s="62" t="str">
        <f>VLOOKUP($A234,'Matriz POA 2024-TRABAJO'!$A$5:$CD$9142,68,FALSE)</f>
        <v/>
      </c>
      <c r="X234" s="62" t="str">
        <f>VLOOKUP($A234,'Matriz POA 2024-TRABAJO'!$A$5:$CD$9142,72,FALSE)</f>
        <v/>
      </c>
      <c r="Y234" s="388">
        <v>1500</v>
      </c>
      <c r="Z234" s="388">
        <v>0</v>
      </c>
      <c r="AA234" s="388">
        <v>1500</v>
      </c>
      <c r="AB234" s="389"/>
      <c r="AC234" s="389">
        <v>-1500</v>
      </c>
      <c r="AD234" s="13"/>
      <c r="AE234" s="13"/>
      <c r="AF234" s="13">
        <f t="shared" si="166"/>
        <v>0</v>
      </c>
      <c r="AG234" s="13">
        <f t="shared" si="167"/>
        <v>0</v>
      </c>
      <c r="AH234" s="13">
        <f t="shared" si="168"/>
        <v>0</v>
      </c>
      <c r="AI234" s="129"/>
      <c r="AJ234" s="129"/>
      <c r="AK234" s="129"/>
      <c r="AL234" s="129"/>
      <c r="AM234" s="129"/>
      <c r="AN234" s="129"/>
      <c r="AO234" s="129"/>
      <c r="AP234" s="129"/>
      <c r="AQ234" s="129"/>
      <c r="AR234" s="129"/>
      <c r="AS234" s="129"/>
      <c r="AT234" s="129"/>
      <c r="AU234" s="129">
        <f t="shared" si="169"/>
        <v>0</v>
      </c>
      <c r="AV234" s="13" t="b">
        <f t="shared" si="170"/>
        <v>1</v>
      </c>
      <c r="AW234" s="14" t="s">
        <v>1870</v>
      </c>
      <c r="AX234" s="15" t="s">
        <v>1872</v>
      </c>
      <c r="AY234" s="16">
        <v>45448</v>
      </c>
      <c r="AZ234" s="15" t="s">
        <v>1871</v>
      </c>
      <c r="BA234" s="16">
        <v>45453</v>
      </c>
      <c r="BB234" s="17">
        <f t="shared" si="162"/>
        <v>3</v>
      </c>
      <c r="BC234" s="12"/>
      <c r="BD234" s="15"/>
      <c r="BE234" s="18"/>
      <c r="BF234" s="12"/>
      <c r="BG234" s="19" t="str">
        <f t="shared" si="171"/>
        <v>junio</v>
      </c>
      <c r="BH234" s="12" t="str">
        <f t="shared" si="172"/>
        <v>Corporación Ciudad Alfaro</v>
      </c>
      <c r="BI234" s="20" t="str">
        <f t="shared" si="173"/>
        <v>N/A</v>
      </c>
    </row>
    <row r="235" spans="1:61" ht="24.95" customHeight="1">
      <c r="A235" s="452">
        <v>828</v>
      </c>
      <c r="B235" s="12" t="str">
        <f>VLOOKUP($A235,'Matriz POA 2024-TRABAJO'!$A$5:$CD$9142,11,FALSE)</f>
        <v>Corporación Ciudad Alfaro</v>
      </c>
      <c r="C235" s="12" t="str">
        <f>VLOOKUP($A235,'Matriz POA 2024-TRABAJO'!$A$5:$CD$9142,14,FALSE)</f>
        <v>N/A</v>
      </c>
      <c r="D235" s="12" t="str">
        <f>VLOOKUP($A235,'Matriz POA 2024-TRABAJO'!$A$5:$CD$9142,15,FALSE)</f>
        <v>N/A</v>
      </c>
      <c r="E235" s="12" t="str">
        <f>VLOOKUP($A235,'Matriz POA 2024-TRABAJO'!$A$5:$CD$9142,18,FALSE)</f>
        <v>N/A</v>
      </c>
      <c r="F235" s="12" t="str">
        <f>VLOOKUP($A235,'Matriz POA 2024-TRABAJO'!$A$5:$CD$9142,20,FALSE)</f>
        <v>N/A</v>
      </c>
      <c r="G235" s="12" t="str">
        <f>VLOOKUP($A235,'Matriz POA 2024-TRABAJO'!$A$5:$CD$9142,21,FALSE)</f>
        <v>N/A</v>
      </c>
      <c r="H235" s="12" t="str">
        <f>VLOOKUP($A235,'Matriz POA 2024-TRABAJO'!$A$5:$CD$9142,22,FALSE)</f>
        <v>N/A</v>
      </c>
      <c r="I235" s="12" t="str">
        <f>VLOOKUP($A235,'Matriz POA 2024-TRABAJO'!$A$5:$CD$9142,23,FALSE)</f>
        <v>NUEVA</v>
      </c>
      <c r="J235" s="12" t="str">
        <f>VLOOKUP($A235,'Matriz POA 2024-TRABAJO'!$A$5:$CD$9142,24,FALSE)</f>
        <v>Pago del servicio de energía eléctrica de la Corporación Ciudad Alfaro - octubre - noviembre</v>
      </c>
      <c r="K235" s="12" t="str">
        <f>VLOOKUP($A235,'Matriz POA 2024-TRABAJO'!$A$5:$CD$9142,25,FALSE)</f>
        <v>0035</v>
      </c>
      <c r="L235" s="12" t="str">
        <f>VLOOKUP($A235,'Matriz POA 2024-TRABAJO'!$A$5:$CD$9142,26,FALSE)</f>
        <v>80</v>
      </c>
      <c r="M235" s="12" t="str">
        <f>VLOOKUP($A235,'Matriz POA 2024-TRABAJO'!$A$5:$CD$9142,27,FALSE)</f>
        <v>000</v>
      </c>
      <c r="N235" s="12" t="str">
        <f>VLOOKUP($A235,'Matriz POA 2024-TRABAJO'!$A$5:$CD$9142,28,FALSE)</f>
        <v>002</v>
      </c>
      <c r="O235" s="12" t="str">
        <f>VLOOKUP($A235,'Matriz POA 2024-TRABAJO'!$A$5:$CD$9142,29,FALSE)</f>
        <v>53</v>
      </c>
      <c r="P235" s="12">
        <f>VLOOKUP($A235,'Matriz POA 2024-TRABAJO'!$A$5:$CD$9142,30,FALSE)</f>
        <v>530104</v>
      </c>
      <c r="Q235" s="12">
        <f>VLOOKUP($A235,'Matriz POA 2024-TRABAJO'!$A$5:$CD$9142,32,FALSE)</f>
        <v>1309</v>
      </c>
      <c r="R235" s="12" t="str">
        <f>VLOOKUP($A235,'Matriz POA 2024-TRABAJO'!$A$5:$CD$9142,33,FALSE)</f>
        <v>001</v>
      </c>
      <c r="S235" s="12" t="str">
        <f>VLOOKUP($A235,'Matriz POA 2024-TRABAJO'!$A$5:$CD$9142,34,FALSE)</f>
        <v>0000</v>
      </c>
      <c r="T235" s="12" t="str">
        <f>VLOOKUP($A235,'Matriz POA 2024-TRABAJO'!$A$5:$CD$9142,35,FALSE)</f>
        <v>0000</v>
      </c>
      <c r="U235" s="62">
        <f>VLOOKUP($A235,'Matriz POA 2024-TRABAJO'!$A$5:$CD$9142,66,FALSE)</f>
        <v>3422</v>
      </c>
      <c r="V235" s="62">
        <f>VLOOKUP($A235,'Matriz POA 2024-TRABAJO'!$A$5:$CD$9142,67,FALSE)</f>
        <v>-3422</v>
      </c>
      <c r="W235" s="62" t="str">
        <f>VLOOKUP($A235,'Matriz POA 2024-TRABAJO'!$A$5:$CD$9142,68,FALSE)</f>
        <v/>
      </c>
      <c r="X235" s="62" t="str">
        <f>VLOOKUP($A235,'Matriz POA 2024-TRABAJO'!$A$5:$CD$9142,72,FALSE)</f>
        <v/>
      </c>
      <c r="Y235" s="388">
        <v>5922</v>
      </c>
      <c r="Z235" s="388">
        <v>0</v>
      </c>
      <c r="AA235" s="388">
        <v>5922</v>
      </c>
      <c r="AB235" s="389"/>
      <c r="AC235" s="389">
        <v>-2500</v>
      </c>
      <c r="AD235" s="13"/>
      <c r="AE235" s="13"/>
      <c r="AF235" s="13">
        <f t="shared" si="166"/>
        <v>3422</v>
      </c>
      <c r="AG235" s="13">
        <f t="shared" si="167"/>
        <v>0</v>
      </c>
      <c r="AH235" s="13">
        <f t="shared" si="168"/>
        <v>3422</v>
      </c>
      <c r="AI235" s="129"/>
      <c r="AJ235" s="129"/>
      <c r="AK235" s="129"/>
      <c r="AL235" s="129"/>
      <c r="AM235" s="129"/>
      <c r="AN235" s="129"/>
      <c r="AO235" s="129"/>
      <c r="AP235" s="129"/>
      <c r="AQ235" s="129"/>
      <c r="AR235" s="129"/>
      <c r="AS235" s="129"/>
      <c r="AT235" s="129"/>
      <c r="AU235" s="129">
        <f t="shared" si="169"/>
        <v>0</v>
      </c>
      <c r="AV235" s="13" t="b">
        <f t="shared" si="170"/>
        <v>0</v>
      </c>
      <c r="AW235" s="14" t="s">
        <v>1870</v>
      </c>
      <c r="AX235" s="15" t="s">
        <v>1872</v>
      </c>
      <c r="AY235" s="16">
        <v>45448</v>
      </c>
      <c r="AZ235" s="15" t="s">
        <v>1871</v>
      </c>
      <c r="BA235" s="16">
        <v>45453</v>
      </c>
      <c r="BB235" s="17">
        <f t="shared" si="162"/>
        <v>3</v>
      </c>
      <c r="BC235" s="12"/>
      <c r="BD235" s="15"/>
      <c r="BE235" s="18"/>
      <c r="BF235" s="12"/>
      <c r="BG235" s="19" t="str">
        <f t="shared" si="171"/>
        <v>junio</v>
      </c>
      <c r="BH235" s="12" t="str">
        <f t="shared" si="172"/>
        <v>Corporación Ciudad Alfaro</v>
      </c>
      <c r="BI235" s="20" t="str">
        <f t="shared" si="173"/>
        <v>N/A</v>
      </c>
    </row>
    <row r="236" spans="1:61" ht="24.95" customHeight="1">
      <c r="A236" s="460">
        <v>435</v>
      </c>
      <c r="B236" s="12" t="str">
        <f>VLOOKUP($A236,'Matriz POA 2024-TRABAJO'!$A$5:$CD$9142,11,FALSE)</f>
        <v>Corporación Ciudad Alfaro</v>
      </c>
      <c r="C236" s="12" t="str">
        <f>VLOOKUP($A236,'Matriz POA 2024-TRABAJO'!$A$5:$CD$9142,14,FALSE)</f>
        <v>N/A</v>
      </c>
      <c r="D236" s="12" t="str">
        <f>VLOOKUP($A236,'Matriz POA 2024-TRABAJO'!$A$5:$CD$9142,15,FALSE)</f>
        <v>N/A</v>
      </c>
      <c r="E236" s="12" t="str">
        <f>VLOOKUP($A236,'Matriz POA 2024-TRABAJO'!$A$5:$CD$9142,18,FALSE)</f>
        <v>N/A</v>
      </c>
      <c r="F236" s="12" t="str">
        <f>VLOOKUP($A236,'Matriz POA 2024-TRABAJO'!$A$5:$CD$9142,20,FALSE)</f>
        <v>N/A</v>
      </c>
      <c r="G236" s="12" t="str">
        <f>VLOOKUP($A236,'Matriz POA 2024-TRABAJO'!$A$5:$CD$9142,21,FALSE)</f>
        <v>N/A</v>
      </c>
      <c r="H236" s="12" t="str">
        <f>VLOOKUP($A236,'Matriz POA 2024-TRABAJO'!$A$5:$CD$9142,22,FALSE)</f>
        <v>N/A</v>
      </c>
      <c r="I236" s="12" t="str">
        <f>VLOOKUP($A236,'Matriz POA 2024-TRABAJO'!$A$5:$CD$9142,23,FALSE)</f>
        <v>PLURIANUAL 2023-2024</v>
      </c>
      <c r="J236" s="12" t="str">
        <f>VLOOKUP($A236,'Matriz POA 2024-TRABAJO'!$A$5:$CD$9142,24,FALSE)</f>
        <v>Pago del servicio de aseo y limpieza del Museo Centro Cultural Manta por el período 2023-2024</v>
      </c>
      <c r="K236" s="12" t="str">
        <f>VLOOKUP($A236,'Matriz POA 2024-TRABAJO'!$A$5:$CD$9142,25,FALSE)</f>
        <v>0035</v>
      </c>
      <c r="L236" s="12" t="str">
        <f>VLOOKUP($A236,'Matriz POA 2024-TRABAJO'!$A$5:$CD$9142,26,FALSE)</f>
        <v>80</v>
      </c>
      <c r="M236" s="12" t="str">
        <f>VLOOKUP($A236,'Matriz POA 2024-TRABAJO'!$A$5:$CD$9142,27,FALSE)</f>
        <v>000</v>
      </c>
      <c r="N236" s="12" t="str">
        <f>VLOOKUP($A236,'Matriz POA 2024-TRABAJO'!$A$5:$CD$9142,28,FALSE)</f>
        <v>002</v>
      </c>
      <c r="O236" s="12" t="str">
        <f>VLOOKUP($A236,'Matriz POA 2024-TRABAJO'!$A$5:$CD$9142,29,FALSE)</f>
        <v>53</v>
      </c>
      <c r="P236" s="12">
        <f>VLOOKUP($A236,'Matriz POA 2024-TRABAJO'!$A$5:$CD$9142,30,FALSE)</f>
        <v>530209</v>
      </c>
      <c r="Q236" s="12">
        <f>VLOOKUP($A236,'Matriz POA 2024-TRABAJO'!$A$5:$CD$9142,32,FALSE)</f>
        <v>1308</v>
      </c>
      <c r="R236" s="12" t="str">
        <f>VLOOKUP($A236,'Matriz POA 2024-TRABAJO'!$A$5:$CD$9142,33,FALSE)</f>
        <v>001</v>
      </c>
      <c r="S236" s="12" t="str">
        <f>VLOOKUP($A236,'Matriz POA 2024-TRABAJO'!$A$5:$CD$9142,34,FALSE)</f>
        <v>0000</v>
      </c>
      <c r="T236" s="12" t="str">
        <f>VLOOKUP($A236,'Matriz POA 2024-TRABAJO'!$A$5:$CD$9142,35,FALSE)</f>
        <v>0000</v>
      </c>
      <c r="U236" s="62">
        <f>VLOOKUP($A236,'Matriz POA 2024-TRABAJO'!$A$5:$CD$9142,66,FALSE)</f>
        <v>22446</v>
      </c>
      <c r="V236" s="62">
        <f>VLOOKUP($A236,'Matriz POA 2024-TRABAJO'!$A$5:$CD$9142,67,FALSE)</f>
        <v>0</v>
      </c>
      <c r="W236" s="62">
        <f>VLOOKUP($A236,'Matriz POA 2024-TRABAJO'!$A$5:$CD$9142,68,FALSE)</f>
        <v>22446</v>
      </c>
      <c r="X236" s="62">
        <f>VLOOKUP($A236,'Matriz POA 2024-TRABAJO'!$A$5:$CD$9142,72,FALSE)</f>
        <v>20898</v>
      </c>
      <c r="Y236" s="388">
        <v>24842</v>
      </c>
      <c r="Z236" s="388">
        <f>VLOOKUP($A236,'Matriz POA 2024-TRABAJO'!$A$5:$CD$9142,46,FALSE)</f>
        <v>0</v>
      </c>
      <c r="AA236" s="388">
        <v>24842</v>
      </c>
      <c r="AB236" s="389"/>
      <c r="AC236" s="389">
        <v>-2396</v>
      </c>
      <c r="AD236" s="13"/>
      <c r="AE236" s="13"/>
      <c r="AF236" s="13">
        <f t="shared" ref="AF236:AF237" si="174">Y236+AB236+AC236</f>
        <v>22446</v>
      </c>
      <c r="AG236" s="13">
        <f t="shared" ref="AG236:AG237" si="175">Z236+AD236+AE236</f>
        <v>0</v>
      </c>
      <c r="AH236" s="13">
        <f t="shared" ref="AH236:AH237" si="176">+AF236+AG236</f>
        <v>22446</v>
      </c>
      <c r="AI236" s="129"/>
      <c r="AJ236" s="129"/>
      <c r="AK236" s="129"/>
      <c r="AL236" s="129"/>
      <c r="AM236" s="129"/>
      <c r="AN236" s="129"/>
      <c r="AO236" s="129"/>
      <c r="AP236" s="129"/>
      <c r="AQ236" s="129"/>
      <c r="AR236" s="129"/>
      <c r="AS236" s="129"/>
      <c r="AT236" s="129"/>
      <c r="AU236" s="129">
        <f t="shared" ref="AU236:AU290" si="177">SUM(AI236:AT236)</f>
        <v>0</v>
      </c>
      <c r="AV236" s="13" t="b">
        <f t="shared" ref="AV236:AV237" si="178">SUM(AI236:AT236)=AH236</f>
        <v>0</v>
      </c>
      <c r="AW236" s="14" t="s">
        <v>1873</v>
      </c>
      <c r="AX236" s="15" t="s">
        <v>1874</v>
      </c>
      <c r="AY236" s="16">
        <v>45450</v>
      </c>
      <c r="AZ236" s="15" t="s">
        <v>1875</v>
      </c>
      <c r="BA236" s="16">
        <v>45456</v>
      </c>
      <c r="BB236" s="17">
        <f t="shared" ref="BB236:BB261" si="179">BA236-AY236</f>
        <v>6</v>
      </c>
      <c r="BC236" s="12"/>
      <c r="BD236" s="15"/>
      <c r="BE236" s="18"/>
      <c r="BF236" s="12"/>
      <c r="BG236" s="19" t="str">
        <f t="shared" ref="BG236:BG237" si="180">TEXT(BA236,"MMMM")</f>
        <v>junio</v>
      </c>
      <c r="BH236" s="12" t="str">
        <f t="shared" ref="BH236:BH237" si="181">B236</f>
        <v>Corporación Ciudad Alfaro</v>
      </c>
      <c r="BI236" s="20" t="str">
        <f t="shared" ref="BI236:BI237" si="182">E236</f>
        <v>N/A</v>
      </c>
    </row>
    <row r="237" spans="1:61" ht="24.95" customHeight="1">
      <c r="A237" s="460">
        <v>436</v>
      </c>
      <c r="B237" s="12" t="str">
        <f>VLOOKUP($A237,'Matriz POA 2024-TRABAJO'!$A$5:$CD$9142,11,FALSE)</f>
        <v>Corporación Ciudad Alfaro</v>
      </c>
      <c r="C237" s="12" t="str">
        <f>VLOOKUP($A237,'Matriz POA 2024-TRABAJO'!$A$5:$CD$9142,14,FALSE)</f>
        <v>N/A</v>
      </c>
      <c r="D237" s="12" t="str">
        <f>VLOOKUP($A237,'Matriz POA 2024-TRABAJO'!$A$5:$CD$9142,15,FALSE)</f>
        <v>N/A</v>
      </c>
      <c r="E237" s="12" t="str">
        <f>VLOOKUP($A237,'Matriz POA 2024-TRABAJO'!$A$5:$CD$9142,18,FALSE)</f>
        <v>N/A</v>
      </c>
      <c r="F237" s="12" t="str">
        <f>VLOOKUP($A237,'Matriz POA 2024-TRABAJO'!$A$5:$CD$9142,20,FALSE)</f>
        <v>N/A</v>
      </c>
      <c r="G237" s="12" t="str">
        <f>VLOOKUP($A237,'Matriz POA 2024-TRABAJO'!$A$5:$CD$9142,21,FALSE)</f>
        <v>N/A</v>
      </c>
      <c r="H237" s="12" t="str">
        <f>VLOOKUP($A237,'Matriz POA 2024-TRABAJO'!$A$5:$CD$9142,22,FALSE)</f>
        <v>N/A</v>
      </c>
      <c r="I237" s="12" t="str">
        <f>VLOOKUP($A237,'Matriz POA 2024-TRABAJO'!$A$5:$CD$9142,23,FALSE)</f>
        <v>PLURIANUAL 2023-2024</v>
      </c>
      <c r="J237" s="12" t="str">
        <f>VLOOKUP($A237,'Matriz POA 2024-TRABAJO'!$A$5:$CD$9142,24,FALSE)</f>
        <v>Pago del Servicio de aseo y Limpieza del Museo Bahía de Caráquez por el período 2023-2024</v>
      </c>
      <c r="K237" s="12" t="str">
        <f>VLOOKUP($A237,'Matriz POA 2024-TRABAJO'!$A$5:$CD$9142,25,FALSE)</f>
        <v>0035</v>
      </c>
      <c r="L237" s="12" t="str">
        <f>VLOOKUP($A237,'Matriz POA 2024-TRABAJO'!$A$5:$CD$9142,26,FALSE)</f>
        <v>80</v>
      </c>
      <c r="M237" s="12" t="str">
        <f>VLOOKUP($A237,'Matriz POA 2024-TRABAJO'!$A$5:$CD$9142,27,FALSE)</f>
        <v>000</v>
      </c>
      <c r="N237" s="12" t="str">
        <f>VLOOKUP($A237,'Matriz POA 2024-TRABAJO'!$A$5:$CD$9142,28,FALSE)</f>
        <v>002</v>
      </c>
      <c r="O237" s="12" t="str">
        <f>VLOOKUP($A237,'Matriz POA 2024-TRABAJO'!$A$5:$CD$9142,29,FALSE)</f>
        <v>53</v>
      </c>
      <c r="P237" s="12">
        <f>VLOOKUP($A237,'Matriz POA 2024-TRABAJO'!$A$5:$CD$9142,30,FALSE)</f>
        <v>530209</v>
      </c>
      <c r="Q237" s="12">
        <f>VLOOKUP($A237,'Matriz POA 2024-TRABAJO'!$A$5:$CD$9142,32,FALSE)</f>
        <v>1314</v>
      </c>
      <c r="R237" s="12" t="str">
        <f>VLOOKUP($A237,'Matriz POA 2024-TRABAJO'!$A$5:$CD$9142,33,FALSE)</f>
        <v>001</v>
      </c>
      <c r="S237" s="12" t="str">
        <f>VLOOKUP($A237,'Matriz POA 2024-TRABAJO'!$A$5:$CD$9142,34,FALSE)</f>
        <v>0000</v>
      </c>
      <c r="T237" s="12" t="str">
        <f>VLOOKUP($A237,'Matriz POA 2024-TRABAJO'!$A$5:$CD$9142,35,FALSE)</f>
        <v>0000</v>
      </c>
      <c r="U237" s="62">
        <f>VLOOKUP($A237,'Matriz POA 2024-TRABAJO'!$A$5:$CD$9142,66,FALSE)</f>
        <v>22446</v>
      </c>
      <c r="V237" s="62">
        <f>VLOOKUP($A237,'Matriz POA 2024-TRABAJO'!$A$5:$CD$9142,67,FALSE)</f>
        <v>0</v>
      </c>
      <c r="W237" s="62">
        <f>VLOOKUP($A237,'Matriz POA 2024-TRABAJO'!$A$5:$CD$9142,68,FALSE)</f>
        <v>22446</v>
      </c>
      <c r="X237" s="62">
        <f>VLOOKUP($A237,'Matriz POA 2024-TRABAJO'!$A$5:$CD$9142,72,FALSE)</f>
        <v>22446</v>
      </c>
      <c r="Y237" s="388">
        <v>24842</v>
      </c>
      <c r="Z237" s="388">
        <f>VLOOKUP($A237,'Matriz POA 2024-TRABAJO'!$A$5:$CD$9142,46,FALSE)</f>
        <v>0</v>
      </c>
      <c r="AA237" s="388">
        <v>24842</v>
      </c>
      <c r="AB237" s="389"/>
      <c r="AC237" s="389">
        <v>-2396</v>
      </c>
      <c r="AD237" s="13"/>
      <c r="AE237" s="13"/>
      <c r="AF237" s="13">
        <f t="shared" si="174"/>
        <v>22446</v>
      </c>
      <c r="AG237" s="13">
        <f t="shared" si="175"/>
        <v>0</v>
      </c>
      <c r="AH237" s="13">
        <f t="shared" si="176"/>
        <v>22446</v>
      </c>
      <c r="AI237" s="129"/>
      <c r="AJ237" s="129"/>
      <c r="AK237" s="129"/>
      <c r="AL237" s="129"/>
      <c r="AM237" s="129"/>
      <c r="AN237" s="129"/>
      <c r="AO237" s="129"/>
      <c r="AP237" s="129"/>
      <c r="AQ237" s="129"/>
      <c r="AR237" s="129"/>
      <c r="AS237" s="129"/>
      <c r="AT237" s="129"/>
      <c r="AU237" s="129">
        <f t="shared" si="177"/>
        <v>0</v>
      </c>
      <c r="AV237" s="13" t="b">
        <f t="shared" si="178"/>
        <v>0</v>
      </c>
      <c r="AW237" s="14" t="s">
        <v>1873</v>
      </c>
      <c r="AX237" s="15" t="s">
        <v>1874</v>
      </c>
      <c r="AY237" s="16">
        <v>45450</v>
      </c>
      <c r="AZ237" s="15" t="s">
        <v>1875</v>
      </c>
      <c r="BA237" s="16">
        <v>45456</v>
      </c>
      <c r="BB237" s="17">
        <f t="shared" si="179"/>
        <v>6</v>
      </c>
      <c r="BC237" s="12"/>
      <c r="BD237" s="15"/>
      <c r="BE237" s="18"/>
      <c r="BF237" s="12"/>
      <c r="BG237" s="19" t="str">
        <f t="shared" si="180"/>
        <v>junio</v>
      </c>
      <c r="BH237" s="12" t="str">
        <f t="shared" si="181"/>
        <v>Corporación Ciudad Alfaro</v>
      </c>
      <c r="BI237" s="20" t="str">
        <f t="shared" si="182"/>
        <v>N/A</v>
      </c>
    </row>
    <row r="238" spans="1:61" ht="24.95" customHeight="1">
      <c r="A238" s="460">
        <v>438</v>
      </c>
      <c r="B238" s="12" t="str">
        <f>VLOOKUP($A238,'Matriz POA 2024-TRABAJO'!$A$5:$CD$9142,11,FALSE)</f>
        <v>Corporación Ciudad Alfaro</v>
      </c>
      <c r="C238" s="12" t="str">
        <f>VLOOKUP($A238,'Matriz POA 2024-TRABAJO'!$A$5:$CD$9142,14,FALSE)</f>
        <v>N/A</v>
      </c>
      <c r="D238" s="12" t="str">
        <f>VLOOKUP($A238,'Matriz POA 2024-TRABAJO'!$A$5:$CD$9142,15,FALSE)</f>
        <v>N/A</v>
      </c>
      <c r="E238" s="12" t="str">
        <f>VLOOKUP($A238,'Matriz POA 2024-TRABAJO'!$A$5:$CD$9142,18,FALSE)</f>
        <v>N/A</v>
      </c>
      <c r="F238" s="12" t="str">
        <f>VLOOKUP($A238,'Matriz POA 2024-TRABAJO'!$A$5:$CD$9142,20,FALSE)</f>
        <v>N/A</v>
      </c>
      <c r="G238" s="12" t="str">
        <f>VLOOKUP($A238,'Matriz POA 2024-TRABAJO'!$A$5:$CD$9142,21,FALSE)</f>
        <v>N/A</v>
      </c>
      <c r="H238" s="12" t="str">
        <f>VLOOKUP($A238,'Matriz POA 2024-TRABAJO'!$A$5:$CD$9142,22,FALSE)</f>
        <v>N/A</v>
      </c>
      <c r="I238" s="12" t="str">
        <f>VLOOKUP($A238,'Matriz POA 2024-TRABAJO'!$A$5:$CD$9142,23,FALSE)</f>
        <v>PLURIANUAL 2023-2024</v>
      </c>
      <c r="J238" s="12" t="str">
        <f>VLOOKUP($A238,'Matriz POA 2024-TRABAJO'!$A$5:$CD$9142,24,FALSE)</f>
        <v>Pago del Servicio de aseo y Limpieza de la Corporación Ciudad Alfaro</v>
      </c>
      <c r="K238" s="12" t="str">
        <f>VLOOKUP($A238,'Matriz POA 2024-TRABAJO'!$A$5:$CD$9142,25,FALSE)</f>
        <v>0035</v>
      </c>
      <c r="L238" s="12" t="str">
        <f>VLOOKUP($A238,'Matriz POA 2024-TRABAJO'!$A$5:$CD$9142,26,FALSE)</f>
        <v>80</v>
      </c>
      <c r="M238" s="12" t="str">
        <f>VLOOKUP($A238,'Matriz POA 2024-TRABAJO'!$A$5:$CD$9142,27,FALSE)</f>
        <v>000</v>
      </c>
      <c r="N238" s="12" t="str">
        <f>VLOOKUP($A238,'Matriz POA 2024-TRABAJO'!$A$5:$CD$9142,28,FALSE)</f>
        <v>002</v>
      </c>
      <c r="O238" s="12" t="str">
        <f>VLOOKUP($A238,'Matriz POA 2024-TRABAJO'!$A$5:$CD$9142,29,FALSE)</f>
        <v>53</v>
      </c>
      <c r="P238" s="12">
        <f>VLOOKUP($A238,'Matriz POA 2024-TRABAJO'!$A$5:$CD$9142,30,FALSE)</f>
        <v>530209</v>
      </c>
      <c r="Q238" s="12">
        <f>VLOOKUP($A238,'Matriz POA 2024-TRABAJO'!$A$5:$CD$9142,32,FALSE)</f>
        <v>1309</v>
      </c>
      <c r="R238" s="12" t="str">
        <f>VLOOKUP($A238,'Matriz POA 2024-TRABAJO'!$A$5:$CD$9142,33,FALSE)</f>
        <v>001</v>
      </c>
      <c r="S238" s="12" t="str">
        <f>VLOOKUP($A238,'Matriz POA 2024-TRABAJO'!$A$5:$CD$9142,34,FALSE)</f>
        <v>0000</v>
      </c>
      <c r="T238" s="12" t="str">
        <f>VLOOKUP($A238,'Matriz POA 2024-TRABAJO'!$A$5:$CD$9142,35,FALSE)</f>
        <v>0000</v>
      </c>
      <c r="U238" s="62">
        <f>VLOOKUP($A238,'Matriz POA 2024-TRABAJO'!$A$5:$CD$9142,66,FALSE)</f>
        <v>22523.4</v>
      </c>
      <c r="V238" s="62">
        <f>VLOOKUP($A238,'Matriz POA 2024-TRABAJO'!$A$5:$CD$9142,67,FALSE)</f>
        <v>0</v>
      </c>
      <c r="W238" s="62">
        <f>VLOOKUP($A238,'Matriz POA 2024-TRABAJO'!$A$5:$CD$9142,68,FALSE)</f>
        <v>22523.4</v>
      </c>
      <c r="X238" s="62">
        <f>VLOOKUP($A238,'Matriz POA 2024-TRABAJO'!$A$5:$CD$9142,72,FALSE)</f>
        <v>22446</v>
      </c>
      <c r="Y238" s="388">
        <v>24919.4</v>
      </c>
      <c r="Z238" s="388">
        <f>VLOOKUP($A238,'Matriz POA 2024-TRABAJO'!$A$5:$CD$9142,46,FALSE)</f>
        <v>0</v>
      </c>
      <c r="AA238" s="388">
        <v>24919.4</v>
      </c>
      <c r="AB238" s="389"/>
      <c r="AC238" s="389">
        <v>-2396</v>
      </c>
      <c r="AD238" s="13"/>
      <c r="AE238" s="13"/>
      <c r="AF238" s="13">
        <f t="shared" ref="AF238" si="183">Y238+AB238+AC238</f>
        <v>22523.4</v>
      </c>
      <c r="AG238" s="13">
        <f t="shared" ref="AG238" si="184">Z238+AD238+AE238</f>
        <v>0</v>
      </c>
      <c r="AH238" s="13">
        <f t="shared" ref="AH238" si="185">+AF238+AG238</f>
        <v>22523.4</v>
      </c>
      <c r="AI238" s="129">
        <f t="shared" ref="AI238" si="186">SUM(W238:AH238)</f>
        <v>137459</v>
      </c>
      <c r="AJ238" s="13" t="b">
        <f t="shared" ref="AJ238" si="187">SUM(W238:AH238)=V238</f>
        <v>0</v>
      </c>
      <c r="AK238" s="14"/>
      <c r="AL238" s="15"/>
      <c r="AM238" s="16"/>
      <c r="AN238" s="15"/>
      <c r="AO238" s="16"/>
      <c r="AP238" s="17">
        <f t="shared" ref="AP238" si="188">AO238-AM238</f>
        <v>0</v>
      </c>
      <c r="AQ238" s="12"/>
      <c r="AR238" s="15"/>
      <c r="AS238" s="18"/>
      <c r="AT238" s="12"/>
      <c r="AU238" s="129">
        <f t="shared" si="177"/>
        <v>137459</v>
      </c>
      <c r="AV238" s="13" t="b">
        <f t="shared" ref="AV238:AV290" si="189">SUM(AI238:AT238)=AH238</f>
        <v>0</v>
      </c>
      <c r="AW238" s="14" t="s">
        <v>1873</v>
      </c>
      <c r="AX238" s="15" t="s">
        <v>1874</v>
      </c>
      <c r="AY238" s="16">
        <v>45450</v>
      </c>
      <c r="AZ238" s="15" t="s">
        <v>1875</v>
      </c>
      <c r="BA238" s="16">
        <v>45456</v>
      </c>
      <c r="BB238" s="17">
        <f t="shared" si="179"/>
        <v>6</v>
      </c>
      <c r="BC238" s="12"/>
      <c r="BD238" s="15"/>
      <c r="BE238" s="18"/>
      <c r="BF238" s="12"/>
      <c r="BG238" s="19" t="str">
        <f t="shared" ref="BG238:BG261" si="190">TEXT(BA238,"MMMM")</f>
        <v>junio</v>
      </c>
      <c r="BH238" s="12" t="str">
        <f t="shared" ref="BH238:BH261" si="191">B238</f>
        <v>Corporación Ciudad Alfaro</v>
      </c>
      <c r="BI238" s="20" t="str">
        <f t="shared" ref="BI238:BI261" si="192">E238</f>
        <v>N/A</v>
      </c>
    </row>
    <row r="239" spans="1:61" ht="24.95" customHeight="1">
      <c r="A239" s="460">
        <v>483</v>
      </c>
      <c r="B239" s="12" t="str">
        <f>VLOOKUP($A239,'Matriz POA 2024-TRABAJO'!$A$5:$CD$9142,11,FALSE)</f>
        <v>Corporación Ciudad Alfaro</v>
      </c>
      <c r="C239" s="12" t="str">
        <f>VLOOKUP($A239,'Matriz POA 2024-TRABAJO'!$A$5:$CD$9142,14,FALSE)</f>
        <v>N/A</v>
      </c>
      <c r="D239" s="12" t="str">
        <f>VLOOKUP($A239,'Matriz POA 2024-TRABAJO'!$A$5:$CD$9142,15,FALSE)</f>
        <v>N/A</v>
      </c>
      <c r="E239" s="12" t="str">
        <f>VLOOKUP($A239,'Matriz POA 2024-TRABAJO'!$A$5:$CD$9142,18,FALSE)</f>
        <v>N/A</v>
      </c>
      <c r="F239" s="12" t="str">
        <f>VLOOKUP($A239,'Matriz POA 2024-TRABAJO'!$A$5:$CD$9142,20,FALSE)</f>
        <v>N/A</v>
      </c>
      <c r="G239" s="12" t="str">
        <f>VLOOKUP($A239,'Matriz POA 2024-TRABAJO'!$A$5:$CD$9142,21,FALSE)</f>
        <v>N/A</v>
      </c>
      <c r="H239" s="12" t="str">
        <f>VLOOKUP($A239,'Matriz POA 2024-TRABAJO'!$A$5:$CD$9142,22,FALSE)</f>
        <v>N/A</v>
      </c>
      <c r="I239" s="12" t="str">
        <f>VLOOKUP($A239,'Matriz POA 2024-TRABAJO'!$A$5:$CD$9142,23,FALSE)</f>
        <v>NUEVA</v>
      </c>
      <c r="J239" s="12" t="str">
        <f>VLOOKUP($A239,'Matriz POA 2024-TRABAJO'!$A$5:$CD$9142,24,FALSE)</f>
        <v>Mantenimiento y reparación de las puertas enrollables de la corporación ciudad alfaro y sus sedes</v>
      </c>
      <c r="K239" s="12" t="str">
        <f>VLOOKUP($A239,'Matriz POA 2024-TRABAJO'!$A$5:$CD$9142,25,FALSE)</f>
        <v>0035</v>
      </c>
      <c r="L239" s="12" t="str">
        <f>VLOOKUP($A239,'Matriz POA 2024-TRABAJO'!$A$5:$CD$9142,26,FALSE)</f>
        <v>80</v>
      </c>
      <c r="M239" s="12" t="str">
        <f>VLOOKUP($A239,'Matriz POA 2024-TRABAJO'!$A$5:$CD$9142,27,FALSE)</f>
        <v>000</v>
      </c>
      <c r="N239" s="12" t="str">
        <f>VLOOKUP($A239,'Matriz POA 2024-TRABAJO'!$A$5:$CD$9142,28,FALSE)</f>
        <v>002</v>
      </c>
      <c r="O239" s="12" t="str">
        <f>VLOOKUP($A239,'Matriz POA 2024-TRABAJO'!$A$5:$CD$9142,29,FALSE)</f>
        <v>53</v>
      </c>
      <c r="P239" s="12">
        <f>VLOOKUP($A239,'Matriz POA 2024-TRABAJO'!$A$5:$CD$9142,30,FALSE)</f>
        <v>530403</v>
      </c>
      <c r="Q239" s="12">
        <f>VLOOKUP($A239,'Matriz POA 2024-TRABAJO'!$A$5:$CD$9142,32,FALSE)</f>
        <v>1309</v>
      </c>
      <c r="R239" s="12" t="str">
        <f>VLOOKUP($A239,'Matriz POA 2024-TRABAJO'!$A$5:$CD$9142,33,FALSE)</f>
        <v>001</v>
      </c>
      <c r="S239" s="12" t="str">
        <f>VLOOKUP($A239,'Matriz POA 2024-TRABAJO'!$A$5:$CD$9142,34,FALSE)</f>
        <v>0000</v>
      </c>
      <c r="T239" s="12" t="str">
        <f>VLOOKUP($A239,'Matriz POA 2024-TRABAJO'!$A$5:$CD$9142,35,FALSE)</f>
        <v>0000</v>
      </c>
      <c r="U239" s="62">
        <f>VLOOKUP($A239,'Matriz POA 2024-TRABAJO'!$A$5:$CD$9142,66,FALSE)</f>
        <v>8000</v>
      </c>
      <c r="V239" s="62">
        <f>VLOOKUP($A239,'Matriz POA 2024-TRABAJO'!$A$5:$CD$9142,67,FALSE)</f>
        <v>-8000</v>
      </c>
      <c r="W239" s="62">
        <f>VLOOKUP($A239,'Matriz POA 2024-TRABAJO'!$A$5:$CD$9142,68,FALSE)</f>
        <v>0</v>
      </c>
      <c r="X239" s="62" t="str">
        <f>VLOOKUP($A239,'Matriz POA 2024-TRABAJO'!$A$5:$CD$9142,72,FALSE)</f>
        <v/>
      </c>
      <c r="Y239" s="388">
        <v>5000</v>
      </c>
      <c r="Z239" s="388">
        <f>VLOOKUP($A239,'Matriz POA 2024-TRABAJO'!$A$5:$CD$9142,46,FALSE)</f>
        <v>0</v>
      </c>
      <c r="AA239" s="388">
        <v>5000</v>
      </c>
      <c r="AB239" s="389"/>
      <c r="AC239" s="389">
        <v>-2000</v>
      </c>
      <c r="AD239" s="13"/>
      <c r="AE239" s="13"/>
      <c r="AF239" s="13">
        <f t="shared" ref="AF239" si="193">Y239+AB239+AC239</f>
        <v>3000</v>
      </c>
      <c r="AG239" s="13">
        <f t="shared" ref="AG239" si="194">Z239+AD239+AE239</f>
        <v>0</v>
      </c>
      <c r="AH239" s="13">
        <f t="shared" ref="AH239" si="195">+AF239+AG239</f>
        <v>3000</v>
      </c>
      <c r="AI239" s="7"/>
      <c r="AJ239" s="7"/>
      <c r="AK239" s="7"/>
      <c r="AL239" s="7"/>
      <c r="AM239" s="7"/>
      <c r="AN239" s="7"/>
      <c r="AO239" s="7"/>
      <c r="AP239" s="7"/>
      <c r="AQ239" s="7"/>
      <c r="AR239" s="7"/>
      <c r="AS239" s="7"/>
      <c r="AT239" s="7"/>
      <c r="AU239" s="129">
        <f t="shared" si="177"/>
        <v>0</v>
      </c>
      <c r="AV239" s="13" t="b">
        <f t="shared" si="189"/>
        <v>0</v>
      </c>
      <c r="AW239" s="14" t="s">
        <v>1873</v>
      </c>
      <c r="AX239" s="15" t="s">
        <v>1874</v>
      </c>
      <c r="AY239" s="16">
        <v>45450</v>
      </c>
      <c r="AZ239" s="15" t="s">
        <v>1875</v>
      </c>
      <c r="BA239" s="16">
        <v>45456</v>
      </c>
      <c r="BB239" s="17">
        <f t="shared" si="179"/>
        <v>6</v>
      </c>
      <c r="BC239" s="12"/>
      <c r="BD239" s="15"/>
      <c r="BE239" s="18"/>
      <c r="BF239" s="12"/>
      <c r="BG239" s="19" t="str">
        <f t="shared" si="190"/>
        <v>junio</v>
      </c>
      <c r="BH239" s="12" t="str">
        <f t="shared" si="191"/>
        <v>Corporación Ciudad Alfaro</v>
      </c>
      <c r="BI239" s="20" t="str">
        <f t="shared" si="192"/>
        <v>N/A</v>
      </c>
    </row>
    <row r="240" spans="1:61" ht="24.95" customHeight="1">
      <c r="A240" s="460">
        <v>877</v>
      </c>
      <c r="B240" s="12" t="str">
        <f>VLOOKUP($A240,'Matriz POA 2024-TRABAJO'!$A$5:$CD$9142,11,FALSE)</f>
        <v>Corporación Ciudad Alfaro</v>
      </c>
      <c r="C240" s="12" t="str">
        <f>VLOOKUP($A240,'Matriz POA 2024-TRABAJO'!$A$5:$CD$9142,14,FALSE)</f>
        <v>N/A</v>
      </c>
      <c r="D240" s="12" t="str">
        <f>VLOOKUP($A240,'Matriz POA 2024-TRABAJO'!$A$5:$CD$9142,15,FALSE)</f>
        <v>N/A</v>
      </c>
      <c r="E240" s="12" t="str">
        <f>VLOOKUP($A240,'Matriz POA 2024-TRABAJO'!$A$5:$CD$9142,18,FALSE)</f>
        <v>N/A</v>
      </c>
      <c r="F240" s="12" t="str">
        <f>VLOOKUP($A240,'Matriz POA 2024-TRABAJO'!$A$5:$CD$9142,20,FALSE)</f>
        <v>N/A</v>
      </c>
      <c r="G240" s="12" t="str">
        <f>VLOOKUP($A240,'Matriz POA 2024-TRABAJO'!$A$5:$CD$9142,21,FALSE)</f>
        <v>N/A</v>
      </c>
      <c r="H240" s="12" t="str">
        <f>VLOOKUP($A240,'Matriz POA 2024-TRABAJO'!$A$5:$CD$9142,22,FALSE)</f>
        <v>N/A</v>
      </c>
      <c r="I240" s="12" t="str">
        <f>VLOOKUP($A240,'Matriz POA 2024-TRABAJO'!$A$5:$CD$9142,23,FALSE)</f>
        <v>PLURIANUAL 2024 - 2025</v>
      </c>
      <c r="J240" s="12" t="str">
        <f>VLOOKUP($A240,'Matriz POA 2024-TRABAJO'!$A$5:$CD$9142,24,FALSE)</f>
        <v>Contratación del servicio de vigilancia y seguridad privada para el Museo Nuclear Corporación Ciudad Alfaro y sus Sedes, durante el período 2024-2025</v>
      </c>
      <c r="K240" s="12" t="str">
        <f>VLOOKUP($A240,'Matriz POA 2024-TRABAJO'!$A$5:$CD$9142,25,FALSE)</f>
        <v>0035</v>
      </c>
      <c r="L240" s="12" t="str">
        <f>VLOOKUP($A240,'Matriz POA 2024-TRABAJO'!$A$5:$CD$9142,26,FALSE)</f>
        <v>80</v>
      </c>
      <c r="M240" s="12" t="str">
        <f>VLOOKUP($A240,'Matriz POA 2024-TRABAJO'!$A$5:$CD$9142,27,FALSE)</f>
        <v>000</v>
      </c>
      <c r="N240" s="12" t="str">
        <f>VLOOKUP($A240,'Matriz POA 2024-TRABAJO'!$A$5:$CD$9142,28,FALSE)</f>
        <v>002</v>
      </c>
      <c r="O240" s="12" t="str">
        <f>VLOOKUP($A240,'Matriz POA 2024-TRABAJO'!$A$5:$CD$9142,29,FALSE)</f>
        <v>53</v>
      </c>
      <c r="P240" s="12">
        <f>VLOOKUP($A240,'Matriz POA 2024-TRABAJO'!$A$5:$CD$9142,30,FALSE)</f>
        <v>530208</v>
      </c>
      <c r="Q240" s="12">
        <f>VLOOKUP($A240,'Matriz POA 2024-TRABAJO'!$A$5:$CD$9142,32,FALSE)</f>
        <v>1309</v>
      </c>
      <c r="R240" s="12" t="str">
        <f>VLOOKUP($A240,'Matriz POA 2024-TRABAJO'!$A$5:$CD$9142,33,FALSE)</f>
        <v>001</v>
      </c>
      <c r="S240" s="12" t="str">
        <f>VLOOKUP($A240,'Matriz POA 2024-TRABAJO'!$A$5:$CD$9142,34,FALSE)</f>
        <v>0000</v>
      </c>
      <c r="T240" s="12" t="str">
        <f>VLOOKUP($A240,'Matriz POA 2024-TRABAJO'!$A$5:$CD$9142,35,FALSE)</f>
        <v>0000</v>
      </c>
      <c r="U240" s="62">
        <f>VLOOKUP($A240,'Matriz POA 2024-TRABAJO'!$A$5:$CD$9142,66,FALSE)</f>
        <v>16</v>
      </c>
      <c r="V240" s="62">
        <f>VLOOKUP($A240,'Matriz POA 2024-TRABAJO'!$A$5:$CD$9142,67,FALSE)</f>
        <v>9053.33</v>
      </c>
      <c r="W240" s="62">
        <f>VLOOKUP($A240,'Matriz POA 2024-TRABAJO'!$A$5:$CD$9142,68,FALSE)</f>
        <v>9069.33</v>
      </c>
      <c r="X240" s="62">
        <f>VLOOKUP($A240,'Matriz POA 2024-TRABAJO'!$A$5:$CD$9142,72,FALSE)</f>
        <v>8053.57</v>
      </c>
      <c r="Y240" s="388">
        <v>0</v>
      </c>
      <c r="Z240" s="388">
        <f>VLOOKUP($A240,'Matriz POA 2024-TRABAJO'!$A$5:$CD$9142,46,FALSE)</f>
        <v>0</v>
      </c>
      <c r="AA240" s="388">
        <v>0</v>
      </c>
      <c r="AB240" s="389">
        <v>9188</v>
      </c>
      <c r="AC240" s="389"/>
      <c r="AD240" s="13"/>
      <c r="AE240" s="13"/>
      <c r="AF240" s="13">
        <f t="shared" ref="AF240:AF243" si="196">Y240+AB240+AC240</f>
        <v>9188</v>
      </c>
      <c r="AG240" s="13">
        <f t="shared" ref="AG240:AG243" si="197">Z240+AD240+AE240</f>
        <v>0</v>
      </c>
      <c r="AH240" s="13">
        <f t="shared" ref="AH240:AH243" si="198">+AF240+AG240</f>
        <v>9188</v>
      </c>
      <c r="AI240" s="7"/>
      <c r="AJ240" s="7"/>
      <c r="AK240" s="7"/>
      <c r="AL240" s="7"/>
      <c r="AM240" s="7"/>
      <c r="AN240" s="7"/>
      <c r="AO240" s="7"/>
      <c r="AP240" s="7"/>
      <c r="AQ240" s="7"/>
      <c r="AR240" s="7"/>
      <c r="AS240" s="7"/>
      <c r="AT240" s="7"/>
      <c r="AU240" s="129">
        <f t="shared" si="177"/>
        <v>0</v>
      </c>
      <c r="AV240" s="13" t="b">
        <f t="shared" si="189"/>
        <v>0</v>
      </c>
      <c r="AW240" s="14" t="s">
        <v>1873</v>
      </c>
      <c r="AX240" s="15" t="s">
        <v>1874</v>
      </c>
      <c r="AY240" s="16">
        <v>45450</v>
      </c>
      <c r="AZ240" s="15" t="s">
        <v>1875</v>
      </c>
      <c r="BA240" s="16">
        <v>45456</v>
      </c>
      <c r="BB240" s="17">
        <f t="shared" si="179"/>
        <v>6</v>
      </c>
      <c r="BC240" s="12"/>
      <c r="BD240" s="15"/>
      <c r="BE240" s="18"/>
      <c r="BF240" s="12"/>
      <c r="BG240" s="19" t="str">
        <f t="shared" si="190"/>
        <v>junio</v>
      </c>
      <c r="BH240" s="12" t="str">
        <f t="shared" si="191"/>
        <v>Corporación Ciudad Alfaro</v>
      </c>
      <c r="BI240" s="20" t="str">
        <f t="shared" si="192"/>
        <v>N/A</v>
      </c>
    </row>
    <row r="241" spans="1:61" ht="24.95" customHeight="1">
      <c r="A241" s="432">
        <v>817</v>
      </c>
      <c r="B241" s="12" t="str">
        <f>VLOOKUP($A241,'Matriz POA 2024-TRABAJO'!$A$5:$CD$9142,11,FALSE)</f>
        <v>Corporación Ciudad Alfaro</v>
      </c>
      <c r="C241" s="12" t="str">
        <f>VLOOKUP($A241,'Matriz POA 2024-TRABAJO'!$A$5:$CD$9142,14,FALSE)</f>
        <v>N/A</v>
      </c>
      <c r="D241" s="12" t="str">
        <f>VLOOKUP($A241,'Matriz POA 2024-TRABAJO'!$A$5:$CD$9142,15,FALSE)</f>
        <v>N/A</v>
      </c>
      <c r="E241" s="12" t="str">
        <f>VLOOKUP($A241,'Matriz POA 2024-TRABAJO'!$A$5:$CD$9142,18,FALSE)</f>
        <v>N/A</v>
      </c>
      <c r="F241" s="12" t="str">
        <f>VLOOKUP($A241,'Matriz POA 2024-TRABAJO'!$A$5:$CD$9142,20,FALSE)</f>
        <v>N/A</v>
      </c>
      <c r="G241" s="12" t="str">
        <f>VLOOKUP($A241,'Matriz POA 2024-TRABAJO'!$A$5:$CD$9142,21,FALSE)</f>
        <v>N/A</v>
      </c>
      <c r="H241" s="12" t="str">
        <f>VLOOKUP($A241,'Matriz POA 2024-TRABAJO'!$A$5:$CD$9142,22,FALSE)</f>
        <v>N/A</v>
      </c>
      <c r="I241" s="12" t="str">
        <f>VLOOKUP($A241,'Matriz POA 2024-TRABAJO'!$A$5:$CD$9142,23,FALSE)</f>
        <v>NUEVA</v>
      </c>
      <c r="J241" s="12" t="str">
        <f>VLOOKUP($A241,'Matriz POA 2024-TRABAJO'!$A$5:$CD$9142,24,FALSE)</f>
        <v>Contratación del servicio de actualización  de sistemas informáticos de la Corporación Ciudad Alfaro y sus sedes</v>
      </c>
      <c r="K241" s="12" t="str">
        <f>VLOOKUP($A241,'Matriz POA 2024-TRABAJO'!$A$5:$CD$9142,25,FALSE)</f>
        <v>0035</v>
      </c>
      <c r="L241" s="12" t="str">
        <f>VLOOKUP($A241,'Matriz POA 2024-TRABAJO'!$A$5:$CD$9142,26,FALSE)</f>
        <v>80</v>
      </c>
      <c r="M241" s="12" t="str">
        <f>VLOOKUP($A241,'Matriz POA 2024-TRABAJO'!$A$5:$CD$9142,27,FALSE)</f>
        <v>000</v>
      </c>
      <c r="N241" s="12" t="str">
        <f>VLOOKUP($A241,'Matriz POA 2024-TRABAJO'!$A$5:$CD$9142,28,FALSE)</f>
        <v>002</v>
      </c>
      <c r="O241" s="12" t="str">
        <f>VLOOKUP($A241,'Matriz POA 2024-TRABAJO'!$A$5:$CD$9142,29,FALSE)</f>
        <v>53</v>
      </c>
      <c r="P241" s="12">
        <f>VLOOKUP($A241,'Matriz POA 2024-TRABAJO'!$A$5:$CD$9142,30,FALSE)</f>
        <v>530701</v>
      </c>
      <c r="Q241" s="12">
        <f>VLOOKUP($A241,'Matriz POA 2024-TRABAJO'!$A$5:$CD$9142,32,FALSE)</f>
        <v>1309</v>
      </c>
      <c r="R241" s="12" t="str">
        <f>VLOOKUP($A241,'Matriz POA 2024-TRABAJO'!$A$5:$CD$9142,33,FALSE)</f>
        <v>001</v>
      </c>
      <c r="S241" s="12" t="str">
        <f>VLOOKUP($A241,'Matriz POA 2024-TRABAJO'!$A$5:$CD$9142,34,FALSE)</f>
        <v>0000</v>
      </c>
      <c r="T241" s="12" t="str">
        <f>VLOOKUP($A241,'Matriz POA 2024-TRABAJO'!$A$5:$CD$9142,35,FALSE)</f>
        <v>0000</v>
      </c>
      <c r="U241" s="62">
        <f>VLOOKUP($A241,'Matriz POA 2024-TRABAJO'!$A$5:$CD$9142,66,FALSE)</f>
        <v>400</v>
      </c>
      <c r="V241" s="62">
        <f>VLOOKUP($A241,'Matriz POA 2024-TRABAJO'!$A$5:$CD$9142,67,FALSE)</f>
        <v>-400</v>
      </c>
      <c r="W241" s="62">
        <f>VLOOKUP($A241,'Matriz POA 2024-TRABAJO'!$A$5:$CD$9142,68,FALSE)</f>
        <v>0</v>
      </c>
      <c r="X241" s="62" t="str">
        <f>VLOOKUP($A241,'Matriz POA 2024-TRABAJO'!$A$5:$CD$9142,72,FALSE)</f>
        <v/>
      </c>
      <c r="Y241" s="388">
        <v>400</v>
      </c>
      <c r="Z241" s="388">
        <f>VLOOKUP($A241,'Matriz POA 2024-TRABAJO'!$A$5:$CD$9142,46,FALSE)</f>
        <v>0</v>
      </c>
      <c r="AA241" s="388">
        <v>400</v>
      </c>
      <c r="AB241" s="389"/>
      <c r="AC241" s="389">
        <v>-400</v>
      </c>
      <c r="AD241" s="13"/>
      <c r="AE241" s="13"/>
      <c r="AF241" s="13">
        <f t="shared" ref="AF241" si="199">Y241+AB241+AC241</f>
        <v>0</v>
      </c>
      <c r="AG241" s="13">
        <f t="shared" ref="AG241" si="200">Z241+AD241+AE241</f>
        <v>0</v>
      </c>
      <c r="AH241" s="13">
        <f t="shared" ref="AH241" si="201">+AF241+AG241</f>
        <v>0</v>
      </c>
      <c r="AI241" s="7"/>
      <c r="AJ241" s="7"/>
      <c r="AK241" s="7"/>
      <c r="AL241" s="7"/>
      <c r="AM241" s="7"/>
      <c r="AN241" s="7"/>
      <c r="AO241" s="7"/>
      <c r="AP241" s="7"/>
      <c r="AQ241" s="7"/>
      <c r="AR241" s="7"/>
      <c r="AS241" s="7"/>
      <c r="AT241" s="7"/>
      <c r="AU241" s="129">
        <f t="shared" si="177"/>
        <v>0</v>
      </c>
      <c r="AV241" s="13" t="b">
        <f t="shared" si="189"/>
        <v>1</v>
      </c>
      <c r="AW241" s="14" t="s">
        <v>1964</v>
      </c>
      <c r="AX241" s="15" t="s">
        <v>1962</v>
      </c>
      <c r="AY241" s="16">
        <v>45482</v>
      </c>
      <c r="AZ241" s="15" t="s">
        <v>1963</v>
      </c>
      <c r="BA241" s="16">
        <v>45484</v>
      </c>
      <c r="BB241" s="17">
        <f t="shared" si="179"/>
        <v>2</v>
      </c>
      <c r="BC241" s="12"/>
      <c r="BD241" s="15"/>
      <c r="BE241" s="18"/>
      <c r="BF241" s="12"/>
      <c r="BG241" s="19" t="str">
        <f t="shared" si="190"/>
        <v>julio</v>
      </c>
      <c r="BH241" s="12" t="str">
        <f t="shared" si="191"/>
        <v>Corporación Ciudad Alfaro</v>
      </c>
      <c r="BI241" s="20" t="str">
        <f t="shared" si="192"/>
        <v>N/A</v>
      </c>
    </row>
    <row r="242" spans="1:61" ht="24.95" customHeight="1">
      <c r="A242" s="432">
        <v>931</v>
      </c>
      <c r="B242" s="12" t="str">
        <f>VLOOKUP($A242,'Matriz POA 2024-TRABAJO'!$A$5:$CD$9142,11,FALSE)</f>
        <v>Corporación Ciudad Alfaro</v>
      </c>
      <c r="C242" s="12" t="str">
        <f>VLOOKUP($A242,'Matriz POA 2024-TRABAJO'!$A$5:$CD$9142,14,FALSE)</f>
        <v>N/A</v>
      </c>
      <c r="D242" s="12" t="str">
        <f>VLOOKUP($A242,'Matriz POA 2024-TRABAJO'!$A$5:$CD$9142,15,FALSE)</f>
        <v>N/A</v>
      </c>
      <c r="E242" s="12" t="str">
        <f>VLOOKUP($A242,'Matriz POA 2024-TRABAJO'!$A$5:$CD$9142,18,FALSE)</f>
        <v>N/A</v>
      </c>
      <c r="F242" s="12" t="str">
        <f>VLOOKUP($A242,'Matriz POA 2024-TRABAJO'!$A$5:$CD$9142,20,FALSE)</f>
        <v>N/A</v>
      </c>
      <c r="G242" s="12" t="str">
        <f>VLOOKUP($A242,'Matriz POA 2024-TRABAJO'!$A$5:$CD$9142,21,FALSE)</f>
        <v>N/A</v>
      </c>
      <c r="H242" s="12" t="str">
        <f>VLOOKUP($A242,'Matriz POA 2024-TRABAJO'!$A$5:$CD$9142,22,FALSE)</f>
        <v>N/A</v>
      </c>
      <c r="I242" s="12" t="str">
        <f>VLOOKUP($A242,'Matriz POA 2024-TRABAJO'!$A$5:$CD$9142,23,FALSE)</f>
        <v>NUEVA</v>
      </c>
      <c r="J242" s="12" t="str">
        <f>VLOOKUP($A242,'Matriz POA 2024-TRABAJO'!$A$5:$CD$9142,24,FALSE)</f>
        <v>Contratación del servicio de mantenimiento preventivo de hardware de los equipos informáticos para el Museo Nuclear Corporación Ciudad Alfaro y sus sedes</v>
      </c>
      <c r="K242" s="12" t="str">
        <f>VLOOKUP($A242,'Matriz POA 2024-TRABAJO'!$A$5:$CD$9142,25,FALSE)</f>
        <v>0035</v>
      </c>
      <c r="L242" s="12" t="str">
        <f>VLOOKUP($A242,'Matriz POA 2024-TRABAJO'!$A$5:$CD$9142,26,FALSE)</f>
        <v>80</v>
      </c>
      <c r="M242" s="12" t="str">
        <f>VLOOKUP($A242,'Matriz POA 2024-TRABAJO'!$A$5:$CD$9142,27,FALSE)</f>
        <v>000</v>
      </c>
      <c r="N242" s="12" t="str">
        <f>VLOOKUP($A242,'Matriz POA 2024-TRABAJO'!$A$5:$CD$9142,28,FALSE)</f>
        <v>002</v>
      </c>
      <c r="O242" s="12">
        <f>VLOOKUP($A242,'Matriz POA 2024-TRABAJO'!$A$5:$CD$9142,29,FALSE)</f>
        <v>53</v>
      </c>
      <c r="P242" s="12">
        <f>VLOOKUP($A242,'Matriz POA 2024-TRABAJO'!$A$5:$CD$9142,30,FALSE)</f>
        <v>530701</v>
      </c>
      <c r="Q242" s="12">
        <f>VLOOKUP($A242,'Matriz POA 2024-TRABAJO'!$A$5:$CD$9142,32,FALSE)</f>
        <v>1309</v>
      </c>
      <c r="R242" s="12" t="str">
        <f>VLOOKUP($A242,'Matriz POA 2024-TRABAJO'!$A$5:$CD$9142,33,FALSE)</f>
        <v>001</v>
      </c>
      <c r="S242" s="12" t="str">
        <f>VLOOKUP($A242,'Matriz POA 2024-TRABAJO'!$A$5:$CD$9142,34,FALSE)</f>
        <v>0000</v>
      </c>
      <c r="T242" s="12" t="str">
        <f>VLOOKUP($A242,'Matriz POA 2024-TRABAJO'!$A$5:$CD$9142,35,FALSE)</f>
        <v>0000</v>
      </c>
      <c r="U242" s="62" t="str">
        <f>VLOOKUP($A242,'Matriz POA 2024-TRABAJO'!$A$5:$CD$9142,66,FALSE)</f>
        <v/>
      </c>
      <c r="V242" s="62" t="str">
        <f>VLOOKUP($A242,'Matriz POA 2024-TRABAJO'!$A$5:$CD$9142,67,FALSE)</f>
        <v/>
      </c>
      <c r="W242" s="62" t="str">
        <f>VLOOKUP($A242,'Matriz POA 2024-TRABAJO'!$A$5:$CD$9142,68,FALSE)</f>
        <v/>
      </c>
      <c r="X242" s="62" t="str">
        <f>VLOOKUP($A242,'Matriz POA 2024-TRABAJO'!$A$5:$CD$9142,72,FALSE)</f>
        <v/>
      </c>
      <c r="Y242" s="388">
        <v>0</v>
      </c>
      <c r="Z242" s="388">
        <f>VLOOKUP($A242,'Matriz POA 2024-TRABAJO'!$A$5:$CD$9142,46,FALSE)</f>
        <v>0</v>
      </c>
      <c r="AA242" s="388">
        <v>0</v>
      </c>
      <c r="AB242" s="389">
        <v>400</v>
      </c>
      <c r="AC242" s="389"/>
      <c r="AD242" s="13"/>
      <c r="AE242" s="13"/>
      <c r="AF242" s="13">
        <f t="shared" ref="AF242" si="202">Y242+AB242+AC242</f>
        <v>400</v>
      </c>
      <c r="AG242" s="13">
        <f t="shared" ref="AG242" si="203">Z242+AD242+AE242</f>
        <v>0</v>
      </c>
      <c r="AH242" s="13">
        <f t="shared" ref="AH242" si="204">+AF242+AG242</f>
        <v>400</v>
      </c>
      <c r="AI242" s="7"/>
      <c r="AJ242" s="7"/>
      <c r="AK242" s="7"/>
      <c r="AL242" s="7"/>
      <c r="AM242" s="7"/>
      <c r="AN242" s="7"/>
      <c r="AO242" s="7"/>
      <c r="AP242" s="7"/>
      <c r="AQ242" s="7"/>
      <c r="AR242" s="7"/>
      <c r="AS242" s="7"/>
      <c r="AT242" s="7"/>
      <c r="AU242" s="129">
        <f t="shared" si="177"/>
        <v>0</v>
      </c>
      <c r="AV242" s="13" t="b">
        <f t="shared" si="189"/>
        <v>0</v>
      </c>
      <c r="AW242" s="14" t="s">
        <v>1964</v>
      </c>
      <c r="AX242" s="15" t="s">
        <v>1962</v>
      </c>
      <c r="AY242" s="16">
        <v>45482</v>
      </c>
      <c r="AZ242" s="15" t="s">
        <v>1963</v>
      </c>
      <c r="BA242" s="16">
        <v>45484</v>
      </c>
      <c r="BB242" s="17">
        <f t="shared" si="179"/>
        <v>2</v>
      </c>
      <c r="BC242" s="12"/>
      <c r="BD242" s="15"/>
      <c r="BE242" s="18"/>
      <c r="BF242" s="12"/>
      <c r="BG242" s="19" t="str">
        <f t="shared" si="190"/>
        <v>julio</v>
      </c>
      <c r="BH242" s="12" t="str">
        <f t="shared" si="191"/>
        <v>Corporación Ciudad Alfaro</v>
      </c>
      <c r="BI242" s="20" t="str">
        <f t="shared" si="192"/>
        <v>N/A</v>
      </c>
    </row>
    <row r="243" spans="1:61" ht="24.95" customHeight="1">
      <c r="A243" s="432">
        <v>814</v>
      </c>
      <c r="B243" s="12" t="str">
        <f>VLOOKUP($A243,'Matriz POA 2024-TRABAJO'!$A$5:$CD$9142,11,FALSE)</f>
        <v>Corporación Ciudad Alfaro</v>
      </c>
      <c r="C243" s="12" t="str">
        <f>VLOOKUP($A243,'Matriz POA 2024-TRABAJO'!$A$5:$CD$9142,14,FALSE)</f>
        <v>N/A</v>
      </c>
      <c r="D243" s="12" t="str">
        <f>VLOOKUP($A243,'Matriz POA 2024-TRABAJO'!$A$5:$CD$9142,15,FALSE)</f>
        <v>N/A</v>
      </c>
      <c r="E243" s="12" t="str">
        <f>VLOOKUP($A243,'Matriz POA 2024-TRABAJO'!$A$5:$CD$9142,18,FALSE)</f>
        <v>N/A</v>
      </c>
      <c r="F243" s="12" t="str">
        <f>VLOOKUP($A243,'Matriz POA 2024-TRABAJO'!$A$5:$CD$9142,20,FALSE)</f>
        <v>N/A</v>
      </c>
      <c r="G243" s="12" t="str">
        <f>VLOOKUP($A243,'Matriz POA 2024-TRABAJO'!$A$5:$CD$9142,21,FALSE)</f>
        <v>N/A</v>
      </c>
      <c r="H243" s="12" t="str">
        <f>VLOOKUP($A243,'Matriz POA 2024-TRABAJO'!$A$5:$CD$9142,22,FALSE)</f>
        <v>N/A</v>
      </c>
      <c r="I243" s="12" t="str">
        <f>VLOOKUP($A243,'Matriz POA 2024-TRABAJO'!$A$5:$CD$9142,23,FALSE)</f>
        <v>NUEVA</v>
      </c>
      <c r="J243" s="12" t="str">
        <f>VLOOKUP($A243,'Matriz POA 2024-TRABAJO'!$A$5:$CD$9142,24,FALSE)</f>
        <v>Contratación del servicio de correspondencia Nacional para el Museo Nuclear Corporación Ciudad Alfaro y sus sedes.</v>
      </c>
      <c r="K243" s="12" t="str">
        <f>VLOOKUP($A243,'Matriz POA 2024-TRABAJO'!$A$5:$CD$9142,25,FALSE)</f>
        <v>0035</v>
      </c>
      <c r="L243" s="12" t="str">
        <f>VLOOKUP($A243,'Matriz POA 2024-TRABAJO'!$A$5:$CD$9142,26,FALSE)</f>
        <v>80</v>
      </c>
      <c r="M243" s="12" t="str">
        <f>VLOOKUP($A243,'Matriz POA 2024-TRABAJO'!$A$5:$CD$9142,27,FALSE)</f>
        <v>000</v>
      </c>
      <c r="N243" s="12" t="str">
        <f>VLOOKUP($A243,'Matriz POA 2024-TRABAJO'!$A$5:$CD$9142,28,FALSE)</f>
        <v>002</v>
      </c>
      <c r="O243" s="12" t="str">
        <f>VLOOKUP($A243,'Matriz POA 2024-TRABAJO'!$A$5:$CD$9142,29,FALSE)</f>
        <v>53</v>
      </c>
      <c r="P243" s="12">
        <f>VLOOKUP($A243,'Matriz POA 2024-TRABAJO'!$A$5:$CD$9142,30,FALSE)</f>
        <v>530106</v>
      </c>
      <c r="Q243" s="12">
        <f>VLOOKUP($A243,'Matriz POA 2024-TRABAJO'!$A$5:$CD$9142,32,FALSE)</f>
        <v>1309</v>
      </c>
      <c r="R243" s="12" t="str">
        <f>VLOOKUP($A243,'Matriz POA 2024-TRABAJO'!$A$5:$CD$9142,33,FALSE)</f>
        <v>001</v>
      </c>
      <c r="S243" s="12" t="str">
        <f>VLOOKUP($A243,'Matriz POA 2024-TRABAJO'!$A$5:$CD$9142,34,FALSE)</f>
        <v>0000</v>
      </c>
      <c r="T243" s="12" t="str">
        <f>VLOOKUP($A243,'Matriz POA 2024-TRABAJO'!$A$5:$CD$9142,35,FALSE)</f>
        <v>0000</v>
      </c>
      <c r="U243" s="62">
        <f>VLOOKUP($A243,'Matriz POA 2024-TRABAJO'!$A$5:$CD$9142,66,FALSE)</f>
        <v>1000</v>
      </c>
      <c r="V243" s="62">
        <f>VLOOKUP($A243,'Matriz POA 2024-TRABAJO'!$A$5:$CD$9142,67,FALSE)</f>
        <v>-1000</v>
      </c>
      <c r="W243" s="62">
        <f>VLOOKUP($A243,'Matriz POA 2024-TRABAJO'!$A$5:$CD$9142,68,FALSE)</f>
        <v>0</v>
      </c>
      <c r="X243" s="62" t="str">
        <f>VLOOKUP($A243,'Matriz POA 2024-TRABAJO'!$A$5:$CD$9142,72,FALSE)</f>
        <v/>
      </c>
      <c r="Y243" s="388">
        <v>1000</v>
      </c>
      <c r="Z243" s="388">
        <f>VLOOKUP($A243,'Matriz POA 2024-TRABAJO'!$A$5:$CD$9142,46,FALSE)</f>
        <v>0</v>
      </c>
      <c r="AA243" s="388">
        <v>1000</v>
      </c>
      <c r="AB243" s="389"/>
      <c r="AC243" s="389">
        <v>-1000</v>
      </c>
      <c r="AD243" s="13"/>
      <c r="AE243" s="13"/>
      <c r="AF243" s="13">
        <f t="shared" si="196"/>
        <v>0</v>
      </c>
      <c r="AG243" s="13">
        <f t="shared" si="197"/>
        <v>0</v>
      </c>
      <c r="AH243" s="13">
        <f t="shared" si="198"/>
        <v>0</v>
      </c>
      <c r="AI243" s="129">
        <f t="shared" ref="AI243" si="205">SUM(W243:AH243)</f>
        <v>1000</v>
      </c>
      <c r="AJ243" s="13" t="b">
        <f t="shared" ref="AJ243" si="206">SUM(W243:AH243)=V243</f>
        <v>0</v>
      </c>
      <c r="AK243" s="7"/>
      <c r="AL243" s="7"/>
      <c r="AM243" s="7"/>
      <c r="AN243" s="7"/>
      <c r="AO243" s="7"/>
      <c r="AP243" s="7"/>
      <c r="AQ243" s="7"/>
      <c r="AR243" s="7"/>
      <c r="AS243" s="7"/>
      <c r="AT243" s="7"/>
      <c r="AU243" s="129">
        <f t="shared" si="177"/>
        <v>1000</v>
      </c>
      <c r="AV243" s="13" t="b">
        <f t="shared" si="189"/>
        <v>0</v>
      </c>
      <c r="AW243" s="14" t="s">
        <v>1964</v>
      </c>
      <c r="AX243" s="15" t="s">
        <v>1962</v>
      </c>
      <c r="AY243" s="16">
        <v>45482</v>
      </c>
      <c r="AZ243" s="15" t="s">
        <v>1963</v>
      </c>
      <c r="BA243" s="16">
        <v>45484</v>
      </c>
      <c r="BB243" s="17">
        <f t="shared" si="179"/>
        <v>2</v>
      </c>
      <c r="BC243" s="12"/>
      <c r="BD243" s="15"/>
      <c r="BE243" s="18"/>
      <c r="BF243" s="12"/>
      <c r="BG243" s="19" t="str">
        <f t="shared" si="190"/>
        <v>julio</v>
      </c>
      <c r="BH243" s="12" t="str">
        <f t="shared" si="191"/>
        <v>Corporación Ciudad Alfaro</v>
      </c>
      <c r="BI243" s="20" t="str">
        <f t="shared" si="192"/>
        <v>N/A</v>
      </c>
    </row>
    <row r="244" spans="1:61" ht="24.95" customHeight="1">
      <c r="A244" s="432">
        <v>932</v>
      </c>
      <c r="B244" s="12" t="str">
        <f>VLOOKUP($A244,'Matriz POA 2024-TRABAJO'!$A$5:$CD$9142,11,FALSE)</f>
        <v>Corporación Ciudad Alfaro</v>
      </c>
      <c r="C244" s="12" t="str">
        <f>VLOOKUP($A244,'Matriz POA 2024-TRABAJO'!$A$5:$CD$9142,14,FALSE)</f>
        <v>N/A</v>
      </c>
      <c r="D244" s="12" t="str">
        <f>VLOOKUP($A244,'Matriz POA 2024-TRABAJO'!$A$5:$CD$9142,15,FALSE)</f>
        <v>N/A</v>
      </c>
      <c r="E244" s="12" t="str">
        <f>VLOOKUP($A244,'Matriz POA 2024-TRABAJO'!$A$5:$CD$9142,18,FALSE)</f>
        <v>N/A</v>
      </c>
      <c r="F244" s="12" t="str">
        <f>VLOOKUP($A244,'Matriz POA 2024-TRABAJO'!$A$5:$CD$9142,20,FALSE)</f>
        <v>N/A</v>
      </c>
      <c r="G244" s="12" t="str">
        <f>VLOOKUP($A244,'Matriz POA 2024-TRABAJO'!$A$5:$CD$9142,21,FALSE)</f>
        <v>N/A</v>
      </c>
      <c r="H244" s="12" t="str">
        <f>VLOOKUP($A244,'Matriz POA 2024-TRABAJO'!$A$5:$CD$9142,22,FALSE)</f>
        <v>N/A</v>
      </c>
      <c r="I244" s="12" t="str">
        <f>VLOOKUP($A244,'Matriz POA 2024-TRABAJO'!$A$5:$CD$9142,23,FALSE)</f>
        <v>NUEVA</v>
      </c>
      <c r="J244" s="12" t="str">
        <f>VLOOKUP($A244,'Matriz POA 2024-TRABAJO'!$A$5:$CD$9142,24,FALSE)</f>
        <v>Reintegro de gastos para los Servidores y Trabajadores de la Corporación Ciudad Alfaro y sus Sedes por concepto de combustible utilizado en comisión de servicios institucionales</v>
      </c>
      <c r="K244" s="12" t="str">
        <f>VLOOKUP($A244,'Matriz POA 2024-TRABAJO'!$A$5:$CD$9142,25,FALSE)</f>
        <v>0035</v>
      </c>
      <c r="L244" s="12" t="str">
        <f>VLOOKUP($A244,'Matriz POA 2024-TRABAJO'!$A$5:$CD$9142,26,FALSE)</f>
        <v>80</v>
      </c>
      <c r="M244" s="12" t="str">
        <f>VLOOKUP($A244,'Matriz POA 2024-TRABAJO'!$A$5:$CD$9142,27,FALSE)</f>
        <v>000</v>
      </c>
      <c r="N244" s="12" t="str">
        <f>VLOOKUP($A244,'Matriz POA 2024-TRABAJO'!$A$5:$CD$9142,28,FALSE)</f>
        <v>002</v>
      </c>
      <c r="O244" s="12">
        <f>VLOOKUP($A244,'Matriz POA 2024-TRABAJO'!$A$5:$CD$9142,29,FALSE)</f>
        <v>53</v>
      </c>
      <c r="P244" s="12">
        <f>VLOOKUP($A244,'Matriz POA 2024-TRABAJO'!$A$5:$CD$9142,30,FALSE)</f>
        <v>530255</v>
      </c>
      <c r="Q244" s="12">
        <f>VLOOKUP($A244,'Matriz POA 2024-TRABAJO'!$A$5:$CD$9142,32,FALSE)</f>
        <v>1309</v>
      </c>
      <c r="R244" s="12" t="str">
        <f>VLOOKUP($A244,'Matriz POA 2024-TRABAJO'!$A$5:$CD$9142,33,FALSE)</f>
        <v>001</v>
      </c>
      <c r="S244" s="12" t="str">
        <f>VLOOKUP($A244,'Matriz POA 2024-TRABAJO'!$A$5:$CD$9142,34,FALSE)</f>
        <v>0000</v>
      </c>
      <c r="T244" s="12" t="str">
        <f>VLOOKUP($A244,'Matriz POA 2024-TRABAJO'!$A$5:$CD$9142,35,FALSE)</f>
        <v>0000</v>
      </c>
      <c r="U244" s="62" t="str">
        <f>VLOOKUP($A244,'Matriz POA 2024-TRABAJO'!$A$5:$CD$9142,66,FALSE)</f>
        <v/>
      </c>
      <c r="V244" s="62" t="str">
        <f>VLOOKUP($A244,'Matriz POA 2024-TRABAJO'!$A$5:$CD$9142,67,FALSE)</f>
        <v/>
      </c>
      <c r="W244" s="62">
        <f>VLOOKUP($A244,'Matriz POA 2024-TRABAJO'!$A$5:$CD$9142,68,FALSE)</f>
        <v>1000</v>
      </c>
      <c r="X244" s="62">
        <f>VLOOKUP($A244,'Matriz POA 2024-TRABAJO'!$A$5:$CD$9142,72,FALSE)</f>
        <v>55</v>
      </c>
      <c r="Y244" s="388">
        <v>0</v>
      </c>
      <c r="Z244" s="388">
        <f>VLOOKUP($A244,'Matriz POA 2024-TRABAJO'!$A$5:$CD$9142,46,FALSE)</f>
        <v>0</v>
      </c>
      <c r="AA244" s="388">
        <v>0</v>
      </c>
      <c r="AB244" s="389">
        <v>1000</v>
      </c>
      <c r="AC244" s="389"/>
      <c r="AD244" s="13"/>
      <c r="AE244" s="13"/>
      <c r="AF244" s="13">
        <f t="shared" ref="AF244" si="207">Y244+AB244+AC244</f>
        <v>1000</v>
      </c>
      <c r="AG244" s="13">
        <f t="shared" ref="AG244" si="208">Z244+AD244+AE244</f>
        <v>0</v>
      </c>
      <c r="AH244" s="13">
        <f t="shared" ref="AH244" si="209">+AF244+AG244</f>
        <v>1000</v>
      </c>
      <c r="AI244" s="7"/>
      <c r="AJ244" s="7"/>
      <c r="AK244" s="7"/>
      <c r="AL244" s="7"/>
      <c r="AM244" s="7"/>
      <c r="AN244" s="7"/>
      <c r="AO244" s="7"/>
      <c r="AP244" s="7"/>
      <c r="AQ244" s="7"/>
      <c r="AR244" s="7"/>
      <c r="AS244" s="7"/>
      <c r="AT244" s="7"/>
      <c r="AU244" s="129">
        <f t="shared" si="177"/>
        <v>0</v>
      </c>
      <c r="AV244" s="13" t="b">
        <f t="shared" si="189"/>
        <v>0</v>
      </c>
      <c r="AW244" s="14" t="s">
        <v>1964</v>
      </c>
      <c r="AX244" s="15" t="s">
        <v>1962</v>
      </c>
      <c r="AY244" s="16">
        <v>45482</v>
      </c>
      <c r="AZ244" s="15" t="s">
        <v>1963</v>
      </c>
      <c r="BA244" s="16">
        <v>45484</v>
      </c>
      <c r="BB244" s="17">
        <f t="shared" si="179"/>
        <v>2</v>
      </c>
      <c r="BC244" s="12"/>
      <c r="BD244" s="15"/>
      <c r="BE244" s="18"/>
      <c r="BF244" s="12"/>
      <c r="BG244" s="19" t="str">
        <f t="shared" si="190"/>
        <v>julio</v>
      </c>
      <c r="BH244" s="12" t="str">
        <f t="shared" si="191"/>
        <v>Corporación Ciudad Alfaro</v>
      </c>
      <c r="BI244" s="20" t="str">
        <f t="shared" si="192"/>
        <v>N/A</v>
      </c>
    </row>
    <row r="245" spans="1:61" ht="24.95" customHeight="1">
      <c r="A245" s="432">
        <v>816</v>
      </c>
      <c r="B245" s="12" t="str">
        <f>VLOOKUP($A245,'Matriz POA 2024-TRABAJO'!$A$5:$CD$9142,11,FALSE)</f>
        <v>Corporación Ciudad Alfaro</v>
      </c>
      <c r="C245" s="12" t="str">
        <f>VLOOKUP($A245,'Matriz POA 2024-TRABAJO'!$A$5:$CD$9142,14,FALSE)</f>
        <v>N/A</v>
      </c>
      <c r="D245" s="12" t="str">
        <f>VLOOKUP($A245,'Matriz POA 2024-TRABAJO'!$A$5:$CD$9142,15,FALSE)</f>
        <v>N/A</v>
      </c>
      <c r="E245" s="12" t="str">
        <f>VLOOKUP($A245,'Matriz POA 2024-TRABAJO'!$A$5:$CD$9142,18,FALSE)</f>
        <v>N/A</v>
      </c>
      <c r="F245" s="12" t="str">
        <f>VLOOKUP($A245,'Matriz POA 2024-TRABAJO'!$A$5:$CD$9142,20,FALSE)</f>
        <v>N/A</v>
      </c>
      <c r="G245" s="12" t="str">
        <f>VLOOKUP($A245,'Matriz POA 2024-TRABAJO'!$A$5:$CD$9142,21,FALSE)</f>
        <v>N/A</v>
      </c>
      <c r="H245" s="12" t="str">
        <f>VLOOKUP($A245,'Matriz POA 2024-TRABAJO'!$A$5:$CD$9142,22,FALSE)</f>
        <v>N/A</v>
      </c>
      <c r="I245" s="12" t="str">
        <f>VLOOKUP($A245,'Matriz POA 2024-TRABAJO'!$A$5:$CD$9142,23,FALSE)</f>
        <v>NUEVA</v>
      </c>
      <c r="J245" s="12" t="str">
        <f>VLOOKUP($A245,'Matriz POA 2024-TRABAJO'!$A$5:$CD$9142,24,FALSE)</f>
        <v>Contratación del servicio de mantenimiento preventivo y correctivo de bombas sumergibles y bombas de agua potable en el Museo Centro Cultural Manta,  sede de la Corporación Ciudad Alfaro</v>
      </c>
      <c r="K245" s="12" t="str">
        <f>VLOOKUP($A245,'Matriz POA 2024-TRABAJO'!$A$5:$CD$9142,25,FALSE)</f>
        <v>0035</v>
      </c>
      <c r="L245" s="12" t="str">
        <f>VLOOKUP($A245,'Matriz POA 2024-TRABAJO'!$A$5:$CD$9142,26,FALSE)</f>
        <v>80</v>
      </c>
      <c r="M245" s="12" t="str">
        <f>VLOOKUP($A245,'Matriz POA 2024-TRABAJO'!$A$5:$CD$9142,27,FALSE)</f>
        <v>000</v>
      </c>
      <c r="N245" s="12" t="str">
        <f>VLOOKUP($A245,'Matriz POA 2024-TRABAJO'!$A$5:$CD$9142,28,FALSE)</f>
        <v>002</v>
      </c>
      <c r="O245" s="12" t="str">
        <f>VLOOKUP($A245,'Matriz POA 2024-TRABAJO'!$A$5:$CD$9142,29,FALSE)</f>
        <v>53</v>
      </c>
      <c r="P245" s="12">
        <f>VLOOKUP($A245,'Matriz POA 2024-TRABAJO'!$A$5:$CD$9142,30,FALSE)</f>
        <v>530403</v>
      </c>
      <c r="Q245" s="12">
        <f>VLOOKUP($A245,'Matriz POA 2024-TRABAJO'!$A$5:$CD$9142,32,FALSE)</f>
        <v>1308</v>
      </c>
      <c r="R245" s="12" t="str">
        <f>VLOOKUP($A245,'Matriz POA 2024-TRABAJO'!$A$5:$CD$9142,33,FALSE)</f>
        <v>001</v>
      </c>
      <c r="S245" s="12" t="str">
        <f>VLOOKUP($A245,'Matriz POA 2024-TRABAJO'!$A$5:$CD$9142,34,FALSE)</f>
        <v>0000</v>
      </c>
      <c r="T245" s="12" t="str">
        <f>VLOOKUP($A245,'Matriz POA 2024-TRABAJO'!$A$5:$CD$9142,35,FALSE)</f>
        <v>0000</v>
      </c>
      <c r="U245" s="62">
        <f>VLOOKUP($A245,'Matriz POA 2024-TRABAJO'!$A$5:$CD$9142,66,FALSE)</f>
        <v>4800</v>
      </c>
      <c r="V245" s="62">
        <f>VLOOKUP($A245,'Matriz POA 2024-TRABAJO'!$A$5:$CD$9142,67,FALSE)</f>
        <v>-4800</v>
      </c>
      <c r="W245" s="62">
        <f>VLOOKUP($A245,'Matriz POA 2024-TRABAJO'!$A$5:$CD$9142,68,FALSE)</f>
        <v>0</v>
      </c>
      <c r="X245" s="62" t="str">
        <f>VLOOKUP($A245,'Matriz POA 2024-TRABAJO'!$A$5:$CD$9142,72,FALSE)</f>
        <v/>
      </c>
      <c r="Y245" s="388">
        <v>4800</v>
      </c>
      <c r="Z245" s="388">
        <f>VLOOKUP($A245,'Matriz POA 2024-TRABAJO'!$A$5:$CD$9142,46,FALSE)</f>
        <v>0</v>
      </c>
      <c r="AA245" s="388">
        <v>4800</v>
      </c>
      <c r="AB245" s="389"/>
      <c r="AC245" s="389">
        <v>-4800</v>
      </c>
      <c r="AD245" s="13"/>
      <c r="AE245" s="13"/>
      <c r="AF245" s="13">
        <f t="shared" ref="AF245" si="210">Y245+AB245+AC245</f>
        <v>0</v>
      </c>
      <c r="AG245" s="13">
        <f t="shared" ref="AG245" si="211">Z245+AD245+AE245</f>
        <v>0</v>
      </c>
      <c r="AH245" s="13">
        <f t="shared" ref="AH245" si="212">+AF245+AG245</f>
        <v>0</v>
      </c>
      <c r="AI245" s="7"/>
      <c r="AJ245" s="7"/>
      <c r="AK245" s="7"/>
      <c r="AL245" s="7"/>
      <c r="AM245" s="7"/>
      <c r="AN245" s="7"/>
      <c r="AO245" s="7"/>
      <c r="AP245" s="7"/>
      <c r="AQ245" s="7"/>
      <c r="AR245" s="7"/>
      <c r="AS245" s="7"/>
      <c r="AT245" s="7"/>
      <c r="AU245" s="129">
        <f t="shared" si="177"/>
        <v>0</v>
      </c>
      <c r="AV245" s="13" t="b">
        <f t="shared" si="189"/>
        <v>1</v>
      </c>
      <c r="AW245" s="14" t="s">
        <v>1964</v>
      </c>
      <c r="AX245" s="15" t="s">
        <v>1962</v>
      </c>
      <c r="AY245" s="16">
        <v>45482</v>
      </c>
      <c r="AZ245" s="15" t="s">
        <v>1963</v>
      </c>
      <c r="BA245" s="16">
        <v>45484</v>
      </c>
      <c r="BB245" s="17">
        <f t="shared" si="179"/>
        <v>2</v>
      </c>
      <c r="BC245" s="12"/>
      <c r="BD245" s="15"/>
      <c r="BE245" s="18"/>
      <c r="BF245" s="12"/>
      <c r="BG245" s="19" t="str">
        <f t="shared" si="190"/>
        <v>julio</v>
      </c>
      <c r="BH245" s="12" t="str">
        <f t="shared" si="191"/>
        <v>Corporación Ciudad Alfaro</v>
      </c>
      <c r="BI245" s="20" t="str">
        <f t="shared" si="192"/>
        <v>N/A</v>
      </c>
    </row>
    <row r="246" spans="1:61" ht="24.95" customHeight="1">
      <c r="A246" s="432">
        <v>933</v>
      </c>
      <c r="B246" s="12" t="str">
        <f>VLOOKUP($A246,'Matriz POA 2024-TRABAJO'!$A$5:$CD$9142,11,FALSE)</f>
        <v>Corporación Ciudad Alfaro</v>
      </c>
      <c r="C246" s="12" t="str">
        <f>VLOOKUP($A246,'Matriz POA 2024-TRABAJO'!$A$5:$CD$9142,14,FALSE)</f>
        <v>N/A</v>
      </c>
      <c r="D246" s="12" t="str">
        <f>VLOOKUP($A246,'Matriz POA 2024-TRABAJO'!$A$5:$CD$9142,15,FALSE)</f>
        <v>N/A</v>
      </c>
      <c r="E246" s="12" t="str">
        <f>VLOOKUP($A246,'Matriz POA 2024-TRABAJO'!$A$5:$CD$9142,18,FALSE)</f>
        <v>N/A</v>
      </c>
      <c r="F246" s="12" t="str">
        <f>VLOOKUP($A246,'Matriz POA 2024-TRABAJO'!$A$5:$CD$9142,20,FALSE)</f>
        <v>N/A</v>
      </c>
      <c r="G246" s="12" t="str">
        <f>VLOOKUP($A246,'Matriz POA 2024-TRABAJO'!$A$5:$CD$9142,21,FALSE)</f>
        <v>N/A</v>
      </c>
      <c r="H246" s="12" t="str">
        <f>VLOOKUP($A246,'Matriz POA 2024-TRABAJO'!$A$5:$CD$9142,22,FALSE)</f>
        <v>N/A</v>
      </c>
      <c r="I246" s="12" t="str">
        <f>VLOOKUP($A246,'Matriz POA 2024-TRABAJO'!$A$5:$CD$9142,23,FALSE)</f>
        <v>NUEVA</v>
      </c>
      <c r="J246" s="12" t="str">
        <f>VLOOKUP($A246,'Matriz POA 2024-TRABAJO'!$A$5:$CD$9142,24,FALSE)</f>
        <v>Contratación del servicio de mantenimiento preventivo y correctivo de bombas sumergibles y bombas de agua potable en el Museo Centro Cultural Manta, sede de la Corporación Ciudad Alfaro</v>
      </c>
      <c r="K246" s="12" t="str">
        <f>VLOOKUP($A246,'Matriz POA 2024-TRABAJO'!$A$5:$CD$9142,25,FALSE)</f>
        <v>0035</v>
      </c>
      <c r="L246" s="12" t="str">
        <f>VLOOKUP($A246,'Matriz POA 2024-TRABAJO'!$A$5:$CD$9142,26,FALSE)</f>
        <v>80</v>
      </c>
      <c r="M246" s="12" t="str">
        <f>VLOOKUP($A246,'Matriz POA 2024-TRABAJO'!$A$5:$CD$9142,27,FALSE)</f>
        <v>000</v>
      </c>
      <c r="N246" s="12" t="str">
        <f>VLOOKUP($A246,'Matriz POA 2024-TRABAJO'!$A$5:$CD$9142,28,FALSE)</f>
        <v>002</v>
      </c>
      <c r="O246" s="12">
        <f>VLOOKUP($A246,'Matriz POA 2024-TRABAJO'!$A$5:$CD$9142,29,FALSE)</f>
        <v>53</v>
      </c>
      <c r="P246" s="12">
        <f>VLOOKUP($A246,'Matriz POA 2024-TRABAJO'!$A$5:$CD$9142,30,FALSE)</f>
        <v>530404</v>
      </c>
      <c r="Q246" s="12">
        <f>VLOOKUP($A246,'Matriz POA 2024-TRABAJO'!$A$5:$CD$9142,32,FALSE)</f>
        <v>1308</v>
      </c>
      <c r="R246" s="12" t="str">
        <f>VLOOKUP($A246,'Matriz POA 2024-TRABAJO'!$A$5:$CD$9142,33,FALSE)</f>
        <v>001</v>
      </c>
      <c r="S246" s="12" t="str">
        <f>VLOOKUP($A246,'Matriz POA 2024-TRABAJO'!$A$5:$CD$9142,34,FALSE)</f>
        <v>0000</v>
      </c>
      <c r="T246" s="12" t="str">
        <f>VLOOKUP($A246,'Matriz POA 2024-TRABAJO'!$A$5:$CD$9142,35,FALSE)</f>
        <v>0000</v>
      </c>
      <c r="U246" s="62" t="str">
        <f>VLOOKUP($A246,'Matriz POA 2024-TRABAJO'!$A$5:$CD$9142,66,FALSE)</f>
        <v/>
      </c>
      <c r="V246" s="62" t="str">
        <f>VLOOKUP($A246,'Matriz POA 2024-TRABAJO'!$A$5:$CD$9142,67,FALSE)</f>
        <v/>
      </c>
      <c r="W246" s="62" t="str">
        <f>VLOOKUP($A246,'Matriz POA 2024-TRABAJO'!$A$5:$CD$9142,68,FALSE)</f>
        <v/>
      </c>
      <c r="X246" s="62" t="str">
        <f>VLOOKUP($A246,'Matriz POA 2024-TRABAJO'!$A$5:$CD$9142,72,FALSE)</f>
        <v/>
      </c>
      <c r="Y246" s="388">
        <v>0</v>
      </c>
      <c r="Z246" s="388">
        <f>VLOOKUP($A246,'Matriz POA 2024-TRABAJO'!$A$5:$CD$9142,46,FALSE)</f>
        <v>0</v>
      </c>
      <c r="AA246" s="388">
        <v>0</v>
      </c>
      <c r="AB246" s="389">
        <v>4800</v>
      </c>
      <c r="AC246" s="389"/>
      <c r="AD246" s="13"/>
      <c r="AE246" s="13"/>
      <c r="AF246" s="13">
        <f t="shared" ref="AF246" si="213">Y246+AB246+AC246</f>
        <v>4800</v>
      </c>
      <c r="AG246" s="13">
        <f t="shared" ref="AG246" si="214">Z246+AD246+AE246</f>
        <v>0</v>
      </c>
      <c r="AH246" s="13">
        <f t="shared" ref="AH246" si="215">+AF246+AG246</f>
        <v>4800</v>
      </c>
      <c r="AI246" s="7"/>
      <c r="AJ246" s="7"/>
      <c r="AK246" s="7"/>
      <c r="AL246" s="7"/>
      <c r="AM246" s="7"/>
      <c r="AN246" s="7"/>
      <c r="AO246" s="7"/>
      <c r="AP246" s="7"/>
      <c r="AQ246" s="7"/>
      <c r="AR246" s="7"/>
      <c r="AS246" s="7"/>
      <c r="AT246" s="7"/>
      <c r="AU246" s="129">
        <f t="shared" si="177"/>
        <v>0</v>
      </c>
      <c r="AV246" s="13" t="b">
        <f t="shared" si="189"/>
        <v>0</v>
      </c>
      <c r="AW246" s="14" t="s">
        <v>1964</v>
      </c>
      <c r="AX246" s="15" t="s">
        <v>1962</v>
      </c>
      <c r="AY246" s="16">
        <v>45482</v>
      </c>
      <c r="AZ246" s="15" t="s">
        <v>1963</v>
      </c>
      <c r="BA246" s="16">
        <v>45484</v>
      </c>
      <c r="BB246" s="17">
        <f t="shared" si="179"/>
        <v>2</v>
      </c>
      <c r="BC246" s="12"/>
      <c r="BD246" s="15"/>
      <c r="BE246" s="18"/>
      <c r="BF246" s="12"/>
      <c r="BG246" s="19" t="str">
        <f t="shared" si="190"/>
        <v>julio</v>
      </c>
      <c r="BH246" s="12" t="str">
        <f t="shared" si="191"/>
        <v>Corporación Ciudad Alfaro</v>
      </c>
      <c r="BI246" s="20" t="str">
        <f t="shared" si="192"/>
        <v>N/A</v>
      </c>
    </row>
    <row r="247" spans="1:61" ht="24.95" customHeight="1">
      <c r="A247" s="460">
        <v>469</v>
      </c>
      <c r="B247" s="12" t="str">
        <f>VLOOKUP($A247,'Matriz POA 2024-TRABAJO'!$A$5:$CD$9142,11,FALSE)</f>
        <v>Corporación Ciudad Alfaro</v>
      </c>
      <c r="C247" s="12" t="str">
        <f>VLOOKUP($A247,'Matriz POA 2024-TRABAJO'!$A$5:$CD$9142,14,FALSE)</f>
        <v>N/A</v>
      </c>
      <c r="D247" s="12" t="str">
        <f>VLOOKUP($A247,'Matriz POA 2024-TRABAJO'!$A$5:$CD$9142,15,FALSE)</f>
        <v>N/A</v>
      </c>
      <c r="E247" s="12" t="str">
        <f>VLOOKUP($A247,'Matriz POA 2024-TRABAJO'!$A$5:$CD$9142,18,FALSE)</f>
        <v>N/A</v>
      </c>
      <c r="F247" s="12" t="str">
        <f>VLOOKUP($A247,'Matriz POA 2024-TRABAJO'!$A$5:$CD$9142,20,FALSE)</f>
        <v>N/A</v>
      </c>
      <c r="G247" s="12" t="str">
        <f>VLOOKUP($A247,'Matriz POA 2024-TRABAJO'!$A$5:$CD$9142,21,FALSE)</f>
        <v>N/A</v>
      </c>
      <c r="H247" s="12" t="str">
        <f>VLOOKUP($A247,'Matriz POA 2024-TRABAJO'!$A$5:$CD$9142,22,FALSE)</f>
        <v>N/A</v>
      </c>
      <c r="I247" s="12" t="str">
        <f>VLOOKUP($A247,'Matriz POA 2024-TRABAJO'!$A$5:$CD$9142,23,FALSE)</f>
        <v>NUEVA</v>
      </c>
      <c r="J247" s="12" t="str">
        <f>VLOOKUP($A247,'Matriz POA 2024-TRABAJO'!$A$5:$CD$9142,24,FALSE)</f>
        <v>Contratación del servicio de consultas legales en base de datos jurídicas en línea a través de la plataforma Sistema Web de
información jurídica</v>
      </c>
      <c r="K247" s="12" t="str">
        <f>VLOOKUP($A247,'Matriz POA 2024-TRABAJO'!$A$5:$CD$9142,25,FALSE)</f>
        <v>0035</v>
      </c>
      <c r="L247" s="12" t="str">
        <f>VLOOKUP($A247,'Matriz POA 2024-TRABAJO'!$A$5:$CD$9142,26,FALSE)</f>
        <v>80</v>
      </c>
      <c r="M247" s="12" t="str">
        <f>VLOOKUP($A247,'Matriz POA 2024-TRABAJO'!$A$5:$CD$9142,27,FALSE)</f>
        <v>000</v>
      </c>
      <c r="N247" s="12" t="str">
        <f>VLOOKUP($A247,'Matriz POA 2024-TRABAJO'!$A$5:$CD$9142,28,FALSE)</f>
        <v>002</v>
      </c>
      <c r="O247" s="12" t="str">
        <f>VLOOKUP($A247,'Matriz POA 2024-TRABAJO'!$A$5:$CD$9142,29,FALSE)</f>
        <v>53</v>
      </c>
      <c r="P247" s="12">
        <f>VLOOKUP($A247,'Matriz POA 2024-TRABAJO'!$A$5:$CD$9142,30,FALSE)</f>
        <v>530701</v>
      </c>
      <c r="Q247" s="12">
        <f>VLOOKUP($A247,'Matriz POA 2024-TRABAJO'!$A$5:$CD$9142,32,FALSE)</f>
        <v>1309</v>
      </c>
      <c r="R247" s="12" t="str">
        <f>VLOOKUP($A247,'Matriz POA 2024-TRABAJO'!$A$5:$CD$9142,33,FALSE)</f>
        <v>001</v>
      </c>
      <c r="S247" s="12" t="str">
        <f>VLOOKUP($A247,'Matriz POA 2024-TRABAJO'!$A$5:$CD$9142,34,FALSE)</f>
        <v>0000</v>
      </c>
      <c r="T247" s="12" t="str">
        <f>VLOOKUP($A247,'Matriz POA 2024-TRABAJO'!$A$5:$CD$9142,35,FALSE)</f>
        <v>0000</v>
      </c>
      <c r="U247" s="62">
        <f>VLOOKUP($A247,'Matriz POA 2024-TRABAJO'!$A$5:$CD$9142,66,FALSE)</f>
        <v>400</v>
      </c>
      <c r="V247" s="62">
        <f>VLOOKUP($A247,'Matriz POA 2024-TRABAJO'!$A$5:$CD$9142,67,FALSE)</f>
        <v>0</v>
      </c>
      <c r="W247" s="62">
        <f>VLOOKUP($A247,'Matriz POA 2024-TRABAJO'!$A$5:$CD$9142,68,FALSE)</f>
        <v>400</v>
      </c>
      <c r="X247" s="62" t="str">
        <f>VLOOKUP($A247,'Matriz POA 2024-TRABAJO'!$A$5:$CD$9142,72,FALSE)</f>
        <v/>
      </c>
      <c r="Y247" s="388">
        <f>VLOOKUP($A247,'Matriz POA 2024-TRABAJO'!$A$5:$CD$9142,45,FALSE)</f>
        <v>400</v>
      </c>
      <c r="Z247" s="388">
        <f>VLOOKUP($A247,'Matriz POA 2024-TRABAJO'!$A$5:$CD$9142,46,FALSE)</f>
        <v>0</v>
      </c>
      <c r="AA247" s="388">
        <f>VLOOKUP($A247,'Matriz POA 2024-TRABAJO'!$A$5:$CD$9142,47,FALSE)</f>
        <v>400</v>
      </c>
      <c r="AB247" s="389"/>
      <c r="AC247" s="389"/>
      <c r="AD247" s="13"/>
      <c r="AE247" s="13"/>
      <c r="AF247" s="13">
        <f t="shared" ref="AF247" si="216">Y247+AB247+AC247</f>
        <v>400</v>
      </c>
      <c r="AG247" s="13">
        <f t="shared" ref="AG247" si="217">Z247+AD247+AE247</f>
        <v>0</v>
      </c>
      <c r="AH247" s="13">
        <f t="shared" ref="AH247" si="218">+AF247+AG247</f>
        <v>400</v>
      </c>
      <c r="AI247" s="129">
        <f t="shared" ref="AI247" si="219">SUM(W247:AH247)</f>
        <v>2000</v>
      </c>
      <c r="AJ247" s="13" t="b">
        <f t="shared" ref="AJ247" si="220">SUM(W247:AH247)=V247</f>
        <v>0</v>
      </c>
      <c r="AK247" s="7"/>
      <c r="AL247" s="7"/>
      <c r="AM247" s="7"/>
      <c r="AN247" s="7"/>
      <c r="AO247" s="7"/>
      <c r="AP247" s="7"/>
      <c r="AQ247" s="7"/>
      <c r="AR247" s="7"/>
      <c r="AS247" s="7"/>
      <c r="AT247" s="7"/>
      <c r="AU247" s="129">
        <f t="shared" si="177"/>
        <v>2000</v>
      </c>
      <c r="AV247" s="13" t="b">
        <f t="shared" si="189"/>
        <v>0</v>
      </c>
      <c r="AW247" s="14" t="s">
        <v>1966</v>
      </c>
      <c r="AX247" s="15" t="s">
        <v>1962</v>
      </c>
      <c r="AY247" s="16">
        <v>45482</v>
      </c>
      <c r="AZ247" s="15" t="s">
        <v>1965</v>
      </c>
      <c r="BA247" s="16">
        <v>45485</v>
      </c>
      <c r="BB247" s="17">
        <f t="shared" si="179"/>
        <v>3</v>
      </c>
      <c r="BC247" s="12"/>
      <c r="BD247" s="15"/>
      <c r="BE247" s="18"/>
      <c r="BF247" s="12"/>
      <c r="BG247" s="19" t="str">
        <f t="shared" si="190"/>
        <v>julio</v>
      </c>
      <c r="BH247" s="12" t="str">
        <f t="shared" si="191"/>
        <v>Corporación Ciudad Alfaro</v>
      </c>
      <c r="BI247" s="20" t="str">
        <f t="shared" si="192"/>
        <v>N/A</v>
      </c>
    </row>
    <row r="248" spans="1:61" ht="24.95" customHeight="1">
      <c r="A248" s="460">
        <v>470</v>
      </c>
      <c r="B248" s="12" t="str">
        <f>VLOOKUP($A248,'Matriz POA 2024-TRABAJO'!$A$5:$CD$9142,11,FALSE)</f>
        <v>Corporación Ciudad Alfaro</v>
      </c>
      <c r="C248" s="12" t="str">
        <f>VLOOKUP($A248,'Matriz POA 2024-TRABAJO'!$A$5:$CD$9142,14,FALSE)</f>
        <v>N/A</v>
      </c>
      <c r="D248" s="12" t="str">
        <f>VLOOKUP($A248,'Matriz POA 2024-TRABAJO'!$A$5:$CD$9142,15,FALSE)</f>
        <v>N/A</v>
      </c>
      <c r="E248" s="12" t="str">
        <f>VLOOKUP($A248,'Matriz POA 2024-TRABAJO'!$A$5:$CD$9142,18,FALSE)</f>
        <v>N/A</v>
      </c>
      <c r="F248" s="12" t="str">
        <f>VLOOKUP($A248,'Matriz POA 2024-TRABAJO'!$A$5:$CD$9142,20,FALSE)</f>
        <v>N/A</v>
      </c>
      <c r="G248" s="12" t="str">
        <f>VLOOKUP($A248,'Matriz POA 2024-TRABAJO'!$A$5:$CD$9142,21,FALSE)</f>
        <v>N/A</v>
      </c>
      <c r="H248" s="12" t="str">
        <f>VLOOKUP($A248,'Matriz POA 2024-TRABAJO'!$A$5:$CD$9142,22,FALSE)</f>
        <v>N/A</v>
      </c>
      <c r="I248" s="12" t="str">
        <f>VLOOKUP($A248,'Matriz POA 2024-TRABAJO'!$A$5:$CD$9142,23,FALSE)</f>
        <v>NUEVA</v>
      </c>
      <c r="J248" s="12" t="str">
        <f>VLOOKUP($A248,'Matriz POA 2024-TRABAJO'!$A$5:$CD$9142,24,FALSE)</f>
        <v>Renovación de dominio web y web hosting para www.ciudadalfaro.gob.ec</v>
      </c>
      <c r="K248" s="12" t="str">
        <f>VLOOKUP($A248,'Matriz POA 2024-TRABAJO'!$A$5:$CD$9142,25,FALSE)</f>
        <v>0035</v>
      </c>
      <c r="L248" s="12" t="str">
        <f>VLOOKUP($A248,'Matriz POA 2024-TRABAJO'!$A$5:$CD$9142,26,FALSE)</f>
        <v>80</v>
      </c>
      <c r="M248" s="12" t="str">
        <f>VLOOKUP($A248,'Matriz POA 2024-TRABAJO'!$A$5:$CD$9142,27,FALSE)</f>
        <v>000</v>
      </c>
      <c r="N248" s="12" t="str">
        <f>VLOOKUP($A248,'Matriz POA 2024-TRABAJO'!$A$5:$CD$9142,28,FALSE)</f>
        <v>002</v>
      </c>
      <c r="O248" s="12" t="str">
        <f>VLOOKUP($A248,'Matriz POA 2024-TRABAJO'!$A$5:$CD$9142,29,FALSE)</f>
        <v>53</v>
      </c>
      <c r="P248" s="12">
        <f>VLOOKUP($A248,'Matriz POA 2024-TRABAJO'!$A$5:$CD$9142,30,FALSE)</f>
        <v>530701</v>
      </c>
      <c r="Q248" s="12">
        <f>VLOOKUP($A248,'Matriz POA 2024-TRABAJO'!$A$5:$CD$9142,32,FALSE)</f>
        <v>1309</v>
      </c>
      <c r="R248" s="12" t="str">
        <f>VLOOKUP($A248,'Matriz POA 2024-TRABAJO'!$A$5:$CD$9142,33,FALSE)</f>
        <v>001</v>
      </c>
      <c r="S248" s="12" t="str">
        <f>VLOOKUP($A248,'Matriz POA 2024-TRABAJO'!$A$5:$CD$9142,34,FALSE)</f>
        <v>0000</v>
      </c>
      <c r="T248" s="12" t="str">
        <f>VLOOKUP($A248,'Matriz POA 2024-TRABAJO'!$A$5:$CD$9142,35,FALSE)</f>
        <v>0000</v>
      </c>
      <c r="U248" s="62">
        <f>VLOOKUP($A248,'Matriz POA 2024-TRABAJO'!$A$5:$CD$9142,66,FALSE)</f>
        <v>400</v>
      </c>
      <c r="V248" s="62">
        <f>VLOOKUP($A248,'Matriz POA 2024-TRABAJO'!$A$5:$CD$9142,67,FALSE)</f>
        <v>0</v>
      </c>
      <c r="W248" s="62">
        <f>VLOOKUP($A248,'Matriz POA 2024-TRABAJO'!$A$5:$CD$9142,68,FALSE)</f>
        <v>400</v>
      </c>
      <c r="X248" s="62" t="str">
        <f>VLOOKUP($A248,'Matriz POA 2024-TRABAJO'!$A$5:$CD$9142,72,FALSE)</f>
        <v/>
      </c>
      <c r="Y248" s="388">
        <f>VLOOKUP($A248,'Matriz POA 2024-TRABAJO'!$A$5:$CD$9142,45,FALSE)</f>
        <v>400</v>
      </c>
      <c r="Z248" s="388">
        <f>VLOOKUP($A248,'Matriz POA 2024-TRABAJO'!$A$5:$CD$9142,46,FALSE)</f>
        <v>0</v>
      </c>
      <c r="AA248" s="388">
        <f>VLOOKUP($A248,'Matriz POA 2024-TRABAJO'!$A$5:$CD$9142,47,FALSE)</f>
        <v>400</v>
      </c>
      <c r="AB248" s="389"/>
      <c r="AC248" s="389"/>
      <c r="AD248" s="13"/>
      <c r="AE248" s="13"/>
      <c r="AF248" s="13">
        <f t="shared" ref="AF248" si="221">Y248+AB248+AC248</f>
        <v>400</v>
      </c>
      <c r="AG248" s="13">
        <f t="shared" ref="AG248" si="222">Z248+AD248+AE248</f>
        <v>0</v>
      </c>
      <c r="AH248" s="13">
        <f t="shared" ref="AH248" si="223">+AF248+AG248</f>
        <v>400</v>
      </c>
      <c r="AI248" s="7"/>
      <c r="AJ248" s="7"/>
      <c r="AK248" s="7"/>
      <c r="AL248" s="7"/>
      <c r="AM248" s="7"/>
      <c r="AN248" s="7"/>
      <c r="AO248" s="7"/>
      <c r="AP248" s="7"/>
      <c r="AQ248" s="7"/>
      <c r="AR248" s="7"/>
      <c r="AS248" s="7"/>
      <c r="AT248" s="7"/>
      <c r="AU248" s="129">
        <f t="shared" si="177"/>
        <v>0</v>
      </c>
      <c r="AV248" s="13" t="b">
        <f t="shared" si="189"/>
        <v>0</v>
      </c>
      <c r="AW248" s="14" t="s">
        <v>1966</v>
      </c>
      <c r="AX248" s="15" t="s">
        <v>1962</v>
      </c>
      <c r="AY248" s="16">
        <v>45482</v>
      </c>
      <c r="AZ248" s="15" t="s">
        <v>1965</v>
      </c>
      <c r="BA248" s="16">
        <v>45485</v>
      </c>
      <c r="BB248" s="17">
        <f t="shared" si="179"/>
        <v>3</v>
      </c>
      <c r="BC248" s="12"/>
      <c r="BD248" s="15"/>
      <c r="BE248" s="18"/>
      <c r="BF248" s="12"/>
      <c r="BG248" s="19" t="str">
        <f t="shared" si="190"/>
        <v>julio</v>
      </c>
      <c r="BH248" s="12" t="str">
        <f t="shared" si="191"/>
        <v>Corporación Ciudad Alfaro</v>
      </c>
      <c r="BI248" s="20" t="str">
        <f t="shared" si="192"/>
        <v>N/A</v>
      </c>
    </row>
    <row r="249" spans="1:61" ht="24.95" customHeight="1">
      <c r="A249" s="460">
        <v>481</v>
      </c>
      <c r="B249" s="12" t="str">
        <f>VLOOKUP($A249,'Matriz POA 2024-TRABAJO'!$A$5:$CD$9142,11,FALSE)</f>
        <v>Corporación Ciudad Alfaro</v>
      </c>
      <c r="C249" s="12" t="str">
        <f>VLOOKUP($A249,'Matriz POA 2024-TRABAJO'!$A$5:$CD$9142,14,FALSE)</f>
        <v>N/A</v>
      </c>
      <c r="D249" s="12" t="str">
        <f>VLOOKUP($A249,'Matriz POA 2024-TRABAJO'!$A$5:$CD$9142,15,FALSE)</f>
        <v>N/A</v>
      </c>
      <c r="E249" s="12" t="str">
        <f>VLOOKUP($A249,'Matriz POA 2024-TRABAJO'!$A$5:$CD$9142,18,FALSE)</f>
        <v>N/A</v>
      </c>
      <c r="F249" s="12" t="str">
        <f>VLOOKUP($A249,'Matriz POA 2024-TRABAJO'!$A$5:$CD$9142,20,FALSE)</f>
        <v>N/A</v>
      </c>
      <c r="G249" s="12" t="str">
        <f>VLOOKUP($A249,'Matriz POA 2024-TRABAJO'!$A$5:$CD$9142,21,FALSE)</f>
        <v>N/A</v>
      </c>
      <c r="H249" s="12" t="str">
        <f>VLOOKUP($A249,'Matriz POA 2024-TRABAJO'!$A$5:$CD$9142,22,FALSE)</f>
        <v>N/A</v>
      </c>
      <c r="I249" s="12" t="str">
        <f>VLOOKUP($A249,'Matriz POA 2024-TRABAJO'!$A$5:$CD$9142,23,FALSE)</f>
        <v>NUEVA</v>
      </c>
      <c r="J249" s="12" t="str">
        <f>VLOOKUP($A249,'Matriz POA 2024-TRABAJO'!$A$5:$CD$9142,24,FALSE)</f>
        <v>Adquisición de tonners y tintas para las impresoras de la corporación ciudad alfaro y sus sedes</v>
      </c>
      <c r="K249" s="12" t="str">
        <f>VLOOKUP($A249,'Matriz POA 2024-TRABAJO'!$A$5:$CD$9142,25,FALSE)</f>
        <v>0035</v>
      </c>
      <c r="L249" s="12" t="str">
        <f>VLOOKUP($A249,'Matriz POA 2024-TRABAJO'!$A$5:$CD$9142,26,FALSE)</f>
        <v>80</v>
      </c>
      <c r="M249" s="12" t="str">
        <f>VLOOKUP($A249,'Matriz POA 2024-TRABAJO'!$A$5:$CD$9142,27,FALSE)</f>
        <v>000</v>
      </c>
      <c r="N249" s="12" t="str">
        <f>VLOOKUP($A249,'Matriz POA 2024-TRABAJO'!$A$5:$CD$9142,28,FALSE)</f>
        <v>002</v>
      </c>
      <c r="O249" s="12" t="str">
        <f>VLOOKUP($A249,'Matriz POA 2024-TRABAJO'!$A$5:$CD$9142,29,FALSE)</f>
        <v>53</v>
      </c>
      <c r="P249" s="12">
        <f>VLOOKUP($A249,'Matriz POA 2024-TRABAJO'!$A$5:$CD$9142,30,FALSE)</f>
        <v>530807</v>
      </c>
      <c r="Q249" s="12">
        <f>VLOOKUP($A249,'Matriz POA 2024-TRABAJO'!$A$5:$CD$9142,32,FALSE)</f>
        <v>1309</v>
      </c>
      <c r="R249" s="12" t="str">
        <f>VLOOKUP($A249,'Matriz POA 2024-TRABAJO'!$A$5:$CD$9142,33,FALSE)</f>
        <v>001</v>
      </c>
      <c r="S249" s="12" t="str">
        <f>VLOOKUP($A249,'Matriz POA 2024-TRABAJO'!$A$5:$CD$9142,34,FALSE)</f>
        <v>0000</v>
      </c>
      <c r="T249" s="12" t="str">
        <f>VLOOKUP($A249,'Matriz POA 2024-TRABAJO'!$A$5:$CD$9142,35,FALSE)</f>
        <v>0000</v>
      </c>
      <c r="U249" s="62">
        <f>VLOOKUP($A249,'Matriz POA 2024-TRABAJO'!$A$5:$CD$9142,66,FALSE)</f>
        <v>2000</v>
      </c>
      <c r="V249" s="62">
        <f>VLOOKUP($A249,'Matriz POA 2024-TRABAJO'!$A$5:$CD$9142,67,FALSE)</f>
        <v>-1321</v>
      </c>
      <c r="W249" s="62">
        <f>VLOOKUP($A249,'Matriz POA 2024-TRABAJO'!$A$5:$CD$9142,68,FALSE)</f>
        <v>0</v>
      </c>
      <c r="X249" s="62">
        <f>VLOOKUP($A249,'Matriz POA 2024-TRABAJO'!$A$5:$CD$9142,72,FALSE)</f>
        <v>679</v>
      </c>
      <c r="Y249" s="388">
        <f>VLOOKUP($A249,'Matriz POA 2024-TRABAJO'!$A$5:$CD$9142,45,FALSE)</f>
        <v>679</v>
      </c>
      <c r="Z249" s="388">
        <f>VLOOKUP($A249,'Matriz POA 2024-TRABAJO'!$A$5:$CD$9142,46,FALSE)</f>
        <v>0</v>
      </c>
      <c r="AA249" s="388">
        <f>VLOOKUP($A249,'Matriz POA 2024-TRABAJO'!$A$5:$CD$9142,47,FALSE)</f>
        <v>679</v>
      </c>
      <c r="AB249" s="389"/>
      <c r="AC249" s="389"/>
      <c r="AD249" s="13"/>
      <c r="AE249" s="13"/>
      <c r="AF249" s="13">
        <f t="shared" ref="AF249" si="224">Y249+AB249+AC249</f>
        <v>679</v>
      </c>
      <c r="AG249" s="13">
        <f t="shared" ref="AG249" si="225">Z249+AD249+AE249</f>
        <v>0</v>
      </c>
      <c r="AH249" s="13">
        <f t="shared" ref="AH249" si="226">+AF249+AG249</f>
        <v>679</v>
      </c>
      <c r="AI249" s="7"/>
      <c r="AJ249" s="7"/>
      <c r="AK249" s="7"/>
      <c r="AL249" s="7"/>
      <c r="AM249" s="7"/>
      <c r="AN249" s="7"/>
      <c r="AO249" s="7"/>
      <c r="AP249" s="7"/>
      <c r="AQ249" s="7"/>
      <c r="AR249" s="7"/>
      <c r="AS249" s="7"/>
      <c r="AT249" s="7"/>
      <c r="AU249" s="129">
        <f t="shared" si="177"/>
        <v>0</v>
      </c>
      <c r="AV249" s="13" t="b">
        <f t="shared" si="189"/>
        <v>0</v>
      </c>
      <c r="AW249" s="14" t="s">
        <v>1966</v>
      </c>
      <c r="AX249" s="15" t="s">
        <v>1962</v>
      </c>
      <c r="AY249" s="16">
        <v>45482</v>
      </c>
      <c r="AZ249" s="15" t="s">
        <v>1965</v>
      </c>
      <c r="BA249" s="16">
        <v>45485</v>
      </c>
      <c r="BB249" s="17">
        <f t="shared" si="179"/>
        <v>3</v>
      </c>
      <c r="BC249" s="12"/>
      <c r="BD249" s="15"/>
      <c r="BE249" s="18"/>
      <c r="BF249" s="12"/>
      <c r="BG249" s="19" t="str">
        <f t="shared" si="190"/>
        <v>julio</v>
      </c>
      <c r="BH249" s="12" t="str">
        <f t="shared" si="191"/>
        <v>Corporación Ciudad Alfaro</v>
      </c>
      <c r="BI249" s="20" t="str">
        <f t="shared" si="192"/>
        <v>N/A</v>
      </c>
    </row>
    <row r="250" spans="1:61" ht="24.95" customHeight="1">
      <c r="A250" s="460">
        <v>460</v>
      </c>
      <c r="B250" s="12" t="str">
        <f>VLOOKUP($A250,'Matriz POA 2024-TRABAJO'!$A$5:$CD$9142,11,FALSE)</f>
        <v>Corporación Ciudad Alfaro</v>
      </c>
      <c r="C250" s="12" t="str">
        <f>VLOOKUP($A250,'Matriz POA 2024-TRABAJO'!$A$5:$CD$9142,14,FALSE)</f>
        <v>N/A</v>
      </c>
      <c r="D250" s="12" t="str">
        <f>VLOOKUP($A250,'Matriz POA 2024-TRABAJO'!$A$5:$CD$9142,15,FALSE)</f>
        <v>N/A</v>
      </c>
      <c r="E250" s="12" t="str">
        <f>VLOOKUP($A250,'Matriz POA 2024-TRABAJO'!$A$5:$CD$9142,18,FALSE)</f>
        <v>N/A</v>
      </c>
      <c r="F250" s="12" t="str">
        <f>VLOOKUP($A250,'Matriz POA 2024-TRABAJO'!$A$5:$CD$9142,20,FALSE)</f>
        <v>N/A</v>
      </c>
      <c r="G250" s="12" t="str">
        <f>VLOOKUP($A250,'Matriz POA 2024-TRABAJO'!$A$5:$CD$9142,21,FALSE)</f>
        <v>N/A</v>
      </c>
      <c r="H250" s="12" t="str">
        <f>VLOOKUP($A250,'Matriz POA 2024-TRABAJO'!$A$5:$CD$9142,22,FALSE)</f>
        <v>N/A</v>
      </c>
      <c r="I250" s="12" t="str">
        <f>VLOOKUP($A250,'Matriz POA 2024-TRABAJO'!$A$5:$CD$9142,23,FALSE)</f>
        <v>NUEVA</v>
      </c>
      <c r="J250" s="12" t="str">
        <f>VLOOKUP($A250,'Matriz POA 2024-TRABAJO'!$A$5:$CD$9142,24,FALSE)</f>
        <v xml:space="preserve">Reintegro de gastos por trámite de tasas de contribución especial en la matriculación vehicular por rodaje cantonal </v>
      </c>
      <c r="K250" s="12" t="str">
        <f>VLOOKUP($A250,'Matriz POA 2024-TRABAJO'!$A$5:$CD$9142,25,FALSE)</f>
        <v>0035</v>
      </c>
      <c r="L250" s="12" t="str">
        <f>VLOOKUP($A250,'Matriz POA 2024-TRABAJO'!$A$5:$CD$9142,26,FALSE)</f>
        <v>80</v>
      </c>
      <c r="M250" s="12" t="str">
        <f>VLOOKUP($A250,'Matriz POA 2024-TRABAJO'!$A$5:$CD$9142,27,FALSE)</f>
        <v>000</v>
      </c>
      <c r="N250" s="12" t="str">
        <f>VLOOKUP($A250,'Matriz POA 2024-TRABAJO'!$A$5:$CD$9142,28,FALSE)</f>
        <v>002</v>
      </c>
      <c r="O250" s="12" t="str">
        <f>VLOOKUP($A250,'Matriz POA 2024-TRABAJO'!$A$5:$CD$9142,29,FALSE)</f>
        <v>57</v>
      </c>
      <c r="P250" s="12">
        <f>VLOOKUP($A250,'Matriz POA 2024-TRABAJO'!$A$5:$CD$9142,30,FALSE)</f>
        <v>570102</v>
      </c>
      <c r="Q250" s="12">
        <f>VLOOKUP($A250,'Matriz POA 2024-TRABAJO'!$A$5:$CD$9142,32,FALSE)</f>
        <v>1309</v>
      </c>
      <c r="R250" s="12" t="str">
        <f>VLOOKUP($A250,'Matriz POA 2024-TRABAJO'!$A$5:$CD$9142,33,FALSE)</f>
        <v>001</v>
      </c>
      <c r="S250" s="12" t="str">
        <f>VLOOKUP($A250,'Matriz POA 2024-TRABAJO'!$A$5:$CD$9142,34,FALSE)</f>
        <v>0000</v>
      </c>
      <c r="T250" s="12" t="str">
        <f>VLOOKUP($A250,'Matriz POA 2024-TRABAJO'!$A$5:$CD$9142,35,FALSE)</f>
        <v>0000</v>
      </c>
      <c r="U250" s="62">
        <f>VLOOKUP($A250,'Matriz POA 2024-TRABAJO'!$A$5:$CD$9142,66,FALSE)</f>
        <v>200</v>
      </c>
      <c r="V250" s="62">
        <f>VLOOKUP($A250,'Matriz POA 2024-TRABAJO'!$A$5:$CD$9142,67,FALSE)</f>
        <v>0</v>
      </c>
      <c r="W250" s="62">
        <f>VLOOKUP($A250,'Matriz POA 2024-TRABAJO'!$A$5:$CD$9142,68,FALSE)</f>
        <v>0</v>
      </c>
      <c r="X250" s="62" t="str">
        <f>VLOOKUP($A250,'Matriz POA 2024-TRABAJO'!$A$5:$CD$9142,72,FALSE)</f>
        <v/>
      </c>
      <c r="Y250" s="388">
        <f>VLOOKUP($A250,'Matriz POA 2024-TRABAJO'!$A$5:$CD$9142,45,FALSE)</f>
        <v>200</v>
      </c>
      <c r="Z250" s="388">
        <f>VLOOKUP($A250,'Matriz POA 2024-TRABAJO'!$A$5:$CD$9142,46,FALSE)</f>
        <v>0</v>
      </c>
      <c r="AA250" s="388">
        <f>VLOOKUP($A250,'Matriz POA 2024-TRABAJO'!$A$5:$CD$9142,47,FALSE)</f>
        <v>200</v>
      </c>
      <c r="AB250" s="389"/>
      <c r="AC250" s="389"/>
      <c r="AD250" s="13"/>
      <c r="AE250" s="13"/>
      <c r="AF250" s="13">
        <f t="shared" ref="AF250" si="227">Y250+AB250+AC250</f>
        <v>200</v>
      </c>
      <c r="AG250" s="13">
        <f t="shared" ref="AG250" si="228">Z250+AD250+AE250</f>
        <v>0</v>
      </c>
      <c r="AH250" s="13">
        <f t="shared" ref="AH250" si="229">+AF250+AG250</f>
        <v>200</v>
      </c>
      <c r="AI250" s="7"/>
      <c r="AJ250" s="7"/>
      <c r="AK250" s="7"/>
      <c r="AL250" s="7"/>
      <c r="AM250" s="7"/>
      <c r="AN250" s="7"/>
      <c r="AO250" s="7"/>
      <c r="AP250" s="7"/>
      <c r="AQ250" s="7"/>
      <c r="AR250" s="7"/>
      <c r="AS250" s="7"/>
      <c r="AT250" s="7"/>
      <c r="AU250" s="129">
        <f t="shared" si="177"/>
        <v>0</v>
      </c>
      <c r="AV250" s="13" t="b">
        <f t="shared" si="189"/>
        <v>0</v>
      </c>
      <c r="AW250" s="14" t="s">
        <v>1966</v>
      </c>
      <c r="AX250" s="15" t="s">
        <v>1962</v>
      </c>
      <c r="AY250" s="16">
        <v>45482</v>
      </c>
      <c r="AZ250" s="15" t="s">
        <v>1965</v>
      </c>
      <c r="BA250" s="16">
        <v>45485</v>
      </c>
      <c r="BB250" s="17">
        <f t="shared" si="179"/>
        <v>3</v>
      </c>
      <c r="BC250" s="12"/>
      <c r="BD250" s="15"/>
      <c r="BE250" s="18"/>
      <c r="BF250" s="12"/>
      <c r="BG250" s="19" t="str">
        <f t="shared" si="190"/>
        <v>julio</v>
      </c>
      <c r="BH250" s="12" t="str">
        <f t="shared" si="191"/>
        <v>Corporación Ciudad Alfaro</v>
      </c>
      <c r="BI250" s="20" t="str">
        <f t="shared" si="192"/>
        <v>N/A</v>
      </c>
    </row>
    <row r="251" spans="1:61" ht="24.95" customHeight="1">
      <c r="A251" s="460">
        <v>464</v>
      </c>
      <c r="B251" s="12" t="str">
        <f>VLOOKUP($A251,'Matriz POA 2024-TRABAJO'!$A$5:$CD$9142,11,FALSE)</f>
        <v>Corporación Ciudad Alfaro</v>
      </c>
      <c r="C251" s="12" t="str">
        <f>VLOOKUP($A251,'Matriz POA 2024-TRABAJO'!$A$5:$CD$9142,14,FALSE)</f>
        <v>N/A</v>
      </c>
      <c r="D251" s="12" t="str">
        <f>VLOOKUP($A251,'Matriz POA 2024-TRABAJO'!$A$5:$CD$9142,15,FALSE)</f>
        <v>N/A</v>
      </c>
      <c r="E251" s="12" t="str">
        <f>VLOOKUP($A251,'Matriz POA 2024-TRABAJO'!$A$5:$CD$9142,18,FALSE)</f>
        <v>N/A</v>
      </c>
      <c r="F251" s="12" t="str">
        <f>VLOOKUP($A251,'Matriz POA 2024-TRABAJO'!$A$5:$CD$9142,20,FALSE)</f>
        <v>N/A</v>
      </c>
      <c r="G251" s="12" t="str">
        <f>VLOOKUP($A251,'Matriz POA 2024-TRABAJO'!$A$5:$CD$9142,21,FALSE)</f>
        <v>N/A</v>
      </c>
      <c r="H251" s="12" t="str">
        <f>VLOOKUP($A251,'Matriz POA 2024-TRABAJO'!$A$5:$CD$9142,22,FALSE)</f>
        <v>N/A</v>
      </c>
      <c r="I251" s="12" t="str">
        <f>VLOOKUP($A251,'Matriz POA 2024-TRABAJO'!$A$5:$CD$9142,23,FALSE)</f>
        <v>NUEVA</v>
      </c>
      <c r="J251" s="12" t="str">
        <f>VLOOKUP($A251,'Matriz POA 2024-TRABAJO'!$A$5:$CD$9142,24,FALSE)</f>
        <v>Pago de tasas y contribuciones a los predios urbanos y cuerpo de bomberos de la Corporación Ciudad Alfaro</v>
      </c>
      <c r="K251" s="12" t="str">
        <f>VLOOKUP($A251,'Matriz POA 2024-TRABAJO'!$A$5:$CD$9142,25,FALSE)</f>
        <v>0035</v>
      </c>
      <c r="L251" s="12" t="str">
        <f>VLOOKUP($A251,'Matriz POA 2024-TRABAJO'!$A$5:$CD$9142,26,FALSE)</f>
        <v>80</v>
      </c>
      <c r="M251" s="12" t="str">
        <f>VLOOKUP($A251,'Matriz POA 2024-TRABAJO'!$A$5:$CD$9142,27,FALSE)</f>
        <v>000</v>
      </c>
      <c r="N251" s="12" t="str">
        <f>VLOOKUP($A251,'Matriz POA 2024-TRABAJO'!$A$5:$CD$9142,28,FALSE)</f>
        <v>002</v>
      </c>
      <c r="O251" s="12" t="str">
        <f>VLOOKUP($A251,'Matriz POA 2024-TRABAJO'!$A$5:$CD$9142,29,FALSE)</f>
        <v>57</v>
      </c>
      <c r="P251" s="12">
        <f>VLOOKUP($A251,'Matriz POA 2024-TRABAJO'!$A$5:$CD$9142,30,FALSE)</f>
        <v>570102</v>
      </c>
      <c r="Q251" s="12">
        <f>VLOOKUP($A251,'Matriz POA 2024-TRABAJO'!$A$5:$CD$9142,32,FALSE)</f>
        <v>1309</v>
      </c>
      <c r="R251" s="12" t="str">
        <f>VLOOKUP($A251,'Matriz POA 2024-TRABAJO'!$A$5:$CD$9142,33,FALSE)</f>
        <v>001</v>
      </c>
      <c r="S251" s="12" t="str">
        <f>VLOOKUP($A251,'Matriz POA 2024-TRABAJO'!$A$5:$CD$9142,34,FALSE)</f>
        <v>0000</v>
      </c>
      <c r="T251" s="12" t="str">
        <f>VLOOKUP($A251,'Matriz POA 2024-TRABAJO'!$A$5:$CD$9142,35,FALSE)</f>
        <v>0000</v>
      </c>
      <c r="U251" s="62">
        <f>VLOOKUP($A251,'Matriz POA 2024-TRABAJO'!$A$5:$CD$9142,66,FALSE)</f>
        <v>3000</v>
      </c>
      <c r="V251" s="62">
        <f>VLOOKUP($A251,'Matriz POA 2024-TRABAJO'!$A$5:$CD$9142,67,FALSE)</f>
        <v>-2424.64</v>
      </c>
      <c r="W251" s="62">
        <f>VLOOKUP($A251,'Matriz POA 2024-TRABAJO'!$A$5:$CD$9142,68,FALSE)</f>
        <v>0</v>
      </c>
      <c r="X251" s="62">
        <f>VLOOKUP($A251,'Matriz POA 2024-TRABAJO'!$A$5:$CD$9142,72,FALSE)</f>
        <v>575.36</v>
      </c>
      <c r="Y251" s="388">
        <f>VLOOKUP($A251,'Matriz POA 2024-TRABAJO'!$A$5:$CD$9142,45,FALSE)</f>
        <v>575.36000000000013</v>
      </c>
      <c r="Z251" s="388">
        <f>VLOOKUP($A251,'Matriz POA 2024-TRABAJO'!$A$5:$CD$9142,46,FALSE)</f>
        <v>0</v>
      </c>
      <c r="AA251" s="388">
        <f>VLOOKUP($A251,'Matriz POA 2024-TRABAJO'!$A$5:$CD$9142,47,FALSE)</f>
        <v>575.36000000000013</v>
      </c>
      <c r="AB251" s="389"/>
      <c r="AC251" s="389"/>
      <c r="AD251" s="13"/>
      <c r="AE251" s="13"/>
      <c r="AF251" s="13">
        <f t="shared" ref="AF251" si="230">Y251+AB251+AC251</f>
        <v>575.36000000000013</v>
      </c>
      <c r="AG251" s="13">
        <f t="shared" ref="AG251" si="231">Z251+AD251+AE251</f>
        <v>0</v>
      </c>
      <c r="AH251" s="13">
        <f t="shared" ref="AH251" si="232">+AF251+AG251</f>
        <v>575.36000000000013</v>
      </c>
      <c r="AI251" s="7"/>
      <c r="AJ251" s="7"/>
      <c r="AK251" s="7"/>
      <c r="AL251" s="7"/>
      <c r="AM251" s="7"/>
      <c r="AN251" s="7"/>
      <c r="AO251" s="7"/>
      <c r="AP251" s="7"/>
      <c r="AQ251" s="7"/>
      <c r="AR251" s="7"/>
      <c r="AS251" s="7"/>
      <c r="AT251" s="7"/>
      <c r="AU251" s="129">
        <f t="shared" si="177"/>
        <v>0</v>
      </c>
      <c r="AV251" s="13" t="b">
        <f t="shared" si="189"/>
        <v>0</v>
      </c>
      <c r="AW251" s="14" t="s">
        <v>1966</v>
      </c>
      <c r="AX251" s="15" t="s">
        <v>1962</v>
      </c>
      <c r="AY251" s="16">
        <v>45482</v>
      </c>
      <c r="AZ251" s="15" t="s">
        <v>1965</v>
      </c>
      <c r="BA251" s="16">
        <v>45485</v>
      </c>
      <c r="BB251" s="17">
        <f t="shared" si="179"/>
        <v>3</v>
      </c>
      <c r="BC251" s="12"/>
      <c r="BD251" s="15"/>
      <c r="BE251" s="18"/>
      <c r="BF251" s="12"/>
      <c r="BG251" s="19" t="str">
        <f t="shared" si="190"/>
        <v>julio</v>
      </c>
      <c r="BH251" s="12" t="str">
        <f t="shared" si="191"/>
        <v>Corporación Ciudad Alfaro</v>
      </c>
      <c r="BI251" s="20" t="str">
        <f t="shared" si="192"/>
        <v>N/A</v>
      </c>
    </row>
    <row r="252" spans="1:61" ht="24.95" customHeight="1">
      <c r="A252" s="460">
        <v>458</v>
      </c>
      <c r="B252" s="12" t="str">
        <f>VLOOKUP($A252,'Matriz POA 2024-TRABAJO'!$A$5:$CD$9142,11,FALSE)</f>
        <v>Corporación Ciudad Alfaro</v>
      </c>
      <c r="C252" s="12" t="str">
        <f>VLOOKUP($A252,'Matriz POA 2024-TRABAJO'!$A$5:$CD$9142,14,FALSE)</f>
        <v>N/A</v>
      </c>
      <c r="D252" s="12" t="str">
        <f>VLOOKUP($A252,'Matriz POA 2024-TRABAJO'!$A$5:$CD$9142,15,FALSE)</f>
        <v>N/A</v>
      </c>
      <c r="E252" s="12" t="str">
        <f>VLOOKUP($A252,'Matriz POA 2024-TRABAJO'!$A$5:$CD$9142,18,FALSE)</f>
        <v>N/A</v>
      </c>
      <c r="F252" s="12" t="str">
        <f>VLOOKUP($A252,'Matriz POA 2024-TRABAJO'!$A$5:$CD$9142,20,FALSE)</f>
        <v>N/A</v>
      </c>
      <c r="G252" s="12" t="str">
        <f>VLOOKUP($A252,'Matriz POA 2024-TRABAJO'!$A$5:$CD$9142,21,FALSE)</f>
        <v>N/A</v>
      </c>
      <c r="H252" s="12" t="str">
        <f>VLOOKUP($A252,'Matriz POA 2024-TRABAJO'!$A$5:$CD$9142,22,FALSE)</f>
        <v>N/A</v>
      </c>
      <c r="I252" s="12" t="str">
        <f>VLOOKUP($A252,'Matriz POA 2024-TRABAJO'!$A$5:$CD$9142,23,FALSE)</f>
        <v>NUEVA</v>
      </c>
      <c r="J252" s="12" t="str">
        <f>VLOOKUP($A252,'Matriz POA 2024-TRABAJO'!$A$5:$CD$9142,24,FALSE)</f>
        <v>Reintegro de gastos por peajes para los Servidores y Trabajadores de la Corporación Ciudad Alfaro y sus Sedes en comisión de servicios institucionales</v>
      </c>
      <c r="K252" s="12" t="str">
        <f>VLOOKUP($A252,'Matriz POA 2024-TRABAJO'!$A$5:$CD$9142,25,FALSE)</f>
        <v>0035</v>
      </c>
      <c r="L252" s="12" t="str">
        <f>VLOOKUP($A252,'Matriz POA 2024-TRABAJO'!$A$5:$CD$9142,26,FALSE)</f>
        <v>80</v>
      </c>
      <c r="M252" s="12" t="str">
        <f>VLOOKUP($A252,'Matriz POA 2024-TRABAJO'!$A$5:$CD$9142,27,FALSE)</f>
        <v>000</v>
      </c>
      <c r="N252" s="12" t="str">
        <f>VLOOKUP($A252,'Matriz POA 2024-TRABAJO'!$A$5:$CD$9142,28,FALSE)</f>
        <v>002</v>
      </c>
      <c r="O252" s="12" t="str">
        <f>VLOOKUP($A252,'Matriz POA 2024-TRABAJO'!$A$5:$CD$9142,29,FALSE)</f>
        <v>57</v>
      </c>
      <c r="P252" s="12">
        <f>VLOOKUP($A252,'Matriz POA 2024-TRABAJO'!$A$5:$CD$9142,30,FALSE)</f>
        <v>570102</v>
      </c>
      <c r="Q252" s="12">
        <f>VLOOKUP($A252,'Matriz POA 2024-TRABAJO'!$A$5:$CD$9142,32,FALSE)</f>
        <v>1309</v>
      </c>
      <c r="R252" s="12" t="str">
        <f>VLOOKUP($A252,'Matriz POA 2024-TRABAJO'!$A$5:$CD$9142,33,FALSE)</f>
        <v>001</v>
      </c>
      <c r="S252" s="12" t="str">
        <f>VLOOKUP($A252,'Matriz POA 2024-TRABAJO'!$A$5:$CD$9142,34,FALSE)</f>
        <v>0000</v>
      </c>
      <c r="T252" s="12" t="str">
        <f>VLOOKUP($A252,'Matriz POA 2024-TRABAJO'!$A$5:$CD$9142,35,FALSE)</f>
        <v>0000</v>
      </c>
      <c r="U252" s="62">
        <f>VLOOKUP($A252,'Matriz POA 2024-TRABAJO'!$A$5:$CD$9142,66,FALSE)</f>
        <v>150</v>
      </c>
      <c r="V252" s="62">
        <f>VLOOKUP($A252,'Matriz POA 2024-TRABAJO'!$A$5:$CD$9142,67,FALSE)</f>
        <v>0</v>
      </c>
      <c r="W252" s="62">
        <f>VLOOKUP($A252,'Matriz POA 2024-TRABAJO'!$A$5:$CD$9142,68,FALSE)</f>
        <v>150</v>
      </c>
      <c r="X252" s="62">
        <f>VLOOKUP($A252,'Matriz POA 2024-TRABAJO'!$A$5:$CD$9142,72,FALSE)</f>
        <v>27</v>
      </c>
      <c r="Y252" s="388">
        <f>VLOOKUP($A252,'Matriz POA 2024-TRABAJO'!$A$5:$CD$9142,45,FALSE)</f>
        <v>150</v>
      </c>
      <c r="Z252" s="388">
        <f>VLOOKUP($A252,'Matriz POA 2024-TRABAJO'!$A$5:$CD$9142,46,FALSE)</f>
        <v>0</v>
      </c>
      <c r="AA252" s="388">
        <f>VLOOKUP($A252,'Matriz POA 2024-TRABAJO'!$A$5:$CD$9142,47,FALSE)</f>
        <v>150</v>
      </c>
      <c r="AB252" s="389"/>
      <c r="AC252" s="389"/>
      <c r="AD252" s="13"/>
      <c r="AE252" s="13"/>
      <c r="AF252" s="13">
        <f t="shared" ref="AF252" si="233">Y252+AB252+AC252</f>
        <v>150</v>
      </c>
      <c r="AG252" s="13">
        <f t="shared" ref="AG252" si="234">Z252+AD252+AE252</f>
        <v>0</v>
      </c>
      <c r="AH252" s="13">
        <f t="shared" ref="AH252" si="235">+AF252+AG252</f>
        <v>150</v>
      </c>
      <c r="AI252" s="7"/>
      <c r="AJ252" s="7"/>
      <c r="AK252" s="7"/>
      <c r="AL252" s="7"/>
      <c r="AM252" s="7"/>
      <c r="AN252" s="7"/>
      <c r="AO252" s="7"/>
      <c r="AP252" s="7"/>
      <c r="AQ252" s="7"/>
      <c r="AR252" s="7"/>
      <c r="AS252" s="7"/>
      <c r="AT252" s="7"/>
      <c r="AU252" s="129">
        <f t="shared" si="177"/>
        <v>0</v>
      </c>
      <c r="AV252" s="13" t="b">
        <f t="shared" si="189"/>
        <v>0</v>
      </c>
      <c r="AW252" s="14" t="s">
        <v>1966</v>
      </c>
      <c r="AX252" s="15" t="s">
        <v>1962</v>
      </c>
      <c r="AY252" s="16">
        <v>45482</v>
      </c>
      <c r="AZ252" s="15" t="s">
        <v>1965</v>
      </c>
      <c r="BA252" s="16">
        <v>45485</v>
      </c>
      <c r="BB252" s="17">
        <f t="shared" si="179"/>
        <v>3</v>
      </c>
      <c r="BC252" s="12"/>
      <c r="BD252" s="15"/>
      <c r="BE252" s="18"/>
      <c r="BF252" s="12"/>
      <c r="BG252" s="19" t="str">
        <f t="shared" si="190"/>
        <v>julio</v>
      </c>
      <c r="BH252" s="12" t="str">
        <f t="shared" si="191"/>
        <v>Corporación Ciudad Alfaro</v>
      </c>
      <c r="BI252" s="20" t="str">
        <f t="shared" si="192"/>
        <v>N/A</v>
      </c>
    </row>
    <row r="253" spans="1:61" ht="24.95" customHeight="1">
      <c r="A253" s="460">
        <v>486</v>
      </c>
      <c r="B253" s="12" t="str">
        <f>VLOOKUP($A253,'Matriz POA 2024-TRABAJO'!$A$5:$CD$9142,11,FALSE)</f>
        <v>Corporación Ciudad Alfaro</v>
      </c>
      <c r="C253" s="12" t="str">
        <f>VLOOKUP($A253,'Matriz POA 2024-TRABAJO'!$A$5:$CD$9142,14,FALSE)</f>
        <v>N/A</v>
      </c>
      <c r="D253" s="12" t="str">
        <f>VLOOKUP($A253,'Matriz POA 2024-TRABAJO'!$A$5:$CD$9142,15,FALSE)</f>
        <v>N/A</v>
      </c>
      <c r="E253" s="12" t="str">
        <f>VLOOKUP($A253,'Matriz POA 2024-TRABAJO'!$A$5:$CD$9142,18,FALSE)</f>
        <v>N/A</v>
      </c>
      <c r="F253" s="12" t="str">
        <f>VLOOKUP($A253,'Matriz POA 2024-TRABAJO'!$A$5:$CD$9142,20,FALSE)</f>
        <v>N/A</v>
      </c>
      <c r="G253" s="12" t="str">
        <f>VLOOKUP($A253,'Matriz POA 2024-TRABAJO'!$A$5:$CD$9142,21,FALSE)</f>
        <v>N/A</v>
      </c>
      <c r="H253" s="12" t="str">
        <f>VLOOKUP($A253,'Matriz POA 2024-TRABAJO'!$A$5:$CD$9142,22,FALSE)</f>
        <v>N/A</v>
      </c>
      <c r="I253" s="12" t="str">
        <f>VLOOKUP($A253,'Matriz POA 2024-TRABAJO'!$A$5:$CD$9142,23,FALSE)</f>
        <v>NUEVA</v>
      </c>
      <c r="J253" s="12" t="str">
        <f>VLOOKUP($A253,'Matriz POA 2024-TRABAJO'!$A$5:$CD$9142,24,FALSE)</f>
        <v>Pago de pasajes en el interior para el personal de la Corporación Ciudad Alfaro y sus sedes</v>
      </c>
      <c r="K253" s="12" t="str">
        <f>VLOOKUP($A253,'Matriz POA 2024-TRABAJO'!$A$5:$CD$9142,25,FALSE)</f>
        <v>0035</v>
      </c>
      <c r="L253" s="12" t="str">
        <f>VLOOKUP($A253,'Matriz POA 2024-TRABAJO'!$A$5:$CD$9142,26,FALSE)</f>
        <v>80</v>
      </c>
      <c r="M253" s="12" t="str">
        <f>VLOOKUP($A253,'Matriz POA 2024-TRABAJO'!$A$5:$CD$9142,27,FALSE)</f>
        <v>000</v>
      </c>
      <c r="N253" s="12" t="str">
        <f>VLOOKUP($A253,'Matriz POA 2024-TRABAJO'!$A$5:$CD$9142,28,FALSE)</f>
        <v>002</v>
      </c>
      <c r="O253" s="12" t="str">
        <f>VLOOKUP($A253,'Matriz POA 2024-TRABAJO'!$A$5:$CD$9142,29,FALSE)</f>
        <v>53</v>
      </c>
      <c r="P253" s="12">
        <f>VLOOKUP($A253,'Matriz POA 2024-TRABAJO'!$A$5:$CD$9142,30,FALSE)</f>
        <v>530301</v>
      </c>
      <c r="Q253" s="12">
        <f>VLOOKUP($A253,'Matriz POA 2024-TRABAJO'!$A$5:$CD$9142,32,FALSE)</f>
        <v>1309</v>
      </c>
      <c r="R253" s="12" t="str">
        <f>VLOOKUP($A253,'Matriz POA 2024-TRABAJO'!$A$5:$CD$9142,33,FALSE)</f>
        <v>001</v>
      </c>
      <c r="S253" s="12" t="str">
        <f>VLOOKUP($A253,'Matriz POA 2024-TRABAJO'!$A$5:$CD$9142,34,FALSE)</f>
        <v>0000</v>
      </c>
      <c r="T253" s="12" t="str">
        <f>VLOOKUP($A253,'Matriz POA 2024-TRABAJO'!$A$5:$CD$9142,35,FALSE)</f>
        <v>0000</v>
      </c>
      <c r="U253" s="62">
        <f>VLOOKUP($A253,'Matriz POA 2024-TRABAJO'!$A$5:$CD$9142,66,FALSE)</f>
        <v>500</v>
      </c>
      <c r="V253" s="62">
        <f>VLOOKUP($A253,'Matriz POA 2024-TRABAJO'!$A$5:$CD$9142,67,FALSE)</f>
        <v>-500</v>
      </c>
      <c r="W253" s="62">
        <f>VLOOKUP($A253,'Matriz POA 2024-TRABAJO'!$A$5:$CD$9142,68,FALSE)</f>
        <v>0</v>
      </c>
      <c r="X253" s="62" t="str">
        <f>VLOOKUP($A253,'Matriz POA 2024-TRABAJO'!$A$5:$CD$9142,72,FALSE)</f>
        <v/>
      </c>
      <c r="Y253" s="388">
        <f>VLOOKUP($A253,'Matriz POA 2024-TRABAJO'!$A$5:$CD$9142,45,FALSE)</f>
        <v>0</v>
      </c>
      <c r="Z253" s="388">
        <f>VLOOKUP($A253,'Matriz POA 2024-TRABAJO'!$A$5:$CD$9142,46,FALSE)</f>
        <v>0</v>
      </c>
      <c r="AA253" s="388">
        <f>VLOOKUP($A253,'Matriz POA 2024-TRABAJO'!$A$5:$CD$9142,47,FALSE)</f>
        <v>0</v>
      </c>
      <c r="AB253" s="389"/>
      <c r="AC253" s="389"/>
      <c r="AD253" s="13"/>
      <c r="AE253" s="13"/>
      <c r="AF253" s="13">
        <f t="shared" ref="AF253" si="236">Y253+AB253+AC253</f>
        <v>0</v>
      </c>
      <c r="AG253" s="13">
        <f t="shared" ref="AG253" si="237">Z253+AD253+AE253</f>
        <v>0</v>
      </c>
      <c r="AH253" s="13">
        <f t="shared" ref="AH253" si="238">+AF253+AG253</f>
        <v>0</v>
      </c>
      <c r="AI253" s="7"/>
      <c r="AJ253" s="7"/>
      <c r="AK253" s="7"/>
      <c r="AL253" s="7"/>
      <c r="AM253" s="7"/>
      <c r="AN253" s="7"/>
      <c r="AO253" s="7"/>
      <c r="AP253" s="7"/>
      <c r="AQ253" s="7"/>
      <c r="AR253" s="7"/>
      <c r="AS253" s="7"/>
      <c r="AT253" s="7"/>
      <c r="AU253" s="129">
        <f t="shared" si="177"/>
        <v>0</v>
      </c>
      <c r="AV253" s="13" t="b">
        <f t="shared" si="189"/>
        <v>1</v>
      </c>
      <c r="AW253" s="14" t="s">
        <v>1966</v>
      </c>
      <c r="AX253" s="15" t="s">
        <v>1962</v>
      </c>
      <c r="AY253" s="16">
        <v>45482</v>
      </c>
      <c r="AZ253" s="15" t="s">
        <v>1965</v>
      </c>
      <c r="BA253" s="16">
        <v>45485</v>
      </c>
      <c r="BB253" s="17">
        <f t="shared" si="179"/>
        <v>3</v>
      </c>
      <c r="BC253" s="12"/>
      <c r="BD253" s="15"/>
      <c r="BE253" s="18"/>
      <c r="BF253" s="12"/>
      <c r="BG253" s="19" t="str">
        <f t="shared" si="190"/>
        <v>julio</v>
      </c>
      <c r="BH253" s="12" t="str">
        <f t="shared" si="191"/>
        <v>Corporación Ciudad Alfaro</v>
      </c>
      <c r="BI253" s="20" t="str">
        <f t="shared" si="192"/>
        <v>N/A</v>
      </c>
    </row>
    <row r="254" spans="1:61" ht="24.95" customHeight="1">
      <c r="A254" s="460">
        <v>487</v>
      </c>
      <c r="B254" s="12" t="str">
        <f>VLOOKUP($A254,'Matriz POA 2024-TRABAJO'!$A$5:$CD$9142,11,FALSE)</f>
        <v>Corporación Ciudad Alfaro</v>
      </c>
      <c r="C254" s="12" t="str">
        <f>VLOOKUP($A254,'Matriz POA 2024-TRABAJO'!$A$5:$CD$9142,14,FALSE)</f>
        <v>N/A</v>
      </c>
      <c r="D254" s="12" t="str">
        <f>VLOOKUP($A254,'Matriz POA 2024-TRABAJO'!$A$5:$CD$9142,15,FALSE)</f>
        <v>N/A</v>
      </c>
      <c r="E254" s="12" t="str">
        <f>VLOOKUP($A254,'Matriz POA 2024-TRABAJO'!$A$5:$CD$9142,18,FALSE)</f>
        <v>N/A</v>
      </c>
      <c r="F254" s="12" t="str">
        <f>VLOOKUP($A254,'Matriz POA 2024-TRABAJO'!$A$5:$CD$9142,20,FALSE)</f>
        <v>N/A</v>
      </c>
      <c r="G254" s="12" t="str">
        <f>VLOOKUP($A254,'Matriz POA 2024-TRABAJO'!$A$5:$CD$9142,21,FALSE)</f>
        <v>N/A</v>
      </c>
      <c r="H254" s="12" t="str">
        <f>VLOOKUP($A254,'Matriz POA 2024-TRABAJO'!$A$5:$CD$9142,22,FALSE)</f>
        <v>N/A</v>
      </c>
      <c r="I254" s="12" t="str">
        <f>VLOOKUP($A254,'Matriz POA 2024-TRABAJO'!$A$5:$CD$9142,23,FALSE)</f>
        <v>NUEVA</v>
      </c>
      <c r="J254" s="12" t="str">
        <f>VLOOKUP($A254,'Matriz POA 2024-TRABAJO'!$A$5:$CD$9142,24,FALSE)</f>
        <v>Pago de viáticos para el personal de la Corporación Ciudad Alfaro y sus sedes</v>
      </c>
      <c r="K254" s="12" t="str">
        <f>VLOOKUP($A254,'Matriz POA 2024-TRABAJO'!$A$5:$CD$9142,25,FALSE)</f>
        <v>0035</v>
      </c>
      <c r="L254" s="12" t="str">
        <f>VLOOKUP($A254,'Matriz POA 2024-TRABAJO'!$A$5:$CD$9142,26,FALSE)</f>
        <v>80</v>
      </c>
      <c r="M254" s="12" t="str">
        <f>VLOOKUP($A254,'Matriz POA 2024-TRABAJO'!$A$5:$CD$9142,27,FALSE)</f>
        <v>000</v>
      </c>
      <c r="N254" s="12" t="str">
        <f>VLOOKUP($A254,'Matriz POA 2024-TRABAJO'!$A$5:$CD$9142,28,FALSE)</f>
        <v>002</v>
      </c>
      <c r="O254" s="12" t="str">
        <f>VLOOKUP($A254,'Matriz POA 2024-TRABAJO'!$A$5:$CD$9142,29,FALSE)</f>
        <v>53</v>
      </c>
      <c r="P254" s="12">
        <f>VLOOKUP($A254,'Matriz POA 2024-TRABAJO'!$A$5:$CD$9142,30,FALSE)</f>
        <v>530303</v>
      </c>
      <c r="Q254" s="12">
        <f>VLOOKUP($A254,'Matriz POA 2024-TRABAJO'!$A$5:$CD$9142,32,FALSE)</f>
        <v>1309</v>
      </c>
      <c r="R254" s="12" t="str">
        <f>VLOOKUP($A254,'Matriz POA 2024-TRABAJO'!$A$5:$CD$9142,33,FALSE)</f>
        <v>001</v>
      </c>
      <c r="S254" s="12" t="str">
        <f>VLOOKUP($A254,'Matriz POA 2024-TRABAJO'!$A$5:$CD$9142,34,FALSE)</f>
        <v>0000</v>
      </c>
      <c r="T254" s="12" t="str">
        <f>VLOOKUP($A254,'Matriz POA 2024-TRABAJO'!$A$5:$CD$9142,35,FALSE)</f>
        <v>0000</v>
      </c>
      <c r="U254" s="62">
        <f>VLOOKUP($A254,'Matriz POA 2024-TRABAJO'!$A$5:$CD$9142,66,FALSE)</f>
        <v>4801.58</v>
      </c>
      <c r="V254" s="62">
        <f>VLOOKUP($A254,'Matriz POA 2024-TRABAJO'!$A$5:$CD$9142,67,FALSE)</f>
        <v>-31.319999999999709</v>
      </c>
      <c r="W254" s="62">
        <f>VLOOKUP($A254,'Matriz POA 2024-TRABAJO'!$A$5:$CD$9142,68,FALSE)</f>
        <v>4110.26</v>
      </c>
      <c r="X254" s="62">
        <f>VLOOKUP($A254,'Matriz POA 2024-TRABAJO'!$A$5:$CD$9142,72,FALSE)</f>
        <v>3257.5</v>
      </c>
      <c r="Y254" s="388">
        <f>VLOOKUP($A254,'Matriz POA 2024-TRABAJO'!$A$5:$CD$9142,45,FALSE)</f>
        <v>4770.26</v>
      </c>
      <c r="Z254" s="388">
        <f>VLOOKUP($A254,'Matriz POA 2024-TRABAJO'!$A$5:$CD$9142,46,FALSE)</f>
        <v>0</v>
      </c>
      <c r="AA254" s="388">
        <f>VLOOKUP($A254,'Matriz POA 2024-TRABAJO'!$A$5:$CD$9142,47,FALSE)</f>
        <v>4770.26</v>
      </c>
      <c r="AB254" s="389"/>
      <c r="AC254" s="389"/>
      <c r="AD254" s="13"/>
      <c r="AE254" s="13"/>
      <c r="AF254" s="13">
        <f t="shared" ref="AF254" si="239">Y254+AB254+AC254</f>
        <v>4770.26</v>
      </c>
      <c r="AG254" s="13">
        <f t="shared" ref="AG254" si="240">Z254+AD254+AE254</f>
        <v>0</v>
      </c>
      <c r="AH254" s="13">
        <f t="shared" ref="AH254" si="241">+AF254+AG254</f>
        <v>4770.26</v>
      </c>
      <c r="AI254" s="7"/>
      <c r="AJ254" s="7"/>
      <c r="AK254" s="7"/>
      <c r="AL254" s="7"/>
      <c r="AM254" s="7"/>
      <c r="AN254" s="7"/>
      <c r="AO254" s="7"/>
      <c r="AP254" s="7"/>
      <c r="AQ254" s="7"/>
      <c r="AR254" s="7"/>
      <c r="AS254" s="7"/>
      <c r="AT254" s="7"/>
      <c r="AU254" s="129">
        <f t="shared" si="177"/>
        <v>0</v>
      </c>
      <c r="AV254" s="13" t="b">
        <f t="shared" si="189"/>
        <v>0</v>
      </c>
      <c r="AW254" s="14" t="s">
        <v>1966</v>
      </c>
      <c r="AX254" s="15" t="s">
        <v>1962</v>
      </c>
      <c r="AY254" s="16">
        <v>45482</v>
      </c>
      <c r="AZ254" s="15" t="s">
        <v>1965</v>
      </c>
      <c r="BA254" s="16">
        <v>45485</v>
      </c>
      <c r="BB254" s="17">
        <f t="shared" si="179"/>
        <v>3</v>
      </c>
      <c r="BC254" s="12"/>
      <c r="BD254" s="15"/>
      <c r="BE254" s="18"/>
      <c r="BF254" s="12"/>
      <c r="BG254" s="19" t="str">
        <f t="shared" si="190"/>
        <v>julio</v>
      </c>
      <c r="BH254" s="12" t="str">
        <f t="shared" si="191"/>
        <v>Corporación Ciudad Alfaro</v>
      </c>
      <c r="BI254" s="20" t="str">
        <f t="shared" si="192"/>
        <v>N/A</v>
      </c>
    </row>
    <row r="255" spans="1:61" ht="24.95" customHeight="1">
      <c r="A255" s="460">
        <v>488</v>
      </c>
      <c r="B255" s="12" t="str">
        <f>VLOOKUP($A255,'Matriz POA 2024-TRABAJO'!$A$5:$CD$9142,11,FALSE)</f>
        <v>Corporación Ciudad Alfaro</v>
      </c>
      <c r="C255" s="12" t="str">
        <f>VLOOKUP($A255,'Matriz POA 2024-TRABAJO'!$A$5:$CD$9142,14,FALSE)</f>
        <v>N/A</v>
      </c>
      <c r="D255" s="12" t="str">
        <f>VLOOKUP($A255,'Matriz POA 2024-TRABAJO'!$A$5:$CD$9142,15,FALSE)</f>
        <v>N/A</v>
      </c>
      <c r="E255" s="12" t="str">
        <f>VLOOKUP($A255,'Matriz POA 2024-TRABAJO'!$A$5:$CD$9142,18,FALSE)</f>
        <v>N/A</v>
      </c>
      <c r="F255" s="12" t="str">
        <f>VLOOKUP($A255,'Matriz POA 2024-TRABAJO'!$A$5:$CD$9142,20,FALSE)</f>
        <v>N/A</v>
      </c>
      <c r="G255" s="12" t="str">
        <f>VLOOKUP($A255,'Matriz POA 2024-TRABAJO'!$A$5:$CD$9142,21,FALSE)</f>
        <v>N/A</v>
      </c>
      <c r="H255" s="12" t="str">
        <f>VLOOKUP($A255,'Matriz POA 2024-TRABAJO'!$A$5:$CD$9142,22,FALSE)</f>
        <v>N/A</v>
      </c>
      <c r="I255" s="12" t="str">
        <f>VLOOKUP($A255,'Matriz POA 2024-TRABAJO'!$A$5:$CD$9142,23,FALSE)</f>
        <v>NUEVA</v>
      </c>
      <c r="J255" s="12" t="str">
        <f>VLOOKUP($A255,'Matriz POA 2024-TRABAJO'!$A$5:$CD$9142,24,FALSE)</f>
        <v>Reembolso de pasajes aereos  para el personal de la Corporación Ciudad Alfaro y sus sedes</v>
      </c>
      <c r="K255" s="12" t="str">
        <f>VLOOKUP($A255,'Matriz POA 2024-TRABAJO'!$A$5:$CD$9142,25,FALSE)</f>
        <v>0035</v>
      </c>
      <c r="L255" s="12" t="str">
        <f>VLOOKUP($A255,'Matriz POA 2024-TRABAJO'!$A$5:$CD$9142,26,FALSE)</f>
        <v>80</v>
      </c>
      <c r="M255" s="12" t="str">
        <f>VLOOKUP($A255,'Matriz POA 2024-TRABAJO'!$A$5:$CD$9142,27,FALSE)</f>
        <v>000</v>
      </c>
      <c r="N255" s="12" t="str">
        <f>VLOOKUP($A255,'Matriz POA 2024-TRABAJO'!$A$5:$CD$9142,28,FALSE)</f>
        <v>002</v>
      </c>
      <c r="O255" s="12" t="str">
        <f>VLOOKUP($A255,'Matriz POA 2024-TRABAJO'!$A$5:$CD$9142,29,FALSE)</f>
        <v>53</v>
      </c>
      <c r="P255" s="12">
        <f>VLOOKUP($A255,'Matriz POA 2024-TRABAJO'!$A$5:$CD$9142,30,FALSE)</f>
        <v>530301</v>
      </c>
      <c r="Q255" s="12">
        <f>VLOOKUP($A255,'Matriz POA 2024-TRABAJO'!$A$5:$CD$9142,32,FALSE)</f>
        <v>1309</v>
      </c>
      <c r="R255" s="12" t="str">
        <f>VLOOKUP($A255,'Matriz POA 2024-TRABAJO'!$A$5:$CD$9142,33,FALSE)</f>
        <v>001</v>
      </c>
      <c r="S255" s="12" t="str">
        <f>VLOOKUP($A255,'Matriz POA 2024-TRABAJO'!$A$5:$CD$9142,34,FALSE)</f>
        <v>0000</v>
      </c>
      <c r="T255" s="12" t="str">
        <f>VLOOKUP($A255,'Matriz POA 2024-TRABAJO'!$A$5:$CD$9142,35,FALSE)</f>
        <v>0000</v>
      </c>
      <c r="U255" s="62">
        <f>VLOOKUP($A255,'Matriz POA 2024-TRABAJO'!$A$5:$CD$9142,66,FALSE)</f>
        <v>1500</v>
      </c>
      <c r="V255" s="62">
        <f>VLOOKUP($A255,'Matriz POA 2024-TRABAJO'!$A$5:$CD$9142,67,FALSE)</f>
        <v>-1500</v>
      </c>
      <c r="W255" s="62">
        <f>VLOOKUP($A255,'Matriz POA 2024-TRABAJO'!$A$5:$CD$9142,68,FALSE)</f>
        <v>0</v>
      </c>
      <c r="X255" s="62" t="str">
        <f>VLOOKUP($A255,'Matriz POA 2024-TRABAJO'!$A$5:$CD$9142,72,FALSE)</f>
        <v/>
      </c>
      <c r="Y255" s="388">
        <f>VLOOKUP($A255,'Matriz POA 2024-TRABAJO'!$A$5:$CD$9142,45,FALSE)</f>
        <v>0</v>
      </c>
      <c r="Z255" s="388">
        <f>VLOOKUP($A255,'Matriz POA 2024-TRABAJO'!$A$5:$CD$9142,46,FALSE)</f>
        <v>0</v>
      </c>
      <c r="AA255" s="388">
        <f>VLOOKUP($A255,'Matriz POA 2024-TRABAJO'!$A$5:$CD$9142,47,FALSE)</f>
        <v>0</v>
      </c>
      <c r="AB255" s="389"/>
      <c r="AC255" s="389"/>
      <c r="AD255" s="13"/>
      <c r="AE255" s="13"/>
      <c r="AF255" s="13">
        <f t="shared" ref="AF255" si="242">Y255+AB255+AC255</f>
        <v>0</v>
      </c>
      <c r="AG255" s="13">
        <f t="shared" ref="AG255" si="243">Z255+AD255+AE255</f>
        <v>0</v>
      </c>
      <c r="AH255" s="13">
        <f t="shared" ref="AH255" si="244">+AF255+AG255</f>
        <v>0</v>
      </c>
      <c r="AI255" s="7"/>
      <c r="AJ255" s="7"/>
      <c r="AK255" s="7"/>
      <c r="AL255" s="7"/>
      <c r="AM255" s="7"/>
      <c r="AN255" s="7"/>
      <c r="AO255" s="7"/>
      <c r="AP255" s="7"/>
      <c r="AQ255" s="7"/>
      <c r="AR255" s="7"/>
      <c r="AS255" s="7"/>
      <c r="AT255" s="7"/>
      <c r="AU255" s="129">
        <f t="shared" si="177"/>
        <v>0</v>
      </c>
      <c r="AV255" s="13" t="b">
        <f t="shared" si="189"/>
        <v>1</v>
      </c>
      <c r="AW255" s="14" t="s">
        <v>1966</v>
      </c>
      <c r="AX255" s="15" t="s">
        <v>1962</v>
      </c>
      <c r="AY255" s="16">
        <v>45482</v>
      </c>
      <c r="AZ255" s="15" t="s">
        <v>1965</v>
      </c>
      <c r="BA255" s="16">
        <v>45485</v>
      </c>
      <c r="BB255" s="17">
        <f t="shared" si="179"/>
        <v>3</v>
      </c>
      <c r="BC255" s="12"/>
      <c r="BD255" s="15"/>
      <c r="BE255" s="18"/>
      <c r="BF255" s="12"/>
      <c r="BG255" s="19" t="str">
        <f t="shared" si="190"/>
        <v>julio</v>
      </c>
      <c r="BH255" s="12" t="str">
        <f t="shared" si="191"/>
        <v>Corporación Ciudad Alfaro</v>
      </c>
      <c r="BI255" s="20" t="str">
        <f t="shared" si="192"/>
        <v>N/A</v>
      </c>
    </row>
    <row r="256" spans="1:61" ht="24.95" customHeight="1">
      <c r="A256" s="460">
        <v>820</v>
      </c>
      <c r="B256" s="12" t="str">
        <f>VLOOKUP($A256,'Matriz POA 2024-TRABAJO'!$A$5:$CD$9142,11,FALSE)</f>
        <v>Corporación Ciudad Alfaro</v>
      </c>
      <c r="C256" s="12" t="str">
        <f>VLOOKUP($A256,'Matriz POA 2024-TRABAJO'!$A$5:$CD$9142,14,FALSE)</f>
        <v>N/A</v>
      </c>
      <c r="D256" s="12" t="str">
        <f>VLOOKUP($A256,'Matriz POA 2024-TRABAJO'!$A$5:$CD$9142,15,FALSE)</f>
        <v>N/A</v>
      </c>
      <c r="E256" s="12" t="str">
        <f>VLOOKUP($A256,'Matriz POA 2024-TRABAJO'!$A$5:$CD$9142,18,FALSE)</f>
        <v>N/A</v>
      </c>
      <c r="F256" s="12" t="str">
        <f>VLOOKUP($A256,'Matriz POA 2024-TRABAJO'!$A$5:$CD$9142,20,FALSE)</f>
        <v>N/A</v>
      </c>
      <c r="G256" s="12" t="str">
        <f>VLOOKUP($A256,'Matriz POA 2024-TRABAJO'!$A$5:$CD$9142,21,FALSE)</f>
        <v>N/A</v>
      </c>
      <c r="H256" s="12" t="str">
        <f>VLOOKUP($A256,'Matriz POA 2024-TRABAJO'!$A$5:$CD$9142,22,FALSE)</f>
        <v>N/A</v>
      </c>
      <c r="I256" s="12" t="str">
        <f>VLOOKUP($A256,'Matriz POA 2024-TRABAJO'!$A$5:$CD$9142,23,FALSE)</f>
        <v>NUEVA</v>
      </c>
      <c r="J256" s="12" t="str">
        <f>VLOOKUP($A256,'Matriz POA 2024-TRABAJO'!$A$5:$CD$9142,24,FALSE)</f>
        <v>Contratación del servicio de instalación, mantenimiento y reparación del auditorio del Museo Portoviejo y Archivo Histórico</v>
      </c>
      <c r="K256" s="12" t="str">
        <f>VLOOKUP($A256,'Matriz POA 2024-TRABAJO'!$A$5:$CD$9142,25,FALSE)</f>
        <v>0035</v>
      </c>
      <c r="L256" s="12" t="str">
        <f>VLOOKUP($A256,'Matriz POA 2024-TRABAJO'!$A$5:$CD$9142,26,FALSE)</f>
        <v>80</v>
      </c>
      <c r="M256" s="12" t="str">
        <f>VLOOKUP($A256,'Matriz POA 2024-TRABAJO'!$A$5:$CD$9142,27,FALSE)</f>
        <v>000</v>
      </c>
      <c r="N256" s="12" t="str">
        <f>VLOOKUP($A256,'Matriz POA 2024-TRABAJO'!$A$5:$CD$9142,28,FALSE)</f>
        <v>002</v>
      </c>
      <c r="O256" s="12" t="str">
        <f>VLOOKUP($A256,'Matriz POA 2024-TRABAJO'!$A$5:$CD$9142,29,FALSE)</f>
        <v>53</v>
      </c>
      <c r="P256" s="12">
        <f>VLOOKUP($A256,'Matriz POA 2024-TRABAJO'!$A$5:$CD$9142,30,FALSE)</f>
        <v>530403</v>
      </c>
      <c r="Q256" s="12">
        <f>VLOOKUP($A256,'Matriz POA 2024-TRABAJO'!$A$5:$CD$9142,32,FALSE)</f>
        <v>1301</v>
      </c>
      <c r="R256" s="12" t="str">
        <f>VLOOKUP($A256,'Matriz POA 2024-TRABAJO'!$A$5:$CD$9142,33,FALSE)</f>
        <v>001</v>
      </c>
      <c r="S256" s="12" t="str">
        <f>VLOOKUP($A256,'Matriz POA 2024-TRABAJO'!$A$5:$CD$9142,34,FALSE)</f>
        <v>0000</v>
      </c>
      <c r="T256" s="12" t="str">
        <f>VLOOKUP($A256,'Matriz POA 2024-TRABAJO'!$A$5:$CD$9142,35,FALSE)</f>
        <v>0000</v>
      </c>
      <c r="U256" s="62">
        <f>VLOOKUP($A256,'Matriz POA 2024-TRABAJO'!$A$5:$CD$9142,66,FALSE)</f>
        <v>5000</v>
      </c>
      <c r="V256" s="62">
        <f>VLOOKUP($A256,'Matriz POA 2024-TRABAJO'!$A$5:$CD$9142,67,FALSE)</f>
        <v>-5000</v>
      </c>
      <c r="W256" s="62">
        <f>VLOOKUP($A256,'Matriz POA 2024-TRABAJO'!$A$5:$CD$9142,68,FALSE)</f>
        <v>0</v>
      </c>
      <c r="X256" s="62" t="str">
        <f>VLOOKUP($A256,'Matriz POA 2024-TRABAJO'!$A$5:$CD$9142,72,FALSE)</f>
        <v/>
      </c>
      <c r="Y256" s="388">
        <f>VLOOKUP($A256,'Matriz POA 2024-TRABAJO'!$A$5:$CD$9142,45,FALSE)</f>
        <v>0</v>
      </c>
      <c r="Z256" s="388">
        <f>VLOOKUP($A256,'Matriz POA 2024-TRABAJO'!$A$5:$CD$9142,46,FALSE)</f>
        <v>0</v>
      </c>
      <c r="AA256" s="388">
        <f>VLOOKUP($A256,'Matriz POA 2024-TRABAJO'!$A$5:$CD$9142,47,FALSE)</f>
        <v>0</v>
      </c>
      <c r="AB256" s="389"/>
      <c r="AC256" s="389"/>
      <c r="AD256" s="13"/>
      <c r="AE256" s="13"/>
      <c r="AF256" s="13">
        <f t="shared" ref="AF256" si="245">Y256+AB256+AC256</f>
        <v>0</v>
      </c>
      <c r="AG256" s="13">
        <f t="shared" ref="AG256" si="246">Z256+AD256+AE256</f>
        <v>0</v>
      </c>
      <c r="AH256" s="13">
        <f t="shared" ref="AH256" si="247">+AF256+AG256</f>
        <v>0</v>
      </c>
      <c r="AI256" s="7"/>
      <c r="AJ256" s="7"/>
      <c r="AK256" s="7"/>
      <c r="AL256" s="7"/>
      <c r="AM256" s="7"/>
      <c r="AN256" s="7"/>
      <c r="AO256" s="7"/>
      <c r="AP256" s="7"/>
      <c r="AQ256" s="7"/>
      <c r="AR256" s="7"/>
      <c r="AS256" s="7"/>
      <c r="AT256" s="7"/>
      <c r="AU256" s="129">
        <f t="shared" si="177"/>
        <v>0</v>
      </c>
      <c r="AV256" s="13" t="b">
        <f t="shared" si="189"/>
        <v>1</v>
      </c>
      <c r="AW256" s="14" t="s">
        <v>1966</v>
      </c>
      <c r="AX256" s="15" t="s">
        <v>1962</v>
      </c>
      <c r="AY256" s="16">
        <v>45482</v>
      </c>
      <c r="AZ256" s="15" t="s">
        <v>1965</v>
      </c>
      <c r="BA256" s="16">
        <v>45485</v>
      </c>
      <c r="BB256" s="17">
        <f t="shared" si="179"/>
        <v>3</v>
      </c>
      <c r="BC256" s="12"/>
      <c r="BD256" s="15"/>
      <c r="BE256" s="18"/>
      <c r="BF256" s="12"/>
      <c r="BG256" s="19" t="str">
        <f t="shared" si="190"/>
        <v>julio</v>
      </c>
      <c r="BH256" s="12" t="str">
        <f t="shared" si="191"/>
        <v>Corporación Ciudad Alfaro</v>
      </c>
      <c r="BI256" s="20" t="str">
        <f t="shared" si="192"/>
        <v>N/A</v>
      </c>
    </row>
    <row r="257" spans="1:61" ht="24.95" customHeight="1">
      <c r="A257" s="460">
        <v>870</v>
      </c>
      <c r="B257" s="12" t="str">
        <f>VLOOKUP($A257,'Matriz POA 2024-TRABAJO'!$A$5:$CD$9142,11,FALSE)</f>
        <v>Corporación Ciudad Alfaro</v>
      </c>
      <c r="C257" s="12" t="str">
        <f>VLOOKUP($A257,'Matriz POA 2024-TRABAJO'!$A$5:$CD$9142,14,FALSE)</f>
        <v>N/A</v>
      </c>
      <c r="D257" s="12" t="str">
        <f>VLOOKUP($A257,'Matriz POA 2024-TRABAJO'!$A$5:$CD$9142,15,FALSE)</f>
        <v>N/A</v>
      </c>
      <c r="E257" s="12" t="str">
        <f>VLOOKUP($A257,'Matriz POA 2024-TRABAJO'!$A$5:$CD$9142,18,FALSE)</f>
        <v>N/A</v>
      </c>
      <c r="F257" s="12" t="str">
        <f>VLOOKUP($A257,'Matriz POA 2024-TRABAJO'!$A$5:$CD$9142,20,FALSE)</f>
        <v>N/A</v>
      </c>
      <c r="G257" s="12" t="str">
        <f>VLOOKUP($A257,'Matriz POA 2024-TRABAJO'!$A$5:$CD$9142,21,FALSE)</f>
        <v>N/A</v>
      </c>
      <c r="H257" s="12" t="str">
        <f>VLOOKUP($A257,'Matriz POA 2024-TRABAJO'!$A$5:$CD$9142,22,FALSE)</f>
        <v>N/A</v>
      </c>
      <c r="I257" s="12" t="str">
        <f>VLOOKUP($A257,'Matriz POA 2024-TRABAJO'!$A$5:$CD$9142,23,FALSE)</f>
        <v>NUEVA</v>
      </c>
      <c r="J257" s="12" t="str">
        <f>VLOOKUP($A257,'Matriz POA 2024-TRABAJO'!$A$5:$CD$9142,24,FALSE)</f>
        <v>Contratación del servicio de mantenimiento preventivo y correctivo del sistema de climatización del piso 5 en el museo intermedio Manta, sede de la Corporación Ciudad Alfaro</v>
      </c>
      <c r="K257" s="12" t="str">
        <f>VLOOKUP($A257,'Matriz POA 2024-TRABAJO'!$A$5:$CD$9142,25,FALSE)</f>
        <v>0035</v>
      </c>
      <c r="L257" s="12" t="str">
        <f>VLOOKUP($A257,'Matriz POA 2024-TRABAJO'!$A$5:$CD$9142,26,FALSE)</f>
        <v>80</v>
      </c>
      <c r="M257" s="12" t="str">
        <f>VLOOKUP($A257,'Matriz POA 2024-TRABAJO'!$A$5:$CD$9142,27,FALSE)</f>
        <v>000</v>
      </c>
      <c r="N257" s="12" t="str">
        <f>VLOOKUP($A257,'Matriz POA 2024-TRABAJO'!$A$5:$CD$9142,28,FALSE)</f>
        <v>002</v>
      </c>
      <c r="O257" s="12" t="str">
        <f>VLOOKUP($A257,'Matriz POA 2024-TRABAJO'!$A$5:$CD$9142,29,FALSE)</f>
        <v>53</v>
      </c>
      <c r="P257" s="12">
        <f>VLOOKUP($A257,'Matriz POA 2024-TRABAJO'!$A$5:$CD$9142,30,FALSE)</f>
        <v>530404</v>
      </c>
      <c r="Q257" s="12">
        <f>VLOOKUP($A257,'Matriz POA 2024-TRABAJO'!$A$5:$CD$9142,32,FALSE)</f>
        <v>1308</v>
      </c>
      <c r="R257" s="12" t="str">
        <f>VLOOKUP($A257,'Matriz POA 2024-TRABAJO'!$A$5:$CD$9142,33,FALSE)</f>
        <v>001</v>
      </c>
      <c r="S257" s="12" t="str">
        <f>VLOOKUP($A257,'Matriz POA 2024-TRABAJO'!$A$5:$CD$9142,34,FALSE)</f>
        <v>0000</v>
      </c>
      <c r="T257" s="12" t="str">
        <f>VLOOKUP($A257,'Matriz POA 2024-TRABAJO'!$A$5:$CD$9142,35,FALSE)</f>
        <v>0000</v>
      </c>
      <c r="U257" s="62">
        <f>VLOOKUP($A257,'Matriz POA 2024-TRABAJO'!$A$5:$CD$9142,66,FALSE)</f>
        <v>4988.8999999999996</v>
      </c>
      <c r="V257" s="62">
        <f>VLOOKUP($A257,'Matriz POA 2024-TRABAJO'!$A$5:$CD$9142,67,FALSE)</f>
        <v>-113.89999999999964</v>
      </c>
      <c r="W257" s="62">
        <f>VLOOKUP($A257,'Matriz POA 2024-TRABAJO'!$A$5:$CD$9142,68,FALSE)</f>
        <v>4875</v>
      </c>
      <c r="X257" s="62">
        <f>VLOOKUP($A257,'Matriz POA 2024-TRABAJO'!$A$5:$CD$9142,72,FALSE)</f>
        <v>4875</v>
      </c>
      <c r="Y257" s="388">
        <f>VLOOKUP($A257,'Matriz POA 2024-TRABAJO'!$A$5:$CD$9142,45,FALSE)</f>
        <v>4875</v>
      </c>
      <c r="Z257" s="388">
        <f>VLOOKUP($A257,'Matriz POA 2024-TRABAJO'!$A$5:$CD$9142,46,FALSE)</f>
        <v>0</v>
      </c>
      <c r="AA257" s="388">
        <f>VLOOKUP($A257,'Matriz POA 2024-TRABAJO'!$A$5:$CD$9142,47,FALSE)</f>
        <v>4875</v>
      </c>
      <c r="AB257" s="389"/>
      <c r="AC257" s="389"/>
      <c r="AD257" s="13"/>
      <c r="AE257" s="13"/>
      <c r="AF257" s="13">
        <f t="shared" ref="AF257" si="248">Y257+AB257+AC257</f>
        <v>4875</v>
      </c>
      <c r="AG257" s="13">
        <f t="shared" ref="AG257" si="249">Z257+AD257+AE257</f>
        <v>0</v>
      </c>
      <c r="AH257" s="13">
        <f t="shared" ref="AH257" si="250">+AF257+AG257</f>
        <v>4875</v>
      </c>
      <c r="AI257" s="7"/>
      <c r="AJ257" s="7"/>
      <c r="AK257" s="7"/>
      <c r="AL257" s="7"/>
      <c r="AM257" s="7"/>
      <c r="AN257" s="7"/>
      <c r="AO257" s="7"/>
      <c r="AP257" s="7"/>
      <c r="AQ257" s="7"/>
      <c r="AR257" s="7"/>
      <c r="AS257" s="7"/>
      <c r="AT257" s="7"/>
      <c r="AU257" s="129">
        <f t="shared" si="177"/>
        <v>0</v>
      </c>
      <c r="AV257" s="13" t="b">
        <f t="shared" si="189"/>
        <v>0</v>
      </c>
      <c r="AW257" s="14" t="s">
        <v>1966</v>
      </c>
      <c r="AX257" s="15" t="s">
        <v>1962</v>
      </c>
      <c r="AY257" s="16">
        <v>45482</v>
      </c>
      <c r="AZ257" s="15" t="s">
        <v>1965</v>
      </c>
      <c r="BA257" s="16">
        <v>45485</v>
      </c>
      <c r="BB257" s="17">
        <f t="shared" si="179"/>
        <v>3</v>
      </c>
      <c r="BC257" s="12"/>
      <c r="BD257" s="15"/>
      <c r="BE257" s="18"/>
      <c r="BF257" s="12"/>
      <c r="BG257" s="19" t="str">
        <f t="shared" si="190"/>
        <v>julio</v>
      </c>
      <c r="BH257" s="12" t="str">
        <f t="shared" si="191"/>
        <v>Corporación Ciudad Alfaro</v>
      </c>
      <c r="BI257" s="20" t="str">
        <f t="shared" si="192"/>
        <v>N/A</v>
      </c>
    </row>
    <row r="258" spans="1:61" ht="24.95" customHeight="1">
      <c r="A258" s="460">
        <v>819</v>
      </c>
      <c r="B258" s="12" t="str">
        <f>VLOOKUP($A258,'Matriz POA 2024-TRABAJO'!$A$5:$CD$9142,11,FALSE)</f>
        <v>Corporación Ciudad Alfaro</v>
      </c>
      <c r="C258" s="12" t="str">
        <f>VLOOKUP($A258,'Matriz POA 2024-TRABAJO'!$A$5:$CD$9142,14,FALSE)</f>
        <v>N/A</v>
      </c>
      <c r="D258" s="12" t="str">
        <f>VLOOKUP($A258,'Matriz POA 2024-TRABAJO'!$A$5:$CD$9142,15,FALSE)</f>
        <v>N/A</v>
      </c>
      <c r="E258" s="12" t="str">
        <f>VLOOKUP($A258,'Matriz POA 2024-TRABAJO'!$A$5:$CD$9142,18,FALSE)</f>
        <v>N/A</v>
      </c>
      <c r="F258" s="12" t="str">
        <f>VLOOKUP($A258,'Matriz POA 2024-TRABAJO'!$A$5:$CD$9142,20,FALSE)</f>
        <v>N/A</v>
      </c>
      <c r="G258" s="12" t="str">
        <f>VLOOKUP($A258,'Matriz POA 2024-TRABAJO'!$A$5:$CD$9142,21,FALSE)</f>
        <v>N/A</v>
      </c>
      <c r="H258" s="12" t="str">
        <f>VLOOKUP($A258,'Matriz POA 2024-TRABAJO'!$A$5:$CD$9142,22,FALSE)</f>
        <v>N/A</v>
      </c>
      <c r="I258" s="12" t="str">
        <f>VLOOKUP($A258,'Matriz POA 2024-TRABAJO'!$A$5:$CD$9142,23,FALSE)</f>
        <v>NUEVA</v>
      </c>
      <c r="J258" s="12" t="str">
        <f>VLOOKUP($A258,'Matriz POA 2024-TRABAJO'!$A$5:$CD$9142,24,FALSE)</f>
        <v>Contratación del servicio de mantenimiento correctivo de los tableros de distribución eléctrica TDE de los equipos de climatización en el museo centro cultural manta</v>
      </c>
      <c r="K258" s="12" t="str">
        <f>VLOOKUP($A258,'Matriz POA 2024-TRABAJO'!$A$5:$CD$9142,25,FALSE)</f>
        <v>0035</v>
      </c>
      <c r="L258" s="12" t="str">
        <f>VLOOKUP($A258,'Matriz POA 2024-TRABAJO'!$A$5:$CD$9142,26,FALSE)</f>
        <v>80</v>
      </c>
      <c r="M258" s="12" t="str">
        <f>VLOOKUP($A258,'Matriz POA 2024-TRABAJO'!$A$5:$CD$9142,27,FALSE)</f>
        <v>000</v>
      </c>
      <c r="N258" s="12" t="str">
        <f>VLOOKUP($A258,'Matriz POA 2024-TRABAJO'!$A$5:$CD$9142,28,FALSE)</f>
        <v>002</v>
      </c>
      <c r="O258" s="12" t="str">
        <f>VLOOKUP($A258,'Matriz POA 2024-TRABAJO'!$A$5:$CD$9142,29,FALSE)</f>
        <v>53</v>
      </c>
      <c r="P258" s="12">
        <f>VLOOKUP($A258,'Matriz POA 2024-TRABAJO'!$A$5:$CD$9142,30,FALSE)</f>
        <v>530402</v>
      </c>
      <c r="Q258" s="12">
        <f>VLOOKUP($A258,'Matriz POA 2024-TRABAJO'!$A$5:$CD$9142,32,FALSE)</f>
        <v>1308</v>
      </c>
      <c r="R258" s="12" t="str">
        <f>VLOOKUP($A258,'Matriz POA 2024-TRABAJO'!$A$5:$CD$9142,33,FALSE)</f>
        <v>001</v>
      </c>
      <c r="S258" s="12" t="str">
        <f>VLOOKUP($A258,'Matriz POA 2024-TRABAJO'!$A$5:$CD$9142,34,FALSE)</f>
        <v>0000</v>
      </c>
      <c r="T258" s="12" t="str">
        <f>VLOOKUP($A258,'Matriz POA 2024-TRABAJO'!$A$5:$CD$9142,35,FALSE)</f>
        <v>0000</v>
      </c>
      <c r="U258" s="62">
        <f>VLOOKUP($A258,'Matriz POA 2024-TRABAJO'!$A$5:$CD$9142,66,FALSE)</f>
        <v>5000</v>
      </c>
      <c r="V258" s="62">
        <f>VLOOKUP($A258,'Matriz POA 2024-TRABAJO'!$A$5:$CD$9142,67,FALSE)</f>
        <v>-170</v>
      </c>
      <c r="W258" s="62">
        <f>VLOOKUP($A258,'Matriz POA 2024-TRABAJO'!$A$5:$CD$9142,68,FALSE)</f>
        <v>0</v>
      </c>
      <c r="X258" s="62">
        <f>VLOOKUP($A258,'Matriz POA 2024-TRABAJO'!$A$5:$CD$9142,72,FALSE)</f>
        <v>4830</v>
      </c>
      <c r="Y258" s="388">
        <f>VLOOKUP($A258,'Matriz POA 2024-TRABAJO'!$A$5:$CD$9142,45,FALSE)</f>
        <v>4830</v>
      </c>
      <c r="Z258" s="388">
        <f>VLOOKUP($A258,'Matriz POA 2024-TRABAJO'!$A$5:$CD$9142,46,FALSE)</f>
        <v>0</v>
      </c>
      <c r="AA258" s="388">
        <f>VLOOKUP($A258,'Matriz POA 2024-TRABAJO'!$A$5:$CD$9142,47,FALSE)</f>
        <v>4830</v>
      </c>
      <c r="AB258" s="389"/>
      <c r="AC258" s="389"/>
      <c r="AD258" s="13"/>
      <c r="AE258" s="13"/>
      <c r="AF258" s="13">
        <f t="shared" ref="AF258" si="251">Y258+AB258+AC258</f>
        <v>4830</v>
      </c>
      <c r="AG258" s="13">
        <f t="shared" ref="AG258" si="252">Z258+AD258+AE258</f>
        <v>0</v>
      </c>
      <c r="AH258" s="13">
        <f t="shared" ref="AH258" si="253">+AF258+AG258</f>
        <v>4830</v>
      </c>
      <c r="AI258" s="7"/>
      <c r="AJ258" s="7"/>
      <c r="AK258" s="7"/>
      <c r="AL258" s="7"/>
      <c r="AM258" s="7"/>
      <c r="AN258" s="7"/>
      <c r="AO258" s="7"/>
      <c r="AP258" s="7"/>
      <c r="AQ258" s="7"/>
      <c r="AR258" s="7"/>
      <c r="AS258" s="7"/>
      <c r="AT258" s="7"/>
      <c r="AU258" s="129">
        <f t="shared" si="177"/>
        <v>0</v>
      </c>
      <c r="AV258" s="13" t="b">
        <f t="shared" si="189"/>
        <v>0</v>
      </c>
      <c r="AW258" s="14" t="s">
        <v>1966</v>
      </c>
      <c r="AX258" s="15" t="s">
        <v>1962</v>
      </c>
      <c r="AY258" s="16">
        <v>45482</v>
      </c>
      <c r="AZ258" s="15" t="s">
        <v>1965</v>
      </c>
      <c r="BA258" s="16">
        <v>45485</v>
      </c>
      <c r="BB258" s="17">
        <f t="shared" si="179"/>
        <v>3</v>
      </c>
      <c r="BC258" s="12"/>
      <c r="BD258" s="15"/>
      <c r="BE258" s="18"/>
      <c r="BF258" s="12"/>
      <c r="BG258" s="19" t="str">
        <f t="shared" si="190"/>
        <v>julio</v>
      </c>
      <c r="BH258" s="12" t="str">
        <f t="shared" si="191"/>
        <v>Corporación Ciudad Alfaro</v>
      </c>
      <c r="BI258" s="20" t="str">
        <f t="shared" si="192"/>
        <v>N/A</v>
      </c>
    </row>
    <row r="259" spans="1:61" ht="24.95" customHeight="1">
      <c r="A259" s="460">
        <v>815</v>
      </c>
      <c r="B259" s="12" t="str">
        <f>VLOOKUP($A259,'Matriz POA 2024-TRABAJO'!$A$5:$CD$9142,11,FALSE)</f>
        <v>Corporación Ciudad Alfaro</v>
      </c>
      <c r="C259" s="12" t="str">
        <f>VLOOKUP($A259,'Matriz POA 2024-TRABAJO'!$A$5:$CD$9142,14,FALSE)</f>
        <v>N/A</v>
      </c>
      <c r="D259" s="12" t="str">
        <f>VLOOKUP($A259,'Matriz POA 2024-TRABAJO'!$A$5:$CD$9142,15,FALSE)</f>
        <v>N/A</v>
      </c>
      <c r="E259" s="12" t="str">
        <f>VLOOKUP($A259,'Matriz POA 2024-TRABAJO'!$A$5:$CD$9142,18,FALSE)</f>
        <v>N/A</v>
      </c>
      <c r="F259" s="12" t="str">
        <f>VLOOKUP($A259,'Matriz POA 2024-TRABAJO'!$A$5:$CD$9142,20,FALSE)</f>
        <v>N/A</v>
      </c>
      <c r="G259" s="12" t="str">
        <f>VLOOKUP($A259,'Matriz POA 2024-TRABAJO'!$A$5:$CD$9142,21,FALSE)</f>
        <v>N/A</v>
      </c>
      <c r="H259" s="12" t="str">
        <f>VLOOKUP($A259,'Matriz POA 2024-TRABAJO'!$A$5:$CD$9142,22,FALSE)</f>
        <v>N/A</v>
      </c>
      <c r="I259" s="12" t="str">
        <f>VLOOKUP($A259,'Matriz POA 2024-TRABAJO'!$A$5:$CD$9142,23,FALSE)</f>
        <v>NUEVA</v>
      </c>
      <c r="J259" s="12" t="str">
        <f>VLOOKUP($A259,'Matriz POA 2024-TRABAJO'!$A$5:$CD$9142,24,FALSE)</f>
        <v>Contratación del servicio de mantenimiento y readecuación del museo rodante del Museo Nuclear Corporación Ciudad Alfaro</v>
      </c>
      <c r="K259" s="12" t="str">
        <f>VLOOKUP($A259,'Matriz POA 2024-TRABAJO'!$A$5:$CD$9142,25,FALSE)</f>
        <v>0035</v>
      </c>
      <c r="L259" s="12" t="str">
        <f>VLOOKUP($A259,'Matriz POA 2024-TRABAJO'!$A$5:$CD$9142,26,FALSE)</f>
        <v>80</v>
      </c>
      <c r="M259" s="12" t="str">
        <f>VLOOKUP($A259,'Matriz POA 2024-TRABAJO'!$A$5:$CD$9142,27,FALSE)</f>
        <v>000</v>
      </c>
      <c r="N259" s="12" t="str">
        <f>VLOOKUP($A259,'Matriz POA 2024-TRABAJO'!$A$5:$CD$9142,28,FALSE)</f>
        <v>002</v>
      </c>
      <c r="O259" s="12" t="str">
        <f>VLOOKUP($A259,'Matriz POA 2024-TRABAJO'!$A$5:$CD$9142,29,FALSE)</f>
        <v>53</v>
      </c>
      <c r="P259" s="12">
        <f>VLOOKUP($A259,'Matriz POA 2024-TRABAJO'!$A$5:$CD$9142,30,FALSE)</f>
        <v>530408</v>
      </c>
      <c r="Q259" s="12">
        <f>VLOOKUP($A259,'Matriz POA 2024-TRABAJO'!$A$5:$CD$9142,32,FALSE)</f>
        <v>1309</v>
      </c>
      <c r="R259" s="12" t="str">
        <f>VLOOKUP($A259,'Matriz POA 2024-TRABAJO'!$A$5:$CD$9142,33,FALSE)</f>
        <v>001</v>
      </c>
      <c r="S259" s="12" t="str">
        <f>VLOOKUP($A259,'Matriz POA 2024-TRABAJO'!$A$5:$CD$9142,34,FALSE)</f>
        <v>0000</v>
      </c>
      <c r="T259" s="12" t="str">
        <f>VLOOKUP($A259,'Matriz POA 2024-TRABAJO'!$A$5:$CD$9142,35,FALSE)</f>
        <v>0000</v>
      </c>
      <c r="U259" s="62">
        <f>VLOOKUP($A259,'Matriz POA 2024-TRABAJO'!$A$5:$CD$9142,66,FALSE)</f>
        <v>5000</v>
      </c>
      <c r="V259" s="62">
        <f>VLOOKUP($A259,'Matriz POA 2024-TRABAJO'!$A$5:$CD$9142,67,FALSE)</f>
        <v>-5000</v>
      </c>
      <c r="W259" s="62">
        <f>VLOOKUP($A259,'Matriz POA 2024-TRABAJO'!$A$5:$CD$9142,68,FALSE)</f>
        <v>0</v>
      </c>
      <c r="X259" s="62" t="str">
        <f>VLOOKUP($A259,'Matriz POA 2024-TRABAJO'!$A$5:$CD$9142,72,FALSE)</f>
        <v/>
      </c>
      <c r="Y259" s="388">
        <f>VLOOKUP($A259,'Matriz POA 2024-TRABAJO'!$A$5:$CD$9142,45,FALSE)</f>
        <v>0</v>
      </c>
      <c r="Z259" s="388">
        <f>VLOOKUP($A259,'Matriz POA 2024-TRABAJO'!$A$5:$CD$9142,46,FALSE)</f>
        <v>0</v>
      </c>
      <c r="AA259" s="388">
        <f>VLOOKUP($A259,'Matriz POA 2024-TRABAJO'!$A$5:$CD$9142,47,FALSE)</f>
        <v>0</v>
      </c>
      <c r="AB259" s="389"/>
      <c r="AC259" s="389"/>
      <c r="AD259" s="13"/>
      <c r="AE259" s="13"/>
      <c r="AF259" s="13">
        <f t="shared" ref="AF259" si="254">Y259+AB259+AC259</f>
        <v>0</v>
      </c>
      <c r="AG259" s="13">
        <f t="shared" ref="AG259" si="255">Z259+AD259+AE259</f>
        <v>0</v>
      </c>
      <c r="AH259" s="13">
        <f t="shared" ref="AH259" si="256">+AF259+AG259</f>
        <v>0</v>
      </c>
      <c r="AI259" s="7"/>
      <c r="AJ259" s="7"/>
      <c r="AK259" s="7"/>
      <c r="AL259" s="7"/>
      <c r="AM259" s="7"/>
      <c r="AN259" s="7"/>
      <c r="AO259" s="7"/>
      <c r="AP259" s="7"/>
      <c r="AQ259" s="7"/>
      <c r="AR259" s="7"/>
      <c r="AS259" s="7"/>
      <c r="AT259" s="7"/>
      <c r="AU259" s="129">
        <f t="shared" si="177"/>
        <v>0</v>
      </c>
      <c r="AV259" s="13" t="b">
        <f t="shared" si="189"/>
        <v>1</v>
      </c>
      <c r="AW259" s="14" t="s">
        <v>1966</v>
      </c>
      <c r="AX259" s="15" t="s">
        <v>1962</v>
      </c>
      <c r="AY259" s="16">
        <v>45482</v>
      </c>
      <c r="AZ259" s="15" t="s">
        <v>1965</v>
      </c>
      <c r="BA259" s="16">
        <v>45485</v>
      </c>
      <c r="BB259" s="17">
        <f t="shared" si="179"/>
        <v>3</v>
      </c>
      <c r="BC259" s="12"/>
      <c r="BD259" s="15"/>
      <c r="BE259" s="18"/>
      <c r="BF259" s="12"/>
      <c r="BG259" s="19" t="str">
        <f t="shared" si="190"/>
        <v>julio</v>
      </c>
      <c r="BH259" s="12" t="str">
        <f t="shared" si="191"/>
        <v>Corporación Ciudad Alfaro</v>
      </c>
      <c r="BI259" s="20" t="str">
        <f t="shared" si="192"/>
        <v>N/A</v>
      </c>
    </row>
    <row r="260" spans="1:61" ht="24.95" customHeight="1">
      <c r="A260" s="460">
        <v>818</v>
      </c>
      <c r="B260" s="12" t="str">
        <f>VLOOKUP($A260,'Matriz POA 2024-TRABAJO'!$A$5:$CD$9142,11,FALSE)</f>
        <v>Corporación Ciudad Alfaro</v>
      </c>
      <c r="C260" s="12" t="str">
        <f>VLOOKUP($A260,'Matriz POA 2024-TRABAJO'!$A$5:$CD$9142,14,FALSE)</f>
        <v>N/A</v>
      </c>
      <c r="D260" s="12" t="str">
        <f>VLOOKUP($A260,'Matriz POA 2024-TRABAJO'!$A$5:$CD$9142,15,FALSE)</f>
        <v>N/A</v>
      </c>
      <c r="E260" s="12" t="str">
        <f>VLOOKUP($A260,'Matriz POA 2024-TRABAJO'!$A$5:$CD$9142,18,FALSE)</f>
        <v>N/A</v>
      </c>
      <c r="F260" s="12" t="str">
        <f>VLOOKUP($A260,'Matriz POA 2024-TRABAJO'!$A$5:$CD$9142,20,FALSE)</f>
        <v>N/A</v>
      </c>
      <c r="G260" s="12" t="str">
        <f>VLOOKUP($A260,'Matriz POA 2024-TRABAJO'!$A$5:$CD$9142,21,FALSE)</f>
        <v>N/A</v>
      </c>
      <c r="H260" s="12" t="str">
        <f>VLOOKUP($A260,'Matriz POA 2024-TRABAJO'!$A$5:$CD$9142,22,FALSE)</f>
        <v>N/A</v>
      </c>
      <c r="I260" s="12" t="str">
        <f>VLOOKUP($A260,'Matriz POA 2024-TRABAJO'!$A$5:$CD$9142,23,FALSE)</f>
        <v>NUEVA</v>
      </c>
      <c r="J260" s="12" t="str">
        <f>VLOOKUP($A260,'Matriz POA 2024-TRABAJO'!$A$5:$CD$9142,24,FALSE)</f>
        <v>Servicio de organización, producción y ejecución de los eventos enmarcados en el calendario patrimonial, cultural e histórico, para la difusión y fortalecimiento de la memoria social del Museo Nuclear Corporación Ciudad Alfaro, y sus sedes en Portoviejo, Manta y Bahía de Caráquez.</v>
      </c>
      <c r="K260" s="12" t="str">
        <f>VLOOKUP($A260,'Matriz POA 2024-TRABAJO'!$A$5:$CD$9142,25,FALSE)</f>
        <v>0035</v>
      </c>
      <c r="L260" s="12" t="str">
        <f>VLOOKUP($A260,'Matriz POA 2024-TRABAJO'!$A$5:$CD$9142,26,FALSE)</f>
        <v>80</v>
      </c>
      <c r="M260" s="12" t="str">
        <f>VLOOKUP($A260,'Matriz POA 2024-TRABAJO'!$A$5:$CD$9142,27,FALSE)</f>
        <v>000</v>
      </c>
      <c r="N260" s="12" t="str">
        <f>VLOOKUP($A260,'Matriz POA 2024-TRABAJO'!$A$5:$CD$9142,28,FALSE)</f>
        <v>002</v>
      </c>
      <c r="O260" s="12" t="str">
        <f>VLOOKUP($A260,'Matriz POA 2024-TRABAJO'!$A$5:$CD$9142,29,FALSE)</f>
        <v>53</v>
      </c>
      <c r="P260" s="12">
        <f>VLOOKUP($A260,'Matriz POA 2024-TRABAJO'!$A$5:$CD$9142,30,FALSE)</f>
        <v>530205</v>
      </c>
      <c r="Q260" s="12">
        <f>VLOOKUP($A260,'Matriz POA 2024-TRABAJO'!$A$5:$CD$9142,32,FALSE)</f>
        <v>1309</v>
      </c>
      <c r="R260" s="12" t="str">
        <f>VLOOKUP($A260,'Matriz POA 2024-TRABAJO'!$A$5:$CD$9142,33,FALSE)</f>
        <v>001</v>
      </c>
      <c r="S260" s="12" t="str">
        <f>VLOOKUP($A260,'Matriz POA 2024-TRABAJO'!$A$5:$CD$9142,34,FALSE)</f>
        <v>0000</v>
      </c>
      <c r="T260" s="12" t="str">
        <f>VLOOKUP($A260,'Matriz POA 2024-TRABAJO'!$A$5:$CD$9142,35,FALSE)</f>
        <v>0000</v>
      </c>
      <c r="U260" s="62">
        <f>VLOOKUP($A260,'Matriz POA 2024-TRABAJO'!$A$5:$CD$9142,66,FALSE)</f>
        <v>5000</v>
      </c>
      <c r="V260" s="62">
        <f>VLOOKUP($A260,'Matriz POA 2024-TRABAJO'!$A$5:$CD$9142,67,FALSE)</f>
        <v>991.5</v>
      </c>
      <c r="W260" s="62">
        <f>VLOOKUP($A260,'Matriz POA 2024-TRABAJO'!$A$5:$CD$9142,68,FALSE)</f>
        <v>5991.5</v>
      </c>
      <c r="X260" s="62">
        <f>VLOOKUP($A260,'Matriz POA 2024-TRABAJO'!$A$5:$CD$9142,72,FALSE)</f>
        <v>5990</v>
      </c>
      <c r="Y260" s="388">
        <f>VLOOKUP($A260,'Matriz POA 2024-TRABAJO'!$A$5:$CD$9142,45,FALSE)</f>
        <v>5991.5</v>
      </c>
      <c r="Z260" s="388">
        <f>VLOOKUP($A260,'Matriz POA 2024-TRABAJO'!$A$5:$CD$9142,46,FALSE)</f>
        <v>0</v>
      </c>
      <c r="AA260" s="388">
        <f>VLOOKUP($A260,'Matriz POA 2024-TRABAJO'!$A$5:$CD$9142,47,FALSE)</f>
        <v>5991.5</v>
      </c>
      <c r="AB260" s="389"/>
      <c r="AC260" s="389"/>
      <c r="AD260" s="13"/>
      <c r="AE260" s="13"/>
      <c r="AF260" s="13">
        <f t="shared" ref="AF260" si="257">Y260+AB260+AC260</f>
        <v>5991.5</v>
      </c>
      <c r="AG260" s="13">
        <f t="shared" ref="AG260" si="258">Z260+AD260+AE260</f>
        <v>0</v>
      </c>
      <c r="AH260" s="13">
        <f t="shared" ref="AH260" si="259">+AF260+AG260</f>
        <v>5991.5</v>
      </c>
      <c r="AI260" s="7"/>
      <c r="AJ260" s="7"/>
      <c r="AK260" s="7"/>
      <c r="AL260" s="7"/>
      <c r="AM260" s="7"/>
      <c r="AN260" s="7"/>
      <c r="AO260" s="7"/>
      <c r="AP260" s="7"/>
      <c r="AQ260" s="7"/>
      <c r="AR260" s="7"/>
      <c r="AS260" s="7"/>
      <c r="AT260" s="7"/>
      <c r="AU260" s="129">
        <f t="shared" si="177"/>
        <v>0</v>
      </c>
      <c r="AV260" s="13" t="b">
        <f t="shared" si="189"/>
        <v>0</v>
      </c>
      <c r="AW260" s="14" t="s">
        <v>1966</v>
      </c>
      <c r="AX260" s="15" t="s">
        <v>1962</v>
      </c>
      <c r="AY260" s="16">
        <v>45482</v>
      </c>
      <c r="AZ260" s="15" t="s">
        <v>1965</v>
      </c>
      <c r="BA260" s="16">
        <v>45485</v>
      </c>
      <c r="BB260" s="17">
        <f t="shared" si="179"/>
        <v>3</v>
      </c>
      <c r="BC260" s="12"/>
      <c r="BD260" s="15"/>
      <c r="BE260" s="18"/>
      <c r="BF260" s="12"/>
      <c r="BG260" s="19" t="str">
        <f t="shared" si="190"/>
        <v>julio</v>
      </c>
      <c r="BH260" s="12" t="str">
        <f t="shared" si="191"/>
        <v>Corporación Ciudad Alfaro</v>
      </c>
      <c r="BI260" s="20" t="str">
        <f t="shared" si="192"/>
        <v>N/A</v>
      </c>
    </row>
    <row r="261" spans="1:61" ht="24.95" customHeight="1">
      <c r="A261" s="460">
        <v>869</v>
      </c>
      <c r="B261" s="12" t="str">
        <f>VLOOKUP($A261,'Matriz POA 2024-TRABAJO'!$A$5:$CD$9142,11,FALSE)</f>
        <v>Corporación Ciudad Alfaro</v>
      </c>
      <c r="C261" s="12" t="str">
        <f>VLOOKUP($A261,'Matriz POA 2024-TRABAJO'!$A$5:$CD$9142,14,FALSE)</f>
        <v>N/A</v>
      </c>
      <c r="D261" s="12" t="str">
        <f>VLOOKUP($A261,'Matriz POA 2024-TRABAJO'!$A$5:$CD$9142,15,FALSE)</f>
        <v>N/A</v>
      </c>
      <c r="E261" s="12" t="str">
        <f>VLOOKUP($A261,'Matriz POA 2024-TRABAJO'!$A$5:$CD$9142,18,FALSE)</f>
        <v>N/A</v>
      </c>
      <c r="F261" s="12" t="str">
        <f>VLOOKUP($A261,'Matriz POA 2024-TRABAJO'!$A$5:$CD$9142,20,FALSE)</f>
        <v>N/A</v>
      </c>
      <c r="G261" s="12" t="str">
        <f>VLOOKUP($A261,'Matriz POA 2024-TRABAJO'!$A$5:$CD$9142,21,FALSE)</f>
        <v>N/A</v>
      </c>
      <c r="H261" s="12" t="str">
        <f>VLOOKUP($A261,'Matriz POA 2024-TRABAJO'!$A$5:$CD$9142,22,FALSE)</f>
        <v>N/A</v>
      </c>
      <c r="I261" s="12" t="str">
        <f>VLOOKUP($A261,'Matriz POA 2024-TRABAJO'!$A$5:$CD$9142,23,FALSE)</f>
        <v>NUEVA</v>
      </c>
      <c r="J261" s="12" t="str">
        <f>VLOOKUP($A261,'Matriz POA 2024-TRABAJO'!$A$5:$CD$9142,24,FALSE)</f>
        <v>Contratación del servicio de Construcción de la cubierta con estructura metálica ubicado en el primer piso del edificio Bahía de Caráquez y mantenimiento preventivo y correctivo de las cerchas metálicas del bloque cancebí correspondiente al Museo Nuclear Corporación Ciudad Alfaro</v>
      </c>
      <c r="K261" s="12" t="str">
        <f>VLOOKUP($A261,'Matriz POA 2024-TRABAJO'!$A$5:$CD$9142,25,FALSE)</f>
        <v>0035</v>
      </c>
      <c r="L261" s="12" t="str">
        <f>VLOOKUP($A261,'Matriz POA 2024-TRABAJO'!$A$5:$CD$9142,26,FALSE)</f>
        <v>80</v>
      </c>
      <c r="M261" s="12" t="str">
        <f>VLOOKUP($A261,'Matriz POA 2024-TRABAJO'!$A$5:$CD$9142,27,FALSE)</f>
        <v>000</v>
      </c>
      <c r="N261" s="12" t="str">
        <f>VLOOKUP($A261,'Matriz POA 2024-TRABAJO'!$A$5:$CD$9142,28,FALSE)</f>
        <v>002</v>
      </c>
      <c r="O261" s="12" t="str">
        <f>VLOOKUP($A261,'Matriz POA 2024-TRABAJO'!$A$5:$CD$9142,29,FALSE)</f>
        <v>53</v>
      </c>
      <c r="P261" s="12">
        <f>VLOOKUP($A261,'Matriz POA 2024-TRABAJO'!$A$5:$CD$9142,30,FALSE)</f>
        <v>530402</v>
      </c>
      <c r="Q261" s="12">
        <f>VLOOKUP($A261,'Matriz POA 2024-TRABAJO'!$A$5:$CD$9142,32,FALSE)</f>
        <v>1309</v>
      </c>
      <c r="R261" s="12" t="str">
        <f>VLOOKUP($A261,'Matriz POA 2024-TRABAJO'!$A$5:$CD$9142,33,FALSE)</f>
        <v>001</v>
      </c>
      <c r="S261" s="12" t="str">
        <f>VLOOKUP($A261,'Matriz POA 2024-TRABAJO'!$A$5:$CD$9142,34,FALSE)</f>
        <v>0000</v>
      </c>
      <c r="T261" s="12" t="str">
        <f>VLOOKUP($A261,'Matriz POA 2024-TRABAJO'!$A$5:$CD$9142,35,FALSE)</f>
        <v>0000</v>
      </c>
      <c r="U261" s="62" t="str">
        <f>VLOOKUP($A261,'Matriz POA 2024-TRABAJO'!$A$5:$CD$9142,66,FALSE)</f>
        <v/>
      </c>
      <c r="V261" s="62" t="str">
        <f>VLOOKUP($A261,'Matriz POA 2024-TRABAJO'!$A$5:$CD$9142,67,FALSE)</f>
        <v/>
      </c>
      <c r="W261" s="62">
        <f>VLOOKUP($A261,'Matriz POA 2024-TRABAJO'!$A$5:$CD$9142,68,FALSE)</f>
        <v>0</v>
      </c>
      <c r="X261" s="62" t="str">
        <f>VLOOKUP($A261,'Matriz POA 2024-TRABAJO'!$A$5:$CD$9142,72,FALSE)</f>
        <v/>
      </c>
      <c r="Y261" s="388">
        <f>VLOOKUP($A261,'Matriz POA 2024-TRABAJO'!$A$5:$CD$9142,45,FALSE)</f>
        <v>0</v>
      </c>
      <c r="Z261" s="388">
        <f>VLOOKUP($A261,'Matriz POA 2024-TRABAJO'!$A$5:$CD$9142,46,FALSE)</f>
        <v>0</v>
      </c>
      <c r="AA261" s="388">
        <f>VLOOKUP($A261,'Matriz POA 2024-TRABAJO'!$A$5:$CD$9142,47,FALSE)</f>
        <v>0</v>
      </c>
      <c r="AB261" s="389"/>
      <c r="AC261" s="389"/>
      <c r="AD261" s="13"/>
      <c r="AE261" s="13"/>
      <c r="AF261" s="13">
        <f t="shared" ref="AF261" si="260">Y261+AB261+AC261</f>
        <v>0</v>
      </c>
      <c r="AG261" s="13">
        <f t="shared" ref="AG261" si="261">Z261+AD261+AE261</f>
        <v>0</v>
      </c>
      <c r="AH261" s="13">
        <f t="shared" ref="AH261" si="262">+AF261+AG261</f>
        <v>0</v>
      </c>
      <c r="AI261" s="7"/>
      <c r="AJ261" s="7"/>
      <c r="AK261" s="7"/>
      <c r="AL261" s="7"/>
      <c r="AM261" s="7"/>
      <c r="AN261" s="7"/>
      <c r="AO261" s="7"/>
      <c r="AP261" s="7"/>
      <c r="AQ261" s="7"/>
      <c r="AR261" s="7"/>
      <c r="AS261" s="7"/>
      <c r="AT261" s="7"/>
      <c r="AU261" s="129">
        <f t="shared" si="177"/>
        <v>0</v>
      </c>
      <c r="AV261" s="13" t="b">
        <f t="shared" si="189"/>
        <v>1</v>
      </c>
      <c r="AW261" s="14" t="s">
        <v>1966</v>
      </c>
      <c r="AX261" s="15" t="s">
        <v>1962</v>
      </c>
      <c r="AY261" s="16">
        <v>45482</v>
      </c>
      <c r="AZ261" s="15" t="s">
        <v>1965</v>
      </c>
      <c r="BA261" s="16">
        <v>45485</v>
      </c>
      <c r="BB261" s="17">
        <f t="shared" si="179"/>
        <v>3</v>
      </c>
      <c r="BC261" s="12"/>
      <c r="BD261" s="15"/>
      <c r="BE261" s="18"/>
      <c r="BF261" s="12"/>
      <c r="BG261" s="19" t="str">
        <f t="shared" si="190"/>
        <v>julio</v>
      </c>
      <c r="BH261" s="12" t="str">
        <f t="shared" si="191"/>
        <v>Corporación Ciudad Alfaro</v>
      </c>
      <c r="BI261" s="20" t="str">
        <f t="shared" si="192"/>
        <v>N/A</v>
      </c>
    </row>
    <row r="262" spans="1:61" ht="24.95" customHeight="1">
      <c r="A262" s="460">
        <v>459</v>
      </c>
      <c r="B262" s="12" t="str">
        <f>VLOOKUP($A262,'Matriz POA 2024-TRABAJO'!$A$5:$CD$9142,11,FALSE)</f>
        <v>Corporación Ciudad Alfaro</v>
      </c>
      <c r="C262" s="12" t="str">
        <f>VLOOKUP($A262,'Matriz POA 2024-TRABAJO'!$A$5:$CD$9142,14,FALSE)</f>
        <v>N/A</v>
      </c>
      <c r="D262" s="12" t="str">
        <f>VLOOKUP($A262,'Matriz POA 2024-TRABAJO'!$A$5:$CD$9142,15,FALSE)</f>
        <v>N/A</v>
      </c>
      <c r="E262" s="12" t="str">
        <f>VLOOKUP($A262,'Matriz POA 2024-TRABAJO'!$A$5:$CD$9142,18,FALSE)</f>
        <v>N/A</v>
      </c>
      <c r="F262" s="12" t="str">
        <f>VLOOKUP($A262,'Matriz POA 2024-TRABAJO'!$A$5:$CD$9142,20,FALSE)</f>
        <v>N/A</v>
      </c>
      <c r="G262" s="12" t="str">
        <f>VLOOKUP($A262,'Matriz POA 2024-TRABAJO'!$A$5:$CD$9142,21,FALSE)</f>
        <v>N/A</v>
      </c>
      <c r="H262" s="12" t="str">
        <f>VLOOKUP($A262,'Matriz POA 2024-TRABAJO'!$A$5:$CD$9142,22,FALSE)</f>
        <v>N/A</v>
      </c>
      <c r="I262" s="12" t="str">
        <f>VLOOKUP($A262,'Matriz POA 2024-TRABAJO'!$A$5:$CD$9142,23,FALSE)</f>
        <v>NUEVA</v>
      </c>
      <c r="J262" s="12" t="str">
        <f>VLOOKUP($A262,'Matriz POA 2024-TRABAJO'!$A$5:$CD$9142,24,FALSE)</f>
        <v>Contratación del servicio de rastreo satelital para los vehículos de la Corporación Ciudad Alfaro</v>
      </c>
      <c r="K262" s="12" t="str">
        <f>VLOOKUP($A262,'Matriz POA 2024-TRABAJO'!$A$5:$CD$9142,25,FALSE)</f>
        <v>0035</v>
      </c>
      <c r="L262" s="12" t="str">
        <f>VLOOKUP($A262,'Matriz POA 2024-TRABAJO'!$A$5:$CD$9142,26,FALSE)</f>
        <v>80</v>
      </c>
      <c r="M262" s="12" t="str">
        <f>VLOOKUP($A262,'Matriz POA 2024-TRABAJO'!$A$5:$CD$9142,27,FALSE)</f>
        <v>000</v>
      </c>
      <c r="N262" s="12" t="str">
        <f>VLOOKUP($A262,'Matriz POA 2024-TRABAJO'!$A$5:$CD$9142,28,FALSE)</f>
        <v>002</v>
      </c>
      <c r="O262" s="12" t="str">
        <f>VLOOKUP($A262,'Matriz POA 2024-TRABAJO'!$A$5:$CD$9142,29,FALSE)</f>
        <v>53</v>
      </c>
      <c r="P262" s="12">
        <f>VLOOKUP($A262,'Matriz POA 2024-TRABAJO'!$A$5:$CD$9142,30,FALSE)</f>
        <v>530105</v>
      </c>
      <c r="Q262" s="12">
        <f>VLOOKUP($A262,'Matriz POA 2024-TRABAJO'!$A$5:$CD$9142,32,FALSE)</f>
        <v>1309</v>
      </c>
      <c r="R262" s="12" t="str">
        <f>VLOOKUP($A262,'Matriz POA 2024-TRABAJO'!$A$5:$CD$9142,33,FALSE)</f>
        <v>001</v>
      </c>
      <c r="S262" s="12" t="str">
        <f>VLOOKUP($A262,'Matriz POA 2024-TRABAJO'!$A$5:$CD$9142,34,FALSE)</f>
        <v>0000</v>
      </c>
      <c r="T262" s="12" t="str">
        <f>VLOOKUP($A262,'Matriz POA 2024-TRABAJO'!$A$5:$CD$9142,35,FALSE)</f>
        <v>0000</v>
      </c>
      <c r="U262" s="62">
        <f>VLOOKUP($A262,'Matriz POA 2024-TRABAJO'!$A$5:$CD$9142,66,FALSE)</f>
        <v>1200</v>
      </c>
      <c r="V262" s="62">
        <f>VLOOKUP($A262,'Matriz POA 2024-TRABAJO'!$A$5:$CD$9142,67,FALSE)</f>
        <v>-480</v>
      </c>
      <c r="W262" s="62">
        <f>VLOOKUP($A262,'Matriz POA 2024-TRABAJO'!$A$5:$CD$9142,68,FALSE)</f>
        <v>0</v>
      </c>
      <c r="X262" s="62">
        <f>VLOOKUP($A262,'Matriz POA 2024-TRABAJO'!$A$5:$CD$9142,72,FALSE)</f>
        <v>720</v>
      </c>
      <c r="Y262" s="388">
        <f>VLOOKUP($A262,'Matriz POA 2024-TRABAJO'!$A$5:$CD$9142,45,FALSE)</f>
        <v>720</v>
      </c>
      <c r="Z262" s="388">
        <f>VLOOKUP($A262,'Matriz POA 2024-TRABAJO'!$A$5:$CD$9142,46,FALSE)</f>
        <v>0</v>
      </c>
      <c r="AA262" s="388">
        <f>VLOOKUP($A262,'Matriz POA 2024-TRABAJO'!$A$5:$CD$9142,47,FALSE)</f>
        <v>720</v>
      </c>
      <c r="AB262" s="389"/>
      <c r="AC262" s="389"/>
      <c r="AD262" s="13"/>
      <c r="AE262" s="13"/>
      <c r="AF262" s="13">
        <f t="shared" ref="AF262" si="263">Y262+AB262+AC262</f>
        <v>720</v>
      </c>
      <c r="AG262" s="13">
        <f t="shared" ref="AG262" si="264">Z262+AD262+AE262</f>
        <v>0</v>
      </c>
      <c r="AH262" s="13">
        <f t="shared" ref="AH262" si="265">+AF262+AG262</f>
        <v>720</v>
      </c>
      <c r="AI262" s="129">
        <f t="shared" ref="AI262" si="266">SUM(W262:AH262)</f>
        <v>3600</v>
      </c>
      <c r="AJ262" s="13" t="b">
        <f t="shared" ref="AJ262" si="267">SUM(W262:AH262)=V262</f>
        <v>0</v>
      </c>
      <c r="AK262" s="14"/>
      <c r="AL262" s="15"/>
      <c r="AM262" s="16"/>
      <c r="AN262" s="15"/>
      <c r="AO262" s="16"/>
      <c r="AP262" s="17">
        <f t="shared" ref="AP262" si="268">AO262-AM262</f>
        <v>0</v>
      </c>
      <c r="AQ262" s="12"/>
      <c r="AR262" s="15"/>
      <c r="AS262" s="18"/>
      <c r="AT262" s="12"/>
      <c r="AU262" s="129">
        <f t="shared" si="177"/>
        <v>3600</v>
      </c>
      <c r="AV262" s="13" t="b">
        <f t="shared" si="189"/>
        <v>0</v>
      </c>
      <c r="AW262" s="14" t="s">
        <v>1966</v>
      </c>
      <c r="AX262" s="15" t="s">
        <v>1962</v>
      </c>
      <c r="AY262" s="16">
        <v>45482</v>
      </c>
      <c r="AZ262" s="15" t="s">
        <v>1965</v>
      </c>
      <c r="BA262" s="16">
        <v>45485</v>
      </c>
      <c r="BB262" s="17">
        <f t="shared" ref="BB262:BB300" si="269">BA262-AY262</f>
        <v>3</v>
      </c>
      <c r="BC262" s="12"/>
      <c r="BD262" s="15"/>
      <c r="BE262" s="18"/>
      <c r="BF262" s="12"/>
      <c r="BG262" s="19" t="str">
        <f t="shared" ref="BG262:BG300" si="270">TEXT(BA262,"MMMM")</f>
        <v>julio</v>
      </c>
      <c r="BH262" s="12" t="str">
        <f t="shared" ref="BH262:BH300" si="271">B262</f>
        <v>Corporación Ciudad Alfaro</v>
      </c>
      <c r="BI262" s="20" t="str">
        <f t="shared" ref="BI262:BI300" si="272">E262</f>
        <v>N/A</v>
      </c>
    </row>
    <row r="263" spans="1:61" s="430" customFormat="1" ht="24.95" customHeight="1">
      <c r="A263" s="485">
        <v>480</v>
      </c>
      <c r="B263" s="136" t="str">
        <f>VLOOKUP($A263,'Matriz POA 2024-TRABAJO'!$A$5:$CD$9142,11,FALSE)</f>
        <v>Corporación Ciudad Alfaro</v>
      </c>
      <c r="C263" s="136" t="str">
        <f>VLOOKUP($A263,'Matriz POA 2024-TRABAJO'!$A$5:$CD$9142,14,FALSE)</f>
        <v>N/A</v>
      </c>
      <c r="D263" s="136" t="str">
        <f>VLOOKUP($A263,'Matriz POA 2024-TRABAJO'!$A$5:$CD$9142,15,FALSE)</f>
        <v>N/A</v>
      </c>
      <c r="E263" s="136" t="str">
        <f>VLOOKUP($A263,'Matriz POA 2024-TRABAJO'!$A$5:$CD$9142,18,FALSE)</f>
        <v>N/A</v>
      </c>
      <c r="F263" s="136" t="str">
        <f>VLOOKUP($A263,'Matriz POA 2024-TRABAJO'!$A$5:$CD$9142,20,FALSE)</f>
        <v>N/A</v>
      </c>
      <c r="G263" s="136" t="str">
        <f>VLOOKUP($A263,'Matriz POA 2024-TRABAJO'!$A$5:$CD$9142,21,FALSE)</f>
        <v>N/A</v>
      </c>
      <c r="H263" s="136" t="str">
        <f>VLOOKUP($A263,'Matriz POA 2024-TRABAJO'!$A$5:$CD$9142,22,FALSE)</f>
        <v>N/A</v>
      </c>
      <c r="I263" s="136" t="str">
        <f>VLOOKUP($A263,'Matriz POA 2024-TRABAJO'!$A$5:$CD$9142,23,FALSE)</f>
        <v>NUEVA</v>
      </c>
      <c r="J263" s="136" t="str">
        <f>VLOOKUP($A263,'Matriz POA 2024-TRABAJO'!$A$5:$CD$9142,24,FALSE)</f>
        <v>Adquisición  de suministros y materiales de oficina para la corporación ciudad alfaro y sus sedes</v>
      </c>
      <c r="K263" s="136" t="str">
        <f>VLOOKUP($A263,'Matriz POA 2024-TRABAJO'!$A$5:$CD$9142,25,FALSE)</f>
        <v>0035</v>
      </c>
      <c r="L263" s="136" t="str">
        <f>VLOOKUP($A263,'Matriz POA 2024-TRABAJO'!$A$5:$CD$9142,26,FALSE)</f>
        <v>80</v>
      </c>
      <c r="M263" s="136" t="str">
        <f>VLOOKUP($A263,'Matriz POA 2024-TRABAJO'!$A$5:$CD$9142,27,FALSE)</f>
        <v>000</v>
      </c>
      <c r="N263" s="136" t="str">
        <f>VLOOKUP($A263,'Matriz POA 2024-TRABAJO'!$A$5:$CD$9142,28,FALSE)</f>
        <v>002</v>
      </c>
      <c r="O263" s="136" t="str">
        <f>VLOOKUP($A263,'Matriz POA 2024-TRABAJO'!$A$5:$CD$9142,29,FALSE)</f>
        <v>53</v>
      </c>
      <c r="P263" s="136">
        <f>VLOOKUP($A263,'Matriz POA 2024-TRABAJO'!$A$5:$CD$9142,30,FALSE)</f>
        <v>530804</v>
      </c>
      <c r="Q263" s="136">
        <f>VLOOKUP($A263,'Matriz POA 2024-TRABAJO'!$A$5:$CD$9142,32,FALSE)</f>
        <v>1309</v>
      </c>
      <c r="R263" s="136" t="str">
        <f>VLOOKUP($A263,'Matriz POA 2024-TRABAJO'!$A$5:$CD$9142,33,FALSE)</f>
        <v>001</v>
      </c>
      <c r="S263" s="136" t="str">
        <f>VLOOKUP($A263,'Matriz POA 2024-TRABAJO'!$A$5:$CD$9142,34,FALSE)</f>
        <v>0000</v>
      </c>
      <c r="T263" s="136" t="str">
        <f>VLOOKUP($A263,'Matriz POA 2024-TRABAJO'!$A$5:$CD$9142,35,FALSE)</f>
        <v>0000</v>
      </c>
      <c r="U263" s="137">
        <f>VLOOKUP($A263,'Matriz POA 2024-TRABAJO'!$A$5:$CD$9142,66,FALSE)</f>
        <v>8000</v>
      </c>
      <c r="V263" s="137">
        <f>VLOOKUP($A263,'Matriz POA 2024-TRABAJO'!$A$5:$CD$9142,67,FALSE)</f>
        <v>-4000</v>
      </c>
      <c r="W263" s="137">
        <f>VLOOKUP($A263,'Matriz POA 2024-TRABAJO'!$A$5:$CD$9142,68,FALSE)</f>
        <v>4000</v>
      </c>
      <c r="X263" s="137">
        <f>VLOOKUP($A263,'Matriz POA 2024-TRABAJO'!$A$5:$CD$9142,72,FALSE)</f>
        <v>737.4</v>
      </c>
      <c r="Y263" s="390">
        <f>VLOOKUP($A263,'Matriz POA 2024-TRABAJO'!$A$5:$CD$9142,45,FALSE)</f>
        <v>4000</v>
      </c>
      <c r="Z263" s="390">
        <f>VLOOKUP($A263,'Matriz POA 2024-TRABAJO'!$A$5:$CD$9142,46,FALSE)</f>
        <v>0</v>
      </c>
      <c r="AA263" s="390">
        <f>VLOOKUP($A263,'Matriz POA 2024-TRABAJO'!$A$5:$CD$9142,47,FALSE)</f>
        <v>4000</v>
      </c>
      <c r="AB263" s="391"/>
      <c r="AC263" s="391"/>
      <c r="AD263" s="138"/>
      <c r="AE263" s="138"/>
      <c r="AF263" s="138">
        <f t="shared" ref="AF263" si="273">Y263+AB263+AC263</f>
        <v>4000</v>
      </c>
      <c r="AG263" s="138">
        <f t="shared" ref="AG263" si="274">Z263+AD263+AE263</f>
        <v>0</v>
      </c>
      <c r="AH263" s="138">
        <f t="shared" ref="AH263" si="275">+AF263+AG263</f>
        <v>4000</v>
      </c>
      <c r="AI263" s="19" t="str">
        <f t="shared" ref="AI263" si="276">TEXT(AC263,"MMMM")</f>
        <v>enero</v>
      </c>
      <c r="AJ263" s="12" t="e">
        <f t="shared" ref="AJ263" si="277">#REF!</f>
        <v>#REF!</v>
      </c>
      <c r="AK263" s="20" t="e">
        <f t="shared" ref="AK263" si="278">#REF!</f>
        <v>#REF!</v>
      </c>
      <c r="AL263" s="7"/>
      <c r="AM263" s="7"/>
      <c r="AN263" s="7"/>
      <c r="AO263" s="7"/>
      <c r="AP263" s="7"/>
      <c r="AQ263" s="7"/>
      <c r="AR263" s="7"/>
      <c r="AS263" s="7"/>
      <c r="AT263" s="7"/>
      <c r="AU263" s="139" t="e">
        <f t="shared" si="177"/>
        <v>#REF!</v>
      </c>
      <c r="AV263" s="138" t="e">
        <f t="shared" si="189"/>
        <v>#REF!</v>
      </c>
      <c r="AW263" s="190" t="s">
        <v>1966</v>
      </c>
      <c r="AX263" s="191" t="s">
        <v>1962</v>
      </c>
      <c r="AY263" s="192">
        <v>45482</v>
      </c>
      <c r="AZ263" s="191" t="s">
        <v>1965</v>
      </c>
      <c r="BA263" s="192">
        <v>45485</v>
      </c>
      <c r="BB263" s="193">
        <f t="shared" si="269"/>
        <v>3</v>
      </c>
      <c r="BC263" s="136"/>
      <c r="BD263" s="191"/>
      <c r="BE263" s="215"/>
      <c r="BF263" s="136"/>
      <c r="BG263" s="216" t="str">
        <f t="shared" si="270"/>
        <v>julio</v>
      </c>
      <c r="BH263" s="136" t="str">
        <f t="shared" si="271"/>
        <v>Corporación Ciudad Alfaro</v>
      </c>
      <c r="BI263" s="217" t="str">
        <f t="shared" si="272"/>
        <v>N/A</v>
      </c>
    </row>
    <row r="264" spans="1:61" ht="24.95" customHeight="1">
      <c r="A264" s="460">
        <v>829</v>
      </c>
      <c r="B264" s="12" t="str">
        <f>VLOOKUP($A264,'Matriz POA 2024-TRABAJO'!$A$5:$CD$9142,11,FALSE)</f>
        <v>Corporación Ciudad Alfaro</v>
      </c>
      <c r="C264" s="12" t="str">
        <f>VLOOKUP($A264,'Matriz POA 2024-TRABAJO'!$A$5:$CD$9142,14,FALSE)</f>
        <v>N/A</v>
      </c>
      <c r="D264" s="12" t="str">
        <f>VLOOKUP($A264,'Matriz POA 2024-TRABAJO'!$A$5:$CD$9142,15,FALSE)</f>
        <v>N/A</v>
      </c>
      <c r="E264" s="12" t="str">
        <f>VLOOKUP($A264,'Matriz POA 2024-TRABAJO'!$A$5:$CD$9142,18,FALSE)</f>
        <v>N/A</v>
      </c>
      <c r="F264" s="12" t="str">
        <f>VLOOKUP($A264,'Matriz POA 2024-TRABAJO'!$A$5:$CD$9142,20,FALSE)</f>
        <v>N/A</v>
      </c>
      <c r="G264" s="12" t="str">
        <f>VLOOKUP($A264,'Matriz POA 2024-TRABAJO'!$A$5:$CD$9142,21,FALSE)</f>
        <v>N/A</v>
      </c>
      <c r="H264" s="12" t="str">
        <f>VLOOKUP($A264,'Matriz POA 2024-TRABAJO'!$A$5:$CD$9142,22,FALSE)</f>
        <v>N/A</v>
      </c>
      <c r="I264" s="12" t="str">
        <f>VLOOKUP($A264,'Matriz POA 2024-TRABAJO'!$A$5:$CD$9142,23,FALSE)</f>
        <v>NUEVA</v>
      </c>
      <c r="J264" s="12" t="str">
        <f>VLOOKUP($A264,'Matriz POA 2024-TRABAJO'!$A$5:$CD$9142,24,FALSE)</f>
        <v>Pago del servicio de combustible para los vehículos de la Corporación Ciudad Alfaro de los meses, octubre, noviembre y diciembre del año 2023</v>
      </c>
      <c r="K264" s="12" t="str">
        <f>VLOOKUP($A264,'Matriz POA 2024-TRABAJO'!$A$5:$CD$9142,25,FALSE)</f>
        <v>0035</v>
      </c>
      <c r="L264" s="12" t="str">
        <f>VLOOKUP($A264,'Matriz POA 2024-TRABAJO'!$A$5:$CD$9142,26,FALSE)</f>
        <v>80</v>
      </c>
      <c r="M264" s="12" t="str">
        <f>VLOOKUP($A264,'Matriz POA 2024-TRABAJO'!$A$5:$CD$9142,27,FALSE)</f>
        <v>000</v>
      </c>
      <c r="N264" s="12" t="str">
        <f>VLOOKUP($A264,'Matriz POA 2024-TRABAJO'!$A$5:$CD$9142,28,FALSE)</f>
        <v>002</v>
      </c>
      <c r="O264" s="12" t="str">
        <f>VLOOKUP($A264,'Matriz POA 2024-TRABAJO'!$A$5:$CD$9142,29,FALSE)</f>
        <v>99</v>
      </c>
      <c r="P264" s="12">
        <f>VLOOKUP($A264,'Matriz POA 2024-TRABAJO'!$A$5:$CD$9142,30,FALSE)</f>
        <v>990102</v>
      </c>
      <c r="Q264" s="12">
        <f>VLOOKUP($A264,'Matriz POA 2024-TRABAJO'!$A$5:$CD$9142,32,FALSE)</f>
        <v>1309</v>
      </c>
      <c r="R264" s="12" t="str">
        <f>VLOOKUP($A264,'Matriz POA 2024-TRABAJO'!$A$5:$CD$9142,33,FALSE)</f>
        <v>001</v>
      </c>
      <c r="S264" s="12" t="str">
        <f>VLOOKUP($A264,'Matriz POA 2024-TRABAJO'!$A$5:$CD$9142,34,FALSE)</f>
        <v>0000</v>
      </c>
      <c r="T264" s="12" t="str">
        <f>VLOOKUP($A264,'Matriz POA 2024-TRABAJO'!$A$5:$CD$9142,35,FALSE)</f>
        <v>0000</v>
      </c>
      <c r="U264" s="62">
        <f>VLOOKUP($A264,'Matriz POA 2024-TRABAJO'!$A$5:$CD$9142,66,FALSE)</f>
        <v>1350</v>
      </c>
      <c r="V264" s="62">
        <f>VLOOKUP($A264,'Matriz POA 2024-TRABAJO'!$A$5:$CD$9142,67,FALSE)</f>
        <v>-1350</v>
      </c>
      <c r="W264" s="62">
        <f>VLOOKUP($A264,'Matriz POA 2024-TRABAJO'!$A$5:$CD$9142,68,FALSE)</f>
        <v>0</v>
      </c>
      <c r="X264" s="62" t="str">
        <f>VLOOKUP($A264,'Matriz POA 2024-TRABAJO'!$A$5:$CD$9142,72,FALSE)</f>
        <v/>
      </c>
      <c r="Y264" s="388">
        <f>VLOOKUP($A264,'Matriz POA 2024-TRABAJO'!$A$5:$CD$9142,45,FALSE)</f>
        <v>0</v>
      </c>
      <c r="Z264" s="388">
        <f>VLOOKUP($A264,'Matriz POA 2024-TRABAJO'!$A$5:$CD$9142,46,FALSE)</f>
        <v>0</v>
      </c>
      <c r="AA264" s="388">
        <f>VLOOKUP($A264,'Matriz POA 2024-TRABAJO'!$A$5:$CD$9142,47,FALSE)</f>
        <v>0</v>
      </c>
      <c r="AB264" s="389"/>
      <c r="AC264" s="389"/>
      <c r="AD264" s="13"/>
      <c r="AE264" s="13"/>
      <c r="AF264" s="13">
        <f t="shared" ref="AF264" si="279">Y264+AB264+AC264</f>
        <v>0</v>
      </c>
      <c r="AG264" s="13">
        <f t="shared" ref="AG264" si="280">Z264+AD264+AE264</f>
        <v>0</v>
      </c>
      <c r="AH264" s="13">
        <f t="shared" ref="AH264" si="281">+AF264+AG264</f>
        <v>0</v>
      </c>
      <c r="AI264" s="7"/>
      <c r="AJ264" s="7"/>
      <c r="AK264" s="7"/>
      <c r="AL264" s="7"/>
      <c r="AM264" s="7"/>
      <c r="AN264" s="7"/>
      <c r="AO264" s="7"/>
      <c r="AP264" s="7"/>
      <c r="AQ264" s="7"/>
      <c r="AR264" s="7"/>
      <c r="AS264" s="7"/>
      <c r="AT264" s="7"/>
      <c r="AU264" s="129">
        <f t="shared" si="177"/>
        <v>0</v>
      </c>
      <c r="AV264" s="13" t="b">
        <f t="shared" si="189"/>
        <v>1</v>
      </c>
      <c r="AW264" s="14" t="s">
        <v>1966</v>
      </c>
      <c r="AX264" s="15" t="s">
        <v>1962</v>
      </c>
      <c r="AY264" s="16">
        <v>45482</v>
      </c>
      <c r="AZ264" s="15" t="s">
        <v>1965</v>
      </c>
      <c r="BA264" s="16">
        <v>45485</v>
      </c>
      <c r="BB264" s="17">
        <f t="shared" si="269"/>
        <v>3</v>
      </c>
      <c r="BC264" s="12"/>
      <c r="BD264" s="15"/>
      <c r="BE264" s="18"/>
      <c r="BF264" s="12"/>
      <c r="BG264" s="19" t="str">
        <f t="shared" si="270"/>
        <v>julio</v>
      </c>
      <c r="BH264" s="12" t="str">
        <f t="shared" si="271"/>
        <v>Corporación Ciudad Alfaro</v>
      </c>
      <c r="BI264" s="20" t="str">
        <f t="shared" si="272"/>
        <v>N/A</v>
      </c>
    </row>
    <row r="265" spans="1:61" ht="24.95" customHeight="1">
      <c r="A265" s="460">
        <v>849</v>
      </c>
      <c r="B265" s="12" t="str">
        <f>VLOOKUP($A265,'Matriz POA 2024-TRABAJO'!$A$5:$CD$9142,11,FALSE)</f>
        <v>Corporación Ciudad Alfaro</v>
      </c>
      <c r="C265" s="12" t="str">
        <f>VLOOKUP($A265,'Matriz POA 2024-TRABAJO'!$A$5:$CD$9142,14,FALSE)</f>
        <v>N/A</v>
      </c>
      <c r="D265" s="12" t="str">
        <f>VLOOKUP($A265,'Matriz POA 2024-TRABAJO'!$A$5:$CD$9142,15,FALSE)</f>
        <v>N/A</v>
      </c>
      <c r="E265" s="12" t="str">
        <f>VLOOKUP($A265,'Matriz POA 2024-TRABAJO'!$A$5:$CD$9142,18,FALSE)</f>
        <v>N/A</v>
      </c>
      <c r="F265" s="12" t="str">
        <f>VLOOKUP($A265,'Matriz POA 2024-TRABAJO'!$A$5:$CD$9142,20,FALSE)</f>
        <v>N/A</v>
      </c>
      <c r="G265" s="12" t="str">
        <f>VLOOKUP($A265,'Matriz POA 2024-TRABAJO'!$A$5:$CD$9142,21,FALSE)</f>
        <v>N/A</v>
      </c>
      <c r="H265" s="12" t="str">
        <f>VLOOKUP($A265,'Matriz POA 2024-TRABAJO'!$A$5:$CD$9142,22,FALSE)</f>
        <v>N/A</v>
      </c>
      <c r="I265" s="12" t="str">
        <f>VLOOKUP($A265,'Matriz POA 2024-TRABAJO'!$A$5:$CD$9142,23,FALSE)</f>
        <v>NUEVA</v>
      </c>
      <c r="J265" s="12" t="str">
        <f>VLOOKUP($A265,'Matriz POA 2024-TRABAJO'!$A$5:$CD$9142,24,FALSE)</f>
        <v>Instalación del sistema de detección contra incendio automatizado para planta baja, mezzanine y 1er piso del Museo Bahía de Caráquez.</v>
      </c>
      <c r="K265" s="12" t="str">
        <f>VLOOKUP($A265,'Matriz POA 2024-TRABAJO'!$A$5:$CD$9142,25,FALSE)</f>
        <v>0035</v>
      </c>
      <c r="L265" s="12" t="str">
        <f>VLOOKUP($A265,'Matriz POA 2024-TRABAJO'!$A$5:$CD$9142,26,FALSE)</f>
        <v>80</v>
      </c>
      <c r="M265" s="12" t="str">
        <f>VLOOKUP($A265,'Matriz POA 2024-TRABAJO'!$A$5:$CD$9142,27,FALSE)</f>
        <v>000</v>
      </c>
      <c r="N265" s="12" t="str">
        <f>VLOOKUP($A265,'Matriz POA 2024-TRABAJO'!$A$5:$CD$9142,28,FALSE)</f>
        <v>002</v>
      </c>
      <c r="O265" s="12" t="str">
        <f>VLOOKUP($A265,'Matriz POA 2024-TRABAJO'!$A$5:$CD$9142,29,FALSE)</f>
        <v>53</v>
      </c>
      <c r="P265" s="12">
        <f>VLOOKUP($A265,'Matriz POA 2024-TRABAJO'!$A$5:$CD$9142,30,FALSE)</f>
        <v>530402</v>
      </c>
      <c r="Q265" s="12">
        <f>VLOOKUP($A265,'Matriz POA 2024-TRABAJO'!$A$5:$CD$9142,32,FALSE)</f>
        <v>1314</v>
      </c>
      <c r="R265" s="12" t="str">
        <f>VLOOKUP($A265,'Matriz POA 2024-TRABAJO'!$A$5:$CD$9142,33,FALSE)</f>
        <v>001</v>
      </c>
      <c r="S265" s="12" t="str">
        <f>VLOOKUP($A265,'Matriz POA 2024-TRABAJO'!$A$5:$CD$9142,34,FALSE)</f>
        <v>0000</v>
      </c>
      <c r="T265" s="12" t="str">
        <f>VLOOKUP($A265,'Matriz POA 2024-TRABAJO'!$A$5:$CD$9142,35,FALSE)</f>
        <v>0000</v>
      </c>
      <c r="U265" s="62">
        <f>VLOOKUP($A265,'Matriz POA 2024-TRABAJO'!$A$5:$CD$9142,66,FALSE)</f>
        <v>8600</v>
      </c>
      <c r="V265" s="62">
        <f>VLOOKUP($A265,'Matriz POA 2024-TRABAJO'!$A$5:$CD$9142,67,FALSE)</f>
        <v>-8600</v>
      </c>
      <c r="W265" s="62">
        <f>VLOOKUP($A265,'Matriz POA 2024-TRABAJO'!$A$5:$CD$9142,68,FALSE)</f>
        <v>0</v>
      </c>
      <c r="X265" s="62" t="str">
        <f>VLOOKUP($A265,'Matriz POA 2024-TRABAJO'!$A$5:$CD$9142,72,FALSE)</f>
        <v/>
      </c>
      <c r="Y265" s="388">
        <f>VLOOKUP($A265,'Matriz POA 2024-TRABAJO'!$A$5:$CD$9142,45,FALSE)</f>
        <v>0</v>
      </c>
      <c r="Z265" s="388">
        <f>VLOOKUP($A265,'Matriz POA 2024-TRABAJO'!$A$5:$CD$9142,46,FALSE)</f>
        <v>0</v>
      </c>
      <c r="AA265" s="388">
        <f>VLOOKUP($A265,'Matriz POA 2024-TRABAJO'!$A$5:$CD$9142,47,FALSE)</f>
        <v>0</v>
      </c>
      <c r="AB265" s="389"/>
      <c r="AC265" s="389"/>
      <c r="AD265" s="13"/>
      <c r="AE265" s="13"/>
      <c r="AF265" s="13">
        <f t="shared" ref="AF265" si="282">Y265+AB265+AC265</f>
        <v>0</v>
      </c>
      <c r="AG265" s="13">
        <f t="shared" ref="AG265" si="283">Z265+AD265+AE265</f>
        <v>0</v>
      </c>
      <c r="AH265" s="13">
        <f t="shared" ref="AH265" si="284">+AF265+AG265</f>
        <v>0</v>
      </c>
      <c r="AI265" s="7"/>
      <c r="AJ265" s="7"/>
      <c r="AK265" s="7"/>
      <c r="AL265" s="7"/>
      <c r="AM265" s="7"/>
      <c r="AN265" s="7"/>
      <c r="AO265" s="7"/>
      <c r="AP265" s="7"/>
      <c r="AQ265" s="7"/>
      <c r="AR265" s="7"/>
      <c r="AS265" s="7"/>
      <c r="AT265" s="7"/>
      <c r="AU265" s="129">
        <f t="shared" si="177"/>
        <v>0</v>
      </c>
      <c r="AV265" s="13" t="b">
        <f t="shared" si="189"/>
        <v>1</v>
      </c>
      <c r="AW265" s="14" t="s">
        <v>1966</v>
      </c>
      <c r="AX265" s="15" t="s">
        <v>1962</v>
      </c>
      <c r="AY265" s="16">
        <v>45482</v>
      </c>
      <c r="AZ265" s="15" t="s">
        <v>1965</v>
      </c>
      <c r="BA265" s="16">
        <v>45485</v>
      </c>
      <c r="BB265" s="17">
        <f t="shared" si="269"/>
        <v>3</v>
      </c>
      <c r="BC265" s="12"/>
      <c r="BD265" s="15"/>
      <c r="BE265" s="18"/>
      <c r="BF265" s="12"/>
      <c r="BG265" s="19" t="str">
        <f t="shared" si="270"/>
        <v>julio</v>
      </c>
      <c r="BH265" s="12" t="str">
        <f t="shared" si="271"/>
        <v>Corporación Ciudad Alfaro</v>
      </c>
      <c r="BI265" s="20" t="str">
        <f t="shared" si="272"/>
        <v>N/A</v>
      </c>
    </row>
    <row r="266" spans="1:61" ht="24.95" customHeight="1">
      <c r="A266" s="460">
        <v>415</v>
      </c>
      <c r="B266" s="12" t="str">
        <f>VLOOKUP($A266,'Matriz POA 2024-TRABAJO'!$A$5:$CD$9142,11,FALSE)</f>
        <v>Corporación Ciudad Alfaro</v>
      </c>
      <c r="C266" s="12" t="str">
        <f>VLOOKUP($A266,'Matriz POA 2024-TRABAJO'!$A$5:$CD$9142,14,FALSE)</f>
        <v>N/A</v>
      </c>
      <c r="D266" s="12" t="str">
        <f>VLOOKUP($A266,'Matriz POA 2024-TRABAJO'!$A$5:$CD$9142,15,FALSE)</f>
        <v>N/A</v>
      </c>
      <c r="E266" s="12" t="str">
        <f>VLOOKUP($A266,'Matriz POA 2024-TRABAJO'!$A$5:$CD$9142,18,FALSE)</f>
        <v>N/A</v>
      </c>
      <c r="F266" s="12" t="str">
        <f>VLOOKUP($A266,'Matriz POA 2024-TRABAJO'!$A$5:$CD$9142,20,FALSE)</f>
        <v>N/A</v>
      </c>
      <c r="G266" s="12" t="str">
        <f>VLOOKUP($A266,'Matriz POA 2024-TRABAJO'!$A$5:$CD$9142,21,FALSE)</f>
        <v>N/A</v>
      </c>
      <c r="H266" s="12" t="str">
        <f>VLOOKUP($A266,'Matriz POA 2024-TRABAJO'!$A$5:$CD$9142,22,FALSE)</f>
        <v>N/A</v>
      </c>
      <c r="I266" s="12" t="str">
        <f>VLOOKUP($A266,'Matriz POA 2024-TRABAJO'!$A$5:$CD$9142,23,FALSE)</f>
        <v>NUEVA</v>
      </c>
      <c r="J266" s="12" t="str">
        <f>VLOOKUP($A266,'Matriz POA 2024-TRABAJO'!$A$5:$CD$9142,24,FALSE)</f>
        <v>REMUNERACIONES UNIFICADAS</v>
      </c>
      <c r="K266" s="12" t="str">
        <f>VLOOKUP($A266,'Matriz POA 2024-TRABAJO'!$A$5:$CD$9142,25,FALSE)</f>
        <v>0035</v>
      </c>
      <c r="L266" s="12" t="str">
        <f>VLOOKUP($A266,'Matriz POA 2024-TRABAJO'!$A$5:$CD$9142,26,FALSE)</f>
        <v>80</v>
      </c>
      <c r="M266" s="12" t="str">
        <f>VLOOKUP($A266,'Matriz POA 2024-TRABAJO'!$A$5:$CD$9142,27,FALSE)</f>
        <v>000</v>
      </c>
      <c r="N266" s="12" t="str">
        <f>VLOOKUP($A266,'Matriz POA 2024-TRABAJO'!$A$5:$CD$9142,28,FALSE)</f>
        <v>002</v>
      </c>
      <c r="O266" s="12" t="str">
        <f>VLOOKUP($A266,'Matriz POA 2024-TRABAJO'!$A$5:$CD$9142,29,FALSE)</f>
        <v>51</v>
      </c>
      <c r="P266" s="12">
        <f>VLOOKUP($A266,'Matriz POA 2024-TRABAJO'!$A$5:$CD$9142,30,FALSE)</f>
        <v>510105</v>
      </c>
      <c r="Q266" s="12">
        <f>VLOOKUP($A266,'Matriz POA 2024-TRABAJO'!$A$5:$CD$9142,32,FALSE)</f>
        <v>1300</v>
      </c>
      <c r="R266" s="12" t="str">
        <f>VLOOKUP($A266,'Matriz POA 2024-TRABAJO'!$A$5:$CD$9142,33,FALSE)</f>
        <v>001</v>
      </c>
      <c r="S266" s="12" t="str">
        <f>VLOOKUP($A266,'Matriz POA 2024-TRABAJO'!$A$5:$CD$9142,34,FALSE)</f>
        <v>0000</v>
      </c>
      <c r="T266" s="12" t="str">
        <f>VLOOKUP($A266,'Matriz POA 2024-TRABAJO'!$A$5:$CD$9142,35,FALSE)</f>
        <v>0000</v>
      </c>
      <c r="U266" s="62">
        <f>VLOOKUP($A266,'Matriz POA 2024-TRABAJO'!$A$5:$CD$9142,66,FALSE)</f>
        <v>280176.77</v>
      </c>
      <c r="V266" s="62">
        <f>VLOOKUP($A266,'Matriz POA 2024-TRABAJO'!$A$5:$CD$9142,67,FALSE)</f>
        <v>-12424.770000000019</v>
      </c>
      <c r="W266" s="62">
        <f>VLOOKUP($A266,'Matriz POA 2024-TRABAJO'!$A$5:$CD$9142,68,FALSE)</f>
        <v>0</v>
      </c>
      <c r="X266" s="62">
        <f>VLOOKUP($A266,'Matriz POA 2024-TRABAJO'!$A$5:$CD$9142,72,FALSE)</f>
        <v>266098.39899999998</v>
      </c>
      <c r="Y266" s="388">
        <v>280176.76999999996</v>
      </c>
      <c r="Z266" s="388">
        <f>VLOOKUP($A266,'Matriz POA 2024-TRABAJO'!$A$5:$CD$9142,46,FALSE)</f>
        <v>0</v>
      </c>
      <c r="AA266" s="388">
        <v>280176.76999999996</v>
      </c>
      <c r="AB266" s="389"/>
      <c r="AC266" s="389">
        <v>-1664.77</v>
      </c>
      <c r="AD266" s="13"/>
      <c r="AE266" s="13"/>
      <c r="AF266" s="13">
        <f t="shared" ref="AF266" si="285">Y266+AB266+AC266</f>
        <v>278511.99999999994</v>
      </c>
      <c r="AG266" s="13">
        <f t="shared" ref="AG266" si="286">Z266+AD266+AE266</f>
        <v>0</v>
      </c>
      <c r="AH266" s="13">
        <f t="shared" ref="AH266" si="287">+AF266+AG266</f>
        <v>278511.99999999994</v>
      </c>
      <c r="AI266" s="7"/>
      <c r="AJ266" s="7"/>
      <c r="AK266" s="7"/>
      <c r="AL266" s="7"/>
      <c r="AM266" s="7"/>
      <c r="AN266" s="7"/>
      <c r="AO266" s="7"/>
      <c r="AP266" s="7"/>
      <c r="AQ266" s="7"/>
      <c r="AR266" s="7"/>
      <c r="AS266" s="7"/>
      <c r="AT266" s="7"/>
      <c r="AU266" s="129">
        <f t="shared" si="177"/>
        <v>0</v>
      </c>
      <c r="AV266" s="13" t="b">
        <f t="shared" si="189"/>
        <v>0</v>
      </c>
      <c r="AW266" s="14" t="s">
        <v>1968</v>
      </c>
      <c r="AX266" s="15" t="s">
        <v>1969</v>
      </c>
      <c r="AY266" s="16">
        <v>45492</v>
      </c>
      <c r="AZ266" s="15" t="s">
        <v>1970</v>
      </c>
      <c r="BA266" s="16">
        <v>45497</v>
      </c>
      <c r="BB266" s="17">
        <f t="shared" si="269"/>
        <v>5</v>
      </c>
      <c r="BC266" s="12"/>
      <c r="BD266" s="15"/>
      <c r="BE266" s="18"/>
      <c r="BF266" s="12"/>
      <c r="BG266" s="19" t="str">
        <f t="shared" si="270"/>
        <v>julio</v>
      </c>
      <c r="BH266" s="12" t="str">
        <f t="shared" si="271"/>
        <v>Corporación Ciudad Alfaro</v>
      </c>
      <c r="BI266" s="20" t="str">
        <f t="shared" si="272"/>
        <v>N/A</v>
      </c>
    </row>
    <row r="267" spans="1:61" ht="24.95" customHeight="1">
      <c r="A267" s="460">
        <v>419</v>
      </c>
      <c r="B267" s="12" t="str">
        <f>VLOOKUP($A267,'Matriz POA 2024-TRABAJO'!$A$5:$CD$9142,11,FALSE)</f>
        <v>Corporación Ciudad Alfaro</v>
      </c>
      <c r="C267" s="12" t="str">
        <f>VLOOKUP($A267,'Matriz POA 2024-TRABAJO'!$A$5:$CD$9142,14,FALSE)</f>
        <v>N/A</v>
      </c>
      <c r="D267" s="12" t="str">
        <f>VLOOKUP($A267,'Matriz POA 2024-TRABAJO'!$A$5:$CD$9142,15,FALSE)</f>
        <v>N/A</v>
      </c>
      <c r="E267" s="12" t="str">
        <f>VLOOKUP($A267,'Matriz POA 2024-TRABAJO'!$A$5:$CD$9142,18,FALSE)</f>
        <v>N/A</v>
      </c>
      <c r="F267" s="12" t="str">
        <f>VLOOKUP($A267,'Matriz POA 2024-TRABAJO'!$A$5:$CD$9142,20,FALSE)</f>
        <v>N/A</v>
      </c>
      <c r="G267" s="12" t="str">
        <f>VLOOKUP($A267,'Matriz POA 2024-TRABAJO'!$A$5:$CD$9142,21,FALSE)</f>
        <v>N/A</v>
      </c>
      <c r="H267" s="12" t="str">
        <f>VLOOKUP($A267,'Matriz POA 2024-TRABAJO'!$A$5:$CD$9142,22,FALSE)</f>
        <v>N/A</v>
      </c>
      <c r="I267" s="12" t="str">
        <f>VLOOKUP($A267,'Matriz POA 2024-TRABAJO'!$A$5:$CD$9142,23,FALSE)</f>
        <v>NUEVA</v>
      </c>
      <c r="J267" s="12" t="str">
        <f>VLOOKUP($A267,'Matriz POA 2024-TRABAJO'!$A$5:$CD$9142,24,FALSE)</f>
        <v>Compensación por Transporte</v>
      </c>
      <c r="K267" s="12" t="str">
        <f>VLOOKUP($A267,'Matriz POA 2024-TRABAJO'!$A$5:$CD$9142,25,FALSE)</f>
        <v>0035</v>
      </c>
      <c r="L267" s="12" t="str">
        <f>VLOOKUP($A267,'Matriz POA 2024-TRABAJO'!$A$5:$CD$9142,26,FALSE)</f>
        <v>80</v>
      </c>
      <c r="M267" s="12" t="str">
        <f>VLOOKUP($A267,'Matriz POA 2024-TRABAJO'!$A$5:$CD$9142,27,FALSE)</f>
        <v>000</v>
      </c>
      <c r="N267" s="12" t="str">
        <f>VLOOKUP($A267,'Matriz POA 2024-TRABAJO'!$A$5:$CD$9142,28,FALSE)</f>
        <v>002</v>
      </c>
      <c r="O267" s="12" t="str">
        <f>VLOOKUP($A267,'Matriz POA 2024-TRABAJO'!$A$5:$CD$9142,29,FALSE)</f>
        <v>51</v>
      </c>
      <c r="P267" s="12">
        <f>VLOOKUP($A267,'Matriz POA 2024-TRABAJO'!$A$5:$CD$9142,30,FALSE)</f>
        <v>510304</v>
      </c>
      <c r="Q267" s="12">
        <f>VLOOKUP($A267,'Matriz POA 2024-TRABAJO'!$A$5:$CD$9142,32,FALSE)</f>
        <v>1300</v>
      </c>
      <c r="R267" s="12" t="str">
        <f>VLOOKUP($A267,'Matriz POA 2024-TRABAJO'!$A$5:$CD$9142,33,FALSE)</f>
        <v>001</v>
      </c>
      <c r="S267" s="12" t="str">
        <f>VLOOKUP($A267,'Matriz POA 2024-TRABAJO'!$A$5:$CD$9142,34,FALSE)</f>
        <v>0000</v>
      </c>
      <c r="T267" s="12" t="str">
        <f>VLOOKUP($A267,'Matriz POA 2024-TRABAJO'!$A$5:$CD$9142,35,FALSE)</f>
        <v>0000</v>
      </c>
      <c r="U267" s="62" t="str">
        <f>VLOOKUP($A267,'Matriz POA 2024-TRABAJO'!$A$5:$CD$9142,66,FALSE)</f>
        <v/>
      </c>
      <c r="V267" s="62" t="str">
        <f>VLOOKUP($A267,'Matriz POA 2024-TRABAJO'!$A$5:$CD$9142,67,FALSE)</f>
        <v/>
      </c>
      <c r="W267" s="62">
        <f>VLOOKUP($A267,'Matriz POA 2024-TRABAJO'!$A$5:$CD$9142,68,FALSE)</f>
        <v>0</v>
      </c>
      <c r="X267" s="62">
        <f>VLOOKUP($A267,'Matriz POA 2024-TRABAJO'!$A$5:$CD$9142,72,FALSE)</f>
        <v>1186</v>
      </c>
      <c r="Y267" s="388">
        <v>0</v>
      </c>
      <c r="Z267" s="388">
        <f>VLOOKUP($A267,'Matriz POA 2024-TRABAJO'!$A$5:$CD$9142,46,FALSE)</f>
        <v>0</v>
      </c>
      <c r="AA267" s="388">
        <v>0</v>
      </c>
      <c r="AB267" s="389">
        <v>93.5</v>
      </c>
      <c r="AC267" s="389"/>
      <c r="AD267" s="13"/>
      <c r="AE267" s="13"/>
      <c r="AF267" s="13">
        <f t="shared" ref="AF267:AF268" si="288">Y267+AB267+AC267</f>
        <v>93.5</v>
      </c>
      <c r="AG267" s="13">
        <f t="shared" ref="AG267:AG268" si="289">Z267+AD267+AE267</f>
        <v>0</v>
      </c>
      <c r="AH267" s="13">
        <f t="shared" ref="AH267:AH268" si="290">+AF267+AG267</f>
        <v>93.5</v>
      </c>
      <c r="AI267" s="7"/>
      <c r="AJ267" s="7"/>
      <c r="AK267" s="7"/>
      <c r="AL267" s="7"/>
      <c r="AM267" s="7"/>
      <c r="AN267" s="7"/>
      <c r="AO267" s="7"/>
      <c r="AP267" s="7"/>
      <c r="AQ267" s="7"/>
      <c r="AR267" s="7"/>
      <c r="AS267" s="7"/>
      <c r="AT267" s="7"/>
      <c r="AU267" s="129">
        <f t="shared" si="177"/>
        <v>0</v>
      </c>
      <c r="AV267" s="13" t="b">
        <f t="shared" si="189"/>
        <v>0</v>
      </c>
      <c r="AW267" s="14" t="s">
        <v>1968</v>
      </c>
      <c r="AX267" s="15" t="s">
        <v>1969</v>
      </c>
      <c r="AY267" s="16">
        <v>45492</v>
      </c>
      <c r="AZ267" s="15" t="s">
        <v>1970</v>
      </c>
      <c r="BA267" s="16">
        <v>45497</v>
      </c>
      <c r="BB267" s="17">
        <f t="shared" si="269"/>
        <v>5</v>
      </c>
      <c r="BC267" s="12"/>
      <c r="BD267" s="15"/>
      <c r="BE267" s="18"/>
      <c r="BF267" s="12"/>
      <c r="BG267" s="19" t="str">
        <f t="shared" si="270"/>
        <v>julio</v>
      </c>
      <c r="BH267" s="12" t="str">
        <f t="shared" si="271"/>
        <v>Corporación Ciudad Alfaro</v>
      </c>
      <c r="BI267" s="20" t="str">
        <f t="shared" si="272"/>
        <v>N/A</v>
      </c>
    </row>
    <row r="268" spans="1:61" ht="24.95" customHeight="1">
      <c r="A268" s="460">
        <v>420</v>
      </c>
      <c r="B268" s="12" t="str">
        <f>VLOOKUP($A268,'Matriz POA 2024-TRABAJO'!$A$5:$CD$9142,11,FALSE)</f>
        <v>Corporación Ciudad Alfaro</v>
      </c>
      <c r="C268" s="12" t="str">
        <f>VLOOKUP($A268,'Matriz POA 2024-TRABAJO'!$A$5:$CD$9142,14,FALSE)</f>
        <v>N/A</v>
      </c>
      <c r="D268" s="12" t="str">
        <f>VLOOKUP($A268,'Matriz POA 2024-TRABAJO'!$A$5:$CD$9142,15,FALSE)</f>
        <v>N/A</v>
      </c>
      <c r="E268" s="12" t="str">
        <f>VLOOKUP($A268,'Matriz POA 2024-TRABAJO'!$A$5:$CD$9142,18,FALSE)</f>
        <v>N/A</v>
      </c>
      <c r="F268" s="12" t="str">
        <f>VLOOKUP($A268,'Matriz POA 2024-TRABAJO'!$A$5:$CD$9142,20,FALSE)</f>
        <v>N/A</v>
      </c>
      <c r="G268" s="12" t="str">
        <f>VLOOKUP($A268,'Matriz POA 2024-TRABAJO'!$A$5:$CD$9142,21,FALSE)</f>
        <v>N/A</v>
      </c>
      <c r="H268" s="12" t="str">
        <f>VLOOKUP($A268,'Matriz POA 2024-TRABAJO'!$A$5:$CD$9142,22,FALSE)</f>
        <v>N/A</v>
      </c>
      <c r="I268" s="12" t="str">
        <f>VLOOKUP($A268,'Matriz POA 2024-TRABAJO'!$A$5:$CD$9142,23,FALSE)</f>
        <v>NUEVA</v>
      </c>
      <c r="J268" s="12" t="str">
        <f>VLOOKUP($A268,'Matriz POA 2024-TRABAJO'!$A$5:$CD$9142,24,FALSE)</f>
        <v>Alimentación</v>
      </c>
      <c r="K268" s="12" t="str">
        <f>VLOOKUP($A268,'Matriz POA 2024-TRABAJO'!$A$5:$CD$9142,25,FALSE)</f>
        <v>0035</v>
      </c>
      <c r="L268" s="12" t="str">
        <f>VLOOKUP($A268,'Matriz POA 2024-TRABAJO'!$A$5:$CD$9142,26,FALSE)</f>
        <v>80</v>
      </c>
      <c r="M268" s="12" t="str">
        <f>VLOOKUP($A268,'Matriz POA 2024-TRABAJO'!$A$5:$CD$9142,27,FALSE)</f>
        <v>000</v>
      </c>
      <c r="N268" s="12" t="str">
        <f>VLOOKUP($A268,'Matriz POA 2024-TRABAJO'!$A$5:$CD$9142,28,FALSE)</f>
        <v>002</v>
      </c>
      <c r="O268" s="12" t="str">
        <f>VLOOKUP($A268,'Matriz POA 2024-TRABAJO'!$A$5:$CD$9142,29,FALSE)</f>
        <v>51</v>
      </c>
      <c r="P268" s="12">
        <f>VLOOKUP($A268,'Matriz POA 2024-TRABAJO'!$A$5:$CD$9142,30,FALSE)</f>
        <v>510306</v>
      </c>
      <c r="Q268" s="12">
        <f>VLOOKUP($A268,'Matriz POA 2024-TRABAJO'!$A$5:$CD$9142,32,FALSE)</f>
        <v>1300</v>
      </c>
      <c r="R268" s="12" t="str">
        <f>VLOOKUP($A268,'Matriz POA 2024-TRABAJO'!$A$5:$CD$9142,33,FALSE)</f>
        <v>001</v>
      </c>
      <c r="S268" s="12" t="str">
        <f>VLOOKUP($A268,'Matriz POA 2024-TRABAJO'!$A$5:$CD$9142,34,FALSE)</f>
        <v>0000</v>
      </c>
      <c r="T268" s="12" t="str">
        <f>VLOOKUP($A268,'Matriz POA 2024-TRABAJO'!$A$5:$CD$9142,35,FALSE)</f>
        <v>0000</v>
      </c>
      <c r="U268" s="62" t="str">
        <f>VLOOKUP($A268,'Matriz POA 2024-TRABAJO'!$A$5:$CD$9142,66,FALSE)</f>
        <v/>
      </c>
      <c r="V268" s="62" t="str">
        <f>VLOOKUP($A268,'Matriz POA 2024-TRABAJO'!$A$5:$CD$9142,67,FALSE)</f>
        <v/>
      </c>
      <c r="W268" s="62">
        <f>VLOOKUP($A268,'Matriz POA 2024-TRABAJO'!$A$5:$CD$9142,68,FALSE)</f>
        <v>0</v>
      </c>
      <c r="X268" s="62">
        <f>VLOOKUP($A268,'Matriz POA 2024-TRABAJO'!$A$5:$CD$9142,72,FALSE)</f>
        <v>8302</v>
      </c>
      <c r="Y268" s="388">
        <v>0</v>
      </c>
      <c r="Z268" s="388">
        <f>VLOOKUP($A268,'Matriz POA 2024-TRABAJO'!$A$5:$CD$9142,46,FALSE)</f>
        <v>0</v>
      </c>
      <c r="AA268" s="388">
        <v>0</v>
      </c>
      <c r="AB268" s="389">
        <v>554.5</v>
      </c>
      <c r="AC268" s="389"/>
      <c r="AD268" s="13"/>
      <c r="AE268" s="13"/>
      <c r="AF268" s="13">
        <f t="shared" si="288"/>
        <v>554.5</v>
      </c>
      <c r="AG268" s="13">
        <f t="shared" si="289"/>
        <v>0</v>
      </c>
      <c r="AH268" s="13">
        <f t="shared" si="290"/>
        <v>554.5</v>
      </c>
      <c r="AI268" s="7"/>
      <c r="AJ268" s="7"/>
      <c r="AK268" s="7"/>
      <c r="AL268" s="7"/>
      <c r="AM268" s="7"/>
      <c r="AN268" s="7"/>
      <c r="AO268" s="7"/>
      <c r="AP268" s="7"/>
      <c r="AQ268" s="7"/>
      <c r="AR268" s="7"/>
      <c r="AS268" s="7"/>
      <c r="AT268" s="7"/>
      <c r="AU268" s="129">
        <f t="shared" si="177"/>
        <v>0</v>
      </c>
      <c r="AV268" s="13" t="b">
        <f t="shared" si="189"/>
        <v>0</v>
      </c>
      <c r="AW268" s="14" t="s">
        <v>1968</v>
      </c>
      <c r="AX268" s="15" t="s">
        <v>1969</v>
      </c>
      <c r="AY268" s="16">
        <v>45492</v>
      </c>
      <c r="AZ268" s="15" t="s">
        <v>1970</v>
      </c>
      <c r="BA268" s="16">
        <v>45497</v>
      </c>
      <c r="BB268" s="17">
        <f t="shared" si="269"/>
        <v>5</v>
      </c>
      <c r="BC268" s="12"/>
      <c r="BD268" s="15"/>
      <c r="BE268" s="18"/>
      <c r="BF268" s="12"/>
      <c r="BG268" s="19" t="str">
        <f t="shared" si="270"/>
        <v>julio</v>
      </c>
      <c r="BH268" s="12" t="str">
        <f t="shared" si="271"/>
        <v>Corporación Ciudad Alfaro</v>
      </c>
      <c r="BI268" s="20" t="str">
        <f t="shared" si="272"/>
        <v>N/A</v>
      </c>
    </row>
    <row r="269" spans="1:61" ht="24.95" customHeight="1">
      <c r="A269" s="460">
        <v>421</v>
      </c>
      <c r="B269" s="12" t="str">
        <f>VLOOKUP($A269,'Matriz POA 2024-TRABAJO'!$A$5:$CD$9142,11,FALSE)</f>
        <v>Corporación Ciudad Alfaro</v>
      </c>
      <c r="C269" s="12" t="str">
        <f>VLOOKUP($A269,'Matriz POA 2024-TRABAJO'!$A$5:$CD$9142,14,FALSE)</f>
        <v>N/A</v>
      </c>
      <c r="D269" s="12" t="str">
        <f>VLOOKUP($A269,'Matriz POA 2024-TRABAJO'!$A$5:$CD$9142,15,FALSE)</f>
        <v>N/A</v>
      </c>
      <c r="E269" s="12" t="str">
        <f>VLOOKUP($A269,'Matriz POA 2024-TRABAJO'!$A$5:$CD$9142,18,FALSE)</f>
        <v>N/A</v>
      </c>
      <c r="F269" s="12" t="str">
        <f>VLOOKUP($A269,'Matriz POA 2024-TRABAJO'!$A$5:$CD$9142,20,FALSE)</f>
        <v>N/A</v>
      </c>
      <c r="G269" s="12" t="str">
        <f>VLOOKUP($A269,'Matriz POA 2024-TRABAJO'!$A$5:$CD$9142,21,FALSE)</f>
        <v>N/A</v>
      </c>
      <c r="H269" s="12" t="str">
        <f>VLOOKUP($A269,'Matriz POA 2024-TRABAJO'!$A$5:$CD$9142,22,FALSE)</f>
        <v>N/A</v>
      </c>
      <c r="I269" s="12" t="str">
        <f>VLOOKUP($A269,'Matriz POA 2024-TRABAJO'!$A$5:$CD$9142,23,FALSE)</f>
        <v>NUEVA</v>
      </c>
      <c r="J269" s="12" t="str">
        <f>VLOOKUP($A269,'Matriz POA 2024-TRABAJO'!$A$5:$CD$9142,24,FALSE)</f>
        <v>Por Cargas Familiares</v>
      </c>
      <c r="K269" s="12" t="str">
        <f>VLOOKUP($A269,'Matriz POA 2024-TRABAJO'!$A$5:$CD$9142,25,FALSE)</f>
        <v>0035</v>
      </c>
      <c r="L269" s="12" t="str">
        <f>VLOOKUP($A269,'Matriz POA 2024-TRABAJO'!$A$5:$CD$9142,26,FALSE)</f>
        <v>80</v>
      </c>
      <c r="M269" s="12" t="str">
        <f>VLOOKUP($A269,'Matriz POA 2024-TRABAJO'!$A$5:$CD$9142,27,FALSE)</f>
        <v>000</v>
      </c>
      <c r="N269" s="12" t="str">
        <f>VLOOKUP($A269,'Matriz POA 2024-TRABAJO'!$A$5:$CD$9142,28,FALSE)</f>
        <v>002</v>
      </c>
      <c r="O269" s="12" t="str">
        <f>VLOOKUP($A269,'Matriz POA 2024-TRABAJO'!$A$5:$CD$9142,29,FALSE)</f>
        <v>51</v>
      </c>
      <c r="P269" s="12">
        <f>VLOOKUP($A269,'Matriz POA 2024-TRABAJO'!$A$5:$CD$9142,30,FALSE)</f>
        <v>510401</v>
      </c>
      <c r="Q269" s="12">
        <f>VLOOKUP($A269,'Matriz POA 2024-TRABAJO'!$A$5:$CD$9142,32,FALSE)</f>
        <v>1300</v>
      </c>
      <c r="R269" s="12" t="str">
        <f>VLOOKUP($A269,'Matriz POA 2024-TRABAJO'!$A$5:$CD$9142,33,FALSE)</f>
        <v>001</v>
      </c>
      <c r="S269" s="12" t="str">
        <f>VLOOKUP($A269,'Matriz POA 2024-TRABAJO'!$A$5:$CD$9142,34,FALSE)</f>
        <v>0000</v>
      </c>
      <c r="T269" s="12" t="str">
        <f>VLOOKUP($A269,'Matriz POA 2024-TRABAJO'!$A$5:$CD$9142,35,FALSE)</f>
        <v>0000</v>
      </c>
      <c r="U269" s="62" t="str">
        <f>VLOOKUP($A269,'Matriz POA 2024-TRABAJO'!$A$5:$CD$9142,66,FALSE)</f>
        <v/>
      </c>
      <c r="V269" s="62" t="str">
        <f>VLOOKUP($A269,'Matriz POA 2024-TRABAJO'!$A$5:$CD$9142,67,FALSE)</f>
        <v/>
      </c>
      <c r="W269" s="62">
        <f>VLOOKUP($A269,'Matriz POA 2024-TRABAJO'!$A$5:$CD$9142,68,FALSE)</f>
        <v>0</v>
      </c>
      <c r="X269" s="62">
        <f>VLOOKUP($A269,'Matriz POA 2024-TRABAJO'!$A$5:$CD$9142,72,FALSE)</f>
        <v>396.47999999999996</v>
      </c>
      <c r="Y269" s="388">
        <v>0</v>
      </c>
      <c r="Z269" s="388">
        <f>VLOOKUP($A269,'Matriz POA 2024-TRABAJO'!$A$5:$CD$9142,46,FALSE)</f>
        <v>0</v>
      </c>
      <c r="AA269" s="388">
        <v>0</v>
      </c>
      <c r="AB269" s="389">
        <v>24.6</v>
      </c>
      <c r="AC269" s="389"/>
      <c r="AD269" s="13"/>
      <c r="AE269" s="13"/>
      <c r="AF269" s="13">
        <f t="shared" ref="AF269" si="291">Y269+AB269+AC269</f>
        <v>24.6</v>
      </c>
      <c r="AG269" s="13">
        <f t="shared" ref="AG269" si="292">Z269+AD269+AE269</f>
        <v>0</v>
      </c>
      <c r="AH269" s="13">
        <f t="shared" ref="AH269" si="293">+AF269+AG269</f>
        <v>24.6</v>
      </c>
      <c r="AI269" s="7"/>
      <c r="AJ269" s="7"/>
      <c r="AK269" s="7"/>
      <c r="AL269" s="7"/>
      <c r="AM269" s="7"/>
      <c r="AN269" s="7"/>
      <c r="AO269" s="7"/>
      <c r="AP269" s="7"/>
      <c r="AQ269" s="7"/>
      <c r="AR269" s="7"/>
      <c r="AS269" s="7"/>
      <c r="AT269" s="7"/>
      <c r="AU269" s="129">
        <f t="shared" si="177"/>
        <v>0</v>
      </c>
      <c r="AV269" s="13" t="b">
        <f t="shared" si="189"/>
        <v>0</v>
      </c>
      <c r="AW269" s="14" t="s">
        <v>1968</v>
      </c>
      <c r="AX269" s="15" t="s">
        <v>1969</v>
      </c>
      <c r="AY269" s="16">
        <v>45492</v>
      </c>
      <c r="AZ269" s="15" t="s">
        <v>1970</v>
      </c>
      <c r="BA269" s="16">
        <v>45497</v>
      </c>
      <c r="BB269" s="17">
        <f t="shared" si="269"/>
        <v>5</v>
      </c>
      <c r="BC269" s="12"/>
      <c r="BD269" s="15"/>
      <c r="BE269" s="18"/>
      <c r="BF269" s="12"/>
      <c r="BG269" s="19" t="str">
        <f t="shared" si="270"/>
        <v>julio</v>
      </c>
      <c r="BH269" s="12" t="str">
        <f t="shared" si="271"/>
        <v>Corporación Ciudad Alfaro</v>
      </c>
      <c r="BI269" s="20" t="str">
        <f t="shared" si="272"/>
        <v>N/A</v>
      </c>
    </row>
    <row r="270" spans="1:61" ht="24.95" customHeight="1">
      <c r="A270" s="460">
        <v>731</v>
      </c>
      <c r="B270" s="12" t="str">
        <f>VLOOKUP($A270,'Matriz POA 2024-TRABAJO'!$A$5:$CD$9142,11,FALSE)</f>
        <v>Corporación Ciudad Alfaro</v>
      </c>
      <c r="C270" s="12" t="str">
        <f>VLOOKUP($A270,'Matriz POA 2024-TRABAJO'!$A$5:$CD$9142,14,FALSE)</f>
        <v>N/A</v>
      </c>
      <c r="D270" s="12" t="str">
        <f>VLOOKUP($A270,'Matriz POA 2024-TRABAJO'!$A$5:$CD$9142,15,FALSE)</f>
        <v>N/A</v>
      </c>
      <c r="E270" s="12" t="str">
        <f>VLOOKUP($A270,'Matriz POA 2024-TRABAJO'!$A$5:$CD$9142,18,FALSE)</f>
        <v>N/A</v>
      </c>
      <c r="F270" s="12" t="str">
        <f>VLOOKUP($A270,'Matriz POA 2024-TRABAJO'!$A$5:$CD$9142,20,FALSE)</f>
        <v>N/A</v>
      </c>
      <c r="G270" s="12" t="str">
        <f>VLOOKUP($A270,'Matriz POA 2024-TRABAJO'!$A$5:$CD$9142,21,FALSE)</f>
        <v>N/A</v>
      </c>
      <c r="H270" s="12" t="str">
        <f>VLOOKUP($A270,'Matriz POA 2024-TRABAJO'!$A$5:$CD$9142,22,FALSE)</f>
        <v>N/A</v>
      </c>
      <c r="I270" s="12" t="str">
        <f>VLOOKUP($A270,'Matriz POA 2024-TRABAJO'!$A$5:$CD$9142,23,FALSE)</f>
        <v>NUEVA</v>
      </c>
      <c r="J270" s="12" t="str">
        <f>VLOOKUP($A270,'Matriz POA 2024-TRABAJO'!$A$5:$CD$9142,24,FALSE)</f>
        <v>Subrogación</v>
      </c>
      <c r="K270" s="12" t="str">
        <f>VLOOKUP($A270,'Matriz POA 2024-TRABAJO'!$A$5:$CD$9142,25,FALSE)</f>
        <v>0035</v>
      </c>
      <c r="L270" s="12" t="str">
        <f>VLOOKUP($A270,'Matriz POA 2024-TRABAJO'!$A$5:$CD$9142,26,FALSE)</f>
        <v>80</v>
      </c>
      <c r="M270" s="12" t="str">
        <f>VLOOKUP($A270,'Matriz POA 2024-TRABAJO'!$A$5:$CD$9142,27,FALSE)</f>
        <v>000</v>
      </c>
      <c r="N270" s="12" t="str">
        <f>VLOOKUP($A270,'Matriz POA 2024-TRABAJO'!$A$5:$CD$9142,28,FALSE)</f>
        <v>002</v>
      </c>
      <c r="O270" s="12" t="str">
        <f>VLOOKUP($A270,'Matriz POA 2024-TRABAJO'!$A$5:$CD$9142,29,FALSE)</f>
        <v>51</v>
      </c>
      <c r="P270" s="12">
        <f>VLOOKUP($A270,'Matriz POA 2024-TRABAJO'!$A$5:$CD$9142,30,FALSE)</f>
        <v>510512</v>
      </c>
      <c r="Q270" s="12">
        <f>VLOOKUP($A270,'Matriz POA 2024-TRABAJO'!$A$5:$CD$9142,32,FALSE)</f>
        <v>1300</v>
      </c>
      <c r="R270" s="12" t="str">
        <f>VLOOKUP($A270,'Matriz POA 2024-TRABAJO'!$A$5:$CD$9142,33,FALSE)</f>
        <v>001</v>
      </c>
      <c r="S270" s="12" t="str">
        <f>VLOOKUP($A270,'Matriz POA 2024-TRABAJO'!$A$5:$CD$9142,34,FALSE)</f>
        <v>0000</v>
      </c>
      <c r="T270" s="12" t="str">
        <f>VLOOKUP($A270,'Matriz POA 2024-TRABAJO'!$A$5:$CD$9142,35,FALSE)</f>
        <v>0000</v>
      </c>
      <c r="U270" s="62" t="str">
        <f>VLOOKUP($A270,'Matriz POA 2024-TRABAJO'!$A$5:$CD$9142,66,FALSE)</f>
        <v/>
      </c>
      <c r="V270" s="62" t="str">
        <f>VLOOKUP($A270,'Matriz POA 2024-TRABAJO'!$A$5:$CD$9142,67,FALSE)</f>
        <v/>
      </c>
      <c r="W270" s="62">
        <f>VLOOKUP($A270,'Matriz POA 2024-TRABAJO'!$A$5:$CD$9142,68,FALSE)</f>
        <v>0</v>
      </c>
      <c r="X270" s="62">
        <f>VLOOKUP($A270,'Matriz POA 2024-TRABAJO'!$A$5:$CD$9142,72,FALSE)</f>
        <v>3357.21</v>
      </c>
      <c r="Y270" s="388">
        <v>0</v>
      </c>
      <c r="Z270" s="388">
        <f>VLOOKUP($A270,'Matriz POA 2024-TRABAJO'!$A$5:$CD$9142,46,FALSE)</f>
        <v>0</v>
      </c>
      <c r="AA270" s="388">
        <v>0</v>
      </c>
      <c r="AB270" s="389">
        <v>992.17</v>
      </c>
      <c r="AC270" s="389"/>
      <c r="AD270" s="13"/>
      <c r="AE270" s="13"/>
      <c r="AF270" s="13">
        <f t="shared" ref="AF270" si="294">Y270+AB270+AC270</f>
        <v>992.17</v>
      </c>
      <c r="AG270" s="13">
        <f t="shared" ref="AG270" si="295">Z270+AD270+AE270</f>
        <v>0</v>
      </c>
      <c r="AH270" s="13">
        <f t="shared" ref="AH270" si="296">+AF270+AG270</f>
        <v>992.17</v>
      </c>
      <c r="AI270" s="7"/>
      <c r="AJ270" s="7"/>
      <c r="AK270" s="7"/>
      <c r="AL270" s="7"/>
      <c r="AM270" s="7"/>
      <c r="AN270" s="7"/>
      <c r="AO270" s="7"/>
      <c r="AP270" s="7"/>
      <c r="AQ270" s="7"/>
      <c r="AR270" s="7"/>
      <c r="AS270" s="7"/>
      <c r="AT270" s="7"/>
      <c r="AU270" s="129">
        <f t="shared" si="177"/>
        <v>0</v>
      </c>
      <c r="AV270" s="13" t="b">
        <f t="shared" si="189"/>
        <v>0</v>
      </c>
      <c r="AW270" s="14" t="s">
        <v>1968</v>
      </c>
      <c r="AX270" s="15" t="s">
        <v>1969</v>
      </c>
      <c r="AY270" s="16">
        <v>45492</v>
      </c>
      <c r="AZ270" s="15" t="s">
        <v>1970</v>
      </c>
      <c r="BA270" s="16">
        <v>45497</v>
      </c>
      <c r="BB270" s="17">
        <f t="shared" si="269"/>
        <v>5</v>
      </c>
      <c r="BC270" s="12"/>
      <c r="BD270" s="15"/>
      <c r="BE270" s="18"/>
      <c r="BF270" s="12"/>
      <c r="BG270" s="19" t="str">
        <f t="shared" si="270"/>
        <v>julio</v>
      </c>
      <c r="BH270" s="12" t="str">
        <f t="shared" si="271"/>
        <v>Corporación Ciudad Alfaro</v>
      </c>
      <c r="BI270" s="20" t="str">
        <f t="shared" si="272"/>
        <v>N/A</v>
      </c>
    </row>
    <row r="271" spans="1:61" ht="24.95" customHeight="1">
      <c r="A271" s="432">
        <v>459</v>
      </c>
      <c r="B271" s="12" t="str">
        <f>VLOOKUP($A271,'Matriz POA 2024-TRABAJO'!$A$5:$CD$9142,11,FALSE)</f>
        <v>Corporación Ciudad Alfaro</v>
      </c>
      <c r="C271" s="12" t="str">
        <f>VLOOKUP($A271,'Matriz POA 2024-TRABAJO'!$A$5:$CD$9142,14,FALSE)</f>
        <v>N/A</v>
      </c>
      <c r="D271" s="12" t="str">
        <f>VLOOKUP($A271,'Matriz POA 2024-TRABAJO'!$A$5:$CD$9142,15,FALSE)</f>
        <v>N/A</v>
      </c>
      <c r="E271" s="12" t="str">
        <f>VLOOKUP($A271,'Matriz POA 2024-TRABAJO'!$A$5:$CD$9142,18,FALSE)</f>
        <v>N/A</v>
      </c>
      <c r="F271" s="12" t="str">
        <f>VLOOKUP($A271,'Matriz POA 2024-TRABAJO'!$A$5:$CD$9142,20,FALSE)</f>
        <v>N/A</v>
      </c>
      <c r="G271" s="12" t="str">
        <f>VLOOKUP($A271,'Matriz POA 2024-TRABAJO'!$A$5:$CD$9142,21,FALSE)</f>
        <v>N/A</v>
      </c>
      <c r="H271" s="12" t="str">
        <f>VLOOKUP($A271,'Matriz POA 2024-TRABAJO'!$A$5:$CD$9142,22,FALSE)</f>
        <v>N/A</v>
      </c>
      <c r="I271" s="12" t="str">
        <f>VLOOKUP($A271,'Matriz POA 2024-TRABAJO'!$A$5:$CD$9142,23,FALSE)</f>
        <v>NUEVA</v>
      </c>
      <c r="J271" s="12" t="str">
        <f>VLOOKUP($A271,'Matriz POA 2024-TRABAJO'!$A$5:$CD$9142,24,FALSE)</f>
        <v>Contratación del servicio de rastreo satelital para los vehículos de la Corporación Ciudad Alfaro</v>
      </c>
      <c r="K271" s="12" t="str">
        <f>VLOOKUP($A271,'Matriz POA 2024-TRABAJO'!$A$5:$CD$9142,25,FALSE)</f>
        <v>0035</v>
      </c>
      <c r="L271" s="12" t="str">
        <f>VLOOKUP($A271,'Matriz POA 2024-TRABAJO'!$A$5:$CD$9142,26,FALSE)</f>
        <v>80</v>
      </c>
      <c r="M271" s="12" t="str">
        <f>VLOOKUP($A271,'Matriz POA 2024-TRABAJO'!$A$5:$CD$9142,27,FALSE)</f>
        <v>000</v>
      </c>
      <c r="N271" s="12" t="str">
        <f>VLOOKUP($A271,'Matriz POA 2024-TRABAJO'!$A$5:$CD$9142,28,FALSE)</f>
        <v>002</v>
      </c>
      <c r="O271" s="12" t="str">
        <f>VLOOKUP($A271,'Matriz POA 2024-TRABAJO'!$A$5:$CD$9142,29,FALSE)</f>
        <v>53</v>
      </c>
      <c r="P271" s="12">
        <f>VLOOKUP($A271,'Matriz POA 2024-TRABAJO'!$A$5:$CD$9142,30,FALSE)</f>
        <v>530105</v>
      </c>
      <c r="Q271" s="12">
        <f>VLOOKUP($A271,'Matriz POA 2024-TRABAJO'!$A$5:$CD$9142,32,FALSE)</f>
        <v>1309</v>
      </c>
      <c r="R271" s="12" t="str">
        <f>VLOOKUP($A271,'Matriz POA 2024-TRABAJO'!$A$5:$CD$9142,33,FALSE)</f>
        <v>001</v>
      </c>
      <c r="S271" s="12" t="str">
        <f>VLOOKUP($A271,'Matriz POA 2024-TRABAJO'!$A$5:$CD$9142,34,FALSE)</f>
        <v>0000</v>
      </c>
      <c r="T271" s="12" t="str">
        <f>VLOOKUP($A271,'Matriz POA 2024-TRABAJO'!$A$5:$CD$9142,35,FALSE)</f>
        <v>0000</v>
      </c>
      <c r="U271" s="62">
        <f>VLOOKUP($A271,'Matriz POA 2024-TRABAJO'!$A$5:$CD$9142,66,FALSE)</f>
        <v>1200</v>
      </c>
      <c r="V271" s="62">
        <f>VLOOKUP($A271,'Matriz POA 2024-TRABAJO'!$A$5:$CD$9142,67,FALSE)</f>
        <v>-480</v>
      </c>
      <c r="W271" s="62">
        <f>VLOOKUP($A271,'Matriz POA 2024-TRABAJO'!$A$5:$CD$9142,68,FALSE)</f>
        <v>0</v>
      </c>
      <c r="X271" s="62">
        <f>VLOOKUP($A271,'Matriz POA 2024-TRABAJO'!$A$5:$CD$9142,72,FALSE)</f>
        <v>720</v>
      </c>
      <c r="Y271" s="388">
        <v>1200</v>
      </c>
      <c r="Z271" s="388">
        <f>VLOOKUP($A271,'Matriz POA 2024-TRABAJO'!$A$5:$CD$9142,46,FALSE)</f>
        <v>0</v>
      </c>
      <c r="AA271" s="388">
        <v>1200</v>
      </c>
      <c r="AB271" s="389"/>
      <c r="AC271" s="389">
        <v>-480</v>
      </c>
      <c r="AD271" s="13"/>
      <c r="AE271" s="13"/>
      <c r="AF271" s="13">
        <f t="shared" ref="AF271:AF276" si="297">Y271+AB271+AC271</f>
        <v>720</v>
      </c>
      <c r="AG271" s="13">
        <f t="shared" ref="AG271:AG276" si="298">Z271+AD271+AE271</f>
        <v>0</v>
      </c>
      <c r="AH271" s="13">
        <f t="shared" ref="AH271:AH276" si="299">+AF271+AG271</f>
        <v>720</v>
      </c>
      <c r="AI271" s="7"/>
      <c r="AJ271" s="7"/>
      <c r="AK271" s="7"/>
      <c r="AL271" s="7"/>
      <c r="AM271" s="7"/>
      <c r="AN271" s="7"/>
      <c r="AO271" s="7"/>
      <c r="AP271" s="7"/>
      <c r="AQ271" s="7"/>
      <c r="AR271" s="7"/>
      <c r="AS271" s="7"/>
      <c r="AT271" s="7"/>
      <c r="AU271" s="129">
        <f t="shared" si="177"/>
        <v>0</v>
      </c>
      <c r="AV271" s="13" t="b">
        <f t="shared" si="189"/>
        <v>0</v>
      </c>
      <c r="AW271" s="14" t="s">
        <v>1975</v>
      </c>
      <c r="AX271" s="15" t="s">
        <v>1974</v>
      </c>
      <c r="AY271" s="16">
        <v>45503</v>
      </c>
      <c r="AZ271" s="15" t="s">
        <v>1976</v>
      </c>
      <c r="BA271" s="16">
        <v>45504</v>
      </c>
      <c r="BB271" s="17">
        <f t="shared" si="269"/>
        <v>1</v>
      </c>
      <c r="BC271" s="12"/>
      <c r="BD271" s="15"/>
      <c r="BE271" s="18"/>
      <c r="BF271" s="12"/>
      <c r="BG271" s="19" t="str">
        <f t="shared" si="270"/>
        <v>julio</v>
      </c>
      <c r="BH271" s="12" t="str">
        <f t="shared" si="271"/>
        <v>Corporación Ciudad Alfaro</v>
      </c>
      <c r="BI271" s="20" t="str">
        <f t="shared" si="272"/>
        <v>N/A</v>
      </c>
    </row>
    <row r="272" spans="1:61" ht="24.95" customHeight="1">
      <c r="A272" s="432">
        <v>479</v>
      </c>
      <c r="B272" s="12" t="str">
        <f>VLOOKUP($A272,'Matriz POA 2024-TRABAJO'!$A$5:$CD$9142,11,FALSE)</f>
        <v>Corporación Ciudad Alfaro</v>
      </c>
      <c r="C272" s="12" t="str">
        <f>VLOOKUP($A272,'Matriz POA 2024-TRABAJO'!$A$5:$CD$9142,14,FALSE)</f>
        <v>N/A</v>
      </c>
      <c r="D272" s="12" t="str">
        <f>VLOOKUP($A272,'Matriz POA 2024-TRABAJO'!$A$5:$CD$9142,15,FALSE)</f>
        <v>N/A</v>
      </c>
      <c r="E272" s="12" t="str">
        <f>VLOOKUP($A272,'Matriz POA 2024-TRABAJO'!$A$5:$CD$9142,18,FALSE)</f>
        <v>N/A</v>
      </c>
      <c r="F272" s="12" t="str">
        <f>VLOOKUP($A272,'Matriz POA 2024-TRABAJO'!$A$5:$CD$9142,20,FALSE)</f>
        <v>N/A</v>
      </c>
      <c r="G272" s="12" t="str">
        <f>VLOOKUP($A272,'Matriz POA 2024-TRABAJO'!$A$5:$CD$9142,21,FALSE)</f>
        <v>N/A</v>
      </c>
      <c r="H272" s="12" t="str">
        <f>VLOOKUP($A272,'Matriz POA 2024-TRABAJO'!$A$5:$CD$9142,22,FALSE)</f>
        <v>N/A</v>
      </c>
      <c r="I272" s="12" t="str">
        <f>VLOOKUP($A272,'Matriz POA 2024-TRABAJO'!$A$5:$CD$9142,23,FALSE)</f>
        <v>NUEVA</v>
      </c>
      <c r="J272" s="12" t="str">
        <f>VLOOKUP($A272,'Matriz POA 2024-TRABAJO'!$A$5:$CD$9142,24,FALSE)</f>
        <v>Mantenimiento, Reparación preventivo y correctivo de los vehículos de la corporación ciudad alfaro</v>
      </c>
      <c r="K272" s="12" t="str">
        <f>VLOOKUP($A272,'Matriz POA 2024-TRABAJO'!$A$5:$CD$9142,25,FALSE)</f>
        <v>0035</v>
      </c>
      <c r="L272" s="12" t="str">
        <f>VLOOKUP($A272,'Matriz POA 2024-TRABAJO'!$A$5:$CD$9142,26,FALSE)</f>
        <v>80</v>
      </c>
      <c r="M272" s="12" t="str">
        <f>VLOOKUP($A272,'Matriz POA 2024-TRABAJO'!$A$5:$CD$9142,27,FALSE)</f>
        <v>000</v>
      </c>
      <c r="N272" s="12" t="str">
        <f>VLOOKUP($A272,'Matriz POA 2024-TRABAJO'!$A$5:$CD$9142,28,FALSE)</f>
        <v>002</v>
      </c>
      <c r="O272" s="12" t="str">
        <f>VLOOKUP($A272,'Matriz POA 2024-TRABAJO'!$A$5:$CD$9142,29,FALSE)</f>
        <v>53</v>
      </c>
      <c r="P272" s="12">
        <f>VLOOKUP($A272,'Matriz POA 2024-TRABAJO'!$A$5:$CD$9142,30,FALSE)</f>
        <v>530405</v>
      </c>
      <c r="Q272" s="12">
        <f>VLOOKUP($A272,'Matriz POA 2024-TRABAJO'!$A$5:$CD$9142,32,FALSE)</f>
        <v>1309</v>
      </c>
      <c r="R272" s="12" t="str">
        <f>VLOOKUP($A272,'Matriz POA 2024-TRABAJO'!$A$5:$CD$9142,33,FALSE)</f>
        <v>001</v>
      </c>
      <c r="S272" s="12" t="str">
        <f>VLOOKUP($A272,'Matriz POA 2024-TRABAJO'!$A$5:$CD$9142,34,FALSE)</f>
        <v>0000</v>
      </c>
      <c r="T272" s="12" t="str">
        <f>VLOOKUP($A272,'Matriz POA 2024-TRABAJO'!$A$5:$CD$9142,35,FALSE)</f>
        <v>0000</v>
      </c>
      <c r="U272" s="62">
        <f>VLOOKUP($A272,'Matriz POA 2024-TRABAJO'!$A$5:$CD$9142,66,FALSE)</f>
        <v>14158.92</v>
      </c>
      <c r="V272" s="62">
        <f>VLOOKUP($A272,'Matriz POA 2024-TRABAJO'!$A$5:$CD$9142,67,FALSE)</f>
        <v>-7578.920000000001</v>
      </c>
      <c r="W272" s="62">
        <f>VLOOKUP($A272,'Matriz POA 2024-TRABAJO'!$A$5:$CD$9142,68,FALSE)</f>
        <v>0</v>
      </c>
      <c r="X272" s="62">
        <f>VLOOKUP($A272,'Matriz POA 2024-TRABAJO'!$A$5:$CD$9142,72,FALSE)</f>
        <v>6580</v>
      </c>
      <c r="Y272" s="388">
        <v>7079.4599999999991</v>
      </c>
      <c r="Z272" s="388">
        <f>VLOOKUP($A272,'Matriz POA 2024-TRABAJO'!$A$5:$CD$9142,46,FALSE)</f>
        <v>0</v>
      </c>
      <c r="AA272" s="388">
        <v>7079.4599999999991</v>
      </c>
      <c r="AB272" s="389"/>
      <c r="AC272" s="389">
        <v>-379.46</v>
      </c>
      <c r="AD272" s="13"/>
      <c r="AE272" s="13"/>
      <c r="AF272" s="13">
        <f t="shared" ref="AF272" si="300">Y272+AB272+AC272</f>
        <v>6699.9999999999991</v>
      </c>
      <c r="AG272" s="13">
        <f t="shared" ref="AG272" si="301">Z272+AD272+AE272</f>
        <v>0</v>
      </c>
      <c r="AH272" s="13">
        <f t="shared" ref="AH272" si="302">+AF272+AG272</f>
        <v>6699.9999999999991</v>
      </c>
      <c r="AI272" s="129">
        <f t="shared" ref="AI272" si="303">SUM(W272:AH272)</f>
        <v>33759.46</v>
      </c>
      <c r="AJ272" s="13" t="b">
        <f t="shared" ref="AJ272" si="304">SUM(W272:AH272)=V272</f>
        <v>0</v>
      </c>
      <c r="AK272" s="14"/>
      <c r="AL272" s="15"/>
      <c r="AM272" s="16"/>
      <c r="AN272" s="15"/>
      <c r="AO272" s="16"/>
      <c r="AP272" s="17">
        <f t="shared" ref="AP272" si="305">AO272-AM272</f>
        <v>0</v>
      </c>
      <c r="AQ272" s="12"/>
      <c r="AR272" s="15"/>
      <c r="AS272" s="18"/>
      <c r="AT272" s="12"/>
      <c r="AU272" s="129">
        <f t="shared" si="177"/>
        <v>33759.46</v>
      </c>
      <c r="AV272" s="13" t="b">
        <f t="shared" si="189"/>
        <v>0</v>
      </c>
      <c r="AW272" s="14" t="s">
        <v>1975</v>
      </c>
      <c r="AX272" s="15" t="s">
        <v>1974</v>
      </c>
      <c r="AY272" s="16">
        <v>45503</v>
      </c>
      <c r="AZ272" s="15" t="s">
        <v>1976</v>
      </c>
      <c r="BA272" s="16">
        <v>45504</v>
      </c>
      <c r="BB272" s="17">
        <f t="shared" si="269"/>
        <v>1</v>
      </c>
      <c r="BC272" s="12"/>
      <c r="BD272" s="15"/>
      <c r="BE272" s="18"/>
      <c r="BF272" s="12"/>
      <c r="BG272" s="19" t="str">
        <f t="shared" si="270"/>
        <v>julio</v>
      </c>
      <c r="BH272" s="12" t="str">
        <f t="shared" si="271"/>
        <v>Corporación Ciudad Alfaro</v>
      </c>
      <c r="BI272" s="20" t="str">
        <f t="shared" si="272"/>
        <v>N/A</v>
      </c>
    </row>
    <row r="273" spans="1:61" ht="24.95" customHeight="1">
      <c r="A273" s="432">
        <v>483</v>
      </c>
      <c r="B273" s="12" t="str">
        <f>VLOOKUP($A273,'Matriz POA 2024-TRABAJO'!$A$5:$CD$9142,11,FALSE)</f>
        <v>Corporación Ciudad Alfaro</v>
      </c>
      <c r="C273" s="12" t="str">
        <f>VLOOKUP($A273,'Matriz POA 2024-TRABAJO'!$A$5:$CD$9142,14,FALSE)</f>
        <v>N/A</v>
      </c>
      <c r="D273" s="12" t="str">
        <f>VLOOKUP($A273,'Matriz POA 2024-TRABAJO'!$A$5:$CD$9142,15,FALSE)</f>
        <v>N/A</v>
      </c>
      <c r="E273" s="12" t="str">
        <f>VLOOKUP($A273,'Matriz POA 2024-TRABAJO'!$A$5:$CD$9142,18,FALSE)</f>
        <v>N/A</v>
      </c>
      <c r="F273" s="12" t="str">
        <f>VLOOKUP($A273,'Matriz POA 2024-TRABAJO'!$A$5:$CD$9142,20,FALSE)</f>
        <v>N/A</v>
      </c>
      <c r="G273" s="12" t="str">
        <f>VLOOKUP($A273,'Matriz POA 2024-TRABAJO'!$A$5:$CD$9142,21,FALSE)</f>
        <v>N/A</v>
      </c>
      <c r="H273" s="12" t="str">
        <f>VLOOKUP($A273,'Matriz POA 2024-TRABAJO'!$A$5:$CD$9142,22,FALSE)</f>
        <v>N/A</v>
      </c>
      <c r="I273" s="12" t="str">
        <f>VLOOKUP($A273,'Matriz POA 2024-TRABAJO'!$A$5:$CD$9142,23,FALSE)</f>
        <v>NUEVA</v>
      </c>
      <c r="J273" s="12" t="str">
        <f>VLOOKUP($A273,'Matriz POA 2024-TRABAJO'!$A$5:$CD$9142,24,FALSE)</f>
        <v>Mantenimiento y reparación de las puertas enrollables de la corporación ciudad alfaro y sus sedes</v>
      </c>
      <c r="K273" s="12" t="str">
        <f>VLOOKUP($A273,'Matriz POA 2024-TRABAJO'!$A$5:$CD$9142,25,FALSE)</f>
        <v>0035</v>
      </c>
      <c r="L273" s="12" t="str">
        <f>VLOOKUP($A273,'Matriz POA 2024-TRABAJO'!$A$5:$CD$9142,26,FALSE)</f>
        <v>80</v>
      </c>
      <c r="M273" s="12" t="str">
        <f>VLOOKUP($A273,'Matriz POA 2024-TRABAJO'!$A$5:$CD$9142,27,FALSE)</f>
        <v>000</v>
      </c>
      <c r="N273" s="12" t="str">
        <f>VLOOKUP($A273,'Matriz POA 2024-TRABAJO'!$A$5:$CD$9142,28,FALSE)</f>
        <v>002</v>
      </c>
      <c r="O273" s="12" t="str">
        <f>VLOOKUP($A273,'Matriz POA 2024-TRABAJO'!$A$5:$CD$9142,29,FALSE)</f>
        <v>53</v>
      </c>
      <c r="P273" s="12">
        <f>VLOOKUP($A273,'Matriz POA 2024-TRABAJO'!$A$5:$CD$9142,30,FALSE)</f>
        <v>530403</v>
      </c>
      <c r="Q273" s="12">
        <f>VLOOKUP($A273,'Matriz POA 2024-TRABAJO'!$A$5:$CD$9142,32,FALSE)</f>
        <v>1309</v>
      </c>
      <c r="R273" s="12" t="str">
        <f>VLOOKUP($A273,'Matriz POA 2024-TRABAJO'!$A$5:$CD$9142,33,FALSE)</f>
        <v>001</v>
      </c>
      <c r="S273" s="12" t="str">
        <f>VLOOKUP($A273,'Matriz POA 2024-TRABAJO'!$A$5:$CD$9142,34,FALSE)</f>
        <v>0000</v>
      </c>
      <c r="T273" s="12" t="str">
        <f>VLOOKUP($A273,'Matriz POA 2024-TRABAJO'!$A$5:$CD$9142,35,FALSE)</f>
        <v>0000</v>
      </c>
      <c r="U273" s="62">
        <f>VLOOKUP($A273,'Matriz POA 2024-TRABAJO'!$A$5:$CD$9142,66,FALSE)</f>
        <v>8000</v>
      </c>
      <c r="V273" s="62">
        <f>VLOOKUP($A273,'Matriz POA 2024-TRABAJO'!$A$5:$CD$9142,67,FALSE)</f>
        <v>-8000</v>
      </c>
      <c r="W273" s="62">
        <f>VLOOKUP($A273,'Matriz POA 2024-TRABAJO'!$A$5:$CD$9142,68,FALSE)</f>
        <v>0</v>
      </c>
      <c r="X273" s="62" t="str">
        <f>VLOOKUP($A273,'Matriz POA 2024-TRABAJO'!$A$5:$CD$9142,72,FALSE)</f>
        <v/>
      </c>
      <c r="Y273" s="388">
        <v>3000</v>
      </c>
      <c r="Z273" s="388">
        <f>VLOOKUP($A273,'Matriz POA 2024-TRABAJO'!$A$5:$CD$9142,46,FALSE)</f>
        <v>0</v>
      </c>
      <c r="AA273" s="388">
        <v>3000</v>
      </c>
      <c r="AB273" s="389"/>
      <c r="AC273" s="389">
        <v>-3000</v>
      </c>
      <c r="AD273" s="13"/>
      <c r="AE273" s="13"/>
      <c r="AF273" s="13">
        <f t="shared" si="297"/>
        <v>0</v>
      </c>
      <c r="AG273" s="13">
        <f t="shared" si="298"/>
        <v>0</v>
      </c>
      <c r="AH273" s="13">
        <f t="shared" si="299"/>
        <v>0</v>
      </c>
      <c r="AI273" s="129">
        <f t="shared" ref="AI273:AI276" si="306">SUM(W273:AH273)</f>
        <v>3000</v>
      </c>
      <c r="AJ273" s="13" t="b">
        <f t="shared" ref="AJ273:AJ276" si="307">SUM(W273:AH273)=V273</f>
        <v>0</v>
      </c>
      <c r="AK273" s="14"/>
      <c r="AL273" s="15"/>
      <c r="AM273" s="16"/>
      <c r="AN273" s="15"/>
      <c r="AO273" s="16"/>
      <c r="AP273" s="17">
        <f t="shared" ref="AP273:AP276" si="308">AO273-AM273</f>
        <v>0</v>
      </c>
      <c r="AQ273" s="12"/>
      <c r="AR273" s="15"/>
      <c r="AS273" s="18"/>
      <c r="AT273" s="12"/>
      <c r="AU273" s="129">
        <f t="shared" si="177"/>
        <v>3000</v>
      </c>
      <c r="AV273" s="13" t="b">
        <f t="shared" si="189"/>
        <v>0</v>
      </c>
      <c r="AW273" s="14" t="s">
        <v>1975</v>
      </c>
      <c r="AX273" s="15" t="s">
        <v>1974</v>
      </c>
      <c r="AY273" s="16">
        <v>45503</v>
      </c>
      <c r="AZ273" s="15" t="s">
        <v>1976</v>
      </c>
      <c r="BA273" s="16">
        <v>45504</v>
      </c>
      <c r="BB273" s="17">
        <f t="shared" si="269"/>
        <v>1</v>
      </c>
      <c r="BC273" s="12"/>
      <c r="BD273" s="15"/>
      <c r="BE273" s="18"/>
      <c r="BF273" s="12"/>
      <c r="BG273" s="19" t="str">
        <f t="shared" si="270"/>
        <v>julio</v>
      </c>
      <c r="BH273" s="12" t="str">
        <f t="shared" si="271"/>
        <v>Corporación Ciudad Alfaro</v>
      </c>
      <c r="BI273" s="20" t="str">
        <f t="shared" si="272"/>
        <v>N/A</v>
      </c>
    </row>
    <row r="274" spans="1:61" ht="24.95" customHeight="1">
      <c r="A274" s="432">
        <v>474</v>
      </c>
      <c r="B274" s="12" t="str">
        <f>VLOOKUP($A274,'Matriz POA 2024-TRABAJO'!$A$5:$CD$9142,11,FALSE)</f>
        <v>Corporación Ciudad Alfaro</v>
      </c>
      <c r="C274" s="12" t="str">
        <f>VLOOKUP($A274,'Matriz POA 2024-TRABAJO'!$A$5:$CD$9142,14,FALSE)</f>
        <v>N/A</v>
      </c>
      <c r="D274" s="12" t="str">
        <f>VLOOKUP($A274,'Matriz POA 2024-TRABAJO'!$A$5:$CD$9142,15,FALSE)</f>
        <v>N/A</v>
      </c>
      <c r="E274" s="12" t="str">
        <f>VLOOKUP($A274,'Matriz POA 2024-TRABAJO'!$A$5:$CD$9142,18,FALSE)</f>
        <v>N/A</v>
      </c>
      <c r="F274" s="12" t="str">
        <f>VLOOKUP($A274,'Matriz POA 2024-TRABAJO'!$A$5:$CD$9142,20,FALSE)</f>
        <v>N/A</v>
      </c>
      <c r="G274" s="12" t="str">
        <f>VLOOKUP($A274,'Matriz POA 2024-TRABAJO'!$A$5:$CD$9142,21,FALSE)</f>
        <v>N/A</v>
      </c>
      <c r="H274" s="12" t="str">
        <f>VLOOKUP($A274,'Matriz POA 2024-TRABAJO'!$A$5:$CD$9142,22,FALSE)</f>
        <v>N/A</v>
      </c>
      <c r="I274" s="12" t="str">
        <f>VLOOKUP($A274,'Matriz POA 2024-TRABAJO'!$A$5:$CD$9142,23,FALSE)</f>
        <v>NUEVA</v>
      </c>
      <c r="J274" s="12" t="str">
        <f>VLOOKUP($A274,'Matriz POA 2024-TRABAJO'!$A$5:$CD$9142,24,FALSE)</f>
        <v>Reintegro Por Renovación de Certificado digital</v>
      </c>
      <c r="K274" s="12" t="str">
        <f>VLOOKUP($A274,'Matriz POA 2024-TRABAJO'!$A$5:$CD$9142,25,FALSE)</f>
        <v>0035</v>
      </c>
      <c r="L274" s="12" t="str">
        <f>VLOOKUP($A274,'Matriz POA 2024-TRABAJO'!$A$5:$CD$9142,26,FALSE)</f>
        <v>80</v>
      </c>
      <c r="M274" s="12" t="str">
        <f>VLOOKUP($A274,'Matriz POA 2024-TRABAJO'!$A$5:$CD$9142,27,FALSE)</f>
        <v>000</v>
      </c>
      <c r="N274" s="12" t="str">
        <f>VLOOKUP($A274,'Matriz POA 2024-TRABAJO'!$A$5:$CD$9142,28,FALSE)</f>
        <v>002</v>
      </c>
      <c r="O274" s="12" t="str">
        <f>VLOOKUP($A274,'Matriz POA 2024-TRABAJO'!$A$5:$CD$9142,29,FALSE)</f>
        <v>53</v>
      </c>
      <c r="P274" s="12">
        <f>VLOOKUP($A274,'Matriz POA 2024-TRABAJO'!$A$5:$CD$9142,30,FALSE)</f>
        <v>530228</v>
      </c>
      <c r="Q274" s="12">
        <f>VLOOKUP($A274,'Matriz POA 2024-TRABAJO'!$A$5:$CD$9142,32,FALSE)</f>
        <v>1309</v>
      </c>
      <c r="R274" s="12" t="str">
        <f>VLOOKUP($A274,'Matriz POA 2024-TRABAJO'!$A$5:$CD$9142,33,FALSE)</f>
        <v>001</v>
      </c>
      <c r="S274" s="12" t="str">
        <f>VLOOKUP($A274,'Matriz POA 2024-TRABAJO'!$A$5:$CD$9142,34,FALSE)</f>
        <v>0000</v>
      </c>
      <c r="T274" s="12" t="str">
        <f>VLOOKUP($A274,'Matriz POA 2024-TRABAJO'!$A$5:$CD$9142,35,FALSE)</f>
        <v>0000</v>
      </c>
      <c r="U274" s="62">
        <f>VLOOKUP($A274,'Matriz POA 2024-TRABAJO'!$A$5:$CD$9142,66,FALSE)</f>
        <v>30</v>
      </c>
      <c r="V274" s="62">
        <f>VLOOKUP($A274,'Matriz POA 2024-TRABAJO'!$A$5:$CD$9142,67,FALSE)</f>
        <v>-9.84</v>
      </c>
      <c r="W274" s="62">
        <f>VLOOKUP($A274,'Matriz POA 2024-TRABAJO'!$A$5:$CD$9142,68,FALSE)</f>
        <v>0</v>
      </c>
      <c r="X274" s="62">
        <f>VLOOKUP($A274,'Matriz POA 2024-TRABAJO'!$A$5:$CD$9142,72,FALSE)</f>
        <v>20.16</v>
      </c>
      <c r="Y274" s="388">
        <v>30</v>
      </c>
      <c r="Z274" s="388">
        <f>VLOOKUP($A274,'Matriz POA 2024-TRABAJO'!$A$5:$CD$9142,46,FALSE)</f>
        <v>0</v>
      </c>
      <c r="AA274" s="388">
        <v>30</v>
      </c>
      <c r="AB274" s="389"/>
      <c r="AC274" s="389">
        <v>-9.84</v>
      </c>
      <c r="AD274" s="13"/>
      <c r="AE274" s="13"/>
      <c r="AF274" s="13">
        <f t="shared" si="297"/>
        <v>20.16</v>
      </c>
      <c r="AG274" s="13">
        <f t="shared" si="298"/>
        <v>0</v>
      </c>
      <c r="AH274" s="13">
        <f t="shared" si="299"/>
        <v>20.16</v>
      </c>
      <c r="AI274" s="129">
        <f t="shared" si="306"/>
        <v>110.63999999999999</v>
      </c>
      <c r="AJ274" s="13" t="b">
        <f t="shared" si="307"/>
        <v>0</v>
      </c>
      <c r="AK274" s="14"/>
      <c r="AL274" s="15"/>
      <c r="AM274" s="16"/>
      <c r="AN274" s="15"/>
      <c r="AO274" s="16"/>
      <c r="AP274" s="17">
        <f t="shared" si="308"/>
        <v>0</v>
      </c>
      <c r="AQ274" s="12"/>
      <c r="AR274" s="15"/>
      <c r="AS274" s="18"/>
      <c r="AT274" s="12"/>
      <c r="AU274" s="129">
        <f t="shared" si="177"/>
        <v>110.63999999999999</v>
      </c>
      <c r="AV274" s="13" t="b">
        <f t="shared" si="189"/>
        <v>0</v>
      </c>
      <c r="AW274" s="14" t="s">
        <v>1975</v>
      </c>
      <c r="AX274" s="15" t="s">
        <v>1974</v>
      </c>
      <c r="AY274" s="16">
        <v>45503</v>
      </c>
      <c r="AZ274" s="15" t="s">
        <v>1976</v>
      </c>
      <c r="BA274" s="16">
        <v>45504</v>
      </c>
      <c r="BB274" s="17">
        <f t="shared" si="269"/>
        <v>1</v>
      </c>
      <c r="BC274" s="12"/>
      <c r="BD274" s="15"/>
      <c r="BE274" s="18"/>
      <c r="BF274" s="12"/>
      <c r="BG274" s="19" t="str">
        <f t="shared" si="270"/>
        <v>julio</v>
      </c>
      <c r="BH274" s="12" t="str">
        <f t="shared" si="271"/>
        <v>Corporación Ciudad Alfaro</v>
      </c>
      <c r="BI274" s="20" t="str">
        <f t="shared" si="272"/>
        <v>N/A</v>
      </c>
    </row>
    <row r="275" spans="1:61" ht="24.95" customHeight="1">
      <c r="A275" s="432">
        <v>440</v>
      </c>
      <c r="B275" s="12" t="str">
        <f>VLOOKUP($A275,'Matriz POA 2024-TRABAJO'!$A$5:$CD$9142,11,FALSE)</f>
        <v>Corporación Ciudad Alfaro</v>
      </c>
      <c r="C275" s="12" t="str">
        <f>VLOOKUP($A275,'Matriz POA 2024-TRABAJO'!$A$5:$CD$9142,14,FALSE)</f>
        <v>N/A</v>
      </c>
      <c r="D275" s="12" t="str">
        <f>VLOOKUP($A275,'Matriz POA 2024-TRABAJO'!$A$5:$CD$9142,15,FALSE)</f>
        <v>N/A</v>
      </c>
      <c r="E275" s="12" t="str">
        <f>VLOOKUP($A275,'Matriz POA 2024-TRABAJO'!$A$5:$CD$9142,18,FALSE)</f>
        <v>N/A</v>
      </c>
      <c r="F275" s="12" t="str">
        <f>VLOOKUP($A275,'Matriz POA 2024-TRABAJO'!$A$5:$CD$9142,20,FALSE)</f>
        <v>N/A</v>
      </c>
      <c r="G275" s="12" t="str">
        <f>VLOOKUP($A275,'Matriz POA 2024-TRABAJO'!$A$5:$CD$9142,21,FALSE)</f>
        <v>N/A</v>
      </c>
      <c r="H275" s="12" t="str">
        <f>VLOOKUP($A275,'Matriz POA 2024-TRABAJO'!$A$5:$CD$9142,22,FALSE)</f>
        <v>N/A</v>
      </c>
      <c r="I275" s="12" t="str">
        <f>VLOOKUP($A275,'Matriz POA 2024-TRABAJO'!$A$5:$CD$9142,23,FALSE)</f>
        <v>PLURIANUAL 2023-2024</v>
      </c>
      <c r="J275" s="12" t="str">
        <f>VLOOKUP($A275,'Matriz POA 2024-TRABAJO'!$A$5:$CD$9142,24,FALSE)</f>
        <v>Pago del servicio de seguridad y vigilancia de la Corporación Alfaro y sus Sedes</v>
      </c>
      <c r="K275" s="12" t="str">
        <f>VLOOKUP($A275,'Matriz POA 2024-TRABAJO'!$A$5:$CD$9142,25,FALSE)</f>
        <v>0035</v>
      </c>
      <c r="L275" s="12" t="str">
        <f>VLOOKUP($A275,'Matriz POA 2024-TRABAJO'!$A$5:$CD$9142,26,FALSE)</f>
        <v>80</v>
      </c>
      <c r="M275" s="12" t="str">
        <f>VLOOKUP($A275,'Matriz POA 2024-TRABAJO'!$A$5:$CD$9142,27,FALSE)</f>
        <v>000</v>
      </c>
      <c r="N275" s="12" t="str">
        <f>VLOOKUP($A275,'Matriz POA 2024-TRABAJO'!$A$5:$CD$9142,28,FALSE)</f>
        <v>002</v>
      </c>
      <c r="O275" s="12" t="str">
        <f>VLOOKUP($A275,'Matriz POA 2024-TRABAJO'!$A$5:$CD$9142,29,FALSE)</f>
        <v>53</v>
      </c>
      <c r="P275" s="12">
        <f>VLOOKUP($A275,'Matriz POA 2024-TRABAJO'!$A$5:$CD$9142,30,FALSE)</f>
        <v>530208</v>
      </c>
      <c r="Q275" s="12">
        <f>VLOOKUP($A275,'Matriz POA 2024-TRABAJO'!$A$5:$CD$9142,32,FALSE)</f>
        <v>1309</v>
      </c>
      <c r="R275" s="12" t="str">
        <f>VLOOKUP($A275,'Matriz POA 2024-TRABAJO'!$A$5:$CD$9142,33,FALSE)</f>
        <v>001</v>
      </c>
      <c r="S275" s="12" t="str">
        <f>VLOOKUP($A275,'Matriz POA 2024-TRABAJO'!$A$5:$CD$9142,34,FALSE)</f>
        <v>0000</v>
      </c>
      <c r="T275" s="12" t="str">
        <f>VLOOKUP($A275,'Matriz POA 2024-TRABAJO'!$A$5:$CD$9142,35,FALSE)</f>
        <v>0000</v>
      </c>
      <c r="U275" s="62">
        <f>VLOOKUP($A275,'Matriz POA 2024-TRABAJO'!$A$5:$CD$9142,66,FALSE)</f>
        <v>178957</v>
      </c>
      <c r="V275" s="62">
        <f>VLOOKUP($A275,'Matriz POA 2024-TRABAJO'!$A$5:$CD$9142,67,FALSE)</f>
        <v>-7157</v>
      </c>
      <c r="W275" s="62">
        <f>VLOOKUP($A275,'Matriz POA 2024-TRABAJO'!$A$5:$CD$9142,68,FALSE)</f>
        <v>0</v>
      </c>
      <c r="X275" s="62">
        <f>VLOOKUP($A275,'Matriz POA 2024-TRABAJO'!$A$5:$CD$9142,72,FALSE)</f>
        <v>171732.33000000002</v>
      </c>
      <c r="Y275" s="388">
        <v>178957</v>
      </c>
      <c r="Z275" s="388">
        <f>VLOOKUP($A275,'Matriz POA 2024-TRABAJO'!$A$5:$CD$9142,46,FALSE)</f>
        <v>0</v>
      </c>
      <c r="AA275" s="388">
        <v>178957</v>
      </c>
      <c r="AB275" s="389"/>
      <c r="AC275" s="389">
        <v>-7157</v>
      </c>
      <c r="AD275" s="13"/>
      <c r="AE275" s="13"/>
      <c r="AF275" s="13">
        <f t="shared" si="297"/>
        <v>171800</v>
      </c>
      <c r="AG275" s="13">
        <f t="shared" si="298"/>
        <v>0</v>
      </c>
      <c r="AH275" s="13">
        <f t="shared" si="299"/>
        <v>171800</v>
      </c>
      <c r="AI275" s="129">
        <f t="shared" si="306"/>
        <v>866089.33000000007</v>
      </c>
      <c r="AJ275" s="13" t="b">
        <f t="shared" si="307"/>
        <v>0</v>
      </c>
      <c r="AK275" s="14"/>
      <c r="AL275" s="15"/>
      <c r="AM275" s="16"/>
      <c r="AN275" s="15"/>
      <c r="AO275" s="16"/>
      <c r="AP275" s="17">
        <f t="shared" si="308"/>
        <v>0</v>
      </c>
      <c r="AQ275" s="12"/>
      <c r="AR275" s="15"/>
      <c r="AS275" s="18"/>
      <c r="AT275" s="12"/>
      <c r="AU275" s="129">
        <f t="shared" si="177"/>
        <v>866089.33000000007</v>
      </c>
      <c r="AV275" s="13" t="b">
        <f t="shared" si="189"/>
        <v>0</v>
      </c>
      <c r="AW275" s="14" t="s">
        <v>1975</v>
      </c>
      <c r="AX275" s="15" t="s">
        <v>1974</v>
      </c>
      <c r="AY275" s="16">
        <v>45503</v>
      </c>
      <c r="AZ275" s="15" t="s">
        <v>1976</v>
      </c>
      <c r="BA275" s="16">
        <v>45504</v>
      </c>
      <c r="BB275" s="17">
        <f t="shared" si="269"/>
        <v>1</v>
      </c>
      <c r="BC275" s="12"/>
      <c r="BD275" s="15"/>
      <c r="BE275" s="18"/>
      <c r="BF275" s="12"/>
      <c r="BG275" s="19" t="str">
        <f t="shared" si="270"/>
        <v>julio</v>
      </c>
      <c r="BH275" s="12" t="str">
        <f t="shared" si="271"/>
        <v>Corporación Ciudad Alfaro</v>
      </c>
      <c r="BI275" s="20" t="str">
        <f t="shared" si="272"/>
        <v>N/A</v>
      </c>
    </row>
    <row r="276" spans="1:61" ht="24.95" customHeight="1">
      <c r="A276" s="432">
        <v>487</v>
      </c>
      <c r="B276" s="12" t="str">
        <f>VLOOKUP($A276,'Matriz POA 2024-TRABAJO'!$A$5:$CD$9142,11,FALSE)</f>
        <v>Corporación Ciudad Alfaro</v>
      </c>
      <c r="C276" s="12" t="str">
        <f>VLOOKUP($A276,'Matriz POA 2024-TRABAJO'!$A$5:$CD$9142,14,FALSE)</f>
        <v>N/A</v>
      </c>
      <c r="D276" s="12" t="str">
        <f>VLOOKUP($A276,'Matriz POA 2024-TRABAJO'!$A$5:$CD$9142,15,FALSE)</f>
        <v>N/A</v>
      </c>
      <c r="E276" s="12" t="str">
        <f>VLOOKUP($A276,'Matriz POA 2024-TRABAJO'!$A$5:$CD$9142,18,FALSE)</f>
        <v>N/A</v>
      </c>
      <c r="F276" s="12" t="str">
        <f>VLOOKUP($A276,'Matriz POA 2024-TRABAJO'!$A$5:$CD$9142,20,FALSE)</f>
        <v>N/A</v>
      </c>
      <c r="G276" s="12" t="str">
        <f>VLOOKUP($A276,'Matriz POA 2024-TRABAJO'!$A$5:$CD$9142,21,FALSE)</f>
        <v>N/A</v>
      </c>
      <c r="H276" s="12" t="str">
        <f>VLOOKUP($A276,'Matriz POA 2024-TRABAJO'!$A$5:$CD$9142,22,FALSE)</f>
        <v>N/A</v>
      </c>
      <c r="I276" s="12" t="str">
        <f>VLOOKUP($A276,'Matriz POA 2024-TRABAJO'!$A$5:$CD$9142,23,FALSE)</f>
        <v>NUEVA</v>
      </c>
      <c r="J276" s="12" t="str">
        <f>VLOOKUP($A276,'Matriz POA 2024-TRABAJO'!$A$5:$CD$9142,24,FALSE)</f>
        <v>Pago de viáticos para el personal de la Corporación Ciudad Alfaro y sus sedes</v>
      </c>
      <c r="K276" s="12" t="str">
        <f>VLOOKUP($A276,'Matriz POA 2024-TRABAJO'!$A$5:$CD$9142,25,FALSE)</f>
        <v>0035</v>
      </c>
      <c r="L276" s="12" t="str">
        <f>VLOOKUP($A276,'Matriz POA 2024-TRABAJO'!$A$5:$CD$9142,26,FALSE)</f>
        <v>80</v>
      </c>
      <c r="M276" s="12" t="str">
        <f>VLOOKUP($A276,'Matriz POA 2024-TRABAJO'!$A$5:$CD$9142,27,FALSE)</f>
        <v>000</v>
      </c>
      <c r="N276" s="12" t="str">
        <f>VLOOKUP($A276,'Matriz POA 2024-TRABAJO'!$A$5:$CD$9142,28,FALSE)</f>
        <v>002</v>
      </c>
      <c r="O276" s="12" t="str">
        <f>VLOOKUP($A276,'Matriz POA 2024-TRABAJO'!$A$5:$CD$9142,29,FALSE)</f>
        <v>53</v>
      </c>
      <c r="P276" s="12">
        <f>VLOOKUP($A276,'Matriz POA 2024-TRABAJO'!$A$5:$CD$9142,30,FALSE)</f>
        <v>530303</v>
      </c>
      <c r="Q276" s="12">
        <f>VLOOKUP($A276,'Matriz POA 2024-TRABAJO'!$A$5:$CD$9142,32,FALSE)</f>
        <v>1309</v>
      </c>
      <c r="R276" s="12" t="str">
        <f>VLOOKUP($A276,'Matriz POA 2024-TRABAJO'!$A$5:$CD$9142,33,FALSE)</f>
        <v>001</v>
      </c>
      <c r="S276" s="12" t="str">
        <f>VLOOKUP($A276,'Matriz POA 2024-TRABAJO'!$A$5:$CD$9142,34,FALSE)</f>
        <v>0000</v>
      </c>
      <c r="T276" s="12" t="str">
        <f>VLOOKUP($A276,'Matriz POA 2024-TRABAJO'!$A$5:$CD$9142,35,FALSE)</f>
        <v>0000</v>
      </c>
      <c r="U276" s="62">
        <f>VLOOKUP($A276,'Matriz POA 2024-TRABAJO'!$A$5:$CD$9142,66,FALSE)</f>
        <v>4801.58</v>
      </c>
      <c r="V276" s="62">
        <f>VLOOKUP($A276,'Matriz POA 2024-TRABAJO'!$A$5:$CD$9142,67,FALSE)</f>
        <v>-31.319999999999709</v>
      </c>
      <c r="W276" s="62">
        <f>VLOOKUP($A276,'Matriz POA 2024-TRABAJO'!$A$5:$CD$9142,68,FALSE)</f>
        <v>4110.26</v>
      </c>
      <c r="X276" s="62">
        <f>VLOOKUP($A276,'Matriz POA 2024-TRABAJO'!$A$5:$CD$9142,72,FALSE)</f>
        <v>3257.5</v>
      </c>
      <c r="Y276" s="388">
        <v>4801.58</v>
      </c>
      <c r="Z276" s="388">
        <f>VLOOKUP($A276,'Matriz POA 2024-TRABAJO'!$A$5:$CD$9142,46,FALSE)</f>
        <v>0</v>
      </c>
      <c r="AA276" s="388">
        <v>4801.58</v>
      </c>
      <c r="AB276" s="389"/>
      <c r="AC276" s="389">
        <v>-31.32</v>
      </c>
      <c r="AD276" s="13"/>
      <c r="AE276" s="13"/>
      <c r="AF276" s="13">
        <f t="shared" si="297"/>
        <v>4770.26</v>
      </c>
      <c r="AG276" s="13">
        <f t="shared" si="298"/>
        <v>0</v>
      </c>
      <c r="AH276" s="13">
        <f t="shared" si="299"/>
        <v>4770.26</v>
      </c>
      <c r="AI276" s="129">
        <f t="shared" si="306"/>
        <v>26480.120000000003</v>
      </c>
      <c r="AJ276" s="13" t="b">
        <f t="shared" si="307"/>
        <v>0</v>
      </c>
      <c r="AK276" s="14"/>
      <c r="AL276" s="15"/>
      <c r="AM276" s="16"/>
      <c r="AN276" s="15"/>
      <c r="AO276" s="16"/>
      <c r="AP276" s="17">
        <f t="shared" si="308"/>
        <v>0</v>
      </c>
      <c r="AQ276" s="12"/>
      <c r="AR276" s="15"/>
      <c r="AS276" s="18"/>
      <c r="AT276" s="12"/>
      <c r="AU276" s="129">
        <f t="shared" si="177"/>
        <v>26480.120000000003</v>
      </c>
      <c r="AV276" s="13" t="b">
        <f t="shared" si="189"/>
        <v>0</v>
      </c>
      <c r="AW276" s="14" t="s">
        <v>1975</v>
      </c>
      <c r="AX276" s="15" t="s">
        <v>1974</v>
      </c>
      <c r="AY276" s="16">
        <v>45503</v>
      </c>
      <c r="AZ276" s="15" t="s">
        <v>1976</v>
      </c>
      <c r="BA276" s="16">
        <v>45504</v>
      </c>
      <c r="BB276" s="17">
        <f t="shared" si="269"/>
        <v>1</v>
      </c>
      <c r="BC276" s="12"/>
      <c r="BD276" s="15"/>
      <c r="BE276" s="18"/>
      <c r="BF276" s="12"/>
      <c r="BG276" s="19" t="str">
        <f t="shared" si="270"/>
        <v>julio</v>
      </c>
      <c r="BH276" s="12" t="str">
        <f t="shared" si="271"/>
        <v>Corporación Ciudad Alfaro</v>
      </c>
      <c r="BI276" s="20" t="str">
        <f t="shared" si="272"/>
        <v>N/A</v>
      </c>
    </row>
    <row r="277" spans="1:61" s="430" customFormat="1" ht="24.95" customHeight="1">
      <c r="A277" s="485">
        <v>489</v>
      </c>
      <c r="B277" s="136" t="str">
        <f>VLOOKUP($A277,'Matriz POA 2024-TRABAJO'!$A$5:$CD$9142,11,FALSE)</f>
        <v>Corporación Ciudad Alfaro</v>
      </c>
      <c r="C277" s="136" t="str">
        <f>VLOOKUP($A277,'Matriz POA 2024-TRABAJO'!$A$5:$CD$9142,14,FALSE)</f>
        <v>N/A</v>
      </c>
      <c r="D277" s="136" t="str">
        <f>VLOOKUP($A277,'Matriz POA 2024-TRABAJO'!$A$5:$CD$9142,15,FALSE)</f>
        <v>N/A</v>
      </c>
      <c r="E277" s="136" t="str">
        <f>VLOOKUP($A277,'Matriz POA 2024-TRABAJO'!$A$5:$CD$9142,18,FALSE)</f>
        <v>N/A</v>
      </c>
      <c r="F277" s="136" t="str">
        <f>VLOOKUP($A277,'Matriz POA 2024-TRABAJO'!$A$5:$CD$9142,20,FALSE)</f>
        <v>N/A</v>
      </c>
      <c r="G277" s="136" t="str">
        <f>VLOOKUP($A277,'Matriz POA 2024-TRABAJO'!$A$5:$CD$9142,21,FALSE)</f>
        <v>N/A</v>
      </c>
      <c r="H277" s="136" t="str">
        <f>VLOOKUP($A277,'Matriz POA 2024-TRABAJO'!$A$5:$CD$9142,22,FALSE)</f>
        <v>N/A</v>
      </c>
      <c r="I277" s="136" t="str">
        <f>VLOOKUP($A277,'Matriz POA 2024-TRABAJO'!$A$5:$CD$9142,23,FALSE)</f>
        <v>NUEVA</v>
      </c>
      <c r="J277" s="136" t="str">
        <f>VLOOKUP($A277,'Matriz POA 2024-TRABAJO'!$A$5:$CD$9142,24,FALSE)</f>
        <v xml:space="preserve">Adquisición de materiales y suministros de conservación y restauración para la Corporación Ciudad Alfaro y sus sedes </v>
      </c>
      <c r="K277" s="136" t="str">
        <f>VLOOKUP($A277,'Matriz POA 2024-TRABAJO'!$A$5:$CD$9142,25,FALSE)</f>
        <v>0035</v>
      </c>
      <c r="L277" s="136" t="str">
        <f>VLOOKUP($A277,'Matriz POA 2024-TRABAJO'!$A$5:$CD$9142,26,FALSE)</f>
        <v>80</v>
      </c>
      <c r="M277" s="136" t="str">
        <f>VLOOKUP($A277,'Matriz POA 2024-TRABAJO'!$A$5:$CD$9142,27,FALSE)</f>
        <v>000</v>
      </c>
      <c r="N277" s="136" t="str">
        <f>VLOOKUP($A277,'Matriz POA 2024-TRABAJO'!$A$5:$CD$9142,28,FALSE)</f>
        <v>002</v>
      </c>
      <c r="O277" s="136" t="str">
        <f>VLOOKUP($A277,'Matriz POA 2024-TRABAJO'!$A$5:$CD$9142,29,FALSE)</f>
        <v>53</v>
      </c>
      <c r="P277" s="136">
        <f>VLOOKUP($A277,'Matriz POA 2024-TRABAJO'!$A$5:$CD$9142,30,FALSE)</f>
        <v>530811</v>
      </c>
      <c r="Q277" s="136">
        <f>VLOOKUP($A277,'Matriz POA 2024-TRABAJO'!$A$5:$CD$9142,32,FALSE)</f>
        <v>1309</v>
      </c>
      <c r="R277" s="136" t="str">
        <f>VLOOKUP($A277,'Matriz POA 2024-TRABAJO'!$A$5:$CD$9142,33,FALSE)</f>
        <v>001</v>
      </c>
      <c r="S277" s="136" t="str">
        <f>VLOOKUP($A277,'Matriz POA 2024-TRABAJO'!$A$5:$CD$9142,34,FALSE)</f>
        <v>0000</v>
      </c>
      <c r="T277" s="136" t="str">
        <f>VLOOKUP($A277,'Matriz POA 2024-TRABAJO'!$A$5:$CD$9142,35,FALSE)</f>
        <v>0000</v>
      </c>
      <c r="U277" s="137">
        <f>VLOOKUP($A277,'Matriz POA 2024-TRABAJO'!$A$5:$CD$9142,66,FALSE)</f>
        <v>3942.38</v>
      </c>
      <c r="V277" s="137">
        <f>VLOOKUP($A277,'Matriz POA 2024-TRABAJO'!$A$5:$CD$9142,67,FALSE)</f>
        <v>-3942.38</v>
      </c>
      <c r="W277" s="137">
        <f>VLOOKUP($A277,'Matriz POA 2024-TRABAJO'!$A$5:$CD$9142,68,FALSE)</f>
        <v>0</v>
      </c>
      <c r="X277" s="137" t="str">
        <f>VLOOKUP($A277,'Matriz POA 2024-TRABAJO'!$A$5:$CD$9142,72,FALSE)</f>
        <v/>
      </c>
      <c r="Y277" s="390">
        <v>3942.38</v>
      </c>
      <c r="Z277" s="390">
        <f>VLOOKUP($A277,'Matriz POA 2024-TRABAJO'!$A$5:$CD$9142,46,FALSE)</f>
        <v>0</v>
      </c>
      <c r="AA277" s="390">
        <v>3942.38</v>
      </c>
      <c r="AB277" s="391"/>
      <c r="AC277" s="391">
        <v>-3942.38</v>
      </c>
      <c r="AD277" s="138"/>
      <c r="AE277" s="138"/>
      <c r="AF277" s="138">
        <f t="shared" ref="AF277" si="309">Y277+AB277+AC277</f>
        <v>0</v>
      </c>
      <c r="AG277" s="138">
        <f t="shared" ref="AG277" si="310">Z277+AD277+AE277</f>
        <v>0</v>
      </c>
      <c r="AH277" s="138">
        <f t="shared" ref="AH277" si="311">+AF277+AG277</f>
        <v>0</v>
      </c>
      <c r="AI277" s="19" t="e">
        <f t="shared" ref="AI277:AI278" si="312">TEXT(AC277,"MMMM")</f>
        <v>#VALUE!</v>
      </c>
      <c r="AJ277" s="12" t="e">
        <f t="shared" ref="AJ277" si="313">#REF!</f>
        <v>#REF!</v>
      </c>
      <c r="AK277" s="20" t="e">
        <f t="shared" ref="AK277" si="314">#REF!</f>
        <v>#REF!</v>
      </c>
      <c r="AL277" s="7"/>
      <c r="AM277" s="7"/>
      <c r="AN277" s="7"/>
      <c r="AO277" s="7"/>
      <c r="AP277" s="7"/>
      <c r="AQ277" s="7"/>
      <c r="AR277" s="7"/>
      <c r="AS277" s="7"/>
      <c r="AT277" s="7"/>
      <c r="AU277" s="139" t="e">
        <f t="shared" si="177"/>
        <v>#VALUE!</v>
      </c>
      <c r="AV277" s="138" t="e">
        <f t="shared" si="189"/>
        <v>#VALUE!</v>
      </c>
      <c r="AW277" s="190" t="s">
        <v>1975</v>
      </c>
      <c r="AX277" s="191" t="s">
        <v>1974</v>
      </c>
      <c r="AY277" s="192">
        <v>45503</v>
      </c>
      <c r="AZ277" s="191" t="s">
        <v>1976</v>
      </c>
      <c r="BA277" s="192">
        <v>45504</v>
      </c>
      <c r="BB277" s="193">
        <f t="shared" si="269"/>
        <v>1</v>
      </c>
      <c r="BC277" s="136"/>
      <c r="BD277" s="191"/>
      <c r="BE277" s="215"/>
      <c r="BF277" s="136"/>
      <c r="BG277" s="216" t="str">
        <f t="shared" si="270"/>
        <v>julio</v>
      </c>
      <c r="BH277" s="136" t="str">
        <f t="shared" si="271"/>
        <v>Corporación Ciudad Alfaro</v>
      </c>
      <c r="BI277" s="217" t="str">
        <f t="shared" si="272"/>
        <v>N/A</v>
      </c>
    </row>
    <row r="278" spans="1:61" s="430" customFormat="1" ht="24.95" customHeight="1">
      <c r="A278" s="485">
        <v>869</v>
      </c>
      <c r="B278" s="136" t="str">
        <f>VLOOKUP($A278,'Matriz POA 2024-TRABAJO'!$A$5:$CD$9142,11,FALSE)</f>
        <v>Corporación Ciudad Alfaro</v>
      </c>
      <c r="C278" s="136" t="str">
        <f>VLOOKUP($A278,'Matriz POA 2024-TRABAJO'!$A$5:$CD$9142,14,FALSE)</f>
        <v>N/A</v>
      </c>
      <c r="D278" s="136" t="str">
        <f>VLOOKUP($A278,'Matriz POA 2024-TRABAJO'!$A$5:$CD$9142,15,FALSE)</f>
        <v>N/A</v>
      </c>
      <c r="E278" s="136" t="str">
        <f>VLOOKUP($A278,'Matriz POA 2024-TRABAJO'!$A$5:$CD$9142,18,FALSE)</f>
        <v>N/A</v>
      </c>
      <c r="F278" s="136" t="str">
        <f>VLOOKUP($A278,'Matriz POA 2024-TRABAJO'!$A$5:$CD$9142,20,FALSE)</f>
        <v>N/A</v>
      </c>
      <c r="G278" s="136" t="str">
        <f>VLOOKUP($A278,'Matriz POA 2024-TRABAJO'!$A$5:$CD$9142,21,FALSE)</f>
        <v>N/A</v>
      </c>
      <c r="H278" s="136" t="str">
        <f>VLOOKUP($A278,'Matriz POA 2024-TRABAJO'!$A$5:$CD$9142,22,FALSE)</f>
        <v>N/A</v>
      </c>
      <c r="I278" s="136" t="str">
        <f>VLOOKUP($A278,'Matriz POA 2024-TRABAJO'!$A$5:$CD$9142,23,FALSE)</f>
        <v>NUEVA</v>
      </c>
      <c r="J278" s="136" t="str">
        <f>VLOOKUP($A278,'Matriz POA 2024-TRABAJO'!$A$5:$CD$9142,24,FALSE)</f>
        <v>Contratación del servicio de Construcción de la cubierta con estructura metálica ubicado en el primer piso del edificio Bahía de Caráquez y mantenimiento preventivo y correctivo de las cerchas metálicas del bloque cancebí correspondiente al Museo Nuclear Corporación Ciudad Alfaro</v>
      </c>
      <c r="K278" s="136" t="str">
        <f>VLOOKUP($A278,'Matriz POA 2024-TRABAJO'!$A$5:$CD$9142,25,FALSE)</f>
        <v>0035</v>
      </c>
      <c r="L278" s="136" t="str">
        <f>VLOOKUP($A278,'Matriz POA 2024-TRABAJO'!$A$5:$CD$9142,26,FALSE)</f>
        <v>80</v>
      </c>
      <c r="M278" s="136" t="str">
        <f>VLOOKUP($A278,'Matriz POA 2024-TRABAJO'!$A$5:$CD$9142,27,FALSE)</f>
        <v>000</v>
      </c>
      <c r="N278" s="136" t="str">
        <f>VLOOKUP($A278,'Matriz POA 2024-TRABAJO'!$A$5:$CD$9142,28,FALSE)</f>
        <v>002</v>
      </c>
      <c r="O278" s="136" t="str">
        <f>VLOOKUP($A278,'Matriz POA 2024-TRABAJO'!$A$5:$CD$9142,29,FALSE)</f>
        <v>53</v>
      </c>
      <c r="P278" s="136">
        <f>VLOOKUP($A278,'Matriz POA 2024-TRABAJO'!$A$5:$CD$9142,30,FALSE)</f>
        <v>530402</v>
      </c>
      <c r="Q278" s="136">
        <f>VLOOKUP($A278,'Matriz POA 2024-TRABAJO'!$A$5:$CD$9142,32,FALSE)</f>
        <v>1309</v>
      </c>
      <c r="R278" s="136" t="str">
        <f>VLOOKUP($A278,'Matriz POA 2024-TRABAJO'!$A$5:$CD$9142,33,FALSE)</f>
        <v>001</v>
      </c>
      <c r="S278" s="136" t="str">
        <f>VLOOKUP($A278,'Matriz POA 2024-TRABAJO'!$A$5:$CD$9142,34,FALSE)</f>
        <v>0000</v>
      </c>
      <c r="T278" s="136" t="str">
        <f>VLOOKUP($A278,'Matriz POA 2024-TRABAJO'!$A$5:$CD$9142,35,FALSE)</f>
        <v>0000</v>
      </c>
      <c r="U278" s="137" t="str">
        <f>VLOOKUP($A278,'Matriz POA 2024-TRABAJO'!$A$5:$CD$9142,66,FALSE)</f>
        <v/>
      </c>
      <c r="V278" s="137" t="str">
        <f>VLOOKUP($A278,'Matriz POA 2024-TRABAJO'!$A$5:$CD$9142,67,FALSE)</f>
        <v/>
      </c>
      <c r="W278" s="137">
        <f>VLOOKUP($A278,'Matriz POA 2024-TRABAJO'!$A$5:$CD$9142,68,FALSE)</f>
        <v>0</v>
      </c>
      <c r="X278" s="137" t="str">
        <f>VLOOKUP($A278,'Matriz POA 2024-TRABAJO'!$A$5:$CD$9142,72,FALSE)</f>
        <v/>
      </c>
      <c r="Y278" s="390">
        <v>15000</v>
      </c>
      <c r="Z278" s="390">
        <f>VLOOKUP($A278,'Matriz POA 2024-TRABAJO'!$A$5:$CD$9142,46,FALSE)</f>
        <v>0</v>
      </c>
      <c r="AA278" s="390">
        <v>15000</v>
      </c>
      <c r="AB278" s="391"/>
      <c r="AC278" s="391">
        <v>-15000</v>
      </c>
      <c r="AD278" s="138"/>
      <c r="AE278" s="138"/>
      <c r="AF278" s="138">
        <f t="shared" ref="AF278" si="315">Y278+AB278+AC278</f>
        <v>0</v>
      </c>
      <c r="AG278" s="138">
        <f t="shared" ref="AG278" si="316">Z278+AD278+AE278</f>
        <v>0</v>
      </c>
      <c r="AH278" s="138">
        <f t="shared" ref="AH278" si="317">+AF278+AG278</f>
        <v>0</v>
      </c>
      <c r="AI278" s="7" t="e">
        <f t="shared" si="312"/>
        <v>#VALUE!</v>
      </c>
      <c r="AJ278" s="7"/>
      <c r="AK278" s="7"/>
      <c r="AL278" s="7"/>
      <c r="AM278" s="7"/>
      <c r="AN278" s="7"/>
      <c r="AO278" s="7"/>
      <c r="AP278" s="7"/>
      <c r="AQ278" s="7"/>
      <c r="AR278" s="7"/>
      <c r="AS278" s="7"/>
      <c r="AT278" s="7"/>
      <c r="AU278" s="139" t="e">
        <f t="shared" si="177"/>
        <v>#VALUE!</v>
      </c>
      <c r="AV278" s="138" t="e">
        <f t="shared" si="189"/>
        <v>#VALUE!</v>
      </c>
      <c r="AW278" s="190" t="s">
        <v>1975</v>
      </c>
      <c r="AX278" s="191" t="s">
        <v>1974</v>
      </c>
      <c r="AY278" s="192">
        <v>45503</v>
      </c>
      <c r="AZ278" s="191" t="s">
        <v>1976</v>
      </c>
      <c r="BA278" s="192">
        <v>45504</v>
      </c>
      <c r="BB278" s="193">
        <f t="shared" si="269"/>
        <v>1</v>
      </c>
      <c r="BC278" s="136"/>
      <c r="BD278" s="191"/>
      <c r="BE278" s="215"/>
      <c r="BF278" s="136"/>
      <c r="BG278" s="216" t="str">
        <f t="shared" si="270"/>
        <v>julio</v>
      </c>
      <c r="BH278" s="136" t="str">
        <f t="shared" si="271"/>
        <v>Corporación Ciudad Alfaro</v>
      </c>
      <c r="BI278" s="217" t="str">
        <f t="shared" si="272"/>
        <v>N/A</v>
      </c>
    </row>
    <row r="279" spans="1:61" ht="24.95" customHeight="1">
      <c r="A279" s="432">
        <v>956</v>
      </c>
      <c r="B279" s="12" t="str">
        <f>VLOOKUP($A279,'Matriz POA 2024-TRABAJO'!$A$5:$CD$9142,11,FALSE)</f>
        <v>Corporación Ciudad Alfaro</v>
      </c>
      <c r="C279" s="12" t="str">
        <f>VLOOKUP($A279,'Matriz POA 2024-TRABAJO'!$A$5:$CD$9142,14,FALSE)</f>
        <v>N/A</v>
      </c>
      <c r="D279" s="12" t="str">
        <f>VLOOKUP($A279,'Matriz POA 2024-TRABAJO'!$A$5:$CD$9142,15,FALSE)</f>
        <v>N/A</v>
      </c>
      <c r="E279" s="12" t="str">
        <f>VLOOKUP($A279,'Matriz POA 2024-TRABAJO'!$A$5:$CD$9142,18,FALSE)</f>
        <v>N/A</v>
      </c>
      <c r="F279" s="12" t="str">
        <f>VLOOKUP($A279,'Matriz POA 2024-TRABAJO'!$A$5:$CD$9142,20,FALSE)</f>
        <v>N/A</v>
      </c>
      <c r="G279" s="12" t="str">
        <f>VLOOKUP($A279,'Matriz POA 2024-TRABAJO'!$A$5:$CD$9142,21,FALSE)</f>
        <v>N/A</v>
      </c>
      <c r="H279" s="12" t="str">
        <f>VLOOKUP($A279,'Matriz POA 2024-TRABAJO'!$A$5:$CD$9142,22,FALSE)</f>
        <v>N/A</v>
      </c>
      <c r="I279" s="12" t="str">
        <f>VLOOKUP($A279,'Matriz POA 2024-TRABAJO'!$A$5:$CD$9142,23,FALSE)</f>
        <v>NUEVA</v>
      </c>
      <c r="J279" s="12" t="str">
        <f>VLOOKUP($A279,'Matriz POA 2024-TRABAJO'!$A$5:$CD$9142,24,FALSE)</f>
        <v>Contratación del servicio de mantenimiento de las letras corpóreas de la entrada del edificio Museo Centro Cultural Manta</v>
      </c>
      <c r="K279" s="12" t="str">
        <f>VLOOKUP($A279,'Matriz POA 2024-TRABAJO'!$A$5:$CD$9142,25,FALSE)</f>
        <v>0035</v>
      </c>
      <c r="L279" s="12" t="str">
        <f>VLOOKUP($A279,'Matriz POA 2024-TRABAJO'!$A$5:$CD$9142,26,FALSE)</f>
        <v>80</v>
      </c>
      <c r="M279" s="12" t="str">
        <f>VLOOKUP($A279,'Matriz POA 2024-TRABAJO'!$A$5:$CD$9142,27,FALSE)</f>
        <v>000</v>
      </c>
      <c r="N279" s="12" t="str">
        <f>VLOOKUP($A279,'Matriz POA 2024-TRABAJO'!$A$5:$CD$9142,28,FALSE)</f>
        <v>002</v>
      </c>
      <c r="O279" s="12">
        <f>VLOOKUP($A279,'Matriz POA 2024-TRABAJO'!$A$5:$CD$9142,29,FALSE)</f>
        <v>53</v>
      </c>
      <c r="P279" s="12">
        <f>VLOOKUP($A279,'Matriz POA 2024-TRABAJO'!$A$5:$CD$9142,30,FALSE)</f>
        <v>530402</v>
      </c>
      <c r="Q279" s="12">
        <f>VLOOKUP($A279,'Matriz POA 2024-TRABAJO'!$A$5:$CD$9142,32,FALSE)</f>
        <v>1308</v>
      </c>
      <c r="R279" s="12" t="str">
        <f>VLOOKUP($A279,'Matriz POA 2024-TRABAJO'!$A$5:$CD$9142,33,FALSE)</f>
        <v>001</v>
      </c>
      <c r="S279" s="12" t="str">
        <f>VLOOKUP($A279,'Matriz POA 2024-TRABAJO'!$A$5:$CD$9142,34,FALSE)</f>
        <v>0000</v>
      </c>
      <c r="T279" s="12" t="str">
        <f>VLOOKUP($A279,'Matriz POA 2024-TRABAJO'!$A$5:$CD$9142,35,FALSE)</f>
        <v>0000</v>
      </c>
      <c r="U279" s="62" t="str">
        <f>VLOOKUP($A279,'Matriz POA 2024-TRABAJO'!$A$5:$CD$9142,66,FALSE)</f>
        <v/>
      </c>
      <c r="V279" s="62" t="str">
        <f>VLOOKUP($A279,'Matriz POA 2024-TRABAJO'!$A$5:$CD$9142,67,FALSE)</f>
        <v/>
      </c>
      <c r="W279" s="62" t="str">
        <f>VLOOKUP($A279,'Matriz POA 2024-TRABAJO'!$A$5:$CD$9142,68,FALSE)</f>
        <v/>
      </c>
      <c r="X279" s="62" t="str">
        <f>VLOOKUP($A279,'Matriz POA 2024-TRABAJO'!$A$5:$CD$9142,72,FALSE)</f>
        <v/>
      </c>
      <c r="Y279" s="388">
        <f>VLOOKUP($A279,'Matriz POA 2024-TRABAJO'!$A$5:$CD$9142,45,FALSE)</f>
        <v>0</v>
      </c>
      <c r="Z279" s="388">
        <f>VLOOKUP($A279,'Matriz POA 2024-TRABAJO'!$A$5:$CD$9142,46,FALSE)</f>
        <v>0</v>
      </c>
      <c r="AA279" s="388">
        <f>VLOOKUP($A279,'Matriz POA 2024-TRABAJO'!$A$5:$CD$9142,47,FALSE)</f>
        <v>0</v>
      </c>
      <c r="AB279" s="389">
        <v>2500</v>
      </c>
      <c r="AC279" s="389"/>
      <c r="AD279" s="13"/>
      <c r="AE279" s="13"/>
      <c r="AF279" s="13">
        <f t="shared" ref="AF279" si="318">Y279+AB279+AC279</f>
        <v>2500</v>
      </c>
      <c r="AG279" s="13">
        <f t="shared" ref="AG279" si="319">Z279+AD279+AE279</f>
        <v>0</v>
      </c>
      <c r="AH279" s="13">
        <f t="shared" ref="AH279" si="320">+AF279+AG279</f>
        <v>2500</v>
      </c>
      <c r="AI279" s="7"/>
      <c r="AJ279" s="7"/>
      <c r="AK279" s="7"/>
      <c r="AL279" s="7"/>
      <c r="AM279" s="7"/>
      <c r="AN279" s="7"/>
      <c r="AO279" s="7"/>
      <c r="AP279" s="7"/>
      <c r="AQ279" s="7"/>
      <c r="AR279" s="7"/>
      <c r="AS279" s="7"/>
      <c r="AT279" s="7"/>
      <c r="AU279" s="129">
        <f t="shared" si="177"/>
        <v>0</v>
      </c>
      <c r="AV279" s="13" t="b">
        <f t="shared" si="189"/>
        <v>0</v>
      </c>
      <c r="AW279" s="14" t="s">
        <v>1975</v>
      </c>
      <c r="AX279" s="15" t="s">
        <v>1974</v>
      </c>
      <c r="AY279" s="16">
        <v>45503</v>
      </c>
      <c r="AZ279" s="15" t="s">
        <v>1976</v>
      </c>
      <c r="BA279" s="16">
        <v>45504</v>
      </c>
      <c r="BB279" s="17">
        <f t="shared" si="269"/>
        <v>1</v>
      </c>
      <c r="BC279" s="12"/>
      <c r="BD279" s="15"/>
      <c r="BE279" s="18"/>
      <c r="BF279" s="12"/>
      <c r="BG279" s="19" t="str">
        <f t="shared" si="270"/>
        <v>julio</v>
      </c>
      <c r="BH279" s="12" t="str">
        <f t="shared" si="271"/>
        <v>Corporación Ciudad Alfaro</v>
      </c>
      <c r="BI279" s="20" t="str">
        <f t="shared" si="272"/>
        <v>N/A</v>
      </c>
    </row>
    <row r="280" spans="1:61" ht="24.95" customHeight="1">
      <c r="A280" s="432">
        <v>957</v>
      </c>
      <c r="B280" s="12" t="str">
        <f>VLOOKUP($A280,'Matriz POA 2024-TRABAJO'!$A$5:$CD$9142,11,FALSE)</f>
        <v>Corporación Ciudad Alfaro</v>
      </c>
      <c r="C280" s="12" t="str">
        <f>VLOOKUP($A280,'Matriz POA 2024-TRABAJO'!$A$5:$CD$9142,14,FALSE)</f>
        <v>N/A</v>
      </c>
      <c r="D280" s="12" t="str">
        <f>VLOOKUP($A280,'Matriz POA 2024-TRABAJO'!$A$5:$CD$9142,15,FALSE)</f>
        <v>N/A</v>
      </c>
      <c r="E280" s="12" t="str">
        <f>VLOOKUP($A280,'Matriz POA 2024-TRABAJO'!$A$5:$CD$9142,18,FALSE)</f>
        <v>N/A</v>
      </c>
      <c r="F280" s="12" t="str">
        <f>VLOOKUP($A280,'Matriz POA 2024-TRABAJO'!$A$5:$CD$9142,20,FALSE)</f>
        <v>N/A</v>
      </c>
      <c r="G280" s="12" t="str">
        <f>VLOOKUP($A280,'Matriz POA 2024-TRABAJO'!$A$5:$CD$9142,21,FALSE)</f>
        <v>N/A</v>
      </c>
      <c r="H280" s="12" t="str">
        <f>VLOOKUP($A280,'Matriz POA 2024-TRABAJO'!$A$5:$CD$9142,22,FALSE)</f>
        <v>N/A</v>
      </c>
      <c r="I280" s="12" t="str">
        <f>VLOOKUP($A280,'Matriz POA 2024-TRABAJO'!$A$5:$CD$9142,23,FALSE)</f>
        <v>NUEVA</v>
      </c>
      <c r="J280" s="12" t="str">
        <f>VLOOKUP($A280,'Matriz POA 2024-TRABAJO'!$A$5:$CD$9142,24,FALSE)</f>
        <v>Contratación del servicio de mantenimiento de la fachada frontal y laterales del edificio Museo Centro Cultural Manta.</v>
      </c>
      <c r="K280" s="12" t="str">
        <f>VLOOKUP($A280,'Matriz POA 2024-TRABAJO'!$A$5:$CD$9142,25,FALSE)</f>
        <v>0035</v>
      </c>
      <c r="L280" s="12" t="str">
        <f>VLOOKUP($A280,'Matriz POA 2024-TRABAJO'!$A$5:$CD$9142,26,FALSE)</f>
        <v>80</v>
      </c>
      <c r="M280" s="12" t="str">
        <f>VLOOKUP($A280,'Matriz POA 2024-TRABAJO'!$A$5:$CD$9142,27,FALSE)</f>
        <v>000</v>
      </c>
      <c r="N280" s="12" t="str">
        <f>VLOOKUP($A280,'Matriz POA 2024-TRABAJO'!$A$5:$CD$9142,28,FALSE)</f>
        <v>002</v>
      </c>
      <c r="O280" s="12">
        <f>VLOOKUP($A280,'Matriz POA 2024-TRABAJO'!$A$5:$CD$9142,29,FALSE)</f>
        <v>53</v>
      </c>
      <c r="P280" s="12">
        <f>VLOOKUP($A280,'Matriz POA 2024-TRABAJO'!$A$5:$CD$9142,30,FALSE)</f>
        <v>530402</v>
      </c>
      <c r="Q280" s="12">
        <f>VLOOKUP($A280,'Matriz POA 2024-TRABAJO'!$A$5:$CD$9142,32,FALSE)</f>
        <v>1308</v>
      </c>
      <c r="R280" s="12" t="str">
        <f>VLOOKUP($A280,'Matriz POA 2024-TRABAJO'!$A$5:$CD$9142,33,FALSE)</f>
        <v>001</v>
      </c>
      <c r="S280" s="12" t="str">
        <f>VLOOKUP($A280,'Matriz POA 2024-TRABAJO'!$A$5:$CD$9142,34,FALSE)</f>
        <v>0000</v>
      </c>
      <c r="T280" s="12" t="str">
        <f>VLOOKUP($A280,'Matriz POA 2024-TRABAJO'!$A$5:$CD$9142,35,FALSE)</f>
        <v>0000</v>
      </c>
      <c r="U280" s="62" t="str">
        <f>VLOOKUP($A280,'Matriz POA 2024-TRABAJO'!$A$5:$CD$9142,66,FALSE)</f>
        <v/>
      </c>
      <c r="V280" s="62" t="str">
        <f>VLOOKUP($A280,'Matriz POA 2024-TRABAJO'!$A$5:$CD$9142,67,FALSE)</f>
        <v/>
      </c>
      <c r="W280" s="62">
        <f>VLOOKUP($A280,'Matriz POA 2024-TRABAJO'!$A$5:$CD$9142,68,FALSE)</f>
        <v>20113.25</v>
      </c>
      <c r="X280" s="62">
        <f>VLOOKUP($A280,'Matriz POA 2024-TRABAJO'!$A$5:$CD$9142,72,FALSE)</f>
        <v>19107.580000000002</v>
      </c>
      <c r="Y280" s="388">
        <f>VLOOKUP($A280,'Matriz POA 2024-TRABAJO'!$A$5:$CD$9142,45,FALSE)</f>
        <v>20113.25</v>
      </c>
      <c r="Z280" s="388">
        <f>VLOOKUP($A280,'Matriz POA 2024-TRABAJO'!$A$5:$CD$9142,46,FALSE)</f>
        <v>0</v>
      </c>
      <c r="AA280" s="388">
        <f>VLOOKUP($A280,'Matriz POA 2024-TRABAJO'!$A$5:$CD$9142,47,FALSE)</f>
        <v>20113.25</v>
      </c>
      <c r="AB280" s="389">
        <v>12500</v>
      </c>
      <c r="AC280" s="389"/>
      <c r="AD280" s="13"/>
      <c r="AE280" s="13"/>
      <c r="AF280" s="13">
        <f t="shared" ref="AF280" si="321">Y280+AB280+AC280</f>
        <v>32613.25</v>
      </c>
      <c r="AG280" s="13">
        <f t="shared" ref="AG280" si="322">Z280+AD280+AE280</f>
        <v>0</v>
      </c>
      <c r="AH280" s="13">
        <f t="shared" ref="AH280" si="323">+AF280+AG280</f>
        <v>32613.25</v>
      </c>
      <c r="AI280" s="7"/>
      <c r="AJ280" s="7"/>
      <c r="AK280" s="7"/>
      <c r="AL280" s="7"/>
      <c r="AM280" s="7"/>
      <c r="AN280" s="7"/>
      <c r="AO280" s="7"/>
      <c r="AP280" s="7"/>
      <c r="AQ280" s="7"/>
      <c r="AR280" s="7"/>
      <c r="AS280" s="7"/>
      <c r="AT280" s="7"/>
      <c r="AU280" s="129">
        <f t="shared" si="177"/>
        <v>0</v>
      </c>
      <c r="AV280" s="13" t="b">
        <f t="shared" si="189"/>
        <v>0</v>
      </c>
      <c r="AW280" s="14" t="s">
        <v>1975</v>
      </c>
      <c r="AX280" s="15" t="s">
        <v>1974</v>
      </c>
      <c r="AY280" s="16">
        <v>45503</v>
      </c>
      <c r="AZ280" s="15" t="s">
        <v>1976</v>
      </c>
      <c r="BA280" s="16">
        <v>45504</v>
      </c>
      <c r="BB280" s="17">
        <f t="shared" si="269"/>
        <v>1</v>
      </c>
      <c r="BC280" s="12"/>
      <c r="BD280" s="15"/>
      <c r="BE280" s="18"/>
      <c r="BF280" s="12"/>
      <c r="BG280" s="19" t="str">
        <f t="shared" si="270"/>
        <v>julio</v>
      </c>
      <c r="BH280" s="12" t="str">
        <f t="shared" si="271"/>
        <v>Corporación Ciudad Alfaro</v>
      </c>
      <c r="BI280" s="20" t="str">
        <f t="shared" si="272"/>
        <v>N/A</v>
      </c>
    </row>
    <row r="281" spans="1:61" ht="24.95" customHeight="1">
      <c r="A281" s="432">
        <v>958</v>
      </c>
      <c r="B281" s="12" t="str">
        <f>VLOOKUP($A281,'Matriz POA 2024-TRABAJO'!$A$5:$CD$9142,11,FALSE)</f>
        <v>Corporación Ciudad Alfaro</v>
      </c>
      <c r="C281" s="12" t="str">
        <f>VLOOKUP($A281,'Matriz POA 2024-TRABAJO'!$A$5:$CD$9142,14,FALSE)</f>
        <v>N/A</v>
      </c>
      <c r="D281" s="12" t="str">
        <f>VLOOKUP($A281,'Matriz POA 2024-TRABAJO'!$A$5:$CD$9142,15,FALSE)</f>
        <v>N/A</v>
      </c>
      <c r="E281" s="12" t="str">
        <f>VLOOKUP($A281,'Matriz POA 2024-TRABAJO'!$A$5:$CD$9142,18,FALSE)</f>
        <v>N/A</v>
      </c>
      <c r="F281" s="12" t="str">
        <f>VLOOKUP($A281,'Matriz POA 2024-TRABAJO'!$A$5:$CD$9142,20,FALSE)</f>
        <v>N/A</v>
      </c>
      <c r="G281" s="12" t="str">
        <f>VLOOKUP($A281,'Matriz POA 2024-TRABAJO'!$A$5:$CD$9142,21,FALSE)</f>
        <v>N/A</v>
      </c>
      <c r="H281" s="12" t="str">
        <f>VLOOKUP($A281,'Matriz POA 2024-TRABAJO'!$A$5:$CD$9142,22,FALSE)</f>
        <v>N/A</v>
      </c>
      <c r="I281" s="12" t="str">
        <f>VLOOKUP($A281,'Matriz POA 2024-TRABAJO'!$A$5:$CD$9142,23,FALSE)</f>
        <v>NUEVA</v>
      </c>
      <c r="J281" s="12" t="str">
        <f>VLOOKUP($A281,'Matriz POA 2024-TRABAJO'!$A$5:$CD$9142,24,FALSE)</f>
        <v>Contratación del servicio de mantenimiento preventivo y correctivo de las cerchas metálicas, ventanas, puertas y mampostería del Museo artesanal Cancebí de la Corporación Ciudad Alfaro.</v>
      </c>
      <c r="K281" s="12" t="str">
        <f>VLOOKUP($A281,'Matriz POA 2024-TRABAJO'!$A$5:$CD$9142,25,FALSE)</f>
        <v>0035</v>
      </c>
      <c r="L281" s="12" t="str">
        <f>VLOOKUP($A281,'Matriz POA 2024-TRABAJO'!$A$5:$CD$9142,26,FALSE)</f>
        <v>80</v>
      </c>
      <c r="M281" s="12" t="str">
        <f>VLOOKUP($A281,'Matriz POA 2024-TRABAJO'!$A$5:$CD$9142,27,FALSE)</f>
        <v>000</v>
      </c>
      <c r="N281" s="12" t="str">
        <f>VLOOKUP($A281,'Matriz POA 2024-TRABAJO'!$A$5:$CD$9142,28,FALSE)</f>
        <v>002</v>
      </c>
      <c r="O281" s="12">
        <f>VLOOKUP($A281,'Matriz POA 2024-TRABAJO'!$A$5:$CD$9142,29,FALSE)</f>
        <v>53</v>
      </c>
      <c r="P281" s="12">
        <f>VLOOKUP($A281,'Matriz POA 2024-TRABAJO'!$A$5:$CD$9142,30,FALSE)</f>
        <v>530402</v>
      </c>
      <c r="Q281" s="12">
        <f>VLOOKUP($A281,'Matriz POA 2024-TRABAJO'!$A$5:$CD$9142,32,FALSE)</f>
        <v>1309</v>
      </c>
      <c r="R281" s="12" t="str">
        <f>VLOOKUP($A281,'Matriz POA 2024-TRABAJO'!$A$5:$CD$9142,33,FALSE)</f>
        <v>001</v>
      </c>
      <c r="S281" s="12" t="str">
        <f>VLOOKUP($A281,'Matriz POA 2024-TRABAJO'!$A$5:$CD$9142,34,FALSE)</f>
        <v>0000</v>
      </c>
      <c r="T281" s="12" t="str">
        <f>VLOOKUP($A281,'Matriz POA 2024-TRABAJO'!$A$5:$CD$9142,35,FALSE)</f>
        <v>0000</v>
      </c>
      <c r="U281" s="62" t="str">
        <f>VLOOKUP($A281,'Matriz POA 2024-TRABAJO'!$A$5:$CD$9142,66,FALSE)</f>
        <v/>
      </c>
      <c r="V281" s="62" t="str">
        <f>VLOOKUP($A281,'Matriz POA 2024-TRABAJO'!$A$5:$CD$9142,67,FALSE)</f>
        <v/>
      </c>
      <c r="W281" s="62" t="str">
        <f>VLOOKUP($A281,'Matriz POA 2024-TRABAJO'!$A$5:$CD$9142,68,FALSE)</f>
        <v/>
      </c>
      <c r="X281" s="62" t="str">
        <f>VLOOKUP($A281,'Matriz POA 2024-TRABAJO'!$A$5:$CD$9142,72,FALSE)</f>
        <v/>
      </c>
      <c r="Y281" s="388">
        <f>VLOOKUP($A281,'Matriz POA 2024-TRABAJO'!$A$5:$CD$9142,45,FALSE)</f>
        <v>0</v>
      </c>
      <c r="Z281" s="388">
        <f>VLOOKUP($A281,'Matriz POA 2024-TRABAJO'!$A$5:$CD$9142,46,FALSE)</f>
        <v>0</v>
      </c>
      <c r="AA281" s="388">
        <f>VLOOKUP($A281,'Matriz POA 2024-TRABAJO'!$A$5:$CD$9142,47,FALSE)</f>
        <v>0</v>
      </c>
      <c r="AB281" s="389">
        <v>15000</v>
      </c>
      <c r="AC281" s="389"/>
      <c r="AD281" s="13"/>
      <c r="AE281" s="13"/>
      <c r="AF281" s="13">
        <f t="shared" ref="AF281" si="324">Y281+AB281+AC281</f>
        <v>15000</v>
      </c>
      <c r="AG281" s="13">
        <f t="shared" ref="AG281" si="325">Z281+AD281+AE281</f>
        <v>0</v>
      </c>
      <c r="AH281" s="13">
        <f t="shared" ref="AH281" si="326">+AF281+AG281</f>
        <v>15000</v>
      </c>
      <c r="AI281" s="7"/>
      <c r="AJ281" s="7"/>
      <c r="AK281" s="7"/>
      <c r="AL281" s="7"/>
      <c r="AM281" s="7"/>
      <c r="AN281" s="7"/>
      <c r="AO281" s="7"/>
      <c r="AP281" s="7"/>
      <c r="AQ281" s="7"/>
      <c r="AR281" s="7"/>
      <c r="AS281" s="7"/>
      <c r="AT281" s="7"/>
      <c r="AU281" s="129">
        <f t="shared" si="177"/>
        <v>0</v>
      </c>
      <c r="AV281" s="13" t="b">
        <f t="shared" si="189"/>
        <v>0</v>
      </c>
      <c r="AW281" s="14" t="s">
        <v>1975</v>
      </c>
      <c r="AX281" s="15" t="s">
        <v>1974</v>
      </c>
      <c r="AY281" s="16">
        <v>45503</v>
      </c>
      <c r="AZ281" s="15" t="s">
        <v>1976</v>
      </c>
      <c r="BA281" s="16">
        <v>45504</v>
      </c>
      <c r="BB281" s="17">
        <f t="shared" si="269"/>
        <v>1</v>
      </c>
      <c r="BC281" s="12"/>
      <c r="BD281" s="15"/>
      <c r="BE281" s="18"/>
      <c r="BF281" s="12"/>
      <c r="BG281" s="19" t="str">
        <f t="shared" si="270"/>
        <v>julio</v>
      </c>
      <c r="BH281" s="12" t="str">
        <f t="shared" si="271"/>
        <v>Corporación Ciudad Alfaro</v>
      </c>
      <c r="BI281" s="20" t="str">
        <f t="shared" si="272"/>
        <v>N/A</v>
      </c>
    </row>
    <row r="282" spans="1:61" ht="24.95" customHeight="1">
      <c r="A282" s="432">
        <v>415</v>
      </c>
      <c r="B282" s="12" t="str">
        <f>VLOOKUP($A282,'Matriz POA 2024-TRABAJO'!$A$5:$CD$9142,11,FALSE)</f>
        <v>Corporación Ciudad Alfaro</v>
      </c>
      <c r="C282" s="12" t="str">
        <f>VLOOKUP($A282,'Matriz POA 2024-TRABAJO'!$A$5:$CD$9142,14,FALSE)</f>
        <v>N/A</v>
      </c>
      <c r="D282" s="12" t="str">
        <f>VLOOKUP($A282,'Matriz POA 2024-TRABAJO'!$A$5:$CD$9142,15,FALSE)</f>
        <v>N/A</v>
      </c>
      <c r="E282" s="12" t="str">
        <f>VLOOKUP($A282,'Matriz POA 2024-TRABAJO'!$A$5:$CD$9142,18,FALSE)</f>
        <v>N/A</v>
      </c>
      <c r="F282" s="12" t="str">
        <f>VLOOKUP($A282,'Matriz POA 2024-TRABAJO'!$A$5:$CD$9142,20,FALSE)</f>
        <v>N/A</v>
      </c>
      <c r="G282" s="12" t="str">
        <f>VLOOKUP($A282,'Matriz POA 2024-TRABAJO'!$A$5:$CD$9142,21,FALSE)</f>
        <v>N/A</v>
      </c>
      <c r="H282" s="12" t="str">
        <f>VLOOKUP($A282,'Matriz POA 2024-TRABAJO'!$A$5:$CD$9142,22,FALSE)</f>
        <v>N/A</v>
      </c>
      <c r="I282" s="12" t="str">
        <f>VLOOKUP($A282,'Matriz POA 2024-TRABAJO'!$A$5:$CD$9142,23,FALSE)</f>
        <v>NUEVA</v>
      </c>
      <c r="J282" s="12" t="str">
        <f>VLOOKUP($A282,'Matriz POA 2024-TRABAJO'!$A$5:$CD$9142,24,FALSE)</f>
        <v>REMUNERACIONES UNIFICADAS</v>
      </c>
      <c r="K282" s="12" t="str">
        <f>VLOOKUP($A282,'Matriz POA 2024-TRABAJO'!$A$5:$CD$9142,25,FALSE)</f>
        <v>0035</v>
      </c>
      <c r="L282" s="12" t="str">
        <f>VLOOKUP($A282,'Matriz POA 2024-TRABAJO'!$A$5:$CD$9142,26,FALSE)</f>
        <v>80</v>
      </c>
      <c r="M282" s="12" t="str">
        <f>VLOOKUP($A282,'Matriz POA 2024-TRABAJO'!$A$5:$CD$9142,27,FALSE)</f>
        <v>000</v>
      </c>
      <c r="N282" s="12" t="str">
        <f>VLOOKUP($A282,'Matriz POA 2024-TRABAJO'!$A$5:$CD$9142,28,FALSE)</f>
        <v>002</v>
      </c>
      <c r="O282" s="12" t="str">
        <f>VLOOKUP($A282,'Matriz POA 2024-TRABAJO'!$A$5:$CD$9142,29,FALSE)</f>
        <v>51</v>
      </c>
      <c r="P282" s="12">
        <f>VLOOKUP($A282,'Matriz POA 2024-TRABAJO'!$A$5:$CD$9142,30,FALSE)</f>
        <v>510105</v>
      </c>
      <c r="Q282" s="12">
        <f>VLOOKUP($A282,'Matriz POA 2024-TRABAJO'!$A$5:$CD$9142,32,FALSE)</f>
        <v>1300</v>
      </c>
      <c r="R282" s="12" t="str">
        <f>VLOOKUP($A282,'Matriz POA 2024-TRABAJO'!$A$5:$CD$9142,33,FALSE)</f>
        <v>001</v>
      </c>
      <c r="S282" s="12" t="str">
        <f>VLOOKUP($A282,'Matriz POA 2024-TRABAJO'!$A$5:$CD$9142,34,FALSE)</f>
        <v>0000</v>
      </c>
      <c r="T282" s="12" t="str">
        <f>VLOOKUP($A282,'Matriz POA 2024-TRABAJO'!$A$5:$CD$9142,35,FALSE)</f>
        <v>0000</v>
      </c>
      <c r="U282" s="62">
        <f>VLOOKUP($A282,'Matriz POA 2024-TRABAJO'!$A$5:$CD$9142,66,FALSE)</f>
        <v>280176.77</v>
      </c>
      <c r="V282" s="62">
        <f>VLOOKUP($A282,'Matriz POA 2024-TRABAJO'!$A$5:$CD$9142,67,FALSE)</f>
        <v>-12424.770000000019</v>
      </c>
      <c r="W282" s="62">
        <f>VLOOKUP($A282,'Matriz POA 2024-TRABAJO'!$A$5:$CD$9142,68,FALSE)</f>
        <v>0</v>
      </c>
      <c r="X282" s="62">
        <f>VLOOKUP($A282,'Matriz POA 2024-TRABAJO'!$A$5:$CD$9142,72,FALSE)</f>
        <v>266098.39899999998</v>
      </c>
      <c r="Y282" s="388">
        <v>278512</v>
      </c>
      <c r="Z282" s="388">
        <f>VLOOKUP($A282,'Matriz POA 2024-TRABAJO'!$A$5:$CD$9142,46,FALSE)</f>
        <v>0</v>
      </c>
      <c r="AA282" s="388">
        <v>278512</v>
      </c>
      <c r="AB282" s="389"/>
      <c r="AC282" s="389">
        <v>-6060</v>
      </c>
      <c r="AD282" s="13"/>
      <c r="AE282" s="13"/>
      <c r="AF282" s="13">
        <f t="shared" ref="AF282:AF284" si="327">Y282+AB282+AC282</f>
        <v>272452</v>
      </c>
      <c r="AG282" s="13">
        <f t="shared" ref="AG282:AG284" si="328">Z282+AD282+AE282</f>
        <v>0</v>
      </c>
      <c r="AH282" s="13">
        <f t="shared" ref="AH282:AH284" si="329">+AF282+AG282</f>
        <v>272452</v>
      </c>
      <c r="AI282" s="7"/>
      <c r="AJ282" s="7"/>
      <c r="AK282" s="7"/>
      <c r="AL282" s="7"/>
      <c r="AM282" s="7"/>
      <c r="AN282" s="7"/>
      <c r="AO282" s="7"/>
      <c r="AP282" s="7"/>
      <c r="AQ282" s="7"/>
      <c r="AR282" s="7"/>
      <c r="AS282" s="7"/>
      <c r="AT282" s="7"/>
      <c r="AU282" s="129">
        <f t="shared" si="177"/>
        <v>0</v>
      </c>
      <c r="AV282" s="13" t="b">
        <f t="shared" si="189"/>
        <v>0</v>
      </c>
      <c r="AW282" s="20" t="s">
        <v>1977</v>
      </c>
      <c r="AX282" s="15" t="s">
        <v>1978</v>
      </c>
      <c r="AY282" s="16">
        <v>45504</v>
      </c>
      <c r="AZ282" s="15" t="s">
        <v>1979</v>
      </c>
      <c r="BA282" s="16">
        <v>45504</v>
      </c>
      <c r="BB282" s="17">
        <f t="shared" si="269"/>
        <v>0</v>
      </c>
      <c r="BC282" s="12"/>
      <c r="BD282" s="15"/>
      <c r="BE282" s="18"/>
      <c r="BF282" s="12"/>
      <c r="BG282" s="19" t="str">
        <f t="shared" si="270"/>
        <v>julio</v>
      </c>
      <c r="BH282" s="12" t="str">
        <f t="shared" si="271"/>
        <v>Corporación Ciudad Alfaro</v>
      </c>
      <c r="BI282" s="20" t="str">
        <f t="shared" si="272"/>
        <v>N/A</v>
      </c>
    </row>
    <row r="283" spans="1:61" ht="24.95" customHeight="1">
      <c r="A283" s="432">
        <v>417</v>
      </c>
      <c r="B283" s="12" t="str">
        <f>VLOOKUP($A283,'Matriz POA 2024-TRABAJO'!$A$5:$CD$9142,11,FALSE)</f>
        <v>Corporación Ciudad Alfaro</v>
      </c>
      <c r="C283" s="12" t="str">
        <f>VLOOKUP($A283,'Matriz POA 2024-TRABAJO'!$A$5:$CD$9142,14,FALSE)</f>
        <v>N/A</v>
      </c>
      <c r="D283" s="12" t="str">
        <f>VLOOKUP($A283,'Matriz POA 2024-TRABAJO'!$A$5:$CD$9142,15,FALSE)</f>
        <v>N/A</v>
      </c>
      <c r="E283" s="12" t="str">
        <f>VLOOKUP($A283,'Matriz POA 2024-TRABAJO'!$A$5:$CD$9142,18,FALSE)</f>
        <v>N/A</v>
      </c>
      <c r="F283" s="12" t="str">
        <f>VLOOKUP($A283,'Matriz POA 2024-TRABAJO'!$A$5:$CD$9142,20,FALSE)</f>
        <v>N/A</v>
      </c>
      <c r="G283" s="12" t="str">
        <f>VLOOKUP($A283,'Matriz POA 2024-TRABAJO'!$A$5:$CD$9142,21,FALSE)</f>
        <v>N/A</v>
      </c>
      <c r="H283" s="12" t="str">
        <f>VLOOKUP($A283,'Matriz POA 2024-TRABAJO'!$A$5:$CD$9142,22,FALSE)</f>
        <v>N/A</v>
      </c>
      <c r="I283" s="12" t="str">
        <f>VLOOKUP($A283,'Matriz POA 2024-TRABAJO'!$A$5:$CD$9142,23,FALSE)</f>
        <v>NUEVA</v>
      </c>
      <c r="J283" s="12" t="str">
        <f>VLOOKUP($A283,'Matriz POA 2024-TRABAJO'!$A$5:$CD$9142,24,FALSE)</f>
        <v>Décimo Tercer Sueldo</v>
      </c>
      <c r="K283" s="12" t="str">
        <f>VLOOKUP($A283,'Matriz POA 2024-TRABAJO'!$A$5:$CD$9142,25,FALSE)</f>
        <v>0035</v>
      </c>
      <c r="L283" s="12" t="str">
        <f>VLOOKUP($A283,'Matriz POA 2024-TRABAJO'!$A$5:$CD$9142,26,FALSE)</f>
        <v>80</v>
      </c>
      <c r="M283" s="12" t="str">
        <f>VLOOKUP($A283,'Matriz POA 2024-TRABAJO'!$A$5:$CD$9142,27,FALSE)</f>
        <v>000</v>
      </c>
      <c r="N283" s="12" t="str">
        <f>VLOOKUP($A283,'Matriz POA 2024-TRABAJO'!$A$5:$CD$9142,28,FALSE)</f>
        <v>002</v>
      </c>
      <c r="O283" s="12" t="str">
        <f>VLOOKUP($A283,'Matriz POA 2024-TRABAJO'!$A$5:$CD$9142,29,FALSE)</f>
        <v>51</v>
      </c>
      <c r="P283" s="12">
        <f>VLOOKUP($A283,'Matriz POA 2024-TRABAJO'!$A$5:$CD$9142,30,FALSE)</f>
        <v>510203</v>
      </c>
      <c r="Q283" s="12">
        <f>VLOOKUP($A283,'Matriz POA 2024-TRABAJO'!$A$5:$CD$9142,32,FALSE)</f>
        <v>1300</v>
      </c>
      <c r="R283" s="12" t="str">
        <f>VLOOKUP($A283,'Matriz POA 2024-TRABAJO'!$A$5:$CD$9142,33,FALSE)</f>
        <v>001</v>
      </c>
      <c r="S283" s="12" t="str">
        <f>VLOOKUP($A283,'Matriz POA 2024-TRABAJO'!$A$5:$CD$9142,34,FALSE)</f>
        <v>0000</v>
      </c>
      <c r="T283" s="12" t="str">
        <f>VLOOKUP($A283,'Matriz POA 2024-TRABAJO'!$A$5:$CD$9142,35,FALSE)</f>
        <v>0000</v>
      </c>
      <c r="U283" s="62">
        <f>VLOOKUP($A283,'Matriz POA 2024-TRABAJO'!$A$5:$CD$9142,66,FALSE)</f>
        <v>31901.07</v>
      </c>
      <c r="V283" s="62">
        <f>VLOOKUP($A283,'Matriz POA 2024-TRABAJO'!$A$5:$CD$9142,67,FALSE)</f>
        <v>-1212</v>
      </c>
      <c r="W283" s="62">
        <f>VLOOKUP($A283,'Matriz POA 2024-TRABAJO'!$A$5:$CD$9142,68,FALSE)</f>
        <v>0</v>
      </c>
      <c r="X283" s="62">
        <f>VLOOKUP($A283,'Matriz POA 2024-TRABAJO'!$A$5:$CD$9142,72,FALSE)</f>
        <v>29180.79</v>
      </c>
      <c r="Y283" s="388">
        <v>31901.07</v>
      </c>
      <c r="Z283" s="388">
        <f>VLOOKUP($A283,'Matriz POA 2024-TRABAJO'!$A$5:$CD$9142,46,FALSE)</f>
        <v>0</v>
      </c>
      <c r="AA283" s="388">
        <v>31901.07</v>
      </c>
      <c r="AB283" s="389"/>
      <c r="AC283" s="389">
        <v>-1212</v>
      </c>
      <c r="AD283" s="13"/>
      <c r="AE283" s="13"/>
      <c r="AF283" s="13">
        <f t="shared" si="327"/>
        <v>30689.07</v>
      </c>
      <c r="AG283" s="13">
        <f t="shared" si="328"/>
        <v>0</v>
      </c>
      <c r="AH283" s="13">
        <f t="shared" si="329"/>
        <v>30689.07</v>
      </c>
      <c r="AI283" s="7"/>
      <c r="AJ283" s="7"/>
      <c r="AK283" s="7"/>
      <c r="AL283" s="7"/>
      <c r="AM283" s="7"/>
      <c r="AN283" s="7"/>
      <c r="AO283" s="7"/>
      <c r="AP283" s="7"/>
      <c r="AQ283" s="7"/>
      <c r="AR283" s="7"/>
      <c r="AS283" s="7"/>
      <c r="AT283" s="7"/>
      <c r="AU283" s="129">
        <f t="shared" si="177"/>
        <v>0</v>
      </c>
      <c r="AV283" s="13" t="b">
        <f t="shared" si="189"/>
        <v>0</v>
      </c>
      <c r="AW283" s="20" t="s">
        <v>1977</v>
      </c>
      <c r="AX283" s="15" t="s">
        <v>1978</v>
      </c>
      <c r="AY283" s="16">
        <v>45504</v>
      </c>
      <c r="AZ283" s="15" t="s">
        <v>1979</v>
      </c>
      <c r="BA283" s="16">
        <v>45504</v>
      </c>
      <c r="BB283" s="17">
        <f t="shared" si="269"/>
        <v>0</v>
      </c>
      <c r="BC283" s="12"/>
      <c r="BD283" s="15"/>
      <c r="BE283" s="18"/>
      <c r="BF283" s="12"/>
      <c r="BG283" s="19" t="str">
        <f t="shared" si="270"/>
        <v>julio</v>
      </c>
      <c r="BH283" s="12" t="str">
        <f t="shared" si="271"/>
        <v>Corporación Ciudad Alfaro</v>
      </c>
      <c r="BI283" s="20" t="str">
        <f t="shared" si="272"/>
        <v>N/A</v>
      </c>
    </row>
    <row r="284" spans="1:61" ht="24.95" customHeight="1">
      <c r="A284" s="432">
        <v>424</v>
      </c>
      <c r="B284" s="12" t="str">
        <f>VLOOKUP($A284,'Matriz POA 2024-TRABAJO'!$A$5:$CD$9142,11,FALSE)</f>
        <v>Corporación Ciudad Alfaro</v>
      </c>
      <c r="C284" s="12" t="str">
        <f>VLOOKUP($A284,'Matriz POA 2024-TRABAJO'!$A$5:$CD$9142,14,FALSE)</f>
        <v>N/A</v>
      </c>
      <c r="D284" s="12" t="str">
        <f>VLOOKUP($A284,'Matriz POA 2024-TRABAJO'!$A$5:$CD$9142,15,FALSE)</f>
        <v>N/A</v>
      </c>
      <c r="E284" s="12" t="str">
        <f>VLOOKUP($A284,'Matriz POA 2024-TRABAJO'!$A$5:$CD$9142,18,FALSE)</f>
        <v>N/A</v>
      </c>
      <c r="F284" s="12" t="str">
        <f>VLOOKUP($A284,'Matriz POA 2024-TRABAJO'!$A$5:$CD$9142,20,FALSE)</f>
        <v>N/A</v>
      </c>
      <c r="G284" s="12" t="str">
        <f>VLOOKUP($A284,'Matriz POA 2024-TRABAJO'!$A$5:$CD$9142,21,FALSE)</f>
        <v>N/A</v>
      </c>
      <c r="H284" s="12" t="str">
        <f>VLOOKUP($A284,'Matriz POA 2024-TRABAJO'!$A$5:$CD$9142,22,FALSE)</f>
        <v>N/A</v>
      </c>
      <c r="I284" s="12" t="str">
        <f>VLOOKUP($A284,'Matriz POA 2024-TRABAJO'!$A$5:$CD$9142,23,FALSE)</f>
        <v>NUEVA</v>
      </c>
      <c r="J284" s="12" t="str">
        <f>VLOOKUP($A284,'Matriz POA 2024-TRABAJO'!$A$5:$CD$9142,24,FALSE)</f>
        <v xml:space="preserve">Aporte Patronal </v>
      </c>
      <c r="K284" s="12" t="str">
        <f>VLOOKUP($A284,'Matriz POA 2024-TRABAJO'!$A$5:$CD$9142,25,FALSE)</f>
        <v>0035</v>
      </c>
      <c r="L284" s="12" t="str">
        <f>VLOOKUP($A284,'Matriz POA 2024-TRABAJO'!$A$5:$CD$9142,26,FALSE)</f>
        <v>80</v>
      </c>
      <c r="M284" s="12" t="str">
        <f>VLOOKUP($A284,'Matriz POA 2024-TRABAJO'!$A$5:$CD$9142,27,FALSE)</f>
        <v>000</v>
      </c>
      <c r="N284" s="12" t="str">
        <f>VLOOKUP($A284,'Matriz POA 2024-TRABAJO'!$A$5:$CD$9142,28,FALSE)</f>
        <v>002</v>
      </c>
      <c r="O284" s="12" t="str">
        <f>VLOOKUP($A284,'Matriz POA 2024-TRABAJO'!$A$5:$CD$9142,29,FALSE)</f>
        <v>51</v>
      </c>
      <c r="P284" s="12">
        <f>VLOOKUP($A284,'Matriz POA 2024-TRABAJO'!$A$5:$CD$9142,30,FALSE)</f>
        <v>510601</v>
      </c>
      <c r="Q284" s="12">
        <f>VLOOKUP($A284,'Matriz POA 2024-TRABAJO'!$A$5:$CD$9142,32,FALSE)</f>
        <v>1300</v>
      </c>
      <c r="R284" s="12" t="str">
        <f>VLOOKUP($A284,'Matriz POA 2024-TRABAJO'!$A$5:$CD$9142,33,FALSE)</f>
        <v>001</v>
      </c>
      <c r="S284" s="12" t="str">
        <f>VLOOKUP($A284,'Matriz POA 2024-TRABAJO'!$A$5:$CD$9142,34,FALSE)</f>
        <v>0000</v>
      </c>
      <c r="T284" s="12" t="str">
        <f>VLOOKUP($A284,'Matriz POA 2024-TRABAJO'!$A$5:$CD$9142,35,FALSE)</f>
        <v>0000</v>
      </c>
      <c r="U284" s="62">
        <f>VLOOKUP($A284,'Matriz POA 2024-TRABAJO'!$A$5:$CD$9142,66,FALSE)</f>
        <v>38582.559999999998</v>
      </c>
      <c r="V284" s="62">
        <f>VLOOKUP($A284,'Matriz POA 2024-TRABAJO'!$A$5:$CD$9142,67,FALSE)</f>
        <v>-584.79000000000087</v>
      </c>
      <c r="W284" s="62">
        <f>VLOOKUP($A284,'Matriz POA 2024-TRABAJO'!$A$5:$CD$9142,68,FALSE)</f>
        <v>0</v>
      </c>
      <c r="X284" s="62">
        <f>VLOOKUP($A284,'Matriz POA 2024-TRABAJO'!$A$5:$CD$9142,72,FALSE)</f>
        <v>37446.300000000003</v>
      </c>
      <c r="Y284" s="388">
        <v>38582.559999999998</v>
      </c>
      <c r="Z284" s="388">
        <f>VLOOKUP($A284,'Matriz POA 2024-TRABAJO'!$A$5:$CD$9142,46,FALSE)</f>
        <v>0</v>
      </c>
      <c r="AA284" s="388">
        <v>38582.559999999998</v>
      </c>
      <c r="AB284" s="389"/>
      <c r="AC284" s="389">
        <v>-584.79</v>
      </c>
      <c r="AD284" s="13"/>
      <c r="AE284" s="13"/>
      <c r="AF284" s="13">
        <f t="shared" si="327"/>
        <v>37997.769999999997</v>
      </c>
      <c r="AG284" s="13">
        <f t="shared" si="328"/>
        <v>0</v>
      </c>
      <c r="AH284" s="13">
        <f t="shared" si="329"/>
        <v>37997.769999999997</v>
      </c>
      <c r="AI284" s="7"/>
      <c r="AJ284" s="7"/>
      <c r="AK284" s="7"/>
      <c r="AL284" s="7"/>
      <c r="AM284" s="7"/>
      <c r="AN284" s="7"/>
      <c r="AO284" s="7"/>
      <c r="AP284" s="7"/>
      <c r="AQ284" s="7"/>
      <c r="AR284" s="7"/>
      <c r="AS284" s="7"/>
      <c r="AT284" s="7"/>
      <c r="AU284" s="129">
        <f t="shared" si="177"/>
        <v>0</v>
      </c>
      <c r="AV284" s="13" t="b">
        <f t="shared" si="189"/>
        <v>0</v>
      </c>
      <c r="AW284" s="20" t="s">
        <v>1977</v>
      </c>
      <c r="AX284" s="15" t="s">
        <v>1978</v>
      </c>
      <c r="AY284" s="16">
        <v>45504</v>
      </c>
      <c r="AZ284" s="15" t="s">
        <v>1979</v>
      </c>
      <c r="BA284" s="16">
        <v>45504</v>
      </c>
      <c r="BB284" s="17">
        <f t="shared" si="269"/>
        <v>0</v>
      </c>
      <c r="BC284" s="12"/>
      <c r="BD284" s="15"/>
      <c r="BE284" s="18"/>
      <c r="BF284" s="12"/>
      <c r="BG284" s="19" t="str">
        <f t="shared" si="270"/>
        <v>julio</v>
      </c>
      <c r="BH284" s="12" t="str">
        <f t="shared" si="271"/>
        <v>Corporación Ciudad Alfaro</v>
      </c>
      <c r="BI284" s="20" t="str">
        <f t="shared" si="272"/>
        <v>N/A</v>
      </c>
    </row>
    <row r="285" spans="1:61" ht="24.95" customHeight="1">
      <c r="A285" s="432">
        <v>425</v>
      </c>
      <c r="B285" s="12" t="str">
        <f>VLOOKUP($A285,'Matriz POA 2024-TRABAJO'!$A$5:$CD$9142,11,FALSE)</f>
        <v>Corporación Ciudad Alfaro</v>
      </c>
      <c r="C285" s="12" t="str">
        <f>VLOOKUP($A285,'Matriz POA 2024-TRABAJO'!$A$5:$CD$9142,14,FALSE)</f>
        <v>N/A</v>
      </c>
      <c r="D285" s="12" t="str">
        <f>VLOOKUP($A285,'Matriz POA 2024-TRABAJO'!$A$5:$CD$9142,15,FALSE)</f>
        <v>N/A</v>
      </c>
      <c r="E285" s="12" t="str">
        <f>VLOOKUP($A285,'Matriz POA 2024-TRABAJO'!$A$5:$CD$9142,18,FALSE)</f>
        <v>N/A</v>
      </c>
      <c r="F285" s="12" t="str">
        <f>VLOOKUP($A285,'Matriz POA 2024-TRABAJO'!$A$5:$CD$9142,20,FALSE)</f>
        <v>N/A</v>
      </c>
      <c r="G285" s="12" t="str">
        <f>VLOOKUP($A285,'Matriz POA 2024-TRABAJO'!$A$5:$CD$9142,21,FALSE)</f>
        <v>N/A</v>
      </c>
      <c r="H285" s="12" t="str">
        <f>VLOOKUP($A285,'Matriz POA 2024-TRABAJO'!$A$5:$CD$9142,22,FALSE)</f>
        <v>N/A</v>
      </c>
      <c r="I285" s="12" t="str">
        <f>VLOOKUP($A285,'Matriz POA 2024-TRABAJO'!$A$5:$CD$9142,23,FALSE)</f>
        <v>NUEVA</v>
      </c>
      <c r="J285" s="12" t="str">
        <f>VLOOKUP($A285,'Matriz POA 2024-TRABAJO'!$A$5:$CD$9142,24,FALSE)</f>
        <v>Fondo de Reserva</v>
      </c>
      <c r="K285" s="12" t="str">
        <f>VLOOKUP($A285,'Matriz POA 2024-TRABAJO'!$A$5:$CD$9142,25,FALSE)</f>
        <v>0035</v>
      </c>
      <c r="L285" s="12" t="str">
        <f>VLOOKUP($A285,'Matriz POA 2024-TRABAJO'!$A$5:$CD$9142,26,FALSE)</f>
        <v>80</v>
      </c>
      <c r="M285" s="12" t="str">
        <f>VLOOKUP($A285,'Matriz POA 2024-TRABAJO'!$A$5:$CD$9142,27,FALSE)</f>
        <v>000</v>
      </c>
      <c r="N285" s="12" t="str">
        <f>VLOOKUP($A285,'Matriz POA 2024-TRABAJO'!$A$5:$CD$9142,28,FALSE)</f>
        <v>002</v>
      </c>
      <c r="O285" s="12" t="str">
        <f>VLOOKUP($A285,'Matriz POA 2024-TRABAJO'!$A$5:$CD$9142,29,FALSE)</f>
        <v>51</v>
      </c>
      <c r="P285" s="12">
        <f>VLOOKUP($A285,'Matriz POA 2024-TRABAJO'!$A$5:$CD$9142,30,FALSE)</f>
        <v>510602</v>
      </c>
      <c r="Q285" s="12">
        <f>VLOOKUP($A285,'Matriz POA 2024-TRABAJO'!$A$5:$CD$9142,32,FALSE)</f>
        <v>1300</v>
      </c>
      <c r="R285" s="12" t="str">
        <f>VLOOKUP($A285,'Matriz POA 2024-TRABAJO'!$A$5:$CD$9142,33,FALSE)</f>
        <v>001</v>
      </c>
      <c r="S285" s="12" t="str">
        <f>VLOOKUP($A285,'Matriz POA 2024-TRABAJO'!$A$5:$CD$9142,34,FALSE)</f>
        <v>0000</v>
      </c>
      <c r="T285" s="12" t="str">
        <f>VLOOKUP($A285,'Matriz POA 2024-TRABAJO'!$A$5:$CD$9142,35,FALSE)</f>
        <v>0000</v>
      </c>
      <c r="U285" s="62">
        <f>VLOOKUP($A285,'Matriz POA 2024-TRABAJO'!$A$5:$CD$9142,66,FALSE)</f>
        <v>28176.35</v>
      </c>
      <c r="V285" s="62">
        <f>VLOOKUP($A285,'Matriz POA 2024-TRABAJO'!$A$5:$CD$9142,67,FALSE)</f>
        <v>-605.7599999999984</v>
      </c>
      <c r="W285" s="62">
        <f>VLOOKUP($A285,'Matriz POA 2024-TRABAJO'!$A$5:$CD$9142,68,FALSE)</f>
        <v>0</v>
      </c>
      <c r="X285" s="62">
        <f>VLOOKUP($A285,'Matriz POA 2024-TRABAJO'!$A$5:$CD$9142,72,FALSE)</f>
        <v>27296</v>
      </c>
      <c r="Y285" s="388">
        <v>28176.35</v>
      </c>
      <c r="Z285" s="388">
        <f>VLOOKUP($A285,'Matriz POA 2024-TRABAJO'!$A$5:$CD$9142,46,FALSE)</f>
        <v>0</v>
      </c>
      <c r="AA285" s="388">
        <v>28176.35</v>
      </c>
      <c r="AB285" s="389"/>
      <c r="AC285" s="389">
        <v>-605.76</v>
      </c>
      <c r="AD285" s="13"/>
      <c r="AE285" s="13"/>
      <c r="AF285" s="13">
        <f t="shared" ref="AF285:AF287" si="330">Y285+AB285+AC285</f>
        <v>27570.59</v>
      </c>
      <c r="AG285" s="13">
        <f t="shared" ref="AG285:AG287" si="331">Z285+AD285+AE285</f>
        <v>0</v>
      </c>
      <c r="AH285" s="13">
        <f t="shared" ref="AH285:AH287" si="332">+AF285+AG285</f>
        <v>27570.59</v>
      </c>
      <c r="AI285" s="7"/>
      <c r="AJ285" s="7"/>
      <c r="AK285" s="7"/>
      <c r="AL285" s="7"/>
      <c r="AM285" s="7"/>
      <c r="AN285" s="7"/>
      <c r="AO285" s="7"/>
      <c r="AP285" s="7"/>
      <c r="AQ285" s="7"/>
      <c r="AR285" s="7"/>
      <c r="AS285" s="7"/>
      <c r="AT285" s="7"/>
      <c r="AU285" s="129">
        <f t="shared" si="177"/>
        <v>0</v>
      </c>
      <c r="AV285" s="13" t="b">
        <f t="shared" si="189"/>
        <v>0</v>
      </c>
      <c r="AW285" s="20" t="s">
        <v>1977</v>
      </c>
      <c r="AX285" s="15" t="s">
        <v>1978</v>
      </c>
      <c r="AY285" s="16">
        <v>45504</v>
      </c>
      <c r="AZ285" s="15" t="s">
        <v>1979</v>
      </c>
      <c r="BA285" s="16">
        <v>45504</v>
      </c>
      <c r="BB285" s="17">
        <f t="shared" si="269"/>
        <v>0</v>
      </c>
      <c r="BC285" s="12"/>
      <c r="BD285" s="15"/>
      <c r="BE285" s="18"/>
      <c r="BF285" s="12"/>
      <c r="BG285" s="19" t="str">
        <f t="shared" si="270"/>
        <v>julio</v>
      </c>
      <c r="BH285" s="12" t="str">
        <f t="shared" si="271"/>
        <v>Corporación Ciudad Alfaro</v>
      </c>
      <c r="BI285" s="20" t="str">
        <f t="shared" si="272"/>
        <v>N/A</v>
      </c>
    </row>
    <row r="286" spans="1:61" ht="45" customHeight="1">
      <c r="A286" s="460">
        <v>870</v>
      </c>
      <c r="B286" s="12" t="str">
        <f>VLOOKUP($A286,'Matriz POA 2024-TRABAJO'!$A$5:$CD$9142,11,FALSE)</f>
        <v>Corporación Ciudad Alfaro</v>
      </c>
      <c r="C286" s="12" t="str">
        <f>VLOOKUP($A286,'Matriz POA 2024-TRABAJO'!$A$5:$CD$9142,14,FALSE)</f>
        <v>N/A</v>
      </c>
      <c r="D286" s="12" t="str">
        <f>VLOOKUP($A286,'Matriz POA 2024-TRABAJO'!$A$5:$CD$9142,15,FALSE)</f>
        <v>N/A</v>
      </c>
      <c r="E286" s="12" t="str">
        <f>VLOOKUP($A286,'Matriz POA 2024-TRABAJO'!$A$5:$CD$9142,18,FALSE)</f>
        <v>N/A</v>
      </c>
      <c r="F286" s="12" t="str">
        <f>VLOOKUP($A286,'Matriz POA 2024-TRABAJO'!$A$5:$CD$9142,20,FALSE)</f>
        <v>N/A</v>
      </c>
      <c r="G286" s="12" t="str">
        <f>VLOOKUP($A286,'Matriz POA 2024-TRABAJO'!$A$5:$CD$9142,21,FALSE)</f>
        <v>N/A</v>
      </c>
      <c r="H286" s="12" t="str">
        <f>VLOOKUP($A286,'Matriz POA 2024-TRABAJO'!$A$5:$CD$9142,22,FALSE)</f>
        <v>N/A</v>
      </c>
      <c r="I286" s="12" t="str">
        <f>VLOOKUP($A286,'Matriz POA 2024-TRABAJO'!$A$5:$CD$9142,23,FALSE)</f>
        <v>NUEVA</v>
      </c>
      <c r="J286" s="12" t="str">
        <f>VLOOKUP($A286,'Matriz POA 2024-TRABAJO'!$A$5:$CD$9142,24,FALSE)</f>
        <v>Contratación del servicio de mantenimiento preventivo y correctivo del sistema de climatización del piso 5 en el museo intermedio Manta, sede de la Corporación Ciudad Alfaro</v>
      </c>
      <c r="K286" s="12" t="str">
        <f>VLOOKUP($A286,'Matriz POA 2024-TRABAJO'!$A$5:$CD$9142,25,FALSE)</f>
        <v>0035</v>
      </c>
      <c r="L286" s="12" t="str">
        <f>VLOOKUP($A286,'Matriz POA 2024-TRABAJO'!$A$5:$CD$9142,26,FALSE)</f>
        <v>80</v>
      </c>
      <c r="M286" s="12" t="str">
        <f>VLOOKUP($A286,'Matriz POA 2024-TRABAJO'!$A$5:$CD$9142,27,FALSE)</f>
        <v>000</v>
      </c>
      <c r="N286" s="12" t="str">
        <f>VLOOKUP($A286,'Matriz POA 2024-TRABAJO'!$A$5:$CD$9142,28,FALSE)</f>
        <v>002</v>
      </c>
      <c r="O286" s="12" t="str">
        <f>VLOOKUP($A286,'Matriz POA 2024-TRABAJO'!$A$5:$CD$9142,29,FALSE)</f>
        <v>53</v>
      </c>
      <c r="P286" s="12">
        <f>VLOOKUP($A286,'Matriz POA 2024-TRABAJO'!$A$5:$CD$9142,30,FALSE)</f>
        <v>530404</v>
      </c>
      <c r="Q286" s="12">
        <f>VLOOKUP($A286,'Matriz POA 2024-TRABAJO'!$A$5:$CD$9142,32,FALSE)</f>
        <v>1308</v>
      </c>
      <c r="R286" s="12" t="str">
        <f>VLOOKUP($A286,'Matriz POA 2024-TRABAJO'!$A$5:$CD$9142,33,FALSE)</f>
        <v>001</v>
      </c>
      <c r="S286" s="12" t="str">
        <f>VLOOKUP($A286,'Matriz POA 2024-TRABAJO'!$A$5:$CD$9142,34,FALSE)</f>
        <v>0000</v>
      </c>
      <c r="T286" s="12" t="str">
        <f>VLOOKUP($A286,'Matriz POA 2024-TRABAJO'!$A$5:$CD$9142,35,FALSE)</f>
        <v>0000</v>
      </c>
      <c r="U286" s="62">
        <f>VLOOKUP($A286,'Matriz POA 2024-TRABAJO'!$A$5:$CD$9142,66,FALSE)</f>
        <v>4988.8999999999996</v>
      </c>
      <c r="V286" s="62">
        <f>VLOOKUP($A286,'Matriz POA 2024-TRABAJO'!$A$5:$CD$9142,67,FALSE)</f>
        <v>-113.89999999999964</v>
      </c>
      <c r="W286" s="62">
        <f>VLOOKUP($A286,'Matriz POA 2024-TRABAJO'!$A$5:$CD$9142,68,FALSE)</f>
        <v>4875</v>
      </c>
      <c r="X286" s="62">
        <f>VLOOKUP($A286,'Matriz POA 2024-TRABAJO'!$A$5:$CD$9142,72,FALSE)</f>
        <v>4875</v>
      </c>
      <c r="Y286" s="388">
        <v>4988.8999999999996</v>
      </c>
      <c r="Z286" s="388">
        <f>VLOOKUP($A286,'Matriz POA 2024-TRABAJO'!$A$5:$CD$9142,46,FALSE)</f>
        <v>0</v>
      </c>
      <c r="AA286" s="388">
        <v>4988.8999999999996</v>
      </c>
      <c r="AB286" s="389"/>
      <c r="AC286" s="389">
        <v>-4800</v>
      </c>
      <c r="AD286" s="13"/>
      <c r="AE286" s="13"/>
      <c r="AF286" s="13">
        <f t="shared" si="330"/>
        <v>188.89999999999964</v>
      </c>
      <c r="AG286" s="13">
        <f t="shared" si="331"/>
        <v>0</v>
      </c>
      <c r="AH286" s="13">
        <f t="shared" si="332"/>
        <v>188.89999999999964</v>
      </c>
      <c r="AI286" s="7"/>
      <c r="AJ286" s="7"/>
      <c r="AK286" s="7"/>
      <c r="AL286" s="7"/>
      <c r="AM286" s="7"/>
      <c r="AN286" s="7"/>
      <c r="AO286" s="7"/>
      <c r="AP286" s="7"/>
      <c r="AQ286" s="7"/>
      <c r="AR286" s="7"/>
      <c r="AS286" s="7"/>
      <c r="AT286" s="7"/>
      <c r="AU286" s="129">
        <f t="shared" si="177"/>
        <v>0</v>
      </c>
      <c r="AV286" s="13" t="b">
        <f t="shared" si="189"/>
        <v>0</v>
      </c>
      <c r="AW286" s="20" t="s">
        <v>1980</v>
      </c>
      <c r="AX286" s="15" t="s">
        <v>1981</v>
      </c>
      <c r="AY286" s="16">
        <v>45525</v>
      </c>
      <c r="AZ286" s="15" t="s">
        <v>1989</v>
      </c>
      <c r="BA286" s="16">
        <v>45526</v>
      </c>
      <c r="BB286" s="17">
        <f t="shared" si="269"/>
        <v>1</v>
      </c>
      <c r="BC286" s="12"/>
      <c r="BD286" s="15"/>
      <c r="BE286" s="18"/>
      <c r="BF286" s="12"/>
      <c r="BG286" s="19" t="str">
        <f t="shared" si="270"/>
        <v>agosto</v>
      </c>
      <c r="BH286" s="12" t="str">
        <f t="shared" si="271"/>
        <v>Corporación Ciudad Alfaro</v>
      </c>
      <c r="BI286" s="20" t="str">
        <f t="shared" si="272"/>
        <v>N/A</v>
      </c>
    </row>
    <row r="287" spans="1:61" ht="24.95" customHeight="1">
      <c r="A287" s="460">
        <v>479</v>
      </c>
      <c r="B287" s="12" t="str">
        <f>VLOOKUP($A287,'Matriz POA 2024-TRABAJO'!$A$5:$CD$9142,11,FALSE)</f>
        <v>Corporación Ciudad Alfaro</v>
      </c>
      <c r="C287" s="12" t="str">
        <f>VLOOKUP($A287,'Matriz POA 2024-TRABAJO'!$A$5:$CD$9142,14,FALSE)</f>
        <v>N/A</v>
      </c>
      <c r="D287" s="12" t="str">
        <f>VLOOKUP($A287,'Matriz POA 2024-TRABAJO'!$A$5:$CD$9142,15,FALSE)</f>
        <v>N/A</v>
      </c>
      <c r="E287" s="12" t="str">
        <f>VLOOKUP($A287,'Matriz POA 2024-TRABAJO'!$A$5:$CD$9142,18,FALSE)</f>
        <v>N/A</v>
      </c>
      <c r="F287" s="12" t="str">
        <f>VLOOKUP($A287,'Matriz POA 2024-TRABAJO'!$A$5:$CD$9142,20,FALSE)</f>
        <v>N/A</v>
      </c>
      <c r="G287" s="12" t="str">
        <f>VLOOKUP($A287,'Matriz POA 2024-TRABAJO'!$A$5:$CD$9142,21,FALSE)</f>
        <v>N/A</v>
      </c>
      <c r="H287" s="12" t="str">
        <f>VLOOKUP($A287,'Matriz POA 2024-TRABAJO'!$A$5:$CD$9142,22,FALSE)</f>
        <v>N/A</v>
      </c>
      <c r="I287" s="12" t="str">
        <f>VLOOKUP($A287,'Matriz POA 2024-TRABAJO'!$A$5:$CD$9142,23,FALSE)</f>
        <v>NUEVA</v>
      </c>
      <c r="J287" s="12" t="str">
        <f>VLOOKUP($A287,'Matriz POA 2024-TRABAJO'!$A$5:$CD$9142,24,FALSE)</f>
        <v>Mantenimiento, Reparación preventivo y correctivo de los vehículos de la corporación ciudad alfaro</v>
      </c>
      <c r="K287" s="12" t="str">
        <f>VLOOKUP($A287,'Matriz POA 2024-TRABAJO'!$A$5:$CD$9142,25,FALSE)</f>
        <v>0035</v>
      </c>
      <c r="L287" s="12" t="str">
        <f>VLOOKUP($A287,'Matriz POA 2024-TRABAJO'!$A$5:$CD$9142,26,FALSE)</f>
        <v>80</v>
      </c>
      <c r="M287" s="12" t="str">
        <f>VLOOKUP($A287,'Matriz POA 2024-TRABAJO'!$A$5:$CD$9142,27,FALSE)</f>
        <v>000</v>
      </c>
      <c r="N287" s="12" t="str">
        <f>VLOOKUP($A287,'Matriz POA 2024-TRABAJO'!$A$5:$CD$9142,28,FALSE)</f>
        <v>002</v>
      </c>
      <c r="O287" s="12" t="str">
        <f>VLOOKUP($A287,'Matriz POA 2024-TRABAJO'!$A$5:$CD$9142,29,FALSE)</f>
        <v>53</v>
      </c>
      <c r="P287" s="12">
        <f>VLOOKUP($A287,'Matriz POA 2024-TRABAJO'!$A$5:$CD$9142,30,FALSE)</f>
        <v>530405</v>
      </c>
      <c r="Q287" s="12">
        <f>VLOOKUP($A287,'Matriz POA 2024-TRABAJO'!$A$5:$CD$9142,32,FALSE)</f>
        <v>1309</v>
      </c>
      <c r="R287" s="12" t="str">
        <f>VLOOKUP($A287,'Matriz POA 2024-TRABAJO'!$A$5:$CD$9142,33,FALSE)</f>
        <v>001</v>
      </c>
      <c r="S287" s="12" t="str">
        <f>VLOOKUP($A287,'Matriz POA 2024-TRABAJO'!$A$5:$CD$9142,34,FALSE)</f>
        <v>0000</v>
      </c>
      <c r="T287" s="12" t="str">
        <f>VLOOKUP($A287,'Matriz POA 2024-TRABAJO'!$A$5:$CD$9142,35,FALSE)</f>
        <v>0000</v>
      </c>
      <c r="U287" s="62">
        <f>VLOOKUP($A287,'Matriz POA 2024-TRABAJO'!$A$5:$CD$9142,66,FALSE)</f>
        <v>14158.92</v>
      </c>
      <c r="V287" s="62">
        <f>VLOOKUP($A287,'Matriz POA 2024-TRABAJO'!$A$5:$CD$9142,67,FALSE)</f>
        <v>-7578.920000000001</v>
      </c>
      <c r="W287" s="62">
        <f>VLOOKUP($A287,'Matriz POA 2024-TRABAJO'!$A$5:$CD$9142,68,FALSE)</f>
        <v>0</v>
      </c>
      <c r="X287" s="62">
        <f>VLOOKUP($A287,'Matriz POA 2024-TRABAJO'!$A$5:$CD$9142,72,FALSE)</f>
        <v>6580</v>
      </c>
      <c r="Y287" s="388">
        <v>6699.9999999999991</v>
      </c>
      <c r="Z287" s="388">
        <f>VLOOKUP($A287,'Matriz POA 2024-TRABAJO'!$A$5:$CD$9142,46,FALSE)</f>
        <v>0</v>
      </c>
      <c r="AA287" s="388">
        <v>6699.9999999999991</v>
      </c>
      <c r="AB287" s="389"/>
      <c r="AC287" s="389">
        <v>-120</v>
      </c>
      <c r="AD287" s="13"/>
      <c r="AE287" s="13"/>
      <c r="AF287" s="13">
        <f t="shared" si="330"/>
        <v>6579.9999999999991</v>
      </c>
      <c r="AG287" s="13">
        <f t="shared" si="331"/>
        <v>0</v>
      </c>
      <c r="AH287" s="13">
        <f t="shared" si="332"/>
        <v>6579.9999999999991</v>
      </c>
      <c r="AI287" s="7"/>
      <c r="AJ287" s="7"/>
      <c r="AK287" s="7"/>
      <c r="AL287" s="7"/>
      <c r="AM287" s="7"/>
      <c r="AN287" s="7"/>
      <c r="AO287" s="7"/>
      <c r="AP287" s="7"/>
      <c r="AQ287" s="7"/>
      <c r="AR287" s="7"/>
      <c r="AS287" s="7"/>
      <c r="AT287" s="7"/>
      <c r="AU287" s="129">
        <f t="shared" si="177"/>
        <v>0</v>
      </c>
      <c r="AV287" s="13" t="b">
        <f t="shared" si="189"/>
        <v>0</v>
      </c>
      <c r="AW287" s="20" t="s">
        <v>1980</v>
      </c>
      <c r="AX287" s="15" t="s">
        <v>1981</v>
      </c>
      <c r="AY287" s="16">
        <v>45525</v>
      </c>
      <c r="AZ287" s="15" t="s">
        <v>1989</v>
      </c>
      <c r="BA287" s="16">
        <v>45526</v>
      </c>
      <c r="BB287" s="17">
        <f t="shared" si="269"/>
        <v>1</v>
      </c>
      <c r="BC287" s="12"/>
      <c r="BD287" s="15"/>
      <c r="BE287" s="18"/>
      <c r="BF287" s="12"/>
      <c r="BG287" s="19" t="str">
        <f t="shared" si="270"/>
        <v>agosto</v>
      </c>
      <c r="BH287" s="12" t="str">
        <f t="shared" si="271"/>
        <v>Corporación Ciudad Alfaro</v>
      </c>
      <c r="BI287" s="20" t="str">
        <f t="shared" si="272"/>
        <v>N/A</v>
      </c>
    </row>
    <row r="288" spans="1:61" ht="24.95" customHeight="1">
      <c r="A288" s="460">
        <v>828</v>
      </c>
      <c r="B288" s="12" t="str">
        <f>VLOOKUP($A288,'Matriz POA 2024-TRABAJO'!$A$5:$CD$9142,11,FALSE)</f>
        <v>Corporación Ciudad Alfaro</v>
      </c>
      <c r="C288" s="12" t="str">
        <f>VLOOKUP($A288,'Matriz POA 2024-TRABAJO'!$A$5:$CD$9142,14,FALSE)</f>
        <v>N/A</v>
      </c>
      <c r="D288" s="12" t="str">
        <f>VLOOKUP($A288,'Matriz POA 2024-TRABAJO'!$A$5:$CD$9142,15,FALSE)</f>
        <v>N/A</v>
      </c>
      <c r="E288" s="12" t="str">
        <f>VLOOKUP($A288,'Matriz POA 2024-TRABAJO'!$A$5:$CD$9142,18,FALSE)</f>
        <v>N/A</v>
      </c>
      <c r="F288" s="12" t="str">
        <f>VLOOKUP($A288,'Matriz POA 2024-TRABAJO'!$A$5:$CD$9142,20,FALSE)</f>
        <v>N/A</v>
      </c>
      <c r="G288" s="12" t="str">
        <f>VLOOKUP($A288,'Matriz POA 2024-TRABAJO'!$A$5:$CD$9142,21,FALSE)</f>
        <v>N/A</v>
      </c>
      <c r="H288" s="12" t="str">
        <f>VLOOKUP($A288,'Matriz POA 2024-TRABAJO'!$A$5:$CD$9142,22,FALSE)</f>
        <v>N/A</v>
      </c>
      <c r="I288" s="12" t="str">
        <f>VLOOKUP($A288,'Matriz POA 2024-TRABAJO'!$A$5:$CD$9142,23,FALSE)</f>
        <v>NUEVA</v>
      </c>
      <c r="J288" s="12" t="str">
        <f>VLOOKUP($A288,'Matriz POA 2024-TRABAJO'!$A$5:$CD$9142,24,FALSE)</f>
        <v>Pago del servicio de energía eléctrica de la Corporación Ciudad Alfaro - octubre - noviembre</v>
      </c>
      <c r="K288" s="12" t="str">
        <f>VLOOKUP($A288,'Matriz POA 2024-TRABAJO'!$A$5:$CD$9142,25,FALSE)</f>
        <v>0035</v>
      </c>
      <c r="L288" s="12" t="str">
        <f>VLOOKUP($A288,'Matriz POA 2024-TRABAJO'!$A$5:$CD$9142,26,FALSE)</f>
        <v>80</v>
      </c>
      <c r="M288" s="12" t="str">
        <f>VLOOKUP($A288,'Matriz POA 2024-TRABAJO'!$A$5:$CD$9142,27,FALSE)</f>
        <v>000</v>
      </c>
      <c r="N288" s="12" t="str">
        <f>VLOOKUP($A288,'Matriz POA 2024-TRABAJO'!$A$5:$CD$9142,28,FALSE)</f>
        <v>002</v>
      </c>
      <c r="O288" s="12" t="str">
        <f>VLOOKUP($A288,'Matriz POA 2024-TRABAJO'!$A$5:$CD$9142,29,FALSE)</f>
        <v>53</v>
      </c>
      <c r="P288" s="12">
        <f>VLOOKUP($A288,'Matriz POA 2024-TRABAJO'!$A$5:$CD$9142,30,FALSE)</f>
        <v>530104</v>
      </c>
      <c r="Q288" s="12">
        <f>VLOOKUP($A288,'Matriz POA 2024-TRABAJO'!$A$5:$CD$9142,32,FALSE)</f>
        <v>1309</v>
      </c>
      <c r="R288" s="12" t="str">
        <f>VLOOKUP($A288,'Matriz POA 2024-TRABAJO'!$A$5:$CD$9142,33,FALSE)</f>
        <v>001</v>
      </c>
      <c r="S288" s="12" t="str">
        <f>VLOOKUP($A288,'Matriz POA 2024-TRABAJO'!$A$5:$CD$9142,34,FALSE)</f>
        <v>0000</v>
      </c>
      <c r="T288" s="12" t="str">
        <f>VLOOKUP($A288,'Matriz POA 2024-TRABAJO'!$A$5:$CD$9142,35,FALSE)</f>
        <v>0000</v>
      </c>
      <c r="U288" s="62">
        <f>VLOOKUP($A288,'Matriz POA 2024-TRABAJO'!$A$5:$CD$9142,66,FALSE)</f>
        <v>3422</v>
      </c>
      <c r="V288" s="62">
        <f>VLOOKUP($A288,'Matriz POA 2024-TRABAJO'!$A$5:$CD$9142,67,FALSE)</f>
        <v>-3422</v>
      </c>
      <c r="W288" s="62" t="str">
        <f>VLOOKUP($A288,'Matriz POA 2024-TRABAJO'!$A$5:$CD$9142,68,FALSE)</f>
        <v/>
      </c>
      <c r="X288" s="62" t="str">
        <f>VLOOKUP($A288,'Matriz POA 2024-TRABAJO'!$A$5:$CD$9142,72,FALSE)</f>
        <v/>
      </c>
      <c r="Y288" s="388">
        <v>3422</v>
      </c>
      <c r="Z288" s="388">
        <f>VLOOKUP($A288,'Matriz POA 2024-TRABAJO'!$A$5:$CD$9142,46,FALSE)</f>
        <v>0</v>
      </c>
      <c r="AA288" s="388">
        <v>3422</v>
      </c>
      <c r="AB288" s="389"/>
      <c r="AC288" s="389">
        <v>-2079.04</v>
      </c>
      <c r="AD288" s="13"/>
      <c r="AE288" s="13"/>
      <c r="AF288" s="13">
        <f t="shared" ref="AF288:AF299" si="333">Y288+AB288+AC288</f>
        <v>1342.96</v>
      </c>
      <c r="AG288" s="13">
        <f t="shared" ref="AG288:AG299" si="334">Z288+AD288+AE288</f>
        <v>0</v>
      </c>
      <c r="AH288" s="13">
        <f t="shared" ref="AH288:AH299" si="335">+AF288+AG288</f>
        <v>1342.96</v>
      </c>
      <c r="AI288" s="7"/>
      <c r="AJ288" s="7"/>
      <c r="AK288" s="7"/>
      <c r="AL288" s="7"/>
      <c r="AM288" s="7"/>
      <c r="AN288" s="7"/>
      <c r="AO288" s="7"/>
      <c r="AP288" s="7"/>
      <c r="AQ288" s="7"/>
      <c r="AR288" s="7"/>
      <c r="AS288" s="7"/>
      <c r="AT288" s="7"/>
      <c r="AU288" s="129">
        <f t="shared" si="177"/>
        <v>0</v>
      </c>
      <c r="AV288" s="13" t="b">
        <f t="shared" si="189"/>
        <v>0</v>
      </c>
      <c r="AW288" s="20" t="s">
        <v>1980</v>
      </c>
      <c r="AX288" s="15" t="s">
        <v>1981</v>
      </c>
      <c r="AY288" s="16">
        <v>45525</v>
      </c>
      <c r="AZ288" s="15" t="s">
        <v>1989</v>
      </c>
      <c r="BA288" s="16">
        <v>45526</v>
      </c>
      <c r="BB288" s="17">
        <f t="shared" si="269"/>
        <v>1</v>
      </c>
      <c r="BC288" s="12"/>
      <c r="BD288" s="15"/>
      <c r="BE288" s="18"/>
      <c r="BF288" s="12"/>
      <c r="BG288" s="19" t="str">
        <f t="shared" si="270"/>
        <v>agosto</v>
      </c>
      <c r="BH288" s="12" t="str">
        <f t="shared" si="271"/>
        <v>Corporación Ciudad Alfaro</v>
      </c>
      <c r="BI288" s="20" t="str">
        <f t="shared" si="272"/>
        <v>N/A</v>
      </c>
    </row>
    <row r="289" spans="1:61" ht="24.95" customHeight="1">
      <c r="A289" s="460">
        <v>872</v>
      </c>
      <c r="B289" s="12" t="str">
        <f>VLOOKUP($A289,'Matriz POA 2024-TRABAJO'!$A$5:$CD$9142,11,FALSE)</f>
        <v>Corporación Ciudad Alfaro</v>
      </c>
      <c r="C289" s="12" t="str">
        <f>VLOOKUP($A289,'Matriz POA 2024-TRABAJO'!$A$5:$CD$9142,14,FALSE)</f>
        <v>N/A</v>
      </c>
      <c r="D289" s="12" t="str">
        <f>VLOOKUP($A289,'Matriz POA 2024-TRABAJO'!$A$5:$CD$9142,15,FALSE)</f>
        <v>N/A</v>
      </c>
      <c r="E289" s="12" t="str">
        <f>VLOOKUP($A289,'Matriz POA 2024-TRABAJO'!$A$5:$CD$9142,18,FALSE)</f>
        <v>N/A</v>
      </c>
      <c r="F289" s="12" t="str">
        <f>VLOOKUP($A289,'Matriz POA 2024-TRABAJO'!$A$5:$CD$9142,20,FALSE)</f>
        <v>N/A</v>
      </c>
      <c r="G289" s="12" t="str">
        <f>VLOOKUP($A289,'Matriz POA 2024-TRABAJO'!$A$5:$CD$9142,21,FALSE)</f>
        <v>N/A</v>
      </c>
      <c r="H289" s="12" t="str">
        <f>VLOOKUP($A289,'Matriz POA 2024-TRABAJO'!$A$5:$CD$9142,22,FALSE)</f>
        <v>N/A</v>
      </c>
      <c r="I289" s="12" t="str">
        <f>VLOOKUP($A289,'Matriz POA 2024-TRABAJO'!$A$5:$CD$9142,23,FALSE)</f>
        <v>NUEVA</v>
      </c>
      <c r="J289" s="12" t="str">
        <f>VLOOKUP($A289,'Matriz POA 2024-TRABAJO'!$A$5:$CD$9142,24,FALSE)</f>
        <v xml:space="preserve">Regularización del IVA - año 2023, para conciliación de saldos contables y administrativos </v>
      </c>
      <c r="K289" s="12" t="str">
        <f>VLOOKUP($A289,'Matriz POA 2024-TRABAJO'!$A$5:$CD$9142,25,FALSE)</f>
        <v>0035</v>
      </c>
      <c r="L289" s="12" t="str">
        <f>VLOOKUP($A289,'Matriz POA 2024-TRABAJO'!$A$5:$CD$9142,26,FALSE)</f>
        <v>80</v>
      </c>
      <c r="M289" s="12" t="str">
        <f>VLOOKUP($A289,'Matriz POA 2024-TRABAJO'!$A$5:$CD$9142,27,FALSE)</f>
        <v>000</v>
      </c>
      <c r="N289" s="12" t="str">
        <f>VLOOKUP($A289,'Matriz POA 2024-TRABAJO'!$A$5:$CD$9142,28,FALSE)</f>
        <v>002</v>
      </c>
      <c r="O289" s="12" t="str">
        <f>VLOOKUP($A289,'Matriz POA 2024-TRABAJO'!$A$5:$CD$9142,29,FALSE)</f>
        <v>53</v>
      </c>
      <c r="P289" s="12">
        <f>VLOOKUP($A289,'Matriz POA 2024-TRABAJO'!$A$5:$CD$9142,30,FALSE)</f>
        <v>530813</v>
      </c>
      <c r="Q289" s="12">
        <f>VLOOKUP($A289,'Matriz POA 2024-TRABAJO'!$A$5:$CD$9142,32,FALSE)</f>
        <v>1309</v>
      </c>
      <c r="R289" s="12" t="str">
        <f>VLOOKUP($A289,'Matriz POA 2024-TRABAJO'!$A$5:$CD$9142,33,FALSE)</f>
        <v>001</v>
      </c>
      <c r="S289" s="12" t="str">
        <f>VLOOKUP($A289,'Matriz POA 2024-TRABAJO'!$A$5:$CD$9142,34,FALSE)</f>
        <v>0000</v>
      </c>
      <c r="T289" s="12" t="str">
        <f>VLOOKUP($A289,'Matriz POA 2024-TRABAJO'!$A$5:$CD$9142,35,FALSE)</f>
        <v>0000</v>
      </c>
      <c r="U289" s="62">
        <f>VLOOKUP($A289,'Matriz POA 2024-TRABAJO'!$A$5:$CD$9142,66,FALSE)</f>
        <v>115</v>
      </c>
      <c r="V289" s="62">
        <f>VLOOKUP($A289,'Matriz POA 2024-TRABAJO'!$A$5:$CD$9142,67,FALSE)</f>
        <v>-0.95999999999999375</v>
      </c>
      <c r="W289" s="62">
        <f>VLOOKUP($A289,'Matriz POA 2024-TRABAJO'!$A$5:$CD$9142,68,FALSE)</f>
        <v>0</v>
      </c>
      <c r="X289" s="62">
        <f>VLOOKUP($A289,'Matriz POA 2024-TRABAJO'!$A$5:$CD$9142,72,FALSE)</f>
        <v>114.04</v>
      </c>
      <c r="Y289" s="388">
        <v>115</v>
      </c>
      <c r="Z289" s="388">
        <f>VLOOKUP($A289,'Matriz POA 2024-TRABAJO'!$A$5:$CD$9142,46,FALSE)</f>
        <v>0</v>
      </c>
      <c r="AA289" s="388">
        <v>115</v>
      </c>
      <c r="AB289" s="389"/>
      <c r="AC289" s="389">
        <v>-0.96</v>
      </c>
      <c r="AD289" s="13"/>
      <c r="AE289" s="13"/>
      <c r="AF289" s="13">
        <f t="shared" si="333"/>
        <v>114.04</v>
      </c>
      <c r="AG289" s="13">
        <f t="shared" si="334"/>
        <v>0</v>
      </c>
      <c r="AH289" s="13">
        <f t="shared" si="335"/>
        <v>114.04</v>
      </c>
      <c r="AI289" s="19" t="e">
        <f t="shared" ref="AI289:AI309" si="336">TEXT(AC289,"MMMM")</f>
        <v>#VALUE!</v>
      </c>
      <c r="AJ289" s="12" t="e">
        <f t="shared" ref="AJ289:AJ300" si="337">#REF!</f>
        <v>#REF!</v>
      </c>
      <c r="AK289" s="20" t="e">
        <f t="shared" ref="AK289:AK300" si="338">#REF!</f>
        <v>#REF!</v>
      </c>
      <c r="AL289" s="15"/>
      <c r="AM289" s="16"/>
      <c r="AN289" s="15"/>
      <c r="AO289" s="16"/>
      <c r="AP289" s="17">
        <f t="shared" ref="AP289:AP300" si="339">AO289-AM289</f>
        <v>0</v>
      </c>
      <c r="AQ289" s="12"/>
      <c r="AR289" s="15"/>
      <c r="AS289" s="18"/>
      <c r="AT289" s="12"/>
      <c r="AU289" s="129" t="e">
        <f t="shared" si="177"/>
        <v>#VALUE!</v>
      </c>
      <c r="AV289" s="13" t="e">
        <f t="shared" si="189"/>
        <v>#VALUE!</v>
      </c>
      <c r="AW289" s="20" t="s">
        <v>1980</v>
      </c>
      <c r="AX289" s="15" t="s">
        <v>1981</v>
      </c>
      <c r="AY289" s="16">
        <v>45525</v>
      </c>
      <c r="AZ289" s="15" t="s">
        <v>1989</v>
      </c>
      <c r="BA289" s="16">
        <v>45526</v>
      </c>
      <c r="BB289" s="17">
        <f t="shared" si="269"/>
        <v>1</v>
      </c>
      <c r="BC289" s="12"/>
      <c r="BD289" s="15"/>
      <c r="BE289" s="18"/>
      <c r="BF289" s="12"/>
      <c r="BG289" s="19" t="str">
        <f t="shared" si="270"/>
        <v>agosto</v>
      </c>
      <c r="BH289" s="12" t="str">
        <f t="shared" si="271"/>
        <v>Corporación Ciudad Alfaro</v>
      </c>
      <c r="BI289" s="20" t="str">
        <f t="shared" si="272"/>
        <v>N/A</v>
      </c>
    </row>
    <row r="290" spans="1:61" ht="24.95" customHeight="1">
      <c r="A290" s="460">
        <v>957</v>
      </c>
      <c r="B290" s="12" t="str">
        <f>VLOOKUP($A290,'Matriz POA 2024-TRABAJO'!$A$5:$CD$9142,11,FALSE)</f>
        <v>Corporación Ciudad Alfaro</v>
      </c>
      <c r="C290" s="12" t="str">
        <f>VLOOKUP($A290,'Matriz POA 2024-TRABAJO'!$A$5:$CD$9142,14,FALSE)</f>
        <v>N/A</v>
      </c>
      <c r="D290" s="12" t="str">
        <f>VLOOKUP($A290,'Matriz POA 2024-TRABAJO'!$A$5:$CD$9142,15,FALSE)</f>
        <v>N/A</v>
      </c>
      <c r="E290" s="12" t="str">
        <f>VLOOKUP($A290,'Matriz POA 2024-TRABAJO'!$A$5:$CD$9142,18,FALSE)</f>
        <v>N/A</v>
      </c>
      <c r="F290" s="12" t="str">
        <f>VLOOKUP($A290,'Matriz POA 2024-TRABAJO'!$A$5:$CD$9142,20,FALSE)</f>
        <v>N/A</v>
      </c>
      <c r="G290" s="12" t="str">
        <f>VLOOKUP($A290,'Matriz POA 2024-TRABAJO'!$A$5:$CD$9142,21,FALSE)</f>
        <v>N/A</v>
      </c>
      <c r="H290" s="12" t="str">
        <f>VLOOKUP($A290,'Matriz POA 2024-TRABAJO'!$A$5:$CD$9142,22,FALSE)</f>
        <v>N/A</v>
      </c>
      <c r="I290" s="12" t="str">
        <f>VLOOKUP($A290,'Matriz POA 2024-TRABAJO'!$A$5:$CD$9142,23,FALSE)</f>
        <v>NUEVA</v>
      </c>
      <c r="J290" s="12" t="str">
        <f>VLOOKUP($A290,'Matriz POA 2024-TRABAJO'!$A$5:$CD$9142,24,FALSE)</f>
        <v>Contratación del servicio de mantenimiento de la fachada frontal y laterales del edificio Museo Centro Cultural Manta.</v>
      </c>
      <c r="K290" s="12" t="str">
        <f>VLOOKUP($A290,'Matriz POA 2024-TRABAJO'!$A$5:$CD$9142,25,FALSE)</f>
        <v>0035</v>
      </c>
      <c r="L290" s="12" t="str">
        <f>VLOOKUP($A290,'Matriz POA 2024-TRABAJO'!$A$5:$CD$9142,26,FALSE)</f>
        <v>80</v>
      </c>
      <c r="M290" s="12" t="str">
        <f>VLOOKUP($A290,'Matriz POA 2024-TRABAJO'!$A$5:$CD$9142,27,FALSE)</f>
        <v>000</v>
      </c>
      <c r="N290" s="12" t="str">
        <f>VLOOKUP($A290,'Matriz POA 2024-TRABAJO'!$A$5:$CD$9142,28,FALSE)</f>
        <v>002</v>
      </c>
      <c r="O290" s="12">
        <f>VLOOKUP($A290,'Matriz POA 2024-TRABAJO'!$A$5:$CD$9142,29,FALSE)</f>
        <v>53</v>
      </c>
      <c r="P290" s="12">
        <f>VLOOKUP($A290,'Matriz POA 2024-TRABAJO'!$A$5:$CD$9142,30,FALSE)</f>
        <v>530402</v>
      </c>
      <c r="Q290" s="12">
        <f>VLOOKUP($A290,'Matriz POA 2024-TRABAJO'!$A$5:$CD$9142,32,FALSE)</f>
        <v>1308</v>
      </c>
      <c r="R290" s="12" t="str">
        <f>VLOOKUP($A290,'Matriz POA 2024-TRABAJO'!$A$5:$CD$9142,33,FALSE)</f>
        <v>001</v>
      </c>
      <c r="S290" s="12" t="str">
        <f>VLOOKUP($A290,'Matriz POA 2024-TRABAJO'!$A$5:$CD$9142,34,FALSE)</f>
        <v>0000</v>
      </c>
      <c r="T290" s="12" t="str">
        <f>VLOOKUP($A290,'Matriz POA 2024-TRABAJO'!$A$5:$CD$9142,35,FALSE)</f>
        <v>0000</v>
      </c>
      <c r="U290" s="62" t="str">
        <f>VLOOKUP($A290,'Matriz POA 2024-TRABAJO'!$A$5:$CD$9142,66,FALSE)</f>
        <v/>
      </c>
      <c r="V290" s="62" t="str">
        <f>VLOOKUP($A290,'Matriz POA 2024-TRABAJO'!$A$5:$CD$9142,67,FALSE)</f>
        <v/>
      </c>
      <c r="W290" s="62">
        <f>VLOOKUP($A290,'Matriz POA 2024-TRABAJO'!$A$5:$CD$9142,68,FALSE)</f>
        <v>20113.25</v>
      </c>
      <c r="X290" s="62">
        <f>VLOOKUP($A290,'Matriz POA 2024-TRABAJO'!$A$5:$CD$9142,72,FALSE)</f>
        <v>19107.580000000002</v>
      </c>
      <c r="Y290" s="388">
        <v>12500</v>
      </c>
      <c r="Z290" s="388">
        <f>VLOOKUP($A290,'Matriz POA 2024-TRABAJO'!$A$5:$CD$9142,46,FALSE)</f>
        <v>0</v>
      </c>
      <c r="AA290" s="388">
        <v>12500</v>
      </c>
      <c r="AB290" s="389"/>
      <c r="AC290" s="389">
        <v>7000</v>
      </c>
      <c r="AD290" s="13"/>
      <c r="AE290" s="13"/>
      <c r="AF290" s="13">
        <f t="shared" si="333"/>
        <v>19500</v>
      </c>
      <c r="AG290" s="13">
        <f t="shared" si="334"/>
        <v>0</v>
      </c>
      <c r="AH290" s="13">
        <f t="shared" si="335"/>
        <v>19500</v>
      </c>
      <c r="AI290" s="19" t="str">
        <f t="shared" si="336"/>
        <v>marzo</v>
      </c>
      <c r="AJ290" s="12" t="e">
        <f t="shared" si="337"/>
        <v>#REF!</v>
      </c>
      <c r="AK290" s="20" t="e">
        <f t="shared" si="338"/>
        <v>#REF!</v>
      </c>
      <c r="AL290" s="15"/>
      <c r="AM290" s="16"/>
      <c r="AN290" s="15"/>
      <c r="AO290" s="16"/>
      <c r="AP290" s="17">
        <f t="shared" si="339"/>
        <v>0</v>
      </c>
      <c r="AQ290" s="12"/>
      <c r="AR290" s="15"/>
      <c r="AS290" s="18"/>
      <c r="AT290" s="12"/>
      <c r="AU290" s="129" t="e">
        <f t="shared" si="177"/>
        <v>#REF!</v>
      </c>
      <c r="AV290" s="13" t="e">
        <f t="shared" si="189"/>
        <v>#REF!</v>
      </c>
      <c r="AW290" s="20" t="s">
        <v>1980</v>
      </c>
      <c r="AX290" s="15" t="s">
        <v>1981</v>
      </c>
      <c r="AY290" s="16">
        <v>45525</v>
      </c>
      <c r="AZ290" s="15" t="s">
        <v>1989</v>
      </c>
      <c r="BA290" s="16">
        <v>45526</v>
      </c>
      <c r="BB290" s="17">
        <f t="shared" si="269"/>
        <v>1</v>
      </c>
      <c r="BC290" s="12"/>
      <c r="BD290" s="15"/>
      <c r="BE290" s="18"/>
      <c r="BF290" s="12"/>
      <c r="BG290" s="19" t="str">
        <f t="shared" si="270"/>
        <v>agosto</v>
      </c>
      <c r="BH290" s="12" t="str">
        <f t="shared" si="271"/>
        <v>Corporación Ciudad Alfaro</v>
      </c>
      <c r="BI290" s="20" t="str">
        <f t="shared" si="272"/>
        <v>N/A</v>
      </c>
    </row>
    <row r="291" spans="1:61" ht="24.95" customHeight="1">
      <c r="A291" s="496">
        <v>819</v>
      </c>
      <c r="B291" s="12" t="str">
        <f>VLOOKUP($A291,'Matriz POA 2024-TRABAJO'!$A$5:$CD$9142,11,FALSE)</f>
        <v>Corporación Ciudad Alfaro</v>
      </c>
      <c r="C291" s="12" t="str">
        <f>VLOOKUP($A291,'Matriz POA 2024-TRABAJO'!$A$5:$CD$9142,14,FALSE)</f>
        <v>N/A</v>
      </c>
      <c r="D291" s="12" t="str">
        <f>VLOOKUP($A291,'Matriz POA 2024-TRABAJO'!$A$5:$CD$9142,15,FALSE)</f>
        <v>N/A</v>
      </c>
      <c r="E291" s="12" t="str">
        <f>VLOOKUP($A291,'Matriz POA 2024-TRABAJO'!$A$5:$CD$9142,18,FALSE)</f>
        <v>N/A</v>
      </c>
      <c r="F291" s="12" t="str">
        <f>VLOOKUP($A291,'Matriz POA 2024-TRABAJO'!$A$5:$CD$9142,20,FALSE)</f>
        <v>N/A</v>
      </c>
      <c r="G291" s="12" t="str">
        <f>VLOOKUP($A291,'Matriz POA 2024-TRABAJO'!$A$5:$CD$9142,21,FALSE)</f>
        <v>N/A</v>
      </c>
      <c r="H291" s="12" t="str">
        <f>VLOOKUP($A291,'Matriz POA 2024-TRABAJO'!$A$5:$CD$9142,22,FALSE)</f>
        <v>N/A</v>
      </c>
      <c r="I291" s="12" t="str">
        <f>VLOOKUP($A291,'Matriz POA 2024-TRABAJO'!$A$5:$CD$9142,23,FALSE)</f>
        <v>NUEVA</v>
      </c>
      <c r="J291" s="12" t="str">
        <f>VLOOKUP($A291,'Matriz POA 2024-TRABAJO'!$A$5:$CD$9142,24,FALSE)</f>
        <v>Contratación del servicio de mantenimiento correctivo de los tableros de distribución eléctrica TDE de los equipos de climatización en el museo centro cultural manta</v>
      </c>
      <c r="K291" s="12" t="str">
        <f>VLOOKUP($A291,'Matriz POA 2024-TRABAJO'!$A$5:$CD$9142,25,FALSE)</f>
        <v>0035</v>
      </c>
      <c r="L291" s="12" t="str">
        <f>VLOOKUP($A291,'Matriz POA 2024-TRABAJO'!$A$5:$CD$9142,26,FALSE)</f>
        <v>80</v>
      </c>
      <c r="M291" s="12" t="str">
        <f>VLOOKUP($A291,'Matriz POA 2024-TRABAJO'!$A$5:$CD$9142,27,FALSE)</f>
        <v>000</v>
      </c>
      <c r="N291" s="12" t="str">
        <f>VLOOKUP($A291,'Matriz POA 2024-TRABAJO'!$A$5:$CD$9142,28,FALSE)</f>
        <v>002</v>
      </c>
      <c r="O291" s="12" t="str">
        <f>VLOOKUP($A291,'Matriz POA 2024-TRABAJO'!$A$5:$CD$9142,29,FALSE)</f>
        <v>53</v>
      </c>
      <c r="P291" s="12">
        <f>VLOOKUP($A291,'Matriz POA 2024-TRABAJO'!$A$5:$CD$9142,30,FALSE)</f>
        <v>530402</v>
      </c>
      <c r="Q291" s="12">
        <f>VLOOKUP($A291,'Matriz POA 2024-TRABAJO'!$A$5:$CD$9142,32,FALSE)</f>
        <v>1308</v>
      </c>
      <c r="R291" s="12" t="str">
        <f>VLOOKUP($A291,'Matriz POA 2024-TRABAJO'!$A$5:$CD$9142,33,FALSE)</f>
        <v>001</v>
      </c>
      <c r="S291" s="12" t="str">
        <f>VLOOKUP($A291,'Matriz POA 2024-TRABAJO'!$A$5:$CD$9142,34,FALSE)</f>
        <v>0000</v>
      </c>
      <c r="T291" s="12" t="str">
        <f>VLOOKUP($A291,'Matriz POA 2024-TRABAJO'!$A$5:$CD$9142,35,FALSE)</f>
        <v>0000</v>
      </c>
      <c r="U291" s="62">
        <f>VLOOKUP($A291,'Matriz POA 2024-TRABAJO'!$A$5:$CD$9142,66,FALSE)</f>
        <v>5000</v>
      </c>
      <c r="V291" s="62">
        <f>VLOOKUP($A291,'Matriz POA 2024-TRABAJO'!$A$5:$CD$9142,67,FALSE)</f>
        <v>-170</v>
      </c>
      <c r="W291" s="62">
        <f>VLOOKUP($A291,'Matriz POA 2024-TRABAJO'!$A$5:$CD$9142,68,FALSE)</f>
        <v>0</v>
      </c>
      <c r="X291" s="62">
        <f>VLOOKUP($A291,'Matriz POA 2024-TRABAJO'!$A$5:$CD$9142,72,FALSE)</f>
        <v>4830</v>
      </c>
      <c r="Y291" s="388">
        <v>5000</v>
      </c>
      <c r="Z291" s="388">
        <f>VLOOKUP($A291,'Matriz POA 2024-TRABAJO'!$A$5:$CD$9142,46,FALSE)</f>
        <v>0</v>
      </c>
      <c r="AA291" s="388">
        <v>5000</v>
      </c>
      <c r="AB291" s="389"/>
      <c r="AC291" s="389">
        <v>-170</v>
      </c>
      <c r="AD291" s="13"/>
      <c r="AE291" s="13"/>
      <c r="AF291" s="13">
        <f t="shared" si="333"/>
        <v>4830</v>
      </c>
      <c r="AG291" s="13">
        <f t="shared" si="334"/>
        <v>0</v>
      </c>
      <c r="AH291" s="13">
        <f t="shared" si="335"/>
        <v>4830</v>
      </c>
      <c r="AI291" s="19" t="e">
        <f t="shared" si="336"/>
        <v>#VALUE!</v>
      </c>
      <c r="AJ291" s="12" t="e">
        <f t="shared" si="337"/>
        <v>#REF!</v>
      </c>
      <c r="AK291" s="20" t="e">
        <f t="shared" si="338"/>
        <v>#REF!</v>
      </c>
      <c r="AL291" s="15"/>
      <c r="AM291" s="16"/>
      <c r="AN291" s="15"/>
      <c r="AO291" s="16"/>
      <c r="AP291" s="17">
        <f t="shared" si="339"/>
        <v>0</v>
      </c>
      <c r="AQ291" s="12"/>
      <c r="AR291" s="15"/>
      <c r="AS291" s="18"/>
      <c r="AT291" s="12"/>
      <c r="AU291" s="19" t="str">
        <f t="shared" ref="AU291:AU293" si="340">TEXT(AO291,"MMMM")</f>
        <v>enero</v>
      </c>
      <c r="AV291" s="12" t="e">
        <f t="shared" ref="AV291:AV296" si="341">#REF!</f>
        <v>#REF!</v>
      </c>
      <c r="AW291" s="20" t="s">
        <v>1982</v>
      </c>
      <c r="AX291" s="15" t="s">
        <v>1983</v>
      </c>
      <c r="AY291" s="16">
        <v>45531</v>
      </c>
      <c r="AZ291" s="15" t="s">
        <v>1984</v>
      </c>
      <c r="BA291" s="16">
        <v>45533</v>
      </c>
      <c r="BB291" s="17">
        <f t="shared" si="269"/>
        <v>2</v>
      </c>
      <c r="BC291" s="12"/>
      <c r="BD291" s="15"/>
      <c r="BE291" s="18"/>
      <c r="BF291" s="12"/>
      <c r="BG291" s="19" t="str">
        <f t="shared" si="270"/>
        <v>agosto</v>
      </c>
      <c r="BH291" s="12" t="str">
        <f t="shared" si="271"/>
        <v>Corporación Ciudad Alfaro</v>
      </c>
      <c r="BI291" s="20" t="str">
        <f t="shared" si="272"/>
        <v>N/A</v>
      </c>
    </row>
    <row r="292" spans="1:61" ht="24.95" customHeight="1">
      <c r="A292" s="496">
        <v>488</v>
      </c>
      <c r="B292" s="12" t="str">
        <f>VLOOKUP($A292,'Matriz POA 2024-TRABAJO'!$A$5:$CD$9142,11,FALSE)</f>
        <v>Corporación Ciudad Alfaro</v>
      </c>
      <c r="C292" s="12" t="str">
        <f>VLOOKUP($A292,'Matriz POA 2024-TRABAJO'!$A$5:$CD$9142,14,FALSE)</f>
        <v>N/A</v>
      </c>
      <c r="D292" s="12" t="str">
        <f>VLOOKUP($A292,'Matriz POA 2024-TRABAJO'!$A$5:$CD$9142,15,FALSE)</f>
        <v>N/A</v>
      </c>
      <c r="E292" s="12" t="str">
        <f>VLOOKUP($A292,'Matriz POA 2024-TRABAJO'!$A$5:$CD$9142,18,FALSE)</f>
        <v>N/A</v>
      </c>
      <c r="F292" s="12" t="str">
        <f>VLOOKUP($A292,'Matriz POA 2024-TRABAJO'!$A$5:$CD$9142,20,FALSE)</f>
        <v>N/A</v>
      </c>
      <c r="G292" s="12" t="str">
        <f>VLOOKUP($A292,'Matriz POA 2024-TRABAJO'!$A$5:$CD$9142,21,FALSE)</f>
        <v>N/A</v>
      </c>
      <c r="H292" s="12" t="str">
        <f>VLOOKUP($A292,'Matriz POA 2024-TRABAJO'!$A$5:$CD$9142,22,FALSE)</f>
        <v>N/A</v>
      </c>
      <c r="I292" s="12" t="str">
        <f>VLOOKUP($A292,'Matriz POA 2024-TRABAJO'!$A$5:$CD$9142,23,FALSE)</f>
        <v>NUEVA</v>
      </c>
      <c r="J292" s="12" t="str">
        <f>VLOOKUP($A292,'Matriz POA 2024-TRABAJO'!$A$5:$CD$9142,24,FALSE)</f>
        <v>Reembolso de pasajes aereos  para el personal de la Corporación Ciudad Alfaro y sus sedes</v>
      </c>
      <c r="K292" s="12" t="str">
        <f>VLOOKUP($A292,'Matriz POA 2024-TRABAJO'!$A$5:$CD$9142,25,FALSE)</f>
        <v>0035</v>
      </c>
      <c r="L292" s="12" t="str">
        <f>VLOOKUP($A292,'Matriz POA 2024-TRABAJO'!$A$5:$CD$9142,26,FALSE)</f>
        <v>80</v>
      </c>
      <c r="M292" s="12" t="str">
        <f>VLOOKUP($A292,'Matriz POA 2024-TRABAJO'!$A$5:$CD$9142,27,FALSE)</f>
        <v>000</v>
      </c>
      <c r="N292" s="12" t="str">
        <f>VLOOKUP($A292,'Matriz POA 2024-TRABAJO'!$A$5:$CD$9142,28,FALSE)</f>
        <v>002</v>
      </c>
      <c r="O292" s="12" t="str">
        <f>VLOOKUP($A292,'Matriz POA 2024-TRABAJO'!$A$5:$CD$9142,29,FALSE)</f>
        <v>53</v>
      </c>
      <c r="P292" s="12">
        <f>VLOOKUP($A292,'Matriz POA 2024-TRABAJO'!$A$5:$CD$9142,30,FALSE)</f>
        <v>530301</v>
      </c>
      <c r="Q292" s="12">
        <f>VLOOKUP($A292,'Matriz POA 2024-TRABAJO'!$A$5:$CD$9142,32,FALSE)</f>
        <v>1309</v>
      </c>
      <c r="R292" s="12" t="str">
        <f>VLOOKUP($A292,'Matriz POA 2024-TRABAJO'!$A$5:$CD$9142,33,FALSE)</f>
        <v>001</v>
      </c>
      <c r="S292" s="12" t="str">
        <f>VLOOKUP($A292,'Matriz POA 2024-TRABAJO'!$A$5:$CD$9142,34,FALSE)</f>
        <v>0000</v>
      </c>
      <c r="T292" s="12" t="str">
        <f>VLOOKUP($A292,'Matriz POA 2024-TRABAJO'!$A$5:$CD$9142,35,FALSE)</f>
        <v>0000</v>
      </c>
      <c r="U292" s="62">
        <f>VLOOKUP($A292,'Matriz POA 2024-TRABAJO'!$A$5:$CD$9142,66,FALSE)</f>
        <v>1500</v>
      </c>
      <c r="V292" s="62">
        <f>VLOOKUP($A292,'Matriz POA 2024-TRABAJO'!$A$5:$CD$9142,67,FALSE)</f>
        <v>-1500</v>
      </c>
      <c r="W292" s="62">
        <f>VLOOKUP($A292,'Matriz POA 2024-TRABAJO'!$A$5:$CD$9142,68,FALSE)</f>
        <v>0</v>
      </c>
      <c r="X292" s="62" t="str">
        <f>VLOOKUP($A292,'Matriz POA 2024-TRABAJO'!$A$5:$CD$9142,72,FALSE)</f>
        <v/>
      </c>
      <c r="Y292" s="388">
        <v>1500</v>
      </c>
      <c r="Z292" s="388">
        <f>VLOOKUP($A292,'Matriz POA 2024-TRABAJO'!$A$5:$CD$9142,46,FALSE)</f>
        <v>0</v>
      </c>
      <c r="AA292" s="388">
        <v>1500</v>
      </c>
      <c r="AB292" s="389"/>
      <c r="AC292" s="389">
        <v>-222.28</v>
      </c>
      <c r="AD292" s="13"/>
      <c r="AE292" s="13"/>
      <c r="AF292" s="13">
        <f t="shared" si="333"/>
        <v>1277.72</v>
      </c>
      <c r="AG292" s="13">
        <f t="shared" si="334"/>
        <v>0</v>
      </c>
      <c r="AH292" s="13">
        <f t="shared" si="335"/>
        <v>1277.72</v>
      </c>
      <c r="AI292" s="19" t="e">
        <f t="shared" si="336"/>
        <v>#VALUE!</v>
      </c>
      <c r="AJ292" s="12" t="e">
        <f t="shared" si="337"/>
        <v>#REF!</v>
      </c>
      <c r="AK292" s="20" t="e">
        <f t="shared" si="338"/>
        <v>#REF!</v>
      </c>
      <c r="AL292" s="15"/>
      <c r="AM292" s="16"/>
      <c r="AN292" s="15"/>
      <c r="AO292" s="16"/>
      <c r="AP292" s="17">
        <f t="shared" si="339"/>
        <v>0</v>
      </c>
      <c r="AQ292" s="12"/>
      <c r="AR292" s="15"/>
      <c r="AS292" s="18"/>
      <c r="AT292" s="12"/>
      <c r="AU292" s="19" t="str">
        <f t="shared" si="340"/>
        <v>enero</v>
      </c>
      <c r="AV292" s="12" t="e">
        <f t="shared" si="341"/>
        <v>#REF!</v>
      </c>
      <c r="AW292" s="20" t="s">
        <v>1982</v>
      </c>
      <c r="AX292" s="15" t="s">
        <v>1983</v>
      </c>
      <c r="AY292" s="16">
        <v>45531</v>
      </c>
      <c r="AZ292" s="15" t="s">
        <v>1984</v>
      </c>
      <c r="BA292" s="16">
        <v>45533</v>
      </c>
      <c r="BB292" s="17">
        <f t="shared" si="269"/>
        <v>2</v>
      </c>
      <c r="BC292" s="12"/>
      <c r="BD292" s="15"/>
      <c r="BE292" s="18"/>
      <c r="BF292" s="12"/>
      <c r="BG292" s="19" t="str">
        <f t="shared" si="270"/>
        <v>agosto</v>
      </c>
      <c r="BH292" s="12" t="str">
        <f t="shared" si="271"/>
        <v>Corporación Ciudad Alfaro</v>
      </c>
      <c r="BI292" s="20" t="str">
        <f t="shared" si="272"/>
        <v>N/A</v>
      </c>
    </row>
    <row r="293" spans="1:61" ht="24.95" customHeight="1">
      <c r="A293" s="496">
        <v>486</v>
      </c>
      <c r="B293" s="12" t="str">
        <f>VLOOKUP($A293,'Matriz POA 2024-TRABAJO'!$A$5:$CD$9142,11,FALSE)</f>
        <v>Corporación Ciudad Alfaro</v>
      </c>
      <c r="C293" s="12" t="str">
        <f>VLOOKUP($A293,'Matriz POA 2024-TRABAJO'!$A$5:$CD$9142,14,FALSE)</f>
        <v>N/A</v>
      </c>
      <c r="D293" s="12" t="str">
        <f>VLOOKUP($A293,'Matriz POA 2024-TRABAJO'!$A$5:$CD$9142,15,FALSE)</f>
        <v>N/A</v>
      </c>
      <c r="E293" s="12" t="str">
        <f>VLOOKUP($A293,'Matriz POA 2024-TRABAJO'!$A$5:$CD$9142,18,FALSE)</f>
        <v>N/A</v>
      </c>
      <c r="F293" s="12" t="str">
        <f>VLOOKUP($A293,'Matriz POA 2024-TRABAJO'!$A$5:$CD$9142,20,FALSE)</f>
        <v>N/A</v>
      </c>
      <c r="G293" s="12" t="str">
        <f>VLOOKUP($A293,'Matriz POA 2024-TRABAJO'!$A$5:$CD$9142,21,FALSE)</f>
        <v>N/A</v>
      </c>
      <c r="H293" s="12" t="str">
        <f>VLOOKUP($A293,'Matriz POA 2024-TRABAJO'!$A$5:$CD$9142,22,FALSE)</f>
        <v>N/A</v>
      </c>
      <c r="I293" s="12" t="str">
        <f>VLOOKUP($A293,'Matriz POA 2024-TRABAJO'!$A$5:$CD$9142,23,FALSE)</f>
        <v>NUEVA</v>
      </c>
      <c r="J293" s="12" t="str">
        <f>VLOOKUP($A293,'Matriz POA 2024-TRABAJO'!$A$5:$CD$9142,24,FALSE)</f>
        <v>Pago de pasajes en el interior para el personal de la Corporación Ciudad Alfaro y sus sedes</v>
      </c>
      <c r="K293" s="12" t="str">
        <f>VLOOKUP($A293,'Matriz POA 2024-TRABAJO'!$A$5:$CD$9142,25,FALSE)</f>
        <v>0035</v>
      </c>
      <c r="L293" s="12" t="str">
        <f>VLOOKUP($A293,'Matriz POA 2024-TRABAJO'!$A$5:$CD$9142,26,FALSE)</f>
        <v>80</v>
      </c>
      <c r="M293" s="12" t="str">
        <f>VLOOKUP($A293,'Matriz POA 2024-TRABAJO'!$A$5:$CD$9142,27,FALSE)</f>
        <v>000</v>
      </c>
      <c r="N293" s="12" t="str">
        <f>VLOOKUP($A293,'Matriz POA 2024-TRABAJO'!$A$5:$CD$9142,28,FALSE)</f>
        <v>002</v>
      </c>
      <c r="O293" s="12" t="str">
        <f>VLOOKUP($A293,'Matriz POA 2024-TRABAJO'!$A$5:$CD$9142,29,FALSE)</f>
        <v>53</v>
      </c>
      <c r="P293" s="12">
        <f>VLOOKUP($A293,'Matriz POA 2024-TRABAJO'!$A$5:$CD$9142,30,FALSE)</f>
        <v>530301</v>
      </c>
      <c r="Q293" s="12">
        <f>VLOOKUP($A293,'Matriz POA 2024-TRABAJO'!$A$5:$CD$9142,32,FALSE)</f>
        <v>1309</v>
      </c>
      <c r="R293" s="12" t="str">
        <f>VLOOKUP($A293,'Matriz POA 2024-TRABAJO'!$A$5:$CD$9142,33,FALSE)</f>
        <v>001</v>
      </c>
      <c r="S293" s="12" t="str">
        <f>VLOOKUP($A293,'Matriz POA 2024-TRABAJO'!$A$5:$CD$9142,34,FALSE)</f>
        <v>0000</v>
      </c>
      <c r="T293" s="12" t="str">
        <f>VLOOKUP($A293,'Matriz POA 2024-TRABAJO'!$A$5:$CD$9142,35,FALSE)</f>
        <v>0000</v>
      </c>
      <c r="U293" s="62">
        <f>VLOOKUP($A293,'Matriz POA 2024-TRABAJO'!$A$5:$CD$9142,66,FALSE)</f>
        <v>500</v>
      </c>
      <c r="V293" s="62">
        <f>VLOOKUP($A293,'Matriz POA 2024-TRABAJO'!$A$5:$CD$9142,67,FALSE)</f>
        <v>-500</v>
      </c>
      <c r="W293" s="62">
        <f>VLOOKUP($A293,'Matriz POA 2024-TRABAJO'!$A$5:$CD$9142,68,FALSE)</f>
        <v>0</v>
      </c>
      <c r="X293" s="62" t="str">
        <f>VLOOKUP($A293,'Matriz POA 2024-TRABAJO'!$A$5:$CD$9142,72,FALSE)</f>
        <v/>
      </c>
      <c r="Y293" s="388">
        <v>500</v>
      </c>
      <c r="Z293" s="388">
        <f>VLOOKUP($A293,'Matriz POA 2024-TRABAJO'!$A$5:$CD$9142,46,FALSE)</f>
        <v>0</v>
      </c>
      <c r="AA293" s="388">
        <v>500</v>
      </c>
      <c r="AB293" s="389"/>
      <c r="AC293" s="389">
        <v>-500</v>
      </c>
      <c r="AD293" s="13"/>
      <c r="AE293" s="13"/>
      <c r="AF293" s="13">
        <f t="shared" si="333"/>
        <v>0</v>
      </c>
      <c r="AG293" s="13">
        <f t="shared" si="334"/>
        <v>0</v>
      </c>
      <c r="AH293" s="13">
        <f t="shared" si="335"/>
        <v>0</v>
      </c>
      <c r="AI293" s="19" t="e">
        <f t="shared" si="336"/>
        <v>#VALUE!</v>
      </c>
      <c r="AJ293" s="12" t="e">
        <f t="shared" si="337"/>
        <v>#REF!</v>
      </c>
      <c r="AK293" s="20" t="e">
        <f t="shared" si="338"/>
        <v>#REF!</v>
      </c>
      <c r="AL293" s="15"/>
      <c r="AM293" s="16"/>
      <c r="AN293" s="15"/>
      <c r="AO293" s="16"/>
      <c r="AP293" s="17">
        <f t="shared" si="339"/>
        <v>0</v>
      </c>
      <c r="AQ293" s="12"/>
      <c r="AR293" s="15"/>
      <c r="AS293" s="18"/>
      <c r="AT293" s="12"/>
      <c r="AU293" s="19" t="str">
        <f t="shared" si="340"/>
        <v>enero</v>
      </c>
      <c r="AV293" s="12" t="e">
        <f t="shared" si="341"/>
        <v>#REF!</v>
      </c>
      <c r="AW293" s="20" t="s">
        <v>1982</v>
      </c>
      <c r="AX293" s="15" t="s">
        <v>1983</v>
      </c>
      <c r="AY293" s="16">
        <v>45531</v>
      </c>
      <c r="AZ293" s="15" t="s">
        <v>1984</v>
      </c>
      <c r="BA293" s="16">
        <v>45533</v>
      </c>
      <c r="BB293" s="17">
        <f t="shared" si="269"/>
        <v>2</v>
      </c>
      <c r="BC293" s="12"/>
      <c r="BD293" s="15"/>
      <c r="BE293" s="18"/>
      <c r="BF293" s="12"/>
      <c r="BG293" s="19" t="str">
        <f t="shared" si="270"/>
        <v>agosto</v>
      </c>
      <c r="BH293" s="12" t="str">
        <f t="shared" si="271"/>
        <v>Corporación Ciudad Alfaro</v>
      </c>
      <c r="BI293" s="20" t="str">
        <f t="shared" si="272"/>
        <v>N/A</v>
      </c>
    </row>
    <row r="294" spans="1:61" ht="24.95" customHeight="1">
      <c r="A294" s="496">
        <v>820</v>
      </c>
      <c r="B294" s="12" t="str">
        <f>VLOOKUP($A294,'Matriz POA 2024-TRABAJO'!$A$5:$CD$9142,11,FALSE)</f>
        <v>Corporación Ciudad Alfaro</v>
      </c>
      <c r="C294" s="12" t="str">
        <f>VLOOKUP($A294,'Matriz POA 2024-TRABAJO'!$A$5:$CD$9142,14,FALSE)</f>
        <v>N/A</v>
      </c>
      <c r="D294" s="12" t="str">
        <f>VLOOKUP($A294,'Matriz POA 2024-TRABAJO'!$A$5:$CD$9142,15,FALSE)</f>
        <v>N/A</v>
      </c>
      <c r="E294" s="12" t="str">
        <f>VLOOKUP($A294,'Matriz POA 2024-TRABAJO'!$A$5:$CD$9142,18,FALSE)</f>
        <v>N/A</v>
      </c>
      <c r="F294" s="12" t="str">
        <f>VLOOKUP($A294,'Matriz POA 2024-TRABAJO'!$A$5:$CD$9142,20,FALSE)</f>
        <v>N/A</v>
      </c>
      <c r="G294" s="12" t="str">
        <f>VLOOKUP($A294,'Matriz POA 2024-TRABAJO'!$A$5:$CD$9142,21,FALSE)</f>
        <v>N/A</v>
      </c>
      <c r="H294" s="12" t="str">
        <f>VLOOKUP($A294,'Matriz POA 2024-TRABAJO'!$A$5:$CD$9142,22,FALSE)</f>
        <v>N/A</v>
      </c>
      <c r="I294" s="12" t="str">
        <f>VLOOKUP($A294,'Matriz POA 2024-TRABAJO'!$A$5:$CD$9142,23,FALSE)</f>
        <v>NUEVA</v>
      </c>
      <c r="J294" s="12" t="str">
        <f>VLOOKUP($A294,'Matriz POA 2024-TRABAJO'!$A$5:$CD$9142,24,FALSE)</f>
        <v>Contratación del servicio de instalación, mantenimiento y reparación del auditorio del Museo Portoviejo y Archivo Histórico</v>
      </c>
      <c r="K294" s="12" t="str">
        <f>VLOOKUP($A294,'Matriz POA 2024-TRABAJO'!$A$5:$CD$9142,25,FALSE)</f>
        <v>0035</v>
      </c>
      <c r="L294" s="12" t="str">
        <f>VLOOKUP($A294,'Matriz POA 2024-TRABAJO'!$A$5:$CD$9142,26,FALSE)</f>
        <v>80</v>
      </c>
      <c r="M294" s="12" t="str">
        <f>VLOOKUP($A294,'Matriz POA 2024-TRABAJO'!$A$5:$CD$9142,27,FALSE)</f>
        <v>000</v>
      </c>
      <c r="N294" s="12" t="str">
        <f>VLOOKUP($A294,'Matriz POA 2024-TRABAJO'!$A$5:$CD$9142,28,FALSE)</f>
        <v>002</v>
      </c>
      <c r="O294" s="12" t="str">
        <f>VLOOKUP($A294,'Matriz POA 2024-TRABAJO'!$A$5:$CD$9142,29,FALSE)</f>
        <v>53</v>
      </c>
      <c r="P294" s="12">
        <f>VLOOKUP($A294,'Matriz POA 2024-TRABAJO'!$A$5:$CD$9142,30,FALSE)</f>
        <v>530403</v>
      </c>
      <c r="Q294" s="12">
        <f>VLOOKUP($A294,'Matriz POA 2024-TRABAJO'!$A$5:$CD$9142,32,FALSE)</f>
        <v>1301</v>
      </c>
      <c r="R294" s="12" t="str">
        <f>VLOOKUP($A294,'Matriz POA 2024-TRABAJO'!$A$5:$CD$9142,33,FALSE)</f>
        <v>001</v>
      </c>
      <c r="S294" s="12" t="str">
        <f>VLOOKUP($A294,'Matriz POA 2024-TRABAJO'!$A$5:$CD$9142,34,FALSE)</f>
        <v>0000</v>
      </c>
      <c r="T294" s="12" t="str">
        <f>VLOOKUP($A294,'Matriz POA 2024-TRABAJO'!$A$5:$CD$9142,35,FALSE)</f>
        <v>0000</v>
      </c>
      <c r="U294" s="62">
        <f>VLOOKUP($A294,'Matriz POA 2024-TRABAJO'!$A$5:$CD$9142,66,FALSE)</f>
        <v>5000</v>
      </c>
      <c r="V294" s="62">
        <f>VLOOKUP($A294,'Matriz POA 2024-TRABAJO'!$A$5:$CD$9142,67,FALSE)</f>
        <v>-5000</v>
      </c>
      <c r="W294" s="62">
        <f>VLOOKUP($A294,'Matriz POA 2024-TRABAJO'!$A$5:$CD$9142,68,FALSE)</f>
        <v>0</v>
      </c>
      <c r="X294" s="62" t="str">
        <f>VLOOKUP($A294,'Matriz POA 2024-TRABAJO'!$A$5:$CD$9142,72,FALSE)</f>
        <v/>
      </c>
      <c r="Y294" s="388">
        <v>5000</v>
      </c>
      <c r="Z294" s="388">
        <f>VLOOKUP($A294,'Matriz POA 2024-TRABAJO'!$A$5:$CD$9142,46,FALSE)</f>
        <v>0</v>
      </c>
      <c r="AA294" s="388">
        <v>5000</v>
      </c>
      <c r="AB294" s="389"/>
      <c r="AC294" s="389">
        <v>-2857.72</v>
      </c>
      <c r="AD294" s="13"/>
      <c r="AE294" s="13"/>
      <c r="AF294" s="13">
        <f t="shared" si="333"/>
        <v>2142.2800000000002</v>
      </c>
      <c r="AG294" s="13">
        <f t="shared" si="334"/>
        <v>0</v>
      </c>
      <c r="AH294" s="13">
        <f t="shared" si="335"/>
        <v>2142.2800000000002</v>
      </c>
      <c r="AI294" s="19" t="e">
        <f t="shared" si="336"/>
        <v>#VALUE!</v>
      </c>
      <c r="AJ294" s="12" t="e">
        <f t="shared" si="337"/>
        <v>#REF!</v>
      </c>
      <c r="AK294" s="20" t="e">
        <f t="shared" si="338"/>
        <v>#REF!</v>
      </c>
      <c r="AL294" s="15"/>
      <c r="AM294" s="16"/>
      <c r="AN294" s="15"/>
      <c r="AO294" s="16"/>
      <c r="AP294" s="17">
        <f t="shared" si="339"/>
        <v>0</v>
      </c>
      <c r="AQ294" s="12"/>
      <c r="AR294" s="15"/>
      <c r="AS294" s="18"/>
      <c r="AT294" s="12"/>
      <c r="AU294" s="19" t="str">
        <f t="shared" ref="AU294" si="342">TEXT(AO294,"MMMM")</f>
        <v>enero</v>
      </c>
      <c r="AV294" s="12" t="e">
        <f t="shared" si="341"/>
        <v>#REF!</v>
      </c>
      <c r="AW294" s="20" t="s">
        <v>1982</v>
      </c>
      <c r="AX294" s="15" t="s">
        <v>1983</v>
      </c>
      <c r="AY294" s="16">
        <v>45531</v>
      </c>
      <c r="AZ294" s="15" t="s">
        <v>1984</v>
      </c>
      <c r="BA294" s="16">
        <v>45533</v>
      </c>
      <c r="BB294" s="17">
        <f t="shared" si="269"/>
        <v>2</v>
      </c>
      <c r="BC294" s="12"/>
      <c r="BD294" s="15"/>
      <c r="BE294" s="18"/>
      <c r="BF294" s="12"/>
      <c r="BG294" s="19" t="str">
        <f t="shared" si="270"/>
        <v>agosto</v>
      </c>
      <c r="BH294" s="12" t="str">
        <f t="shared" si="271"/>
        <v>Corporación Ciudad Alfaro</v>
      </c>
      <c r="BI294" s="20" t="str">
        <f t="shared" si="272"/>
        <v>N/A</v>
      </c>
    </row>
    <row r="295" spans="1:61" ht="24.95" customHeight="1">
      <c r="A295" s="497">
        <v>815</v>
      </c>
      <c r="B295" s="12" t="str">
        <f>VLOOKUP($A295,'Matriz POA 2024-TRABAJO'!$A$5:$CD$9142,11,FALSE)</f>
        <v>Corporación Ciudad Alfaro</v>
      </c>
      <c r="C295" s="12" t="str">
        <f>VLOOKUP($A295,'Matriz POA 2024-TRABAJO'!$A$5:$CD$9142,14,FALSE)</f>
        <v>N/A</v>
      </c>
      <c r="D295" s="12" t="str">
        <f>VLOOKUP($A295,'Matriz POA 2024-TRABAJO'!$A$5:$CD$9142,15,FALSE)</f>
        <v>N/A</v>
      </c>
      <c r="E295" s="12" t="str">
        <f>VLOOKUP($A295,'Matriz POA 2024-TRABAJO'!$A$5:$CD$9142,18,FALSE)</f>
        <v>N/A</v>
      </c>
      <c r="F295" s="12" t="str">
        <f>VLOOKUP($A295,'Matriz POA 2024-TRABAJO'!$A$5:$CD$9142,20,FALSE)</f>
        <v>N/A</v>
      </c>
      <c r="G295" s="12" t="str">
        <f>VLOOKUP($A295,'Matriz POA 2024-TRABAJO'!$A$5:$CD$9142,21,FALSE)</f>
        <v>N/A</v>
      </c>
      <c r="H295" s="12" t="str">
        <f>VLOOKUP($A295,'Matriz POA 2024-TRABAJO'!$A$5:$CD$9142,22,FALSE)</f>
        <v>N/A</v>
      </c>
      <c r="I295" s="12" t="str">
        <f>VLOOKUP($A295,'Matriz POA 2024-TRABAJO'!$A$5:$CD$9142,23,FALSE)</f>
        <v>NUEVA</v>
      </c>
      <c r="J295" s="12" t="str">
        <f>VLOOKUP($A295,'Matriz POA 2024-TRABAJO'!$A$5:$CD$9142,24,FALSE)</f>
        <v>Contratación del servicio de mantenimiento y readecuación del museo rodante del Museo Nuclear Corporación Ciudad Alfaro</v>
      </c>
      <c r="K295" s="12" t="str">
        <f>VLOOKUP($A295,'Matriz POA 2024-TRABAJO'!$A$5:$CD$9142,25,FALSE)</f>
        <v>0035</v>
      </c>
      <c r="L295" s="12" t="str">
        <f>VLOOKUP($A295,'Matriz POA 2024-TRABAJO'!$A$5:$CD$9142,26,FALSE)</f>
        <v>80</v>
      </c>
      <c r="M295" s="12" t="str">
        <f>VLOOKUP($A295,'Matriz POA 2024-TRABAJO'!$A$5:$CD$9142,27,FALSE)</f>
        <v>000</v>
      </c>
      <c r="N295" s="12" t="str">
        <f>VLOOKUP($A295,'Matriz POA 2024-TRABAJO'!$A$5:$CD$9142,28,FALSE)</f>
        <v>002</v>
      </c>
      <c r="O295" s="12" t="str">
        <f>VLOOKUP($A295,'Matriz POA 2024-TRABAJO'!$A$5:$CD$9142,29,FALSE)</f>
        <v>53</v>
      </c>
      <c r="P295" s="12">
        <f>VLOOKUP($A295,'Matriz POA 2024-TRABAJO'!$A$5:$CD$9142,30,FALSE)</f>
        <v>530408</v>
      </c>
      <c r="Q295" s="12">
        <f>VLOOKUP($A295,'Matriz POA 2024-TRABAJO'!$A$5:$CD$9142,32,FALSE)</f>
        <v>1309</v>
      </c>
      <c r="R295" s="12" t="str">
        <f>VLOOKUP($A295,'Matriz POA 2024-TRABAJO'!$A$5:$CD$9142,33,FALSE)</f>
        <v>001</v>
      </c>
      <c r="S295" s="12" t="str">
        <f>VLOOKUP($A295,'Matriz POA 2024-TRABAJO'!$A$5:$CD$9142,34,FALSE)</f>
        <v>0000</v>
      </c>
      <c r="T295" s="12" t="str">
        <f>VLOOKUP($A295,'Matriz POA 2024-TRABAJO'!$A$5:$CD$9142,35,FALSE)</f>
        <v>0000</v>
      </c>
      <c r="U295" s="62">
        <f>VLOOKUP($A295,'Matriz POA 2024-TRABAJO'!$A$5:$CD$9142,66,FALSE)</f>
        <v>5000</v>
      </c>
      <c r="V295" s="62">
        <f>VLOOKUP($A295,'Matriz POA 2024-TRABAJO'!$A$5:$CD$9142,67,FALSE)</f>
        <v>-5000</v>
      </c>
      <c r="W295" s="62">
        <f>VLOOKUP($A295,'Matriz POA 2024-TRABAJO'!$A$5:$CD$9142,68,FALSE)</f>
        <v>0</v>
      </c>
      <c r="X295" s="62" t="str">
        <f>VLOOKUP($A295,'Matriz POA 2024-TRABAJO'!$A$5:$CD$9142,72,FALSE)</f>
        <v/>
      </c>
      <c r="Y295" s="388">
        <v>5000</v>
      </c>
      <c r="Z295" s="388">
        <f>VLOOKUP($A295,'Matriz POA 2024-TRABAJO'!$A$5:$CD$9142,46,FALSE)</f>
        <v>0</v>
      </c>
      <c r="AA295" s="388">
        <v>5000</v>
      </c>
      <c r="AB295" s="389"/>
      <c r="AC295" s="389">
        <v>-5000</v>
      </c>
      <c r="AD295" s="13"/>
      <c r="AE295" s="13"/>
      <c r="AF295" s="13">
        <f t="shared" si="333"/>
        <v>0</v>
      </c>
      <c r="AG295" s="13">
        <f t="shared" si="334"/>
        <v>0</v>
      </c>
      <c r="AH295" s="13">
        <f t="shared" si="335"/>
        <v>0</v>
      </c>
      <c r="AI295" s="129" t="e">
        <f t="shared" si="336"/>
        <v>#VALUE!</v>
      </c>
      <c r="AJ295" s="129"/>
      <c r="AK295" s="129"/>
      <c r="AL295" s="129"/>
      <c r="AM295" s="129"/>
      <c r="AN295" s="129"/>
      <c r="AO295" s="129"/>
      <c r="AP295" s="129"/>
      <c r="AQ295" s="129"/>
      <c r="AR295" s="129"/>
      <c r="AS295" s="129"/>
      <c r="AT295" s="129"/>
      <c r="AU295" s="129" t="e">
        <f t="shared" ref="AU295" si="343">SUM(AI295:AT295)</f>
        <v>#VALUE!</v>
      </c>
      <c r="AV295" s="13" t="e">
        <f t="shared" ref="AV295" si="344">SUM(AI295:AT295)=AH295</f>
        <v>#VALUE!</v>
      </c>
      <c r="AW295" s="20" t="s">
        <v>1985</v>
      </c>
      <c r="AX295" s="15" t="s">
        <v>1983</v>
      </c>
      <c r="AY295" s="16">
        <v>45531</v>
      </c>
      <c r="AZ295" s="15" t="s">
        <v>1986</v>
      </c>
      <c r="BA295" s="16">
        <v>45533</v>
      </c>
      <c r="BB295" s="17">
        <f t="shared" si="269"/>
        <v>2</v>
      </c>
      <c r="BC295" s="12"/>
      <c r="BD295" s="15"/>
      <c r="BE295" s="18"/>
      <c r="BF295" s="12"/>
      <c r="BG295" s="19" t="str">
        <f t="shared" si="270"/>
        <v>agosto</v>
      </c>
      <c r="BH295" s="12" t="str">
        <f t="shared" si="271"/>
        <v>Corporación Ciudad Alfaro</v>
      </c>
      <c r="BI295" s="20" t="str">
        <f t="shared" si="272"/>
        <v>N/A</v>
      </c>
    </row>
    <row r="296" spans="1:61" ht="24.95" customHeight="1">
      <c r="A296" s="496">
        <v>820</v>
      </c>
      <c r="B296" s="12" t="str">
        <f>VLOOKUP($A296,'Matriz POA 2024-TRABAJO'!$A$5:$CD$9142,11,FALSE)</f>
        <v>Corporación Ciudad Alfaro</v>
      </c>
      <c r="C296" s="12" t="str">
        <f>VLOOKUP($A296,'Matriz POA 2024-TRABAJO'!$A$5:$CD$9142,14,FALSE)</f>
        <v>N/A</v>
      </c>
      <c r="D296" s="12" t="str">
        <f>VLOOKUP($A296,'Matriz POA 2024-TRABAJO'!$A$5:$CD$9142,15,FALSE)</f>
        <v>N/A</v>
      </c>
      <c r="E296" s="12" t="str">
        <f>VLOOKUP($A296,'Matriz POA 2024-TRABAJO'!$A$5:$CD$9142,18,FALSE)</f>
        <v>N/A</v>
      </c>
      <c r="F296" s="12" t="str">
        <f>VLOOKUP($A296,'Matriz POA 2024-TRABAJO'!$A$5:$CD$9142,20,FALSE)</f>
        <v>N/A</v>
      </c>
      <c r="G296" s="12" t="str">
        <f>VLOOKUP($A296,'Matriz POA 2024-TRABAJO'!$A$5:$CD$9142,21,FALSE)</f>
        <v>N/A</v>
      </c>
      <c r="H296" s="12" t="str">
        <f>VLOOKUP($A296,'Matriz POA 2024-TRABAJO'!$A$5:$CD$9142,22,FALSE)</f>
        <v>N/A</v>
      </c>
      <c r="I296" s="12" t="str">
        <f>VLOOKUP($A296,'Matriz POA 2024-TRABAJO'!$A$5:$CD$9142,23,FALSE)</f>
        <v>NUEVA</v>
      </c>
      <c r="J296" s="12" t="str">
        <f>VLOOKUP($A296,'Matriz POA 2024-TRABAJO'!$A$5:$CD$9142,24,FALSE)</f>
        <v>Contratación del servicio de instalación, mantenimiento y reparación del auditorio del Museo Portoviejo y Archivo Histórico</v>
      </c>
      <c r="K296" s="12" t="str">
        <f>VLOOKUP($A296,'Matriz POA 2024-TRABAJO'!$A$5:$CD$9142,25,FALSE)</f>
        <v>0035</v>
      </c>
      <c r="L296" s="12" t="str">
        <f>VLOOKUP($A296,'Matriz POA 2024-TRABAJO'!$A$5:$CD$9142,26,FALSE)</f>
        <v>80</v>
      </c>
      <c r="M296" s="12" t="str">
        <f>VLOOKUP($A296,'Matriz POA 2024-TRABAJO'!$A$5:$CD$9142,27,FALSE)</f>
        <v>000</v>
      </c>
      <c r="N296" s="12" t="str">
        <f>VLOOKUP($A296,'Matriz POA 2024-TRABAJO'!$A$5:$CD$9142,28,FALSE)</f>
        <v>002</v>
      </c>
      <c r="O296" s="12" t="str">
        <f>VLOOKUP($A296,'Matriz POA 2024-TRABAJO'!$A$5:$CD$9142,29,FALSE)</f>
        <v>53</v>
      </c>
      <c r="P296" s="12">
        <f>VLOOKUP($A296,'Matriz POA 2024-TRABAJO'!$A$5:$CD$9142,30,FALSE)</f>
        <v>530403</v>
      </c>
      <c r="Q296" s="12">
        <f>VLOOKUP($A296,'Matriz POA 2024-TRABAJO'!$A$5:$CD$9142,32,FALSE)</f>
        <v>1301</v>
      </c>
      <c r="R296" s="12" t="str">
        <f>VLOOKUP($A296,'Matriz POA 2024-TRABAJO'!$A$5:$CD$9142,33,FALSE)</f>
        <v>001</v>
      </c>
      <c r="S296" s="12" t="str">
        <f>VLOOKUP($A296,'Matriz POA 2024-TRABAJO'!$A$5:$CD$9142,34,FALSE)</f>
        <v>0000</v>
      </c>
      <c r="T296" s="12" t="str">
        <f>VLOOKUP($A296,'Matriz POA 2024-TRABAJO'!$A$5:$CD$9142,35,FALSE)</f>
        <v>0000</v>
      </c>
      <c r="U296" s="62">
        <f>VLOOKUP($A296,'Matriz POA 2024-TRABAJO'!$A$5:$CD$9142,66,FALSE)</f>
        <v>5000</v>
      </c>
      <c r="V296" s="62">
        <f>VLOOKUP($A296,'Matriz POA 2024-TRABAJO'!$A$5:$CD$9142,67,FALSE)</f>
        <v>-5000</v>
      </c>
      <c r="W296" s="62">
        <f>VLOOKUP($A296,'Matriz POA 2024-TRABAJO'!$A$5:$CD$9142,68,FALSE)</f>
        <v>0</v>
      </c>
      <c r="X296" s="62" t="str">
        <f>VLOOKUP($A296,'Matriz POA 2024-TRABAJO'!$A$5:$CD$9142,72,FALSE)</f>
        <v/>
      </c>
      <c r="Y296" s="388">
        <v>2142.2800000000002</v>
      </c>
      <c r="Z296" s="388">
        <f>VLOOKUP($A296,'Matriz POA 2024-TRABAJO'!$A$5:$CD$9142,46,FALSE)</f>
        <v>0</v>
      </c>
      <c r="AA296" s="388">
        <v>2142.2800000000002</v>
      </c>
      <c r="AB296" s="389"/>
      <c r="AC296" s="389">
        <v>-2142.2800000000002</v>
      </c>
      <c r="AD296" s="13"/>
      <c r="AE296" s="13"/>
      <c r="AF296" s="13">
        <f t="shared" ref="AF296" si="345">Y296+AB296+AC296</f>
        <v>0</v>
      </c>
      <c r="AG296" s="13">
        <f t="shared" ref="AG296" si="346">Z296+AD296+AE296</f>
        <v>0</v>
      </c>
      <c r="AH296" s="13">
        <f t="shared" ref="AH296" si="347">+AF296+AG296</f>
        <v>0</v>
      </c>
      <c r="AI296" s="19" t="e">
        <f t="shared" ref="AI296" si="348">TEXT(AC296,"MMMM")</f>
        <v>#VALUE!</v>
      </c>
      <c r="AJ296" s="12" t="e">
        <f t="shared" si="337"/>
        <v>#REF!</v>
      </c>
      <c r="AK296" s="20" t="e">
        <f t="shared" si="338"/>
        <v>#REF!</v>
      </c>
      <c r="AL296" s="15"/>
      <c r="AM296" s="16"/>
      <c r="AN296" s="15"/>
      <c r="AO296" s="16"/>
      <c r="AP296" s="17">
        <f t="shared" ref="AP296" si="349">AO296-AM296</f>
        <v>0</v>
      </c>
      <c r="AQ296" s="12"/>
      <c r="AR296" s="15"/>
      <c r="AS296" s="18"/>
      <c r="AT296" s="12"/>
      <c r="AU296" s="19" t="str">
        <f t="shared" ref="AU296" si="350">TEXT(AO296,"MMMM")</f>
        <v>enero</v>
      </c>
      <c r="AV296" s="12" t="e">
        <f t="shared" si="341"/>
        <v>#REF!</v>
      </c>
      <c r="AW296" s="20" t="s">
        <v>1985</v>
      </c>
      <c r="AX296" s="15" t="s">
        <v>1983</v>
      </c>
      <c r="AY296" s="16">
        <v>45531</v>
      </c>
      <c r="AZ296" s="15" t="s">
        <v>1986</v>
      </c>
      <c r="BA296" s="16">
        <v>45533</v>
      </c>
      <c r="BB296" s="17">
        <f t="shared" ref="BB296" si="351">BA296-AY296</f>
        <v>2</v>
      </c>
      <c r="BC296" s="12"/>
      <c r="BD296" s="15"/>
      <c r="BE296" s="18"/>
      <c r="BF296" s="12"/>
      <c r="BG296" s="19" t="str">
        <f t="shared" ref="BG296" si="352">TEXT(BA296,"MMMM")</f>
        <v>agosto</v>
      </c>
      <c r="BH296" s="12" t="str">
        <f t="shared" ref="BH296" si="353">B296</f>
        <v>Corporación Ciudad Alfaro</v>
      </c>
      <c r="BI296" s="20" t="str">
        <f t="shared" ref="BI296" si="354">E296</f>
        <v>N/A</v>
      </c>
    </row>
    <row r="297" spans="1:61" ht="24.95" customHeight="1">
      <c r="A297" s="496">
        <v>488</v>
      </c>
      <c r="B297" s="12" t="str">
        <f>VLOOKUP($A297,'Matriz POA 2024-TRABAJO'!$A$5:$CD$9142,11,FALSE)</f>
        <v>Corporación Ciudad Alfaro</v>
      </c>
      <c r="C297" s="12" t="str">
        <f>VLOOKUP($A297,'Matriz POA 2024-TRABAJO'!$A$5:$CD$9142,14,FALSE)</f>
        <v>N/A</v>
      </c>
      <c r="D297" s="12" t="str">
        <f>VLOOKUP($A297,'Matriz POA 2024-TRABAJO'!$A$5:$CD$9142,15,FALSE)</f>
        <v>N/A</v>
      </c>
      <c r="E297" s="12" t="str">
        <f>VLOOKUP($A297,'Matriz POA 2024-TRABAJO'!$A$5:$CD$9142,18,FALSE)</f>
        <v>N/A</v>
      </c>
      <c r="F297" s="12" t="str">
        <f>VLOOKUP($A297,'Matriz POA 2024-TRABAJO'!$A$5:$CD$9142,20,FALSE)</f>
        <v>N/A</v>
      </c>
      <c r="G297" s="12" t="str">
        <f>VLOOKUP($A297,'Matriz POA 2024-TRABAJO'!$A$5:$CD$9142,21,FALSE)</f>
        <v>N/A</v>
      </c>
      <c r="H297" s="12" t="str">
        <f>VLOOKUP($A297,'Matriz POA 2024-TRABAJO'!$A$5:$CD$9142,22,FALSE)</f>
        <v>N/A</v>
      </c>
      <c r="I297" s="12" t="str">
        <f>VLOOKUP($A297,'Matriz POA 2024-TRABAJO'!$A$5:$CD$9142,23,FALSE)</f>
        <v>NUEVA</v>
      </c>
      <c r="J297" s="12" t="str">
        <f>VLOOKUP($A297,'Matriz POA 2024-TRABAJO'!$A$5:$CD$9142,24,FALSE)</f>
        <v>Reembolso de pasajes aereos  para el personal de la Corporación Ciudad Alfaro y sus sedes</v>
      </c>
      <c r="K297" s="12" t="str">
        <f>VLOOKUP($A297,'Matriz POA 2024-TRABAJO'!$A$5:$CD$9142,25,FALSE)</f>
        <v>0035</v>
      </c>
      <c r="L297" s="12" t="str">
        <f>VLOOKUP($A297,'Matriz POA 2024-TRABAJO'!$A$5:$CD$9142,26,FALSE)</f>
        <v>80</v>
      </c>
      <c r="M297" s="12" t="str">
        <f>VLOOKUP($A297,'Matriz POA 2024-TRABAJO'!$A$5:$CD$9142,27,FALSE)</f>
        <v>000</v>
      </c>
      <c r="N297" s="12" t="str">
        <f>VLOOKUP($A297,'Matriz POA 2024-TRABAJO'!$A$5:$CD$9142,28,FALSE)</f>
        <v>002</v>
      </c>
      <c r="O297" s="12" t="str">
        <f>VLOOKUP($A297,'Matriz POA 2024-TRABAJO'!$A$5:$CD$9142,29,FALSE)</f>
        <v>53</v>
      </c>
      <c r="P297" s="12">
        <f>VLOOKUP($A297,'Matriz POA 2024-TRABAJO'!$A$5:$CD$9142,30,FALSE)</f>
        <v>530301</v>
      </c>
      <c r="Q297" s="12">
        <f>VLOOKUP($A297,'Matriz POA 2024-TRABAJO'!$A$5:$CD$9142,32,FALSE)</f>
        <v>1309</v>
      </c>
      <c r="R297" s="12" t="str">
        <f>VLOOKUP($A297,'Matriz POA 2024-TRABAJO'!$A$5:$CD$9142,33,FALSE)</f>
        <v>001</v>
      </c>
      <c r="S297" s="12" t="str">
        <f>VLOOKUP($A297,'Matriz POA 2024-TRABAJO'!$A$5:$CD$9142,34,FALSE)</f>
        <v>0000</v>
      </c>
      <c r="T297" s="12" t="str">
        <f>VLOOKUP($A297,'Matriz POA 2024-TRABAJO'!$A$5:$CD$9142,35,FALSE)</f>
        <v>0000</v>
      </c>
      <c r="U297" s="62">
        <f>VLOOKUP($A297,'Matriz POA 2024-TRABAJO'!$A$5:$CD$9142,66,FALSE)</f>
        <v>1500</v>
      </c>
      <c r="V297" s="62">
        <f>VLOOKUP($A297,'Matriz POA 2024-TRABAJO'!$A$5:$CD$9142,67,FALSE)</f>
        <v>-1500</v>
      </c>
      <c r="W297" s="62">
        <f>VLOOKUP($A297,'Matriz POA 2024-TRABAJO'!$A$5:$CD$9142,68,FALSE)</f>
        <v>0</v>
      </c>
      <c r="X297" s="62" t="str">
        <f>VLOOKUP($A297,'Matriz POA 2024-TRABAJO'!$A$5:$CD$9142,72,FALSE)</f>
        <v/>
      </c>
      <c r="Y297" s="388">
        <v>1277.72</v>
      </c>
      <c r="Z297" s="388">
        <f>VLOOKUP($A297,'Matriz POA 2024-TRABAJO'!$A$5:$CD$9142,46,FALSE)</f>
        <v>0</v>
      </c>
      <c r="AA297" s="388">
        <v>1277.72</v>
      </c>
      <c r="AB297" s="389"/>
      <c r="AC297" s="389">
        <v>-1277.72</v>
      </c>
      <c r="AD297" s="13"/>
      <c r="AE297" s="13"/>
      <c r="AF297" s="13">
        <f t="shared" si="333"/>
        <v>0</v>
      </c>
      <c r="AG297" s="13">
        <f t="shared" si="334"/>
        <v>0</v>
      </c>
      <c r="AH297" s="13">
        <f t="shared" si="335"/>
        <v>0</v>
      </c>
      <c r="AI297" s="19" t="e">
        <f t="shared" si="336"/>
        <v>#VALUE!</v>
      </c>
      <c r="AJ297" s="12" t="e">
        <f t="shared" si="337"/>
        <v>#REF!</v>
      </c>
      <c r="AK297" s="20" t="e">
        <f t="shared" si="338"/>
        <v>#REF!</v>
      </c>
      <c r="AL297" s="15"/>
      <c r="AM297" s="16"/>
      <c r="AN297" s="15"/>
      <c r="AO297" s="16"/>
      <c r="AP297" s="17">
        <f t="shared" si="339"/>
        <v>0</v>
      </c>
      <c r="AQ297" s="12"/>
      <c r="AR297" s="15"/>
      <c r="AS297" s="18"/>
      <c r="AT297" s="12"/>
      <c r="AU297" s="19" t="str">
        <f t="shared" ref="AU297:AU311" si="355">TEXT(AO297,"MMMM")</f>
        <v>enero</v>
      </c>
      <c r="AV297" s="12" t="e">
        <f>AV296</f>
        <v>#REF!</v>
      </c>
      <c r="AW297" s="20" t="s">
        <v>1987</v>
      </c>
      <c r="AX297" s="15" t="s">
        <v>1983</v>
      </c>
      <c r="AY297" s="16">
        <v>45531</v>
      </c>
      <c r="AZ297" s="15" t="s">
        <v>1988</v>
      </c>
      <c r="BA297" s="16">
        <v>45532</v>
      </c>
      <c r="BB297" s="17">
        <f t="shared" si="269"/>
        <v>1</v>
      </c>
      <c r="BC297" s="12"/>
      <c r="BD297" s="15"/>
      <c r="BE297" s="18"/>
      <c r="BF297" s="12"/>
      <c r="BG297" s="19" t="str">
        <f t="shared" si="270"/>
        <v>agosto</v>
      </c>
      <c r="BH297" s="12" t="str">
        <f t="shared" si="271"/>
        <v>Corporación Ciudad Alfaro</v>
      </c>
      <c r="BI297" s="20" t="str">
        <f t="shared" si="272"/>
        <v>N/A</v>
      </c>
    </row>
    <row r="298" spans="1:61" ht="24.95" customHeight="1">
      <c r="A298" s="460">
        <v>446</v>
      </c>
      <c r="B298" s="12" t="str">
        <f>VLOOKUP($A298,'Matriz POA 2024-TRABAJO'!$A$5:$CD$9142,11,FALSE)</f>
        <v>Corporación Ciudad Alfaro</v>
      </c>
      <c r="C298" s="12" t="str">
        <f>VLOOKUP($A298,'Matriz POA 2024-TRABAJO'!$A$5:$CD$9142,14,FALSE)</f>
        <v>N/A</v>
      </c>
      <c r="D298" s="12" t="str">
        <f>VLOOKUP($A298,'Matriz POA 2024-TRABAJO'!$A$5:$CD$9142,15,FALSE)</f>
        <v>N/A</v>
      </c>
      <c r="E298" s="12" t="str">
        <f>VLOOKUP($A298,'Matriz POA 2024-TRABAJO'!$A$5:$CD$9142,18,FALSE)</f>
        <v>N/A</v>
      </c>
      <c r="F298" s="12" t="str">
        <f>VLOOKUP($A298,'Matriz POA 2024-TRABAJO'!$A$5:$CD$9142,20,FALSE)</f>
        <v>N/A</v>
      </c>
      <c r="G298" s="12" t="str">
        <f>VLOOKUP($A298,'Matriz POA 2024-TRABAJO'!$A$5:$CD$9142,21,FALSE)</f>
        <v>N/A</v>
      </c>
      <c r="H298" s="12" t="str">
        <f>VLOOKUP($A298,'Matriz POA 2024-TRABAJO'!$A$5:$CD$9142,22,FALSE)</f>
        <v>N/A</v>
      </c>
      <c r="I298" s="12" t="str">
        <f>VLOOKUP($A298,'Matriz POA 2024-TRABAJO'!$A$5:$CD$9142,23,FALSE)</f>
        <v>NUEVA</v>
      </c>
      <c r="J298" s="12" t="str">
        <f>VLOOKUP($A298,'Matriz POA 2024-TRABAJO'!$A$5:$CD$9142,24,FALSE)</f>
        <v>Pago del servicio de energía eléctrica del Museo Portoviejo y Archivo Histórico</v>
      </c>
      <c r="K298" s="12" t="str">
        <f>VLOOKUP($A298,'Matriz POA 2024-TRABAJO'!$A$5:$CD$9142,25,FALSE)</f>
        <v>0035</v>
      </c>
      <c r="L298" s="12" t="str">
        <f>VLOOKUP($A298,'Matriz POA 2024-TRABAJO'!$A$5:$CD$9142,26,FALSE)</f>
        <v>80</v>
      </c>
      <c r="M298" s="12" t="str">
        <f>VLOOKUP($A298,'Matriz POA 2024-TRABAJO'!$A$5:$CD$9142,27,FALSE)</f>
        <v>000</v>
      </c>
      <c r="N298" s="12" t="str">
        <f>VLOOKUP($A298,'Matriz POA 2024-TRABAJO'!$A$5:$CD$9142,28,FALSE)</f>
        <v>002</v>
      </c>
      <c r="O298" s="12" t="str">
        <f>VLOOKUP($A298,'Matriz POA 2024-TRABAJO'!$A$5:$CD$9142,29,FALSE)</f>
        <v>53</v>
      </c>
      <c r="P298" s="12">
        <f>VLOOKUP($A298,'Matriz POA 2024-TRABAJO'!$A$5:$CD$9142,30,FALSE)</f>
        <v>530104</v>
      </c>
      <c r="Q298" s="12">
        <f>VLOOKUP($A298,'Matriz POA 2024-TRABAJO'!$A$5:$CD$9142,32,FALSE)</f>
        <v>1301</v>
      </c>
      <c r="R298" s="12" t="str">
        <f>VLOOKUP($A298,'Matriz POA 2024-TRABAJO'!$A$5:$CD$9142,33,FALSE)</f>
        <v>001</v>
      </c>
      <c r="S298" s="12" t="str">
        <f>VLOOKUP($A298,'Matriz POA 2024-TRABAJO'!$A$5:$CD$9142,34,FALSE)</f>
        <v>0000</v>
      </c>
      <c r="T298" s="12" t="str">
        <f>VLOOKUP($A298,'Matriz POA 2024-TRABAJO'!$A$5:$CD$9142,35,FALSE)</f>
        <v>0000</v>
      </c>
      <c r="U298" s="62">
        <f>VLOOKUP($A298,'Matriz POA 2024-TRABAJO'!$A$5:$CD$9142,66,FALSE)</f>
        <v>8800</v>
      </c>
      <c r="V298" s="62">
        <f>VLOOKUP($A298,'Matriz POA 2024-TRABAJO'!$A$5:$CD$9142,67,FALSE)</f>
        <v>1027.8799999999992</v>
      </c>
      <c r="W298" s="62">
        <f>VLOOKUP($A298,'Matriz POA 2024-TRABAJO'!$A$5:$CD$9142,68,FALSE)</f>
        <v>3745.87</v>
      </c>
      <c r="X298" s="62">
        <f>VLOOKUP($A298,'Matriz POA 2024-TRABAJO'!$A$5:$CD$9142,72,FALSE)</f>
        <v>8551.68</v>
      </c>
      <c r="Y298" s="388">
        <v>8800</v>
      </c>
      <c r="Z298" s="388">
        <f>VLOOKUP($A298,'Matriz POA 2024-TRABAJO'!$A$5:$CD$9142,46,FALSE)</f>
        <v>0</v>
      </c>
      <c r="AA298" s="388">
        <v>8800</v>
      </c>
      <c r="AB298" s="389"/>
      <c r="AC298" s="389">
        <v>-2717.99</v>
      </c>
      <c r="AD298" s="13"/>
      <c r="AE298" s="13"/>
      <c r="AF298" s="13">
        <f t="shared" si="333"/>
        <v>6082.01</v>
      </c>
      <c r="AG298" s="13">
        <f t="shared" si="334"/>
        <v>0</v>
      </c>
      <c r="AH298" s="13">
        <f t="shared" si="335"/>
        <v>6082.01</v>
      </c>
      <c r="AI298" s="19" t="e">
        <f t="shared" si="336"/>
        <v>#VALUE!</v>
      </c>
      <c r="AJ298" s="12" t="e">
        <f t="shared" si="337"/>
        <v>#REF!</v>
      </c>
      <c r="AK298" s="20" t="e">
        <f t="shared" si="338"/>
        <v>#REF!</v>
      </c>
      <c r="AL298" s="15"/>
      <c r="AM298" s="16"/>
      <c r="AN298" s="15"/>
      <c r="AO298" s="16"/>
      <c r="AP298" s="17">
        <f t="shared" si="339"/>
        <v>0</v>
      </c>
      <c r="AQ298" s="12"/>
      <c r="AR298" s="15"/>
      <c r="AS298" s="18"/>
      <c r="AT298" s="12"/>
      <c r="AU298" s="19" t="str">
        <f t="shared" si="355"/>
        <v>enero</v>
      </c>
      <c r="AV298" s="12" t="e">
        <f t="shared" ref="AV298" si="356">#REF!</f>
        <v>#REF!</v>
      </c>
      <c r="AW298" s="20" t="s">
        <v>1991</v>
      </c>
      <c r="AX298" s="15" t="s">
        <v>1990</v>
      </c>
      <c r="AY298" s="16">
        <v>45534</v>
      </c>
      <c r="AZ298" s="15" t="s">
        <v>1992</v>
      </c>
      <c r="BA298" s="16">
        <v>45534</v>
      </c>
      <c r="BB298" s="17">
        <f t="shared" si="269"/>
        <v>0</v>
      </c>
      <c r="BC298" s="12"/>
      <c r="BD298" s="15"/>
      <c r="BE298" s="18"/>
      <c r="BF298" s="12"/>
      <c r="BG298" s="19" t="str">
        <f t="shared" si="270"/>
        <v>agosto</v>
      </c>
      <c r="BH298" s="12" t="str">
        <f t="shared" si="271"/>
        <v>Corporación Ciudad Alfaro</v>
      </c>
      <c r="BI298" s="20" t="str">
        <f t="shared" si="272"/>
        <v>N/A</v>
      </c>
    </row>
    <row r="299" spans="1:61" ht="24.95" customHeight="1">
      <c r="A299" s="460">
        <v>828</v>
      </c>
      <c r="B299" s="12" t="str">
        <f>VLOOKUP($A299,'Matriz POA 2024-TRABAJO'!$A$5:$CD$9142,11,FALSE)</f>
        <v>Corporación Ciudad Alfaro</v>
      </c>
      <c r="C299" s="12" t="str">
        <f>VLOOKUP($A299,'Matriz POA 2024-TRABAJO'!$A$5:$CD$9142,14,FALSE)</f>
        <v>N/A</v>
      </c>
      <c r="D299" s="12" t="str">
        <f>VLOOKUP($A299,'Matriz POA 2024-TRABAJO'!$A$5:$CD$9142,15,FALSE)</f>
        <v>N/A</v>
      </c>
      <c r="E299" s="12" t="str">
        <f>VLOOKUP($A299,'Matriz POA 2024-TRABAJO'!$A$5:$CD$9142,18,FALSE)</f>
        <v>N/A</v>
      </c>
      <c r="F299" s="12" t="str">
        <f>VLOOKUP($A299,'Matriz POA 2024-TRABAJO'!$A$5:$CD$9142,20,FALSE)</f>
        <v>N/A</v>
      </c>
      <c r="G299" s="12" t="str">
        <f>VLOOKUP($A299,'Matriz POA 2024-TRABAJO'!$A$5:$CD$9142,21,FALSE)</f>
        <v>N/A</v>
      </c>
      <c r="H299" s="12" t="str">
        <f>VLOOKUP($A299,'Matriz POA 2024-TRABAJO'!$A$5:$CD$9142,22,FALSE)</f>
        <v>N/A</v>
      </c>
      <c r="I299" s="12" t="str">
        <f>VLOOKUP($A299,'Matriz POA 2024-TRABAJO'!$A$5:$CD$9142,23,FALSE)</f>
        <v>NUEVA</v>
      </c>
      <c r="J299" s="12" t="str">
        <f>VLOOKUP($A299,'Matriz POA 2024-TRABAJO'!$A$5:$CD$9142,24,FALSE)</f>
        <v>Pago del servicio de energía eléctrica de la Corporación Ciudad Alfaro - octubre - noviembre</v>
      </c>
      <c r="K299" s="12" t="str">
        <f>VLOOKUP($A299,'Matriz POA 2024-TRABAJO'!$A$5:$CD$9142,25,FALSE)</f>
        <v>0035</v>
      </c>
      <c r="L299" s="12" t="str">
        <f>VLOOKUP($A299,'Matriz POA 2024-TRABAJO'!$A$5:$CD$9142,26,FALSE)</f>
        <v>80</v>
      </c>
      <c r="M299" s="12" t="str">
        <f>VLOOKUP($A299,'Matriz POA 2024-TRABAJO'!$A$5:$CD$9142,27,FALSE)</f>
        <v>000</v>
      </c>
      <c r="N299" s="12" t="str">
        <f>VLOOKUP($A299,'Matriz POA 2024-TRABAJO'!$A$5:$CD$9142,28,FALSE)</f>
        <v>002</v>
      </c>
      <c r="O299" s="12" t="str">
        <f>VLOOKUP($A299,'Matriz POA 2024-TRABAJO'!$A$5:$CD$9142,29,FALSE)</f>
        <v>53</v>
      </c>
      <c r="P299" s="12">
        <f>VLOOKUP($A299,'Matriz POA 2024-TRABAJO'!$A$5:$CD$9142,30,FALSE)</f>
        <v>530104</v>
      </c>
      <c r="Q299" s="12">
        <f>VLOOKUP($A299,'Matriz POA 2024-TRABAJO'!$A$5:$CD$9142,32,FALSE)</f>
        <v>1309</v>
      </c>
      <c r="R299" s="12" t="str">
        <f>VLOOKUP($A299,'Matriz POA 2024-TRABAJO'!$A$5:$CD$9142,33,FALSE)</f>
        <v>001</v>
      </c>
      <c r="S299" s="12" t="str">
        <f>VLOOKUP($A299,'Matriz POA 2024-TRABAJO'!$A$5:$CD$9142,34,FALSE)</f>
        <v>0000</v>
      </c>
      <c r="T299" s="12" t="str">
        <f>VLOOKUP($A299,'Matriz POA 2024-TRABAJO'!$A$5:$CD$9142,35,FALSE)</f>
        <v>0000</v>
      </c>
      <c r="U299" s="62">
        <f>VLOOKUP($A299,'Matriz POA 2024-TRABAJO'!$A$5:$CD$9142,66,FALSE)</f>
        <v>3422</v>
      </c>
      <c r="V299" s="62">
        <f>VLOOKUP($A299,'Matriz POA 2024-TRABAJO'!$A$5:$CD$9142,67,FALSE)</f>
        <v>-3422</v>
      </c>
      <c r="W299" s="62" t="str">
        <f>VLOOKUP($A299,'Matriz POA 2024-TRABAJO'!$A$5:$CD$9142,68,FALSE)</f>
        <v/>
      </c>
      <c r="X299" s="62" t="str">
        <f>VLOOKUP($A299,'Matriz POA 2024-TRABAJO'!$A$5:$CD$9142,72,FALSE)</f>
        <v/>
      </c>
      <c r="Y299" s="388">
        <v>1342.96</v>
      </c>
      <c r="Z299" s="388">
        <f>VLOOKUP($A299,'Matriz POA 2024-TRABAJO'!$A$5:$CD$9142,46,FALSE)</f>
        <v>0</v>
      </c>
      <c r="AA299" s="388">
        <v>1342.96</v>
      </c>
      <c r="AB299" s="389"/>
      <c r="AC299" s="389">
        <v>-1342.96</v>
      </c>
      <c r="AD299" s="13"/>
      <c r="AE299" s="13"/>
      <c r="AF299" s="13">
        <f t="shared" si="333"/>
        <v>0</v>
      </c>
      <c r="AG299" s="13">
        <f t="shared" si="334"/>
        <v>0</v>
      </c>
      <c r="AH299" s="13">
        <f t="shared" si="335"/>
        <v>0</v>
      </c>
      <c r="AI299" s="19" t="e">
        <f t="shared" si="336"/>
        <v>#VALUE!</v>
      </c>
      <c r="AJ299" s="12" t="e">
        <f t="shared" si="337"/>
        <v>#REF!</v>
      </c>
      <c r="AK299" s="20" t="e">
        <f t="shared" si="338"/>
        <v>#REF!</v>
      </c>
      <c r="AL299" s="15"/>
      <c r="AM299" s="16"/>
      <c r="AN299" s="15"/>
      <c r="AO299" s="16"/>
      <c r="AP299" s="17">
        <f t="shared" si="339"/>
        <v>0</v>
      </c>
      <c r="AQ299" s="12"/>
      <c r="AR299" s="15"/>
      <c r="AS299" s="18"/>
      <c r="AT299" s="12"/>
      <c r="AU299" s="19" t="str">
        <f t="shared" si="355"/>
        <v>enero</v>
      </c>
      <c r="AV299" s="12" t="e">
        <f t="shared" ref="AV299" si="357">#REF!</f>
        <v>#REF!</v>
      </c>
      <c r="AW299" s="20" t="s">
        <v>1991</v>
      </c>
      <c r="AX299" s="15" t="s">
        <v>1990</v>
      </c>
      <c r="AY299" s="16">
        <v>45534</v>
      </c>
      <c r="AZ299" s="15" t="s">
        <v>1992</v>
      </c>
      <c r="BA299" s="16">
        <v>45534</v>
      </c>
      <c r="BB299" s="17">
        <f t="shared" si="269"/>
        <v>0</v>
      </c>
      <c r="BC299" s="12"/>
      <c r="BD299" s="15"/>
      <c r="BE299" s="18"/>
      <c r="BF299" s="12"/>
      <c r="BG299" s="19" t="str">
        <f t="shared" si="270"/>
        <v>agosto</v>
      </c>
      <c r="BH299" s="12" t="str">
        <f t="shared" si="271"/>
        <v>Corporación Ciudad Alfaro</v>
      </c>
      <c r="BI299" s="20" t="str">
        <f t="shared" si="272"/>
        <v>N/A</v>
      </c>
    </row>
    <row r="300" spans="1:61" ht="24.95" customHeight="1">
      <c r="A300" s="460">
        <v>957</v>
      </c>
      <c r="B300" s="12" t="str">
        <f>VLOOKUP($A300,'Matriz POA 2024-TRABAJO'!$A$5:$CD$9142,11,FALSE)</f>
        <v>Corporación Ciudad Alfaro</v>
      </c>
      <c r="C300" s="12" t="str">
        <f>VLOOKUP($A300,'Matriz POA 2024-TRABAJO'!$A$5:$CD$9142,14,FALSE)</f>
        <v>N/A</v>
      </c>
      <c r="D300" s="12" t="str">
        <f>VLOOKUP($A300,'Matriz POA 2024-TRABAJO'!$A$5:$CD$9142,15,FALSE)</f>
        <v>N/A</v>
      </c>
      <c r="E300" s="12" t="str">
        <f>VLOOKUP($A300,'Matriz POA 2024-TRABAJO'!$A$5:$CD$9142,18,FALSE)</f>
        <v>N/A</v>
      </c>
      <c r="F300" s="12" t="str">
        <f>VLOOKUP($A300,'Matriz POA 2024-TRABAJO'!$A$5:$CD$9142,20,FALSE)</f>
        <v>N/A</v>
      </c>
      <c r="G300" s="12" t="str">
        <f>VLOOKUP($A300,'Matriz POA 2024-TRABAJO'!$A$5:$CD$9142,21,FALSE)</f>
        <v>N/A</v>
      </c>
      <c r="H300" s="12" t="str">
        <f>VLOOKUP($A300,'Matriz POA 2024-TRABAJO'!$A$5:$CD$9142,22,FALSE)</f>
        <v>N/A</v>
      </c>
      <c r="I300" s="12" t="str">
        <f>VLOOKUP($A300,'Matriz POA 2024-TRABAJO'!$A$5:$CD$9142,23,FALSE)</f>
        <v>NUEVA</v>
      </c>
      <c r="J300" s="12" t="str">
        <f>VLOOKUP($A300,'Matriz POA 2024-TRABAJO'!$A$5:$CD$9142,24,FALSE)</f>
        <v>Contratación del servicio de mantenimiento de la fachada frontal y laterales del edificio Museo Centro Cultural Manta.</v>
      </c>
      <c r="K300" s="12" t="str">
        <f>VLOOKUP($A300,'Matriz POA 2024-TRABAJO'!$A$5:$CD$9142,25,FALSE)</f>
        <v>0035</v>
      </c>
      <c r="L300" s="12" t="str">
        <f>VLOOKUP($A300,'Matriz POA 2024-TRABAJO'!$A$5:$CD$9142,26,FALSE)</f>
        <v>80</v>
      </c>
      <c r="M300" s="12" t="str">
        <f>VLOOKUP($A300,'Matriz POA 2024-TRABAJO'!$A$5:$CD$9142,27,FALSE)</f>
        <v>000</v>
      </c>
      <c r="N300" s="12" t="str">
        <f>VLOOKUP($A300,'Matriz POA 2024-TRABAJO'!$A$5:$CD$9142,28,FALSE)</f>
        <v>002</v>
      </c>
      <c r="O300" s="12">
        <f>VLOOKUP($A300,'Matriz POA 2024-TRABAJO'!$A$5:$CD$9142,29,FALSE)</f>
        <v>53</v>
      </c>
      <c r="P300" s="12">
        <f>VLOOKUP($A300,'Matriz POA 2024-TRABAJO'!$A$5:$CD$9142,30,FALSE)</f>
        <v>530402</v>
      </c>
      <c r="Q300" s="12">
        <f>VLOOKUP($A300,'Matriz POA 2024-TRABAJO'!$A$5:$CD$9142,32,FALSE)</f>
        <v>1308</v>
      </c>
      <c r="R300" s="12" t="str">
        <f>VLOOKUP($A300,'Matriz POA 2024-TRABAJO'!$A$5:$CD$9142,33,FALSE)</f>
        <v>001</v>
      </c>
      <c r="S300" s="12" t="str">
        <f>VLOOKUP($A300,'Matriz POA 2024-TRABAJO'!$A$5:$CD$9142,34,FALSE)</f>
        <v>0000</v>
      </c>
      <c r="T300" s="12" t="str">
        <f>VLOOKUP($A300,'Matriz POA 2024-TRABAJO'!$A$5:$CD$9142,35,FALSE)</f>
        <v>0000</v>
      </c>
      <c r="U300" s="62" t="str">
        <f>VLOOKUP($A300,'Matriz POA 2024-TRABAJO'!$A$5:$CD$9142,66,FALSE)</f>
        <v/>
      </c>
      <c r="V300" s="62" t="str">
        <f>VLOOKUP($A300,'Matriz POA 2024-TRABAJO'!$A$5:$CD$9142,67,FALSE)</f>
        <v/>
      </c>
      <c r="W300" s="62">
        <f>VLOOKUP($A300,'Matriz POA 2024-TRABAJO'!$A$5:$CD$9142,68,FALSE)</f>
        <v>20113.25</v>
      </c>
      <c r="X300" s="62">
        <f>VLOOKUP($A300,'Matriz POA 2024-TRABAJO'!$A$5:$CD$9142,72,FALSE)</f>
        <v>19107.580000000002</v>
      </c>
      <c r="Y300" s="388">
        <v>19500</v>
      </c>
      <c r="Z300" s="388">
        <f>VLOOKUP($A300,'Matriz POA 2024-TRABAJO'!$A$5:$CD$9142,46,FALSE)</f>
        <v>0</v>
      </c>
      <c r="AA300" s="388">
        <v>19500</v>
      </c>
      <c r="AB300" s="389"/>
      <c r="AC300" s="389">
        <v>4060.95</v>
      </c>
      <c r="AD300" s="13"/>
      <c r="AE300" s="13"/>
      <c r="AF300" s="13">
        <f t="shared" ref="AF300" si="358">Y300+AB300+AC300</f>
        <v>23560.95</v>
      </c>
      <c r="AG300" s="13">
        <f t="shared" ref="AG300" si="359">Z300+AD300+AE300</f>
        <v>0</v>
      </c>
      <c r="AH300" s="13">
        <f t="shared" ref="AH300" si="360">+AF300+AG300</f>
        <v>23560.95</v>
      </c>
      <c r="AI300" s="19" t="str">
        <f t="shared" si="336"/>
        <v>febrero</v>
      </c>
      <c r="AJ300" s="12" t="e">
        <f t="shared" si="337"/>
        <v>#REF!</v>
      </c>
      <c r="AK300" s="20" t="e">
        <f t="shared" si="338"/>
        <v>#REF!</v>
      </c>
      <c r="AL300" s="15"/>
      <c r="AM300" s="16"/>
      <c r="AN300" s="15"/>
      <c r="AO300" s="16"/>
      <c r="AP300" s="17">
        <f t="shared" si="339"/>
        <v>0</v>
      </c>
      <c r="AQ300" s="12"/>
      <c r="AR300" s="15"/>
      <c r="AS300" s="18"/>
      <c r="AT300" s="12"/>
      <c r="AU300" s="19" t="str">
        <f t="shared" si="355"/>
        <v>enero</v>
      </c>
      <c r="AV300" s="12" t="e">
        <f t="shared" ref="AV300" si="361">#REF!</f>
        <v>#REF!</v>
      </c>
      <c r="AW300" s="20" t="s">
        <v>1991</v>
      </c>
      <c r="AX300" s="15" t="s">
        <v>1990</v>
      </c>
      <c r="AY300" s="16">
        <v>45534</v>
      </c>
      <c r="AZ300" s="15" t="s">
        <v>1992</v>
      </c>
      <c r="BA300" s="16">
        <v>45534</v>
      </c>
      <c r="BB300" s="17">
        <f t="shared" si="269"/>
        <v>0</v>
      </c>
      <c r="BC300" s="12"/>
      <c r="BD300" s="15"/>
      <c r="BE300" s="18"/>
      <c r="BF300" s="12"/>
      <c r="BG300" s="19" t="str">
        <f t="shared" si="270"/>
        <v>agosto</v>
      </c>
      <c r="BH300" s="12" t="str">
        <f t="shared" si="271"/>
        <v>Corporación Ciudad Alfaro</v>
      </c>
      <c r="BI300" s="20" t="str">
        <f t="shared" si="272"/>
        <v>N/A</v>
      </c>
    </row>
    <row r="301" spans="1:61" ht="24.95" customHeight="1">
      <c r="A301" s="167">
        <v>432</v>
      </c>
      <c r="B301" s="12" t="str">
        <f>VLOOKUP($A301,'Matriz POA 2024-TRABAJO'!$A$5:$CD$9142,11,FALSE)</f>
        <v>Corporación Ciudad Alfaro</v>
      </c>
      <c r="C301" s="12" t="str">
        <f>VLOOKUP($A301,'Matriz POA 2024-TRABAJO'!$A$5:$CD$9142,14,FALSE)</f>
        <v>N/A</v>
      </c>
      <c r="D301" s="12" t="str">
        <f>VLOOKUP($A301,'Matriz POA 2024-TRABAJO'!$A$5:$CD$9142,15,FALSE)</f>
        <v>N/A</v>
      </c>
      <c r="E301" s="12" t="str">
        <f>VLOOKUP($A301,'Matriz POA 2024-TRABAJO'!$A$5:$CD$9142,18,FALSE)</f>
        <v>N/A</v>
      </c>
      <c r="F301" s="12" t="str">
        <f>VLOOKUP($A301,'Matriz POA 2024-TRABAJO'!$A$5:$CD$9142,20,FALSE)</f>
        <v>N/A</v>
      </c>
      <c r="G301" s="12" t="str">
        <f>VLOOKUP($A301,'Matriz POA 2024-TRABAJO'!$A$5:$CD$9142,21,FALSE)</f>
        <v>N/A</v>
      </c>
      <c r="H301" s="12" t="str">
        <f>VLOOKUP($A301,'Matriz POA 2024-TRABAJO'!$A$5:$CD$9142,22,FALSE)</f>
        <v>N/A</v>
      </c>
      <c r="I301" s="12" t="str">
        <f>VLOOKUP($A301,'Matriz POA 2024-TRABAJO'!$A$5:$CD$9142,23,FALSE)</f>
        <v>NUEVA</v>
      </c>
      <c r="J301" s="12" t="str">
        <f>VLOOKUP($A301,'Matriz POA 2024-TRABAJO'!$A$5:$CD$9142,24,FALSE)</f>
        <v>Pago del servicio de telefonía fija e internet de la Corporación Ciudad Alfaro</v>
      </c>
      <c r="K301" s="12" t="str">
        <f>VLOOKUP($A301,'Matriz POA 2024-TRABAJO'!$A$5:$CD$9142,25,FALSE)</f>
        <v>0035</v>
      </c>
      <c r="L301" s="12" t="str">
        <f>VLOOKUP($A301,'Matriz POA 2024-TRABAJO'!$A$5:$CD$9142,26,FALSE)</f>
        <v>80</v>
      </c>
      <c r="M301" s="12" t="str">
        <f>VLOOKUP($A301,'Matriz POA 2024-TRABAJO'!$A$5:$CD$9142,27,FALSE)</f>
        <v>000</v>
      </c>
      <c r="N301" s="12" t="str">
        <f>VLOOKUP($A301,'Matriz POA 2024-TRABAJO'!$A$5:$CD$9142,28,FALSE)</f>
        <v>002</v>
      </c>
      <c r="O301" s="12" t="str">
        <f>VLOOKUP($A301,'Matriz POA 2024-TRABAJO'!$A$5:$CD$9142,29,FALSE)</f>
        <v>53</v>
      </c>
      <c r="P301" s="12">
        <f>VLOOKUP($A301,'Matriz POA 2024-TRABAJO'!$A$5:$CD$9142,30,FALSE)</f>
        <v>530105</v>
      </c>
      <c r="Q301" s="12">
        <f>VLOOKUP($A301,'Matriz POA 2024-TRABAJO'!$A$5:$CD$9142,32,FALSE)</f>
        <v>1309</v>
      </c>
      <c r="R301" s="12" t="str">
        <f>VLOOKUP($A301,'Matriz POA 2024-TRABAJO'!$A$5:$CD$9142,33,FALSE)</f>
        <v>001</v>
      </c>
      <c r="S301" s="12" t="str">
        <f>VLOOKUP($A301,'Matriz POA 2024-TRABAJO'!$A$5:$CD$9142,34,FALSE)</f>
        <v>0000</v>
      </c>
      <c r="T301" s="12" t="str">
        <f>VLOOKUP($A301,'Matriz POA 2024-TRABAJO'!$A$5:$CD$9142,35,FALSE)</f>
        <v>0000</v>
      </c>
      <c r="U301" s="62">
        <f>VLOOKUP($A301,'Matriz POA 2024-TRABAJO'!$A$5:$CD$9142,66,FALSE)</f>
        <v>8836</v>
      </c>
      <c r="V301" s="62">
        <f>VLOOKUP($A301,'Matriz POA 2024-TRABAJO'!$A$5:$CD$9142,67,FALSE)</f>
        <v>-1397.6400000000003</v>
      </c>
      <c r="W301" s="62">
        <f>VLOOKUP($A301,'Matriz POA 2024-TRABAJO'!$A$5:$CD$9142,68,FALSE)</f>
        <v>1300</v>
      </c>
      <c r="X301" s="62">
        <f>VLOOKUP($A301,'Matriz POA 2024-TRABAJO'!$A$5:$CD$9142,72,FALSE)</f>
        <v>5801.64</v>
      </c>
      <c r="Y301" s="388">
        <v>8836</v>
      </c>
      <c r="Z301" s="388">
        <f>VLOOKUP($A301,'Matriz POA 2024-TRABAJO'!$A$5:$CD$9142,46,FALSE)</f>
        <v>0</v>
      </c>
      <c r="AA301" s="388">
        <v>8836</v>
      </c>
      <c r="AB301" s="389"/>
      <c r="AC301" s="389">
        <v>-836</v>
      </c>
      <c r="AD301" s="13"/>
      <c r="AE301" s="13"/>
      <c r="AF301" s="13">
        <f>Y301+AB301+AC301</f>
        <v>8000</v>
      </c>
      <c r="AG301" s="13">
        <f>Z301+AD301+AE301</f>
        <v>0</v>
      </c>
      <c r="AH301" s="13">
        <f>+AF301+AG301</f>
        <v>8000</v>
      </c>
      <c r="AI301" s="129" t="e">
        <f t="shared" si="336"/>
        <v>#VALUE!</v>
      </c>
      <c r="AJ301" s="129"/>
      <c r="AK301" s="129"/>
      <c r="AL301" s="129"/>
      <c r="AM301" s="129"/>
      <c r="AN301" s="129"/>
      <c r="AO301" s="129"/>
      <c r="AP301" s="129"/>
      <c r="AQ301" s="129"/>
      <c r="AR301" s="129"/>
      <c r="AS301" s="129"/>
      <c r="AT301" s="129"/>
      <c r="AU301" s="19" t="str">
        <f t="shared" si="355"/>
        <v>enero</v>
      </c>
      <c r="AV301" s="13" t="e">
        <f>SUM(AI301:AT301)=AH301</f>
        <v>#VALUE!</v>
      </c>
      <c r="AW301" s="14" t="s">
        <v>1993</v>
      </c>
      <c r="AX301" s="15" t="s">
        <v>1995</v>
      </c>
      <c r="AY301" s="16">
        <v>45534</v>
      </c>
      <c r="AZ301" s="15" t="s">
        <v>1994</v>
      </c>
      <c r="BA301" s="16">
        <v>45534</v>
      </c>
      <c r="BB301" s="17">
        <f t="shared" ref="BB301:BB304" si="362">BA301-AY301</f>
        <v>0</v>
      </c>
      <c r="BC301" s="12"/>
      <c r="BD301" s="15"/>
      <c r="BE301" s="18"/>
      <c r="BF301" s="12"/>
      <c r="BG301" s="19" t="str">
        <f>TEXT(BA301,"MMMM")</f>
        <v>agosto</v>
      </c>
      <c r="BH301" s="12" t="str">
        <f>B301</f>
        <v>Corporación Ciudad Alfaro</v>
      </c>
      <c r="BI301" s="20" t="str">
        <f>E301</f>
        <v>N/A</v>
      </c>
    </row>
    <row r="302" spans="1:61" ht="24.95" customHeight="1">
      <c r="A302" s="167">
        <v>874</v>
      </c>
      <c r="B302" s="12" t="str">
        <f>VLOOKUP($A302,'Matriz POA 2024-TRABAJO'!$A$5:$CD$9142,11,FALSE)</f>
        <v>Corporación Ciudad Alfaro</v>
      </c>
      <c r="C302" s="12" t="str">
        <f>VLOOKUP($A302,'Matriz POA 2024-TRABAJO'!$A$5:$CD$9142,14,FALSE)</f>
        <v>N/A</v>
      </c>
      <c r="D302" s="12" t="str">
        <f>VLOOKUP($A302,'Matriz POA 2024-TRABAJO'!$A$5:$CD$9142,15,FALSE)</f>
        <v>N/A</v>
      </c>
      <c r="E302" s="12" t="str">
        <f>VLOOKUP($A302,'Matriz POA 2024-TRABAJO'!$A$5:$CD$9142,18,FALSE)</f>
        <v>N/A</v>
      </c>
      <c r="F302" s="12" t="str">
        <f>VLOOKUP($A302,'Matriz POA 2024-TRABAJO'!$A$5:$CD$9142,20,FALSE)</f>
        <v>N/A</v>
      </c>
      <c r="G302" s="12" t="str">
        <f>VLOOKUP($A302,'Matriz POA 2024-TRABAJO'!$A$5:$CD$9142,21,FALSE)</f>
        <v>N/A</v>
      </c>
      <c r="H302" s="12" t="str">
        <f>VLOOKUP($A302,'Matriz POA 2024-TRABAJO'!$A$5:$CD$9142,22,FALSE)</f>
        <v>N/A</v>
      </c>
      <c r="I302" s="12" t="str">
        <f>VLOOKUP($A302,'Matriz POA 2024-TRABAJO'!$A$5:$CD$9142,23,FALSE)</f>
        <v>PLURIANUAL 2024 - 2025</v>
      </c>
      <c r="J302" s="12" t="str">
        <f>VLOOKUP($A302,'Matriz POA 2024-TRABAJO'!$A$5:$CD$9142,24,FALSE)</f>
        <v>Contratación del servicio de Aseo y limpieza para el Museo Nuclear Corporación Ciudad Alfaro, durante el período 2024-2025</v>
      </c>
      <c r="K302" s="12" t="str">
        <f>VLOOKUP($A302,'Matriz POA 2024-TRABAJO'!$A$5:$CD$9142,25,FALSE)</f>
        <v>0035</v>
      </c>
      <c r="L302" s="12" t="str">
        <f>VLOOKUP($A302,'Matriz POA 2024-TRABAJO'!$A$5:$CD$9142,26,FALSE)</f>
        <v>80</v>
      </c>
      <c r="M302" s="12" t="str">
        <f>VLOOKUP($A302,'Matriz POA 2024-TRABAJO'!$A$5:$CD$9142,27,FALSE)</f>
        <v>000</v>
      </c>
      <c r="N302" s="12" t="str">
        <f>VLOOKUP($A302,'Matriz POA 2024-TRABAJO'!$A$5:$CD$9142,28,FALSE)</f>
        <v>002</v>
      </c>
      <c r="O302" s="12" t="str">
        <f>VLOOKUP($A302,'Matriz POA 2024-TRABAJO'!$A$5:$CD$9142,29,FALSE)</f>
        <v>53</v>
      </c>
      <c r="P302" s="12">
        <f>VLOOKUP($A302,'Matriz POA 2024-TRABAJO'!$A$5:$CD$9142,30,FALSE)</f>
        <v>530209</v>
      </c>
      <c r="Q302" s="12">
        <f>VLOOKUP($A302,'Matriz POA 2024-TRABAJO'!$A$5:$CD$9142,32,FALSE)</f>
        <v>1309</v>
      </c>
      <c r="R302" s="12" t="str">
        <f>VLOOKUP($A302,'Matriz POA 2024-TRABAJO'!$A$5:$CD$9142,33,FALSE)</f>
        <v>001</v>
      </c>
      <c r="S302" s="12" t="str">
        <f>VLOOKUP($A302,'Matriz POA 2024-TRABAJO'!$A$5:$CD$9142,34,FALSE)</f>
        <v>0000</v>
      </c>
      <c r="T302" s="12" t="str">
        <f>VLOOKUP($A302,'Matriz POA 2024-TRABAJO'!$A$5:$CD$9142,35,FALSE)</f>
        <v>0000</v>
      </c>
      <c r="U302" s="62">
        <f>VLOOKUP($A302,'Matriz POA 2024-TRABAJO'!$A$5:$CD$9142,66,FALSE)</f>
        <v>5344</v>
      </c>
      <c r="V302" s="62">
        <f>VLOOKUP($A302,'Matriz POA 2024-TRABAJO'!$A$5:$CD$9142,67,FALSE)</f>
        <v>-3.3999999999996362</v>
      </c>
      <c r="W302" s="62">
        <f>VLOOKUP($A302,'Matriz POA 2024-TRABAJO'!$A$5:$CD$9142,68,FALSE)</f>
        <v>5340.6</v>
      </c>
      <c r="X302" s="62">
        <f>VLOOKUP($A302,'Matriz POA 2024-TRABAJO'!$A$5:$CD$9142,72,FALSE)</f>
        <v>5185.8</v>
      </c>
      <c r="Y302" s="388">
        <v>5344</v>
      </c>
      <c r="Z302" s="388">
        <f>VLOOKUP($A302,'Matriz POA 2024-TRABAJO'!$A$5:$CD$9142,46,FALSE)</f>
        <v>0</v>
      </c>
      <c r="AA302" s="388">
        <v>5344</v>
      </c>
      <c r="AB302" s="389"/>
      <c r="AC302" s="389">
        <v>-3.4</v>
      </c>
      <c r="AD302" s="13"/>
      <c r="AE302" s="13"/>
      <c r="AF302" s="13">
        <f>Y302+AB302+AC302</f>
        <v>5340.6</v>
      </c>
      <c r="AG302" s="13">
        <f>Z302+AD302+AE302</f>
        <v>0</v>
      </c>
      <c r="AH302" s="13">
        <f>+AF302+AG302</f>
        <v>5340.6</v>
      </c>
      <c r="AI302" s="129" t="e">
        <f t="shared" si="336"/>
        <v>#VALUE!</v>
      </c>
      <c r="AJ302" s="129"/>
      <c r="AK302" s="129"/>
      <c r="AL302" s="129"/>
      <c r="AM302" s="129"/>
      <c r="AN302" s="129"/>
      <c r="AO302" s="129"/>
      <c r="AP302" s="129"/>
      <c r="AQ302" s="129"/>
      <c r="AR302" s="129"/>
      <c r="AS302" s="129"/>
      <c r="AT302" s="129"/>
      <c r="AU302" s="19" t="str">
        <f t="shared" si="355"/>
        <v>enero</v>
      </c>
      <c r="AV302" s="13" t="e">
        <f>SUM(AI302:AT302)=AH302</f>
        <v>#VALUE!</v>
      </c>
      <c r="AW302" s="14" t="s">
        <v>1993</v>
      </c>
      <c r="AX302" s="15" t="s">
        <v>1995</v>
      </c>
      <c r="AY302" s="16">
        <v>45534</v>
      </c>
      <c r="AZ302" s="15" t="s">
        <v>1994</v>
      </c>
      <c r="BA302" s="16">
        <v>45534</v>
      </c>
      <c r="BB302" s="17">
        <f t="shared" si="362"/>
        <v>0</v>
      </c>
      <c r="BC302" s="12"/>
      <c r="BD302" s="15"/>
      <c r="BE302" s="18"/>
      <c r="BF302" s="12"/>
      <c r="BG302" s="19" t="str">
        <f>TEXT(BA302,"MMMM")</f>
        <v>agosto</v>
      </c>
      <c r="BH302" s="12" t="str">
        <f>B302</f>
        <v>Corporación Ciudad Alfaro</v>
      </c>
      <c r="BI302" s="20" t="str">
        <f>E302</f>
        <v>N/A</v>
      </c>
    </row>
    <row r="303" spans="1:61" ht="24.95" customHeight="1">
      <c r="A303" s="167">
        <v>875</v>
      </c>
      <c r="B303" s="12" t="str">
        <f>VLOOKUP($A303,'Matriz POA 2024-TRABAJO'!$A$5:$CD$9142,11,FALSE)</f>
        <v>Corporación Ciudad Alfaro</v>
      </c>
      <c r="C303" s="12" t="str">
        <f>VLOOKUP($A303,'Matriz POA 2024-TRABAJO'!$A$5:$CD$9142,14,FALSE)</f>
        <v>N/A</v>
      </c>
      <c r="D303" s="12" t="str">
        <f>VLOOKUP($A303,'Matriz POA 2024-TRABAJO'!$A$5:$CD$9142,15,FALSE)</f>
        <v>N/A</v>
      </c>
      <c r="E303" s="12" t="str">
        <f>VLOOKUP($A303,'Matriz POA 2024-TRABAJO'!$A$5:$CD$9142,18,FALSE)</f>
        <v>N/A</v>
      </c>
      <c r="F303" s="12" t="str">
        <f>VLOOKUP($A303,'Matriz POA 2024-TRABAJO'!$A$5:$CD$9142,20,FALSE)</f>
        <v>N/A</v>
      </c>
      <c r="G303" s="12" t="str">
        <f>VLOOKUP($A303,'Matriz POA 2024-TRABAJO'!$A$5:$CD$9142,21,FALSE)</f>
        <v>N/A</v>
      </c>
      <c r="H303" s="12" t="str">
        <f>VLOOKUP($A303,'Matriz POA 2024-TRABAJO'!$A$5:$CD$9142,22,FALSE)</f>
        <v>N/A</v>
      </c>
      <c r="I303" s="12" t="str">
        <f>VLOOKUP($A303,'Matriz POA 2024-TRABAJO'!$A$5:$CD$9142,23,FALSE)</f>
        <v>PLURIANUAL 2024 - 2025</v>
      </c>
      <c r="J303" s="12" t="str">
        <f>VLOOKUP($A303,'Matriz POA 2024-TRABAJO'!$A$5:$CD$9142,24,FALSE)</f>
        <v>Contratación del servicio de Aseo y limpieza para el Museo Centro Cultural Manta, durante el período 2024-2025</v>
      </c>
      <c r="K303" s="12" t="str">
        <f>VLOOKUP($A303,'Matriz POA 2024-TRABAJO'!$A$5:$CD$9142,25,FALSE)</f>
        <v>0035</v>
      </c>
      <c r="L303" s="12" t="str">
        <f>VLOOKUP($A303,'Matriz POA 2024-TRABAJO'!$A$5:$CD$9142,26,FALSE)</f>
        <v>80</v>
      </c>
      <c r="M303" s="12" t="str">
        <f>VLOOKUP($A303,'Matriz POA 2024-TRABAJO'!$A$5:$CD$9142,27,FALSE)</f>
        <v>000</v>
      </c>
      <c r="N303" s="12" t="str">
        <f>VLOOKUP($A303,'Matriz POA 2024-TRABAJO'!$A$5:$CD$9142,28,FALSE)</f>
        <v>002</v>
      </c>
      <c r="O303" s="12" t="str">
        <f>VLOOKUP($A303,'Matriz POA 2024-TRABAJO'!$A$5:$CD$9142,29,FALSE)</f>
        <v>53</v>
      </c>
      <c r="P303" s="12">
        <f>VLOOKUP($A303,'Matriz POA 2024-TRABAJO'!$A$5:$CD$9142,30,FALSE)</f>
        <v>530209</v>
      </c>
      <c r="Q303" s="12">
        <f>VLOOKUP($A303,'Matriz POA 2024-TRABAJO'!$A$5:$CD$9142,32,FALSE)</f>
        <v>1308</v>
      </c>
      <c r="R303" s="12" t="str">
        <f>VLOOKUP($A303,'Matriz POA 2024-TRABAJO'!$A$5:$CD$9142,33,FALSE)</f>
        <v>001</v>
      </c>
      <c r="S303" s="12" t="str">
        <f>VLOOKUP($A303,'Matriz POA 2024-TRABAJO'!$A$5:$CD$9142,34,FALSE)</f>
        <v>0000</v>
      </c>
      <c r="T303" s="12" t="str">
        <f>VLOOKUP($A303,'Matriz POA 2024-TRABAJO'!$A$5:$CD$9142,35,FALSE)</f>
        <v>0000</v>
      </c>
      <c r="U303" s="62">
        <f>VLOOKUP($A303,'Matriz POA 2024-TRABAJO'!$A$5:$CD$9142,66,FALSE)</f>
        <v>5344</v>
      </c>
      <c r="V303" s="62">
        <f>VLOOKUP($A303,'Matriz POA 2024-TRABAJO'!$A$5:$CD$9142,67,FALSE)</f>
        <v>-3.3999999999996362</v>
      </c>
      <c r="W303" s="62">
        <f>VLOOKUP($A303,'Matriz POA 2024-TRABAJO'!$A$5:$CD$9142,68,FALSE)</f>
        <v>5340.6</v>
      </c>
      <c r="X303" s="62">
        <f>VLOOKUP($A303,'Matriz POA 2024-TRABAJO'!$A$5:$CD$9142,72,FALSE)</f>
        <v>6733.8</v>
      </c>
      <c r="Y303" s="388">
        <v>5344</v>
      </c>
      <c r="Z303" s="388">
        <f>VLOOKUP($A303,'Matriz POA 2024-TRABAJO'!$A$5:$CD$9142,46,FALSE)</f>
        <v>0</v>
      </c>
      <c r="AA303" s="388">
        <v>5344</v>
      </c>
      <c r="AB303" s="389"/>
      <c r="AC303" s="389">
        <v>-3.4</v>
      </c>
      <c r="AD303" s="13"/>
      <c r="AE303" s="13"/>
      <c r="AF303" s="13">
        <f>Y303+AB303+AC303</f>
        <v>5340.6</v>
      </c>
      <c r="AG303" s="13">
        <f>Z303+AD303+AE303</f>
        <v>0</v>
      </c>
      <c r="AH303" s="13">
        <f>+AF303+AG303</f>
        <v>5340.6</v>
      </c>
      <c r="AI303" s="129" t="e">
        <f t="shared" si="336"/>
        <v>#VALUE!</v>
      </c>
      <c r="AJ303" s="129"/>
      <c r="AK303" s="129"/>
      <c r="AL303" s="129"/>
      <c r="AM303" s="129"/>
      <c r="AN303" s="129"/>
      <c r="AO303" s="129"/>
      <c r="AP303" s="129"/>
      <c r="AQ303" s="129"/>
      <c r="AR303" s="129"/>
      <c r="AS303" s="129"/>
      <c r="AT303" s="129"/>
      <c r="AU303" s="19" t="str">
        <f t="shared" si="355"/>
        <v>enero</v>
      </c>
      <c r="AV303" s="13" t="e">
        <f>SUM(AI303:AT303)=AH303</f>
        <v>#VALUE!</v>
      </c>
      <c r="AW303" s="14" t="s">
        <v>1993</v>
      </c>
      <c r="AX303" s="15" t="s">
        <v>1995</v>
      </c>
      <c r="AY303" s="16">
        <v>45534</v>
      </c>
      <c r="AZ303" s="15" t="s">
        <v>1994</v>
      </c>
      <c r="BA303" s="16">
        <v>45534</v>
      </c>
      <c r="BB303" s="17">
        <f t="shared" si="362"/>
        <v>0</v>
      </c>
      <c r="BC303" s="12"/>
      <c r="BD303" s="15"/>
      <c r="BE303" s="18"/>
      <c r="BF303" s="12"/>
      <c r="BG303" s="19" t="str">
        <f>TEXT(BA303,"MMMM")</f>
        <v>agosto</v>
      </c>
      <c r="BH303" s="12" t="str">
        <f>B303</f>
        <v>Corporación Ciudad Alfaro</v>
      </c>
      <c r="BI303" s="20" t="str">
        <f>E303</f>
        <v>N/A</v>
      </c>
    </row>
    <row r="304" spans="1:61" ht="24.95" customHeight="1">
      <c r="A304" s="167">
        <v>876</v>
      </c>
      <c r="B304" s="12" t="str">
        <f>VLOOKUP($A304,'Matriz POA 2024-TRABAJO'!$A$5:$CD$9142,11,FALSE)</f>
        <v>Corporación Ciudad Alfaro</v>
      </c>
      <c r="C304" s="12" t="str">
        <f>VLOOKUP($A304,'Matriz POA 2024-TRABAJO'!$A$5:$CD$9142,14,FALSE)</f>
        <v>N/A</v>
      </c>
      <c r="D304" s="12" t="str">
        <f>VLOOKUP($A304,'Matriz POA 2024-TRABAJO'!$A$5:$CD$9142,15,FALSE)</f>
        <v>N/A</v>
      </c>
      <c r="E304" s="12" t="str">
        <f>VLOOKUP($A304,'Matriz POA 2024-TRABAJO'!$A$5:$CD$9142,18,FALSE)</f>
        <v>N/A</v>
      </c>
      <c r="F304" s="12" t="str">
        <f>VLOOKUP($A304,'Matriz POA 2024-TRABAJO'!$A$5:$CD$9142,20,FALSE)</f>
        <v>N/A</v>
      </c>
      <c r="G304" s="12" t="str">
        <f>VLOOKUP($A304,'Matriz POA 2024-TRABAJO'!$A$5:$CD$9142,21,FALSE)</f>
        <v>N/A</v>
      </c>
      <c r="H304" s="12" t="str">
        <f>VLOOKUP($A304,'Matriz POA 2024-TRABAJO'!$A$5:$CD$9142,22,FALSE)</f>
        <v>N/A</v>
      </c>
      <c r="I304" s="12" t="str">
        <f>VLOOKUP($A304,'Matriz POA 2024-TRABAJO'!$A$5:$CD$9142,23,FALSE)</f>
        <v>PLURIANUAL 2024 - 2025</v>
      </c>
      <c r="J304" s="12" t="str">
        <f>VLOOKUP($A304,'Matriz POA 2024-TRABAJO'!$A$5:$CD$9142,24,FALSE)</f>
        <v>Contratación del servicio de Aseo y limpieza para el Museo Bahía de Caráquez, durante el período 2024-2025</v>
      </c>
      <c r="K304" s="12" t="str">
        <f>VLOOKUP($A304,'Matriz POA 2024-TRABAJO'!$A$5:$CD$9142,25,FALSE)</f>
        <v>0035</v>
      </c>
      <c r="L304" s="12" t="str">
        <f>VLOOKUP($A304,'Matriz POA 2024-TRABAJO'!$A$5:$CD$9142,26,FALSE)</f>
        <v>80</v>
      </c>
      <c r="M304" s="12" t="str">
        <f>VLOOKUP($A304,'Matriz POA 2024-TRABAJO'!$A$5:$CD$9142,27,FALSE)</f>
        <v>000</v>
      </c>
      <c r="N304" s="12" t="str">
        <f>VLOOKUP($A304,'Matriz POA 2024-TRABAJO'!$A$5:$CD$9142,28,FALSE)</f>
        <v>002</v>
      </c>
      <c r="O304" s="12" t="str">
        <f>VLOOKUP($A304,'Matriz POA 2024-TRABAJO'!$A$5:$CD$9142,29,FALSE)</f>
        <v>53</v>
      </c>
      <c r="P304" s="12">
        <f>VLOOKUP($A304,'Matriz POA 2024-TRABAJO'!$A$5:$CD$9142,30,FALSE)</f>
        <v>530209</v>
      </c>
      <c r="Q304" s="12">
        <f>VLOOKUP($A304,'Matriz POA 2024-TRABAJO'!$A$5:$CD$9142,32,FALSE)</f>
        <v>1314</v>
      </c>
      <c r="R304" s="12" t="str">
        <f>VLOOKUP($A304,'Matriz POA 2024-TRABAJO'!$A$5:$CD$9142,33,FALSE)</f>
        <v>001</v>
      </c>
      <c r="S304" s="12" t="str">
        <f>VLOOKUP($A304,'Matriz POA 2024-TRABAJO'!$A$5:$CD$9142,34,FALSE)</f>
        <v>0000</v>
      </c>
      <c r="T304" s="12" t="str">
        <f>VLOOKUP($A304,'Matriz POA 2024-TRABAJO'!$A$5:$CD$9142,35,FALSE)</f>
        <v>0000</v>
      </c>
      <c r="U304" s="62">
        <f>VLOOKUP($A304,'Matriz POA 2024-TRABAJO'!$A$5:$CD$9142,66,FALSE)</f>
        <v>5344</v>
      </c>
      <c r="V304" s="62">
        <f>VLOOKUP($A304,'Matriz POA 2024-TRABAJO'!$A$5:$CD$9142,67,FALSE)</f>
        <v>-3.3999999999996362</v>
      </c>
      <c r="W304" s="62">
        <f>VLOOKUP($A304,'Matriz POA 2024-TRABAJO'!$A$5:$CD$9142,68,FALSE)</f>
        <v>5340.6</v>
      </c>
      <c r="X304" s="62">
        <f>VLOOKUP($A304,'Matriz POA 2024-TRABAJO'!$A$5:$CD$9142,72,FALSE)</f>
        <v>5185.8</v>
      </c>
      <c r="Y304" s="388">
        <v>5344</v>
      </c>
      <c r="Z304" s="388">
        <f>VLOOKUP($A304,'Matriz POA 2024-TRABAJO'!$A$5:$CD$9142,46,FALSE)</f>
        <v>0</v>
      </c>
      <c r="AA304" s="388">
        <v>5344</v>
      </c>
      <c r="AB304" s="389"/>
      <c r="AC304" s="389">
        <v>-3.4</v>
      </c>
      <c r="AD304" s="13"/>
      <c r="AE304" s="13"/>
      <c r="AF304" s="13">
        <f t="shared" ref="AF304:AF334" si="363">Y304+AB304+AC304</f>
        <v>5340.6</v>
      </c>
      <c r="AG304" s="13">
        <f t="shared" ref="AG304:AG334" si="364">Z304+AD304+AE304</f>
        <v>0</v>
      </c>
      <c r="AH304" s="13">
        <f t="shared" ref="AH304:AH334" si="365">+AF304+AG304</f>
        <v>5340.6</v>
      </c>
      <c r="AI304" s="129" t="e">
        <f t="shared" si="336"/>
        <v>#VALUE!</v>
      </c>
      <c r="AJ304" s="129"/>
      <c r="AK304" s="129"/>
      <c r="AL304" s="129"/>
      <c r="AM304" s="129"/>
      <c r="AN304" s="129"/>
      <c r="AO304" s="129"/>
      <c r="AP304" s="129"/>
      <c r="AQ304" s="129"/>
      <c r="AR304" s="129"/>
      <c r="AS304" s="129"/>
      <c r="AT304" s="129"/>
      <c r="AU304" s="19" t="str">
        <f t="shared" si="355"/>
        <v>enero</v>
      </c>
      <c r="AV304" s="13" t="e">
        <f t="shared" ref="AV304:AV334" si="366">SUM(AI304:AT304)=AH304</f>
        <v>#VALUE!</v>
      </c>
      <c r="AW304" s="14" t="s">
        <v>1993</v>
      </c>
      <c r="AX304" s="15" t="s">
        <v>1995</v>
      </c>
      <c r="AY304" s="16">
        <v>45534</v>
      </c>
      <c r="AZ304" s="15" t="s">
        <v>1994</v>
      </c>
      <c r="BA304" s="16">
        <v>45534</v>
      </c>
      <c r="BB304" s="17">
        <f t="shared" si="362"/>
        <v>0</v>
      </c>
      <c r="BC304" s="12"/>
      <c r="BD304" s="15"/>
      <c r="BE304" s="18"/>
      <c r="BF304" s="12"/>
      <c r="BG304" s="19" t="str">
        <f t="shared" ref="BG304:BG334" si="367">TEXT(BA304,"MMMM")</f>
        <v>agosto</v>
      </c>
      <c r="BH304" s="12" t="str">
        <f t="shared" ref="BH304:BH334" si="368">B304</f>
        <v>Corporación Ciudad Alfaro</v>
      </c>
      <c r="BI304" s="20" t="str">
        <f t="shared" ref="BI304:BI334" si="369">E304</f>
        <v>N/A</v>
      </c>
    </row>
    <row r="305" spans="1:61" ht="24.95" customHeight="1">
      <c r="A305" s="167">
        <v>877</v>
      </c>
      <c r="B305" s="12" t="str">
        <f>VLOOKUP($A305,'Matriz POA 2024-TRABAJO'!$A$5:$CD$9142,11,FALSE)</f>
        <v>Corporación Ciudad Alfaro</v>
      </c>
      <c r="C305" s="12" t="str">
        <f>VLOOKUP($A305,'Matriz POA 2024-TRABAJO'!$A$5:$CD$9142,14,FALSE)</f>
        <v>N/A</v>
      </c>
      <c r="D305" s="12" t="str">
        <f>VLOOKUP($A305,'Matriz POA 2024-TRABAJO'!$A$5:$CD$9142,15,FALSE)</f>
        <v>N/A</v>
      </c>
      <c r="E305" s="12" t="str">
        <f>VLOOKUP($A305,'Matriz POA 2024-TRABAJO'!$A$5:$CD$9142,18,FALSE)</f>
        <v>N/A</v>
      </c>
      <c r="F305" s="12" t="str">
        <f>VLOOKUP($A305,'Matriz POA 2024-TRABAJO'!$A$5:$CD$9142,20,FALSE)</f>
        <v>N/A</v>
      </c>
      <c r="G305" s="12" t="str">
        <f>VLOOKUP($A305,'Matriz POA 2024-TRABAJO'!$A$5:$CD$9142,21,FALSE)</f>
        <v>N/A</v>
      </c>
      <c r="H305" s="12" t="str">
        <f>VLOOKUP($A305,'Matriz POA 2024-TRABAJO'!$A$5:$CD$9142,22,FALSE)</f>
        <v>N/A</v>
      </c>
      <c r="I305" s="12" t="str">
        <f>VLOOKUP($A305,'Matriz POA 2024-TRABAJO'!$A$5:$CD$9142,23,FALSE)</f>
        <v>PLURIANUAL 2024 - 2025</v>
      </c>
      <c r="J305" s="12" t="str">
        <f>VLOOKUP($A305,'Matriz POA 2024-TRABAJO'!$A$5:$CD$9142,24,FALSE)</f>
        <v>Contratación del servicio de vigilancia y seguridad privada para el Museo Nuclear Corporación Ciudad Alfaro y sus Sedes, durante el período 2024-2025</v>
      </c>
      <c r="K305" s="12" t="str">
        <f>VLOOKUP($A305,'Matriz POA 2024-TRABAJO'!$A$5:$CD$9142,25,FALSE)</f>
        <v>0035</v>
      </c>
      <c r="L305" s="12" t="str">
        <f>VLOOKUP($A305,'Matriz POA 2024-TRABAJO'!$A$5:$CD$9142,26,FALSE)</f>
        <v>80</v>
      </c>
      <c r="M305" s="12" t="str">
        <f>VLOOKUP($A305,'Matriz POA 2024-TRABAJO'!$A$5:$CD$9142,27,FALSE)</f>
        <v>000</v>
      </c>
      <c r="N305" s="12" t="str">
        <f>VLOOKUP($A305,'Matriz POA 2024-TRABAJO'!$A$5:$CD$9142,28,FALSE)</f>
        <v>002</v>
      </c>
      <c r="O305" s="12" t="str">
        <f>VLOOKUP($A305,'Matriz POA 2024-TRABAJO'!$A$5:$CD$9142,29,FALSE)</f>
        <v>53</v>
      </c>
      <c r="P305" s="12">
        <f>VLOOKUP($A305,'Matriz POA 2024-TRABAJO'!$A$5:$CD$9142,30,FALSE)</f>
        <v>530208</v>
      </c>
      <c r="Q305" s="12">
        <f>VLOOKUP($A305,'Matriz POA 2024-TRABAJO'!$A$5:$CD$9142,32,FALSE)</f>
        <v>1309</v>
      </c>
      <c r="R305" s="12" t="str">
        <f>VLOOKUP($A305,'Matriz POA 2024-TRABAJO'!$A$5:$CD$9142,33,FALSE)</f>
        <v>001</v>
      </c>
      <c r="S305" s="12" t="str">
        <f>VLOOKUP($A305,'Matriz POA 2024-TRABAJO'!$A$5:$CD$9142,34,FALSE)</f>
        <v>0000</v>
      </c>
      <c r="T305" s="12" t="str">
        <f>VLOOKUP($A305,'Matriz POA 2024-TRABAJO'!$A$5:$CD$9142,35,FALSE)</f>
        <v>0000</v>
      </c>
      <c r="U305" s="62">
        <f>VLOOKUP($A305,'Matriz POA 2024-TRABAJO'!$A$5:$CD$9142,66,FALSE)</f>
        <v>16</v>
      </c>
      <c r="V305" s="62">
        <f>VLOOKUP($A305,'Matriz POA 2024-TRABAJO'!$A$5:$CD$9142,67,FALSE)</f>
        <v>9053.33</v>
      </c>
      <c r="W305" s="62">
        <f>VLOOKUP($A305,'Matriz POA 2024-TRABAJO'!$A$5:$CD$9142,68,FALSE)</f>
        <v>9069.33</v>
      </c>
      <c r="X305" s="62">
        <f>VLOOKUP($A305,'Matriz POA 2024-TRABAJO'!$A$5:$CD$9142,72,FALSE)</f>
        <v>8053.57</v>
      </c>
      <c r="Y305" s="388">
        <v>9204</v>
      </c>
      <c r="Z305" s="388">
        <f>VLOOKUP($A305,'Matriz POA 2024-TRABAJO'!$A$5:$CD$9142,46,FALSE)</f>
        <v>0</v>
      </c>
      <c r="AA305" s="388">
        <v>9204</v>
      </c>
      <c r="AB305" s="389"/>
      <c r="AC305" s="389">
        <v>-134.66999999999999</v>
      </c>
      <c r="AD305" s="13"/>
      <c r="AE305" s="13"/>
      <c r="AF305" s="13">
        <f t="shared" si="363"/>
        <v>9069.33</v>
      </c>
      <c r="AG305" s="13">
        <f t="shared" si="364"/>
        <v>0</v>
      </c>
      <c r="AH305" s="13">
        <f t="shared" si="365"/>
        <v>9069.33</v>
      </c>
      <c r="AI305" s="129" t="e">
        <f t="shared" si="336"/>
        <v>#VALUE!</v>
      </c>
      <c r="AJ305" s="129"/>
      <c r="AK305" s="129"/>
      <c r="AL305" s="129"/>
      <c r="AM305" s="129"/>
      <c r="AN305" s="129"/>
      <c r="AO305" s="129"/>
      <c r="AP305" s="129"/>
      <c r="AQ305" s="129"/>
      <c r="AR305" s="129"/>
      <c r="AS305" s="129"/>
      <c r="AT305" s="129"/>
      <c r="AU305" s="19" t="str">
        <f t="shared" si="355"/>
        <v>enero</v>
      </c>
      <c r="AV305" s="13" t="e">
        <f t="shared" si="366"/>
        <v>#VALUE!</v>
      </c>
      <c r="AW305" s="14" t="s">
        <v>1993</v>
      </c>
      <c r="AX305" s="15" t="s">
        <v>1995</v>
      </c>
      <c r="AY305" s="16">
        <v>45534</v>
      </c>
      <c r="AZ305" s="15" t="s">
        <v>1994</v>
      </c>
      <c r="BA305" s="16">
        <v>45534</v>
      </c>
      <c r="BB305" s="17">
        <f t="shared" ref="BB305:BB334" si="370">BA305-AY305</f>
        <v>0</v>
      </c>
      <c r="BC305" s="12"/>
      <c r="BD305" s="15"/>
      <c r="BE305" s="18"/>
      <c r="BF305" s="12"/>
      <c r="BG305" s="19" t="str">
        <f t="shared" si="367"/>
        <v>agosto</v>
      </c>
      <c r="BH305" s="12" t="str">
        <f t="shared" si="368"/>
        <v>Corporación Ciudad Alfaro</v>
      </c>
      <c r="BI305" s="20" t="str">
        <f t="shared" si="369"/>
        <v>N/A</v>
      </c>
    </row>
    <row r="306" spans="1:61" ht="24.95" customHeight="1">
      <c r="A306" s="167">
        <v>931</v>
      </c>
      <c r="B306" s="12" t="str">
        <f>VLOOKUP($A306,'Matriz POA 2024-TRABAJO'!$A$5:$CD$9142,11,FALSE)</f>
        <v>Corporación Ciudad Alfaro</v>
      </c>
      <c r="C306" s="12" t="str">
        <f>VLOOKUP($A306,'Matriz POA 2024-TRABAJO'!$A$5:$CD$9142,14,FALSE)</f>
        <v>N/A</v>
      </c>
      <c r="D306" s="12" t="str">
        <f>VLOOKUP($A306,'Matriz POA 2024-TRABAJO'!$A$5:$CD$9142,15,FALSE)</f>
        <v>N/A</v>
      </c>
      <c r="E306" s="12" t="str">
        <f>VLOOKUP($A306,'Matriz POA 2024-TRABAJO'!$A$5:$CD$9142,18,FALSE)</f>
        <v>N/A</v>
      </c>
      <c r="F306" s="12" t="str">
        <f>VLOOKUP($A306,'Matriz POA 2024-TRABAJO'!$A$5:$CD$9142,20,FALSE)</f>
        <v>N/A</v>
      </c>
      <c r="G306" s="12" t="str">
        <f>VLOOKUP($A306,'Matriz POA 2024-TRABAJO'!$A$5:$CD$9142,21,FALSE)</f>
        <v>N/A</v>
      </c>
      <c r="H306" s="12" t="str">
        <f>VLOOKUP($A306,'Matriz POA 2024-TRABAJO'!$A$5:$CD$9142,22,FALSE)</f>
        <v>N/A</v>
      </c>
      <c r="I306" s="12" t="str">
        <f>VLOOKUP($A306,'Matriz POA 2024-TRABAJO'!$A$5:$CD$9142,23,FALSE)</f>
        <v>NUEVA</v>
      </c>
      <c r="J306" s="12" t="str">
        <f>VLOOKUP($A306,'Matriz POA 2024-TRABAJO'!$A$5:$CD$9142,24,FALSE)</f>
        <v>Contratación del servicio de mantenimiento preventivo de hardware de los equipos informáticos para el Museo Nuclear Corporación Ciudad Alfaro y sus sedes</v>
      </c>
      <c r="K306" s="12" t="str">
        <f>VLOOKUP($A306,'Matriz POA 2024-TRABAJO'!$A$5:$CD$9142,25,FALSE)</f>
        <v>0035</v>
      </c>
      <c r="L306" s="12" t="str">
        <f>VLOOKUP($A306,'Matriz POA 2024-TRABAJO'!$A$5:$CD$9142,26,FALSE)</f>
        <v>80</v>
      </c>
      <c r="M306" s="12" t="str">
        <f>VLOOKUP($A306,'Matriz POA 2024-TRABAJO'!$A$5:$CD$9142,27,FALSE)</f>
        <v>000</v>
      </c>
      <c r="N306" s="12" t="str">
        <f>VLOOKUP($A306,'Matriz POA 2024-TRABAJO'!$A$5:$CD$9142,28,FALSE)</f>
        <v>002</v>
      </c>
      <c r="O306" s="12">
        <f>VLOOKUP($A306,'Matriz POA 2024-TRABAJO'!$A$5:$CD$9142,29,FALSE)</f>
        <v>53</v>
      </c>
      <c r="P306" s="12">
        <f>VLOOKUP($A306,'Matriz POA 2024-TRABAJO'!$A$5:$CD$9142,30,FALSE)</f>
        <v>530701</v>
      </c>
      <c r="Q306" s="12">
        <f>VLOOKUP($A306,'Matriz POA 2024-TRABAJO'!$A$5:$CD$9142,32,FALSE)</f>
        <v>1309</v>
      </c>
      <c r="R306" s="12" t="str">
        <f>VLOOKUP($A306,'Matriz POA 2024-TRABAJO'!$A$5:$CD$9142,33,FALSE)</f>
        <v>001</v>
      </c>
      <c r="S306" s="12" t="str">
        <f>VLOOKUP($A306,'Matriz POA 2024-TRABAJO'!$A$5:$CD$9142,34,FALSE)</f>
        <v>0000</v>
      </c>
      <c r="T306" s="12" t="str">
        <f>VLOOKUP($A306,'Matriz POA 2024-TRABAJO'!$A$5:$CD$9142,35,FALSE)</f>
        <v>0000</v>
      </c>
      <c r="U306" s="62" t="str">
        <f>VLOOKUP($A306,'Matriz POA 2024-TRABAJO'!$A$5:$CD$9142,66,FALSE)</f>
        <v/>
      </c>
      <c r="V306" s="62" t="str">
        <f>VLOOKUP($A306,'Matriz POA 2024-TRABAJO'!$A$5:$CD$9142,67,FALSE)</f>
        <v/>
      </c>
      <c r="W306" s="62" t="str">
        <f>VLOOKUP($A306,'Matriz POA 2024-TRABAJO'!$A$5:$CD$9142,68,FALSE)</f>
        <v/>
      </c>
      <c r="X306" s="62" t="str">
        <f>VLOOKUP($A306,'Matriz POA 2024-TRABAJO'!$A$5:$CD$9142,72,FALSE)</f>
        <v/>
      </c>
      <c r="Y306" s="388">
        <v>400</v>
      </c>
      <c r="Z306" s="388">
        <f>VLOOKUP($A306,'Matriz POA 2024-TRABAJO'!$A$5:$CD$9142,46,FALSE)</f>
        <v>0</v>
      </c>
      <c r="AA306" s="388">
        <v>400</v>
      </c>
      <c r="AB306" s="389"/>
      <c r="AC306" s="389">
        <v>-400</v>
      </c>
      <c r="AD306" s="13"/>
      <c r="AE306" s="13"/>
      <c r="AF306" s="13">
        <f t="shared" si="363"/>
        <v>0</v>
      </c>
      <c r="AG306" s="13">
        <f t="shared" si="364"/>
        <v>0</v>
      </c>
      <c r="AH306" s="13">
        <f t="shared" si="365"/>
        <v>0</v>
      </c>
      <c r="AI306" s="129" t="e">
        <f t="shared" si="336"/>
        <v>#VALUE!</v>
      </c>
      <c r="AJ306" s="129"/>
      <c r="AK306" s="129"/>
      <c r="AL306" s="129"/>
      <c r="AM306" s="129"/>
      <c r="AN306" s="129"/>
      <c r="AO306" s="129"/>
      <c r="AP306" s="129"/>
      <c r="AQ306" s="129"/>
      <c r="AR306" s="129"/>
      <c r="AS306" s="129"/>
      <c r="AT306" s="129"/>
      <c r="AU306" s="19" t="str">
        <f t="shared" si="355"/>
        <v>enero</v>
      </c>
      <c r="AV306" s="13" t="e">
        <f t="shared" si="366"/>
        <v>#VALUE!</v>
      </c>
      <c r="AW306" s="14" t="s">
        <v>1993</v>
      </c>
      <c r="AX306" s="15" t="s">
        <v>1995</v>
      </c>
      <c r="AY306" s="16">
        <v>45534</v>
      </c>
      <c r="AZ306" s="15" t="s">
        <v>1994</v>
      </c>
      <c r="BA306" s="16">
        <v>45534</v>
      </c>
      <c r="BB306" s="17">
        <f t="shared" si="370"/>
        <v>0</v>
      </c>
      <c r="BC306" s="12"/>
      <c r="BD306" s="15"/>
      <c r="BE306" s="18"/>
      <c r="BF306" s="12"/>
      <c r="BG306" s="19" t="str">
        <f t="shared" si="367"/>
        <v>agosto</v>
      </c>
      <c r="BH306" s="12" t="str">
        <f t="shared" si="368"/>
        <v>Corporación Ciudad Alfaro</v>
      </c>
      <c r="BI306" s="20" t="str">
        <f t="shared" si="369"/>
        <v>N/A</v>
      </c>
    </row>
    <row r="307" spans="1:61" ht="24.95" customHeight="1">
      <c r="A307" s="167">
        <v>956</v>
      </c>
      <c r="B307" s="12" t="str">
        <f>VLOOKUP($A307,'Matriz POA 2024-TRABAJO'!$A$5:$CD$9142,11,FALSE)</f>
        <v>Corporación Ciudad Alfaro</v>
      </c>
      <c r="C307" s="12" t="str">
        <f>VLOOKUP($A307,'Matriz POA 2024-TRABAJO'!$A$5:$CD$9142,14,FALSE)</f>
        <v>N/A</v>
      </c>
      <c r="D307" s="12" t="str">
        <f>VLOOKUP($A307,'Matriz POA 2024-TRABAJO'!$A$5:$CD$9142,15,FALSE)</f>
        <v>N/A</v>
      </c>
      <c r="E307" s="12" t="str">
        <f>VLOOKUP($A307,'Matriz POA 2024-TRABAJO'!$A$5:$CD$9142,18,FALSE)</f>
        <v>N/A</v>
      </c>
      <c r="F307" s="12" t="str">
        <f>VLOOKUP($A307,'Matriz POA 2024-TRABAJO'!$A$5:$CD$9142,20,FALSE)</f>
        <v>N/A</v>
      </c>
      <c r="G307" s="12" t="str">
        <f>VLOOKUP($A307,'Matriz POA 2024-TRABAJO'!$A$5:$CD$9142,21,FALSE)</f>
        <v>N/A</v>
      </c>
      <c r="H307" s="12" t="str">
        <f>VLOOKUP($A307,'Matriz POA 2024-TRABAJO'!$A$5:$CD$9142,22,FALSE)</f>
        <v>N/A</v>
      </c>
      <c r="I307" s="12" t="str">
        <f>VLOOKUP($A307,'Matriz POA 2024-TRABAJO'!$A$5:$CD$9142,23,FALSE)</f>
        <v>NUEVA</v>
      </c>
      <c r="J307" s="12" t="str">
        <f>VLOOKUP($A307,'Matriz POA 2024-TRABAJO'!$A$5:$CD$9142,24,FALSE)</f>
        <v>Contratación del servicio de mantenimiento de las letras corpóreas de la entrada del edificio Museo Centro Cultural Manta</v>
      </c>
      <c r="K307" s="12" t="str">
        <f>VLOOKUP($A307,'Matriz POA 2024-TRABAJO'!$A$5:$CD$9142,25,FALSE)</f>
        <v>0035</v>
      </c>
      <c r="L307" s="12" t="str">
        <f>VLOOKUP($A307,'Matriz POA 2024-TRABAJO'!$A$5:$CD$9142,26,FALSE)</f>
        <v>80</v>
      </c>
      <c r="M307" s="12" t="str">
        <f>VLOOKUP($A307,'Matriz POA 2024-TRABAJO'!$A$5:$CD$9142,27,FALSE)</f>
        <v>000</v>
      </c>
      <c r="N307" s="12" t="str">
        <f>VLOOKUP($A307,'Matriz POA 2024-TRABAJO'!$A$5:$CD$9142,28,FALSE)</f>
        <v>002</v>
      </c>
      <c r="O307" s="12">
        <f>VLOOKUP($A307,'Matriz POA 2024-TRABAJO'!$A$5:$CD$9142,29,FALSE)</f>
        <v>53</v>
      </c>
      <c r="P307" s="12">
        <f>VLOOKUP($A307,'Matriz POA 2024-TRABAJO'!$A$5:$CD$9142,30,FALSE)</f>
        <v>530402</v>
      </c>
      <c r="Q307" s="12">
        <f>VLOOKUP($A307,'Matriz POA 2024-TRABAJO'!$A$5:$CD$9142,32,FALSE)</f>
        <v>1308</v>
      </c>
      <c r="R307" s="12" t="str">
        <f>VLOOKUP($A307,'Matriz POA 2024-TRABAJO'!$A$5:$CD$9142,33,FALSE)</f>
        <v>001</v>
      </c>
      <c r="S307" s="12" t="str">
        <f>VLOOKUP($A307,'Matriz POA 2024-TRABAJO'!$A$5:$CD$9142,34,FALSE)</f>
        <v>0000</v>
      </c>
      <c r="T307" s="12" t="str">
        <f>VLOOKUP($A307,'Matriz POA 2024-TRABAJO'!$A$5:$CD$9142,35,FALSE)</f>
        <v>0000</v>
      </c>
      <c r="U307" s="62" t="str">
        <f>VLOOKUP($A307,'Matriz POA 2024-TRABAJO'!$A$5:$CD$9142,66,FALSE)</f>
        <v/>
      </c>
      <c r="V307" s="62" t="str">
        <f>VLOOKUP($A307,'Matriz POA 2024-TRABAJO'!$A$5:$CD$9142,67,FALSE)</f>
        <v/>
      </c>
      <c r="W307" s="62" t="str">
        <f>VLOOKUP($A307,'Matriz POA 2024-TRABAJO'!$A$5:$CD$9142,68,FALSE)</f>
        <v/>
      </c>
      <c r="X307" s="62" t="str">
        <f>VLOOKUP($A307,'Matriz POA 2024-TRABAJO'!$A$5:$CD$9142,72,FALSE)</f>
        <v/>
      </c>
      <c r="Y307" s="388">
        <v>2500</v>
      </c>
      <c r="Z307" s="388">
        <f>VLOOKUP($A307,'Matriz POA 2024-TRABAJO'!$A$5:$CD$9142,46,FALSE)</f>
        <v>0</v>
      </c>
      <c r="AA307" s="388">
        <v>2500</v>
      </c>
      <c r="AB307" s="389"/>
      <c r="AC307" s="389">
        <v>-2500</v>
      </c>
      <c r="AD307" s="13"/>
      <c r="AE307" s="13"/>
      <c r="AF307" s="13">
        <f t="shared" si="363"/>
        <v>0</v>
      </c>
      <c r="AG307" s="13">
        <f t="shared" si="364"/>
        <v>0</v>
      </c>
      <c r="AH307" s="13">
        <f t="shared" si="365"/>
        <v>0</v>
      </c>
      <c r="AI307" s="129" t="e">
        <f t="shared" si="336"/>
        <v>#VALUE!</v>
      </c>
      <c r="AJ307" s="129"/>
      <c r="AK307" s="129"/>
      <c r="AL307" s="129"/>
      <c r="AM307" s="129"/>
      <c r="AN307" s="129"/>
      <c r="AO307" s="129"/>
      <c r="AP307" s="129"/>
      <c r="AQ307" s="129"/>
      <c r="AR307" s="129"/>
      <c r="AS307" s="129"/>
      <c r="AT307" s="129"/>
      <c r="AU307" s="19" t="str">
        <f t="shared" si="355"/>
        <v>enero</v>
      </c>
      <c r="AV307" s="13" t="e">
        <f t="shared" si="366"/>
        <v>#VALUE!</v>
      </c>
      <c r="AW307" s="14" t="s">
        <v>1993</v>
      </c>
      <c r="AX307" s="15" t="s">
        <v>1995</v>
      </c>
      <c r="AY307" s="16">
        <v>45534</v>
      </c>
      <c r="AZ307" s="15" t="s">
        <v>1994</v>
      </c>
      <c r="BA307" s="16">
        <v>45534</v>
      </c>
      <c r="BB307" s="17">
        <f t="shared" si="370"/>
        <v>0</v>
      </c>
      <c r="BC307" s="12"/>
      <c r="BD307" s="15"/>
      <c r="BE307" s="18"/>
      <c r="BF307" s="12"/>
      <c r="BG307" s="19" t="str">
        <f t="shared" si="367"/>
        <v>agosto</v>
      </c>
      <c r="BH307" s="12" t="str">
        <f t="shared" si="368"/>
        <v>Corporación Ciudad Alfaro</v>
      </c>
      <c r="BI307" s="20" t="str">
        <f t="shared" si="369"/>
        <v>N/A</v>
      </c>
    </row>
    <row r="308" spans="1:61" ht="24.95" customHeight="1">
      <c r="A308" s="167">
        <v>958</v>
      </c>
      <c r="B308" s="12" t="str">
        <f>VLOOKUP($A308,'Matriz POA 2024-TRABAJO'!$A$5:$CD$9142,11,FALSE)</f>
        <v>Corporación Ciudad Alfaro</v>
      </c>
      <c r="C308" s="12" t="str">
        <f>VLOOKUP($A308,'Matriz POA 2024-TRABAJO'!$A$5:$CD$9142,14,FALSE)</f>
        <v>N/A</v>
      </c>
      <c r="D308" s="12" t="str">
        <f>VLOOKUP($A308,'Matriz POA 2024-TRABAJO'!$A$5:$CD$9142,15,FALSE)</f>
        <v>N/A</v>
      </c>
      <c r="E308" s="12" t="str">
        <f>VLOOKUP($A308,'Matriz POA 2024-TRABAJO'!$A$5:$CD$9142,18,FALSE)</f>
        <v>N/A</v>
      </c>
      <c r="F308" s="12" t="str">
        <f>VLOOKUP($A308,'Matriz POA 2024-TRABAJO'!$A$5:$CD$9142,20,FALSE)</f>
        <v>N/A</v>
      </c>
      <c r="G308" s="12" t="str">
        <f>VLOOKUP($A308,'Matriz POA 2024-TRABAJO'!$A$5:$CD$9142,21,FALSE)</f>
        <v>N/A</v>
      </c>
      <c r="H308" s="12" t="str">
        <f>VLOOKUP($A308,'Matriz POA 2024-TRABAJO'!$A$5:$CD$9142,22,FALSE)</f>
        <v>N/A</v>
      </c>
      <c r="I308" s="12" t="str">
        <f>VLOOKUP($A308,'Matriz POA 2024-TRABAJO'!$A$5:$CD$9142,23,FALSE)</f>
        <v>NUEVA</v>
      </c>
      <c r="J308" s="12" t="str">
        <f>VLOOKUP($A308,'Matriz POA 2024-TRABAJO'!$A$5:$CD$9142,24,FALSE)</f>
        <v>Contratación del servicio de mantenimiento preventivo y correctivo de las cerchas metálicas, ventanas, puertas y mampostería del Museo artesanal Cancebí de la Corporación Ciudad Alfaro.</v>
      </c>
      <c r="K308" s="12" t="str">
        <f>VLOOKUP($A308,'Matriz POA 2024-TRABAJO'!$A$5:$CD$9142,25,FALSE)</f>
        <v>0035</v>
      </c>
      <c r="L308" s="12" t="str">
        <f>VLOOKUP($A308,'Matriz POA 2024-TRABAJO'!$A$5:$CD$9142,26,FALSE)</f>
        <v>80</v>
      </c>
      <c r="M308" s="12" t="str">
        <f>VLOOKUP($A308,'Matriz POA 2024-TRABAJO'!$A$5:$CD$9142,27,FALSE)</f>
        <v>000</v>
      </c>
      <c r="N308" s="12" t="str">
        <f>VLOOKUP($A308,'Matriz POA 2024-TRABAJO'!$A$5:$CD$9142,28,FALSE)</f>
        <v>002</v>
      </c>
      <c r="O308" s="12">
        <f>VLOOKUP($A308,'Matriz POA 2024-TRABAJO'!$A$5:$CD$9142,29,FALSE)</f>
        <v>53</v>
      </c>
      <c r="P308" s="12">
        <f>VLOOKUP($A308,'Matriz POA 2024-TRABAJO'!$A$5:$CD$9142,30,FALSE)</f>
        <v>530402</v>
      </c>
      <c r="Q308" s="12">
        <f>VLOOKUP($A308,'Matriz POA 2024-TRABAJO'!$A$5:$CD$9142,32,FALSE)</f>
        <v>1309</v>
      </c>
      <c r="R308" s="12" t="str">
        <f>VLOOKUP($A308,'Matriz POA 2024-TRABAJO'!$A$5:$CD$9142,33,FALSE)</f>
        <v>001</v>
      </c>
      <c r="S308" s="12" t="str">
        <f>VLOOKUP($A308,'Matriz POA 2024-TRABAJO'!$A$5:$CD$9142,34,FALSE)</f>
        <v>0000</v>
      </c>
      <c r="T308" s="12" t="str">
        <f>VLOOKUP($A308,'Matriz POA 2024-TRABAJO'!$A$5:$CD$9142,35,FALSE)</f>
        <v>0000</v>
      </c>
      <c r="U308" s="62" t="str">
        <f>VLOOKUP($A308,'Matriz POA 2024-TRABAJO'!$A$5:$CD$9142,66,FALSE)</f>
        <v/>
      </c>
      <c r="V308" s="62" t="str">
        <f>VLOOKUP($A308,'Matriz POA 2024-TRABAJO'!$A$5:$CD$9142,67,FALSE)</f>
        <v/>
      </c>
      <c r="W308" s="62" t="str">
        <f>VLOOKUP($A308,'Matriz POA 2024-TRABAJO'!$A$5:$CD$9142,68,FALSE)</f>
        <v/>
      </c>
      <c r="X308" s="62" t="str">
        <f>VLOOKUP($A308,'Matriz POA 2024-TRABAJO'!$A$5:$CD$9142,72,FALSE)</f>
        <v/>
      </c>
      <c r="Y308" s="388">
        <v>15000</v>
      </c>
      <c r="Z308" s="388">
        <f>VLOOKUP($A308,'Matriz POA 2024-TRABAJO'!$A$5:$CD$9142,46,FALSE)</f>
        <v>0</v>
      </c>
      <c r="AA308" s="388">
        <v>15000</v>
      </c>
      <c r="AB308" s="389"/>
      <c r="AC308" s="389">
        <v>-15000</v>
      </c>
      <c r="AD308" s="13"/>
      <c r="AE308" s="13"/>
      <c r="AF308" s="13">
        <f t="shared" si="363"/>
        <v>0</v>
      </c>
      <c r="AG308" s="13">
        <f t="shared" si="364"/>
        <v>0</v>
      </c>
      <c r="AH308" s="13">
        <f t="shared" si="365"/>
        <v>0</v>
      </c>
      <c r="AI308" s="129" t="e">
        <f t="shared" si="336"/>
        <v>#VALUE!</v>
      </c>
      <c r="AJ308" s="129"/>
      <c r="AK308" s="129"/>
      <c r="AL308" s="129"/>
      <c r="AM308" s="129"/>
      <c r="AN308" s="129"/>
      <c r="AO308" s="129"/>
      <c r="AP308" s="129"/>
      <c r="AQ308" s="129"/>
      <c r="AR308" s="129"/>
      <c r="AS308" s="129"/>
      <c r="AT308" s="129"/>
      <c r="AU308" s="19" t="str">
        <f t="shared" si="355"/>
        <v>enero</v>
      </c>
      <c r="AV308" s="13" t="e">
        <f t="shared" si="366"/>
        <v>#VALUE!</v>
      </c>
      <c r="AW308" s="14" t="s">
        <v>1993</v>
      </c>
      <c r="AX308" s="15" t="s">
        <v>1995</v>
      </c>
      <c r="AY308" s="16">
        <v>45534</v>
      </c>
      <c r="AZ308" s="15" t="s">
        <v>1994</v>
      </c>
      <c r="BA308" s="16">
        <v>45534</v>
      </c>
      <c r="BB308" s="17">
        <f t="shared" si="370"/>
        <v>0</v>
      </c>
      <c r="BC308" s="12"/>
      <c r="BD308" s="15"/>
      <c r="BE308" s="18"/>
      <c r="BF308" s="12"/>
      <c r="BG308" s="19" t="str">
        <f t="shared" si="367"/>
        <v>agosto</v>
      </c>
      <c r="BH308" s="12" t="str">
        <f t="shared" si="368"/>
        <v>Corporación Ciudad Alfaro</v>
      </c>
      <c r="BI308" s="20" t="str">
        <f t="shared" si="369"/>
        <v>N/A</v>
      </c>
    </row>
    <row r="309" spans="1:61" ht="24.95" customHeight="1">
      <c r="A309" s="8">
        <v>415</v>
      </c>
      <c r="B309" s="12" t="str">
        <f>VLOOKUP($A309,'Matriz POA 2024-TRABAJO'!$A$5:$CD$9142,11,FALSE)</f>
        <v>Corporación Ciudad Alfaro</v>
      </c>
      <c r="C309" s="12" t="str">
        <f>VLOOKUP($A309,'Matriz POA 2024-TRABAJO'!$A$5:$CD$9142,14,FALSE)</f>
        <v>N/A</v>
      </c>
      <c r="D309" s="12" t="str">
        <f>VLOOKUP($A309,'Matriz POA 2024-TRABAJO'!$A$5:$CD$9142,15,FALSE)</f>
        <v>N/A</v>
      </c>
      <c r="E309" s="12" t="str">
        <f>VLOOKUP($A309,'Matriz POA 2024-TRABAJO'!$A$5:$CD$9142,18,FALSE)</f>
        <v>N/A</v>
      </c>
      <c r="F309" s="12" t="str">
        <f>VLOOKUP($A309,'Matriz POA 2024-TRABAJO'!$A$5:$CD$9142,20,FALSE)</f>
        <v>N/A</v>
      </c>
      <c r="G309" s="12" t="str">
        <f>VLOOKUP($A309,'Matriz POA 2024-TRABAJO'!$A$5:$CD$9142,21,FALSE)</f>
        <v>N/A</v>
      </c>
      <c r="H309" s="12" t="str">
        <f>VLOOKUP($A309,'Matriz POA 2024-TRABAJO'!$A$5:$CD$9142,22,FALSE)</f>
        <v>N/A</v>
      </c>
      <c r="I309" s="12" t="str">
        <f>VLOOKUP($A309,'Matriz POA 2024-TRABAJO'!$A$5:$CD$9142,23,FALSE)</f>
        <v>NUEVA</v>
      </c>
      <c r="J309" s="12" t="str">
        <f>VLOOKUP($A309,'Matriz POA 2024-TRABAJO'!$A$5:$CD$9142,24,FALSE)</f>
        <v>REMUNERACIONES UNIFICADAS</v>
      </c>
      <c r="K309" s="12" t="str">
        <f>VLOOKUP($A309,'Matriz POA 2024-TRABAJO'!$A$5:$CD$9142,25,FALSE)</f>
        <v>0035</v>
      </c>
      <c r="L309" s="12" t="str">
        <f>VLOOKUP($A309,'Matriz POA 2024-TRABAJO'!$A$5:$CD$9142,26,FALSE)</f>
        <v>80</v>
      </c>
      <c r="M309" s="12" t="str">
        <f>VLOOKUP($A309,'Matriz POA 2024-TRABAJO'!$A$5:$CD$9142,27,FALSE)</f>
        <v>000</v>
      </c>
      <c r="N309" s="12" t="str">
        <f>VLOOKUP($A309,'Matriz POA 2024-TRABAJO'!$A$5:$CD$9142,28,FALSE)</f>
        <v>002</v>
      </c>
      <c r="O309" s="12" t="str">
        <f>VLOOKUP($A309,'Matriz POA 2024-TRABAJO'!$A$5:$CD$9142,29,FALSE)</f>
        <v>51</v>
      </c>
      <c r="P309" s="12">
        <f>VLOOKUP($A309,'Matriz POA 2024-TRABAJO'!$A$5:$CD$9142,30,FALSE)</f>
        <v>510105</v>
      </c>
      <c r="Q309" s="12">
        <f>VLOOKUP($A309,'Matriz POA 2024-TRABAJO'!$A$5:$CD$9142,32,FALSE)</f>
        <v>1300</v>
      </c>
      <c r="R309" s="12" t="str">
        <f>VLOOKUP($A309,'Matriz POA 2024-TRABAJO'!$A$5:$CD$9142,33,FALSE)</f>
        <v>001</v>
      </c>
      <c r="S309" s="12" t="str">
        <f>VLOOKUP($A309,'Matriz POA 2024-TRABAJO'!$A$5:$CD$9142,34,FALSE)</f>
        <v>0000</v>
      </c>
      <c r="T309" s="12" t="str">
        <f>VLOOKUP($A309,'Matriz POA 2024-TRABAJO'!$A$5:$CD$9142,35,FALSE)</f>
        <v>0000</v>
      </c>
      <c r="U309" s="62">
        <f>VLOOKUP($A309,'Matriz POA 2024-TRABAJO'!$A$5:$CD$9142,66,FALSE)</f>
        <v>280176.77</v>
      </c>
      <c r="V309" s="62">
        <f>VLOOKUP($A309,'Matriz POA 2024-TRABAJO'!$A$5:$CD$9142,67,FALSE)</f>
        <v>-12424.770000000019</v>
      </c>
      <c r="W309" s="62">
        <f>VLOOKUP($A309,'Matriz POA 2024-TRABAJO'!$A$5:$CD$9142,68,FALSE)</f>
        <v>0</v>
      </c>
      <c r="X309" s="62">
        <f>VLOOKUP($A309,'Matriz POA 2024-TRABAJO'!$A$5:$CD$9142,72,FALSE)</f>
        <v>266098.39899999998</v>
      </c>
      <c r="Y309" s="388">
        <v>272452</v>
      </c>
      <c r="Z309" s="388">
        <f>VLOOKUP($A309,'Matriz POA 2024-TRABAJO'!$A$5:$CD$9142,46,FALSE)</f>
        <v>0</v>
      </c>
      <c r="AA309" s="388">
        <v>272452</v>
      </c>
      <c r="AB309" s="389"/>
      <c r="AC309" s="389">
        <v>-4700</v>
      </c>
      <c r="AD309" s="13"/>
      <c r="AE309" s="13"/>
      <c r="AF309" s="13">
        <f t="shared" si="363"/>
        <v>267752</v>
      </c>
      <c r="AG309" s="13">
        <f t="shared" si="364"/>
        <v>0</v>
      </c>
      <c r="AH309" s="13">
        <f t="shared" si="365"/>
        <v>267752</v>
      </c>
      <c r="AI309" s="129" t="e">
        <f t="shared" si="336"/>
        <v>#VALUE!</v>
      </c>
      <c r="AJ309" s="129"/>
      <c r="AK309" s="129"/>
      <c r="AL309" s="129"/>
      <c r="AM309" s="129"/>
      <c r="AN309" s="129"/>
      <c r="AO309" s="129"/>
      <c r="AP309" s="129"/>
      <c r="AQ309" s="129"/>
      <c r="AR309" s="129"/>
      <c r="AS309" s="129"/>
      <c r="AT309" s="129"/>
      <c r="AU309" s="19" t="str">
        <f t="shared" si="355"/>
        <v>enero</v>
      </c>
      <c r="AV309" s="13" t="e">
        <f t="shared" si="366"/>
        <v>#VALUE!</v>
      </c>
      <c r="AW309" s="14" t="s">
        <v>2000</v>
      </c>
      <c r="AX309" s="15" t="s">
        <v>2002</v>
      </c>
      <c r="AY309" s="16">
        <v>45541</v>
      </c>
      <c r="AZ309" s="15" t="s">
        <v>2001</v>
      </c>
      <c r="BA309" s="16">
        <v>45541</v>
      </c>
      <c r="BB309" s="17">
        <f t="shared" si="370"/>
        <v>0</v>
      </c>
      <c r="BC309" s="12"/>
      <c r="BD309" s="15"/>
      <c r="BE309" s="18"/>
      <c r="BF309" s="12"/>
      <c r="BG309" s="19" t="str">
        <f t="shared" si="367"/>
        <v>septiembre</v>
      </c>
      <c r="BH309" s="12" t="str">
        <f t="shared" si="368"/>
        <v>Corporación Ciudad Alfaro</v>
      </c>
      <c r="BI309" s="20" t="str">
        <f t="shared" si="369"/>
        <v>N/A</v>
      </c>
    </row>
    <row r="310" spans="1:61" ht="24.95" customHeight="1">
      <c r="A310" s="8">
        <v>731</v>
      </c>
      <c r="B310" s="12" t="str">
        <f>VLOOKUP($A310,'Matriz POA 2024-TRABAJO'!$A$5:$CD$9142,11,FALSE)</f>
        <v>Corporación Ciudad Alfaro</v>
      </c>
      <c r="C310" s="12" t="str">
        <f>VLOOKUP($A310,'Matriz POA 2024-TRABAJO'!$A$5:$CD$9142,14,FALSE)</f>
        <v>N/A</v>
      </c>
      <c r="D310" s="12" t="str">
        <f>VLOOKUP($A310,'Matriz POA 2024-TRABAJO'!$A$5:$CD$9142,15,FALSE)</f>
        <v>N/A</v>
      </c>
      <c r="E310" s="12" t="str">
        <f>VLOOKUP($A310,'Matriz POA 2024-TRABAJO'!$A$5:$CD$9142,18,FALSE)</f>
        <v>N/A</v>
      </c>
      <c r="F310" s="12" t="str">
        <f>VLOOKUP($A310,'Matriz POA 2024-TRABAJO'!$A$5:$CD$9142,20,FALSE)</f>
        <v>N/A</v>
      </c>
      <c r="G310" s="12" t="str">
        <f>VLOOKUP($A310,'Matriz POA 2024-TRABAJO'!$A$5:$CD$9142,21,FALSE)</f>
        <v>N/A</v>
      </c>
      <c r="H310" s="12" t="str">
        <f>VLOOKUP($A310,'Matriz POA 2024-TRABAJO'!$A$5:$CD$9142,22,FALSE)</f>
        <v>N/A</v>
      </c>
      <c r="I310" s="12" t="str">
        <f>VLOOKUP($A310,'Matriz POA 2024-TRABAJO'!$A$5:$CD$9142,23,FALSE)</f>
        <v>NUEVA</v>
      </c>
      <c r="J310" s="12" t="str">
        <f>VLOOKUP($A310,'Matriz POA 2024-TRABAJO'!$A$5:$CD$9142,24,FALSE)</f>
        <v>Subrogación</v>
      </c>
      <c r="K310" s="12" t="str">
        <f>VLOOKUP($A310,'Matriz POA 2024-TRABAJO'!$A$5:$CD$9142,25,FALSE)</f>
        <v>0035</v>
      </c>
      <c r="L310" s="12" t="str">
        <f>VLOOKUP($A310,'Matriz POA 2024-TRABAJO'!$A$5:$CD$9142,26,FALSE)</f>
        <v>80</v>
      </c>
      <c r="M310" s="12" t="str">
        <f>VLOOKUP($A310,'Matriz POA 2024-TRABAJO'!$A$5:$CD$9142,27,FALSE)</f>
        <v>000</v>
      </c>
      <c r="N310" s="12" t="str">
        <f>VLOOKUP($A310,'Matriz POA 2024-TRABAJO'!$A$5:$CD$9142,28,FALSE)</f>
        <v>002</v>
      </c>
      <c r="O310" s="12" t="str">
        <f>VLOOKUP($A310,'Matriz POA 2024-TRABAJO'!$A$5:$CD$9142,29,FALSE)</f>
        <v>51</v>
      </c>
      <c r="P310" s="12">
        <f>VLOOKUP($A310,'Matriz POA 2024-TRABAJO'!$A$5:$CD$9142,30,FALSE)</f>
        <v>510512</v>
      </c>
      <c r="Q310" s="12">
        <f>VLOOKUP($A310,'Matriz POA 2024-TRABAJO'!$A$5:$CD$9142,32,FALSE)</f>
        <v>1300</v>
      </c>
      <c r="R310" s="12" t="str">
        <f>VLOOKUP($A310,'Matriz POA 2024-TRABAJO'!$A$5:$CD$9142,33,FALSE)</f>
        <v>001</v>
      </c>
      <c r="S310" s="12" t="str">
        <f>VLOOKUP($A310,'Matriz POA 2024-TRABAJO'!$A$5:$CD$9142,34,FALSE)</f>
        <v>0000</v>
      </c>
      <c r="T310" s="12" t="str">
        <f>VLOOKUP($A310,'Matriz POA 2024-TRABAJO'!$A$5:$CD$9142,35,FALSE)</f>
        <v>0000</v>
      </c>
      <c r="U310" s="62" t="str">
        <f>VLOOKUP($A310,'Matriz POA 2024-TRABAJO'!$A$5:$CD$9142,66,FALSE)</f>
        <v/>
      </c>
      <c r="V310" s="62" t="str">
        <f>VLOOKUP($A310,'Matriz POA 2024-TRABAJO'!$A$5:$CD$9142,67,FALSE)</f>
        <v/>
      </c>
      <c r="W310" s="62">
        <f>VLOOKUP($A310,'Matriz POA 2024-TRABAJO'!$A$5:$CD$9142,68,FALSE)</f>
        <v>0</v>
      </c>
      <c r="X310" s="62">
        <f>VLOOKUP($A310,'Matriz POA 2024-TRABAJO'!$A$5:$CD$9142,72,FALSE)</f>
        <v>3357.21</v>
      </c>
      <c r="Y310" s="388">
        <v>0</v>
      </c>
      <c r="Z310" s="388">
        <f>VLOOKUP($A310,'Matriz POA 2024-TRABAJO'!$A$5:$CD$9142,46,FALSE)</f>
        <v>0</v>
      </c>
      <c r="AA310" s="388">
        <v>0</v>
      </c>
      <c r="AB310" s="389">
        <v>3700</v>
      </c>
      <c r="AC310" s="389"/>
      <c r="AD310" s="13"/>
      <c r="AE310" s="13"/>
      <c r="AF310" s="13">
        <f t="shared" si="363"/>
        <v>3700</v>
      </c>
      <c r="AG310" s="13">
        <f t="shared" si="364"/>
        <v>0</v>
      </c>
      <c r="AH310" s="13">
        <f t="shared" si="365"/>
        <v>3700</v>
      </c>
      <c r="AI310" s="129"/>
      <c r="AJ310" s="129"/>
      <c r="AK310" s="129"/>
      <c r="AL310" s="129"/>
      <c r="AM310" s="129"/>
      <c r="AN310" s="129"/>
      <c r="AO310" s="129"/>
      <c r="AP310" s="129"/>
      <c r="AQ310" s="129"/>
      <c r="AR310" s="129"/>
      <c r="AS310" s="129"/>
      <c r="AT310" s="129"/>
      <c r="AU310" s="19" t="str">
        <f t="shared" si="355"/>
        <v>enero</v>
      </c>
      <c r="AV310" s="13" t="b">
        <f t="shared" si="366"/>
        <v>0</v>
      </c>
      <c r="AW310" s="14" t="s">
        <v>2000</v>
      </c>
      <c r="AX310" s="15" t="s">
        <v>2002</v>
      </c>
      <c r="AY310" s="16">
        <v>45541</v>
      </c>
      <c r="AZ310" s="15" t="s">
        <v>2001</v>
      </c>
      <c r="BA310" s="16">
        <v>45541</v>
      </c>
      <c r="BB310" s="17">
        <f t="shared" si="370"/>
        <v>0</v>
      </c>
      <c r="BC310" s="12"/>
      <c r="BD310" s="15"/>
      <c r="BE310" s="18"/>
      <c r="BF310" s="12"/>
      <c r="BG310" s="19" t="str">
        <f t="shared" si="367"/>
        <v>septiembre</v>
      </c>
      <c r="BH310" s="12" t="str">
        <f t="shared" si="368"/>
        <v>Corporación Ciudad Alfaro</v>
      </c>
      <c r="BI310" s="20" t="str">
        <f t="shared" si="369"/>
        <v>N/A</v>
      </c>
    </row>
    <row r="311" spans="1:61" ht="24.95" customHeight="1">
      <c r="A311" s="8">
        <v>1001</v>
      </c>
      <c r="B311" s="12" t="str">
        <f>VLOOKUP($A311,'Matriz POA 2024-TRABAJO'!$A$5:$CD$9142,11,FALSE)</f>
        <v>Corporación Ciudad Alfaro</v>
      </c>
      <c r="C311" s="12" t="str">
        <f>VLOOKUP($A311,'Matriz POA 2024-TRABAJO'!$A$5:$CD$9142,14,FALSE)</f>
        <v>N/A</v>
      </c>
      <c r="D311" s="12" t="str">
        <f>VLOOKUP($A311,'Matriz POA 2024-TRABAJO'!$A$5:$CD$9142,15,FALSE)</f>
        <v>N/A</v>
      </c>
      <c r="E311" s="12" t="str">
        <f>VLOOKUP($A311,'Matriz POA 2024-TRABAJO'!$A$5:$CD$9142,18,FALSE)</f>
        <v>N/A</v>
      </c>
      <c r="F311" s="12" t="str">
        <f>VLOOKUP($A311,'Matriz POA 2024-TRABAJO'!$A$5:$CD$9142,20,FALSE)</f>
        <v>N/A</v>
      </c>
      <c r="G311" s="12" t="str">
        <f>VLOOKUP($A311,'Matriz POA 2024-TRABAJO'!$A$5:$CD$9142,21,FALSE)</f>
        <v>N/A</v>
      </c>
      <c r="H311" s="12" t="str">
        <f>VLOOKUP($A311,'Matriz POA 2024-TRABAJO'!$A$5:$CD$9142,22,FALSE)</f>
        <v>N/A</v>
      </c>
      <c r="I311" s="12" t="str">
        <f>VLOOKUP($A311,'Matriz POA 2024-TRABAJO'!$A$5:$CD$9142,23,FALSE)</f>
        <v>NUEVA</v>
      </c>
      <c r="J311" s="12" t="str">
        <f>VLOOKUP($A311,'Matriz POA 2024-TRABAJO'!$A$5:$CD$9142,24,FALSE)</f>
        <v>Horas extraordinarias y suplementarias</v>
      </c>
      <c r="K311" s="12" t="str">
        <f>VLOOKUP($A311,'Matriz POA 2024-TRABAJO'!$A$5:$CD$9142,25,FALSE)</f>
        <v>0035</v>
      </c>
      <c r="L311" s="12" t="str">
        <f>VLOOKUP($A311,'Matriz POA 2024-TRABAJO'!$A$5:$CD$9142,26,FALSE)</f>
        <v>80</v>
      </c>
      <c r="M311" s="12" t="str">
        <f>VLOOKUP($A311,'Matriz POA 2024-TRABAJO'!$A$5:$CD$9142,27,FALSE)</f>
        <v>000</v>
      </c>
      <c r="N311" s="12" t="str">
        <f>VLOOKUP($A311,'Matriz POA 2024-TRABAJO'!$A$5:$CD$9142,28,FALSE)</f>
        <v>002</v>
      </c>
      <c r="O311" s="12">
        <f>VLOOKUP($A311,'Matriz POA 2024-TRABAJO'!$A$5:$CD$9142,29,FALSE)</f>
        <v>51</v>
      </c>
      <c r="P311" s="12">
        <f>VLOOKUP($A311,'Matriz POA 2024-TRABAJO'!$A$5:$CD$9142,30,FALSE)</f>
        <v>510509</v>
      </c>
      <c r="Q311" s="12">
        <f>VLOOKUP($A311,'Matriz POA 2024-TRABAJO'!$A$5:$CD$9142,32,FALSE)</f>
        <v>1309</v>
      </c>
      <c r="R311" s="12" t="str">
        <f>VLOOKUP($A311,'Matriz POA 2024-TRABAJO'!$A$5:$CD$9142,33,FALSE)</f>
        <v>001</v>
      </c>
      <c r="S311" s="12" t="str">
        <f>VLOOKUP($A311,'Matriz POA 2024-TRABAJO'!$A$5:$CD$9142,34,FALSE)</f>
        <v>0000</v>
      </c>
      <c r="T311" s="12" t="str">
        <f>VLOOKUP($A311,'Matriz POA 2024-TRABAJO'!$A$5:$CD$9142,35,FALSE)</f>
        <v>0000</v>
      </c>
      <c r="U311" s="62" t="str">
        <f>VLOOKUP($A311,'Matriz POA 2024-TRABAJO'!$A$5:$CD$9142,66,FALSE)</f>
        <v/>
      </c>
      <c r="V311" s="62" t="str">
        <f>VLOOKUP($A311,'Matriz POA 2024-TRABAJO'!$A$5:$CD$9142,67,FALSE)</f>
        <v/>
      </c>
      <c r="W311" s="62">
        <f>VLOOKUP($A311,'Matriz POA 2024-TRABAJO'!$A$5:$CD$9142,68,FALSE)</f>
        <v>0</v>
      </c>
      <c r="X311" s="62">
        <f>VLOOKUP($A311,'Matriz POA 2024-TRABAJO'!$A$5:$CD$9142,72,FALSE)</f>
        <v>70.05</v>
      </c>
      <c r="Y311" s="388">
        <v>0</v>
      </c>
      <c r="Z311" s="388">
        <f>VLOOKUP($A311,'Matriz POA 2024-TRABAJO'!$A$5:$CD$9142,46,FALSE)</f>
        <v>0</v>
      </c>
      <c r="AA311" s="388">
        <v>0</v>
      </c>
      <c r="AB311" s="389">
        <v>1000</v>
      </c>
      <c r="AC311" s="389"/>
      <c r="AD311" s="13"/>
      <c r="AE311" s="13"/>
      <c r="AF311" s="13">
        <f t="shared" si="363"/>
        <v>1000</v>
      </c>
      <c r="AG311" s="13">
        <f t="shared" si="364"/>
        <v>0</v>
      </c>
      <c r="AH311" s="13">
        <f t="shared" si="365"/>
        <v>1000</v>
      </c>
      <c r="AI311" s="129"/>
      <c r="AJ311" s="129"/>
      <c r="AK311" s="129"/>
      <c r="AL311" s="129"/>
      <c r="AM311" s="129"/>
      <c r="AN311" s="129"/>
      <c r="AO311" s="129"/>
      <c r="AP311" s="129"/>
      <c r="AQ311" s="129"/>
      <c r="AR311" s="129"/>
      <c r="AS311" s="129"/>
      <c r="AT311" s="129"/>
      <c r="AU311" s="19" t="str">
        <f t="shared" si="355"/>
        <v>enero</v>
      </c>
      <c r="AV311" s="13" t="b">
        <f t="shared" si="366"/>
        <v>0</v>
      </c>
      <c r="AW311" s="14" t="s">
        <v>2000</v>
      </c>
      <c r="AX311" s="15" t="s">
        <v>2002</v>
      </c>
      <c r="AY311" s="16">
        <v>45541</v>
      </c>
      <c r="AZ311" s="15" t="s">
        <v>2001</v>
      </c>
      <c r="BA311" s="16">
        <v>45541</v>
      </c>
      <c r="BB311" s="17">
        <f t="shared" si="370"/>
        <v>0</v>
      </c>
      <c r="BC311" s="12"/>
      <c r="BD311" s="15"/>
      <c r="BE311" s="18"/>
      <c r="BF311" s="12"/>
      <c r="BG311" s="19" t="str">
        <f t="shared" si="367"/>
        <v>septiembre</v>
      </c>
      <c r="BH311" s="12" t="str">
        <f t="shared" si="368"/>
        <v>Corporación Ciudad Alfaro</v>
      </c>
      <c r="BI311" s="20" t="str">
        <f t="shared" si="369"/>
        <v>N/A</v>
      </c>
    </row>
    <row r="312" spans="1:61" ht="24.95" customHeight="1">
      <c r="A312" s="509">
        <v>481</v>
      </c>
      <c r="B312" s="12" t="str">
        <f>VLOOKUP($A312,'Matriz POA 2024-TRABAJO'!$A$5:$CD$9142,11,FALSE)</f>
        <v>Corporación Ciudad Alfaro</v>
      </c>
      <c r="C312" s="12" t="str">
        <f>VLOOKUP($A312,'Matriz POA 2024-TRABAJO'!$A$5:$CD$9142,14,FALSE)</f>
        <v>N/A</v>
      </c>
      <c r="D312" s="12" t="str">
        <f>VLOOKUP($A312,'Matriz POA 2024-TRABAJO'!$A$5:$CD$9142,15,FALSE)</f>
        <v>N/A</v>
      </c>
      <c r="E312" s="12" t="str">
        <f>VLOOKUP($A312,'Matriz POA 2024-TRABAJO'!$A$5:$CD$9142,18,FALSE)</f>
        <v>N/A</v>
      </c>
      <c r="F312" s="12" t="str">
        <f>VLOOKUP($A312,'Matriz POA 2024-TRABAJO'!$A$5:$CD$9142,20,FALSE)</f>
        <v>N/A</v>
      </c>
      <c r="G312" s="12" t="str">
        <f>VLOOKUP($A312,'Matriz POA 2024-TRABAJO'!$A$5:$CD$9142,21,FALSE)</f>
        <v>N/A</v>
      </c>
      <c r="H312" s="12" t="str">
        <f>VLOOKUP($A312,'Matriz POA 2024-TRABAJO'!$A$5:$CD$9142,22,FALSE)</f>
        <v>N/A</v>
      </c>
      <c r="I312" s="12" t="str">
        <f>VLOOKUP($A312,'Matriz POA 2024-TRABAJO'!$A$5:$CD$9142,23,FALSE)</f>
        <v>NUEVA</v>
      </c>
      <c r="J312" s="12" t="str">
        <f>VLOOKUP($A312,'Matriz POA 2024-TRABAJO'!$A$5:$CD$9142,24,FALSE)</f>
        <v>Adquisición de tonners y tintas para las impresoras de la corporación ciudad alfaro y sus sedes</v>
      </c>
      <c r="K312" s="12" t="str">
        <f>VLOOKUP($A312,'Matriz POA 2024-TRABAJO'!$A$5:$CD$9142,25,FALSE)</f>
        <v>0035</v>
      </c>
      <c r="L312" s="12" t="str">
        <f>VLOOKUP($A312,'Matriz POA 2024-TRABAJO'!$A$5:$CD$9142,26,FALSE)</f>
        <v>80</v>
      </c>
      <c r="M312" s="12" t="str">
        <f>VLOOKUP($A312,'Matriz POA 2024-TRABAJO'!$A$5:$CD$9142,27,FALSE)</f>
        <v>000</v>
      </c>
      <c r="N312" s="12" t="str">
        <f>VLOOKUP($A312,'Matriz POA 2024-TRABAJO'!$A$5:$CD$9142,28,FALSE)</f>
        <v>002</v>
      </c>
      <c r="O312" s="12" t="str">
        <f>VLOOKUP($A312,'Matriz POA 2024-TRABAJO'!$A$5:$CD$9142,29,FALSE)</f>
        <v>53</v>
      </c>
      <c r="P312" s="12">
        <f>VLOOKUP($A312,'Matriz POA 2024-TRABAJO'!$A$5:$CD$9142,30,FALSE)</f>
        <v>530807</v>
      </c>
      <c r="Q312" s="12">
        <f>VLOOKUP($A312,'Matriz POA 2024-TRABAJO'!$A$5:$CD$9142,32,FALSE)</f>
        <v>1309</v>
      </c>
      <c r="R312" s="12" t="str">
        <f>VLOOKUP($A312,'Matriz POA 2024-TRABAJO'!$A$5:$CD$9142,33,FALSE)</f>
        <v>001</v>
      </c>
      <c r="S312" s="12" t="str">
        <f>VLOOKUP($A312,'Matriz POA 2024-TRABAJO'!$A$5:$CD$9142,34,FALSE)</f>
        <v>0000</v>
      </c>
      <c r="T312" s="12" t="str">
        <f>VLOOKUP($A312,'Matriz POA 2024-TRABAJO'!$A$5:$CD$9142,35,FALSE)</f>
        <v>0000</v>
      </c>
      <c r="U312" s="62">
        <f>VLOOKUP($A312,'Matriz POA 2024-TRABAJO'!$A$5:$CD$9142,66,FALSE)</f>
        <v>2000</v>
      </c>
      <c r="V312" s="62">
        <f>VLOOKUP($A312,'Matriz POA 2024-TRABAJO'!$A$5:$CD$9142,67,FALSE)</f>
        <v>-1321</v>
      </c>
      <c r="W312" s="62">
        <f>VLOOKUP($A312,'Matriz POA 2024-TRABAJO'!$A$5:$CD$9142,68,FALSE)</f>
        <v>0</v>
      </c>
      <c r="X312" s="62">
        <f>VLOOKUP($A312,'Matriz POA 2024-TRABAJO'!$A$5:$CD$9142,72,FALSE)</f>
        <v>679</v>
      </c>
      <c r="Y312" s="388">
        <v>2000</v>
      </c>
      <c r="Z312" s="388">
        <f>VLOOKUP($A312,'Matriz POA 2024-TRABAJO'!$A$5:$CD$9142,46,FALSE)</f>
        <v>0</v>
      </c>
      <c r="AA312" s="388">
        <v>2000</v>
      </c>
      <c r="AB312" s="389"/>
      <c r="AC312" s="389">
        <v>-1321</v>
      </c>
      <c r="AD312" s="13"/>
      <c r="AE312" s="13"/>
      <c r="AF312" s="13">
        <f t="shared" si="363"/>
        <v>679</v>
      </c>
      <c r="AG312" s="13">
        <f t="shared" si="364"/>
        <v>0</v>
      </c>
      <c r="AH312" s="13">
        <f t="shared" si="365"/>
        <v>679</v>
      </c>
      <c r="AI312" s="129"/>
      <c r="AJ312" s="129"/>
      <c r="AK312" s="129"/>
      <c r="AL312" s="129"/>
      <c r="AM312" s="129"/>
      <c r="AN312" s="129"/>
      <c r="AO312" s="129"/>
      <c r="AP312" s="129"/>
      <c r="AQ312" s="129"/>
      <c r="AR312" s="129"/>
      <c r="AS312" s="129"/>
      <c r="AT312" s="129"/>
      <c r="AU312" s="129">
        <f t="shared" ref="AU312:AU334" si="371">SUM(AI312:AT312)</f>
        <v>0</v>
      </c>
      <c r="AV312" s="13" t="b">
        <f t="shared" si="366"/>
        <v>0</v>
      </c>
      <c r="AW312" s="14" t="s">
        <v>2007</v>
      </c>
      <c r="AX312" s="15" t="s">
        <v>2008</v>
      </c>
      <c r="AY312" s="16">
        <v>45595</v>
      </c>
      <c r="AZ312" s="15" t="s">
        <v>2009</v>
      </c>
      <c r="BA312" s="16">
        <v>45595</v>
      </c>
      <c r="BB312" s="17">
        <f t="shared" si="370"/>
        <v>0</v>
      </c>
      <c r="BC312" s="12"/>
      <c r="BD312" s="15"/>
      <c r="BE312" s="18"/>
      <c r="BF312" s="12"/>
      <c r="BG312" s="19" t="str">
        <f t="shared" si="367"/>
        <v>octubre</v>
      </c>
      <c r="BH312" s="12" t="str">
        <f t="shared" si="368"/>
        <v>Corporación Ciudad Alfaro</v>
      </c>
      <c r="BI312" s="20" t="str">
        <f t="shared" si="369"/>
        <v>N/A</v>
      </c>
    </row>
    <row r="313" spans="1:61" ht="24.95" customHeight="1">
      <c r="A313" s="509">
        <v>957</v>
      </c>
      <c r="B313" s="12" t="str">
        <f>VLOOKUP($A313,'Matriz POA 2024-TRABAJO'!$A$5:$CD$9142,11,FALSE)</f>
        <v>Corporación Ciudad Alfaro</v>
      </c>
      <c r="C313" s="12" t="str">
        <f>VLOOKUP($A313,'Matriz POA 2024-TRABAJO'!$A$5:$CD$9142,14,FALSE)</f>
        <v>N/A</v>
      </c>
      <c r="D313" s="12" t="str">
        <f>VLOOKUP($A313,'Matriz POA 2024-TRABAJO'!$A$5:$CD$9142,15,FALSE)</f>
        <v>N/A</v>
      </c>
      <c r="E313" s="12" t="str">
        <f>VLOOKUP($A313,'Matriz POA 2024-TRABAJO'!$A$5:$CD$9142,18,FALSE)</f>
        <v>N/A</v>
      </c>
      <c r="F313" s="12" t="str">
        <f>VLOOKUP($A313,'Matriz POA 2024-TRABAJO'!$A$5:$CD$9142,20,FALSE)</f>
        <v>N/A</v>
      </c>
      <c r="G313" s="12" t="str">
        <f>VLOOKUP($A313,'Matriz POA 2024-TRABAJO'!$A$5:$CD$9142,21,FALSE)</f>
        <v>N/A</v>
      </c>
      <c r="H313" s="12" t="str">
        <f>VLOOKUP($A313,'Matriz POA 2024-TRABAJO'!$A$5:$CD$9142,22,FALSE)</f>
        <v>N/A</v>
      </c>
      <c r="I313" s="12" t="str">
        <f>VLOOKUP($A313,'Matriz POA 2024-TRABAJO'!$A$5:$CD$9142,23,FALSE)</f>
        <v>NUEVA</v>
      </c>
      <c r="J313" s="12" t="str">
        <f>VLOOKUP($A313,'Matriz POA 2024-TRABAJO'!$A$5:$CD$9142,24,FALSE)</f>
        <v>Contratación del servicio de mantenimiento de la fachada frontal y laterales del edificio Museo Centro Cultural Manta.</v>
      </c>
      <c r="K313" s="12" t="str">
        <f>VLOOKUP($A313,'Matriz POA 2024-TRABAJO'!$A$5:$CD$9142,25,FALSE)</f>
        <v>0035</v>
      </c>
      <c r="L313" s="12" t="str">
        <f>VLOOKUP($A313,'Matriz POA 2024-TRABAJO'!$A$5:$CD$9142,26,FALSE)</f>
        <v>80</v>
      </c>
      <c r="M313" s="12" t="str">
        <f>VLOOKUP($A313,'Matriz POA 2024-TRABAJO'!$A$5:$CD$9142,27,FALSE)</f>
        <v>000</v>
      </c>
      <c r="N313" s="12" t="str">
        <f>VLOOKUP($A313,'Matriz POA 2024-TRABAJO'!$A$5:$CD$9142,28,FALSE)</f>
        <v>002</v>
      </c>
      <c r="O313" s="12">
        <f>VLOOKUP($A313,'Matriz POA 2024-TRABAJO'!$A$5:$CD$9142,29,FALSE)</f>
        <v>53</v>
      </c>
      <c r="P313" s="12">
        <f>VLOOKUP($A313,'Matriz POA 2024-TRABAJO'!$A$5:$CD$9142,30,FALSE)</f>
        <v>530402</v>
      </c>
      <c r="Q313" s="12">
        <f>VLOOKUP($A313,'Matriz POA 2024-TRABAJO'!$A$5:$CD$9142,32,FALSE)</f>
        <v>1308</v>
      </c>
      <c r="R313" s="12" t="str">
        <f>VLOOKUP($A313,'Matriz POA 2024-TRABAJO'!$A$5:$CD$9142,33,FALSE)</f>
        <v>001</v>
      </c>
      <c r="S313" s="12" t="str">
        <f>VLOOKUP($A313,'Matriz POA 2024-TRABAJO'!$A$5:$CD$9142,34,FALSE)</f>
        <v>0000</v>
      </c>
      <c r="T313" s="12" t="str">
        <f>VLOOKUP($A313,'Matriz POA 2024-TRABAJO'!$A$5:$CD$9142,35,FALSE)</f>
        <v>0000</v>
      </c>
      <c r="U313" s="62" t="str">
        <f>VLOOKUP($A313,'Matriz POA 2024-TRABAJO'!$A$5:$CD$9142,66,FALSE)</f>
        <v/>
      </c>
      <c r="V313" s="62" t="str">
        <f>VLOOKUP($A313,'Matriz POA 2024-TRABAJO'!$A$5:$CD$9142,67,FALSE)</f>
        <v/>
      </c>
      <c r="W313" s="62">
        <f>VLOOKUP($A313,'Matriz POA 2024-TRABAJO'!$A$5:$CD$9142,68,FALSE)</f>
        <v>20113.25</v>
      </c>
      <c r="X313" s="62">
        <f>VLOOKUP($A313,'Matriz POA 2024-TRABAJO'!$A$5:$CD$9142,72,FALSE)</f>
        <v>19107.580000000002</v>
      </c>
      <c r="Y313" s="388">
        <v>23560.95</v>
      </c>
      <c r="Z313" s="388">
        <f>VLOOKUP($A313,'Matriz POA 2024-TRABAJO'!$A$5:$CD$9142,46,FALSE)</f>
        <v>0</v>
      </c>
      <c r="AA313" s="388">
        <v>23560.95</v>
      </c>
      <c r="AB313" s="389"/>
      <c r="AC313" s="389">
        <v>-3447.7</v>
      </c>
      <c r="AD313" s="13"/>
      <c r="AE313" s="13"/>
      <c r="AF313" s="13">
        <f t="shared" si="363"/>
        <v>20113.25</v>
      </c>
      <c r="AG313" s="13">
        <f t="shared" si="364"/>
        <v>0</v>
      </c>
      <c r="AH313" s="13">
        <f t="shared" si="365"/>
        <v>20113.25</v>
      </c>
      <c r="AI313" s="129"/>
      <c r="AJ313" s="129"/>
      <c r="AK313" s="129"/>
      <c r="AL313" s="129"/>
      <c r="AM313" s="129"/>
      <c r="AN313" s="129"/>
      <c r="AO313" s="129"/>
      <c r="AP313" s="129"/>
      <c r="AQ313" s="129"/>
      <c r="AR313" s="129"/>
      <c r="AS313" s="129"/>
      <c r="AT313" s="129"/>
      <c r="AU313" s="129">
        <f t="shared" si="371"/>
        <v>0</v>
      </c>
      <c r="AV313" s="13" t="b">
        <f t="shared" si="366"/>
        <v>0</v>
      </c>
      <c r="AW313" s="14" t="s">
        <v>2007</v>
      </c>
      <c r="AX313" s="15" t="s">
        <v>2008</v>
      </c>
      <c r="AY313" s="16">
        <v>45595</v>
      </c>
      <c r="AZ313" s="15" t="s">
        <v>2009</v>
      </c>
      <c r="BA313" s="16">
        <v>45595</v>
      </c>
      <c r="BB313" s="17">
        <f t="shared" si="370"/>
        <v>0</v>
      </c>
      <c r="BC313" s="12"/>
      <c r="BD313" s="15"/>
      <c r="BE313" s="18"/>
      <c r="BF313" s="12"/>
      <c r="BG313" s="19" t="str">
        <f t="shared" si="367"/>
        <v>octubre</v>
      </c>
      <c r="BH313" s="12" t="str">
        <f t="shared" si="368"/>
        <v>Corporación Ciudad Alfaro</v>
      </c>
      <c r="BI313" s="20" t="str">
        <f t="shared" si="369"/>
        <v>N/A</v>
      </c>
    </row>
    <row r="314" spans="1:61" ht="24.95" customHeight="1">
      <c r="A314" s="509">
        <v>445</v>
      </c>
      <c r="B314" s="12" t="str">
        <f>VLOOKUP($A314,'Matriz POA 2024-TRABAJO'!$A$5:$CD$9142,11,FALSE)</f>
        <v>Corporación Ciudad Alfaro</v>
      </c>
      <c r="C314" s="12" t="str">
        <f>VLOOKUP($A314,'Matriz POA 2024-TRABAJO'!$A$5:$CD$9142,14,FALSE)</f>
        <v>N/A</v>
      </c>
      <c r="D314" s="12" t="str">
        <f>VLOOKUP($A314,'Matriz POA 2024-TRABAJO'!$A$5:$CD$9142,15,FALSE)</f>
        <v>N/A</v>
      </c>
      <c r="E314" s="12" t="str">
        <f>VLOOKUP($A314,'Matriz POA 2024-TRABAJO'!$A$5:$CD$9142,18,FALSE)</f>
        <v>N/A</v>
      </c>
      <c r="F314" s="12" t="str">
        <f>VLOOKUP($A314,'Matriz POA 2024-TRABAJO'!$A$5:$CD$9142,20,FALSE)</f>
        <v>N/A</v>
      </c>
      <c r="G314" s="12" t="str">
        <f>VLOOKUP($A314,'Matriz POA 2024-TRABAJO'!$A$5:$CD$9142,21,FALSE)</f>
        <v>N/A</v>
      </c>
      <c r="H314" s="12" t="str">
        <f>VLOOKUP($A314,'Matriz POA 2024-TRABAJO'!$A$5:$CD$9142,22,FALSE)</f>
        <v>N/A</v>
      </c>
      <c r="I314" s="12" t="str">
        <f>VLOOKUP($A314,'Matriz POA 2024-TRABAJO'!$A$5:$CD$9142,23,FALSE)</f>
        <v>NUEVA</v>
      </c>
      <c r="J314" s="12" t="str">
        <f>VLOOKUP($A314,'Matriz POA 2024-TRABAJO'!$A$5:$CD$9142,24,FALSE)</f>
        <v>Pago del servicio de energía eléctrica de la Corporación Ciudad Alfaro</v>
      </c>
      <c r="K314" s="12" t="str">
        <f>VLOOKUP($A314,'Matriz POA 2024-TRABAJO'!$A$5:$CD$9142,25,FALSE)</f>
        <v>0035</v>
      </c>
      <c r="L314" s="12" t="str">
        <f>VLOOKUP($A314,'Matriz POA 2024-TRABAJO'!$A$5:$CD$9142,26,FALSE)</f>
        <v>80</v>
      </c>
      <c r="M314" s="12" t="str">
        <f>VLOOKUP($A314,'Matriz POA 2024-TRABAJO'!$A$5:$CD$9142,27,FALSE)</f>
        <v>000</v>
      </c>
      <c r="N314" s="12" t="str">
        <f>VLOOKUP($A314,'Matriz POA 2024-TRABAJO'!$A$5:$CD$9142,28,FALSE)</f>
        <v>002</v>
      </c>
      <c r="O314" s="12" t="str">
        <f>VLOOKUP($A314,'Matriz POA 2024-TRABAJO'!$A$5:$CD$9142,29,FALSE)</f>
        <v>53</v>
      </c>
      <c r="P314" s="12">
        <f>VLOOKUP($A314,'Matriz POA 2024-TRABAJO'!$A$5:$CD$9142,30,FALSE)</f>
        <v>530104</v>
      </c>
      <c r="Q314" s="12">
        <f>VLOOKUP($A314,'Matriz POA 2024-TRABAJO'!$A$5:$CD$9142,32,FALSE)</f>
        <v>1309</v>
      </c>
      <c r="R314" s="12" t="str">
        <f>VLOOKUP($A314,'Matriz POA 2024-TRABAJO'!$A$5:$CD$9142,33,FALSE)</f>
        <v>001</v>
      </c>
      <c r="S314" s="12" t="str">
        <f>VLOOKUP($A314,'Matriz POA 2024-TRABAJO'!$A$5:$CD$9142,34,FALSE)</f>
        <v>0000</v>
      </c>
      <c r="T314" s="12" t="str">
        <f>VLOOKUP($A314,'Matriz POA 2024-TRABAJO'!$A$5:$CD$9142,35,FALSE)</f>
        <v>0000</v>
      </c>
      <c r="U314" s="62">
        <f>VLOOKUP($A314,'Matriz POA 2024-TRABAJO'!$A$5:$CD$9142,66,FALSE)</f>
        <v>27000</v>
      </c>
      <c r="V314" s="62">
        <f>VLOOKUP($A314,'Matriz POA 2024-TRABAJO'!$A$5:$CD$9142,67,FALSE)</f>
        <v>-11500</v>
      </c>
      <c r="W314" s="62">
        <f>VLOOKUP($A314,'Matriz POA 2024-TRABAJO'!$A$5:$CD$9142,68,FALSE)</f>
        <v>500</v>
      </c>
      <c r="X314" s="62">
        <f>VLOOKUP($A314,'Matriz POA 2024-TRABAJO'!$A$5:$CD$9142,72,FALSE)</f>
        <v>11951.600000000002</v>
      </c>
      <c r="Y314" s="388">
        <v>27000</v>
      </c>
      <c r="Z314" s="388">
        <f>VLOOKUP($A314,'Matriz POA 2024-TRABAJO'!$A$5:$CD$9142,46,FALSE)</f>
        <v>0</v>
      </c>
      <c r="AA314" s="388">
        <v>27000</v>
      </c>
      <c r="AB314" s="389"/>
      <c r="AC314" s="389">
        <v>-12000</v>
      </c>
      <c r="AD314" s="13"/>
      <c r="AE314" s="13"/>
      <c r="AF314" s="13">
        <f t="shared" si="363"/>
        <v>15000</v>
      </c>
      <c r="AG314" s="13">
        <f t="shared" si="364"/>
        <v>0</v>
      </c>
      <c r="AH314" s="13">
        <f t="shared" si="365"/>
        <v>15000</v>
      </c>
      <c r="AI314" s="129"/>
      <c r="AJ314" s="129"/>
      <c r="AK314" s="129"/>
      <c r="AL314" s="129"/>
      <c r="AM314" s="129"/>
      <c r="AN314" s="129"/>
      <c r="AO314" s="129"/>
      <c r="AP314" s="129"/>
      <c r="AQ314" s="129"/>
      <c r="AR314" s="129"/>
      <c r="AS314" s="129"/>
      <c r="AT314" s="129"/>
      <c r="AU314" s="129">
        <f t="shared" si="371"/>
        <v>0</v>
      </c>
      <c r="AV314" s="13" t="b">
        <f t="shared" si="366"/>
        <v>0</v>
      </c>
      <c r="AW314" s="14" t="s">
        <v>2007</v>
      </c>
      <c r="AX314" s="15" t="s">
        <v>2008</v>
      </c>
      <c r="AY314" s="16">
        <v>45595</v>
      </c>
      <c r="AZ314" s="15" t="s">
        <v>2009</v>
      </c>
      <c r="BA314" s="16">
        <v>45595</v>
      </c>
      <c r="BB314" s="17">
        <f t="shared" si="370"/>
        <v>0</v>
      </c>
      <c r="BC314" s="12"/>
      <c r="BD314" s="15"/>
      <c r="BE314" s="18"/>
      <c r="BF314" s="12"/>
      <c r="BG314" s="19" t="str">
        <f t="shared" si="367"/>
        <v>octubre</v>
      </c>
      <c r="BH314" s="12" t="str">
        <f t="shared" si="368"/>
        <v>Corporación Ciudad Alfaro</v>
      </c>
      <c r="BI314" s="20" t="str">
        <f t="shared" si="369"/>
        <v>N/A</v>
      </c>
    </row>
    <row r="315" spans="1:61" ht="24.95" customHeight="1">
      <c r="A315" s="509">
        <v>432</v>
      </c>
      <c r="B315" s="12" t="str">
        <f>VLOOKUP($A315,'Matriz POA 2024-TRABAJO'!$A$5:$CD$9142,11,FALSE)</f>
        <v>Corporación Ciudad Alfaro</v>
      </c>
      <c r="C315" s="12" t="str">
        <f>VLOOKUP($A315,'Matriz POA 2024-TRABAJO'!$A$5:$CD$9142,14,FALSE)</f>
        <v>N/A</v>
      </c>
      <c r="D315" s="12" t="str">
        <f>VLOOKUP($A315,'Matriz POA 2024-TRABAJO'!$A$5:$CD$9142,15,FALSE)</f>
        <v>N/A</v>
      </c>
      <c r="E315" s="12" t="str">
        <f>VLOOKUP($A315,'Matriz POA 2024-TRABAJO'!$A$5:$CD$9142,18,FALSE)</f>
        <v>N/A</v>
      </c>
      <c r="F315" s="12" t="str">
        <f>VLOOKUP($A315,'Matriz POA 2024-TRABAJO'!$A$5:$CD$9142,20,FALSE)</f>
        <v>N/A</v>
      </c>
      <c r="G315" s="12" t="str">
        <f>VLOOKUP($A315,'Matriz POA 2024-TRABAJO'!$A$5:$CD$9142,21,FALSE)</f>
        <v>N/A</v>
      </c>
      <c r="H315" s="12" t="str">
        <f>VLOOKUP($A315,'Matriz POA 2024-TRABAJO'!$A$5:$CD$9142,22,FALSE)</f>
        <v>N/A</v>
      </c>
      <c r="I315" s="12" t="str">
        <f>VLOOKUP($A315,'Matriz POA 2024-TRABAJO'!$A$5:$CD$9142,23,FALSE)</f>
        <v>NUEVA</v>
      </c>
      <c r="J315" s="12" t="str">
        <f>VLOOKUP($A315,'Matriz POA 2024-TRABAJO'!$A$5:$CD$9142,24,FALSE)</f>
        <v>Pago del servicio de telefonía fija e internet de la Corporación Ciudad Alfaro</v>
      </c>
      <c r="K315" s="12" t="str">
        <f>VLOOKUP($A315,'Matriz POA 2024-TRABAJO'!$A$5:$CD$9142,25,FALSE)</f>
        <v>0035</v>
      </c>
      <c r="L315" s="12" t="str">
        <f>VLOOKUP($A315,'Matriz POA 2024-TRABAJO'!$A$5:$CD$9142,26,FALSE)</f>
        <v>80</v>
      </c>
      <c r="M315" s="12" t="str">
        <f>VLOOKUP($A315,'Matriz POA 2024-TRABAJO'!$A$5:$CD$9142,27,FALSE)</f>
        <v>000</v>
      </c>
      <c r="N315" s="12" t="str">
        <f>VLOOKUP($A315,'Matriz POA 2024-TRABAJO'!$A$5:$CD$9142,28,FALSE)</f>
        <v>002</v>
      </c>
      <c r="O315" s="12" t="str">
        <f>VLOOKUP($A315,'Matriz POA 2024-TRABAJO'!$A$5:$CD$9142,29,FALSE)</f>
        <v>53</v>
      </c>
      <c r="P315" s="12">
        <f>VLOOKUP($A315,'Matriz POA 2024-TRABAJO'!$A$5:$CD$9142,30,FALSE)</f>
        <v>530105</v>
      </c>
      <c r="Q315" s="12">
        <f>VLOOKUP($A315,'Matriz POA 2024-TRABAJO'!$A$5:$CD$9142,32,FALSE)</f>
        <v>1309</v>
      </c>
      <c r="R315" s="12" t="str">
        <f>VLOOKUP($A315,'Matriz POA 2024-TRABAJO'!$A$5:$CD$9142,33,FALSE)</f>
        <v>001</v>
      </c>
      <c r="S315" s="12" t="str">
        <f>VLOOKUP($A315,'Matriz POA 2024-TRABAJO'!$A$5:$CD$9142,34,FALSE)</f>
        <v>0000</v>
      </c>
      <c r="T315" s="12" t="str">
        <f>VLOOKUP($A315,'Matriz POA 2024-TRABAJO'!$A$5:$CD$9142,35,FALSE)</f>
        <v>0000</v>
      </c>
      <c r="U315" s="62">
        <f>VLOOKUP($A315,'Matriz POA 2024-TRABAJO'!$A$5:$CD$9142,66,FALSE)</f>
        <v>8836</v>
      </c>
      <c r="V315" s="62">
        <f>VLOOKUP($A315,'Matriz POA 2024-TRABAJO'!$A$5:$CD$9142,67,FALSE)</f>
        <v>-1397.6400000000003</v>
      </c>
      <c r="W315" s="62">
        <f>VLOOKUP($A315,'Matriz POA 2024-TRABAJO'!$A$5:$CD$9142,68,FALSE)</f>
        <v>1300</v>
      </c>
      <c r="X315" s="62">
        <f>VLOOKUP($A315,'Matriz POA 2024-TRABAJO'!$A$5:$CD$9142,72,FALSE)</f>
        <v>5801.64</v>
      </c>
      <c r="Y315" s="388">
        <v>8000</v>
      </c>
      <c r="Z315" s="388">
        <f>VLOOKUP($A315,'Matriz POA 2024-TRABAJO'!$A$5:$CD$9142,46,FALSE)</f>
        <v>0</v>
      </c>
      <c r="AA315" s="388">
        <v>8000</v>
      </c>
      <c r="AB315" s="389"/>
      <c r="AC315" s="389">
        <v>-1861.64</v>
      </c>
      <c r="AD315" s="13"/>
      <c r="AE315" s="13"/>
      <c r="AF315" s="13">
        <f t="shared" si="363"/>
        <v>6138.36</v>
      </c>
      <c r="AG315" s="13">
        <f t="shared" si="364"/>
        <v>0</v>
      </c>
      <c r="AH315" s="13">
        <f t="shared" si="365"/>
        <v>6138.36</v>
      </c>
      <c r="AI315" s="129"/>
      <c r="AJ315" s="129"/>
      <c r="AK315" s="129"/>
      <c r="AL315" s="129"/>
      <c r="AM315" s="129"/>
      <c r="AN315" s="129"/>
      <c r="AO315" s="129"/>
      <c r="AP315" s="129"/>
      <c r="AQ315" s="129"/>
      <c r="AR315" s="129"/>
      <c r="AS315" s="129"/>
      <c r="AT315" s="129"/>
      <c r="AU315" s="129">
        <f t="shared" si="371"/>
        <v>0</v>
      </c>
      <c r="AV315" s="13" t="b">
        <f t="shared" si="366"/>
        <v>0</v>
      </c>
      <c r="AW315" s="14" t="s">
        <v>2007</v>
      </c>
      <c r="AX315" s="15" t="s">
        <v>2008</v>
      </c>
      <c r="AY315" s="16">
        <v>45595</v>
      </c>
      <c r="AZ315" s="15" t="s">
        <v>2009</v>
      </c>
      <c r="BA315" s="16">
        <v>45595</v>
      </c>
      <c r="BB315" s="17">
        <f t="shared" si="370"/>
        <v>0</v>
      </c>
      <c r="BC315" s="12"/>
      <c r="BD315" s="15"/>
      <c r="BE315" s="18"/>
      <c r="BF315" s="12"/>
      <c r="BG315" s="19" t="str">
        <f t="shared" si="367"/>
        <v>octubre</v>
      </c>
      <c r="BH315" s="12" t="str">
        <f t="shared" si="368"/>
        <v>Corporación Ciudad Alfaro</v>
      </c>
      <c r="BI315" s="20" t="str">
        <f t="shared" si="369"/>
        <v>N/A</v>
      </c>
    </row>
    <row r="316" spans="1:61" ht="24.95" customHeight="1">
      <c r="A316" s="8">
        <v>1076</v>
      </c>
      <c r="B316" s="12" t="str">
        <f>VLOOKUP($A316,'Matriz POA 2024-TRABAJO'!$A$5:$CD$9142,11,FALSE)</f>
        <v>Corporación Ciudad Alfaro</v>
      </c>
      <c r="C316" s="12" t="str">
        <f>VLOOKUP($A316,'Matriz POA 2024-TRABAJO'!$A$5:$CD$9142,14,FALSE)</f>
        <v>N/A</v>
      </c>
      <c r="D316" s="12" t="str">
        <f>VLOOKUP($A316,'Matriz POA 2024-TRABAJO'!$A$5:$CD$9142,15,FALSE)</f>
        <v>N/A</v>
      </c>
      <c r="E316" s="12" t="str">
        <f>VLOOKUP($A316,'Matriz POA 2024-TRABAJO'!$A$5:$CD$9142,18,FALSE)</f>
        <v>N/A</v>
      </c>
      <c r="F316" s="12" t="str">
        <f>VLOOKUP($A316,'Matriz POA 2024-TRABAJO'!$A$5:$CD$9142,20,FALSE)</f>
        <v>N/A</v>
      </c>
      <c r="G316" s="12" t="str">
        <f>VLOOKUP($A316,'Matriz POA 2024-TRABAJO'!$A$5:$CD$9142,21,FALSE)</f>
        <v>N/A</v>
      </c>
      <c r="H316" s="12" t="str">
        <f>VLOOKUP($A316,'Matriz POA 2024-TRABAJO'!$A$5:$CD$9142,22,FALSE)</f>
        <v>N/A</v>
      </c>
      <c r="I316" s="12" t="str">
        <f>VLOOKUP($A316,'Matriz POA 2024-TRABAJO'!$A$5:$CD$9142,23,FALSE)</f>
        <v>NUEVA</v>
      </c>
      <c r="J316" s="12" t="str">
        <f>VLOOKUP($A316,'Matriz POA 2024-TRABAJO'!$A$5:$CD$9142,24,FALSE)</f>
        <v>Beneficio centro de cuidado infantil para los hijos e hijas de servidores y trabajadores del Ministerio de Cultura y Patrimonio-Museo Nuclear Corporaciòn Ciudad Alfaro</v>
      </c>
      <c r="K316" s="12" t="str">
        <f>VLOOKUP($A316,'Matriz POA 2024-TRABAJO'!$A$5:$CD$9142,25,FALSE)</f>
        <v>0035</v>
      </c>
      <c r="L316" s="12" t="str">
        <f>VLOOKUP($A316,'Matriz POA 2024-TRABAJO'!$A$5:$CD$9142,26,FALSE)</f>
        <v>80</v>
      </c>
      <c r="M316" s="12" t="str">
        <f>VLOOKUP($A316,'Matriz POA 2024-TRABAJO'!$A$5:$CD$9142,27,FALSE)</f>
        <v>000</v>
      </c>
      <c r="N316" s="12" t="str">
        <f>VLOOKUP($A316,'Matriz POA 2024-TRABAJO'!$A$5:$CD$9142,28,FALSE)</f>
        <v>002</v>
      </c>
      <c r="O316" s="12">
        <f>VLOOKUP($A316,'Matriz POA 2024-TRABAJO'!$A$5:$CD$9142,29,FALSE)</f>
        <v>53</v>
      </c>
      <c r="P316" s="12">
        <f>VLOOKUP($A316,'Matriz POA 2024-TRABAJO'!$A$5:$CD$9142,30,FALSE)</f>
        <v>530210</v>
      </c>
      <c r="Q316" s="12">
        <f>VLOOKUP($A316,'Matriz POA 2024-TRABAJO'!$A$5:$CD$9142,32,FALSE)</f>
        <v>1309</v>
      </c>
      <c r="R316" s="12" t="str">
        <f>VLOOKUP($A316,'Matriz POA 2024-TRABAJO'!$A$5:$CD$9142,33,FALSE)</f>
        <v>001</v>
      </c>
      <c r="S316" s="12" t="str">
        <f>VLOOKUP($A316,'Matriz POA 2024-TRABAJO'!$A$5:$CD$9142,34,FALSE)</f>
        <v>0000</v>
      </c>
      <c r="T316" s="12" t="str">
        <f>VLOOKUP($A316,'Matriz POA 2024-TRABAJO'!$A$5:$CD$9142,35,FALSE)</f>
        <v>0000</v>
      </c>
      <c r="U316" s="62" t="str">
        <f>VLOOKUP($A316,'Matriz POA 2024-TRABAJO'!$A$5:$CD$9142,66,FALSE)</f>
        <v/>
      </c>
      <c r="V316" s="62" t="str">
        <f>VLOOKUP($A316,'Matriz POA 2024-TRABAJO'!$A$5:$CD$9142,67,FALSE)</f>
        <v/>
      </c>
      <c r="W316" s="62">
        <f>VLOOKUP($A316,'Matriz POA 2024-TRABAJO'!$A$5:$CD$9142,68,FALSE)</f>
        <v>0</v>
      </c>
      <c r="X316" s="62">
        <f>VLOOKUP($A316,'Matriz POA 2024-TRABAJO'!$A$5:$CD$9142,72,FALSE)</f>
        <v>1302</v>
      </c>
      <c r="Y316" s="388">
        <v>0</v>
      </c>
      <c r="Z316" s="388">
        <f>VLOOKUP($A316,'Matriz POA 2024-TRABAJO'!$A$5:$CD$9142,46,FALSE)</f>
        <v>0</v>
      </c>
      <c r="AA316" s="388">
        <v>0</v>
      </c>
      <c r="AB316" s="389">
        <v>1860</v>
      </c>
      <c r="AC316" s="389"/>
      <c r="AD316" s="13"/>
      <c r="AE316" s="13"/>
      <c r="AF316" s="13">
        <f t="shared" si="363"/>
        <v>1860</v>
      </c>
      <c r="AG316" s="13">
        <f t="shared" si="364"/>
        <v>0</v>
      </c>
      <c r="AH316" s="13">
        <f t="shared" si="365"/>
        <v>1860</v>
      </c>
      <c r="AI316" s="129"/>
      <c r="AJ316" s="129"/>
      <c r="AK316" s="129"/>
      <c r="AL316" s="129"/>
      <c r="AM316" s="129"/>
      <c r="AN316" s="129"/>
      <c r="AO316" s="129"/>
      <c r="AP316" s="129"/>
      <c r="AQ316" s="129"/>
      <c r="AR316" s="129"/>
      <c r="AS316" s="129"/>
      <c r="AT316" s="129"/>
      <c r="AU316" s="129">
        <f t="shared" si="371"/>
        <v>0</v>
      </c>
      <c r="AV316" s="13" t="b">
        <f t="shared" si="366"/>
        <v>0</v>
      </c>
      <c r="AW316" s="14" t="s">
        <v>2011</v>
      </c>
      <c r="AX316" s="15" t="s">
        <v>2012</v>
      </c>
      <c r="AY316" s="16">
        <v>45601</v>
      </c>
      <c r="AZ316" s="15" t="s">
        <v>2013</v>
      </c>
      <c r="BA316" s="16">
        <v>45603</v>
      </c>
      <c r="BB316" s="17">
        <f t="shared" si="370"/>
        <v>2</v>
      </c>
      <c r="BC316" s="12"/>
      <c r="BD316" s="15"/>
      <c r="BE316" s="18"/>
      <c r="BF316" s="12"/>
      <c r="BG316" s="19" t="str">
        <f t="shared" si="367"/>
        <v>noviembre</v>
      </c>
      <c r="BH316" s="12" t="str">
        <f t="shared" si="368"/>
        <v>Corporación Ciudad Alfaro</v>
      </c>
      <c r="BI316" s="20" t="str">
        <f t="shared" si="369"/>
        <v>N/A</v>
      </c>
    </row>
    <row r="317" spans="1:61" ht="24.95" customHeight="1">
      <c r="A317" s="8">
        <v>933</v>
      </c>
      <c r="B317" s="12" t="str">
        <f>VLOOKUP($A317,'Matriz POA 2024-TRABAJO'!$A$5:$CD$9142,11,FALSE)</f>
        <v>Corporación Ciudad Alfaro</v>
      </c>
      <c r="C317" s="12" t="str">
        <f>VLOOKUP($A317,'Matriz POA 2024-TRABAJO'!$A$5:$CD$9142,14,FALSE)</f>
        <v>N/A</v>
      </c>
      <c r="D317" s="12" t="str">
        <f>VLOOKUP($A317,'Matriz POA 2024-TRABAJO'!$A$5:$CD$9142,15,FALSE)</f>
        <v>N/A</v>
      </c>
      <c r="E317" s="12" t="str">
        <f>VLOOKUP($A317,'Matriz POA 2024-TRABAJO'!$A$5:$CD$9142,18,FALSE)</f>
        <v>N/A</v>
      </c>
      <c r="F317" s="12" t="str">
        <f>VLOOKUP($A317,'Matriz POA 2024-TRABAJO'!$A$5:$CD$9142,20,FALSE)</f>
        <v>N/A</v>
      </c>
      <c r="G317" s="12" t="str">
        <f>VLOOKUP($A317,'Matriz POA 2024-TRABAJO'!$A$5:$CD$9142,21,FALSE)</f>
        <v>N/A</v>
      </c>
      <c r="H317" s="12" t="str">
        <f>VLOOKUP($A317,'Matriz POA 2024-TRABAJO'!$A$5:$CD$9142,22,FALSE)</f>
        <v>N/A</v>
      </c>
      <c r="I317" s="12" t="str">
        <f>VLOOKUP($A317,'Matriz POA 2024-TRABAJO'!$A$5:$CD$9142,23,FALSE)</f>
        <v>NUEVA</v>
      </c>
      <c r="J317" s="12" t="str">
        <f>VLOOKUP($A317,'Matriz POA 2024-TRABAJO'!$A$5:$CD$9142,24,FALSE)</f>
        <v>Contratación del servicio de mantenimiento preventivo y correctivo de bombas sumergibles y bombas de agua potable en el Museo Centro Cultural Manta, sede de la Corporación Ciudad Alfaro</v>
      </c>
      <c r="K317" s="12" t="str">
        <f>VLOOKUP($A317,'Matriz POA 2024-TRABAJO'!$A$5:$CD$9142,25,FALSE)</f>
        <v>0035</v>
      </c>
      <c r="L317" s="12" t="str">
        <f>VLOOKUP($A317,'Matriz POA 2024-TRABAJO'!$A$5:$CD$9142,26,FALSE)</f>
        <v>80</v>
      </c>
      <c r="M317" s="12" t="str">
        <f>VLOOKUP($A317,'Matriz POA 2024-TRABAJO'!$A$5:$CD$9142,27,FALSE)</f>
        <v>000</v>
      </c>
      <c r="N317" s="12" t="str">
        <f>VLOOKUP($A317,'Matriz POA 2024-TRABAJO'!$A$5:$CD$9142,28,FALSE)</f>
        <v>002</v>
      </c>
      <c r="O317" s="12">
        <f>VLOOKUP($A317,'Matriz POA 2024-TRABAJO'!$A$5:$CD$9142,29,FALSE)</f>
        <v>53</v>
      </c>
      <c r="P317" s="12">
        <f>VLOOKUP($A317,'Matriz POA 2024-TRABAJO'!$A$5:$CD$9142,30,FALSE)</f>
        <v>530404</v>
      </c>
      <c r="Q317" s="12">
        <f>VLOOKUP($A317,'Matriz POA 2024-TRABAJO'!$A$5:$CD$9142,32,FALSE)</f>
        <v>1308</v>
      </c>
      <c r="R317" s="12" t="str">
        <f>VLOOKUP($A317,'Matriz POA 2024-TRABAJO'!$A$5:$CD$9142,33,FALSE)</f>
        <v>001</v>
      </c>
      <c r="S317" s="12" t="str">
        <f>VLOOKUP($A317,'Matriz POA 2024-TRABAJO'!$A$5:$CD$9142,34,FALSE)</f>
        <v>0000</v>
      </c>
      <c r="T317" s="12" t="str">
        <f>VLOOKUP($A317,'Matriz POA 2024-TRABAJO'!$A$5:$CD$9142,35,FALSE)</f>
        <v>0000</v>
      </c>
      <c r="U317" s="62" t="str">
        <f>VLOOKUP($A317,'Matriz POA 2024-TRABAJO'!$A$5:$CD$9142,66,FALSE)</f>
        <v/>
      </c>
      <c r="V317" s="62" t="str">
        <f>VLOOKUP($A317,'Matriz POA 2024-TRABAJO'!$A$5:$CD$9142,67,FALSE)</f>
        <v/>
      </c>
      <c r="W317" s="62" t="str">
        <f>VLOOKUP($A317,'Matriz POA 2024-TRABAJO'!$A$5:$CD$9142,68,FALSE)</f>
        <v/>
      </c>
      <c r="X317" s="62" t="str">
        <f>VLOOKUP($A317,'Matriz POA 2024-TRABAJO'!$A$5:$CD$9142,72,FALSE)</f>
        <v/>
      </c>
      <c r="Y317" s="388">
        <v>4800</v>
      </c>
      <c r="Z317" s="388">
        <f>VLOOKUP($A317,'Matriz POA 2024-TRABAJO'!$A$5:$CD$9142,46,FALSE)</f>
        <v>0</v>
      </c>
      <c r="AA317" s="388">
        <v>4800</v>
      </c>
      <c r="AB317" s="389"/>
      <c r="AC317" s="389">
        <v>-4800</v>
      </c>
      <c r="AD317" s="13"/>
      <c r="AE317" s="13"/>
      <c r="AF317" s="13">
        <f t="shared" si="363"/>
        <v>0</v>
      </c>
      <c r="AG317" s="13">
        <f t="shared" si="364"/>
        <v>0</v>
      </c>
      <c r="AH317" s="13">
        <f t="shared" si="365"/>
        <v>0</v>
      </c>
      <c r="AI317" s="129"/>
      <c r="AJ317" s="129"/>
      <c r="AK317" s="129"/>
      <c r="AL317" s="129"/>
      <c r="AM317" s="129"/>
      <c r="AN317" s="129"/>
      <c r="AO317" s="129"/>
      <c r="AP317" s="129"/>
      <c r="AQ317" s="129"/>
      <c r="AR317" s="129"/>
      <c r="AS317" s="129"/>
      <c r="AT317" s="129"/>
      <c r="AU317" s="129">
        <f t="shared" si="371"/>
        <v>0</v>
      </c>
      <c r="AV317" s="13" t="b">
        <f t="shared" si="366"/>
        <v>1</v>
      </c>
      <c r="AW317" s="14" t="s">
        <v>2019</v>
      </c>
      <c r="AX317" s="15" t="s">
        <v>2020</v>
      </c>
      <c r="AY317" s="16">
        <v>45601</v>
      </c>
      <c r="AZ317" s="15" t="s">
        <v>2021</v>
      </c>
      <c r="BA317" s="16">
        <v>45603</v>
      </c>
      <c r="BB317" s="17">
        <f t="shared" si="370"/>
        <v>2</v>
      </c>
      <c r="BC317" s="12"/>
      <c r="BD317" s="15"/>
      <c r="BE317" s="18"/>
      <c r="BF317" s="12"/>
      <c r="BG317" s="19" t="str">
        <f t="shared" si="367"/>
        <v>noviembre</v>
      </c>
      <c r="BH317" s="12" t="str">
        <f t="shared" si="368"/>
        <v>Corporación Ciudad Alfaro</v>
      </c>
      <c r="BI317" s="20" t="str">
        <f t="shared" si="369"/>
        <v>N/A</v>
      </c>
    </row>
    <row r="318" spans="1:61" ht="24.95" customHeight="1">
      <c r="A318" s="8">
        <v>870</v>
      </c>
      <c r="B318" s="12" t="str">
        <f>VLOOKUP($A318,'Matriz POA 2024-TRABAJO'!$A$5:$CD$9142,11,FALSE)</f>
        <v>Corporación Ciudad Alfaro</v>
      </c>
      <c r="C318" s="12" t="str">
        <f>VLOOKUP($A318,'Matriz POA 2024-TRABAJO'!$A$5:$CD$9142,14,FALSE)</f>
        <v>N/A</v>
      </c>
      <c r="D318" s="12" t="str">
        <f>VLOOKUP($A318,'Matriz POA 2024-TRABAJO'!$A$5:$CD$9142,15,FALSE)</f>
        <v>N/A</v>
      </c>
      <c r="E318" s="12" t="str">
        <f>VLOOKUP($A318,'Matriz POA 2024-TRABAJO'!$A$5:$CD$9142,18,FALSE)</f>
        <v>N/A</v>
      </c>
      <c r="F318" s="12" t="str">
        <f>VLOOKUP($A318,'Matriz POA 2024-TRABAJO'!$A$5:$CD$9142,20,FALSE)</f>
        <v>N/A</v>
      </c>
      <c r="G318" s="12" t="str">
        <f>VLOOKUP($A318,'Matriz POA 2024-TRABAJO'!$A$5:$CD$9142,21,FALSE)</f>
        <v>N/A</v>
      </c>
      <c r="H318" s="12" t="str">
        <f>VLOOKUP($A318,'Matriz POA 2024-TRABAJO'!$A$5:$CD$9142,22,FALSE)</f>
        <v>N/A</v>
      </c>
      <c r="I318" s="12" t="str">
        <f>VLOOKUP($A318,'Matriz POA 2024-TRABAJO'!$A$5:$CD$9142,23,FALSE)</f>
        <v>NUEVA</v>
      </c>
      <c r="J318" s="12" t="str">
        <f>VLOOKUP($A318,'Matriz POA 2024-TRABAJO'!$A$5:$CD$9142,24,FALSE)</f>
        <v>Contratación del servicio de mantenimiento preventivo y correctivo del sistema de climatización del piso 5 en el museo intermedio Manta, sede de la Corporación Ciudad Alfaro</v>
      </c>
      <c r="K318" s="12" t="str">
        <f>VLOOKUP($A318,'Matriz POA 2024-TRABAJO'!$A$5:$CD$9142,25,FALSE)</f>
        <v>0035</v>
      </c>
      <c r="L318" s="12" t="str">
        <f>VLOOKUP($A318,'Matriz POA 2024-TRABAJO'!$A$5:$CD$9142,26,FALSE)</f>
        <v>80</v>
      </c>
      <c r="M318" s="12" t="str">
        <f>VLOOKUP($A318,'Matriz POA 2024-TRABAJO'!$A$5:$CD$9142,27,FALSE)</f>
        <v>000</v>
      </c>
      <c r="N318" s="12" t="str">
        <f>VLOOKUP($A318,'Matriz POA 2024-TRABAJO'!$A$5:$CD$9142,28,FALSE)</f>
        <v>002</v>
      </c>
      <c r="O318" s="12" t="str">
        <f>VLOOKUP($A318,'Matriz POA 2024-TRABAJO'!$A$5:$CD$9142,29,FALSE)</f>
        <v>53</v>
      </c>
      <c r="P318" s="12">
        <f>VLOOKUP($A318,'Matriz POA 2024-TRABAJO'!$A$5:$CD$9142,30,FALSE)</f>
        <v>530404</v>
      </c>
      <c r="Q318" s="12">
        <f>VLOOKUP($A318,'Matriz POA 2024-TRABAJO'!$A$5:$CD$9142,32,FALSE)</f>
        <v>1308</v>
      </c>
      <c r="R318" s="12" t="str">
        <f>VLOOKUP($A318,'Matriz POA 2024-TRABAJO'!$A$5:$CD$9142,33,FALSE)</f>
        <v>001</v>
      </c>
      <c r="S318" s="12" t="str">
        <f>VLOOKUP($A318,'Matriz POA 2024-TRABAJO'!$A$5:$CD$9142,34,FALSE)</f>
        <v>0000</v>
      </c>
      <c r="T318" s="12" t="str">
        <f>VLOOKUP($A318,'Matriz POA 2024-TRABAJO'!$A$5:$CD$9142,35,FALSE)</f>
        <v>0000</v>
      </c>
      <c r="U318" s="62">
        <f>VLOOKUP($A318,'Matriz POA 2024-TRABAJO'!$A$5:$CD$9142,66,FALSE)</f>
        <v>4988.8999999999996</v>
      </c>
      <c r="V318" s="62">
        <f>VLOOKUP($A318,'Matriz POA 2024-TRABAJO'!$A$5:$CD$9142,67,FALSE)</f>
        <v>-113.89999999999964</v>
      </c>
      <c r="W318" s="62">
        <f>VLOOKUP($A318,'Matriz POA 2024-TRABAJO'!$A$5:$CD$9142,68,FALSE)</f>
        <v>4875</v>
      </c>
      <c r="X318" s="62">
        <f>VLOOKUP($A318,'Matriz POA 2024-TRABAJO'!$A$5:$CD$9142,72,FALSE)</f>
        <v>4875</v>
      </c>
      <c r="Y318" s="388">
        <v>0</v>
      </c>
      <c r="Z318" s="388">
        <f>VLOOKUP($A318,'Matriz POA 2024-TRABAJO'!$A$5:$CD$9142,46,FALSE)</f>
        <v>0</v>
      </c>
      <c r="AA318" s="388">
        <v>0</v>
      </c>
      <c r="AB318" s="389">
        <v>4800</v>
      </c>
      <c r="AC318" s="389"/>
      <c r="AD318" s="13"/>
      <c r="AE318" s="13"/>
      <c r="AF318" s="13">
        <f t="shared" si="363"/>
        <v>4800</v>
      </c>
      <c r="AG318" s="13">
        <f t="shared" si="364"/>
        <v>0</v>
      </c>
      <c r="AH318" s="13">
        <f t="shared" si="365"/>
        <v>4800</v>
      </c>
      <c r="AI318" s="129"/>
      <c r="AJ318" s="129"/>
      <c r="AK318" s="129"/>
      <c r="AL318" s="129"/>
      <c r="AM318" s="129"/>
      <c r="AN318" s="129"/>
      <c r="AO318" s="129"/>
      <c r="AP318" s="129"/>
      <c r="AQ318" s="129"/>
      <c r="AR318" s="129"/>
      <c r="AS318" s="129"/>
      <c r="AT318" s="129"/>
      <c r="AU318" s="129">
        <f t="shared" si="371"/>
        <v>0</v>
      </c>
      <c r="AV318" s="13" t="b">
        <f t="shared" si="366"/>
        <v>0</v>
      </c>
      <c r="AW318" s="14" t="s">
        <v>2019</v>
      </c>
      <c r="AX318" s="15" t="s">
        <v>2020</v>
      </c>
      <c r="AY318" s="16">
        <v>45601</v>
      </c>
      <c r="AZ318" s="15" t="s">
        <v>2021</v>
      </c>
      <c r="BA318" s="16">
        <v>45603</v>
      </c>
      <c r="BB318" s="17">
        <f t="shared" si="370"/>
        <v>2</v>
      </c>
      <c r="BC318" s="12"/>
      <c r="BD318" s="15"/>
      <c r="BE318" s="18"/>
      <c r="BF318" s="12"/>
      <c r="BG318" s="19" t="str">
        <f t="shared" si="367"/>
        <v>noviembre</v>
      </c>
      <c r="BH318" s="12" t="str">
        <f t="shared" si="368"/>
        <v>Corporación Ciudad Alfaro</v>
      </c>
      <c r="BI318" s="20" t="str">
        <f t="shared" si="369"/>
        <v>N/A</v>
      </c>
    </row>
    <row r="319" spans="1:61" ht="24.95" customHeight="1">
      <c r="A319" s="8">
        <v>453</v>
      </c>
      <c r="B319" s="12" t="str">
        <f>VLOOKUP($A319,'Matriz POA 2024-TRABAJO'!$A$5:$CD$9142,11,FALSE)</f>
        <v>Corporación Ciudad Alfaro</v>
      </c>
      <c r="C319" s="12" t="str">
        <f>VLOOKUP($A319,'Matriz POA 2024-TRABAJO'!$A$5:$CD$9142,14,FALSE)</f>
        <v>N/A</v>
      </c>
      <c r="D319" s="12" t="str">
        <f>VLOOKUP($A319,'Matriz POA 2024-TRABAJO'!$A$5:$CD$9142,15,FALSE)</f>
        <v>N/A</v>
      </c>
      <c r="E319" s="12" t="str">
        <f>VLOOKUP($A319,'Matriz POA 2024-TRABAJO'!$A$5:$CD$9142,18,FALSE)</f>
        <v>N/A</v>
      </c>
      <c r="F319" s="12" t="str">
        <f>VLOOKUP($A319,'Matriz POA 2024-TRABAJO'!$A$5:$CD$9142,20,FALSE)</f>
        <v>N/A</v>
      </c>
      <c r="G319" s="12" t="str">
        <f>VLOOKUP($A319,'Matriz POA 2024-TRABAJO'!$A$5:$CD$9142,21,FALSE)</f>
        <v>N/A</v>
      </c>
      <c r="H319" s="12" t="str">
        <f>VLOOKUP($A319,'Matriz POA 2024-TRABAJO'!$A$5:$CD$9142,22,FALSE)</f>
        <v>N/A</v>
      </c>
      <c r="I319" s="12" t="str">
        <f>VLOOKUP($A319,'Matriz POA 2024-TRABAJO'!$A$5:$CD$9142,23,FALSE)</f>
        <v>NUEVA</v>
      </c>
      <c r="J319" s="12" t="str">
        <f>VLOOKUP($A319,'Matriz POA 2024-TRABAJO'!$A$5:$CD$9142,24,FALSE)</f>
        <v>Pago Mensual del servicio de Energía Eléctrica del Museo Bahía de Caráquez</v>
      </c>
      <c r="K319" s="12" t="str">
        <f>VLOOKUP($A319,'Matriz POA 2024-TRABAJO'!$A$5:$CD$9142,25,FALSE)</f>
        <v>0035</v>
      </c>
      <c r="L319" s="12" t="str">
        <f>VLOOKUP($A319,'Matriz POA 2024-TRABAJO'!$A$5:$CD$9142,26,FALSE)</f>
        <v>80</v>
      </c>
      <c r="M319" s="12" t="str">
        <f>VLOOKUP($A319,'Matriz POA 2024-TRABAJO'!$A$5:$CD$9142,27,FALSE)</f>
        <v>000</v>
      </c>
      <c r="N319" s="12" t="str">
        <f>VLOOKUP($A319,'Matriz POA 2024-TRABAJO'!$A$5:$CD$9142,28,FALSE)</f>
        <v>002</v>
      </c>
      <c r="O319" s="12" t="str">
        <f>VLOOKUP($A319,'Matriz POA 2024-TRABAJO'!$A$5:$CD$9142,29,FALSE)</f>
        <v>53</v>
      </c>
      <c r="P319" s="12">
        <f>VLOOKUP($A319,'Matriz POA 2024-TRABAJO'!$A$5:$CD$9142,30,FALSE)</f>
        <v>530104</v>
      </c>
      <c r="Q319" s="12">
        <f>VLOOKUP($A319,'Matriz POA 2024-TRABAJO'!$A$5:$CD$9142,32,FALSE)</f>
        <v>1314</v>
      </c>
      <c r="R319" s="12" t="str">
        <f>VLOOKUP($A319,'Matriz POA 2024-TRABAJO'!$A$5:$CD$9142,33,FALSE)</f>
        <v>001</v>
      </c>
      <c r="S319" s="12" t="str">
        <f>VLOOKUP($A319,'Matriz POA 2024-TRABAJO'!$A$5:$CD$9142,34,FALSE)</f>
        <v>0000</v>
      </c>
      <c r="T319" s="12" t="str">
        <f>VLOOKUP($A319,'Matriz POA 2024-TRABAJO'!$A$5:$CD$9142,35,FALSE)</f>
        <v>0000</v>
      </c>
      <c r="U319" s="62">
        <f>VLOOKUP($A319,'Matriz POA 2024-TRABAJO'!$A$5:$CD$9142,66,FALSE)</f>
        <v>9000</v>
      </c>
      <c r="V319" s="62">
        <f>VLOOKUP($A319,'Matriz POA 2024-TRABAJO'!$A$5:$CD$9142,67,FALSE)</f>
        <v>-2597.83</v>
      </c>
      <c r="W319" s="62">
        <f>VLOOKUP($A319,'Matriz POA 2024-TRABAJO'!$A$5:$CD$9142,68,FALSE)</f>
        <v>0</v>
      </c>
      <c r="X319" s="62">
        <f>VLOOKUP($A319,'Matriz POA 2024-TRABAJO'!$A$5:$CD$9142,72,FALSE)</f>
        <v>5472.03</v>
      </c>
      <c r="Y319" s="388">
        <v>9000</v>
      </c>
      <c r="Z319" s="388">
        <f>VLOOKUP($A319,'Matriz POA 2024-TRABAJO'!$A$5:$CD$9142,46,FALSE)</f>
        <v>0</v>
      </c>
      <c r="AA319" s="388">
        <v>9000</v>
      </c>
      <c r="AB319" s="389"/>
      <c r="AC319" s="389">
        <v>-2597.83</v>
      </c>
      <c r="AD319" s="13"/>
      <c r="AE319" s="13"/>
      <c r="AF319" s="13">
        <f t="shared" si="363"/>
        <v>6402.17</v>
      </c>
      <c r="AG319" s="13">
        <f t="shared" si="364"/>
        <v>0</v>
      </c>
      <c r="AH319" s="13">
        <f t="shared" si="365"/>
        <v>6402.17</v>
      </c>
      <c r="AI319" s="129"/>
      <c r="AJ319" s="129"/>
      <c r="AK319" s="129"/>
      <c r="AL319" s="129"/>
      <c r="AM319" s="129"/>
      <c r="AN319" s="129"/>
      <c r="AO319" s="129"/>
      <c r="AP319" s="129"/>
      <c r="AQ319" s="129"/>
      <c r="AR319" s="129"/>
      <c r="AS319" s="129"/>
      <c r="AT319" s="129"/>
      <c r="AU319" s="129">
        <f t="shared" si="371"/>
        <v>0</v>
      </c>
      <c r="AV319" s="13" t="b">
        <f t="shared" si="366"/>
        <v>0</v>
      </c>
      <c r="AW319" s="14" t="s">
        <v>2019</v>
      </c>
      <c r="AX319" s="15" t="s">
        <v>2020</v>
      </c>
      <c r="AY319" s="16">
        <v>45601</v>
      </c>
      <c r="AZ319" s="15" t="s">
        <v>2021</v>
      </c>
      <c r="BA319" s="16">
        <v>45603</v>
      </c>
      <c r="BB319" s="17">
        <f t="shared" si="370"/>
        <v>2</v>
      </c>
      <c r="BC319" s="12"/>
      <c r="BD319" s="15"/>
      <c r="BE319" s="18"/>
      <c r="BF319" s="12"/>
      <c r="BG319" s="19" t="str">
        <f t="shared" si="367"/>
        <v>noviembre</v>
      </c>
      <c r="BH319" s="12" t="str">
        <f t="shared" si="368"/>
        <v>Corporación Ciudad Alfaro</v>
      </c>
      <c r="BI319" s="20" t="str">
        <f t="shared" si="369"/>
        <v>N/A</v>
      </c>
    </row>
    <row r="320" spans="1:61" ht="24.95" customHeight="1">
      <c r="A320" s="8">
        <v>849</v>
      </c>
      <c r="B320" s="12" t="str">
        <f>VLOOKUP($A320,'Matriz POA 2024-TRABAJO'!$A$5:$CD$9142,11,FALSE)</f>
        <v>Corporación Ciudad Alfaro</v>
      </c>
      <c r="C320" s="12" t="str">
        <f>VLOOKUP($A320,'Matriz POA 2024-TRABAJO'!$A$5:$CD$9142,14,FALSE)</f>
        <v>N/A</v>
      </c>
      <c r="D320" s="12" t="str">
        <f>VLOOKUP($A320,'Matriz POA 2024-TRABAJO'!$A$5:$CD$9142,15,FALSE)</f>
        <v>N/A</v>
      </c>
      <c r="E320" s="12" t="str">
        <f>VLOOKUP($A320,'Matriz POA 2024-TRABAJO'!$A$5:$CD$9142,18,FALSE)</f>
        <v>N/A</v>
      </c>
      <c r="F320" s="12" t="str">
        <f>VLOOKUP($A320,'Matriz POA 2024-TRABAJO'!$A$5:$CD$9142,20,FALSE)</f>
        <v>N/A</v>
      </c>
      <c r="G320" s="12" t="str">
        <f>VLOOKUP($A320,'Matriz POA 2024-TRABAJO'!$A$5:$CD$9142,21,FALSE)</f>
        <v>N/A</v>
      </c>
      <c r="H320" s="12" t="str">
        <f>VLOOKUP($A320,'Matriz POA 2024-TRABAJO'!$A$5:$CD$9142,22,FALSE)</f>
        <v>N/A</v>
      </c>
      <c r="I320" s="12" t="str">
        <f>VLOOKUP($A320,'Matriz POA 2024-TRABAJO'!$A$5:$CD$9142,23,FALSE)</f>
        <v>NUEVA</v>
      </c>
      <c r="J320" s="12" t="str">
        <f>VLOOKUP($A320,'Matriz POA 2024-TRABAJO'!$A$5:$CD$9142,24,FALSE)</f>
        <v>Instalación del sistema de detección contra incendio automatizado para planta baja, mezzanine y 1er piso del Museo Bahía de Caráquez.</v>
      </c>
      <c r="K320" s="12" t="str">
        <f>VLOOKUP($A320,'Matriz POA 2024-TRABAJO'!$A$5:$CD$9142,25,FALSE)</f>
        <v>0035</v>
      </c>
      <c r="L320" s="12" t="str">
        <f>VLOOKUP($A320,'Matriz POA 2024-TRABAJO'!$A$5:$CD$9142,26,FALSE)</f>
        <v>80</v>
      </c>
      <c r="M320" s="12" t="str">
        <f>VLOOKUP($A320,'Matriz POA 2024-TRABAJO'!$A$5:$CD$9142,27,FALSE)</f>
        <v>000</v>
      </c>
      <c r="N320" s="12" t="str">
        <f>VLOOKUP($A320,'Matriz POA 2024-TRABAJO'!$A$5:$CD$9142,28,FALSE)</f>
        <v>002</v>
      </c>
      <c r="O320" s="12" t="str">
        <f>VLOOKUP($A320,'Matriz POA 2024-TRABAJO'!$A$5:$CD$9142,29,FALSE)</f>
        <v>53</v>
      </c>
      <c r="P320" s="12">
        <f>VLOOKUP($A320,'Matriz POA 2024-TRABAJO'!$A$5:$CD$9142,30,FALSE)</f>
        <v>530402</v>
      </c>
      <c r="Q320" s="12">
        <f>VLOOKUP($A320,'Matriz POA 2024-TRABAJO'!$A$5:$CD$9142,32,FALSE)</f>
        <v>1314</v>
      </c>
      <c r="R320" s="12" t="str">
        <f>VLOOKUP($A320,'Matriz POA 2024-TRABAJO'!$A$5:$CD$9142,33,FALSE)</f>
        <v>001</v>
      </c>
      <c r="S320" s="12" t="str">
        <f>VLOOKUP($A320,'Matriz POA 2024-TRABAJO'!$A$5:$CD$9142,34,FALSE)</f>
        <v>0000</v>
      </c>
      <c r="T320" s="12" t="str">
        <f>VLOOKUP($A320,'Matriz POA 2024-TRABAJO'!$A$5:$CD$9142,35,FALSE)</f>
        <v>0000</v>
      </c>
      <c r="U320" s="62">
        <f>VLOOKUP($A320,'Matriz POA 2024-TRABAJO'!$A$5:$CD$9142,66,FALSE)</f>
        <v>8600</v>
      </c>
      <c r="V320" s="62">
        <f>VLOOKUP($A320,'Matriz POA 2024-TRABAJO'!$A$5:$CD$9142,67,FALSE)</f>
        <v>-8600</v>
      </c>
      <c r="W320" s="62">
        <f>VLOOKUP($A320,'Matriz POA 2024-TRABAJO'!$A$5:$CD$9142,68,FALSE)</f>
        <v>0</v>
      </c>
      <c r="X320" s="62" t="str">
        <f>VLOOKUP($A320,'Matriz POA 2024-TRABAJO'!$A$5:$CD$9142,72,FALSE)</f>
        <v/>
      </c>
      <c r="Y320" s="388">
        <v>8600</v>
      </c>
      <c r="Z320" s="388">
        <f>VLOOKUP($A320,'Matriz POA 2024-TRABAJO'!$A$5:$CD$9142,46,FALSE)</f>
        <v>0</v>
      </c>
      <c r="AA320" s="388">
        <v>8600</v>
      </c>
      <c r="AB320" s="389"/>
      <c r="AC320" s="389">
        <v>-8600</v>
      </c>
      <c r="AD320" s="13"/>
      <c r="AE320" s="13"/>
      <c r="AF320" s="13">
        <f t="shared" si="363"/>
        <v>0</v>
      </c>
      <c r="AG320" s="13">
        <f t="shared" si="364"/>
        <v>0</v>
      </c>
      <c r="AH320" s="13">
        <f t="shared" si="365"/>
        <v>0</v>
      </c>
      <c r="AI320" s="129"/>
      <c r="AJ320" s="129"/>
      <c r="AK320" s="129"/>
      <c r="AL320" s="129"/>
      <c r="AM320" s="129"/>
      <c r="AN320" s="129"/>
      <c r="AO320" s="129"/>
      <c r="AP320" s="129"/>
      <c r="AQ320" s="129"/>
      <c r="AR320" s="129"/>
      <c r="AS320" s="129"/>
      <c r="AT320" s="129"/>
      <c r="AU320" s="129">
        <f t="shared" si="371"/>
        <v>0</v>
      </c>
      <c r="AV320" s="13" t="b">
        <f t="shared" si="366"/>
        <v>1</v>
      </c>
      <c r="AW320" s="14" t="s">
        <v>2019</v>
      </c>
      <c r="AX320" s="15" t="s">
        <v>2020</v>
      </c>
      <c r="AY320" s="16">
        <v>45601</v>
      </c>
      <c r="AZ320" s="15" t="s">
        <v>2021</v>
      </c>
      <c r="BA320" s="16">
        <v>45603</v>
      </c>
      <c r="BB320" s="17">
        <f t="shared" si="370"/>
        <v>2</v>
      </c>
      <c r="BC320" s="12"/>
      <c r="BD320" s="15"/>
      <c r="BE320" s="18"/>
      <c r="BF320" s="12"/>
      <c r="BG320" s="19" t="str">
        <f t="shared" si="367"/>
        <v>noviembre</v>
      </c>
      <c r="BH320" s="12" t="str">
        <f t="shared" si="368"/>
        <v>Corporación Ciudad Alfaro</v>
      </c>
      <c r="BI320" s="20" t="str">
        <f t="shared" si="369"/>
        <v>N/A</v>
      </c>
    </row>
    <row r="321" spans="1:61" ht="24.95" customHeight="1">
      <c r="A321" s="8">
        <v>443</v>
      </c>
      <c r="B321" s="12" t="str">
        <f>VLOOKUP($A321,'Matriz POA 2024-TRABAJO'!$A$5:$CD$9142,11,FALSE)</f>
        <v>Corporación Ciudad Alfaro</v>
      </c>
      <c r="C321" s="12" t="str">
        <f>VLOOKUP($A321,'Matriz POA 2024-TRABAJO'!$A$5:$CD$9142,14,FALSE)</f>
        <v>N/A</v>
      </c>
      <c r="D321" s="12" t="str">
        <f>VLOOKUP($A321,'Matriz POA 2024-TRABAJO'!$A$5:$CD$9142,15,FALSE)</f>
        <v>N/A</v>
      </c>
      <c r="E321" s="12" t="str">
        <f>VLOOKUP($A321,'Matriz POA 2024-TRABAJO'!$A$5:$CD$9142,18,FALSE)</f>
        <v>N/A</v>
      </c>
      <c r="F321" s="12" t="str">
        <f>VLOOKUP($A321,'Matriz POA 2024-TRABAJO'!$A$5:$CD$9142,20,FALSE)</f>
        <v>N/A</v>
      </c>
      <c r="G321" s="12" t="str">
        <f>VLOOKUP($A321,'Matriz POA 2024-TRABAJO'!$A$5:$CD$9142,21,FALSE)</f>
        <v>N/A</v>
      </c>
      <c r="H321" s="12" t="str">
        <f>VLOOKUP($A321,'Matriz POA 2024-TRABAJO'!$A$5:$CD$9142,22,FALSE)</f>
        <v>N/A</v>
      </c>
      <c r="I321" s="12" t="str">
        <f>VLOOKUP($A321,'Matriz POA 2024-TRABAJO'!$A$5:$CD$9142,23,FALSE)</f>
        <v>NUEVA</v>
      </c>
      <c r="J321" s="12" t="str">
        <f>VLOOKUP($A321,'Matriz POA 2024-TRABAJO'!$A$5:$CD$9142,24,FALSE)</f>
        <v>Pago del servicio de agua potable de la Corporación Ciudad Alfaro</v>
      </c>
      <c r="K321" s="12" t="str">
        <f>VLOOKUP($A321,'Matriz POA 2024-TRABAJO'!$A$5:$CD$9142,25,FALSE)</f>
        <v>0035</v>
      </c>
      <c r="L321" s="12" t="str">
        <f>VLOOKUP($A321,'Matriz POA 2024-TRABAJO'!$A$5:$CD$9142,26,FALSE)</f>
        <v>80</v>
      </c>
      <c r="M321" s="12" t="str">
        <f>VLOOKUP($A321,'Matriz POA 2024-TRABAJO'!$A$5:$CD$9142,27,FALSE)</f>
        <v>000</v>
      </c>
      <c r="N321" s="12" t="str">
        <f>VLOOKUP($A321,'Matriz POA 2024-TRABAJO'!$A$5:$CD$9142,28,FALSE)</f>
        <v>002</v>
      </c>
      <c r="O321" s="12" t="str">
        <f>VLOOKUP($A321,'Matriz POA 2024-TRABAJO'!$A$5:$CD$9142,29,FALSE)</f>
        <v>53</v>
      </c>
      <c r="P321" s="12">
        <f>VLOOKUP($A321,'Matriz POA 2024-TRABAJO'!$A$5:$CD$9142,30,FALSE)</f>
        <v>530101</v>
      </c>
      <c r="Q321" s="12">
        <f>VLOOKUP($A321,'Matriz POA 2024-TRABAJO'!$A$5:$CD$9142,32,FALSE)</f>
        <v>1309</v>
      </c>
      <c r="R321" s="12" t="str">
        <f>VLOOKUP($A321,'Matriz POA 2024-TRABAJO'!$A$5:$CD$9142,33,FALSE)</f>
        <v>001</v>
      </c>
      <c r="S321" s="12" t="str">
        <f>VLOOKUP($A321,'Matriz POA 2024-TRABAJO'!$A$5:$CD$9142,34,FALSE)</f>
        <v>0000</v>
      </c>
      <c r="T321" s="12" t="str">
        <f>VLOOKUP($A321,'Matriz POA 2024-TRABAJO'!$A$5:$CD$9142,35,FALSE)</f>
        <v>0000</v>
      </c>
      <c r="U321" s="62">
        <f>VLOOKUP($A321,'Matriz POA 2024-TRABAJO'!$A$5:$CD$9142,66,FALSE)</f>
        <v>1800</v>
      </c>
      <c r="V321" s="62">
        <f>VLOOKUP($A321,'Matriz POA 2024-TRABAJO'!$A$5:$CD$9142,67,FALSE)</f>
        <v>800</v>
      </c>
      <c r="W321" s="62">
        <f>VLOOKUP($A321,'Matriz POA 2024-TRABAJO'!$A$5:$CD$9142,68,FALSE)</f>
        <v>1029.0999999999999</v>
      </c>
      <c r="X321" s="62">
        <f>VLOOKUP($A321,'Matriz POA 2024-TRABAJO'!$A$5:$CD$9142,72,FALSE)</f>
        <v>2080.92</v>
      </c>
      <c r="Y321" s="388">
        <v>0</v>
      </c>
      <c r="Z321" s="388">
        <f>VLOOKUP($A321,'Matriz POA 2024-TRABAJO'!$A$5:$CD$9142,46,FALSE)</f>
        <v>0</v>
      </c>
      <c r="AA321" s="388">
        <v>0</v>
      </c>
      <c r="AB321" s="389">
        <v>800</v>
      </c>
      <c r="AC321" s="389"/>
      <c r="AD321" s="13"/>
      <c r="AE321" s="13"/>
      <c r="AF321" s="13">
        <f t="shared" si="363"/>
        <v>800</v>
      </c>
      <c r="AG321" s="13">
        <f t="shared" si="364"/>
        <v>0</v>
      </c>
      <c r="AH321" s="13">
        <f t="shared" si="365"/>
        <v>800</v>
      </c>
      <c r="AI321" s="129"/>
      <c r="AJ321" s="129"/>
      <c r="AK321" s="129"/>
      <c r="AL321" s="129"/>
      <c r="AM321" s="129"/>
      <c r="AN321" s="129"/>
      <c r="AO321" s="129"/>
      <c r="AP321" s="129"/>
      <c r="AQ321" s="129"/>
      <c r="AR321" s="129"/>
      <c r="AS321" s="129"/>
      <c r="AT321" s="129"/>
      <c r="AU321" s="129">
        <f t="shared" si="371"/>
        <v>0</v>
      </c>
      <c r="AV321" s="13" t="b">
        <f t="shared" si="366"/>
        <v>0</v>
      </c>
      <c r="AW321" s="14" t="s">
        <v>2019</v>
      </c>
      <c r="AX321" s="15" t="s">
        <v>2020</v>
      </c>
      <c r="AY321" s="16">
        <v>45601</v>
      </c>
      <c r="AZ321" s="15" t="s">
        <v>2021</v>
      </c>
      <c r="BA321" s="16">
        <v>45603</v>
      </c>
      <c r="BB321" s="17">
        <f t="shared" si="370"/>
        <v>2</v>
      </c>
      <c r="BC321" s="12"/>
      <c r="BD321" s="15"/>
      <c r="BE321" s="18"/>
      <c r="BF321" s="12"/>
      <c r="BG321" s="19" t="str">
        <f t="shared" si="367"/>
        <v>noviembre</v>
      </c>
      <c r="BH321" s="12" t="str">
        <f t="shared" si="368"/>
        <v>Corporación Ciudad Alfaro</v>
      </c>
      <c r="BI321" s="20" t="str">
        <f t="shared" si="369"/>
        <v>N/A</v>
      </c>
    </row>
    <row r="322" spans="1:61" ht="24.95" customHeight="1">
      <c r="A322" s="8">
        <v>446</v>
      </c>
      <c r="B322" s="12" t="str">
        <f>VLOOKUP($A322,'Matriz POA 2024-TRABAJO'!$A$5:$CD$9142,11,FALSE)</f>
        <v>Corporación Ciudad Alfaro</v>
      </c>
      <c r="C322" s="12" t="str">
        <f>VLOOKUP($A322,'Matriz POA 2024-TRABAJO'!$A$5:$CD$9142,14,FALSE)</f>
        <v>N/A</v>
      </c>
      <c r="D322" s="12" t="str">
        <f>VLOOKUP($A322,'Matriz POA 2024-TRABAJO'!$A$5:$CD$9142,15,FALSE)</f>
        <v>N/A</v>
      </c>
      <c r="E322" s="12" t="str">
        <f>VLOOKUP($A322,'Matriz POA 2024-TRABAJO'!$A$5:$CD$9142,18,FALSE)</f>
        <v>N/A</v>
      </c>
      <c r="F322" s="12" t="str">
        <f>VLOOKUP($A322,'Matriz POA 2024-TRABAJO'!$A$5:$CD$9142,20,FALSE)</f>
        <v>N/A</v>
      </c>
      <c r="G322" s="12" t="str">
        <f>VLOOKUP($A322,'Matriz POA 2024-TRABAJO'!$A$5:$CD$9142,21,FALSE)</f>
        <v>N/A</v>
      </c>
      <c r="H322" s="12" t="str">
        <f>VLOOKUP($A322,'Matriz POA 2024-TRABAJO'!$A$5:$CD$9142,22,FALSE)</f>
        <v>N/A</v>
      </c>
      <c r="I322" s="12" t="str">
        <f>VLOOKUP($A322,'Matriz POA 2024-TRABAJO'!$A$5:$CD$9142,23,FALSE)</f>
        <v>NUEVA</v>
      </c>
      <c r="J322" s="12" t="str">
        <f>VLOOKUP($A322,'Matriz POA 2024-TRABAJO'!$A$5:$CD$9142,24,FALSE)</f>
        <v>Pago del servicio de energía eléctrica del Museo Portoviejo y Archivo Histórico</v>
      </c>
      <c r="K322" s="12" t="str">
        <f>VLOOKUP($A322,'Matriz POA 2024-TRABAJO'!$A$5:$CD$9142,25,FALSE)</f>
        <v>0035</v>
      </c>
      <c r="L322" s="12" t="str">
        <f>VLOOKUP($A322,'Matriz POA 2024-TRABAJO'!$A$5:$CD$9142,26,FALSE)</f>
        <v>80</v>
      </c>
      <c r="M322" s="12" t="str">
        <f>VLOOKUP($A322,'Matriz POA 2024-TRABAJO'!$A$5:$CD$9142,27,FALSE)</f>
        <v>000</v>
      </c>
      <c r="N322" s="12" t="str">
        <f>VLOOKUP($A322,'Matriz POA 2024-TRABAJO'!$A$5:$CD$9142,28,FALSE)</f>
        <v>002</v>
      </c>
      <c r="O322" s="12" t="str">
        <f>VLOOKUP($A322,'Matriz POA 2024-TRABAJO'!$A$5:$CD$9142,29,FALSE)</f>
        <v>53</v>
      </c>
      <c r="P322" s="12">
        <f>VLOOKUP($A322,'Matriz POA 2024-TRABAJO'!$A$5:$CD$9142,30,FALSE)</f>
        <v>530104</v>
      </c>
      <c r="Q322" s="12">
        <f>VLOOKUP($A322,'Matriz POA 2024-TRABAJO'!$A$5:$CD$9142,32,FALSE)</f>
        <v>1301</v>
      </c>
      <c r="R322" s="12" t="str">
        <f>VLOOKUP($A322,'Matriz POA 2024-TRABAJO'!$A$5:$CD$9142,33,FALSE)</f>
        <v>001</v>
      </c>
      <c r="S322" s="12" t="str">
        <f>VLOOKUP($A322,'Matriz POA 2024-TRABAJO'!$A$5:$CD$9142,34,FALSE)</f>
        <v>0000</v>
      </c>
      <c r="T322" s="12" t="str">
        <f>VLOOKUP($A322,'Matriz POA 2024-TRABAJO'!$A$5:$CD$9142,35,FALSE)</f>
        <v>0000</v>
      </c>
      <c r="U322" s="62">
        <f>VLOOKUP($A322,'Matriz POA 2024-TRABAJO'!$A$5:$CD$9142,66,FALSE)</f>
        <v>8800</v>
      </c>
      <c r="V322" s="62">
        <f>VLOOKUP($A322,'Matriz POA 2024-TRABAJO'!$A$5:$CD$9142,67,FALSE)</f>
        <v>1027.8799999999992</v>
      </c>
      <c r="W322" s="62">
        <f>VLOOKUP($A322,'Matriz POA 2024-TRABAJO'!$A$5:$CD$9142,68,FALSE)</f>
        <v>3745.87</v>
      </c>
      <c r="X322" s="62">
        <f>VLOOKUP($A322,'Matriz POA 2024-TRABAJO'!$A$5:$CD$9142,72,FALSE)</f>
        <v>8551.68</v>
      </c>
      <c r="Y322" s="388">
        <v>0</v>
      </c>
      <c r="Z322" s="388">
        <f>VLOOKUP($A322,'Matriz POA 2024-TRABAJO'!$A$5:$CD$9142,46,FALSE)</f>
        <v>0</v>
      </c>
      <c r="AA322" s="388">
        <v>0</v>
      </c>
      <c r="AB322" s="389">
        <v>3000</v>
      </c>
      <c r="AC322" s="389"/>
      <c r="AD322" s="13"/>
      <c r="AE322" s="13"/>
      <c r="AF322" s="13">
        <f t="shared" si="363"/>
        <v>3000</v>
      </c>
      <c r="AG322" s="13">
        <f t="shared" si="364"/>
        <v>0</v>
      </c>
      <c r="AH322" s="13">
        <f t="shared" si="365"/>
        <v>3000</v>
      </c>
      <c r="AI322" s="129"/>
      <c r="AJ322" s="129"/>
      <c r="AK322" s="129"/>
      <c r="AL322" s="129"/>
      <c r="AM322" s="129"/>
      <c r="AN322" s="129"/>
      <c r="AO322" s="129"/>
      <c r="AP322" s="129"/>
      <c r="AQ322" s="129"/>
      <c r="AR322" s="129"/>
      <c r="AS322" s="129"/>
      <c r="AT322" s="129"/>
      <c r="AU322" s="129">
        <f t="shared" si="371"/>
        <v>0</v>
      </c>
      <c r="AV322" s="13" t="b">
        <f t="shared" si="366"/>
        <v>0</v>
      </c>
      <c r="AW322" s="14" t="s">
        <v>2019</v>
      </c>
      <c r="AX322" s="15" t="s">
        <v>2020</v>
      </c>
      <c r="AY322" s="16">
        <v>45601</v>
      </c>
      <c r="AZ322" s="15" t="s">
        <v>2021</v>
      </c>
      <c r="BA322" s="16">
        <v>45603</v>
      </c>
      <c r="BB322" s="17">
        <f t="shared" si="370"/>
        <v>2</v>
      </c>
      <c r="BC322" s="12"/>
      <c r="BD322" s="15"/>
      <c r="BE322" s="18"/>
      <c r="BF322" s="12"/>
      <c r="BG322" s="19" t="str">
        <f t="shared" si="367"/>
        <v>noviembre</v>
      </c>
      <c r="BH322" s="12" t="str">
        <f t="shared" si="368"/>
        <v>Corporación Ciudad Alfaro</v>
      </c>
      <c r="BI322" s="20" t="str">
        <f t="shared" si="369"/>
        <v>N/A</v>
      </c>
    </row>
    <row r="323" spans="1:61" ht="24.95" customHeight="1">
      <c r="A323" s="8">
        <v>472</v>
      </c>
      <c r="B323" s="12" t="str">
        <f>VLOOKUP($A323,'Matriz POA 2024-TRABAJO'!$A$5:$CD$9142,11,FALSE)</f>
        <v>Corporación Ciudad Alfaro</v>
      </c>
      <c r="C323" s="12" t="str">
        <f>VLOOKUP($A323,'Matriz POA 2024-TRABAJO'!$A$5:$CD$9142,14,FALSE)</f>
        <v>N/A</v>
      </c>
      <c r="D323" s="12" t="str">
        <f>VLOOKUP($A323,'Matriz POA 2024-TRABAJO'!$A$5:$CD$9142,15,FALSE)</f>
        <v>N/A</v>
      </c>
      <c r="E323" s="12" t="str">
        <f>VLOOKUP($A323,'Matriz POA 2024-TRABAJO'!$A$5:$CD$9142,18,FALSE)</f>
        <v>N/A</v>
      </c>
      <c r="F323" s="12" t="str">
        <f>VLOOKUP($A323,'Matriz POA 2024-TRABAJO'!$A$5:$CD$9142,20,FALSE)</f>
        <v>N/A</v>
      </c>
      <c r="G323" s="12" t="str">
        <f>VLOOKUP($A323,'Matriz POA 2024-TRABAJO'!$A$5:$CD$9142,21,FALSE)</f>
        <v>N/A</v>
      </c>
      <c r="H323" s="12" t="str">
        <f>VLOOKUP($A323,'Matriz POA 2024-TRABAJO'!$A$5:$CD$9142,22,FALSE)</f>
        <v>N/A</v>
      </c>
      <c r="I323" s="12" t="str">
        <f>VLOOKUP($A323,'Matriz POA 2024-TRABAJO'!$A$5:$CD$9142,23,FALSE)</f>
        <v>NUEVA</v>
      </c>
      <c r="J323" s="12" t="str">
        <f>VLOOKUP($A323,'Matriz POA 2024-TRABAJO'!$A$5:$CD$9142,24,FALSE)</f>
        <v>Pago de peaje para los vehículos de la Corporación Ciudad Alfaro</v>
      </c>
      <c r="K323" s="12" t="str">
        <f>VLOOKUP($A323,'Matriz POA 2024-TRABAJO'!$A$5:$CD$9142,25,FALSE)</f>
        <v>0035</v>
      </c>
      <c r="L323" s="12" t="str">
        <f>VLOOKUP($A323,'Matriz POA 2024-TRABAJO'!$A$5:$CD$9142,26,FALSE)</f>
        <v>80</v>
      </c>
      <c r="M323" s="12" t="str">
        <f>VLOOKUP($A323,'Matriz POA 2024-TRABAJO'!$A$5:$CD$9142,27,FALSE)</f>
        <v>000</v>
      </c>
      <c r="N323" s="12" t="str">
        <f>VLOOKUP($A323,'Matriz POA 2024-TRABAJO'!$A$5:$CD$9142,28,FALSE)</f>
        <v>002</v>
      </c>
      <c r="O323" s="12" t="str">
        <f>VLOOKUP($A323,'Matriz POA 2024-TRABAJO'!$A$5:$CD$9142,29,FALSE)</f>
        <v>57</v>
      </c>
      <c r="P323" s="12">
        <f>VLOOKUP($A323,'Matriz POA 2024-TRABAJO'!$A$5:$CD$9142,30,FALSE)</f>
        <v>570102</v>
      </c>
      <c r="Q323" s="12">
        <f>VLOOKUP($A323,'Matriz POA 2024-TRABAJO'!$A$5:$CD$9142,32,FALSE)</f>
        <v>1309</v>
      </c>
      <c r="R323" s="12" t="str">
        <f>VLOOKUP($A323,'Matriz POA 2024-TRABAJO'!$A$5:$CD$9142,33,FALSE)</f>
        <v>001</v>
      </c>
      <c r="S323" s="12" t="str">
        <f>VLOOKUP($A323,'Matriz POA 2024-TRABAJO'!$A$5:$CD$9142,34,FALSE)</f>
        <v>0000</v>
      </c>
      <c r="T323" s="12" t="str">
        <f>VLOOKUP($A323,'Matriz POA 2024-TRABAJO'!$A$5:$CD$9142,35,FALSE)</f>
        <v>0000</v>
      </c>
      <c r="U323" s="62">
        <f>VLOOKUP($A323,'Matriz POA 2024-TRABAJO'!$A$5:$CD$9142,66,FALSE)</f>
        <v>300</v>
      </c>
      <c r="V323" s="62">
        <f>VLOOKUP($A323,'Matriz POA 2024-TRABAJO'!$A$5:$CD$9142,67,FALSE)</f>
        <v>147.83000000000004</v>
      </c>
      <c r="W323" s="62">
        <f>VLOOKUP($A323,'Matriz POA 2024-TRABAJO'!$A$5:$CD$9142,68,FALSE)</f>
        <v>447.83000000000004</v>
      </c>
      <c r="X323" s="62">
        <f>VLOOKUP($A323,'Matriz POA 2024-TRABAJO'!$A$5:$CD$9142,72,FALSE)</f>
        <v>447.83000000000004</v>
      </c>
      <c r="Y323" s="388">
        <v>0</v>
      </c>
      <c r="Z323" s="388">
        <f>VLOOKUP($A323,'Matriz POA 2024-TRABAJO'!$A$5:$CD$9142,46,FALSE)</f>
        <v>0</v>
      </c>
      <c r="AA323" s="388">
        <v>0</v>
      </c>
      <c r="AB323" s="389">
        <v>147.83000000000001</v>
      </c>
      <c r="AC323" s="389"/>
      <c r="AD323" s="13"/>
      <c r="AE323" s="13"/>
      <c r="AF323" s="13">
        <f t="shared" ref="AF323:AF328" si="372">Y323+AB323+AC323</f>
        <v>147.83000000000001</v>
      </c>
      <c r="AG323" s="13">
        <f t="shared" ref="AG323:AG328" si="373">Z323+AD323+AE323</f>
        <v>0</v>
      </c>
      <c r="AH323" s="13">
        <f t="shared" ref="AH323:AH328" si="374">+AF323+AG323</f>
        <v>147.83000000000001</v>
      </c>
      <c r="AI323" s="129"/>
      <c r="AJ323" s="129"/>
      <c r="AK323" s="129"/>
      <c r="AL323" s="129"/>
      <c r="AM323" s="129"/>
      <c r="AN323" s="129"/>
      <c r="AO323" s="129"/>
      <c r="AP323" s="129"/>
      <c r="AQ323" s="129"/>
      <c r="AR323" s="129"/>
      <c r="AS323" s="129"/>
      <c r="AT323" s="129"/>
      <c r="AU323" s="129">
        <f t="shared" ref="AU323:AU328" si="375">SUM(AI323:AT323)</f>
        <v>0</v>
      </c>
      <c r="AV323" s="13" t="b">
        <f t="shared" ref="AV323:AV328" si="376">SUM(AI323:AT323)=AH323</f>
        <v>0</v>
      </c>
      <c r="AW323" s="14" t="s">
        <v>2019</v>
      </c>
      <c r="AX323" s="15" t="s">
        <v>2020</v>
      </c>
      <c r="AY323" s="16">
        <v>45601</v>
      </c>
      <c r="AZ323" s="15" t="s">
        <v>2021</v>
      </c>
      <c r="BA323" s="16">
        <v>45603</v>
      </c>
      <c r="BB323" s="17">
        <f t="shared" ref="BB323:BB328" si="377">BA323-AY323</f>
        <v>2</v>
      </c>
      <c r="BC323" s="12"/>
      <c r="BD323" s="15"/>
      <c r="BE323" s="18"/>
      <c r="BF323" s="12"/>
      <c r="BG323" s="19" t="str">
        <f t="shared" ref="BG323:BG328" si="378">TEXT(BA323,"MMMM")</f>
        <v>noviembre</v>
      </c>
      <c r="BH323" s="12" t="str">
        <f t="shared" ref="BH323:BH328" si="379">B323</f>
        <v>Corporación Ciudad Alfaro</v>
      </c>
      <c r="BI323" s="20" t="str">
        <f t="shared" ref="BI323:BI328" si="380">E323</f>
        <v>N/A</v>
      </c>
    </row>
    <row r="324" spans="1:61" ht="24.95" customHeight="1">
      <c r="A324" s="8">
        <v>473</v>
      </c>
      <c r="B324" s="12" t="str">
        <f>VLOOKUP($A324,'Matriz POA 2024-TRABAJO'!$A$5:$CD$9142,11,FALSE)</f>
        <v>Corporación Ciudad Alfaro</v>
      </c>
      <c r="C324" s="12" t="str">
        <f>VLOOKUP($A324,'Matriz POA 2024-TRABAJO'!$A$5:$CD$9142,14,FALSE)</f>
        <v>N/A</v>
      </c>
      <c r="D324" s="12" t="str">
        <f>VLOOKUP($A324,'Matriz POA 2024-TRABAJO'!$A$5:$CD$9142,15,FALSE)</f>
        <v>N/A</v>
      </c>
      <c r="E324" s="12" t="str">
        <f>VLOOKUP($A324,'Matriz POA 2024-TRABAJO'!$A$5:$CD$9142,18,FALSE)</f>
        <v>N/A</v>
      </c>
      <c r="F324" s="12" t="str">
        <f>VLOOKUP($A324,'Matriz POA 2024-TRABAJO'!$A$5:$CD$9142,20,FALSE)</f>
        <v>N/A</v>
      </c>
      <c r="G324" s="12" t="str">
        <f>VLOOKUP($A324,'Matriz POA 2024-TRABAJO'!$A$5:$CD$9142,21,FALSE)</f>
        <v>N/A</v>
      </c>
      <c r="H324" s="12" t="str">
        <f>VLOOKUP($A324,'Matriz POA 2024-TRABAJO'!$A$5:$CD$9142,22,FALSE)</f>
        <v>N/A</v>
      </c>
      <c r="I324" s="12" t="str">
        <f>VLOOKUP($A324,'Matriz POA 2024-TRABAJO'!$A$5:$CD$9142,23,FALSE)</f>
        <v>NUEVA</v>
      </c>
      <c r="J324" s="12" t="str">
        <f>VLOOKUP($A324,'Matriz POA 2024-TRABAJO'!$A$5:$CD$9142,24,FALSE)</f>
        <v>Recarga de extintores contra incendios de la Corporación Ciudad Alfaro y sus Sedes</v>
      </c>
      <c r="K324" s="12" t="str">
        <f>VLOOKUP($A324,'Matriz POA 2024-TRABAJO'!$A$5:$CD$9142,25,FALSE)</f>
        <v>0035</v>
      </c>
      <c r="L324" s="12" t="str">
        <f>VLOOKUP($A324,'Matriz POA 2024-TRABAJO'!$A$5:$CD$9142,26,FALSE)</f>
        <v>80</v>
      </c>
      <c r="M324" s="12" t="str">
        <f>VLOOKUP($A324,'Matriz POA 2024-TRABAJO'!$A$5:$CD$9142,27,FALSE)</f>
        <v>000</v>
      </c>
      <c r="N324" s="12" t="str">
        <f>VLOOKUP($A324,'Matriz POA 2024-TRABAJO'!$A$5:$CD$9142,28,FALSE)</f>
        <v>002</v>
      </c>
      <c r="O324" s="12" t="str">
        <f>VLOOKUP($A324,'Matriz POA 2024-TRABAJO'!$A$5:$CD$9142,29,FALSE)</f>
        <v>53</v>
      </c>
      <c r="P324" s="12">
        <f>VLOOKUP($A324,'Matriz POA 2024-TRABAJO'!$A$5:$CD$9142,30,FALSE)</f>
        <v>530203</v>
      </c>
      <c r="Q324" s="12">
        <f>VLOOKUP($A324,'Matriz POA 2024-TRABAJO'!$A$5:$CD$9142,32,FALSE)</f>
        <v>1309</v>
      </c>
      <c r="R324" s="12" t="str">
        <f>VLOOKUP($A324,'Matriz POA 2024-TRABAJO'!$A$5:$CD$9142,33,FALSE)</f>
        <v>001</v>
      </c>
      <c r="S324" s="12" t="str">
        <f>VLOOKUP($A324,'Matriz POA 2024-TRABAJO'!$A$5:$CD$9142,34,FALSE)</f>
        <v>0000</v>
      </c>
      <c r="T324" s="12" t="str">
        <f>VLOOKUP($A324,'Matriz POA 2024-TRABAJO'!$A$5:$CD$9142,35,FALSE)</f>
        <v>0000</v>
      </c>
      <c r="U324" s="62">
        <f>VLOOKUP($A324,'Matriz POA 2024-TRABAJO'!$A$5:$CD$9142,66,FALSE)</f>
        <v>0</v>
      </c>
      <c r="V324" s="62">
        <f>VLOOKUP($A324,'Matriz POA 2024-TRABAJO'!$A$5:$CD$9142,67,FALSE)</f>
        <v>1600</v>
      </c>
      <c r="W324" s="62">
        <f>VLOOKUP($A324,'Matriz POA 2024-TRABAJO'!$A$5:$CD$9142,68,FALSE)</f>
        <v>1600</v>
      </c>
      <c r="X324" s="62">
        <f>VLOOKUP($A324,'Matriz POA 2024-TRABAJO'!$A$5:$CD$9142,72,FALSE)</f>
        <v>1549</v>
      </c>
      <c r="Y324" s="388">
        <v>0</v>
      </c>
      <c r="Z324" s="388">
        <f>VLOOKUP($A324,'Matriz POA 2024-TRABAJO'!$A$5:$CD$9142,46,FALSE)</f>
        <v>0</v>
      </c>
      <c r="AA324" s="388">
        <v>0</v>
      </c>
      <c r="AB324" s="389">
        <v>1600</v>
      </c>
      <c r="AC324" s="389"/>
      <c r="AD324" s="13"/>
      <c r="AE324" s="13"/>
      <c r="AF324" s="13">
        <f t="shared" si="372"/>
        <v>1600</v>
      </c>
      <c r="AG324" s="13">
        <f t="shared" si="373"/>
        <v>0</v>
      </c>
      <c r="AH324" s="13">
        <f t="shared" si="374"/>
        <v>1600</v>
      </c>
      <c r="AI324" s="129"/>
      <c r="AJ324" s="129"/>
      <c r="AK324" s="129"/>
      <c r="AL324" s="129"/>
      <c r="AM324" s="129"/>
      <c r="AN324" s="129"/>
      <c r="AO324" s="129"/>
      <c r="AP324" s="129"/>
      <c r="AQ324" s="129"/>
      <c r="AR324" s="129"/>
      <c r="AS324" s="129"/>
      <c r="AT324" s="129"/>
      <c r="AU324" s="129">
        <f t="shared" si="375"/>
        <v>0</v>
      </c>
      <c r="AV324" s="13" t="b">
        <f t="shared" si="376"/>
        <v>0</v>
      </c>
      <c r="AW324" s="14" t="s">
        <v>2019</v>
      </c>
      <c r="AX324" s="15" t="s">
        <v>2020</v>
      </c>
      <c r="AY324" s="16">
        <v>45601</v>
      </c>
      <c r="AZ324" s="15" t="s">
        <v>2021</v>
      </c>
      <c r="BA324" s="16">
        <v>45603</v>
      </c>
      <c r="BB324" s="17">
        <f t="shared" si="377"/>
        <v>2</v>
      </c>
      <c r="BC324" s="12"/>
      <c r="BD324" s="15"/>
      <c r="BE324" s="18"/>
      <c r="BF324" s="12"/>
      <c r="BG324" s="19" t="str">
        <f t="shared" si="378"/>
        <v>noviembre</v>
      </c>
      <c r="BH324" s="12" t="str">
        <f t="shared" si="379"/>
        <v>Corporación Ciudad Alfaro</v>
      </c>
      <c r="BI324" s="20" t="str">
        <f t="shared" si="380"/>
        <v>N/A</v>
      </c>
    </row>
    <row r="325" spans="1:61" ht="24.95" customHeight="1">
      <c r="A325" s="8">
        <v>1083</v>
      </c>
      <c r="B325" s="12" t="str">
        <f>VLOOKUP($A325,'Matriz POA 2024-TRABAJO'!$A$5:$CD$9142,11,FALSE)</f>
        <v>Corporación Ciudad Alfaro</v>
      </c>
      <c r="C325" s="12" t="str">
        <f>VLOOKUP($A325,'Matriz POA 2024-TRABAJO'!$A$5:$CD$9142,14,FALSE)</f>
        <v>N/A</v>
      </c>
      <c r="D325" s="12" t="str">
        <f>VLOOKUP($A325,'Matriz POA 2024-TRABAJO'!$A$5:$CD$9142,15,FALSE)</f>
        <v>N/A</v>
      </c>
      <c r="E325" s="12" t="str">
        <f>VLOOKUP($A325,'Matriz POA 2024-TRABAJO'!$A$5:$CD$9142,18,FALSE)</f>
        <v>N/A</v>
      </c>
      <c r="F325" s="12" t="str">
        <f>VLOOKUP($A325,'Matriz POA 2024-TRABAJO'!$A$5:$CD$9142,20,FALSE)</f>
        <v>N/A</v>
      </c>
      <c r="G325" s="12" t="str">
        <f>VLOOKUP($A325,'Matriz POA 2024-TRABAJO'!$A$5:$CD$9142,21,FALSE)</f>
        <v>N/A</v>
      </c>
      <c r="H325" s="12" t="str">
        <f>VLOOKUP($A325,'Matriz POA 2024-TRABAJO'!$A$5:$CD$9142,22,FALSE)</f>
        <v>N/A</v>
      </c>
      <c r="I325" s="12" t="str">
        <f>VLOOKUP($A325,'Matriz POA 2024-TRABAJO'!$A$5:$CD$9142,23,FALSE)</f>
        <v>NUEVA</v>
      </c>
      <c r="J325" s="12" t="str">
        <f>VLOOKUP($A325,'Matriz POA 2024-TRABAJO'!$A$5:$CD$9142,24,FALSE)</f>
        <v>Obligaciones con el IESS por responsabilidad patronal</v>
      </c>
      <c r="K325" s="12" t="str">
        <f>VLOOKUP($A325,'Matriz POA 2024-TRABAJO'!$A$5:$CD$9142,25,FALSE)</f>
        <v>0035</v>
      </c>
      <c r="L325" s="12" t="str">
        <f>VLOOKUP($A325,'Matriz POA 2024-TRABAJO'!$A$5:$CD$9142,26,FALSE)</f>
        <v>80</v>
      </c>
      <c r="M325" s="12" t="str">
        <f>VLOOKUP($A325,'Matriz POA 2024-TRABAJO'!$A$5:$CD$9142,27,FALSE)</f>
        <v>000</v>
      </c>
      <c r="N325" s="12" t="str">
        <f>VLOOKUP($A325,'Matriz POA 2024-TRABAJO'!$A$5:$CD$9142,28,FALSE)</f>
        <v>002</v>
      </c>
      <c r="O325" s="12">
        <f>VLOOKUP($A325,'Matriz POA 2024-TRABAJO'!$A$5:$CD$9142,29,FALSE)</f>
        <v>57</v>
      </c>
      <c r="P325" s="12">
        <f>VLOOKUP($A325,'Matriz POA 2024-TRABAJO'!$A$5:$CD$9142,30,FALSE)</f>
        <v>570216</v>
      </c>
      <c r="Q325" s="12">
        <f>VLOOKUP($A325,'Matriz POA 2024-TRABAJO'!$A$5:$CD$9142,32,FALSE)</f>
        <v>1309</v>
      </c>
      <c r="R325" s="12" t="str">
        <f>VLOOKUP($A325,'Matriz POA 2024-TRABAJO'!$A$5:$CD$9142,33,FALSE)</f>
        <v>001</v>
      </c>
      <c r="S325" s="12" t="str">
        <f>VLOOKUP($A325,'Matriz POA 2024-TRABAJO'!$A$5:$CD$9142,34,FALSE)</f>
        <v>0000</v>
      </c>
      <c r="T325" s="12" t="str">
        <f>VLOOKUP($A325,'Matriz POA 2024-TRABAJO'!$A$5:$CD$9142,35,FALSE)</f>
        <v>0000</v>
      </c>
      <c r="U325" s="62" t="str">
        <f>VLOOKUP($A325,'Matriz POA 2024-TRABAJO'!$A$5:$CD$9142,66,FALSE)</f>
        <v/>
      </c>
      <c r="V325" s="62" t="str">
        <f>VLOOKUP($A325,'Matriz POA 2024-TRABAJO'!$A$5:$CD$9142,67,FALSE)</f>
        <v/>
      </c>
      <c r="W325" s="62">
        <f>VLOOKUP($A325,'Matriz POA 2024-TRABAJO'!$A$5:$CD$9142,68,FALSE)</f>
        <v>1000</v>
      </c>
      <c r="X325" s="62">
        <f>VLOOKUP($A325,'Matriz POA 2024-TRABAJO'!$A$5:$CD$9142,72,FALSE)</f>
        <v>936.25</v>
      </c>
      <c r="Y325" s="388">
        <v>0</v>
      </c>
      <c r="Z325" s="388">
        <f>VLOOKUP($A325,'Matriz POA 2024-TRABAJO'!$A$5:$CD$9142,46,FALSE)</f>
        <v>0</v>
      </c>
      <c r="AA325" s="388">
        <v>0</v>
      </c>
      <c r="AB325" s="389">
        <v>1000</v>
      </c>
      <c r="AC325" s="389"/>
      <c r="AD325" s="13"/>
      <c r="AE325" s="13"/>
      <c r="AF325" s="13">
        <f t="shared" si="372"/>
        <v>1000</v>
      </c>
      <c r="AG325" s="13">
        <f t="shared" si="373"/>
        <v>0</v>
      </c>
      <c r="AH325" s="13">
        <f t="shared" si="374"/>
        <v>1000</v>
      </c>
      <c r="AI325" s="129"/>
      <c r="AJ325" s="129"/>
      <c r="AK325" s="129"/>
      <c r="AL325" s="129"/>
      <c r="AM325" s="129"/>
      <c r="AN325" s="129"/>
      <c r="AO325" s="129"/>
      <c r="AP325" s="129"/>
      <c r="AQ325" s="129"/>
      <c r="AR325" s="129"/>
      <c r="AS325" s="129"/>
      <c r="AT325" s="129"/>
      <c r="AU325" s="129">
        <f t="shared" si="375"/>
        <v>0</v>
      </c>
      <c r="AV325" s="13" t="b">
        <f t="shared" si="376"/>
        <v>0</v>
      </c>
      <c r="AW325" s="14" t="s">
        <v>2019</v>
      </c>
      <c r="AX325" s="15" t="s">
        <v>2020</v>
      </c>
      <c r="AY325" s="16">
        <v>45601</v>
      </c>
      <c r="AZ325" s="15" t="s">
        <v>2021</v>
      </c>
      <c r="BA325" s="16">
        <v>45603</v>
      </c>
      <c r="BB325" s="17">
        <f t="shared" si="377"/>
        <v>2</v>
      </c>
      <c r="BC325" s="12"/>
      <c r="BD325" s="15"/>
      <c r="BE325" s="18"/>
      <c r="BF325" s="12"/>
      <c r="BG325" s="19" t="str">
        <f t="shared" si="378"/>
        <v>noviembre</v>
      </c>
      <c r="BH325" s="12" t="str">
        <f t="shared" si="379"/>
        <v>Corporación Ciudad Alfaro</v>
      </c>
      <c r="BI325" s="20" t="str">
        <f t="shared" si="380"/>
        <v>N/A</v>
      </c>
    </row>
    <row r="326" spans="1:61" ht="24.95" customHeight="1">
      <c r="A326" s="8">
        <v>1084</v>
      </c>
      <c r="B326" s="12" t="str">
        <f>VLOOKUP($A326,'Matriz POA 2024-TRABAJO'!$A$5:$CD$9142,11,FALSE)</f>
        <v>Corporación Ciudad Alfaro</v>
      </c>
      <c r="C326" s="12" t="str">
        <f>VLOOKUP($A326,'Matriz POA 2024-TRABAJO'!$A$5:$CD$9142,14,FALSE)</f>
        <v>N/A</v>
      </c>
      <c r="D326" s="12" t="str">
        <f>VLOOKUP($A326,'Matriz POA 2024-TRABAJO'!$A$5:$CD$9142,15,FALSE)</f>
        <v>N/A</v>
      </c>
      <c r="E326" s="12" t="str">
        <f>VLOOKUP($A326,'Matriz POA 2024-TRABAJO'!$A$5:$CD$9142,18,FALSE)</f>
        <v>N/A</v>
      </c>
      <c r="F326" s="12" t="str">
        <f>VLOOKUP($A326,'Matriz POA 2024-TRABAJO'!$A$5:$CD$9142,20,FALSE)</f>
        <v>N/A</v>
      </c>
      <c r="G326" s="12" t="str">
        <f>VLOOKUP($A326,'Matriz POA 2024-TRABAJO'!$A$5:$CD$9142,21,FALSE)</f>
        <v>N/A</v>
      </c>
      <c r="H326" s="12" t="str">
        <f>VLOOKUP($A326,'Matriz POA 2024-TRABAJO'!$A$5:$CD$9142,22,FALSE)</f>
        <v>N/A</v>
      </c>
      <c r="I326" s="12" t="str">
        <f>VLOOKUP($A326,'Matriz POA 2024-TRABAJO'!$A$5:$CD$9142,23,FALSE)</f>
        <v>NUEVA</v>
      </c>
      <c r="J326" s="12" t="str">
        <f>VLOOKUP($A326,'Matriz POA 2024-TRABAJO'!$A$5:$CD$9142,24,FALSE)</f>
        <v xml:space="preserve">Intereses patronal al IESS </v>
      </c>
      <c r="K326" s="12" t="str">
        <f>VLOOKUP($A326,'Matriz POA 2024-TRABAJO'!$A$5:$CD$9142,25,FALSE)</f>
        <v>0035</v>
      </c>
      <c r="L326" s="12" t="str">
        <f>VLOOKUP($A326,'Matriz POA 2024-TRABAJO'!$A$5:$CD$9142,26,FALSE)</f>
        <v>80</v>
      </c>
      <c r="M326" s="12" t="str">
        <f>VLOOKUP($A326,'Matriz POA 2024-TRABAJO'!$A$5:$CD$9142,27,FALSE)</f>
        <v>000</v>
      </c>
      <c r="N326" s="12" t="str">
        <f>VLOOKUP($A326,'Matriz POA 2024-TRABAJO'!$A$5:$CD$9142,28,FALSE)</f>
        <v>002</v>
      </c>
      <c r="O326" s="12">
        <f>VLOOKUP($A326,'Matriz POA 2024-TRABAJO'!$A$5:$CD$9142,29,FALSE)</f>
        <v>57</v>
      </c>
      <c r="P326" s="12">
        <f>VLOOKUP($A326,'Matriz POA 2024-TRABAJO'!$A$5:$CD$9142,30,FALSE)</f>
        <v>570218</v>
      </c>
      <c r="Q326" s="12">
        <f>VLOOKUP($A326,'Matriz POA 2024-TRABAJO'!$A$5:$CD$9142,32,FALSE)</f>
        <v>1309</v>
      </c>
      <c r="R326" s="12" t="str">
        <f>VLOOKUP($A326,'Matriz POA 2024-TRABAJO'!$A$5:$CD$9142,33,FALSE)</f>
        <v>001</v>
      </c>
      <c r="S326" s="12" t="str">
        <f>VLOOKUP($A326,'Matriz POA 2024-TRABAJO'!$A$5:$CD$9142,34,FALSE)</f>
        <v>0000</v>
      </c>
      <c r="T326" s="12" t="str">
        <f>VLOOKUP($A326,'Matriz POA 2024-TRABAJO'!$A$5:$CD$9142,35,FALSE)</f>
        <v>0000</v>
      </c>
      <c r="U326" s="62" t="str">
        <f>VLOOKUP($A326,'Matriz POA 2024-TRABAJO'!$A$5:$CD$9142,66,FALSE)</f>
        <v/>
      </c>
      <c r="V326" s="62" t="str">
        <f>VLOOKUP($A326,'Matriz POA 2024-TRABAJO'!$A$5:$CD$9142,67,FALSE)</f>
        <v/>
      </c>
      <c r="W326" s="62">
        <f>VLOOKUP($A326,'Matriz POA 2024-TRABAJO'!$A$5:$CD$9142,68,FALSE)</f>
        <v>1200</v>
      </c>
      <c r="X326" s="62">
        <f>VLOOKUP($A326,'Matriz POA 2024-TRABAJO'!$A$5:$CD$9142,72,FALSE)</f>
        <v>959.7</v>
      </c>
      <c r="Y326" s="388"/>
      <c r="Z326" s="388">
        <f>VLOOKUP($A326,'Matriz POA 2024-TRABAJO'!$A$5:$CD$9142,46,FALSE)</f>
        <v>0</v>
      </c>
      <c r="AA326" s="388">
        <v>0</v>
      </c>
      <c r="AB326" s="389">
        <v>1200</v>
      </c>
      <c r="AC326" s="389"/>
      <c r="AD326" s="13"/>
      <c r="AE326" s="13"/>
      <c r="AF326" s="13">
        <f t="shared" si="372"/>
        <v>1200</v>
      </c>
      <c r="AG326" s="13">
        <f t="shared" si="373"/>
        <v>0</v>
      </c>
      <c r="AH326" s="13">
        <f t="shared" si="374"/>
        <v>1200</v>
      </c>
      <c r="AI326" s="129"/>
      <c r="AJ326" s="129"/>
      <c r="AK326" s="129"/>
      <c r="AL326" s="129"/>
      <c r="AM326" s="129"/>
      <c r="AN326" s="129"/>
      <c r="AO326" s="129"/>
      <c r="AP326" s="129"/>
      <c r="AQ326" s="129"/>
      <c r="AR326" s="129"/>
      <c r="AS326" s="129"/>
      <c r="AT326" s="129"/>
      <c r="AU326" s="129">
        <f t="shared" si="375"/>
        <v>0</v>
      </c>
      <c r="AV326" s="13" t="b">
        <f t="shared" si="376"/>
        <v>0</v>
      </c>
      <c r="AW326" s="14" t="s">
        <v>2019</v>
      </c>
      <c r="AX326" s="15" t="s">
        <v>2020</v>
      </c>
      <c r="AY326" s="16">
        <v>45601</v>
      </c>
      <c r="AZ326" s="15" t="s">
        <v>2021</v>
      </c>
      <c r="BA326" s="16">
        <v>45603</v>
      </c>
      <c r="BB326" s="17">
        <f t="shared" si="377"/>
        <v>2</v>
      </c>
      <c r="BC326" s="12"/>
      <c r="BD326" s="15"/>
      <c r="BE326" s="18"/>
      <c r="BF326" s="12"/>
      <c r="BG326" s="19" t="str">
        <f t="shared" si="378"/>
        <v>noviembre</v>
      </c>
      <c r="BH326" s="12" t="str">
        <f t="shared" si="379"/>
        <v>Corporación Ciudad Alfaro</v>
      </c>
      <c r="BI326" s="20" t="str">
        <f t="shared" si="380"/>
        <v>N/A</v>
      </c>
    </row>
    <row r="327" spans="1:61" ht="24.95" customHeight="1">
      <c r="A327" s="8">
        <v>1085</v>
      </c>
      <c r="B327" s="12" t="str">
        <f>VLOOKUP($A327,'Matriz POA 2024-TRABAJO'!$A$5:$CD$9142,11,FALSE)</f>
        <v>Corporación Ciudad Alfaro</v>
      </c>
      <c r="C327" s="12" t="str">
        <f>VLOOKUP($A327,'Matriz POA 2024-TRABAJO'!$A$5:$CD$9142,14,FALSE)</f>
        <v>N/A</v>
      </c>
      <c r="D327" s="12" t="str">
        <f>VLOOKUP($A327,'Matriz POA 2024-TRABAJO'!$A$5:$CD$9142,15,FALSE)</f>
        <v>N/A</v>
      </c>
      <c r="E327" s="12" t="str">
        <f>VLOOKUP($A327,'Matriz POA 2024-TRABAJO'!$A$5:$CD$9142,18,FALSE)</f>
        <v>N/A</v>
      </c>
      <c r="F327" s="12" t="str">
        <f>VLOOKUP($A327,'Matriz POA 2024-TRABAJO'!$A$5:$CD$9142,20,FALSE)</f>
        <v>N/A</v>
      </c>
      <c r="G327" s="12" t="str">
        <f>VLOOKUP($A327,'Matriz POA 2024-TRABAJO'!$A$5:$CD$9142,21,FALSE)</f>
        <v>N/A</v>
      </c>
      <c r="H327" s="12" t="str">
        <f>VLOOKUP($A327,'Matriz POA 2024-TRABAJO'!$A$5:$CD$9142,22,FALSE)</f>
        <v>N/A</v>
      </c>
      <c r="I327" s="12" t="str">
        <f>VLOOKUP($A327,'Matriz POA 2024-TRABAJO'!$A$5:$CD$9142,23,FALSE)</f>
        <v>NUEVA</v>
      </c>
      <c r="J327" s="12" t="str">
        <f>VLOOKUP($A327,'Matriz POA 2024-TRABAJO'!$A$5:$CD$9142,24,FALSE)</f>
        <v>Elaboración e Instalación de rótulo institucional del Museo Manta</v>
      </c>
      <c r="K327" s="12" t="str">
        <f>VLOOKUP($A327,'Matriz POA 2024-TRABAJO'!$A$5:$CD$9142,25,FALSE)</f>
        <v>0035</v>
      </c>
      <c r="L327" s="12" t="str">
        <f>VLOOKUP($A327,'Matriz POA 2024-TRABAJO'!$A$5:$CD$9142,26,FALSE)</f>
        <v>80</v>
      </c>
      <c r="M327" s="12" t="str">
        <f>VLOOKUP($A327,'Matriz POA 2024-TRABAJO'!$A$5:$CD$9142,27,FALSE)</f>
        <v>000</v>
      </c>
      <c r="N327" s="12" t="str">
        <f>VLOOKUP($A327,'Matriz POA 2024-TRABAJO'!$A$5:$CD$9142,28,FALSE)</f>
        <v>002</v>
      </c>
      <c r="O327" s="12">
        <f>VLOOKUP($A327,'Matriz POA 2024-TRABAJO'!$A$5:$CD$9142,29,FALSE)</f>
        <v>53</v>
      </c>
      <c r="P327" s="12">
        <f>VLOOKUP($A327,'Matriz POA 2024-TRABAJO'!$A$5:$CD$9142,30,FALSE)</f>
        <v>530402</v>
      </c>
      <c r="Q327" s="12">
        <f>VLOOKUP($A327,'Matriz POA 2024-TRABAJO'!$A$5:$CD$9142,32,FALSE)</f>
        <v>1308</v>
      </c>
      <c r="R327" s="12" t="str">
        <f>VLOOKUP($A327,'Matriz POA 2024-TRABAJO'!$A$5:$CD$9142,33,FALSE)</f>
        <v>001</v>
      </c>
      <c r="S327" s="12" t="str">
        <f>VLOOKUP($A327,'Matriz POA 2024-TRABAJO'!$A$5:$CD$9142,34,FALSE)</f>
        <v>0000</v>
      </c>
      <c r="T327" s="12" t="str">
        <f>VLOOKUP($A327,'Matriz POA 2024-TRABAJO'!$A$5:$CD$9142,35,FALSE)</f>
        <v>0000</v>
      </c>
      <c r="U327" s="62" t="str">
        <f>VLOOKUP($A327,'Matriz POA 2024-TRABAJO'!$A$5:$CD$9142,66,FALSE)</f>
        <v/>
      </c>
      <c r="V327" s="62" t="str">
        <f>VLOOKUP($A327,'Matriz POA 2024-TRABAJO'!$A$5:$CD$9142,67,FALSE)</f>
        <v/>
      </c>
      <c r="W327" s="62">
        <f>VLOOKUP($A327,'Matriz POA 2024-TRABAJO'!$A$5:$CD$9142,68,FALSE)</f>
        <v>2392.0300000000002</v>
      </c>
      <c r="X327" s="62">
        <f>VLOOKUP($A327,'Matriz POA 2024-TRABAJO'!$A$5:$CD$9142,72,FALSE)</f>
        <v>1350</v>
      </c>
      <c r="Y327" s="388">
        <v>0</v>
      </c>
      <c r="Z327" s="388">
        <f>VLOOKUP($A327,'Matriz POA 2024-TRABAJO'!$A$5:$CD$9142,46,FALSE)</f>
        <v>0</v>
      </c>
      <c r="AA327" s="388">
        <v>0</v>
      </c>
      <c r="AB327" s="389">
        <v>2900</v>
      </c>
      <c r="AC327" s="389"/>
      <c r="AD327" s="13"/>
      <c r="AE327" s="13"/>
      <c r="AF327" s="13">
        <f t="shared" si="372"/>
        <v>2900</v>
      </c>
      <c r="AG327" s="13">
        <f t="shared" si="373"/>
        <v>0</v>
      </c>
      <c r="AH327" s="13">
        <f t="shared" si="374"/>
        <v>2900</v>
      </c>
      <c r="AI327" s="129"/>
      <c r="AJ327" s="129"/>
      <c r="AK327" s="129"/>
      <c r="AL327" s="129"/>
      <c r="AM327" s="129"/>
      <c r="AN327" s="129"/>
      <c r="AO327" s="129"/>
      <c r="AP327" s="129"/>
      <c r="AQ327" s="129"/>
      <c r="AR327" s="129"/>
      <c r="AS327" s="129"/>
      <c r="AT327" s="129"/>
      <c r="AU327" s="129">
        <f t="shared" si="375"/>
        <v>0</v>
      </c>
      <c r="AV327" s="13" t="b">
        <f t="shared" si="376"/>
        <v>0</v>
      </c>
      <c r="AW327" s="14" t="s">
        <v>2019</v>
      </c>
      <c r="AX327" s="15" t="s">
        <v>2020</v>
      </c>
      <c r="AY327" s="16">
        <v>45601</v>
      </c>
      <c r="AZ327" s="15" t="s">
        <v>2021</v>
      </c>
      <c r="BA327" s="16">
        <v>45603</v>
      </c>
      <c r="BB327" s="17">
        <f t="shared" si="377"/>
        <v>2</v>
      </c>
      <c r="BC327" s="12"/>
      <c r="BD327" s="15"/>
      <c r="BE327" s="18"/>
      <c r="BF327" s="12"/>
      <c r="BG327" s="19" t="str">
        <f t="shared" si="378"/>
        <v>noviembre</v>
      </c>
      <c r="BH327" s="12" t="str">
        <f t="shared" si="379"/>
        <v>Corporación Ciudad Alfaro</v>
      </c>
      <c r="BI327" s="20" t="str">
        <f t="shared" si="380"/>
        <v>N/A</v>
      </c>
    </row>
    <row r="328" spans="1:61" ht="24.95" customHeight="1">
      <c r="A328" s="8">
        <v>1086</v>
      </c>
      <c r="B328" s="12" t="str">
        <f>VLOOKUP($A328,'Matriz POA 2024-TRABAJO'!$A$5:$CD$9142,11,FALSE)</f>
        <v>Corporación Ciudad Alfaro</v>
      </c>
      <c r="C328" s="12" t="str">
        <f>VLOOKUP($A328,'Matriz POA 2024-TRABAJO'!$A$5:$CD$9142,14,FALSE)</f>
        <v>N/A</v>
      </c>
      <c r="D328" s="12" t="str">
        <f>VLOOKUP($A328,'Matriz POA 2024-TRABAJO'!$A$5:$CD$9142,15,FALSE)</f>
        <v>N/A</v>
      </c>
      <c r="E328" s="12" t="str">
        <f>VLOOKUP($A328,'Matriz POA 2024-TRABAJO'!$A$5:$CD$9142,18,FALSE)</f>
        <v>N/A</v>
      </c>
      <c r="F328" s="12" t="str">
        <f>VLOOKUP($A328,'Matriz POA 2024-TRABAJO'!$A$5:$CD$9142,20,FALSE)</f>
        <v>N/A</v>
      </c>
      <c r="G328" s="12" t="str">
        <f>VLOOKUP($A328,'Matriz POA 2024-TRABAJO'!$A$5:$CD$9142,21,FALSE)</f>
        <v>N/A</v>
      </c>
      <c r="H328" s="12" t="str">
        <f>VLOOKUP($A328,'Matriz POA 2024-TRABAJO'!$A$5:$CD$9142,22,FALSE)</f>
        <v>N/A</v>
      </c>
      <c r="I328" s="12" t="str">
        <f>VLOOKUP($A328,'Matriz POA 2024-TRABAJO'!$A$5:$CD$9142,23,FALSE)</f>
        <v>NUEVA</v>
      </c>
      <c r="J328" s="12" t="str">
        <f>VLOOKUP($A328,'Matriz POA 2024-TRABAJO'!$A$5:$CD$9142,24,FALSE)</f>
        <v>Pago de rodaje cantonal de los vehículos de la Corporación Ciudad Alfaro</v>
      </c>
      <c r="K328" s="12" t="str">
        <f>VLOOKUP($A328,'Matriz POA 2024-TRABAJO'!$A$5:$CD$9142,25,FALSE)</f>
        <v>0035</v>
      </c>
      <c r="L328" s="12" t="str">
        <f>VLOOKUP($A328,'Matriz POA 2024-TRABAJO'!$A$5:$CD$9142,26,FALSE)</f>
        <v>80</v>
      </c>
      <c r="M328" s="12" t="str">
        <f>VLOOKUP($A328,'Matriz POA 2024-TRABAJO'!$A$5:$CD$9142,27,FALSE)</f>
        <v>000</v>
      </c>
      <c r="N328" s="12" t="str">
        <f>VLOOKUP($A328,'Matriz POA 2024-TRABAJO'!$A$5:$CD$9142,28,FALSE)</f>
        <v>002</v>
      </c>
      <c r="O328" s="12">
        <f>VLOOKUP($A328,'Matriz POA 2024-TRABAJO'!$A$5:$CD$9142,29,FALSE)</f>
        <v>57</v>
      </c>
      <c r="P328" s="12">
        <f>VLOOKUP($A328,'Matriz POA 2024-TRABAJO'!$A$5:$CD$9142,30,FALSE)</f>
        <v>570102</v>
      </c>
      <c r="Q328" s="12">
        <f>VLOOKUP($A328,'Matriz POA 2024-TRABAJO'!$A$5:$CD$9142,32,FALSE)</f>
        <v>1309</v>
      </c>
      <c r="R328" s="12" t="str">
        <f>VLOOKUP($A328,'Matriz POA 2024-TRABAJO'!$A$5:$CD$9142,33,FALSE)</f>
        <v>001</v>
      </c>
      <c r="S328" s="12" t="str">
        <f>VLOOKUP($A328,'Matriz POA 2024-TRABAJO'!$A$5:$CD$9142,34,FALSE)</f>
        <v>0000</v>
      </c>
      <c r="T328" s="12" t="str">
        <f>VLOOKUP($A328,'Matriz POA 2024-TRABAJO'!$A$5:$CD$9142,35,FALSE)</f>
        <v>0000</v>
      </c>
      <c r="U328" s="62" t="str">
        <f>VLOOKUP($A328,'Matriz POA 2024-TRABAJO'!$A$5:$CD$9142,66,FALSE)</f>
        <v/>
      </c>
      <c r="V328" s="62" t="str">
        <f>VLOOKUP($A328,'Matriz POA 2024-TRABAJO'!$A$5:$CD$9142,67,FALSE)</f>
        <v/>
      </c>
      <c r="W328" s="62">
        <f>VLOOKUP($A328,'Matriz POA 2024-TRABAJO'!$A$5:$CD$9142,68,FALSE)</f>
        <v>200</v>
      </c>
      <c r="X328" s="62" t="str">
        <f>VLOOKUP($A328,'Matriz POA 2024-TRABAJO'!$A$5:$CD$9142,72,FALSE)</f>
        <v/>
      </c>
      <c r="Y328" s="388">
        <v>0</v>
      </c>
      <c r="Z328" s="388">
        <f>VLOOKUP($A328,'Matriz POA 2024-TRABAJO'!$A$5:$CD$9142,46,FALSE)</f>
        <v>0</v>
      </c>
      <c r="AA328" s="388">
        <v>0</v>
      </c>
      <c r="AB328" s="389">
        <v>200</v>
      </c>
      <c r="AC328" s="389"/>
      <c r="AD328" s="13"/>
      <c r="AE328" s="13"/>
      <c r="AF328" s="13">
        <f t="shared" si="372"/>
        <v>200</v>
      </c>
      <c r="AG328" s="13">
        <f t="shared" si="373"/>
        <v>0</v>
      </c>
      <c r="AH328" s="13">
        <f t="shared" si="374"/>
        <v>200</v>
      </c>
      <c r="AI328" s="129"/>
      <c r="AJ328" s="129"/>
      <c r="AK328" s="129"/>
      <c r="AL328" s="129"/>
      <c r="AM328" s="129"/>
      <c r="AN328" s="129"/>
      <c r="AO328" s="129"/>
      <c r="AP328" s="129"/>
      <c r="AQ328" s="129"/>
      <c r="AR328" s="129"/>
      <c r="AS328" s="129"/>
      <c r="AT328" s="129"/>
      <c r="AU328" s="129">
        <f t="shared" si="375"/>
        <v>0</v>
      </c>
      <c r="AV328" s="13" t="b">
        <f t="shared" si="376"/>
        <v>0</v>
      </c>
      <c r="AW328" s="14" t="s">
        <v>2019</v>
      </c>
      <c r="AX328" s="15" t="s">
        <v>2020</v>
      </c>
      <c r="AY328" s="16">
        <v>45601</v>
      </c>
      <c r="AZ328" s="15" t="s">
        <v>2021</v>
      </c>
      <c r="BA328" s="16">
        <v>45603</v>
      </c>
      <c r="BB328" s="17">
        <f t="shared" si="377"/>
        <v>2</v>
      </c>
      <c r="BC328" s="12"/>
      <c r="BD328" s="15"/>
      <c r="BE328" s="18"/>
      <c r="BF328" s="12"/>
      <c r="BG328" s="19" t="str">
        <f t="shared" si="378"/>
        <v>noviembre</v>
      </c>
      <c r="BH328" s="12" t="str">
        <f t="shared" si="379"/>
        <v>Corporación Ciudad Alfaro</v>
      </c>
      <c r="BI328" s="20" t="str">
        <f t="shared" si="380"/>
        <v>N/A</v>
      </c>
    </row>
    <row r="329" spans="1:61" ht="24.95" customHeight="1">
      <c r="A329" s="8">
        <v>1087</v>
      </c>
      <c r="B329" s="12" t="str">
        <f>VLOOKUP($A329,'Matriz POA 2024-TRABAJO'!$A$5:$CD$9142,11,FALSE)</f>
        <v>Corporación Ciudad Alfaro</v>
      </c>
      <c r="C329" s="12" t="str">
        <f>VLOOKUP($A329,'Matriz POA 2024-TRABAJO'!$A$5:$CD$9142,14,FALSE)</f>
        <v>N/A</v>
      </c>
      <c r="D329" s="12" t="str">
        <f>VLOOKUP($A329,'Matriz POA 2024-TRABAJO'!$A$5:$CD$9142,15,FALSE)</f>
        <v>N/A</v>
      </c>
      <c r="E329" s="12" t="str">
        <f>VLOOKUP($A329,'Matriz POA 2024-TRABAJO'!$A$5:$CD$9142,18,FALSE)</f>
        <v>N/A</v>
      </c>
      <c r="F329" s="12" t="str">
        <f>VLOOKUP($A329,'Matriz POA 2024-TRABAJO'!$A$5:$CD$9142,20,FALSE)</f>
        <v>N/A</v>
      </c>
      <c r="G329" s="12" t="str">
        <f>VLOOKUP($A329,'Matriz POA 2024-TRABAJO'!$A$5:$CD$9142,21,FALSE)</f>
        <v>N/A</v>
      </c>
      <c r="H329" s="12" t="str">
        <f>VLOOKUP($A329,'Matriz POA 2024-TRABAJO'!$A$5:$CD$9142,22,FALSE)</f>
        <v>N/A</v>
      </c>
      <c r="I329" s="12" t="str">
        <f>VLOOKUP($A329,'Matriz POA 2024-TRABAJO'!$A$5:$CD$9142,23,FALSE)</f>
        <v>NUEVA</v>
      </c>
      <c r="J329" s="12" t="str">
        <f>VLOOKUP($A329,'Matriz POA 2024-TRABAJO'!$A$5:$CD$9142,24,FALSE)</f>
        <v>Pago de revisión vehicular a los vehículos de la Corporación Ciudad Alfaro</v>
      </c>
      <c r="K329" s="12" t="str">
        <f>VLOOKUP($A329,'Matriz POA 2024-TRABAJO'!$A$5:$CD$9142,25,FALSE)</f>
        <v>0035</v>
      </c>
      <c r="L329" s="12" t="str">
        <f>VLOOKUP($A329,'Matriz POA 2024-TRABAJO'!$A$5:$CD$9142,26,FALSE)</f>
        <v>80</v>
      </c>
      <c r="M329" s="12" t="str">
        <f>VLOOKUP($A329,'Matriz POA 2024-TRABAJO'!$A$5:$CD$9142,27,FALSE)</f>
        <v>000</v>
      </c>
      <c r="N329" s="12" t="str">
        <f>VLOOKUP($A329,'Matriz POA 2024-TRABAJO'!$A$5:$CD$9142,28,FALSE)</f>
        <v>002</v>
      </c>
      <c r="O329" s="12">
        <f>VLOOKUP($A329,'Matriz POA 2024-TRABAJO'!$A$5:$CD$9142,29,FALSE)</f>
        <v>57</v>
      </c>
      <c r="P329" s="12">
        <f>VLOOKUP($A329,'Matriz POA 2024-TRABAJO'!$A$5:$CD$9142,30,FALSE)</f>
        <v>570102</v>
      </c>
      <c r="Q329" s="12">
        <f>VLOOKUP($A329,'Matriz POA 2024-TRABAJO'!$A$5:$CD$9142,32,FALSE)</f>
        <v>1309</v>
      </c>
      <c r="R329" s="12" t="str">
        <f>VLOOKUP($A329,'Matriz POA 2024-TRABAJO'!$A$5:$CD$9142,33,FALSE)</f>
        <v>001</v>
      </c>
      <c r="S329" s="12" t="str">
        <f>VLOOKUP($A329,'Matriz POA 2024-TRABAJO'!$A$5:$CD$9142,34,FALSE)</f>
        <v>0000</v>
      </c>
      <c r="T329" s="12" t="str">
        <f>VLOOKUP($A329,'Matriz POA 2024-TRABAJO'!$A$5:$CD$9142,35,FALSE)</f>
        <v>0000</v>
      </c>
      <c r="U329" s="62" t="str">
        <f>VLOOKUP($A329,'Matriz POA 2024-TRABAJO'!$A$5:$CD$9142,66,FALSE)</f>
        <v/>
      </c>
      <c r="V329" s="62" t="str">
        <f>VLOOKUP($A329,'Matriz POA 2024-TRABAJO'!$A$5:$CD$9142,67,FALSE)</f>
        <v/>
      </c>
      <c r="W329" s="62">
        <f>VLOOKUP($A329,'Matriz POA 2024-TRABAJO'!$A$5:$CD$9142,68,FALSE)</f>
        <v>350</v>
      </c>
      <c r="X329" s="62" t="str">
        <f>VLOOKUP($A329,'Matriz POA 2024-TRABAJO'!$A$5:$CD$9142,72,FALSE)</f>
        <v/>
      </c>
      <c r="Y329" s="388">
        <v>0</v>
      </c>
      <c r="Z329" s="388">
        <f>VLOOKUP($A329,'Matriz POA 2024-TRABAJO'!$A$5:$CD$9142,46,FALSE)</f>
        <v>0</v>
      </c>
      <c r="AA329" s="388">
        <v>0</v>
      </c>
      <c r="AB329" s="389">
        <v>350</v>
      </c>
      <c r="AC329" s="389"/>
      <c r="AD329" s="13"/>
      <c r="AE329" s="13"/>
      <c r="AF329" s="13">
        <f t="shared" si="363"/>
        <v>350</v>
      </c>
      <c r="AG329" s="13">
        <f t="shared" si="364"/>
        <v>0</v>
      </c>
      <c r="AH329" s="13">
        <f t="shared" si="365"/>
        <v>350</v>
      </c>
      <c r="AI329" s="129"/>
      <c r="AJ329" s="129"/>
      <c r="AK329" s="129"/>
      <c r="AL329" s="129"/>
      <c r="AM329" s="129"/>
      <c r="AN329" s="129"/>
      <c r="AO329" s="129"/>
      <c r="AP329" s="129"/>
      <c r="AQ329" s="129"/>
      <c r="AR329" s="129"/>
      <c r="AS329" s="129"/>
      <c r="AT329" s="129"/>
      <c r="AU329" s="129">
        <f t="shared" si="371"/>
        <v>0</v>
      </c>
      <c r="AV329" s="13" t="b">
        <f t="shared" si="366"/>
        <v>0</v>
      </c>
      <c r="AW329" s="14" t="s">
        <v>2019</v>
      </c>
      <c r="AX329" s="15" t="s">
        <v>2020</v>
      </c>
      <c r="AY329" s="16">
        <v>45601</v>
      </c>
      <c r="AZ329" s="15" t="s">
        <v>2021</v>
      </c>
      <c r="BA329" s="16">
        <v>45603</v>
      </c>
      <c r="BB329" s="17">
        <f t="shared" si="370"/>
        <v>2</v>
      </c>
      <c r="BC329" s="12"/>
      <c r="BD329" s="15"/>
      <c r="BE329" s="18"/>
      <c r="BF329" s="12"/>
      <c r="BG329" s="19" t="str">
        <f t="shared" si="367"/>
        <v>noviembre</v>
      </c>
      <c r="BH329" s="12" t="str">
        <f t="shared" si="368"/>
        <v>Corporación Ciudad Alfaro</v>
      </c>
      <c r="BI329" s="20" t="str">
        <f t="shared" si="369"/>
        <v>N/A</v>
      </c>
    </row>
    <row r="330" spans="1:61" ht="24.95" customHeight="1">
      <c r="A330" s="8">
        <v>1088</v>
      </c>
      <c r="B330" s="12" t="str">
        <f>VLOOKUP($A330,'Matriz POA 2024-TRABAJO'!$A$5:$CD$9142,11,FALSE)</f>
        <v>Corporación Ciudad Alfaro</v>
      </c>
      <c r="C330" s="12" t="str">
        <f>VLOOKUP($A330,'Matriz POA 2024-TRABAJO'!$A$5:$CD$9142,14,FALSE)</f>
        <v>N/A</v>
      </c>
      <c r="D330" s="12" t="str">
        <f>VLOOKUP($A330,'Matriz POA 2024-TRABAJO'!$A$5:$CD$9142,15,FALSE)</f>
        <v>N/A</v>
      </c>
      <c r="E330" s="12" t="str">
        <f>VLOOKUP($A330,'Matriz POA 2024-TRABAJO'!$A$5:$CD$9142,18,FALSE)</f>
        <v>N/A</v>
      </c>
      <c r="F330" s="12" t="str">
        <f>VLOOKUP($A330,'Matriz POA 2024-TRABAJO'!$A$5:$CD$9142,20,FALSE)</f>
        <v>N/A</v>
      </c>
      <c r="G330" s="12" t="str">
        <f>VLOOKUP($A330,'Matriz POA 2024-TRABAJO'!$A$5:$CD$9142,21,FALSE)</f>
        <v>N/A</v>
      </c>
      <c r="H330" s="12" t="str">
        <f>VLOOKUP($A330,'Matriz POA 2024-TRABAJO'!$A$5:$CD$9142,22,FALSE)</f>
        <v>N/A</v>
      </c>
      <c r="I330" s="12" t="str">
        <f>VLOOKUP($A330,'Matriz POA 2024-TRABAJO'!$A$5:$CD$9142,23,FALSE)</f>
        <v>NUEVA</v>
      </c>
      <c r="J330" s="12" t="str">
        <f>VLOOKUP($A330,'Matriz POA 2024-TRABAJO'!$A$5:$CD$9142,24,FALSE)</f>
        <v>Servicio de diseño, edición e impresión para el montaje de exposición temporal Hadatty en el Museo Centro Cultural Manta</v>
      </c>
      <c r="K330" s="12" t="str">
        <f>VLOOKUP($A330,'Matriz POA 2024-TRABAJO'!$A$5:$CD$9142,25,FALSE)</f>
        <v>0035</v>
      </c>
      <c r="L330" s="12" t="str">
        <f>VLOOKUP($A330,'Matriz POA 2024-TRABAJO'!$A$5:$CD$9142,26,FALSE)</f>
        <v>80</v>
      </c>
      <c r="M330" s="12" t="str">
        <f>VLOOKUP($A330,'Matriz POA 2024-TRABAJO'!$A$5:$CD$9142,27,FALSE)</f>
        <v>000</v>
      </c>
      <c r="N330" s="12" t="str">
        <f>VLOOKUP($A330,'Matriz POA 2024-TRABAJO'!$A$5:$CD$9142,28,FALSE)</f>
        <v>002</v>
      </c>
      <c r="O330" s="12">
        <f>VLOOKUP($A330,'Matriz POA 2024-TRABAJO'!$A$5:$CD$9142,29,FALSE)</f>
        <v>53</v>
      </c>
      <c r="P330" s="12">
        <f>VLOOKUP($A330,'Matriz POA 2024-TRABAJO'!$A$5:$CD$9142,30,FALSE)</f>
        <v>530204</v>
      </c>
      <c r="Q330" s="12">
        <f>VLOOKUP($A330,'Matriz POA 2024-TRABAJO'!$A$5:$CD$9142,32,FALSE)</f>
        <v>1308</v>
      </c>
      <c r="R330" s="12" t="str">
        <f>VLOOKUP($A330,'Matriz POA 2024-TRABAJO'!$A$5:$CD$9142,33,FALSE)</f>
        <v>002</v>
      </c>
      <c r="S330" s="12" t="str">
        <f>VLOOKUP($A330,'Matriz POA 2024-TRABAJO'!$A$5:$CD$9142,34,FALSE)</f>
        <v>0000</v>
      </c>
      <c r="T330" s="12" t="str">
        <f>VLOOKUP($A330,'Matriz POA 2024-TRABAJO'!$A$5:$CD$9142,35,FALSE)</f>
        <v>0000</v>
      </c>
      <c r="U330" s="62" t="str">
        <f>VLOOKUP($A330,'Matriz POA 2024-TRABAJO'!$A$5:$CD$9142,66,FALSE)</f>
        <v/>
      </c>
      <c r="V330" s="62" t="str">
        <f>VLOOKUP($A330,'Matriz POA 2024-TRABAJO'!$A$5:$CD$9142,67,FALSE)</f>
        <v/>
      </c>
      <c r="W330" s="62">
        <f>VLOOKUP($A330,'Matriz POA 2024-TRABAJO'!$A$5:$CD$9142,68,FALSE)</f>
        <v>1000</v>
      </c>
      <c r="X330" s="62">
        <f>VLOOKUP($A330,'Matriz POA 2024-TRABAJO'!$A$5:$CD$9142,72,FALSE)</f>
        <v>1000</v>
      </c>
      <c r="Y330" s="388">
        <v>0</v>
      </c>
      <c r="Z330" s="388">
        <f>VLOOKUP($A330,'Matriz POA 2024-TRABAJO'!$A$5:$CD$9142,46,FALSE)</f>
        <v>0</v>
      </c>
      <c r="AA330" s="388">
        <v>0</v>
      </c>
      <c r="AB330" s="389">
        <v>1000</v>
      </c>
      <c r="AC330" s="389"/>
      <c r="AD330" s="13"/>
      <c r="AE330" s="13"/>
      <c r="AF330" s="13">
        <f t="shared" si="363"/>
        <v>1000</v>
      </c>
      <c r="AG330" s="13">
        <f t="shared" si="364"/>
        <v>0</v>
      </c>
      <c r="AH330" s="13">
        <f t="shared" si="365"/>
        <v>1000</v>
      </c>
      <c r="AI330" s="129"/>
      <c r="AJ330" s="129"/>
      <c r="AK330" s="129"/>
      <c r="AL330" s="129"/>
      <c r="AM330" s="129"/>
      <c r="AN330" s="129"/>
      <c r="AO330" s="129"/>
      <c r="AP330" s="129"/>
      <c r="AQ330" s="129"/>
      <c r="AR330" s="129"/>
      <c r="AS330" s="129"/>
      <c r="AT330" s="129"/>
      <c r="AU330" s="129">
        <f t="shared" si="371"/>
        <v>0</v>
      </c>
      <c r="AV330" s="13" t="b">
        <f t="shared" si="366"/>
        <v>0</v>
      </c>
      <c r="AW330" s="14" t="s">
        <v>2019</v>
      </c>
      <c r="AX330" s="15" t="s">
        <v>2020</v>
      </c>
      <c r="AY330" s="16">
        <v>45601</v>
      </c>
      <c r="AZ330" s="15" t="s">
        <v>2021</v>
      </c>
      <c r="BA330" s="16">
        <v>45603</v>
      </c>
      <c r="BB330" s="17">
        <f t="shared" si="370"/>
        <v>2</v>
      </c>
      <c r="BC330" s="12"/>
      <c r="BD330" s="15"/>
      <c r="BE330" s="18"/>
      <c r="BF330" s="12"/>
      <c r="BG330" s="19" t="str">
        <f t="shared" si="367"/>
        <v>noviembre</v>
      </c>
      <c r="BH330" s="12" t="str">
        <f t="shared" si="368"/>
        <v>Corporación Ciudad Alfaro</v>
      </c>
      <c r="BI330" s="20" t="str">
        <f t="shared" si="369"/>
        <v>N/A</v>
      </c>
    </row>
    <row r="331" spans="1:61" ht="24.95" customHeight="1">
      <c r="A331" s="8">
        <v>492</v>
      </c>
      <c r="B331" s="12" t="str">
        <f>VLOOKUP($A331,'Matriz POA 2024-TRABAJO'!$A$5:$CD$9142,11,FALSE)</f>
        <v>Corporación Ciudad Alfaro</v>
      </c>
      <c r="C331" s="12" t="str">
        <f>VLOOKUP($A331,'Matriz POA 2024-TRABAJO'!$A$5:$CD$9142,14,FALSE)</f>
        <v>N/A</v>
      </c>
      <c r="D331" s="12" t="str">
        <f>VLOOKUP($A331,'Matriz POA 2024-TRABAJO'!$A$5:$CD$9142,15,FALSE)</f>
        <v>N/A</v>
      </c>
      <c r="E331" s="12" t="str">
        <f>VLOOKUP($A331,'Matriz POA 2024-TRABAJO'!$A$5:$CD$9142,18,FALSE)</f>
        <v>N/A</v>
      </c>
      <c r="F331" s="12" t="str">
        <f>VLOOKUP($A331,'Matriz POA 2024-TRABAJO'!$A$5:$CD$9142,20,FALSE)</f>
        <v>N/A</v>
      </c>
      <c r="G331" s="12" t="str">
        <f>VLOOKUP($A331,'Matriz POA 2024-TRABAJO'!$A$5:$CD$9142,21,FALSE)</f>
        <v>N/A</v>
      </c>
      <c r="H331" s="12" t="str">
        <f>VLOOKUP($A331,'Matriz POA 2024-TRABAJO'!$A$5:$CD$9142,22,FALSE)</f>
        <v>N/A</v>
      </c>
      <c r="I331" s="12" t="str">
        <f>VLOOKUP($A331,'Matriz POA 2024-TRABAJO'!$A$5:$CD$9142,23,FALSE)</f>
        <v>NUEVA</v>
      </c>
      <c r="J331" s="12" t="str">
        <f>VLOOKUP($A331,'Matriz POA 2024-TRABAJO'!$A$5:$CD$9142,24,FALSE)</f>
        <v>Eventos enmarcados en el rescate y la recuperación de los saberes ancestrales, difusión y fortalecimiento de la memoria social y cultural de la Corporación Ciudad Alfaro y sus sedes en Portoviejo, Manta y Bahía de Caráquez</v>
      </c>
      <c r="K331" s="12" t="str">
        <f>VLOOKUP($A331,'Matriz POA 2024-TRABAJO'!$A$5:$CD$9142,25,FALSE)</f>
        <v>0035</v>
      </c>
      <c r="L331" s="12" t="str">
        <f>VLOOKUP($A331,'Matriz POA 2024-TRABAJO'!$A$5:$CD$9142,26,FALSE)</f>
        <v>80</v>
      </c>
      <c r="M331" s="12" t="str">
        <f>VLOOKUP($A331,'Matriz POA 2024-TRABAJO'!$A$5:$CD$9142,27,FALSE)</f>
        <v>000</v>
      </c>
      <c r="N331" s="12" t="str">
        <f>VLOOKUP($A331,'Matriz POA 2024-TRABAJO'!$A$5:$CD$9142,28,FALSE)</f>
        <v>002</v>
      </c>
      <c r="O331" s="12" t="str">
        <f>VLOOKUP($A331,'Matriz POA 2024-TRABAJO'!$A$5:$CD$9142,29,FALSE)</f>
        <v>53</v>
      </c>
      <c r="P331" s="12">
        <f>VLOOKUP($A331,'Matriz POA 2024-TRABAJO'!$A$5:$CD$9142,30,FALSE)</f>
        <v>530205</v>
      </c>
      <c r="Q331" s="12">
        <f>VLOOKUP($A331,'Matriz POA 2024-TRABAJO'!$A$5:$CD$9142,32,FALSE)</f>
        <v>1309</v>
      </c>
      <c r="R331" s="12" t="str">
        <f>VLOOKUP($A331,'Matriz POA 2024-TRABAJO'!$A$5:$CD$9142,33,FALSE)</f>
        <v>002</v>
      </c>
      <c r="S331" s="12" t="str">
        <f>VLOOKUP($A331,'Matriz POA 2024-TRABAJO'!$A$5:$CD$9142,34,FALSE)</f>
        <v>0000</v>
      </c>
      <c r="T331" s="12" t="str">
        <f>VLOOKUP($A331,'Matriz POA 2024-TRABAJO'!$A$5:$CD$9142,35,FALSE)</f>
        <v>0000</v>
      </c>
      <c r="U331" s="62" t="str">
        <f>VLOOKUP($A331,'Matriz POA 2024-TRABAJO'!$A$5:$CD$9142,66,FALSE)</f>
        <v/>
      </c>
      <c r="V331" s="62" t="str">
        <f>VLOOKUP($A331,'Matriz POA 2024-TRABAJO'!$A$5:$CD$9142,67,FALSE)</f>
        <v/>
      </c>
      <c r="W331" s="62" t="str">
        <f>VLOOKUP($A331,'Matriz POA 2024-TRABAJO'!$A$5:$CD$9142,68,FALSE)</f>
        <v/>
      </c>
      <c r="X331" s="62" t="str">
        <f>VLOOKUP($A331,'Matriz POA 2024-TRABAJO'!$A$5:$CD$9142,72,FALSE)</f>
        <v/>
      </c>
      <c r="Y331" s="388">
        <v>8057.62</v>
      </c>
      <c r="Z331" s="388">
        <f>VLOOKUP($A331,'Matriz POA 2024-TRABAJO'!$A$5:$CD$9142,46,FALSE)</f>
        <v>0</v>
      </c>
      <c r="AA331" s="388">
        <v>8057.62</v>
      </c>
      <c r="AB331" s="389"/>
      <c r="AC331" s="389">
        <v>-1000</v>
      </c>
      <c r="AD331" s="13"/>
      <c r="AE331" s="13"/>
      <c r="AF331" s="13">
        <f t="shared" si="363"/>
        <v>7057.62</v>
      </c>
      <c r="AG331" s="13">
        <f t="shared" si="364"/>
        <v>0</v>
      </c>
      <c r="AH331" s="13">
        <f t="shared" si="365"/>
        <v>7057.62</v>
      </c>
      <c r="AI331" s="129"/>
      <c r="AJ331" s="129"/>
      <c r="AK331" s="129"/>
      <c r="AL331" s="129"/>
      <c r="AM331" s="129"/>
      <c r="AN331" s="129"/>
      <c r="AO331" s="129"/>
      <c r="AP331" s="129"/>
      <c r="AQ331" s="129"/>
      <c r="AR331" s="129"/>
      <c r="AS331" s="129"/>
      <c r="AT331" s="129"/>
      <c r="AU331" s="129">
        <f t="shared" si="371"/>
        <v>0</v>
      </c>
      <c r="AV331" s="13" t="b">
        <f t="shared" si="366"/>
        <v>0</v>
      </c>
      <c r="AW331" s="14" t="s">
        <v>2019</v>
      </c>
      <c r="AX331" s="15" t="s">
        <v>2020</v>
      </c>
      <c r="AY331" s="16">
        <v>45601</v>
      </c>
      <c r="AZ331" s="15" t="s">
        <v>2021</v>
      </c>
      <c r="BA331" s="16">
        <v>45603</v>
      </c>
      <c r="BB331" s="17">
        <f t="shared" si="370"/>
        <v>2</v>
      </c>
      <c r="BC331" s="12"/>
      <c r="BD331" s="15"/>
      <c r="BE331" s="18"/>
      <c r="BF331" s="12"/>
      <c r="BG331" s="19" t="str">
        <f t="shared" si="367"/>
        <v>noviembre</v>
      </c>
      <c r="BH331" s="12" t="str">
        <f t="shared" si="368"/>
        <v>Corporación Ciudad Alfaro</v>
      </c>
      <c r="BI331" s="20" t="str">
        <f t="shared" si="369"/>
        <v>N/A</v>
      </c>
    </row>
    <row r="332" spans="1:61" ht="24.95" customHeight="1">
      <c r="A332" s="8">
        <v>1106</v>
      </c>
      <c r="B332" s="12" t="str">
        <f>VLOOKUP($A332,'Matriz POA 2024-TRABAJO'!$A$5:$CD$9142,11,FALSE)</f>
        <v>Corporación Ciudad Alfaro</v>
      </c>
      <c r="C332" s="12" t="str">
        <f>VLOOKUP($A332,'Matriz POA 2024-TRABAJO'!$A$5:$CD$9142,14,FALSE)</f>
        <v>N/A</v>
      </c>
      <c r="D332" s="12" t="str">
        <f>VLOOKUP($A332,'Matriz POA 2024-TRABAJO'!$A$5:$CD$9142,15,FALSE)</f>
        <v>N/A</v>
      </c>
      <c r="E332" s="12">
        <f>VLOOKUP($A332,'Matriz POA 2024-TRABAJO'!$A$5:$CD$9142,18,FALSE)</f>
        <v>0</v>
      </c>
      <c r="F332" s="12">
        <f>VLOOKUP($A332,'Matriz POA 2024-TRABAJO'!$A$5:$CD$9142,20,FALSE)</f>
        <v>0</v>
      </c>
      <c r="G332" s="12">
        <f>VLOOKUP($A332,'Matriz POA 2024-TRABAJO'!$A$5:$CD$9142,21,FALSE)</f>
        <v>0</v>
      </c>
      <c r="H332" s="12" t="str">
        <f>VLOOKUP($A332,'Matriz POA 2024-TRABAJO'!$A$5:$CD$9142,22,FALSE)</f>
        <v>N/A</v>
      </c>
      <c r="I332" s="12" t="str">
        <f>VLOOKUP($A332,'Matriz POA 2024-TRABAJO'!$A$5:$CD$9142,23,FALSE)</f>
        <v>NUEVA</v>
      </c>
      <c r="J332" s="12" t="str">
        <f>VLOOKUP($A332,'Matriz POA 2024-TRABAJO'!$A$5:$CD$9142,24,FALSE)</f>
        <v>Pago de expensas comunales de las instalaciones del Museo Portoviejo y Archivo Histórico</v>
      </c>
      <c r="K332" s="12" t="str">
        <f>VLOOKUP($A332,'Matriz POA 2024-TRABAJO'!$A$5:$CD$9142,25,FALSE)</f>
        <v>0035</v>
      </c>
      <c r="L332" s="12" t="str">
        <f>VLOOKUP($A332,'Matriz POA 2024-TRABAJO'!$A$5:$CD$9142,26,FALSE)</f>
        <v>80</v>
      </c>
      <c r="M332" s="12" t="str">
        <f>VLOOKUP($A332,'Matriz POA 2024-TRABAJO'!$A$5:$CD$9142,27,FALSE)</f>
        <v>000</v>
      </c>
      <c r="N332" s="12" t="str">
        <f>VLOOKUP($A332,'Matriz POA 2024-TRABAJO'!$A$5:$CD$9142,28,FALSE)</f>
        <v>002</v>
      </c>
      <c r="O332" s="12">
        <f>VLOOKUP($A332,'Matriz POA 2024-TRABAJO'!$A$5:$CD$9142,29,FALSE)</f>
        <v>53</v>
      </c>
      <c r="P332" s="12">
        <f>VLOOKUP($A332,'Matriz POA 2024-TRABAJO'!$A$5:$CD$9142,30,FALSE)</f>
        <v>530402</v>
      </c>
      <c r="Q332" s="12">
        <f>VLOOKUP($A332,'Matriz POA 2024-TRABAJO'!$A$5:$CD$9142,32,FALSE)</f>
        <v>1301</v>
      </c>
      <c r="R332" s="12" t="str">
        <f>VLOOKUP($A332,'Matriz POA 2024-TRABAJO'!$A$5:$CD$9142,33,FALSE)</f>
        <v>002</v>
      </c>
      <c r="S332" s="12" t="str">
        <f>VLOOKUP($A332,'Matriz POA 2024-TRABAJO'!$A$5:$CD$9142,34,FALSE)</f>
        <v>0000</v>
      </c>
      <c r="T332" s="12" t="str">
        <f>VLOOKUP($A332,'Matriz POA 2024-TRABAJO'!$A$5:$CD$9142,35,FALSE)</f>
        <v>0000</v>
      </c>
      <c r="U332" s="62" t="str">
        <f>VLOOKUP($A332,'Matriz POA 2024-TRABAJO'!$A$5:$CD$9142,66,FALSE)</f>
        <v/>
      </c>
      <c r="V332" s="62" t="str">
        <f>VLOOKUP($A332,'Matriz POA 2024-TRABAJO'!$A$5:$CD$9142,67,FALSE)</f>
        <v/>
      </c>
      <c r="W332" s="62">
        <f>VLOOKUP($A332,'Matriz POA 2024-TRABAJO'!$A$5:$CD$9142,68,FALSE)</f>
        <v>6829.92</v>
      </c>
      <c r="X332" s="62">
        <f>VLOOKUP($A332,'Matriz POA 2024-TRABAJO'!$A$5:$CD$9142,72,FALSE)</f>
        <v>6624</v>
      </c>
      <c r="Y332" s="388">
        <v>0</v>
      </c>
      <c r="Z332" s="388">
        <f>VLOOKUP($A332,'Matriz POA 2024-TRABAJO'!$A$5:$CD$9142,46,FALSE)</f>
        <v>0</v>
      </c>
      <c r="AA332" s="388">
        <v>0</v>
      </c>
      <c r="AB332" s="389">
        <v>36515.06</v>
      </c>
      <c r="AC332" s="389"/>
      <c r="AD332" s="13"/>
      <c r="AE332" s="13"/>
      <c r="AF332" s="13">
        <f t="shared" si="363"/>
        <v>36515.06</v>
      </c>
      <c r="AG332" s="13">
        <f t="shared" si="364"/>
        <v>0</v>
      </c>
      <c r="AH332" s="13">
        <f t="shared" si="365"/>
        <v>36515.06</v>
      </c>
      <c r="AI332" s="129"/>
      <c r="AJ332" s="129"/>
      <c r="AK332" s="129"/>
      <c r="AL332" s="129"/>
      <c r="AM332" s="129"/>
      <c r="AN332" s="129"/>
      <c r="AO332" s="129"/>
      <c r="AP332" s="129"/>
      <c r="AQ332" s="129"/>
      <c r="AR332" s="129"/>
      <c r="AS332" s="129"/>
      <c r="AT332" s="129"/>
      <c r="AU332" s="129">
        <f t="shared" si="371"/>
        <v>0</v>
      </c>
      <c r="AV332" s="13" t="b">
        <f t="shared" si="366"/>
        <v>0</v>
      </c>
      <c r="AW332" s="14" t="s">
        <v>2023</v>
      </c>
      <c r="AX332" s="15" t="s">
        <v>2025</v>
      </c>
      <c r="AY332" s="16">
        <v>45609</v>
      </c>
      <c r="AZ332" s="15" t="s">
        <v>2024</v>
      </c>
      <c r="BA332" s="16">
        <v>45610</v>
      </c>
      <c r="BB332" s="17">
        <f t="shared" si="370"/>
        <v>1</v>
      </c>
      <c r="BC332" s="12"/>
      <c r="BD332" s="15"/>
      <c r="BE332" s="18"/>
      <c r="BF332" s="12"/>
      <c r="BG332" s="19" t="str">
        <f t="shared" si="367"/>
        <v>noviembre</v>
      </c>
      <c r="BH332" s="12" t="str">
        <f t="shared" si="368"/>
        <v>Corporación Ciudad Alfaro</v>
      </c>
      <c r="BI332" s="20">
        <f t="shared" si="369"/>
        <v>0</v>
      </c>
    </row>
    <row r="333" spans="1:61" ht="24.95" customHeight="1">
      <c r="A333" s="8">
        <v>829</v>
      </c>
      <c r="B333" s="12" t="str">
        <f>VLOOKUP($A333,'Matriz POA 2024-TRABAJO'!$A$5:$CD$9142,11,FALSE)</f>
        <v>Corporación Ciudad Alfaro</v>
      </c>
      <c r="C333" s="12" t="str">
        <f>VLOOKUP($A333,'Matriz POA 2024-TRABAJO'!$A$5:$CD$9142,14,FALSE)</f>
        <v>N/A</v>
      </c>
      <c r="D333" s="12" t="str">
        <f>VLOOKUP($A333,'Matriz POA 2024-TRABAJO'!$A$5:$CD$9142,15,FALSE)</f>
        <v>N/A</v>
      </c>
      <c r="E333" s="12" t="str">
        <f>VLOOKUP($A333,'Matriz POA 2024-TRABAJO'!$A$5:$CD$9142,18,FALSE)</f>
        <v>N/A</v>
      </c>
      <c r="F333" s="12" t="str">
        <f>VLOOKUP($A333,'Matriz POA 2024-TRABAJO'!$A$5:$CD$9142,20,FALSE)</f>
        <v>N/A</v>
      </c>
      <c r="G333" s="12" t="str">
        <f>VLOOKUP($A333,'Matriz POA 2024-TRABAJO'!$A$5:$CD$9142,21,FALSE)</f>
        <v>N/A</v>
      </c>
      <c r="H333" s="12" t="str">
        <f>VLOOKUP($A333,'Matriz POA 2024-TRABAJO'!$A$5:$CD$9142,22,FALSE)</f>
        <v>N/A</v>
      </c>
      <c r="I333" s="12" t="str">
        <f>VLOOKUP($A333,'Matriz POA 2024-TRABAJO'!$A$5:$CD$9142,23,FALSE)</f>
        <v>NUEVA</v>
      </c>
      <c r="J333" s="12" t="str">
        <f>VLOOKUP($A333,'Matriz POA 2024-TRABAJO'!$A$5:$CD$9142,24,FALSE)</f>
        <v>Pago del servicio de combustible para los vehículos de la Corporación Ciudad Alfaro de los meses, octubre, noviembre y diciembre del año 2023</v>
      </c>
      <c r="K333" s="12" t="str">
        <f>VLOOKUP($A333,'Matriz POA 2024-TRABAJO'!$A$5:$CD$9142,25,FALSE)</f>
        <v>0035</v>
      </c>
      <c r="L333" s="12" t="str">
        <f>VLOOKUP($A333,'Matriz POA 2024-TRABAJO'!$A$5:$CD$9142,26,FALSE)</f>
        <v>80</v>
      </c>
      <c r="M333" s="12" t="str">
        <f>VLOOKUP($A333,'Matriz POA 2024-TRABAJO'!$A$5:$CD$9142,27,FALSE)</f>
        <v>000</v>
      </c>
      <c r="N333" s="12" t="str">
        <f>VLOOKUP($A333,'Matriz POA 2024-TRABAJO'!$A$5:$CD$9142,28,FALSE)</f>
        <v>002</v>
      </c>
      <c r="O333" s="12" t="str">
        <f>VLOOKUP($A333,'Matriz POA 2024-TRABAJO'!$A$5:$CD$9142,29,FALSE)</f>
        <v>99</v>
      </c>
      <c r="P333" s="12">
        <f>VLOOKUP($A333,'Matriz POA 2024-TRABAJO'!$A$5:$CD$9142,30,FALSE)</f>
        <v>990102</v>
      </c>
      <c r="Q333" s="12">
        <f>VLOOKUP($A333,'Matriz POA 2024-TRABAJO'!$A$5:$CD$9142,32,FALSE)</f>
        <v>1309</v>
      </c>
      <c r="R333" s="12" t="str">
        <f>VLOOKUP($A333,'Matriz POA 2024-TRABAJO'!$A$5:$CD$9142,33,FALSE)</f>
        <v>001</v>
      </c>
      <c r="S333" s="12" t="str">
        <f>VLOOKUP($A333,'Matriz POA 2024-TRABAJO'!$A$5:$CD$9142,34,FALSE)</f>
        <v>0000</v>
      </c>
      <c r="T333" s="12" t="str">
        <f>VLOOKUP($A333,'Matriz POA 2024-TRABAJO'!$A$5:$CD$9142,35,FALSE)</f>
        <v>0000</v>
      </c>
      <c r="U333" s="62">
        <f>VLOOKUP($A333,'Matriz POA 2024-TRABAJO'!$A$5:$CD$9142,66,FALSE)</f>
        <v>1350</v>
      </c>
      <c r="V333" s="62">
        <f>VLOOKUP($A333,'Matriz POA 2024-TRABAJO'!$A$5:$CD$9142,67,FALSE)</f>
        <v>-1350</v>
      </c>
      <c r="W333" s="62">
        <f>VLOOKUP($A333,'Matriz POA 2024-TRABAJO'!$A$5:$CD$9142,68,FALSE)</f>
        <v>0</v>
      </c>
      <c r="X333" s="62" t="str">
        <f>VLOOKUP($A333,'Matriz POA 2024-TRABAJO'!$A$5:$CD$9142,72,FALSE)</f>
        <v/>
      </c>
      <c r="Y333" s="388">
        <v>1350</v>
      </c>
      <c r="Z333" s="388">
        <f>VLOOKUP($A333,'Matriz POA 2024-TRABAJO'!$A$5:$CD$9142,46,FALSE)</f>
        <v>0</v>
      </c>
      <c r="AA333" s="388">
        <v>1350</v>
      </c>
      <c r="AB333" s="389"/>
      <c r="AC333" s="389">
        <v>-1350</v>
      </c>
      <c r="AD333" s="13"/>
      <c r="AE333" s="13"/>
      <c r="AF333" s="13">
        <f t="shared" si="363"/>
        <v>0</v>
      </c>
      <c r="AG333" s="13">
        <f t="shared" si="364"/>
        <v>0</v>
      </c>
      <c r="AH333" s="13">
        <f t="shared" si="365"/>
        <v>0</v>
      </c>
      <c r="AI333" s="129"/>
      <c r="AJ333" s="129"/>
      <c r="AK333" s="129"/>
      <c r="AL333" s="129"/>
      <c r="AM333" s="129"/>
      <c r="AN333" s="129"/>
      <c r="AO333" s="129"/>
      <c r="AP333" s="129"/>
      <c r="AQ333" s="129"/>
      <c r="AR333" s="129"/>
      <c r="AS333" s="129"/>
      <c r="AT333" s="129"/>
      <c r="AU333" s="129">
        <f t="shared" si="371"/>
        <v>0</v>
      </c>
      <c r="AV333" s="13" t="b">
        <f t="shared" si="366"/>
        <v>1</v>
      </c>
      <c r="AW333" s="14" t="s">
        <v>2029</v>
      </c>
      <c r="AX333" s="15" t="s">
        <v>2027</v>
      </c>
      <c r="AY333" s="16">
        <v>45610</v>
      </c>
      <c r="AZ333" s="15" t="s">
        <v>2028</v>
      </c>
      <c r="BA333" s="16">
        <v>45610</v>
      </c>
      <c r="BB333" s="17">
        <f t="shared" si="370"/>
        <v>0</v>
      </c>
      <c r="BC333" s="12"/>
      <c r="BD333" s="15"/>
      <c r="BE333" s="18"/>
      <c r="BF333" s="12"/>
      <c r="BG333" s="19" t="str">
        <f t="shared" si="367"/>
        <v>noviembre</v>
      </c>
      <c r="BH333" s="12" t="str">
        <f t="shared" si="368"/>
        <v>Corporación Ciudad Alfaro</v>
      </c>
      <c r="BI333" s="20" t="str">
        <f t="shared" si="369"/>
        <v>N/A</v>
      </c>
    </row>
    <row r="334" spans="1:61" ht="24.95" customHeight="1">
      <c r="A334" s="8">
        <v>1107</v>
      </c>
      <c r="B334" s="12" t="str">
        <f>VLOOKUP($A334,'Matriz POA 2024-TRABAJO'!$A$5:$CD$9142,11,FALSE)</f>
        <v>Corporación Ciudad Alfaro</v>
      </c>
      <c r="C334" s="12" t="str">
        <f>VLOOKUP($A334,'Matriz POA 2024-TRABAJO'!$A$5:$CD$9142,14,FALSE)</f>
        <v>N/A</v>
      </c>
      <c r="D334" s="12" t="str">
        <f>VLOOKUP($A334,'Matriz POA 2024-TRABAJO'!$A$5:$CD$9142,15,FALSE)</f>
        <v>N/A</v>
      </c>
      <c r="E334" s="12">
        <f>VLOOKUP($A334,'Matriz POA 2024-TRABAJO'!$A$5:$CD$9142,18,FALSE)</f>
        <v>0</v>
      </c>
      <c r="F334" s="12">
        <f>VLOOKUP($A334,'Matriz POA 2024-TRABAJO'!$A$5:$CD$9142,20,FALSE)</f>
        <v>0</v>
      </c>
      <c r="G334" s="12">
        <f>VLOOKUP($A334,'Matriz POA 2024-TRABAJO'!$A$5:$CD$9142,21,FALSE)</f>
        <v>0</v>
      </c>
      <c r="H334" s="12" t="str">
        <f>VLOOKUP($A334,'Matriz POA 2024-TRABAJO'!$A$5:$CD$9142,22,FALSE)</f>
        <v>N/A</v>
      </c>
      <c r="I334" s="12" t="str">
        <f>VLOOKUP($A334,'Matriz POA 2024-TRABAJO'!$A$5:$CD$9142,23,FALSE)</f>
        <v>NUEVA</v>
      </c>
      <c r="J334" s="12" t="str">
        <f>VLOOKUP($A334,'Matriz POA 2024-TRABAJO'!$A$5:$CD$9142,24,FALSE)</f>
        <v>Reembolso beneficio adquisición de ropa de trabajo</v>
      </c>
      <c r="K334" s="12" t="str">
        <f>VLOOKUP($A334,'Matriz POA 2024-TRABAJO'!$A$5:$CD$9142,25,FALSE)</f>
        <v>0035</v>
      </c>
      <c r="L334" s="12" t="str">
        <f>VLOOKUP($A334,'Matriz POA 2024-TRABAJO'!$A$5:$CD$9142,26,FALSE)</f>
        <v>80</v>
      </c>
      <c r="M334" s="12" t="str">
        <f>VLOOKUP($A334,'Matriz POA 2024-TRABAJO'!$A$5:$CD$9142,27,FALSE)</f>
        <v>000</v>
      </c>
      <c r="N334" s="12" t="str">
        <f>VLOOKUP($A334,'Matriz POA 2024-TRABAJO'!$A$5:$CD$9142,28,FALSE)</f>
        <v>002</v>
      </c>
      <c r="O334" s="12">
        <f>VLOOKUP($A334,'Matriz POA 2024-TRABAJO'!$A$5:$CD$9142,29,FALSE)</f>
        <v>99</v>
      </c>
      <c r="P334" s="12">
        <f>VLOOKUP($A334,'Matriz POA 2024-TRABAJO'!$A$5:$CD$9142,30,FALSE)</f>
        <v>990101</v>
      </c>
      <c r="Q334" s="12">
        <f>VLOOKUP($A334,'Matriz POA 2024-TRABAJO'!$A$5:$CD$9142,32,FALSE)</f>
        <v>1309</v>
      </c>
      <c r="R334" s="12" t="str">
        <f>VLOOKUP($A334,'Matriz POA 2024-TRABAJO'!$A$5:$CD$9142,33,FALSE)</f>
        <v>001</v>
      </c>
      <c r="S334" s="12" t="str">
        <f>VLOOKUP($A334,'Matriz POA 2024-TRABAJO'!$A$5:$CD$9142,34,FALSE)</f>
        <v>0000</v>
      </c>
      <c r="T334" s="12" t="str">
        <f>VLOOKUP($A334,'Matriz POA 2024-TRABAJO'!$A$5:$CD$9142,35,FALSE)</f>
        <v>0000</v>
      </c>
      <c r="U334" s="62" t="str">
        <f>VLOOKUP($A334,'Matriz POA 2024-TRABAJO'!$A$5:$CD$9142,66,FALSE)</f>
        <v/>
      </c>
      <c r="V334" s="62" t="str">
        <f>VLOOKUP($A334,'Matriz POA 2024-TRABAJO'!$A$5:$CD$9142,67,FALSE)</f>
        <v/>
      </c>
      <c r="W334" s="62">
        <f>VLOOKUP($A334,'Matriz POA 2024-TRABAJO'!$A$5:$CD$9142,68,FALSE)</f>
        <v>0</v>
      </c>
      <c r="X334" s="62">
        <f>VLOOKUP($A334,'Matriz POA 2024-TRABAJO'!$A$5:$CD$9142,72,FALSE)</f>
        <v>1350</v>
      </c>
      <c r="Y334" s="388">
        <v>0</v>
      </c>
      <c r="Z334" s="388">
        <f>VLOOKUP($A334,'Matriz POA 2024-TRABAJO'!$A$5:$CD$9142,46,FALSE)</f>
        <v>0</v>
      </c>
      <c r="AA334" s="388">
        <v>0</v>
      </c>
      <c r="AB334" s="389">
        <v>1350</v>
      </c>
      <c r="AC334" s="389"/>
      <c r="AD334" s="13"/>
      <c r="AE334" s="13"/>
      <c r="AF334" s="13">
        <f t="shared" si="363"/>
        <v>1350</v>
      </c>
      <c r="AG334" s="13">
        <f t="shared" si="364"/>
        <v>0</v>
      </c>
      <c r="AH334" s="13">
        <f t="shared" si="365"/>
        <v>1350</v>
      </c>
      <c r="AI334" s="129"/>
      <c r="AJ334" s="129"/>
      <c r="AK334" s="129"/>
      <c r="AL334" s="129"/>
      <c r="AM334" s="129"/>
      <c r="AN334" s="129"/>
      <c r="AO334" s="129"/>
      <c r="AP334" s="129"/>
      <c r="AQ334" s="129"/>
      <c r="AR334" s="129"/>
      <c r="AS334" s="129"/>
      <c r="AT334" s="129"/>
      <c r="AU334" s="129">
        <f t="shared" si="371"/>
        <v>0</v>
      </c>
      <c r="AV334" s="13" t="b">
        <f t="shared" si="366"/>
        <v>0</v>
      </c>
      <c r="AW334" s="14" t="s">
        <v>2029</v>
      </c>
      <c r="AX334" s="15" t="s">
        <v>2027</v>
      </c>
      <c r="AY334" s="16">
        <v>45610</v>
      </c>
      <c r="AZ334" s="15" t="s">
        <v>2028</v>
      </c>
      <c r="BA334" s="16">
        <v>45610</v>
      </c>
      <c r="BB334" s="17">
        <f t="shared" si="370"/>
        <v>0</v>
      </c>
      <c r="BC334" s="12"/>
      <c r="BD334" s="15"/>
      <c r="BE334" s="18"/>
      <c r="BF334" s="12"/>
      <c r="BG334" s="19" t="str">
        <f t="shared" si="367"/>
        <v>noviembre</v>
      </c>
      <c r="BH334" s="12" t="str">
        <f t="shared" si="368"/>
        <v>Corporación Ciudad Alfaro</v>
      </c>
      <c r="BI334" s="20">
        <f t="shared" si="369"/>
        <v>0</v>
      </c>
    </row>
    <row r="335" spans="1:61" ht="24.95" customHeight="1">
      <c r="A335" s="8">
        <v>492</v>
      </c>
      <c r="B335" s="12" t="str">
        <f>VLOOKUP($A335,'Matriz POA 2024-TRABAJO'!$A$5:$CD$9142,11,FALSE)</f>
        <v>Corporación Ciudad Alfaro</v>
      </c>
      <c r="C335" s="12" t="str">
        <f>VLOOKUP($A335,'Matriz POA 2024-TRABAJO'!$A$5:$CD$9142,14,FALSE)</f>
        <v>N/A</v>
      </c>
      <c r="D335" s="12" t="str">
        <f>VLOOKUP($A335,'Matriz POA 2024-TRABAJO'!$A$5:$CD$9142,15,FALSE)</f>
        <v>N/A</v>
      </c>
      <c r="E335" s="12" t="str">
        <f>VLOOKUP($A335,'Matriz POA 2024-TRABAJO'!$A$5:$CD$9142,18,FALSE)</f>
        <v>N/A</v>
      </c>
      <c r="F335" s="12" t="str">
        <f>VLOOKUP($A335,'Matriz POA 2024-TRABAJO'!$A$5:$CD$9142,20,FALSE)</f>
        <v>N/A</v>
      </c>
      <c r="G335" s="12" t="str">
        <f>VLOOKUP($A335,'Matriz POA 2024-TRABAJO'!$A$5:$CD$9142,21,FALSE)</f>
        <v>N/A</v>
      </c>
      <c r="H335" s="12" t="str">
        <f>VLOOKUP($A335,'Matriz POA 2024-TRABAJO'!$A$5:$CD$9142,22,FALSE)</f>
        <v>N/A</v>
      </c>
      <c r="I335" s="12" t="str">
        <f>VLOOKUP($A335,'Matriz POA 2024-TRABAJO'!$A$5:$CD$9142,23,FALSE)</f>
        <v>NUEVA</v>
      </c>
      <c r="J335" s="12" t="str">
        <f>VLOOKUP($A335,'Matriz POA 2024-TRABAJO'!$A$5:$CD$9142,24,FALSE)</f>
        <v>Eventos enmarcados en el rescate y la recuperación de los saberes ancestrales, difusión y fortalecimiento de la memoria social y cultural de la Corporación Ciudad Alfaro y sus sedes en Portoviejo, Manta y Bahía de Caráquez</v>
      </c>
      <c r="K335" s="12" t="str">
        <f>VLOOKUP($A335,'Matriz POA 2024-TRABAJO'!$A$5:$CD$9142,25,FALSE)</f>
        <v>0035</v>
      </c>
      <c r="L335" s="12" t="str">
        <f>VLOOKUP($A335,'Matriz POA 2024-TRABAJO'!$A$5:$CD$9142,26,FALSE)</f>
        <v>80</v>
      </c>
      <c r="M335" s="12" t="str">
        <f>VLOOKUP($A335,'Matriz POA 2024-TRABAJO'!$A$5:$CD$9142,27,FALSE)</f>
        <v>000</v>
      </c>
      <c r="N335" s="12" t="str">
        <f>VLOOKUP($A335,'Matriz POA 2024-TRABAJO'!$A$5:$CD$9142,28,FALSE)</f>
        <v>002</v>
      </c>
      <c r="O335" s="12" t="str">
        <f>VLOOKUP($A335,'Matriz POA 2024-TRABAJO'!$A$5:$CD$9142,29,FALSE)</f>
        <v>53</v>
      </c>
      <c r="P335" s="12">
        <f>VLOOKUP($A335,'Matriz POA 2024-TRABAJO'!$A$5:$CD$9142,30,FALSE)</f>
        <v>530205</v>
      </c>
      <c r="Q335" s="12">
        <f>VLOOKUP($A335,'Matriz POA 2024-TRABAJO'!$A$5:$CD$9142,32,FALSE)</f>
        <v>1309</v>
      </c>
      <c r="R335" s="12" t="str">
        <f>VLOOKUP($A335,'Matriz POA 2024-TRABAJO'!$A$5:$CD$9142,33,FALSE)</f>
        <v>002</v>
      </c>
      <c r="S335" s="12" t="str">
        <f>VLOOKUP($A335,'Matriz POA 2024-TRABAJO'!$A$5:$CD$9142,34,FALSE)</f>
        <v>0000</v>
      </c>
      <c r="T335" s="12" t="str">
        <f>VLOOKUP($A335,'Matriz POA 2024-TRABAJO'!$A$5:$CD$9142,35,FALSE)</f>
        <v>0000</v>
      </c>
      <c r="U335" s="62" t="str">
        <f>VLOOKUP($A335,'Matriz POA 2024-TRABAJO'!$A$5:$CD$9142,66,FALSE)</f>
        <v/>
      </c>
      <c r="V335" s="62" t="str">
        <f>VLOOKUP($A335,'Matriz POA 2024-TRABAJO'!$A$5:$CD$9142,67,FALSE)</f>
        <v/>
      </c>
      <c r="W335" s="62" t="str">
        <f>VLOOKUP($A335,'Matriz POA 2024-TRABAJO'!$A$5:$CD$9142,68,FALSE)</f>
        <v/>
      </c>
      <c r="X335" s="62" t="str">
        <f>VLOOKUP($A335,'Matriz POA 2024-TRABAJO'!$A$5:$CD$9142,72,FALSE)</f>
        <v/>
      </c>
      <c r="Y335" s="388">
        <v>7057.62</v>
      </c>
      <c r="Z335" s="388">
        <f>VLOOKUP($A335,'Matriz POA 2024-TRABAJO'!$A$5:$CD$9142,46,FALSE)</f>
        <v>0</v>
      </c>
      <c r="AA335" s="388">
        <v>7057.62</v>
      </c>
      <c r="AB335" s="389"/>
      <c r="AC335" s="389">
        <v>-6829.92</v>
      </c>
      <c r="AD335" s="13"/>
      <c r="AE335" s="13"/>
      <c r="AF335" s="13">
        <f t="shared" ref="AF335:AF340" si="381">Y335+AB335+AC335</f>
        <v>227.69999999999982</v>
      </c>
      <c r="AG335" s="13">
        <f t="shared" ref="AG335:AG340" si="382">Z335+AD335+AE335</f>
        <v>0</v>
      </c>
      <c r="AH335" s="13">
        <f t="shared" ref="AH335:AH340" si="383">+AF335+AG335</f>
        <v>227.69999999999982</v>
      </c>
      <c r="AI335" s="129"/>
      <c r="AJ335" s="129"/>
      <c r="AK335" s="129"/>
      <c r="AL335" s="129"/>
      <c r="AM335" s="129"/>
      <c r="AN335" s="129"/>
      <c r="AO335" s="129"/>
      <c r="AP335" s="129"/>
      <c r="AQ335" s="129"/>
      <c r="AR335" s="129"/>
      <c r="AS335" s="129"/>
      <c r="AT335" s="129"/>
      <c r="AU335" s="129">
        <f t="shared" ref="AU335:AU340" si="384">SUM(AI335:AT335)</f>
        <v>0</v>
      </c>
      <c r="AV335" s="13" t="b">
        <f t="shared" ref="AV335:AV340" si="385">SUM(AI335:AT335)=AH335</f>
        <v>0</v>
      </c>
      <c r="AW335" s="14" t="s">
        <v>2032</v>
      </c>
      <c r="AX335" s="15" t="s">
        <v>2031</v>
      </c>
      <c r="AY335" s="16">
        <v>45614</v>
      </c>
      <c r="AZ335" s="15"/>
      <c r="BA335" s="16"/>
      <c r="BB335" s="17">
        <f t="shared" ref="BB335:BB340" si="386">BA335-AY335</f>
        <v>-45614</v>
      </c>
      <c r="BC335" s="12"/>
      <c r="BD335" s="15"/>
      <c r="BE335" s="18"/>
      <c r="BF335" s="12"/>
      <c r="BG335" s="19" t="str">
        <f t="shared" ref="BG335:BG340" si="387">TEXT(BA335,"MMMM")</f>
        <v>enero</v>
      </c>
      <c r="BH335" s="12" t="str">
        <f t="shared" ref="BH335:BH340" si="388">B335</f>
        <v>Corporación Ciudad Alfaro</v>
      </c>
      <c r="BI335" s="20" t="str">
        <f t="shared" ref="BI335:BI340" si="389">E335</f>
        <v>N/A</v>
      </c>
    </row>
    <row r="336" spans="1:61" ht="24.95" customHeight="1">
      <c r="A336" s="8">
        <v>1106</v>
      </c>
      <c r="B336" s="12" t="str">
        <f>VLOOKUP($A336,'Matriz POA 2024-TRABAJO'!$A$5:$CD$9142,11,FALSE)</f>
        <v>Corporación Ciudad Alfaro</v>
      </c>
      <c r="C336" s="12" t="str">
        <f>VLOOKUP($A336,'Matriz POA 2024-TRABAJO'!$A$5:$CD$9142,14,FALSE)</f>
        <v>N/A</v>
      </c>
      <c r="D336" s="12" t="str">
        <f>VLOOKUP($A336,'Matriz POA 2024-TRABAJO'!$A$5:$CD$9142,15,FALSE)</f>
        <v>N/A</v>
      </c>
      <c r="E336" s="12">
        <f>VLOOKUP($A336,'Matriz POA 2024-TRABAJO'!$A$5:$CD$9142,18,FALSE)</f>
        <v>0</v>
      </c>
      <c r="F336" s="12">
        <f>VLOOKUP($A336,'Matriz POA 2024-TRABAJO'!$A$5:$CD$9142,20,FALSE)</f>
        <v>0</v>
      </c>
      <c r="G336" s="12">
        <f>VLOOKUP($A336,'Matriz POA 2024-TRABAJO'!$A$5:$CD$9142,21,FALSE)</f>
        <v>0</v>
      </c>
      <c r="H336" s="12" t="str">
        <f>VLOOKUP($A336,'Matriz POA 2024-TRABAJO'!$A$5:$CD$9142,22,FALSE)</f>
        <v>N/A</v>
      </c>
      <c r="I336" s="12" t="str">
        <f>VLOOKUP($A336,'Matriz POA 2024-TRABAJO'!$A$5:$CD$9142,23,FALSE)</f>
        <v>NUEVA</v>
      </c>
      <c r="J336" s="12" t="str">
        <f>VLOOKUP($A336,'Matriz POA 2024-TRABAJO'!$A$5:$CD$9142,24,FALSE)</f>
        <v>Pago de expensas comunales de las instalaciones del Museo Portoviejo y Archivo Histórico</v>
      </c>
      <c r="K336" s="12" t="str">
        <f>VLOOKUP($A336,'Matriz POA 2024-TRABAJO'!$A$5:$CD$9142,25,FALSE)</f>
        <v>0035</v>
      </c>
      <c r="L336" s="12" t="str">
        <f>VLOOKUP($A336,'Matriz POA 2024-TRABAJO'!$A$5:$CD$9142,26,FALSE)</f>
        <v>80</v>
      </c>
      <c r="M336" s="12" t="str">
        <f>VLOOKUP($A336,'Matriz POA 2024-TRABAJO'!$A$5:$CD$9142,27,FALSE)</f>
        <v>000</v>
      </c>
      <c r="N336" s="12" t="str">
        <f>VLOOKUP($A336,'Matriz POA 2024-TRABAJO'!$A$5:$CD$9142,28,FALSE)</f>
        <v>002</v>
      </c>
      <c r="O336" s="12">
        <f>VLOOKUP($A336,'Matriz POA 2024-TRABAJO'!$A$5:$CD$9142,29,FALSE)</f>
        <v>53</v>
      </c>
      <c r="P336" s="12">
        <f>VLOOKUP($A336,'Matriz POA 2024-TRABAJO'!$A$5:$CD$9142,30,FALSE)</f>
        <v>530402</v>
      </c>
      <c r="Q336" s="12">
        <f>VLOOKUP($A336,'Matriz POA 2024-TRABAJO'!$A$5:$CD$9142,32,FALSE)</f>
        <v>1301</v>
      </c>
      <c r="R336" s="12" t="str">
        <f>VLOOKUP($A336,'Matriz POA 2024-TRABAJO'!$A$5:$CD$9142,33,FALSE)</f>
        <v>002</v>
      </c>
      <c r="S336" s="12" t="str">
        <f>VLOOKUP($A336,'Matriz POA 2024-TRABAJO'!$A$5:$CD$9142,34,FALSE)</f>
        <v>0000</v>
      </c>
      <c r="T336" s="12" t="str">
        <f>VLOOKUP($A336,'Matriz POA 2024-TRABAJO'!$A$5:$CD$9142,35,FALSE)</f>
        <v>0000</v>
      </c>
      <c r="U336" s="62" t="str">
        <f>VLOOKUP($A336,'Matriz POA 2024-TRABAJO'!$A$5:$CD$9142,66,FALSE)</f>
        <v/>
      </c>
      <c r="V336" s="62" t="str">
        <f>VLOOKUP($A336,'Matriz POA 2024-TRABAJO'!$A$5:$CD$9142,67,FALSE)</f>
        <v/>
      </c>
      <c r="W336" s="62">
        <f>VLOOKUP($A336,'Matriz POA 2024-TRABAJO'!$A$5:$CD$9142,68,FALSE)</f>
        <v>6829.92</v>
      </c>
      <c r="X336" s="62">
        <f>VLOOKUP($A336,'Matriz POA 2024-TRABAJO'!$A$5:$CD$9142,72,FALSE)</f>
        <v>6624</v>
      </c>
      <c r="Y336" s="388">
        <v>0</v>
      </c>
      <c r="Z336" s="388">
        <f>VLOOKUP($A336,'Matriz POA 2024-TRABAJO'!$A$5:$CD$9142,46,FALSE)</f>
        <v>0</v>
      </c>
      <c r="AA336" s="388">
        <v>0</v>
      </c>
      <c r="AB336" s="389">
        <v>6829.92</v>
      </c>
      <c r="AC336" s="389"/>
      <c r="AD336" s="13"/>
      <c r="AE336" s="13"/>
      <c r="AF336" s="13">
        <f t="shared" si="381"/>
        <v>6829.92</v>
      </c>
      <c r="AG336" s="13">
        <f t="shared" si="382"/>
        <v>0</v>
      </c>
      <c r="AH336" s="13">
        <f t="shared" si="383"/>
        <v>6829.92</v>
      </c>
      <c r="AI336" s="129"/>
      <c r="AJ336" s="129"/>
      <c r="AK336" s="129"/>
      <c r="AL336" s="129"/>
      <c r="AM336" s="129"/>
      <c r="AN336" s="129"/>
      <c r="AO336" s="129"/>
      <c r="AP336" s="129"/>
      <c r="AQ336" s="129"/>
      <c r="AR336" s="129"/>
      <c r="AS336" s="129"/>
      <c r="AT336" s="129"/>
      <c r="AU336" s="129">
        <f t="shared" si="384"/>
        <v>0</v>
      </c>
      <c r="AV336" s="13" t="b">
        <f t="shared" si="385"/>
        <v>0</v>
      </c>
      <c r="AW336" s="14" t="s">
        <v>2032</v>
      </c>
      <c r="AX336" s="15" t="s">
        <v>2031</v>
      </c>
      <c r="AY336" s="16">
        <v>45614</v>
      </c>
      <c r="AZ336" s="15"/>
      <c r="BA336" s="16"/>
      <c r="BB336" s="17">
        <f t="shared" si="386"/>
        <v>-45614</v>
      </c>
      <c r="BC336" s="12"/>
      <c r="BD336" s="15"/>
      <c r="BE336" s="18"/>
      <c r="BF336" s="12"/>
      <c r="BG336" s="19" t="str">
        <f t="shared" si="387"/>
        <v>enero</v>
      </c>
      <c r="BH336" s="12" t="str">
        <f t="shared" si="388"/>
        <v>Corporación Ciudad Alfaro</v>
      </c>
      <c r="BI336" s="20">
        <f t="shared" si="389"/>
        <v>0</v>
      </c>
    </row>
    <row r="337" spans="1:61" ht="24.95" customHeight="1">
      <c r="A337" s="8">
        <v>433</v>
      </c>
      <c r="B337" s="12" t="str">
        <f>VLOOKUP($A337,'Matriz POA 2024-TRABAJO'!$A$5:$CD$9142,11,FALSE)</f>
        <v>Corporación Ciudad Alfaro</v>
      </c>
      <c r="C337" s="12" t="str">
        <f>VLOOKUP($A337,'Matriz POA 2024-TRABAJO'!$A$5:$CD$9142,14,FALSE)</f>
        <v>N/A</v>
      </c>
      <c r="D337" s="12" t="str">
        <f>VLOOKUP($A337,'Matriz POA 2024-TRABAJO'!$A$5:$CD$9142,15,FALSE)</f>
        <v>N/A</v>
      </c>
      <c r="E337" s="12" t="str">
        <f>VLOOKUP($A337,'Matriz POA 2024-TRABAJO'!$A$5:$CD$9142,18,FALSE)</f>
        <v>N/A</v>
      </c>
      <c r="F337" s="12" t="str">
        <f>VLOOKUP($A337,'Matriz POA 2024-TRABAJO'!$A$5:$CD$9142,20,FALSE)</f>
        <v>N/A</v>
      </c>
      <c r="G337" s="12" t="str">
        <f>VLOOKUP($A337,'Matriz POA 2024-TRABAJO'!$A$5:$CD$9142,21,FALSE)</f>
        <v>N/A</v>
      </c>
      <c r="H337" s="12" t="str">
        <f>VLOOKUP($A337,'Matriz POA 2024-TRABAJO'!$A$5:$CD$9142,22,FALSE)</f>
        <v>N/A</v>
      </c>
      <c r="I337" s="12" t="str">
        <f>VLOOKUP($A337,'Matriz POA 2024-TRABAJO'!$A$5:$CD$9142,23,FALSE)</f>
        <v>NUEVA</v>
      </c>
      <c r="J337" s="12" t="str">
        <f>VLOOKUP($A337,'Matriz POA 2024-TRABAJO'!$A$5:$CD$9142,24,FALSE)</f>
        <v>Pago de expensas comunales de las instalaciones del Museo Portoviejo y Archivo Histórico</v>
      </c>
      <c r="K337" s="12" t="str">
        <f>VLOOKUP($A337,'Matriz POA 2024-TRABAJO'!$A$5:$CD$9142,25,FALSE)</f>
        <v>0035</v>
      </c>
      <c r="L337" s="12" t="str">
        <f>VLOOKUP($A337,'Matriz POA 2024-TRABAJO'!$A$5:$CD$9142,26,FALSE)</f>
        <v>80</v>
      </c>
      <c r="M337" s="12" t="str">
        <f>VLOOKUP($A337,'Matriz POA 2024-TRABAJO'!$A$5:$CD$9142,27,FALSE)</f>
        <v>000</v>
      </c>
      <c r="N337" s="12" t="str">
        <f>VLOOKUP($A337,'Matriz POA 2024-TRABAJO'!$A$5:$CD$9142,28,FALSE)</f>
        <v>002</v>
      </c>
      <c r="O337" s="12" t="str">
        <f>VLOOKUP($A337,'Matriz POA 2024-TRABAJO'!$A$5:$CD$9142,29,FALSE)</f>
        <v>53</v>
      </c>
      <c r="P337" s="12">
        <f>VLOOKUP($A337,'Matriz POA 2024-TRABAJO'!$A$5:$CD$9142,30,FALSE)</f>
        <v>530402</v>
      </c>
      <c r="Q337" s="12">
        <f>VLOOKUP($A337,'Matriz POA 2024-TRABAJO'!$A$5:$CD$9142,32,FALSE)</f>
        <v>1301</v>
      </c>
      <c r="R337" s="12" t="str">
        <f>VLOOKUP($A337,'Matriz POA 2024-TRABAJO'!$A$5:$CD$9142,33,FALSE)</f>
        <v>001</v>
      </c>
      <c r="S337" s="12" t="str">
        <f>VLOOKUP($A337,'Matriz POA 2024-TRABAJO'!$A$5:$CD$9142,34,FALSE)</f>
        <v>0000</v>
      </c>
      <c r="T337" s="12" t="str">
        <f>VLOOKUP($A337,'Matriz POA 2024-TRABAJO'!$A$5:$CD$9142,35,FALSE)</f>
        <v>0000</v>
      </c>
      <c r="U337" s="62" t="str">
        <f>VLOOKUP($A337,'Matriz POA 2024-TRABAJO'!$A$5:$CD$9142,66,FALSE)</f>
        <v/>
      </c>
      <c r="V337" s="62" t="str">
        <f>VLOOKUP($A337,'Matriz POA 2024-TRABAJO'!$A$5:$CD$9142,67,FALSE)</f>
        <v/>
      </c>
      <c r="W337" s="62">
        <f>VLOOKUP($A337,'Matriz POA 2024-TRABAJO'!$A$5:$CD$9142,68,FALSE)</f>
        <v>66034.080000000002</v>
      </c>
      <c r="X337" s="62">
        <f>VLOOKUP($A337,'Matriz POA 2024-TRABAJO'!$A$5:$CD$9142,72,FALSE)</f>
        <v>66034.080000000002</v>
      </c>
      <c r="Y337" s="388">
        <v>0</v>
      </c>
      <c r="Z337" s="388">
        <f>VLOOKUP($A337,'Matriz POA 2024-TRABAJO'!$A$5:$CD$9142,46,FALSE)</f>
        <v>0</v>
      </c>
      <c r="AA337" s="388">
        <v>0</v>
      </c>
      <c r="AB337" s="389">
        <v>66034.080000000002</v>
      </c>
      <c r="AC337" s="389"/>
      <c r="AD337" s="13"/>
      <c r="AE337" s="13"/>
      <c r="AF337" s="13">
        <f t="shared" si="381"/>
        <v>66034.080000000002</v>
      </c>
      <c r="AG337" s="13">
        <f t="shared" si="382"/>
        <v>0</v>
      </c>
      <c r="AH337" s="13">
        <f t="shared" si="383"/>
        <v>66034.080000000002</v>
      </c>
      <c r="AI337" s="129"/>
      <c r="AJ337" s="129"/>
      <c r="AK337" s="129"/>
      <c r="AL337" s="129"/>
      <c r="AM337" s="129"/>
      <c r="AN337" s="129"/>
      <c r="AO337" s="129"/>
      <c r="AP337" s="129"/>
      <c r="AQ337" s="129"/>
      <c r="AR337" s="129"/>
      <c r="AS337" s="129"/>
      <c r="AT337" s="129"/>
      <c r="AU337" s="129">
        <f t="shared" si="384"/>
        <v>0</v>
      </c>
      <c r="AV337" s="13" t="b">
        <f t="shared" si="385"/>
        <v>0</v>
      </c>
      <c r="AW337" s="14" t="s">
        <v>2034</v>
      </c>
      <c r="AX337" s="15" t="s">
        <v>2033</v>
      </c>
      <c r="AY337" s="16">
        <v>45621</v>
      </c>
      <c r="AZ337" s="15" t="s">
        <v>2035</v>
      </c>
      <c r="BA337" s="16">
        <v>45622</v>
      </c>
      <c r="BB337" s="17">
        <f t="shared" si="386"/>
        <v>1</v>
      </c>
      <c r="BC337" s="12"/>
      <c r="BD337" s="15"/>
      <c r="BE337" s="18"/>
      <c r="BF337" s="12"/>
      <c r="BG337" s="19" t="str">
        <f t="shared" si="387"/>
        <v>noviembre</v>
      </c>
      <c r="BH337" s="12" t="str">
        <f t="shared" si="388"/>
        <v>Corporación Ciudad Alfaro</v>
      </c>
      <c r="BI337" s="20" t="str">
        <f t="shared" si="389"/>
        <v>N/A</v>
      </c>
    </row>
    <row r="338" spans="1:61" ht="24.95" customHeight="1">
      <c r="A338" s="8">
        <v>1106</v>
      </c>
      <c r="B338" s="12" t="str">
        <f>VLOOKUP($A338,'Matriz POA 2024-TRABAJO'!$A$5:$CD$9142,11,FALSE)</f>
        <v>Corporación Ciudad Alfaro</v>
      </c>
      <c r="C338" s="12" t="str">
        <f>VLOOKUP($A338,'Matriz POA 2024-TRABAJO'!$A$5:$CD$9142,14,FALSE)</f>
        <v>N/A</v>
      </c>
      <c r="D338" s="12" t="str">
        <f>VLOOKUP($A338,'Matriz POA 2024-TRABAJO'!$A$5:$CD$9142,15,FALSE)</f>
        <v>N/A</v>
      </c>
      <c r="E338" s="12">
        <f>VLOOKUP($A338,'Matriz POA 2024-TRABAJO'!$A$5:$CD$9142,18,FALSE)</f>
        <v>0</v>
      </c>
      <c r="F338" s="12">
        <f>VLOOKUP($A338,'Matriz POA 2024-TRABAJO'!$A$5:$CD$9142,20,FALSE)</f>
        <v>0</v>
      </c>
      <c r="G338" s="12">
        <f>VLOOKUP($A338,'Matriz POA 2024-TRABAJO'!$A$5:$CD$9142,21,FALSE)</f>
        <v>0</v>
      </c>
      <c r="H338" s="12" t="str">
        <f>VLOOKUP($A338,'Matriz POA 2024-TRABAJO'!$A$5:$CD$9142,22,FALSE)</f>
        <v>N/A</v>
      </c>
      <c r="I338" s="12" t="str">
        <f>VLOOKUP($A338,'Matriz POA 2024-TRABAJO'!$A$5:$CD$9142,23,FALSE)</f>
        <v>NUEVA</v>
      </c>
      <c r="J338" s="12" t="str">
        <f>VLOOKUP($A338,'Matriz POA 2024-TRABAJO'!$A$5:$CD$9142,24,FALSE)</f>
        <v>Pago de expensas comunales de las instalaciones del Museo Portoviejo y Archivo Histórico</v>
      </c>
      <c r="K338" s="12" t="str">
        <f>VLOOKUP($A338,'Matriz POA 2024-TRABAJO'!$A$5:$CD$9142,25,FALSE)</f>
        <v>0035</v>
      </c>
      <c r="L338" s="12" t="str">
        <f>VLOOKUP($A338,'Matriz POA 2024-TRABAJO'!$A$5:$CD$9142,26,FALSE)</f>
        <v>80</v>
      </c>
      <c r="M338" s="12" t="str">
        <f>VLOOKUP($A338,'Matriz POA 2024-TRABAJO'!$A$5:$CD$9142,27,FALSE)</f>
        <v>000</v>
      </c>
      <c r="N338" s="12" t="str">
        <f>VLOOKUP($A338,'Matriz POA 2024-TRABAJO'!$A$5:$CD$9142,28,FALSE)</f>
        <v>002</v>
      </c>
      <c r="O338" s="12">
        <f>VLOOKUP($A338,'Matriz POA 2024-TRABAJO'!$A$5:$CD$9142,29,FALSE)</f>
        <v>53</v>
      </c>
      <c r="P338" s="12">
        <f>VLOOKUP($A338,'Matriz POA 2024-TRABAJO'!$A$5:$CD$9142,30,FALSE)</f>
        <v>530402</v>
      </c>
      <c r="Q338" s="12">
        <f>VLOOKUP($A338,'Matriz POA 2024-TRABAJO'!$A$5:$CD$9142,32,FALSE)</f>
        <v>1301</v>
      </c>
      <c r="R338" s="12" t="str">
        <f>VLOOKUP($A338,'Matriz POA 2024-TRABAJO'!$A$5:$CD$9142,33,FALSE)</f>
        <v>002</v>
      </c>
      <c r="S338" s="12" t="str">
        <f>VLOOKUP($A338,'Matriz POA 2024-TRABAJO'!$A$5:$CD$9142,34,FALSE)</f>
        <v>0000</v>
      </c>
      <c r="T338" s="12" t="str">
        <f>VLOOKUP($A338,'Matriz POA 2024-TRABAJO'!$A$5:$CD$9142,35,FALSE)</f>
        <v>0000</v>
      </c>
      <c r="U338" s="62" t="str">
        <f>VLOOKUP($A338,'Matriz POA 2024-TRABAJO'!$A$5:$CD$9142,66,FALSE)</f>
        <v/>
      </c>
      <c r="V338" s="62" t="str">
        <f>VLOOKUP($A338,'Matriz POA 2024-TRABAJO'!$A$5:$CD$9142,67,FALSE)</f>
        <v/>
      </c>
      <c r="W338" s="62">
        <f>VLOOKUP($A338,'Matriz POA 2024-TRABAJO'!$A$5:$CD$9142,68,FALSE)</f>
        <v>6829.92</v>
      </c>
      <c r="X338" s="62">
        <f>VLOOKUP($A338,'Matriz POA 2024-TRABAJO'!$A$5:$CD$9142,72,FALSE)</f>
        <v>6624</v>
      </c>
      <c r="Y338" s="388">
        <v>43344.979999999996</v>
      </c>
      <c r="Z338" s="388">
        <f>VLOOKUP($A338,'Matriz POA 2024-TRABAJO'!$A$5:$CD$9142,46,FALSE)</f>
        <v>0</v>
      </c>
      <c r="AA338" s="388">
        <v>43344.979999999996</v>
      </c>
      <c r="AB338" s="389"/>
      <c r="AC338" s="389">
        <v>-36515.06</v>
      </c>
      <c r="AD338" s="13"/>
      <c r="AE338" s="13"/>
      <c r="AF338" s="13">
        <f t="shared" si="381"/>
        <v>6829.9199999999983</v>
      </c>
      <c r="AG338" s="13">
        <f t="shared" si="382"/>
        <v>0</v>
      </c>
      <c r="AH338" s="13">
        <f t="shared" si="383"/>
        <v>6829.9199999999983</v>
      </c>
      <c r="AI338" s="129"/>
      <c r="AJ338" s="129"/>
      <c r="AK338" s="129"/>
      <c r="AL338" s="129"/>
      <c r="AM338" s="129"/>
      <c r="AN338" s="129"/>
      <c r="AO338" s="129"/>
      <c r="AP338" s="129"/>
      <c r="AQ338" s="129"/>
      <c r="AR338" s="129"/>
      <c r="AS338" s="129"/>
      <c r="AT338" s="129"/>
      <c r="AU338" s="129">
        <f t="shared" si="384"/>
        <v>0</v>
      </c>
      <c r="AV338" s="13" t="b">
        <f t="shared" si="385"/>
        <v>0</v>
      </c>
      <c r="AW338" s="14" t="s">
        <v>2036</v>
      </c>
      <c r="AX338" s="15" t="s">
        <v>2037</v>
      </c>
      <c r="AY338" s="16">
        <v>45623</v>
      </c>
      <c r="AZ338" s="15" t="s">
        <v>2037</v>
      </c>
      <c r="BA338" s="16">
        <v>45623</v>
      </c>
      <c r="BB338" s="17">
        <f t="shared" si="386"/>
        <v>0</v>
      </c>
      <c r="BC338" s="12"/>
      <c r="BD338" s="15"/>
      <c r="BE338" s="18"/>
      <c r="BF338" s="12"/>
      <c r="BG338" s="19" t="str">
        <f t="shared" si="387"/>
        <v>noviembre</v>
      </c>
      <c r="BH338" s="12" t="str">
        <f t="shared" si="388"/>
        <v>Corporación Ciudad Alfaro</v>
      </c>
      <c r="BI338" s="20">
        <f t="shared" si="389"/>
        <v>0</v>
      </c>
    </row>
    <row r="339" spans="1:61" ht="24.95" customHeight="1">
      <c r="A339" s="135">
        <v>464</v>
      </c>
      <c r="B339" s="12" t="str">
        <f>VLOOKUP($A339,'Matriz POA 2024-TRABAJO'!$A$5:$CD$9142,11,FALSE)</f>
        <v>Corporación Ciudad Alfaro</v>
      </c>
      <c r="C339" s="12" t="str">
        <f>VLOOKUP($A339,'Matriz POA 2024-TRABAJO'!$A$5:$CD$9142,14,FALSE)</f>
        <v>N/A</v>
      </c>
      <c r="D339" s="12" t="str">
        <f>VLOOKUP($A339,'Matriz POA 2024-TRABAJO'!$A$5:$CD$9142,15,FALSE)</f>
        <v>N/A</v>
      </c>
      <c r="E339" s="12" t="str">
        <f>VLOOKUP($A339,'Matriz POA 2024-TRABAJO'!$A$5:$CD$9142,18,FALSE)</f>
        <v>N/A</v>
      </c>
      <c r="F339" s="12" t="str">
        <f>VLOOKUP($A339,'Matriz POA 2024-TRABAJO'!$A$5:$CD$9142,20,FALSE)</f>
        <v>N/A</v>
      </c>
      <c r="G339" s="12" t="str">
        <f>VLOOKUP($A339,'Matriz POA 2024-TRABAJO'!$A$5:$CD$9142,21,FALSE)</f>
        <v>N/A</v>
      </c>
      <c r="H339" s="12" t="str">
        <f>VLOOKUP($A339,'Matriz POA 2024-TRABAJO'!$A$5:$CD$9142,22,FALSE)</f>
        <v>N/A</v>
      </c>
      <c r="I339" s="12" t="str">
        <f>VLOOKUP($A339,'Matriz POA 2024-TRABAJO'!$A$5:$CD$9142,23,FALSE)</f>
        <v>NUEVA</v>
      </c>
      <c r="J339" s="12" t="str">
        <f>VLOOKUP($A339,'Matriz POA 2024-TRABAJO'!$A$5:$CD$9142,24,FALSE)</f>
        <v>Pago de tasas y contribuciones a los predios urbanos y cuerpo de bomberos de la Corporación Ciudad Alfaro</v>
      </c>
      <c r="K339" s="12" t="str">
        <f>VLOOKUP($A339,'Matriz POA 2024-TRABAJO'!$A$5:$CD$9142,25,FALSE)</f>
        <v>0035</v>
      </c>
      <c r="L339" s="12" t="str">
        <f>VLOOKUP($A339,'Matriz POA 2024-TRABAJO'!$A$5:$CD$9142,26,FALSE)</f>
        <v>80</v>
      </c>
      <c r="M339" s="12" t="str">
        <f>VLOOKUP($A339,'Matriz POA 2024-TRABAJO'!$A$5:$CD$9142,27,FALSE)</f>
        <v>000</v>
      </c>
      <c r="N339" s="12" t="str">
        <f>VLOOKUP($A339,'Matriz POA 2024-TRABAJO'!$A$5:$CD$9142,28,FALSE)</f>
        <v>002</v>
      </c>
      <c r="O339" s="12" t="str">
        <f>VLOOKUP($A339,'Matriz POA 2024-TRABAJO'!$A$5:$CD$9142,29,FALSE)</f>
        <v>57</v>
      </c>
      <c r="P339" s="12">
        <f>VLOOKUP($A339,'Matriz POA 2024-TRABAJO'!$A$5:$CD$9142,30,FALSE)</f>
        <v>570102</v>
      </c>
      <c r="Q339" s="12">
        <f>VLOOKUP($A339,'Matriz POA 2024-TRABAJO'!$A$5:$CD$9142,32,FALSE)</f>
        <v>1309</v>
      </c>
      <c r="R339" s="12" t="str">
        <f>VLOOKUP($A339,'Matriz POA 2024-TRABAJO'!$A$5:$CD$9142,33,FALSE)</f>
        <v>001</v>
      </c>
      <c r="S339" s="12" t="str">
        <f>VLOOKUP($A339,'Matriz POA 2024-TRABAJO'!$A$5:$CD$9142,34,FALSE)</f>
        <v>0000</v>
      </c>
      <c r="T339" s="12" t="str">
        <f>VLOOKUP($A339,'Matriz POA 2024-TRABAJO'!$A$5:$CD$9142,35,FALSE)</f>
        <v>0000</v>
      </c>
      <c r="U339" s="62">
        <f>VLOOKUP($A339,'Matriz POA 2024-TRABAJO'!$A$5:$CD$9142,66,FALSE)</f>
        <v>3000</v>
      </c>
      <c r="V339" s="62">
        <f>VLOOKUP($A339,'Matriz POA 2024-TRABAJO'!$A$5:$CD$9142,67,FALSE)</f>
        <v>-2424.64</v>
      </c>
      <c r="W339" s="62">
        <f>VLOOKUP($A339,'Matriz POA 2024-TRABAJO'!$A$5:$CD$9142,68,FALSE)</f>
        <v>0</v>
      </c>
      <c r="X339" s="62">
        <f>VLOOKUP($A339,'Matriz POA 2024-TRABAJO'!$A$5:$CD$9142,72,FALSE)</f>
        <v>575.36</v>
      </c>
      <c r="Y339" s="388">
        <v>3000</v>
      </c>
      <c r="Z339" s="388">
        <f>VLOOKUP($A339,'Matriz POA 2024-TRABAJO'!$A$5:$CD$9142,46,FALSE)</f>
        <v>0</v>
      </c>
      <c r="AA339" s="388">
        <v>3000</v>
      </c>
      <c r="AB339" s="389"/>
      <c r="AC339" s="389">
        <v>-2424.64</v>
      </c>
      <c r="AD339" s="13"/>
      <c r="AE339" s="13"/>
      <c r="AF339" s="13">
        <f t="shared" si="381"/>
        <v>575.36000000000013</v>
      </c>
      <c r="AG339" s="13">
        <f t="shared" si="382"/>
        <v>0</v>
      </c>
      <c r="AH339" s="13">
        <f t="shared" si="383"/>
        <v>575.36000000000013</v>
      </c>
      <c r="AI339" s="129"/>
      <c r="AJ339" s="129"/>
      <c r="AK339" s="129"/>
      <c r="AL339" s="129"/>
      <c r="AM339" s="129"/>
      <c r="AN339" s="129"/>
      <c r="AO339" s="129"/>
      <c r="AP339" s="129"/>
      <c r="AQ339" s="129"/>
      <c r="AR339" s="129"/>
      <c r="AS339" s="129"/>
      <c r="AT339" s="129"/>
      <c r="AU339" s="129">
        <f t="shared" si="384"/>
        <v>0</v>
      </c>
      <c r="AV339" s="13" t="b">
        <f t="shared" si="385"/>
        <v>0</v>
      </c>
      <c r="AW339" s="14" t="s">
        <v>2038</v>
      </c>
      <c r="AX339" s="15" t="s">
        <v>2040</v>
      </c>
      <c r="AY339" s="16">
        <v>45625</v>
      </c>
      <c r="AZ339" s="15" t="s">
        <v>2039</v>
      </c>
      <c r="BA339" s="16">
        <v>45625</v>
      </c>
      <c r="BB339" s="17">
        <f t="shared" si="386"/>
        <v>0</v>
      </c>
      <c r="BC339" s="12"/>
      <c r="BD339" s="15"/>
      <c r="BE339" s="18"/>
      <c r="BF339" s="12"/>
      <c r="BG339" s="19" t="str">
        <f t="shared" si="387"/>
        <v>noviembre</v>
      </c>
      <c r="BH339" s="12" t="str">
        <f t="shared" si="388"/>
        <v>Corporación Ciudad Alfaro</v>
      </c>
      <c r="BI339" s="20" t="str">
        <f t="shared" si="389"/>
        <v>N/A</v>
      </c>
    </row>
    <row r="340" spans="1:61" ht="24.95" customHeight="1">
      <c r="A340" s="135">
        <v>870</v>
      </c>
      <c r="B340" s="12" t="str">
        <f>VLOOKUP($A340,'Matriz POA 2024-TRABAJO'!$A$5:$CD$9142,11,FALSE)</f>
        <v>Corporación Ciudad Alfaro</v>
      </c>
      <c r="C340" s="12" t="str">
        <f>VLOOKUP($A340,'Matriz POA 2024-TRABAJO'!$A$5:$CD$9142,14,FALSE)</f>
        <v>N/A</v>
      </c>
      <c r="D340" s="12" t="str">
        <f>VLOOKUP($A340,'Matriz POA 2024-TRABAJO'!$A$5:$CD$9142,15,FALSE)</f>
        <v>N/A</v>
      </c>
      <c r="E340" s="12" t="str">
        <f>VLOOKUP($A340,'Matriz POA 2024-TRABAJO'!$A$5:$CD$9142,18,FALSE)</f>
        <v>N/A</v>
      </c>
      <c r="F340" s="12" t="str">
        <f>VLOOKUP($A340,'Matriz POA 2024-TRABAJO'!$A$5:$CD$9142,20,FALSE)</f>
        <v>N/A</v>
      </c>
      <c r="G340" s="12" t="str">
        <f>VLOOKUP($A340,'Matriz POA 2024-TRABAJO'!$A$5:$CD$9142,21,FALSE)</f>
        <v>N/A</v>
      </c>
      <c r="H340" s="12" t="str">
        <f>VLOOKUP($A340,'Matriz POA 2024-TRABAJO'!$A$5:$CD$9142,22,FALSE)</f>
        <v>N/A</v>
      </c>
      <c r="I340" s="12" t="str">
        <f>VLOOKUP($A340,'Matriz POA 2024-TRABAJO'!$A$5:$CD$9142,23,FALSE)</f>
        <v>NUEVA</v>
      </c>
      <c r="J340" s="12" t="str">
        <f>VLOOKUP($A340,'Matriz POA 2024-TRABAJO'!$A$5:$CD$9142,24,FALSE)</f>
        <v>Contratación del servicio de mantenimiento preventivo y correctivo del sistema de climatización del piso 5 en el museo intermedio Manta, sede de la Corporación Ciudad Alfaro</v>
      </c>
      <c r="K340" s="12" t="str">
        <f>VLOOKUP($A340,'Matriz POA 2024-TRABAJO'!$A$5:$CD$9142,25,FALSE)</f>
        <v>0035</v>
      </c>
      <c r="L340" s="12" t="str">
        <f>VLOOKUP($A340,'Matriz POA 2024-TRABAJO'!$A$5:$CD$9142,26,FALSE)</f>
        <v>80</v>
      </c>
      <c r="M340" s="12" t="str">
        <f>VLOOKUP($A340,'Matriz POA 2024-TRABAJO'!$A$5:$CD$9142,27,FALSE)</f>
        <v>000</v>
      </c>
      <c r="N340" s="12" t="str">
        <f>VLOOKUP($A340,'Matriz POA 2024-TRABAJO'!$A$5:$CD$9142,28,FALSE)</f>
        <v>002</v>
      </c>
      <c r="O340" s="12" t="str">
        <f>VLOOKUP($A340,'Matriz POA 2024-TRABAJO'!$A$5:$CD$9142,29,FALSE)</f>
        <v>53</v>
      </c>
      <c r="P340" s="12">
        <f>VLOOKUP($A340,'Matriz POA 2024-TRABAJO'!$A$5:$CD$9142,30,FALSE)</f>
        <v>530404</v>
      </c>
      <c r="Q340" s="12">
        <f>VLOOKUP($A340,'Matriz POA 2024-TRABAJO'!$A$5:$CD$9142,32,FALSE)</f>
        <v>1308</v>
      </c>
      <c r="R340" s="12" t="str">
        <f>VLOOKUP($A340,'Matriz POA 2024-TRABAJO'!$A$5:$CD$9142,33,FALSE)</f>
        <v>001</v>
      </c>
      <c r="S340" s="12" t="str">
        <f>VLOOKUP($A340,'Matriz POA 2024-TRABAJO'!$A$5:$CD$9142,34,FALSE)</f>
        <v>0000</v>
      </c>
      <c r="T340" s="12" t="str">
        <f>VLOOKUP($A340,'Matriz POA 2024-TRABAJO'!$A$5:$CD$9142,35,FALSE)</f>
        <v>0000</v>
      </c>
      <c r="U340" s="62">
        <f>VLOOKUP($A340,'Matriz POA 2024-TRABAJO'!$A$5:$CD$9142,66,FALSE)</f>
        <v>4988.8999999999996</v>
      </c>
      <c r="V340" s="62">
        <f>VLOOKUP($A340,'Matriz POA 2024-TRABAJO'!$A$5:$CD$9142,67,FALSE)</f>
        <v>-113.89999999999964</v>
      </c>
      <c r="W340" s="62">
        <f>VLOOKUP($A340,'Matriz POA 2024-TRABAJO'!$A$5:$CD$9142,68,FALSE)</f>
        <v>4875</v>
      </c>
      <c r="X340" s="62">
        <f>VLOOKUP($A340,'Matriz POA 2024-TRABAJO'!$A$5:$CD$9142,72,FALSE)</f>
        <v>4875</v>
      </c>
      <c r="Y340" s="388">
        <v>4988.8999999999996</v>
      </c>
      <c r="Z340" s="388">
        <f>VLOOKUP($A340,'Matriz POA 2024-TRABAJO'!$A$5:$CD$9142,46,FALSE)</f>
        <v>0</v>
      </c>
      <c r="AA340" s="388">
        <v>4988.8999999999996</v>
      </c>
      <c r="AB340" s="389"/>
      <c r="AC340" s="389">
        <v>-113.9</v>
      </c>
      <c r="AD340" s="13"/>
      <c r="AE340" s="13"/>
      <c r="AF340" s="13">
        <f t="shared" si="381"/>
        <v>4875</v>
      </c>
      <c r="AG340" s="13">
        <f t="shared" si="382"/>
        <v>0</v>
      </c>
      <c r="AH340" s="13">
        <f t="shared" si="383"/>
        <v>4875</v>
      </c>
      <c r="AI340" s="129"/>
      <c r="AJ340" s="129"/>
      <c r="AK340" s="129"/>
      <c r="AL340" s="129"/>
      <c r="AM340" s="129"/>
      <c r="AN340" s="129"/>
      <c r="AO340" s="129"/>
      <c r="AP340" s="129"/>
      <c r="AQ340" s="129"/>
      <c r="AR340" s="129"/>
      <c r="AS340" s="129"/>
      <c r="AT340" s="129"/>
      <c r="AU340" s="129">
        <f t="shared" si="384"/>
        <v>0</v>
      </c>
      <c r="AV340" s="13" t="b">
        <f t="shared" si="385"/>
        <v>0</v>
      </c>
      <c r="AW340" s="14" t="s">
        <v>2038</v>
      </c>
      <c r="AX340" s="15" t="s">
        <v>2040</v>
      </c>
      <c r="AY340" s="16">
        <v>45625</v>
      </c>
      <c r="AZ340" s="15" t="s">
        <v>2039</v>
      </c>
      <c r="BA340" s="16">
        <v>45625</v>
      </c>
      <c r="BB340" s="17">
        <f t="shared" si="386"/>
        <v>0</v>
      </c>
      <c r="BC340" s="12"/>
      <c r="BD340" s="15"/>
      <c r="BE340" s="18"/>
      <c r="BF340" s="12"/>
      <c r="BG340" s="19" t="str">
        <f t="shared" si="387"/>
        <v>noviembre</v>
      </c>
      <c r="BH340" s="12" t="str">
        <f t="shared" si="388"/>
        <v>Corporación Ciudad Alfaro</v>
      </c>
      <c r="BI340" s="20" t="str">
        <f t="shared" si="389"/>
        <v>N/A</v>
      </c>
    </row>
    <row r="341" spans="1:61" ht="24.95" customHeight="1">
      <c r="A341" s="135">
        <v>1085</v>
      </c>
      <c r="B341" s="12" t="str">
        <f>VLOOKUP($A341,'Matriz POA 2024-TRABAJO'!$A$5:$CD$9142,11,FALSE)</f>
        <v>Corporación Ciudad Alfaro</v>
      </c>
      <c r="C341" s="12" t="str">
        <f>VLOOKUP($A341,'Matriz POA 2024-TRABAJO'!$A$5:$CD$9142,14,FALSE)</f>
        <v>N/A</v>
      </c>
      <c r="D341" s="12" t="str">
        <f>VLOOKUP($A341,'Matriz POA 2024-TRABAJO'!$A$5:$CD$9142,15,FALSE)</f>
        <v>N/A</v>
      </c>
      <c r="E341" s="12" t="str">
        <f>VLOOKUP($A341,'Matriz POA 2024-TRABAJO'!$A$5:$CD$9142,18,FALSE)</f>
        <v>N/A</v>
      </c>
      <c r="F341" s="12" t="str">
        <f>VLOOKUP($A341,'Matriz POA 2024-TRABAJO'!$A$5:$CD$9142,20,FALSE)</f>
        <v>N/A</v>
      </c>
      <c r="G341" s="12" t="str">
        <f>VLOOKUP($A341,'Matriz POA 2024-TRABAJO'!$A$5:$CD$9142,21,FALSE)</f>
        <v>N/A</v>
      </c>
      <c r="H341" s="12" t="str">
        <f>VLOOKUP($A341,'Matriz POA 2024-TRABAJO'!$A$5:$CD$9142,22,FALSE)</f>
        <v>N/A</v>
      </c>
      <c r="I341" s="12" t="str">
        <f>VLOOKUP($A341,'Matriz POA 2024-TRABAJO'!$A$5:$CD$9142,23,FALSE)</f>
        <v>NUEVA</v>
      </c>
      <c r="J341" s="12" t="str">
        <f>VLOOKUP($A341,'Matriz POA 2024-TRABAJO'!$A$5:$CD$9142,24,FALSE)</f>
        <v>Elaboración e Instalación de rótulo institucional del Museo Manta</v>
      </c>
      <c r="K341" s="12" t="str">
        <f>VLOOKUP($A341,'Matriz POA 2024-TRABAJO'!$A$5:$CD$9142,25,FALSE)</f>
        <v>0035</v>
      </c>
      <c r="L341" s="12" t="str">
        <f>VLOOKUP($A341,'Matriz POA 2024-TRABAJO'!$A$5:$CD$9142,26,FALSE)</f>
        <v>80</v>
      </c>
      <c r="M341" s="12" t="str">
        <f>VLOOKUP($A341,'Matriz POA 2024-TRABAJO'!$A$5:$CD$9142,27,FALSE)</f>
        <v>000</v>
      </c>
      <c r="N341" s="12" t="str">
        <f>VLOOKUP($A341,'Matriz POA 2024-TRABAJO'!$A$5:$CD$9142,28,FALSE)</f>
        <v>002</v>
      </c>
      <c r="O341" s="12">
        <f>VLOOKUP($A341,'Matriz POA 2024-TRABAJO'!$A$5:$CD$9142,29,FALSE)</f>
        <v>53</v>
      </c>
      <c r="P341" s="12">
        <f>VLOOKUP($A341,'Matriz POA 2024-TRABAJO'!$A$5:$CD$9142,30,FALSE)</f>
        <v>530402</v>
      </c>
      <c r="Q341" s="12">
        <f>VLOOKUP($A341,'Matriz POA 2024-TRABAJO'!$A$5:$CD$9142,32,FALSE)</f>
        <v>1308</v>
      </c>
      <c r="R341" s="12" t="str">
        <f>VLOOKUP($A341,'Matriz POA 2024-TRABAJO'!$A$5:$CD$9142,33,FALSE)</f>
        <v>001</v>
      </c>
      <c r="S341" s="12" t="str">
        <f>VLOOKUP($A341,'Matriz POA 2024-TRABAJO'!$A$5:$CD$9142,34,FALSE)</f>
        <v>0000</v>
      </c>
      <c r="T341" s="12" t="str">
        <f>VLOOKUP($A341,'Matriz POA 2024-TRABAJO'!$A$5:$CD$9142,35,FALSE)</f>
        <v>0000</v>
      </c>
      <c r="U341" s="62" t="str">
        <f>VLOOKUP($A341,'Matriz POA 2024-TRABAJO'!$A$5:$CD$9142,66,FALSE)</f>
        <v/>
      </c>
      <c r="V341" s="62" t="str">
        <f>VLOOKUP($A341,'Matriz POA 2024-TRABAJO'!$A$5:$CD$9142,67,FALSE)</f>
        <v/>
      </c>
      <c r="W341" s="62">
        <f>VLOOKUP($A341,'Matriz POA 2024-TRABAJO'!$A$5:$CD$9142,68,FALSE)</f>
        <v>2392.0300000000002</v>
      </c>
      <c r="X341" s="62">
        <f>VLOOKUP($A341,'Matriz POA 2024-TRABAJO'!$A$5:$CD$9142,72,FALSE)</f>
        <v>1350</v>
      </c>
      <c r="Y341" s="388">
        <v>2900</v>
      </c>
      <c r="Z341" s="388">
        <f>VLOOKUP($A341,'Matriz POA 2024-TRABAJO'!$A$5:$CD$9142,46,FALSE)</f>
        <v>0</v>
      </c>
      <c r="AA341" s="388">
        <v>2900</v>
      </c>
      <c r="AB341" s="389"/>
      <c r="AC341" s="389">
        <v>-507</v>
      </c>
      <c r="AD341" s="13"/>
      <c r="AE341" s="13"/>
      <c r="AF341" s="13">
        <f t="shared" ref="AF341:AF344" si="390">Y341+AB341+AC341</f>
        <v>2393</v>
      </c>
      <c r="AG341" s="13">
        <f t="shared" ref="AG341:AG344" si="391">Z341+AD341+AE341</f>
        <v>0</v>
      </c>
      <c r="AH341" s="13">
        <f t="shared" ref="AH341:AH344" si="392">+AF341+AG341</f>
        <v>2393</v>
      </c>
      <c r="AI341" s="129"/>
      <c r="AJ341" s="129"/>
      <c r="AK341" s="129"/>
      <c r="AL341" s="129"/>
      <c r="AM341" s="129"/>
      <c r="AN341" s="129"/>
      <c r="AO341" s="129"/>
      <c r="AP341" s="129"/>
      <c r="AQ341" s="129"/>
      <c r="AR341" s="129"/>
      <c r="AS341" s="129"/>
      <c r="AT341" s="129"/>
      <c r="AU341" s="129">
        <f t="shared" ref="AU341:AU344" si="393">SUM(AI341:AT341)</f>
        <v>0</v>
      </c>
      <c r="AV341" s="13" t="b">
        <f t="shared" ref="AV341:AV344" si="394">SUM(AI341:AT341)=AH341</f>
        <v>0</v>
      </c>
      <c r="AW341" s="14" t="s">
        <v>2038</v>
      </c>
      <c r="AX341" s="15" t="s">
        <v>2040</v>
      </c>
      <c r="AY341" s="16">
        <v>45625</v>
      </c>
      <c r="AZ341" s="15" t="s">
        <v>2039</v>
      </c>
      <c r="BA341" s="16">
        <v>45625</v>
      </c>
      <c r="BB341" s="17">
        <f t="shared" ref="BB341:BB344" si="395">BA341-AY341</f>
        <v>0</v>
      </c>
      <c r="BC341" s="12"/>
      <c r="BD341" s="15"/>
      <c r="BE341" s="18"/>
      <c r="BF341" s="12"/>
      <c r="BG341" s="19" t="str">
        <f t="shared" ref="BG341:BG344" si="396">TEXT(BA341,"MMMM")</f>
        <v>noviembre</v>
      </c>
      <c r="BH341" s="12" t="str">
        <f t="shared" ref="BH341:BH344" si="397">B341</f>
        <v>Corporación Ciudad Alfaro</v>
      </c>
      <c r="BI341" s="20" t="str">
        <f t="shared" ref="BI341:BI344" si="398">E341</f>
        <v>N/A</v>
      </c>
    </row>
    <row r="342" spans="1:61" ht="24.95" customHeight="1">
      <c r="A342" s="135">
        <v>432</v>
      </c>
      <c r="B342" s="12" t="str">
        <f>VLOOKUP($A342,'Matriz POA 2024-TRABAJO'!$A$5:$CD$9142,11,FALSE)</f>
        <v>Corporación Ciudad Alfaro</v>
      </c>
      <c r="C342" s="12" t="str">
        <f>VLOOKUP($A342,'Matriz POA 2024-TRABAJO'!$A$5:$CD$9142,14,FALSE)</f>
        <v>N/A</v>
      </c>
      <c r="D342" s="12" t="str">
        <f>VLOOKUP($A342,'Matriz POA 2024-TRABAJO'!$A$5:$CD$9142,15,FALSE)</f>
        <v>N/A</v>
      </c>
      <c r="E342" s="12" t="str">
        <f>VLOOKUP($A342,'Matriz POA 2024-TRABAJO'!$A$5:$CD$9142,18,FALSE)</f>
        <v>N/A</v>
      </c>
      <c r="F342" s="12" t="str">
        <f>VLOOKUP($A342,'Matriz POA 2024-TRABAJO'!$A$5:$CD$9142,20,FALSE)</f>
        <v>N/A</v>
      </c>
      <c r="G342" s="12" t="str">
        <f>VLOOKUP($A342,'Matriz POA 2024-TRABAJO'!$A$5:$CD$9142,21,FALSE)</f>
        <v>N/A</v>
      </c>
      <c r="H342" s="12" t="str">
        <f>VLOOKUP($A342,'Matriz POA 2024-TRABAJO'!$A$5:$CD$9142,22,FALSE)</f>
        <v>N/A</v>
      </c>
      <c r="I342" s="12" t="str">
        <f>VLOOKUP($A342,'Matriz POA 2024-TRABAJO'!$A$5:$CD$9142,23,FALSE)</f>
        <v>NUEVA</v>
      </c>
      <c r="J342" s="12" t="str">
        <f>VLOOKUP($A342,'Matriz POA 2024-TRABAJO'!$A$5:$CD$9142,24,FALSE)</f>
        <v>Pago del servicio de telefonía fija e internet de la Corporación Ciudad Alfaro</v>
      </c>
      <c r="K342" s="12" t="str">
        <f>VLOOKUP($A342,'Matriz POA 2024-TRABAJO'!$A$5:$CD$9142,25,FALSE)</f>
        <v>0035</v>
      </c>
      <c r="L342" s="12" t="str">
        <f>VLOOKUP($A342,'Matriz POA 2024-TRABAJO'!$A$5:$CD$9142,26,FALSE)</f>
        <v>80</v>
      </c>
      <c r="M342" s="12" t="str">
        <f>VLOOKUP($A342,'Matriz POA 2024-TRABAJO'!$A$5:$CD$9142,27,FALSE)</f>
        <v>000</v>
      </c>
      <c r="N342" s="12" t="str">
        <f>VLOOKUP($A342,'Matriz POA 2024-TRABAJO'!$A$5:$CD$9142,28,FALSE)</f>
        <v>002</v>
      </c>
      <c r="O342" s="12" t="str">
        <f>VLOOKUP($A342,'Matriz POA 2024-TRABAJO'!$A$5:$CD$9142,29,FALSE)</f>
        <v>53</v>
      </c>
      <c r="P342" s="12">
        <f>VLOOKUP($A342,'Matriz POA 2024-TRABAJO'!$A$5:$CD$9142,30,FALSE)</f>
        <v>530105</v>
      </c>
      <c r="Q342" s="12">
        <f>VLOOKUP($A342,'Matriz POA 2024-TRABAJO'!$A$5:$CD$9142,32,FALSE)</f>
        <v>1309</v>
      </c>
      <c r="R342" s="12" t="str">
        <f>VLOOKUP($A342,'Matriz POA 2024-TRABAJO'!$A$5:$CD$9142,33,FALSE)</f>
        <v>001</v>
      </c>
      <c r="S342" s="12" t="str">
        <f>VLOOKUP($A342,'Matriz POA 2024-TRABAJO'!$A$5:$CD$9142,34,FALSE)</f>
        <v>0000</v>
      </c>
      <c r="T342" s="12" t="str">
        <f>VLOOKUP($A342,'Matriz POA 2024-TRABAJO'!$A$5:$CD$9142,35,FALSE)</f>
        <v>0000</v>
      </c>
      <c r="U342" s="62">
        <f>VLOOKUP($A342,'Matriz POA 2024-TRABAJO'!$A$5:$CD$9142,66,FALSE)</f>
        <v>8836</v>
      </c>
      <c r="V342" s="62">
        <f>VLOOKUP($A342,'Matriz POA 2024-TRABAJO'!$A$5:$CD$9142,67,FALSE)</f>
        <v>-1397.6400000000003</v>
      </c>
      <c r="W342" s="62">
        <f>VLOOKUP($A342,'Matriz POA 2024-TRABAJO'!$A$5:$CD$9142,68,FALSE)</f>
        <v>1300</v>
      </c>
      <c r="X342" s="62">
        <f>VLOOKUP($A342,'Matriz POA 2024-TRABAJO'!$A$5:$CD$9142,72,FALSE)</f>
        <v>5801.64</v>
      </c>
      <c r="Y342" s="388">
        <v>0</v>
      </c>
      <c r="Z342" s="388">
        <f>VLOOKUP($A342,'Matriz POA 2024-TRABAJO'!$A$5:$CD$9142,46,FALSE)</f>
        <v>0</v>
      </c>
      <c r="AA342" s="388">
        <v>0</v>
      </c>
      <c r="AB342" s="389">
        <v>1300</v>
      </c>
      <c r="AC342" s="389"/>
      <c r="AD342" s="13"/>
      <c r="AE342" s="13"/>
      <c r="AF342" s="13">
        <f t="shared" si="390"/>
        <v>1300</v>
      </c>
      <c r="AG342" s="13">
        <f t="shared" si="391"/>
        <v>0</v>
      </c>
      <c r="AH342" s="13">
        <f t="shared" si="392"/>
        <v>1300</v>
      </c>
      <c r="AI342" s="129"/>
      <c r="AJ342" s="129"/>
      <c r="AK342" s="129"/>
      <c r="AL342" s="129"/>
      <c r="AM342" s="129"/>
      <c r="AN342" s="129"/>
      <c r="AO342" s="129"/>
      <c r="AP342" s="129"/>
      <c r="AQ342" s="129"/>
      <c r="AR342" s="129"/>
      <c r="AS342" s="129"/>
      <c r="AT342" s="129"/>
      <c r="AU342" s="129">
        <f t="shared" si="393"/>
        <v>0</v>
      </c>
      <c r="AV342" s="13" t="b">
        <f t="shared" si="394"/>
        <v>0</v>
      </c>
      <c r="AW342" s="14" t="s">
        <v>2038</v>
      </c>
      <c r="AX342" s="15" t="s">
        <v>2040</v>
      </c>
      <c r="AY342" s="16">
        <v>45625</v>
      </c>
      <c r="AZ342" s="15" t="s">
        <v>2039</v>
      </c>
      <c r="BA342" s="16">
        <v>45625</v>
      </c>
      <c r="BB342" s="17">
        <f t="shared" si="395"/>
        <v>0</v>
      </c>
      <c r="BC342" s="12"/>
      <c r="BD342" s="15"/>
      <c r="BE342" s="18"/>
      <c r="BF342" s="12"/>
      <c r="BG342" s="19" t="str">
        <f t="shared" si="396"/>
        <v>noviembre</v>
      </c>
      <c r="BH342" s="12" t="str">
        <f t="shared" si="397"/>
        <v>Corporación Ciudad Alfaro</v>
      </c>
      <c r="BI342" s="20" t="str">
        <f t="shared" si="398"/>
        <v>N/A</v>
      </c>
    </row>
    <row r="343" spans="1:61" ht="24.95" customHeight="1">
      <c r="A343" s="135">
        <v>445</v>
      </c>
      <c r="B343" s="12" t="str">
        <f>VLOOKUP($A343,'Matriz POA 2024-TRABAJO'!$A$5:$CD$9142,11,FALSE)</f>
        <v>Corporación Ciudad Alfaro</v>
      </c>
      <c r="C343" s="12" t="str">
        <f>VLOOKUP($A343,'Matriz POA 2024-TRABAJO'!$A$5:$CD$9142,14,FALSE)</f>
        <v>N/A</v>
      </c>
      <c r="D343" s="12" t="str">
        <f>VLOOKUP($A343,'Matriz POA 2024-TRABAJO'!$A$5:$CD$9142,15,FALSE)</f>
        <v>N/A</v>
      </c>
      <c r="E343" s="12" t="str">
        <f>VLOOKUP($A343,'Matriz POA 2024-TRABAJO'!$A$5:$CD$9142,18,FALSE)</f>
        <v>N/A</v>
      </c>
      <c r="F343" s="12" t="str">
        <f>VLOOKUP($A343,'Matriz POA 2024-TRABAJO'!$A$5:$CD$9142,20,FALSE)</f>
        <v>N/A</v>
      </c>
      <c r="G343" s="12" t="str">
        <f>VLOOKUP($A343,'Matriz POA 2024-TRABAJO'!$A$5:$CD$9142,21,FALSE)</f>
        <v>N/A</v>
      </c>
      <c r="H343" s="12" t="str">
        <f>VLOOKUP($A343,'Matriz POA 2024-TRABAJO'!$A$5:$CD$9142,22,FALSE)</f>
        <v>N/A</v>
      </c>
      <c r="I343" s="12" t="str">
        <f>VLOOKUP($A343,'Matriz POA 2024-TRABAJO'!$A$5:$CD$9142,23,FALSE)</f>
        <v>NUEVA</v>
      </c>
      <c r="J343" s="12" t="str">
        <f>VLOOKUP($A343,'Matriz POA 2024-TRABAJO'!$A$5:$CD$9142,24,FALSE)</f>
        <v>Pago del servicio de energía eléctrica de la Corporación Ciudad Alfaro</v>
      </c>
      <c r="K343" s="12" t="str">
        <f>VLOOKUP($A343,'Matriz POA 2024-TRABAJO'!$A$5:$CD$9142,25,FALSE)</f>
        <v>0035</v>
      </c>
      <c r="L343" s="12" t="str">
        <f>VLOOKUP($A343,'Matriz POA 2024-TRABAJO'!$A$5:$CD$9142,26,FALSE)</f>
        <v>80</v>
      </c>
      <c r="M343" s="12" t="str">
        <f>VLOOKUP($A343,'Matriz POA 2024-TRABAJO'!$A$5:$CD$9142,27,FALSE)</f>
        <v>000</v>
      </c>
      <c r="N343" s="12" t="str">
        <f>VLOOKUP($A343,'Matriz POA 2024-TRABAJO'!$A$5:$CD$9142,28,FALSE)</f>
        <v>002</v>
      </c>
      <c r="O343" s="12" t="str">
        <f>VLOOKUP($A343,'Matriz POA 2024-TRABAJO'!$A$5:$CD$9142,29,FALSE)</f>
        <v>53</v>
      </c>
      <c r="P343" s="12">
        <f>VLOOKUP($A343,'Matriz POA 2024-TRABAJO'!$A$5:$CD$9142,30,FALSE)</f>
        <v>530104</v>
      </c>
      <c r="Q343" s="12">
        <f>VLOOKUP($A343,'Matriz POA 2024-TRABAJO'!$A$5:$CD$9142,32,FALSE)</f>
        <v>1309</v>
      </c>
      <c r="R343" s="12" t="str">
        <f>VLOOKUP($A343,'Matriz POA 2024-TRABAJO'!$A$5:$CD$9142,33,FALSE)</f>
        <v>001</v>
      </c>
      <c r="S343" s="12" t="str">
        <f>VLOOKUP($A343,'Matriz POA 2024-TRABAJO'!$A$5:$CD$9142,34,FALSE)</f>
        <v>0000</v>
      </c>
      <c r="T343" s="12" t="str">
        <f>VLOOKUP($A343,'Matriz POA 2024-TRABAJO'!$A$5:$CD$9142,35,FALSE)</f>
        <v>0000</v>
      </c>
      <c r="U343" s="62">
        <f>VLOOKUP($A343,'Matriz POA 2024-TRABAJO'!$A$5:$CD$9142,66,FALSE)</f>
        <v>27000</v>
      </c>
      <c r="V343" s="62">
        <f>VLOOKUP($A343,'Matriz POA 2024-TRABAJO'!$A$5:$CD$9142,67,FALSE)</f>
        <v>-11500</v>
      </c>
      <c r="W343" s="62">
        <f>VLOOKUP($A343,'Matriz POA 2024-TRABAJO'!$A$5:$CD$9142,68,FALSE)</f>
        <v>500</v>
      </c>
      <c r="X343" s="62">
        <f>VLOOKUP($A343,'Matriz POA 2024-TRABAJO'!$A$5:$CD$9142,72,FALSE)</f>
        <v>11951.600000000002</v>
      </c>
      <c r="Y343" s="388">
        <v>0</v>
      </c>
      <c r="Z343" s="388">
        <f>VLOOKUP($A343,'Matriz POA 2024-TRABAJO'!$A$5:$CD$9142,46,FALSE)</f>
        <v>0</v>
      </c>
      <c r="AA343" s="388">
        <v>0</v>
      </c>
      <c r="AB343" s="389">
        <v>500</v>
      </c>
      <c r="AC343" s="389"/>
      <c r="AD343" s="13"/>
      <c r="AE343" s="13"/>
      <c r="AF343" s="13">
        <f t="shared" si="390"/>
        <v>500</v>
      </c>
      <c r="AG343" s="13">
        <f t="shared" si="391"/>
        <v>0</v>
      </c>
      <c r="AH343" s="13">
        <f t="shared" si="392"/>
        <v>500</v>
      </c>
      <c r="AI343" s="129"/>
      <c r="AJ343" s="129"/>
      <c r="AK343" s="129"/>
      <c r="AL343" s="129"/>
      <c r="AM343" s="129"/>
      <c r="AN343" s="129"/>
      <c r="AO343" s="129"/>
      <c r="AP343" s="129"/>
      <c r="AQ343" s="129"/>
      <c r="AR343" s="129"/>
      <c r="AS343" s="129"/>
      <c r="AT343" s="129"/>
      <c r="AU343" s="129">
        <f t="shared" si="393"/>
        <v>0</v>
      </c>
      <c r="AV343" s="13" t="b">
        <f t="shared" si="394"/>
        <v>0</v>
      </c>
      <c r="AW343" s="14" t="s">
        <v>2038</v>
      </c>
      <c r="AX343" s="15" t="s">
        <v>2040</v>
      </c>
      <c r="AY343" s="16">
        <v>45625</v>
      </c>
      <c r="AZ343" s="15" t="s">
        <v>2039</v>
      </c>
      <c r="BA343" s="16">
        <v>45625</v>
      </c>
      <c r="BB343" s="17">
        <f t="shared" si="395"/>
        <v>0</v>
      </c>
      <c r="BC343" s="12"/>
      <c r="BD343" s="15"/>
      <c r="BE343" s="18"/>
      <c r="BF343" s="12"/>
      <c r="BG343" s="19" t="str">
        <f t="shared" si="396"/>
        <v>noviembre</v>
      </c>
      <c r="BH343" s="12" t="str">
        <f t="shared" si="397"/>
        <v>Corporación Ciudad Alfaro</v>
      </c>
      <c r="BI343" s="20" t="str">
        <f t="shared" si="398"/>
        <v>N/A</v>
      </c>
    </row>
    <row r="344" spans="1:61" ht="24.95" customHeight="1">
      <c r="A344" s="135">
        <v>446</v>
      </c>
      <c r="B344" s="12" t="str">
        <f>VLOOKUP($A344,'Matriz POA 2024-TRABAJO'!$A$5:$CD$9142,11,FALSE)</f>
        <v>Corporación Ciudad Alfaro</v>
      </c>
      <c r="C344" s="12" t="str">
        <f>VLOOKUP($A344,'Matriz POA 2024-TRABAJO'!$A$5:$CD$9142,14,FALSE)</f>
        <v>N/A</v>
      </c>
      <c r="D344" s="12" t="str">
        <f>VLOOKUP($A344,'Matriz POA 2024-TRABAJO'!$A$5:$CD$9142,15,FALSE)</f>
        <v>N/A</v>
      </c>
      <c r="E344" s="12" t="str">
        <f>VLOOKUP($A344,'Matriz POA 2024-TRABAJO'!$A$5:$CD$9142,18,FALSE)</f>
        <v>N/A</v>
      </c>
      <c r="F344" s="12" t="str">
        <f>VLOOKUP($A344,'Matriz POA 2024-TRABAJO'!$A$5:$CD$9142,20,FALSE)</f>
        <v>N/A</v>
      </c>
      <c r="G344" s="12" t="str">
        <f>VLOOKUP($A344,'Matriz POA 2024-TRABAJO'!$A$5:$CD$9142,21,FALSE)</f>
        <v>N/A</v>
      </c>
      <c r="H344" s="12" t="str">
        <f>VLOOKUP($A344,'Matriz POA 2024-TRABAJO'!$A$5:$CD$9142,22,FALSE)</f>
        <v>N/A</v>
      </c>
      <c r="I344" s="12" t="str">
        <f>VLOOKUP($A344,'Matriz POA 2024-TRABAJO'!$A$5:$CD$9142,23,FALSE)</f>
        <v>NUEVA</v>
      </c>
      <c r="J344" s="12" t="str">
        <f>VLOOKUP($A344,'Matriz POA 2024-TRABAJO'!$A$5:$CD$9142,24,FALSE)</f>
        <v>Pago del servicio de energía eléctrica del Museo Portoviejo y Archivo Histórico</v>
      </c>
      <c r="K344" s="12" t="str">
        <f>VLOOKUP($A344,'Matriz POA 2024-TRABAJO'!$A$5:$CD$9142,25,FALSE)</f>
        <v>0035</v>
      </c>
      <c r="L344" s="12" t="str">
        <f>VLOOKUP($A344,'Matriz POA 2024-TRABAJO'!$A$5:$CD$9142,26,FALSE)</f>
        <v>80</v>
      </c>
      <c r="M344" s="12" t="str">
        <f>VLOOKUP($A344,'Matriz POA 2024-TRABAJO'!$A$5:$CD$9142,27,FALSE)</f>
        <v>000</v>
      </c>
      <c r="N344" s="12" t="str">
        <f>VLOOKUP($A344,'Matriz POA 2024-TRABAJO'!$A$5:$CD$9142,28,FALSE)</f>
        <v>002</v>
      </c>
      <c r="O344" s="12" t="str">
        <f>VLOOKUP($A344,'Matriz POA 2024-TRABAJO'!$A$5:$CD$9142,29,FALSE)</f>
        <v>53</v>
      </c>
      <c r="P344" s="12">
        <f>VLOOKUP($A344,'Matriz POA 2024-TRABAJO'!$A$5:$CD$9142,30,FALSE)</f>
        <v>530104</v>
      </c>
      <c r="Q344" s="12">
        <f>VLOOKUP($A344,'Matriz POA 2024-TRABAJO'!$A$5:$CD$9142,32,FALSE)</f>
        <v>1301</v>
      </c>
      <c r="R344" s="12" t="str">
        <f>VLOOKUP($A344,'Matriz POA 2024-TRABAJO'!$A$5:$CD$9142,33,FALSE)</f>
        <v>001</v>
      </c>
      <c r="S344" s="12" t="str">
        <f>VLOOKUP($A344,'Matriz POA 2024-TRABAJO'!$A$5:$CD$9142,34,FALSE)</f>
        <v>0000</v>
      </c>
      <c r="T344" s="12" t="str">
        <f>VLOOKUP($A344,'Matriz POA 2024-TRABAJO'!$A$5:$CD$9142,35,FALSE)</f>
        <v>0000</v>
      </c>
      <c r="U344" s="62">
        <f>VLOOKUP($A344,'Matriz POA 2024-TRABAJO'!$A$5:$CD$9142,66,FALSE)</f>
        <v>8800</v>
      </c>
      <c r="V344" s="62">
        <f>VLOOKUP($A344,'Matriz POA 2024-TRABAJO'!$A$5:$CD$9142,67,FALSE)</f>
        <v>1027.8799999999992</v>
      </c>
      <c r="W344" s="62">
        <f>VLOOKUP($A344,'Matriz POA 2024-TRABAJO'!$A$5:$CD$9142,68,FALSE)</f>
        <v>3745.87</v>
      </c>
      <c r="X344" s="62">
        <f>VLOOKUP($A344,'Matriz POA 2024-TRABAJO'!$A$5:$CD$9142,72,FALSE)</f>
        <v>8551.68</v>
      </c>
      <c r="Y344" s="388">
        <v>0</v>
      </c>
      <c r="Z344" s="388">
        <f>VLOOKUP($A344,'Matriz POA 2024-TRABAJO'!$A$5:$CD$9142,46,FALSE)</f>
        <v>0</v>
      </c>
      <c r="AA344" s="388">
        <v>0</v>
      </c>
      <c r="AB344" s="389">
        <v>745.87</v>
      </c>
      <c r="AC344" s="389"/>
      <c r="AD344" s="13"/>
      <c r="AE344" s="13"/>
      <c r="AF344" s="13">
        <f t="shared" si="390"/>
        <v>745.87</v>
      </c>
      <c r="AG344" s="13">
        <f t="shared" si="391"/>
        <v>0</v>
      </c>
      <c r="AH344" s="13">
        <f t="shared" si="392"/>
        <v>745.87</v>
      </c>
      <c r="AI344" s="129"/>
      <c r="AJ344" s="129"/>
      <c r="AK344" s="129"/>
      <c r="AL344" s="129"/>
      <c r="AM344" s="129"/>
      <c r="AN344" s="129"/>
      <c r="AO344" s="129"/>
      <c r="AP344" s="129"/>
      <c r="AQ344" s="129"/>
      <c r="AR344" s="129"/>
      <c r="AS344" s="129"/>
      <c r="AT344" s="129"/>
      <c r="AU344" s="129">
        <f t="shared" si="393"/>
        <v>0</v>
      </c>
      <c r="AV344" s="13" t="b">
        <f t="shared" si="394"/>
        <v>0</v>
      </c>
      <c r="AW344" s="14" t="s">
        <v>2038</v>
      </c>
      <c r="AX344" s="15" t="s">
        <v>2040</v>
      </c>
      <c r="AY344" s="16">
        <v>45625</v>
      </c>
      <c r="AZ344" s="15" t="s">
        <v>2039</v>
      </c>
      <c r="BA344" s="16">
        <v>45625</v>
      </c>
      <c r="BB344" s="17">
        <f t="shared" si="395"/>
        <v>0</v>
      </c>
      <c r="BC344" s="12"/>
      <c r="BD344" s="15"/>
      <c r="BE344" s="18"/>
      <c r="BF344" s="12"/>
      <c r="BG344" s="19" t="str">
        <f t="shared" si="396"/>
        <v>noviembre</v>
      </c>
      <c r="BH344" s="12" t="str">
        <f t="shared" si="397"/>
        <v>Corporación Ciudad Alfaro</v>
      </c>
      <c r="BI344" s="20" t="str">
        <f t="shared" si="398"/>
        <v>N/A</v>
      </c>
    </row>
    <row r="345" spans="1:61" ht="24.95" customHeight="1">
      <c r="A345" s="135">
        <v>733</v>
      </c>
      <c r="B345" s="12" t="str">
        <f>VLOOKUP($A345,'Matriz POA 2024-TRABAJO'!$A$5:$CD$9142,11,FALSE)</f>
        <v>Corporación Ciudad Alfaro</v>
      </c>
      <c r="C345" s="12" t="str">
        <f>VLOOKUP($A345,'Matriz POA 2024-TRABAJO'!$A$5:$CD$9142,14,FALSE)</f>
        <v>N/A</v>
      </c>
      <c r="D345" s="12" t="str">
        <f>VLOOKUP($A345,'Matriz POA 2024-TRABAJO'!$A$5:$CD$9142,15,FALSE)</f>
        <v>N/A</v>
      </c>
      <c r="E345" s="12" t="str">
        <f>VLOOKUP($A345,'Matriz POA 2024-TRABAJO'!$A$5:$CD$9142,18,FALSE)</f>
        <v>N/A</v>
      </c>
      <c r="F345" s="12" t="str">
        <f>VLOOKUP($A345,'Matriz POA 2024-TRABAJO'!$A$5:$CD$9142,20,FALSE)</f>
        <v>N/A</v>
      </c>
      <c r="G345" s="12" t="str">
        <f>VLOOKUP($A345,'Matriz POA 2024-TRABAJO'!$A$5:$CD$9142,21,FALSE)</f>
        <v>N/A</v>
      </c>
      <c r="H345" s="12" t="str">
        <f>VLOOKUP($A345,'Matriz POA 2024-TRABAJO'!$A$5:$CD$9142,22,FALSE)</f>
        <v>N/A</v>
      </c>
      <c r="I345" s="12" t="str">
        <f>VLOOKUP($A345,'Matriz POA 2024-TRABAJO'!$A$5:$CD$9142,23,FALSE)</f>
        <v>NUEVA</v>
      </c>
      <c r="J345" s="12" t="str">
        <f>VLOOKUP($A345,'Matriz POA 2024-TRABAJO'!$A$5:$CD$9142,24,FALSE)</f>
        <v>Pago mensual del servicio de energía eléctrica del Museo y Centro Cultural de Manta por el período 2024</v>
      </c>
      <c r="K345" s="12" t="str">
        <f>VLOOKUP($A345,'Matriz POA 2024-TRABAJO'!$A$5:$CD$9142,25,FALSE)</f>
        <v>0035</v>
      </c>
      <c r="L345" s="12" t="str">
        <f>VLOOKUP($A345,'Matriz POA 2024-TRABAJO'!$A$5:$CD$9142,26,FALSE)</f>
        <v>80</v>
      </c>
      <c r="M345" s="12" t="str">
        <f>VLOOKUP($A345,'Matriz POA 2024-TRABAJO'!$A$5:$CD$9142,27,FALSE)</f>
        <v>000</v>
      </c>
      <c r="N345" s="12" t="str">
        <f>VLOOKUP($A345,'Matriz POA 2024-TRABAJO'!$A$5:$CD$9142,28,FALSE)</f>
        <v>002</v>
      </c>
      <c r="O345" s="12" t="str">
        <f>VLOOKUP($A345,'Matriz POA 2024-TRABAJO'!$A$5:$CD$9142,29,FALSE)</f>
        <v>53</v>
      </c>
      <c r="P345" s="12">
        <f>VLOOKUP($A345,'Matriz POA 2024-TRABAJO'!$A$5:$CD$9142,30,FALSE)</f>
        <v>530104</v>
      </c>
      <c r="Q345" s="12">
        <f>VLOOKUP($A345,'Matriz POA 2024-TRABAJO'!$A$5:$CD$9142,32,FALSE)</f>
        <v>1308</v>
      </c>
      <c r="R345" s="12" t="str">
        <f>VLOOKUP($A345,'Matriz POA 2024-TRABAJO'!$A$5:$CD$9142,33,FALSE)</f>
        <v>001</v>
      </c>
      <c r="S345" s="12" t="str">
        <f>VLOOKUP($A345,'Matriz POA 2024-TRABAJO'!$A$5:$CD$9142,34,FALSE)</f>
        <v>0000</v>
      </c>
      <c r="T345" s="12" t="str">
        <f>VLOOKUP($A345,'Matriz POA 2024-TRABAJO'!$A$5:$CD$9142,35,FALSE)</f>
        <v>0000</v>
      </c>
      <c r="U345" s="62">
        <f>VLOOKUP($A345,'Matriz POA 2024-TRABAJO'!$A$5:$CD$9142,66,FALSE)</f>
        <v>14500</v>
      </c>
      <c r="V345" s="62">
        <f>VLOOKUP($A345,'Matriz POA 2024-TRABAJO'!$A$5:$CD$9142,67,FALSE)</f>
        <v>499.67000000000007</v>
      </c>
      <c r="W345" s="62">
        <f>VLOOKUP($A345,'Matriz POA 2024-TRABAJO'!$A$5:$CD$9142,68,FALSE)</f>
        <v>8938.76</v>
      </c>
      <c r="X345" s="62">
        <f>VLOOKUP($A345,'Matriz POA 2024-TRABAJO'!$A$5:$CD$9142,72,FALSE)</f>
        <v>8388.9699999999993</v>
      </c>
      <c r="Y345" s="388">
        <v>0</v>
      </c>
      <c r="Z345" s="388">
        <f>VLOOKUP($A345,'Matriz POA 2024-TRABAJO'!$A$5:$CD$9142,46,FALSE)</f>
        <v>0</v>
      </c>
      <c r="AA345" s="388">
        <v>0</v>
      </c>
      <c r="AB345" s="389">
        <v>499.67</v>
      </c>
      <c r="AC345" s="389"/>
      <c r="AD345" s="13"/>
      <c r="AE345" s="13"/>
      <c r="AF345" s="13">
        <f t="shared" ref="AF345:AF347" si="399">Y345+AB345+AC345</f>
        <v>499.67</v>
      </c>
      <c r="AG345" s="13">
        <f t="shared" ref="AG345:AG347" si="400">Z345+AD345+AE345</f>
        <v>0</v>
      </c>
      <c r="AH345" s="13">
        <f t="shared" ref="AH345:AH347" si="401">+AF345+AG345</f>
        <v>499.67</v>
      </c>
      <c r="AI345" s="129"/>
      <c r="AJ345" s="129"/>
      <c r="AK345" s="129"/>
      <c r="AL345" s="129"/>
      <c r="AM345" s="129"/>
      <c r="AN345" s="129"/>
      <c r="AO345" s="129"/>
      <c r="AP345" s="129"/>
      <c r="AQ345" s="129"/>
      <c r="AR345" s="129"/>
      <c r="AS345" s="129"/>
      <c r="AT345" s="129"/>
      <c r="AU345" s="129">
        <f t="shared" ref="AU345:AU347" si="402">SUM(AI345:AT345)</f>
        <v>0</v>
      </c>
      <c r="AV345" s="13" t="b">
        <f t="shared" ref="AV345:AV347" si="403">SUM(AI345:AT345)=AH345</f>
        <v>0</v>
      </c>
      <c r="AW345" s="14" t="s">
        <v>2038</v>
      </c>
      <c r="AX345" s="15" t="s">
        <v>2040</v>
      </c>
      <c r="AY345" s="16">
        <v>45625</v>
      </c>
      <c r="AZ345" s="15" t="s">
        <v>2039</v>
      </c>
      <c r="BA345" s="16">
        <v>45625</v>
      </c>
      <c r="BB345" s="17">
        <f t="shared" ref="BB345:BB347" si="404">BA345-AY345</f>
        <v>0</v>
      </c>
      <c r="BC345" s="12"/>
      <c r="BD345" s="15"/>
      <c r="BE345" s="18"/>
      <c r="BF345" s="12"/>
      <c r="BG345" s="19" t="str">
        <f t="shared" ref="BG345:BG347" si="405">TEXT(BA345,"MMMM")</f>
        <v>noviembre</v>
      </c>
      <c r="BH345" s="12" t="str">
        <f t="shared" ref="BH345:BH347" si="406">B345</f>
        <v>Corporación Ciudad Alfaro</v>
      </c>
      <c r="BI345" s="20" t="str">
        <f t="shared" ref="BI345:BI347" si="407">E345</f>
        <v>N/A</v>
      </c>
    </row>
    <row r="346" spans="1:61" ht="24.95" customHeight="1">
      <c r="B346" s="12" t="e">
        <f>VLOOKUP($A346,'Matriz POA 2024-TRABAJO'!$A$5:$CD$9142,11,FALSE)</f>
        <v>#N/A</v>
      </c>
      <c r="C346" s="12" t="e">
        <f>VLOOKUP($A346,'Matriz POA 2024-TRABAJO'!$A$5:$CD$9142,14,FALSE)</f>
        <v>#N/A</v>
      </c>
      <c r="D346" s="12" t="e">
        <f>VLOOKUP($A346,'Matriz POA 2024-TRABAJO'!$A$5:$CD$9142,15,FALSE)</f>
        <v>#N/A</v>
      </c>
      <c r="E346" s="12" t="e">
        <f>VLOOKUP($A346,'Matriz POA 2024-TRABAJO'!$A$5:$CD$9142,18,FALSE)</f>
        <v>#N/A</v>
      </c>
      <c r="F346" s="12" t="e">
        <f>VLOOKUP($A346,'Matriz POA 2024-TRABAJO'!$A$5:$CD$9142,20,FALSE)</f>
        <v>#N/A</v>
      </c>
      <c r="G346" s="12" t="e">
        <f>VLOOKUP($A346,'Matriz POA 2024-TRABAJO'!$A$5:$CD$9142,21,FALSE)</f>
        <v>#N/A</v>
      </c>
      <c r="H346" s="12" t="e">
        <f>VLOOKUP($A346,'Matriz POA 2024-TRABAJO'!$A$5:$CD$9142,22,FALSE)</f>
        <v>#N/A</v>
      </c>
      <c r="I346" s="12" t="e">
        <f>VLOOKUP($A346,'Matriz POA 2024-TRABAJO'!$A$5:$CD$9142,23,FALSE)</f>
        <v>#N/A</v>
      </c>
      <c r="J346" s="12" t="e">
        <f>VLOOKUP($A346,'Matriz POA 2024-TRABAJO'!$A$5:$CD$9142,24,FALSE)</f>
        <v>#N/A</v>
      </c>
      <c r="K346" s="12" t="e">
        <f>VLOOKUP($A346,'Matriz POA 2024-TRABAJO'!$A$5:$CD$9142,25,FALSE)</f>
        <v>#N/A</v>
      </c>
      <c r="L346" s="12" t="e">
        <f>VLOOKUP($A346,'Matriz POA 2024-TRABAJO'!$A$5:$CD$9142,26,FALSE)</f>
        <v>#N/A</v>
      </c>
      <c r="M346" s="12" t="e">
        <f>VLOOKUP($A346,'Matriz POA 2024-TRABAJO'!$A$5:$CD$9142,27,FALSE)</f>
        <v>#N/A</v>
      </c>
      <c r="N346" s="12" t="e">
        <f>VLOOKUP($A346,'Matriz POA 2024-TRABAJO'!$A$5:$CD$9142,28,FALSE)</f>
        <v>#N/A</v>
      </c>
      <c r="O346" s="12" t="e">
        <f>VLOOKUP($A346,'Matriz POA 2024-TRABAJO'!$A$5:$CD$9142,29,FALSE)</f>
        <v>#N/A</v>
      </c>
      <c r="P346" s="12" t="e">
        <f>VLOOKUP($A346,'Matriz POA 2024-TRABAJO'!$A$5:$CD$9142,30,FALSE)</f>
        <v>#N/A</v>
      </c>
      <c r="Q346" s="12" t="e">
        <f>VLOOKUP($A346,'Matriz POA 2024-TRABAJO'!$A$5:$CD$9142,32,FALSE)</f>
        <v>#N/A</v>
      </c>
      <c r="R346" s="12" t="e">
        <f>VLOOKUP($A346,'Matriz POA 2024-TRABAJO'!$A$5:$CD$9142,33,FALSE)</f>
        <v>#N/A</v>
      </c>
      <c r="S346" s="12" t="e">
        <f>VLOOKUP($A346,'Matriz POA 2024-TRABAJO'!$A$5:$CD$9142,34,FALSE)</f>
        <v>#N/A</v>
      </c>
      <c r="T346" s="12" t="e">
        <f>VLOOKUP($A346,'Matriz POA 2024-TRABAJO'!$A$5:$CD$9142,35,FALSE)</f>
        <v>#N/A</v>
      </c>
      <c r="U346" s="62" t="e">
        <f>VLOOKUP($A346,'Matriz POA 2024-TRABAJO'!$A$5:$CD$9142,66,FALSE)</f>
        <v>#N/A</v>
      </c>
      <c r="V346" s="62" t="e">
        <f>VLOOKUP($A346,'Matriz POA 2024-TRABAJO'!$A$5:$CD$9142,67,FALSE)</f>
        <v>#N/A</v>
      </c>
      <c r="W346" s="62" t="e">
        <f>VLOOKUP($A346,'Matriz POA 2024-TRABAJO'!$A$5:$CD$9142,68,FALSE)</f>
        <v>#N/A</v>
      </c>
      <c r="X346" s="62" t="e">
        <f>VLOOKUP($A346,'Matriz POA 2024-TRABAJO'!$A$5:$CD$9142,72,FALSE)</f>
        <v>#N/A</v>
      </c>
      <c r="Y346" s="388" t="e">
        <f>VLOOKUP($A346,'Matriz POA 2024-TRABAJO'!$A$5:$CD$9142,45,FALSE)</f>
        <v>#N/A</v>
      </c>
      <c r="Z346" s="388" t="e">
        <f>VLOOKUP($A346,'Matriz POA 2024-TRABAJO'!$A$5:$CD$9142,46,FALSE)</f>
        <v>#N/A</v>
      </c>
      <c r="AA346" s="388" t="e">
        <f>VLOOKUP($A346,'Matriz POA 2024-TRABAJO'!$A$5:$CD$9142,47,FALSE)</f>
        <v>#N/A</v>
      </c>
      <c r="AB346" s="389"/>
      <c r="AC346" s="389"/>
      <c r="AD346" s="13"/>
      <c r="AE346" s="13"/>
      <c r="AF346" s="13" t="e">
        <f t="shared" si="399"/>
        <v>#N/A</v>
      </c>
      <c r="AG346" s="13" t="e">
        <f t="shared" si="400"/>
        <v>#N/A</v>
      </c>
      <c r="AH346" s="13" t="e">
        <f t="shared" si="401"/>
        <v>#N/A</v>
      </c>
      <c r="AI346" s="129"/>
      <c r="AJ346" s="129"/>
      <c r="AK346" s="129"/>
      <c r="AL346" s="129"/>
      <c r="AM346" s="129"/>
      <c r="AN346" s="129"/>
      <c r="AO346" s="129"/>
      <c r="AP346" s="129"/>
      <c r="AQ346" s="129"/>
      <c r="AR346" s="129"/>
      <c r="AS346" s="129"/>
      <c r="AT346" s="129"/>
      <c r="AU346" s="129">
        <f t="shared" si="402"/>
        <v>0</v>
      </c>
      <c r="AV346" s="13" t="e">
        <f t="shared" si="403"/>
        <v>#N/A</v>
      </c>
      <c r="AW346" s="14"/>
      <c r="AX346" s="15"/>
      <c r="AY346" s="16"/>
      <c r="AZ346" s="15"/>
      <c r="BA346" s="16"/>
      <c r="BB346" s="17">
        <f t="shared" si="404"/>
        <v>0</v>
      </c>
      <c r="BC346" s="12"/>
      <c r="BD346" s="15"/>
      <c r="BE346" s="18"/>
      <c r="BF346" s="12"/>
      <c r="BG346" s="19" t="str">
        <f t="shared" si="405"/>
        <v>enero</v>
      </c>
      <c r="BH346" s="12" t="e">
        <f t="shared" si="406"/>
        <v>#N/A</v>
      </c>
      <c r="BI346" s="20" t="e">
        <f t="shared" si="407"/>
        <v>#N/A</v>
      </c>
    </row>
    <row r="347" spans="1:61" ht="24.95" customHeight="1">
      <c r="B347" s="12" t="e">
        <f>VLOOKUP($A347,'Matriz POA 2024-TRABAJO'!$A$5:$CD$9142,11,FALSE)</f>
        <v>#N/A</v>
      </c>
      <c r="C347" s="12" t="e">
        <f>VLOOKUP($A347,'Matriz POA 2024-TRABAJO'!$A$5:$CD$9142,14,FALSE)</f>
        <v>#N/A</v>
      </c>
      <c r="D347" s="12" t="e">
        <f>VLOOKUP($A347,'Matriz POA 2024-TRABAJO'!$A$5:$CD$9142,15,FALSE)</f>
        <v>#N/A</v>
      </c>
      <c r="E347" s="12" t="e">
        <f>VLOOKUP($A347,'Matriz POA 2024-TRABAJO'!$A$5:$CD$9142,18,FALSE)</f>
        <v>#N/A</v>
      </c>
      <c r="F347" s="12" t="e">
        <f>VLOOKUP($A347,'Matriz POA 2024-TRABAJO'!$A$5:$CD$9142,20,FALSE)</f>
        <v>#N/A</v>
      </c>
      <c r="G347" s="12" t="e">
        <f>VLOOKUP($A347,'Matriz POA 2024-TRABAJO'!$A$5:$CD$9142,21,FALSE)</f>
        <v>#N/A</v>
      </c>
      <c r="H347" s="12" t="e">
        <f>VLOOKUP($A347,'Matriz POA 2024-TRABAJO'!$A$5:$CD$9142,22,FALSE)</f>
        <v>#N/A</v>
      </c>
      <c r="I347" s="12" t="e">
        <f>VLOOKUP($A347,'Matriz POA 2024-TRABAJO'!$A$5:$CD$9142,23,FALSE)</f>
        <v>#N/A</v>
      </c>
      <c r="J347" s="12" t="e">
        <f>VLOOKUP($A347,'Matriz POA 2024-TRABAJO'!$A$5:$CD$9142,24,FALSE)</f>
        <v>#N/A</v>
      </c>
      <c r="K347" s="12" t="e">
        <f>VLOOKUP($A347,'Matriz POA 2024-TRABAJO'!$A$5:$CD$9142,25,FALSE)</f>
        <v>#N/A</v>
      </c>
      <c r="L347" s="12" t="e">
        <f>VLOOKUP($A347,'Matriz POA 2024-TRABAJO'!$A$5:$CD$9142,26,FALSE)</f>
        <v>#N/A</v>
      </c>
      <c r="M347" s="12" t="e">
        <f>VLOOKUP($A347,'Matriz POA 2024-TRABAJO'!$A$5:$CD$9142,27,FALSE)</f>
        <v>#N/A</v>
      </c>
      <c r="N347" s="12" t="e">
        <f>VLOOKUP($A347,'Matriz POA 2024-TRABAJO'!$A$5:$CD$9142,28,FALSE)</f>
        <v>#N/A</v>
      </c>
      <c r="O347" s="12" t="e">
        <f>VLOOKUP($A347,'Matriz POA 2024-TRABAJO'!$A$5:$CD$9142,29,FALSE)</f>
        <v>#N/A</v>
      </c>
      <c r="P347" s="12" t="e">
        <f>VLOOKUP($A347,'Matriz POA 2024-TRABAJO'!$A$5:$CD$9142,30,FALSE)</f>
        <v>#N/A</v>
      </c>
      <c r="Q347" s="12" t="e">
        <f>VLOOKUP($A347,'Matriz POA 2024-TRABAJO'!$A$5:$CD$9142,32,FALSE)</f>
        <v>#N/A</v>
      </c>
      <c r="R347" s="12" t="e">
        <f>VLOOKUP($A347,'Matriz POA 2024-TRABAJO'!$A$5:$CD$9142,33,FALSE)</f>
        <v>#N/A</v>
      </c>
      <c r="S347" s="12" t="e">
        <f>VLOOKUP($A347,'Matriz POA 2024-TRABAJO'!$A$5:$CD$9142,34,FALSE)</f>
        <v>#N/A</v>
      </c>
      <c r="T347" s="12" t="e">
        <f>VLOOKUP($A347,'Matriz POA 2024-TRABAJO'!$A$5:$CD$9142,35,FALSE)</f>
        <v>#N/A</v>
      </c>
      <c r="U347" s="62" t="e">
        <f>VLOOKUP($A347,'Matriz POA 2024-TRABAJO'!$A$5:$CD$9142,66,FALSE)</f>
        <v>#N/A</v>
      </c>
      <c r="V347" s="62" t="e">
        <f>VLOOKUP($A347,'Matriz POA 2024-TRABAJO'!$A$5:$CD$9142,67,FALSE)</f>
        <v>#N/A</v>
      </c>
      <c r="W347" s="62" t="e">
        <f>VLOOKUP($A347,'Matriz POA 2024-TRABAJO'!$A$5:$CD$9142,68,FALSE)</f>
        <v>#N/A</v>
      </c>
      <c r="X347" s="62" t="e">
        <f>VLOOKUP($A347,'Matriz POA 2024-TRABAJO'!$A$5:$CD$9142,72,FALSE)</f>
        <v>#N/A</v>
      </c>
      <c r="Y347" s="388" t="e">
        <f>VLOOKUP($A347,'Matriz POA 2024-TRABAJO'!$A$5:$CD$9142,45,FALSE)</f>
        <v>#N/A</v>
      </c>
      <c r="Z347" s="388" t="e">
        <f>VLOOKUP($A347,'Matriz POA 2024-TRABAJO'!$A$5:$CD$9142,46,FALSE)</f>
        <v>#N/A</v>
      </c>
      <c r="AA347" s="388" t="e">
        <f>VLOOKUP($A347,'Matriz POA 2024-TRABAJO'!$A$5:$CD$9142,47,FALSE)</f>
        <v>#N/A</v>
      </c>
      <c r="AB347" s="389"/>
      <c r="AC347" s="389"/>
      <c r="AD347" s="13"/>
      <c r="AE347" s="13"/>
      <c r="AF347" s="13" t="e">
        <f t="shared" si="399"/>
        <v>#N/A</v>
      </c>
      <c r="AG347" s="13" t="e">
        <f t="shared" si="400"/>
        <v>#N/A</v>
      </c>
      <c r="AH347" s="13" t="e">
        <f t="shared" si="401"/>
        <v>#N/A</v>
      </c>
      <c r="AI347" s="129"/>
      <c r="AJ347" s="129"/>
      <c r="AK347" s="129"/>
      <c r="AL347" s="129"/>
      <c r="AM347" s="129"/>
      <c r="AN347" s="129"/>
      <c r="AO347" s="129"/>
      <c r="AP347" s="129"/>
      <c r="AQ347" s="129"/>
      <c r="AR347" s="129"/>
      <c r="AS347" s="129"/>
      <c r="AT347" s="129"/>
      <c r="AU347" s="129">
        <f t="shared" si="402"/>
        <v>0</v>
      </c>
      <c r="AV347" s="13" t="e">
        <f t="shared" si="403"/>
        <v>#N/A</v>
      </c>
      <c r="AW347" s="14"/>
      <c r="AX347" s="15"/>
      <c r="AY347" s="16"/>
      <c r="AZ347" s="15"/>
      <c r="BA347" s="16"/>
      <c r="BB347" s="17">
        <f t="shared" si="404"/>
        <v>0</v>
      </c>
      <c r="BC347" s="12"/>
      <c r="BD347" s="15"/>
      <c r="BE347" s="18"/>
      <c r="BF347" s="12"/>
      <c r="BG347" s="19" t="str">
        <f t="shared" si="405"/>
        <v>enero</v>
      </c>
      <c r="BH347" s="12" t="e">
        <f t="shared" si="406"/>
        <v>#N/A</v>
      </c>
      <c r="BI347" s="20" t="e">
        <f t="shared" si="407"/>
        <v>#N/A</v>
      </c>
    </row>
    <row r="348" spans="1:61" ht="24.95" customHeight="1">
      <c r="B348" s="12" t="e">
        <f>VLOOKUP($A348,'Matriz POA 2024-TRABAJO'!$A$5:$CD$9142,11,FALSE)</f>
        <v>#N/A</v>
      </c>
      <c r="C348" s="12" t="e">
        <f>VLOOKUP($A348,'Matriz POA 2024-TRABAJO'!$A$5:$CD$9142,14,FALSE)</f>
        <v>#N/A</v>
      </c>
      <c r="D348" s="12" t="e">
        <f>VLOOKUP($A348,'Matriz POA 2024-TRABAJO'!$A$5:$CD$9142,15,FALSE)</f>
        <v>#N/A</v>
      </c>
      <c r="E348" s="12" t="e">
        <f>VLOOKUP($A348,'Matriz POA 2024-TRABAJO'!$A$5:$CD$9142,18,FALSE)</f>
        <v>#N/A</v>
      </c>
      <c r="F348" s="12" t="e">
        <f>VLOOKUP($A348,'Matriz POA 2024-TRABAJO'!$A$5:$CD$9142,20,FALSE)</f>
        <v>#N/A</v>
      </c>
      <c r="G348" s="12" t="e">
        <f>VLOOKUP($A348,'Matriz POA 2024-TRABAJO'!$A$5:$CD$9142,21,FALSE)</f>
        <v>#N/A</v>
      </c>
      <c r="H348" s="12" t="e">
        <f>VLOOKUP($A348,'Matriz POA 2024-TRABAJO'!$A$5:$CD$9142,22,FALSE)</f>
        <v>#N/A</v>
      </c>
      <c r="I348" s="12" t="e">
        <f>VLOOKUP($A348,'Matriz POA 2024-TRABAJO'!$A$5:$CD$9142,23,FALSE)</f>
        <v>#N/A</v>
      </c>
      <c r="J348" s="12" t="e">
        <f>VLOOKUP($A348,'Matriz POA 2024-TRABAJO'!$A$5:$CD$9142,24,FALSE)</f>
        <v>#N/A</v>
      </c>
      <c r="K348" s="12" t="e">
        <f>VLOOKUP($A348,'Matriz POA 2024-TRABAJO'!$A$5:$CD$9142,25,FALSE)</f>
        <v>#N/A</v>
      </c>
      <c r="L348" s="12" t="e">
        <f>VLOOKUP($A348,'Matriz POA 2024-TRABAJO'!$A$5:$CD$9142,26,FALSE)</f>
        <v>#N/A</v>
      </c>
      <c r="M348" s="12" t="e">
        <f>VLOOKUP($A348,'Matriz POA 2024-TRABAJO'!$A$5:$CD$9142,27,FALSE)</f>
        <v>#N/A</v>
      </c>
      <c r="N348" s="12" t="e">
        <f>VLOOKUP($A348,'Matriz POA 2024-TRABAJO'!$A$5:$CD$9142,28,FALSE)</f>
        <v>#N/A</v>
      </c>
      <c r="O348" s="12" t="e">
        <f>VLOOKUP($A348,'Matriz POA 2024-TRABAJO'!$A$5:$CD$9142,29,FALSE)</f>
        <v>#N/A</v>
      </c>
      <c r="P348" s="12" t="e">
        <f>VLOOKUP($A348,'Matriz POA 2024-TRABAJO'!$A$5:$CD$9142,30,FALSE)</f>
        <v>#N/A</v>
      </c>
      <c r="Q348" s="12" t="e">
        <f>VLOOKUP($A348,'Matriz POA 2024-TRABAJO'!$A$5:$CD$9142,32,FALSE)</f>
        <v>#N/A</v>
      </c>
      <c r="R348" s="12" t="e">
        <f>VLOOKUP($A348,'Matriz POA 2024-TRABAJO'!$A$5:$CD$9142,33,FALSE)</f>
        <v>#N/A</v>
      </c>
      <c r="S348" s="12" t="e">
        <f>VLOOKUP($A348,'Matriz POA 2024-TRABAJO'!$A$5:$CD$9142,34,FALSE)</f>
        <v>#N/A</v>
      </c>
      <c r="T348" s="12" t="e">
        <f>VLOOKUP($A348,'Matriz POA 2024-TRABAJO'!$A$5:$CD$9142,35,FALSE)</f>
        <v>#N/A</v>
      </c>
      <c r="U348" s="62" t="e">
        <f>VLOOKUP($A348,'Matriz POA 2024-TRABAJO'!$A$5:$CD$9142,66,FALSE)</f>
        <v>#N/A</v>
      </c>
      <c r="V348" s="62" t="e">
        <f>VLOOKUP($A348,'Matriz POA 2024-TRABAJO'!$A$5:$CD$9142,67,FALSE)</f>
        <v>#N/A</v>
      </c>
      <c r="W348" s="62" t="e">
        <f>VLOOKUP($A348,'Matriz POA 2024-TRABAJO'!$A$5:$CD$9142,68,FALSE)</f>
        <v>#N/A</v>
      </c>
      <c r="X348" s="62" t="e">
        <f>VLOOKUP($A348,'Matriz POA 2024-TRABAJO'!$A$5:$CD$9142,72,FALSE)</f>
        <v>#N/A</v>
      </c>
      <c r="Y348" s="388" t="e">
        <f>VLOOKUP($A348,'Matriz POA 2024-TRABAJO'!$A$5:$CD$9142,45,FALSE)</f>
        <v>#N/A</v>
      </c>
      <c r="Z348" s="388" t="e">
        <f>VLOOKUP($A348,'Matriz POA 2024-TRABAJO'!$A$5:$CD$9142,46,FALSE)</f>
        <v>#N/A</v>
      </c>
      <c r="AA348" s="388" t="e">
        <f>VLOOKUP($A348,'Matriz POA 2024-TRABAJO'!$A$5:$CD$9142,47,FALSE)</f>
        <v>#N/A</v>
      </c>
      <c r="AB348" s="389"/>
      <c r="AC348" s="389"/>
      <c r="AD348" s="13"/>
      <c r="AE348" s="13"/>
      <c r="AF348" s="13" t="e">
        <f t="shared" ref="AF348:AF349" si="408">Y348+AB348+AC348</f>
        <v>#N/A</v>
      </c>
      <c r="AG348" s="13" t="e">
        <f t="shared" ref="AG348:AG349" si="409">Z348+AD348+AE348</f>
        <v>#N/A</v>
      </c>
      <c r="AH348" s="13" t="e">
        <f t="shared" ref="AH348:AH349" si="410">+AF348+AG348</f>
        <v>#N/A</v>
      </c>
      <c r="AI348" s="129"/>
      <c r="AJ348" s="129"/>
      <c r="AK348" s="129"/>
      <c r="AL348" s="129"/>
      <c r="AM348" s="129"/>
      <c r="AN348" s="129"/>
      <c r="AO348" s="129"/>
      <c r="AP348" s="129"/>
      <c r="AQ348" s="129"/>
      <c r="AR348" s="129"/>
      <c r="AS348" s="129"/>
      <c r="AT348" s="129"/>
      <c r="AU348" s="129">
        <f t="shared" ref="AU348:AU349" si="411">SUM(AI348:AT348)</f>
        <v>0</v>
      </c>
      <c r="AV348" s="13" t="e">
        <f t="shared" ref="AV348:AV349" si="412">SUM(AI348:AT348)=AH348</f>
        <v>#N/A</v>
      </c>
      <c r="AW348" s="14"/>
      <c r="AX348" s="15"/>
      <c r="AY348" s="16"/>
      <c r="AZ348" s="15"/>
      <c r="BA348" s="16"/>
      <c r="BB348" s="17">
        <f t="shared" ref="BB348:BB349" si="413">BA348-AY348</f>
        <v>0</v>
      </c>
      <c r="BC348" s="12"/>
      <c r="BD348" s="15"/>
      <c r="BE348" s="18"/>
      <c r="BF348" s="12"/>
      <c r="BG348" s="19" t="str">
        <f t="shared" ref="BG348:BG349" si="414">TEXT(BA348,"MMMM")</f>
        <v>enero</v>
      </c>
      <c r="BH348" s="12" t="e">
        <f t="shared" ref="BH348:BH349" si="415">B348</f>
        <v>#N/A</v>
      </c>
      <c r="BI348" s="20" t="e">
        <f t="shared" ref="BI348:BI349" si="416">E348</f>
        <v>#N/A</v>
      </c>
    </row>
    <row r="349" spans="1:61" ht="24.95" customHeight="1">
      <c r="B349" s="12" t="e">
        <f>VLOOKUP($A349,'Matriz POA 2024-TRABAJO'!$A$5:$CD$9142,11,FALSE)</f>
        <v>#N/A</v>
      </c>
      <c r="C349" s="12" t="e">
        <f>VLOOKUP($A349,'Matriz POA 2024-TRABAJO'!$A$5:$CD$9142,14,FALSE)</f>
        <v>#N/A</v>
      </c>
      <c r="D349" s="12" t="e">
        <f>VLOOKUP($A349,'Matriz POA 2024-TRABAJO'!$A$5:$CD$9142,15,FALSE)</f>
        <v>#N/A</v>
      </c>
      <c r="E349" s="12" t="e">
        <f>VLOOKUP($A349,'Matriz POA 2024-TRABAJO'!$A$5:$CD$9142,18,FALSE)</f>
        <v>#N/A</v>
      </c>
      <c r="F349" s="12" t="e">
        <f>VLOOKUP($A349,'Matriz POA 2024-TRABAJO'!$A$5:$CD$9142,20,FALSE)</f>
        <v>#N/A</v>
      </c>
      <c r="G349" s="12" t="e">
        <f>VLOOKUP($A349,'Matriz POA 2024-TRABAJO'!$A$5:$CD$9142,21,FALSE)</f>
        <v>#N/A</v>
      </c>
      <c r="H349" s="12" t="e">
        <f>VLOOKUP($A349,'Matriz POA 2024-TRABAJO'!$A$5:$CD$9142,22,FALSE)</f>
        <v>#N/A</v>
      </c>
      <c r="I349" s="12" t="e">
        <f>VLOOKUP($A349,'Matriz POA 2024-TRABAJO'!$A$5:$CD$9142,23,FALSE)</f>
        <v>#N/A</v>
      </c>
      <c r="J349" s="12" t="e">
        <f>VLOOKUP($A349,'Matriz POA 2024-TRABAJO'!$A$5:$CD$9142,24,FALSE)</f>
        <v>#N/A</v>
      </c>
      <c r="K349" s="12" t="e">
        <f>VLOOKUP($A349,'Matriz POA 2024-TRABAJO'!$A$5:$CD$9142,25,FALSE)</f>
        <v>#N/A</v>
      </c>
      <c r="L349" s="12" t="e">
        <f>VLOOKUP($A349,'Matriz POA 2024-TRABAJO'!$A$5:$CD$9142,26,FALSE)</f>
        <v>#N/A</v>
      </c>
      <c r="M349" s="12" t="e">
        <f>VLOOKUP($A349,'Matriz POA 2024-TRABAJO'!$A$5:$CD$9142,27,FALSE)</f>
        <v>#N/A</v>
      </c>
      <c r="N349" s="12" t="e">
        <f>VLOOKUP($A349,'Matriz POA 2024-TRABAJO'!$A$5:$CD$9142,28,FALSE)</f>
        <v>#N/A</v>
      </c>
      <c r="O349" s="12" t="e">
        <f>VLOOKUP($A349,'Matriz POA 2024-TRABAJO'!$A$5:$CD$9142,29,FALSE)</f>
        <v>#N/A</v>
      </c>
      <c r="P349" s="12" t="e">
        <f>VLOOKUP($A349,'Matriz POA 2024-TRABAJO'!$A$5:$CD$9142,30,FALSE)</f>
        <v>#N/A</v>
      </c>
      <c r="Q349" s="12" t="e">
        <f>VLOOKUP($A349,'Matriz POA 2024-TRABAJO'!$A$5:$CD$9142,32,FALSE)</f>
        <v>#N/A</v>
      </c>
      <c r="R349" s="12" t="e">
        <f>VLOOKUP($A349,'Matriz POA 2024-TRABAJO'!$A$5:$CD$9142,33,FALSE)</f>
        <v>#N/A</v>
      </c>
      <c r="S349" s="12" t="e">
        <f>VLOOKUP($A349,'Matriz POA 2024-TRABAJO'!$A$5:$CD$9142,34,FALSE)</f>
        <v>#N/A</v>
      </c>
      <c r="T349" s="12" t="e">
        <f>VLOOKUP($A349,'Matriz POA 2024-TRABAJO'!$A$5:$CD$9142,35,FALSE)</f>
        <v>#N/A</v>
      </c>
      <c r="U349" s="62" t="e">
        <f>VLOOKUP($A349,'Matriz POA 2024-TRABAJO'!$A$5:$CD$9142,66,FALSE)</f>
        <v>#N/A</v>
      </c>
      <c r="V349" s="62" t="e">
        <f>VLOOKUP($A349,'Matriz POA 2024-TRABAJO'!$A$5:$CD$9142,67,FALSE)</f>
        <v>#N/A</v>
      </c>
      <c r="W349" s="62" t="e">
        <f>VLOOKUP($A349,'Matriz POA 2024-TRABAJO'!$A$5:$CD$9142,68,FALSE)</f>
        <v>#N/A</v>
      </c>
      <c r="X349" s="62" t="e">
        <f>VLOOKUP($A349,'Matriz POA 2024-TRABAJO'!$A$5:$CD$9142,72,FALSE)</f>
        <v>#N/A</v>
      </c>
      <c r="Y349" s="388" t="e">
        <f>VLOOKUP($A349,'Matriz POA 2024-TRABAJO'!$A$5:$CD$9142,45,FALSE)</f>
        <v>#N/A</v>
      </c>
      <c r="Z349" s="388" t="e">
        <f>VLOOKUP($A349,'Matriz POA 2024-TRABAJO'!$A$5:$CD$9142,46,FALSE)</f>
        <v>#N/A</v>
      </c>
      <c r="AA349" s="388" t="e">
        <f>VLOOKUP($A349,'Matriz POA 2024-TRABAJO'!$A$5:$CD$9142,47,FALSE)</f>
        <v>#N/A</v>
      </c>
      <c r="AB349" s="389"/>
      <c r="AC349" s="389"/>
      <c r="AD349" s="13"/>
      <c r="AE349" s="13"/>
      <c r="AF349" s="13" t="e">
        <f t="shared" si="408"/>
        <v>#N/A</v>
      </c>
      <c r="AG349" s="13" t="e">
        <f t="shared" si="409"/>
        <v>#N/A</v>
      </c>
      <c r="AH349" s="13" t="e">
        <f t="shared" si="410"/>
        <v>#N/A</v>
      </c>
      <c r="AI349" s="129"/>
      <c r="AJ349" s="129"/>
      <c r="AK349" s="129"/>
      <c r="AL349" s="129"/>
      <c r="AM349" s="129"/>
      <c r="AN349" s="129"/>
      <c r="AO349" s="129"/>
      <c r="AP349" s="129"/>
      <c r="AQ349" s="129"/>
      <c r="AR349" s="129"/>
      <c r="AS349" s="129"/>
      <c r="AT349" s="129"/>
      <c r="AU349" s="129">
        <f t="shared" si="411"/>
        <v>0</v>
      </c>
      <c r="AV349" s="13" t="e">
        <f t="shared" si="412"/>
        <v>#N/A</v>
      </c>
      <c r="AW349" s="14"/>
      <c r="AX349" s="15"/>
      <c r="AY349" s="16"/>
      <c r="AZ349" s="15"/>
      <c r="BA349" s="16"/>
      <c r="BB349" s="17">
        <f t="shared" si="413"/>
        <v>0</v>
      </c>
      <c r="BC349" s="12"/>
      <c r="BD349" s="15"/>
      <c r="BE349" s="18"/>
      <c r="BF349" s="12"/>
      <c r="BG349" s="19" t="str">
        <f t="shared" si="414"/>
        <v>enero</v>
      </c>
      <c r="BH349" s="12" t="e">
        <f t="shared" si="415"/>
        <v>#N/A</v>
      </c>
      <c r="BI349" s="20" t="e">
        <f t="shared" si="416"/>
        <v>#N/A</v>
      </c>
    </row>
  </sheetData>
  <autoFilter ref="A1:BJ334"/>
  <phoneticPr fontId="15" type="noConversion"/>
  <pageMargins left="0.7" right="0.7" top="0.75" bottom="0.75" header="0.3" footer="0.3"/>
  <pageSetup paperSize="9" scale="9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5" tint="-0.249977111117893"/>
  </sheetPr>
  <dimension ref="A1:AF22"/>
  <sheetViews>
    <sheetView zoomScale="80" zoomScaleNormal="80" workbookViewId="0">
      <pane ySplit="1" topLeftCell="A2" activePane="bottomLeft" state="frozen"/>
      <selection activeCell="Z1600" sqref="Z1600"/>
      <selection pane="bottomLeft" activeCell="L23" sqref="L23"/>
    </sheetView>
  </sheetViews>
  <sheetFormatPr baseColWidth="10" defaultRowHeight="13.7" customHeight="1"/>
  <cols>
    <col min="1" max="1" width="8" style="8" customWidth="1"/>
    <col min="2" max="2" width="22.42578125" style="9" customWidth="1"/>
    <col min="3" max="3" width="46.5703125" style="9" hidden="1" customWidth="1"/>
    <col min="4" max="4" width="37.7109375" style="9" hidden="1" customWidth="1"/>
    <col min="5" max="5" width="26.85546875" style="9" hidden="1" customWidth="1"/>
    <col min="6" max="8" width="15.42578125" style="9" hidden="1" customWidth="1"/>
    <col min="9" max="9" width="11.28515625" style="9" customWidth="1"/>
    <col min="10" max="10" width="36" style="10" customWidth="1"/>
    <col min="11" max="11" width="10.42578125" style="9" customWidth="1"/>
    <col min="12" max="12" width="14.28515625" style="9" customWidth="1"/>
    <col min="13" max="14" width="11.42578125" style="9" customWidth="1"/>
    <col min="15" max="15" width="7" style="9" customWidth="1"/>
    <col min="16" max="16" width="10" style="9" customWidth="1"/>
    <col min="17" max="17" width="13.140625" style="9" customWidth="1"/>
    <col min="18" max="18" width="13.42578125" style="9" customWidth="1"/>
    <col min="19" max="19" width="12.42578125" style="9" customWidth="1"/>
    <col min="20" max="20" width="13.7109375" style="9" customWidth="1"/>
    <col min="21" max="21" width="13.28515625" style="63" hidden="1" customWidth="1"/>
    <col min="22" max="22" width="14" style="63" hidden="1" customWidth="1"/>
    <col min="23" max="23" width="16" style="63" hidden="1" customWidth="1"/>
    <col min="24" max="26" width="14.140625" style="11" customWidth="1"/>
    <col min="27" max="28" width="17.85546875" style="9" customWidth="1"/>
    <col min="29" max="29" width="16.28515625" style="7" customWidth="1"/>
    <col min="30" max="31" width="30.7109375" style="10" customWidth="1"/>
    <col min="32" max="16384" width="11.42578125" style="7"/>
  </cols>
  <sheetData>
    <row r="1" spans="1:32" ht="63.75">
      <c r="A1" s="197" t="s">
        <v>921</v>
      </c>
      <c r="B1" s="197" t="s">
        <v>889</v>
      </c>
      <c r="C1" s="198" t="s">
        <v>5</v>
      </c>
      <c r="D1" s="198" t="s">
        <v>6</v>
      </c>
      <c r="E1" s="198" t="s">
        <v>922</v>
      </c>
      <c r="F1" s="198" t="s">
        <v>923</v>
      </c>
      <c r="G1" s="198" t="s">
        <v>924</v>
      </c>
      <c r="H1" s="198" t="s">
        <v>925</v>
      </c>
      <c r="I1" s="198" t="s">
        <v>14</v>
      </c>
      <c r="J1" s="197" t="s">
        <v>15</v>
      </c>
      <c r="K1" s="198" t="s">
        <v>4</v>
      </c>
      <c r="L1" s="199" t="s">
        <v>17</v>
      </c>
      <c r="M1" s="198" t="s">
        <v>18</v>
      </c>
      <c r="N1" s="199" t="s">
        <v>19</v>
      </c>
      <c r="O1" s="198" t="s">
        <v>926</v>
      </c>
      <c r="P1" s="197" t="s">
        <v>927</v>
      </c>
      <c r="Q1" s="200" t="s">
        <v>23</v>
      </c>
      <c r="R1" s="199" t="s">
        <v>24</v>
      </c>
      <c r="S1" s="199" t="s">
        <v>25</v>
      </c>
      <c r="T1" s="197" t="s">
        <v>26</v>
      </c>
      <c r="U1" s="201" t="s">
        <v>928</v>
      </c>
      <c r="V1" s="201" t="s">
        <v>49</v>
      </c>
      <c r="W1" s="201" t="s">
        <v>54</v>
      </c>
      <c r="X1" s="202" t="s">
        <v>893</v>
      </c>
      <c r="Y1" s="202" t="s">
        <v>894</v>
      </c>
      <c r="Z1" s="202" t="s">
        <v>929</v>
      </c>
      <c r="AA1" s="203" t="s">
        <v>1008</v>
      </c>
      <c r="AB1" s="203" t="s">
        <v>951</v>
      </c>
      <c r="AC1" s="203" t="s">
        <v>1009</v>
      </c>
      <c r="AD1" s="203" t="s">
        <v>949</v>
      </c>
      <c r="AE1" s="203" t="s">
        <v>1010</v>
      </c>
      <c r="AF1" s="203" t="s">
        <v>1011</v>
      </c>
    </row>
    <row r="2" spans="1:32" ht="13.7" customHeight="1">
      <c r="A2" s="8">
        <v>140</v>
      </c>
      <c r="B2" s="12" t="e">
        <f>VLOOKUP($A2,'Matriz POA 2024-TRABAJO'!$A$5:$CD$9142,11,FALSE)</f>
        <v>#N/A</v>
      </c>
      <c r="C2" s="12" t="e">
        <f>VLOOKUP($A2,'Matriz POA 2024-TRABAJO'!$A$5:$CD$9142,14,FALSE)</f>
        <v>#N/A</v>
      </c>
      <c r="D2" s="12" t="e">
        <f>VLOOKUP($A2,'Matriz POA 2024-TRABAJO'!$A$5:$CD$9142,15,FALSE)</f>
        <v>#N/A</v>
      </c>
      <c r="E2" s="12" t="e">
        <f>VLOOKUP($A2,'Matriz POA 2024-TRABAJO'!$A$5:$CD$9142,18,FALSE)</f>
        <v>#N/A</v>
      </c>
      <c r="F2" s="12" t="e">
        <f>VLOOKUP($A2,'Matriz POA 2024-TRABAJO'!$A$5:$CD$9142,20,FALSE)</f>
        <v>#N/A</v>
      </c>
      <c r="G2" s="12" t="e">
        <f>VLOOKUP($A2,'Matriz POA 2024-TRABAJO'!$A$5:$CD$9142,21,FALSE)</f>
        <v>#N/A</v>
      </c>
      <c r="H2" s="12" t="e">
        <f>VLOOKUP($A2,'Matriz POA 2024-TRABAJO'!$A$5:$CD$9142,22,FALSE)</f>
        <v>#N/A</v>
      </c>
      <c r="I2" s="12" t="e">
        <f>VLOOKUP($A2,'Matriz POA 2024-TRABAJO'!$A$5:$CD$9142,23,FALSE)</f>
        <v>#N/A</v>
      </c>
      <c r="J2" s="12" t="e">
        <f>VLOOKUP($A2,'Matriz POA 2024-TRABAJO'!$A$5:$CD$9142,24,FALSE)</f>
        <v>#N/A</v>
      </c>
      <c r="K2" s="12" t="e">
        <f>VLOOKUP($A2,'Matriz POA 2024-TRABAJO'!$A$5:$CD$9142,25,FALSE)</f>
        <v>#N/A</v>
      </c>
      <c r="L2" s="12" t="e">
        <f>VLOOKUP($A2,'Matriz POA 2024-TRABAJO'!$A$5:$CD$9142,26,FALSE)</f>
        <v>#N/A</v>
      </c>
      <c r="M2" s="12" t="e">
        <f>VLOOKUP($A2,'Matriz POA 2024-TRABAJO'!$A$5:$CD$9142,27,FALSE)</f>
        <v>#N/A</v>
      </c>
      <c r="N2" s="12" t="e">
        <f>VLOOKUP($A2,'Matriz POA 2024-TRABAJO'!$A$5:$CD$9142,28,FALSE)</f>
        <v>#N/A</v>
      </c>
      <c r="O2" s="12" t="e">
        <f>VLOOKUP($A2,'Matriz POA 2024-TRABAJO'!$A$5:$CD$9142,29,FALSE)</f>
        <v>#N/A</v>
      </c>
      <c r="P2" s="12" t="e">
        <f>VLOOKUP($A2,'Matriz POA 2024-TRABAJO'!$A$5:$CD$9142,30,FALSE)</f>
        <v>#N/A</v>
      </c>
      <c r="Q2" s="12" t="e">
        <f>VLOOKUP($A2,'Matriz POA 2024-TRABAJO'!$A$5:$CD$9142,32,FALSE)</f>
        <v>#N/A</v>
      </c>
      <c r="R2" s="12" t="e">
        <f>VLOOKUP($A2,'Matriz POA 2024-TRABAJO'!$A$5:$CD$9142,33,FALSE)</f>
        <v>#N/A</v>
      </c>
      <c r="S2" s="12" t="e">
        <f>VLOOKUP($A2,'Matriz POA 2024-TRABAJO'!$A$5:$CD$9142,34,FALSE)</f>
        <v>#N/A</v>
      </c>
      <c r="T2" s="12" t="e">
        <f>VLOOKUP($A2,'Matriz POA 2024-TRABAJO'!$A$5:$CD$9142,35,FALSE)</f>
        <v>#N/A</v>
      </c>
      <c r="U2" s="62" t="e">
        <f>VLOOKUP($A2,'Matriz POA 2024-TRABAJO'!$A$5:$CD$9142,66,FALSE)</f>
        <v>#N/A</v>
      </c>
      <c r="V2" s="62" t="e">
        <f>VLOOKUP($A2,'Matriz POA 2024-TRABAJO'!$A$5:$CD$9142,67,FALSE)</f>
        <v>#N/A</v>
      </c>
      <c r="W2" s="62" t="e">
        <f>VLOOKUP($A2,'Matriz POA 2024-TRABAJO'!$A$5:$CD$9142,72,FALSE)</f>
        <v>#N/A</v>
      </c>
      <c r="X2" s="64">
        <v>13318.72</v>
      </c>
      <c r="Y2" s="64" t="e">
        <f>VLOOKUP($A2,'Matriz POA 2024-TRABAJO'!$A$5:$CD$9142,46,FALSE)</f>
        <v>#N/A</v>
      </c>
      <c r="Z2" s="64">
        <v>13318.72</v>
      </c>
      <c r="AA2" s="15" t="s">
        <v>1012</v>
      </c>
      <c r="AB2" s="16">
        <v>45352</v>
      </c>
      <c r="AC2" s="195">
        <v>6659</v>
      </c>
      <c r="AD2" s="14" t="s">
        <v>1013</v>
      </c>
      <c r="AE2" s="14" t="s">
        <v>986</v>
      </c>
      <c r="AF2" s="196">
        <f>+Z2-AC2</f>
        <v>6659.7199999999993</v>
      </c>
    </row>
    <row r="3" spans="1:32" ht="13.7" customHeight="1">
      <c r="B3" s="12" t="e">
        <f>VLOOKUP($A3,'Matriz POA 2024-TRABAJO'!$A$5:$CD$9142,11,FALSE)</f>
        <v>#N/A</v>
      </c>
      <c r="C3" s="12" t="e">
        <f>VLOOKUP($A3,'Matriz POA 2024-TRABAJO'!$A$5:$CD$9142,14,FALSE)</f>
        <v>#N/A</v>
      </c>
      <c r="D3" s="12" t="e">
        <f>VLOOKUP($A3,'Matriz POA 2024-TRABAJO'!$A$5:$CD$9142,15,FALSE)</f>
        <v>#N/A</v>
      </c>
      <c r="E3" s="12" t="e">
        <f>VLOOKUP($A3,'Matriz POA 2024-TRABAJO'!$A$5:$CD$9142,18,FALSE)</f>
        <v>#N/A</v>
      </c>
      <c r="F3" s="12" t="e">
        <f>VLOOKUP($A3,'Matriz POA 2024-TRABAJO'!$A$5:$CD$9142,20,FALSE)</f>
        <v>#N/A</v>
      </c>
      <c r="G3" s="12" t="e">
        <f>VLOOKUP($A3,'Matriz POA 2024-TRABAJO'!$A$5:$CD$9142,21,FALSE)</f>
        <v>#N/A</v>
      </c>
      <c r="H3" s="12" t="e">
        <f>VLOOKUP($A3,'Matriz POA 2024-TRABAJO'!$A$5:$CD$9142,22,FALSE)</f>
        <v>#N/A</v>
      </c>
      <c r="I3" s="12" t="e">
        <f>VLOOKUP($A3,'Matriz POA 2024-TRABAJO'!$A$5:$CD$9142,23,FALSE)</f>
        <v>#N/A</v>
      </c>
      <c r="J3" s="12" t="e">
        <f>VLOOKUP($A3,'Matriz POA 2024-TRABAJO'!$A$5:$CD$9142,24,FALSE)</f>
        <v>#N/A</v>
      </c>
      <c r="K3" s="12" t="e">
        <f>VLOOKUP($A3,'Matriz POA 2024-TRABAJO'!$A$5:$CD$9142,25,FALSE)</f>
        <v>#N/A</v>
      </c>
      <c r="L3" s="12" t="e">
        <f>VLOOKUP($A3,'Matriz POA 2024-TRABAJO'!$A$5:$CD$9142,26,FALSE)</f>
        <v>#N/A</v>
      </c>
      <c r="M3" s="12" t="e">
        <f>VLOOKUP($A3,'Matriz POA 2024-TRABAJO'!$A$5:$CD$9142,27,FALSE)</f>
        <v>#N/A</v>
      </c>
      <c r="N3" s="12" t="e">
        <f>VLOOKUP($A3,'Matriz POA 2024-TRABAJO'!$A$5:$CD$9142,28,FALSE)</f>
        <v>#N/A</v>
      </c>
      <c r="O3" s="12" t="e">
        <f>VLOOKUP($A3,'Matriz POA 2024-TRABAJO'!$A$5:$CD$9142,29,FALSE)</f>
        <v>#N/A</v>
      </c>
      <c r="P3" s="12" t="e">
        <f>VLOOKUP($A3,'Matriz POA 2024-TRABAJO'!$A$5:$CD$9142,30,FALSE)</f>
        <v>#N/A</v>
      </c>
      <c r="Q3" s="12" t="e">
        <f>VLOOKUP($A3,'Matriz POA 2024-TRABAJO'!$A$5:$CD$9142,32,FALSE)</f>
        <v>#N/A</v>
      </c>
      <c r="R3" s="12" t="e">
        <f>VLOOKUP($A3,'Matriz POA 2024-TRABAJO'!$A$5:$CD$9142,33,FALSE)</f>
        <v>#N/A</v>
      </c>
      <c r="S3" s="12" t="e">
        <f>VLOOKUP($A3,'Matriz POA 2024-TRABAJO'!$A$5:$CD$9142,34,FALSE)</f>
        <v>#N/A</v>
      </c>
      <c r="T3" s="12" t="e">
        <f>VLOOKUP($A3,'Matriz POA 2024-TRABAJO'!$A$5:$CD$9142,35,FALSE)</f>
        <v>#N/A</v>
      </c>
      <c r="U3" s="62" t="e">
        <f>VLOOKUP($A3,'Matriz POA 2024-TRABAJO'!$A$5:$CD$9142,66,FALSE)</f>
        <v>#N/A</v>
      </c>
      <c r="V3" s="62" t="e">
        <f>VLOOKUP($A3,'Matriz POA 2024-TRABAJO'!$A$5:$CD$9142,67,FALSE)</f>
        <v>#N/A</v>
      </c>
      <c r="W3" s="62" t="e">
        <f>VLOOKUP($A3,'Matriz POA 2024-TRABAJO'!$A$5:$CD$9142,72,FALSE)</f>
        <v>#N/A</v>
      </c>
      <c r="X3" s="64" t="e">
        <f>VLOOKUP($A3,'Matriz POA 2024-TRABAJO'!$A$5:$CD$9142,45,FALSE)</f>
        <v>#N/A</v>
      </c>
      <c r="Y3" s="64" t="e">
        <f>VLOOKUP($A3,'Matriz POA 2024-TRABAJO'!$A$5:$CD$9142,46,FALSE)</f>
        <v>#N/A</v>
      </c>
      <c r="Z3" s="64" t="e">
        <f>VLOOKUP($A3,'Matriz POA 2024-TRABAJO'!$A$5:$CD$9142,47,FALSE)</f>
        <v>#N/A</v>
      </c>
      <c r="AA3" s="15"/>
      <c r="AB3" s="16"/>
      <c r="AC3" s="195"/>
      <c r="AD3" s="14"/>
      <c r="AE3" s="14"/>
      <c r="AF3" s="195"/>
    </row>
    <row r="4" spans="1:32" ht="13.7" customHeight="1">
      <c r="B4" s="12" t="e">
        <f>VLOOKUP($A4,'Matriz POA 2024-TRABAJO'!$A$5:$CD$9142,11,FALSE)</f>
        <v>#N/A</v>
      </c>
      <c r="C4" s="12" t="e">
        <f>VLOOKUP($A4,'Matriz POA 2024-TRABAJO'!$A$5:$CD$9142,14,FALSE)</f>
        <v>#N/A</v>
      </c>
      <c r="D4" s="12" t="e">
        <f>VLOOKUP($A4,'Matriz POA 2024-TRABAJO'!$A$5:$CD$9142,15,FALSE)</f>
        <v>#N/A</v>
      </c>
      <c r="E4" s="12" t="e">
        <f>VLOOKUP($A4,'Matriz POA 2024-TRABAJO'!$A$5:$CD$9142,18,FALSE)</f>
        <v>#N/A</v>
      </c>
      <c r="F4" s="12" t="e">
        <f>VLOOKUP($A4,'Matriz POA 2024-TRABAJO'!$A$5:$CD$9142,20,FALSE)</f>
        <v>#N/A</v>
      </c>
      <c r="G4" s="12" t="e">
        <f>VLOOKUP($A4,'Matriz POA 2024-TRABAJO'!$A$5:$CD$9142,21,FALSE)</f>
        <v>#N/A</v>
      </c>
      <c r="H4" s="12" t="e">
        <f>VLOOKUP($A4,'Matriz POA 2024-TRABAJO'!$A$5:$CD$9142,22,FALSE)</f>
        <v>#N/A</v>
      </c>
      <c r="I4" s="12" t="e">
        <f>VLOOKUP($A4,'Matriz POA 2024-TRABAJO'!$A$5:$CD$9142,23,FALSE)</f>
        <v>#N/A</v>
      </c>
      <c r="J4" s="12" t="e">
        <f>VLOOKUP($A4,'Matriz POA 2024-TRABAJO'!$A$5:$CD$9142,24,FALSE)</f>
        <v>#N/A</v>
      </c>
      <c r="K4" s="12" t="e">
        <f>VLOOKUP($A4,'Matriz POA 2024-TRABAJO'!$A$5:$CD$9142,25,FALSE)</f>
        <v>#N/A</v>
      </c>
      <c r="L4" s="12" t="e">
        <f>VLOOKUP($A4,'Matriz POA 2024-TRABAJO'!$A$5:$CD$9142,26,FALSE)</f>
        <v>#N/A</v>
      </c>
      <c r="M4" s="12" t="e">
        <f>VLOOKUP($A4,'Matriz POA 2024-TRABAJO'!$A$5:$CD$9142,27,FALSE)</f>
        <v>#N/A</v>
      </c>
      <c r="N4" s="12" t="e">
        <f>VLOOKUP($A4,'Matriz POA 2024-TRABAJO'!$A$5:$CD$9142,28,FALSE)</f>
        <v>#N/A</v>
      </c>
      <c r="O4" s="12" t="e">
        <f>VLOOKUP($A4,'Matriz POA 2024-TRABAJO'!$A$5:$CD$9142,29,FALSE)</f>
        <v>#N/A</v>
      </c>
      <c r="P4" s="12" t="e">
        <f>VLOOKUP($A4,'Matriz POA 2024-TRABAJO'!$A$5:$CD$9142,30,FALSE)</f>
        <v>#N/A</v>
      </c>
      <c r="Q4" s="12" t="e">
        <f>VLOOKUP($A4,'Matriz POA 2024-TRABAJO'!$A$5:$CD$9142,32,FALSE)</f>
        <v>#N/A</v>
      </c>
      <c r="R4" s="12" t="e">
        <f>VLOOKUP($A4,'Matriz POA 2024-TRABAJO'!$A$5:$CD$9142,33,FALSE)</f>
        <v>#N/A</v>
      </c>
      <c r="S4" s="12" t="e">
        <f>VLOOKUP($A4,'Matriz POA 2024-TRABAJO'!$A$5:$CD$9142,34,FALSE)</f>
        <v>#N/A</v>
      </c>
      <c r="T4" s="12" t="e">
        <f>VLOOKUP($A4,'Matriz POA 2024-TRABAJO'!$A$5:$CD$9142,35,FALSE)</f>
        <v>#N/A</v>
      </c>
      <c r="U4" s="62" t="e">
        <f>VLOOKUP($A4,'Matriz POA 2024-TRABAJO'!$A$5:$CD$9142,66,FALSE)</f>
        <v>#N/A</v>
      </c>
      <c r="V4" s="62" t="e">
        <f>VLOOKUP($A4,'Matriz POA 2024-TRABAJO'!$A$5:$CD$9142,67,FALSE)</f>
        <v>#N/A</v>
      </c>
      <c r="W4" s="62" t="e">
        <f>VLOOKUP($A4,'Matriz POA 2024-TRABAJO'!$A$5:$CD$9142,72,FALSE)</f>
        <v>#N/A</v>
      </c>
      <c r="X4" s="64" t="e">
        <f>VLOOKUP($A4,'Matriz POA 2024-TRABAJO'!$A$5:$CD$9142,45,FALSE)</f>
        <v>#N/A</v>
      </c>
      <c r="Y4" s="64" t="e">
        <f>VLOOKUP($A4,'Matriz POA 2024-TRABAJO'!$A$5:$CD$9142,46,FALSE)</f>
        <v>#N/A</v>
      </c>
      <c r="Z4" s="64" t="e">
        <f>VLOOKUP($A4,'Matriz POA 2024-TRABAJO'!$A$5:$CD$9142,47,FALSE)</f>
        <v>#N/A</v>
      </c>
      <c r="AA4" s="15"/>
      <c r="AB4" s="16"/>
      <c r="AC4" s="195"/>
      <c r="AD4" s="14"/>
      <c r="AE4" s="14"/>
      <c r="AF4" s="195"/>
    </row>
    <row r="5" spans="1:32" ht="13.7" customHeight="1">
      <c r="B5" s="12" t="e">
        <f>VLOOKUP($A5,'Matriz POA 2024-TRABAJO'!$A$5:$CD$9142,11,FALSE)</f>
        <v>#N/A</v>
      </c>
      <c r="C5" s="12" t="e">
        <f>VLOOKUP($A5,'Matriz POA 2024-TRABAJO'!$A$5:$CD$9142,14,FALSE)</f>
        <v>#N/A</v>
      </c>
      <c r="D5" s="12" t="e">
        <f>VLOOKUP($A5,'Matriz POA 2024-TRABAJO'!$A$5:$CD$9142,15,FALSE)</f>
        <v>#N/A</v>
      </c>
      <c r="E5" s="12" t="e">
        <f>VLOOKUP($A5,'Matriz POA 2024-TRABAJO'!$A$5:$CD$9142,18,FALSE)</f>
        <v>#N/A</v>
      </c>
      <c r="F5" s="12" t="e">
        <f>VLOOKUP($A5,'Matriz POA 2024-TRABAJO'!$A$5:$CD$9142,20,FALSE)</f>
        <v>#N/A</v>
      </c>
      <c r="G5" s="12" t="e">
        <f>VLOOKUP($A5,'Matriz POA 2024-TRABAJO'!$A$5:$CD$9142,21,FALSE)</f>
        <v>#N/A</v>
      </c>
      <c r="H5" s="12" t="e">
        <f>VLOOKUP($A5,'Matriz POA 2024-TRABAJO'!$A$5:$CD$9142,22,FALSE)</f>
        <v>#N/A</v>
      </c>
      <c r="I5" s="12" t="e">
        <f>VLOOKUP($A5,'Matriz POA 2024-TRABAJO'!$A$5:$CD$9142,23,FALSE)</f>
        <v>#N/A</v>
      </c>
      <c r="J5" s="12" t="e">
        <f>VLOOKUP($A5,'Matriz POA 2024-TRABAJO'!$A$5:$CD$9142,24,FALSE)</f>
        <v>#N/A</v>
      </c>
      <c r="K5" s="12" t="e">
        <f>VLOOKUP($A5,'Matriz POA 2024-TRABAJO'!$A$5:$CD$9142,25,FALSE)</f>
        <v>#N/A</v>
      </c>
      <c r="L5" s="12" t="e">
        <f>VLOOKUP($A5,'Matriz POA 2024-TRABAJO'!$A$5:$CD$9142,26,FALSE)</f>
        <v>#N/A</v>
      </c>
      <c r="M5" s="12" t="e">
        <f>VLOOKUP($A5,'Matriz POA 2024-TRABAJO'!$A$5:$CD$9142,27,FALSE)</f>
        <v>#N/A</v>
      </c>
      <c r="N5" s="12" t="e">
        <f>VLOOKUP($A5,'Matriz POA 2024-TRABAJO'!$A$5:$CD$9142,28,FALSE)</f>
        <v>#N/A</v>
      </c>
      <c r="O5" s="12" t="e">
        <f>VLOOKUP($A5,'Matriz POA 2024-TRABAJO'!$A$5:$CD$9142,29,FALSE)</f>
        <v>#N/A</v>
      </c>
      <c r="P5" s="12" t="e">
        <f>VLOOKUP($A5,'Matriz POA 2024-TRABAJO'!$A$5:$CD$9142,30,FALSE)</f>
        <v>#N/A</v>
      </c>
      <c r="Q5" s="12" t="e">
        <f>VLOOKUP($A5,'Matriz POA 2024-TRABAJO'!$A$5:$CD$9142,32,FALSE)</f>
        <v>#N/A</v>
      </c>
      <c r="R5" s="12" t="e">
        <f>VLOOKUP($A5,'Matriz POA 2024-TRABAJO'!$A$5:$CD$9142,33,FALSE)</f>
        <v>#N/A</v>
      </c>
      <c r="S5" s="12" t="e">
        <f>VLOOKUP($A5,'Matriz POA 2024-TRABAJO'!$A$5:$CD$9142,34,FALSE)</f>
        <v>#N/A</v>
      </c>
      <c r="T5" s="12" t="e">
        <f>VLOOKUP($A5,'Matriz POA 2024-TRABAJO'!$A$5:$CD$9142,35,FALSE)</f>
        <v>#N/A</v>
      </c>
      <c r="U5" s="62" t="e">
        <f>VLOOKUP($A5,'Matriz POA 2024-TRABAJO'!$A$5:$CD$9142,66,FALSE)</f>
        <v>#N/A</v>
      </c>
      <c r="V5" s="62" t="e">
        <f>VLOOKUP($A5,'Matriz POA 2024-TRABAJO'!$A$5:$CD$9142,67,FALSE)</f>
        <v>#N/A</v>
      </c>
      <c r="W5" s="62" t="e">
        <f>VLOOKUP($A5,'Matriz POA 2024-TRABAJO'!$A$5:$CD$9142,72,FALSE)</f>
        <v>#N/A</v>
      </c>
      <c r="X5" s="64" t="e">
        <f>VLOOKUP($A5,'Matriz POA 2024-TRABAJO'!$A$5:$CD$9142,45,FALSE)</f>
        <v>#N/A</v>
      </c>
      <c r="Y5" s="64" t="e">
        <f>VLOOKUP($A5,'Matriz POA 2024-TRABAJO'!$A$5:$CD$9142,46,FALSE)</f>
        <v>#N/A</v>
      </c>
      <c r="Z5" s="64" t="e">
        <f>VLOOKUP($A5,'Matriz POA 2024-TRABAJO'!$A$5:$CD$9142,47,FALSE)</f>
        <v>#N/A</v>
      </c>
      <c r="AA5" s="15"/>
      <c r="AB5" s="16"/>
      <c r="AC5" s="195"/>
      <c r="AD5" s="14"/>
      <c r="AE5" s="14"/>
      <c r="AF5" s="195"/>
    </row>
    <row r="6" spans="1:32" ht="13.7" customHeight="1">
      <c r="B6" s="12" t="e">
        <f>VLOOKUP($A6,'Matriz POA 2024-TRABAJO'!$A$5:$CD$9142,11,FALSE)</f>
        <v>#N/A</v>
      </c>
      <c r="C6" s="12" t="e">
        <f>VLOOKUP($A6,'Matriz POA 2024-TRABAJO'!$A$5:$CD$9142,14,FALSE)</f>
        <v>#N/A</v>
      </c>
      <c r="D6" s="12" t="e">
        <f>VLOOKUP($A6,'Matriz POA 2024-TRABAJO'!$A$5:$CD$9142,15,FALSE)</f>
        <v>#N/A</v>
      </c>
      <c r="E6" s="12" t="e">
        <f>VLOOKUP($A6,'Matriz POA 2024-TRABAJO'!$A$5:$CD$9142,18,FALSE)</f>
        <v>#N/A</v>
      </c>
      <c r="F6" s="12" t="e">
        <f>VLOOKUP($A6,'Matriz POA 2024-TRABAJO'!$A$5:$CD$9142,20,FALSE)</f>
        <v>#N/A</v>
      </c>
      <c r="G6" s="12" t="e">
        <f>VLOOKUP($A6,'Matriz POA 2024-TRABAJO'!$A$5:$CD$9142,21,FALSE)</f>
        <v>#N/A</v>
      </c>
      <c r="H6" s="12" t="e">
        <f>VLOOKUP($A6,'Matriz POA 2024-TRABAJO'!$A$5:$CD$9142,22,FALSE)</f>
        <v>#N/A</v>
      </c>
      <c r="I6" s="12" t="e">
        <f>VLOOKUP($A6,'Matriz POA 2024-TRABAJO'!$A$5:$CD$9142,23,FALSE)</f>
        <v>#N/A</v>
      </c>
      <c r="J6" s="12" t="e">
        <f>VLOOKUP($A6,'Matriz POA 2024-TRABAJO'!$A$5:$CD$9142,24,FALSE)</f>
        <v>#N/A</v>
      </c>
      <c r="K6" s="12" t="e">
        <f>VLOOKUP($A6,'Matriz POA 2024-TRABAJO'!$A$5:$CD$9142,25,FALSE)</f>
        <v>#N/A</v>
      </c>
      <c r="L6" s="12" t="e">
        <f>VLOOKUP($A6,'Matriz POA 2024-TRABAJO'!$A$5:$CD$9142,26,FALSE)</f>
        <v>#N/A</v>
      </c>
      <c r="M6" s="12" t="e">
        <f>VLOOKUP($A6,'Matriz POA 2024-TRABAJO'!$A$5:$CD$9142,27,FALSE)</f>
        <v>#N/A</v>
      </c>
      <c r="N6" s="12" t="e">
        <f>VLOOKUP($A6,'Matriz POA 2024-TRABAJO'!$A$5:$CD$9142,28,FALSE)</f>
        <v>#N/A</v>
      </c>
      <c r="O6" s="12" t="e">
        <f>VLOOKUP($A6,'Matriz POA 2024-TRABAJO'!$A$5:$CD$9142,29,FALSE)</f>
        <v>#N/A</v>
      </c>
      <c r="P6" s="12" t="e">
        <f>VLOOKUP($A6,'Matriz POA 2024-TRABAJO'!$A$5:$CD$9142,30,FALSE)</f>
        <v>#N/A</v>
      </c>
      <c r="Q6" s="12" t="e">
        <f>VLOOKUP($A6,'Matriz POA 2024-TRABAJO'!$A$5:$CD$9142,32,FALSE)</f>
        <v>#N/A</v>
      </c>
      <c r="R6" s="12" t="e">
        <f>VLOOKUP($A6,'Matriz POA 2024-TRABAJO'!$A$5:$CD$9142,33,FALSE)</f>
        <v>#N/A</v>
      </c>
      <c r="S6" s="12" t="e">
        <f>VLOOKUP($A6,'Matriz POA 2024-TRABAJO'!$A$5:$CD$9142,34,FALSE)</f>
        <v>#N/A</v>
      </c>
      <c r="T6" s="12" t="e">
        <f>VLOOKUP($A6,'Matriz POA 2024-TRABAJO'!$A$5:$CD$9142,35,FALSE)</f>
        <v>#N/A</v>
      </c>
      <c r="U6" s="62" t="e">
        <f>VLOOKUP($A6,'Matriz POA 2024-TRABAJO'!$A$5:$CD$9142,66,FALSE)</f>
        <v>#N/A</v>
      </c>
      <c r="V6" s="62" t="e">
        <f>VLOOKUP($A6,'Matriz POA 2024-TRABAJO'!$A$5:$CD$9142,67,FALSE)</f>
        <v>#N/A</v>
      </c>
      <c r="W6" s="62" t="e">
        <f>VLOOKUP($A6,'Matriz POA 2024-TRABAJO'!$A$5:$CD$9142,72,FALSE)</f>
        <v>#N/A</v>
      </c>
      <c r="X6" s="64" t="e">
        <f>VLOOKUP($A6,'Matriz POA 2024-TRABAJO'!$A$5:$CD$9142,45,FALSE)</f>
        <v>#N/A</v>
      </c>
      <c r="Y6" s="64" t="e">
        <f>VLOOKUP($A6,'Matriz POA 2024-TRABAJO'!$A$5:$CD$9142,46,FALSE)</f>
        <v>#N/A</v>
      </c>
      <c r="Z6" s="64" t="e">
        <f>VLOOKUP($A6,'Matriz POA 2024-TRABAJO'!$A$5:$CD$9142,47,FALSE)</f>
        <v>#N/A</v>
      </c>
      <c r="AA6" s="15"/>
      <c r="AB6" s="16"/>
      <c r="AC6" s="195"/>
      <c r="AD6" s="14"/>
      <c r="AE6" s="14"/>
      <c r="AF6" s="195"/>
    </row>
    <row r="7" spans="1:32" ht="13.7" customHeight="1">
      <c r="B7" s="12" t="e">
        <f>VLOOKUP($A7,'Matriz POA 2024-TRABAJO'!$A$5:$CD$9142,11,FALSE)</f>
        <v>#N/A</v>
      </c>
      <c r="C7" s="12" t="e">
        <f>VLOOKUP($A7,'Matriz POA 2024-TRABAJO'!$A$5:$CD$9142,14,FALSE)</f>
        <v>#N/A</v>
      </c>
      <c r="D7" s="12" t="e">
        <f>VLOOKUP($A7,'Matriz POA 2024-TRABAJO'!$A$5:$CD$9142,15,FALSE)</f>
        <v>#N/A</v>
      </c>
      <c r="E7" s="12" t="e">
        <f>VLOOKUP($A7,'Matriz POA 2024-TRABAJO'!$A$5:$CD$9142,18,FALSE)</f>
        <v>#N/A</v>
      </c>
      <c r="F7" s="12" t="e">
        <f>VLOOKUP($A7,'Matriz POA 2024-TRABAJO'!$A$5:$CD$9142,20,FALSE)</f>
        <v>#N/A</v>
      </c>
      <c r="G7" s="12" t="e">
        <f>VLOOKUP($A7,'Matriz POA 2024-TRABAJO'!$A$5:$CD$9142,21,FALSE)</f>
        <v>#N/A</v>
      </c>
      <c r="H7" s="12" t="e">
        <f>VLOOKUP($A7,'Matriz POA 2024-TRABAJO'!$A$5:$CD$9142,22,FALSE)</f>
        <v>#N/A</v>
      </c>
      <c r="I7" s="12" t="e">
        <f>VLOOKUP($A7,'Matriz POA 2024-TRABAJO'!$A$5:$CD$9142,23,FALSE)</f>
        <v>#N/A</v>
      </c>
      <c r="J7" s="12" t="e">
        <f>VLOOKUP($A7,'Matriz POA 2024-TRABAJO'!$A$5:$CD$9142,24,FALSE)</f>
        <v>#N/A</v>
      </c>
      <c r="K7" s="12" t="e">
        <f>VLOOKUP($A7,'Matriz POA 2024-TRABAJO'!$A$5:$CD$9142,25,FALSE)</f>
        <v>#N/A</v>
      </c>
      <c r="L7" s="12" t="e">
        <f>VLOOKUP($A7,'Matriz POA 2024-TRABAJO'!$A$5:$CD$9142,26,FALSE)</f>
        <v>#N/A</v>
      </c>
      <c r="M7" s="12" t="e">
        <f>VLOOKUP($A7,'Matriz POA 2024-TRABAJO'!$A$5:$CD$9142,27,FALSE)</f>
        <v>#N/A</v>
      </c>
      <c r="N7" s="12" t="e">
        <f>VLOOKUP($A7,'Matriz POA 2024-TRABAJO'!$A$5:$CD$9142,28,FALSE)</f>
        <v>#N/A</v>
      </c>
      <c r="O7" s="12" t="e">
        <f>VLOOKUP($A7,'Matriz POA 2024-TRABAJO'!$A$5:$CD$9142,29,FALSE)</f>
        <v>#N/A</v>
      </c>
      <c r="P7" s="12" t="e">
        <f>VLOOKUP($A7,'Matriz POA 2024-TRABAJO'!$A$5:$CD$9142,30,FALSE)</f>
        <v>#N/A</v>
      </c>
      <c r="Q7" s="12" t="e">
        <f>VLOOKUP($A7,'Matriz POA 2024-TRABAJO'!$A$5:$CD$9142,32,FALSE)</f>
        <v>#N/A</v>
      </c>
      <c r="R7" s="12" t="e">
        <f>VLOOKUP($A7,'Matriz POA 2024-TRABAJO'!$A$5:$CD$9142,33,FALSE)</f>
        <v>#N/A</v>
      </c>
      <c r="S7" s="12" t="e">
        <f>VLOOKUP($A7,'Matriz POA 2024-TRABAJO'!$A$5:$CD$9142,34,FALSE)</f>
        <v>#N/A</v>
      </c>
      <c r="T7" s="12" t="e">
        <f>VLOOKUP($A7,'Matriz POA 2024-TRABAJO'!$A$5:$CD$9142,35,FALSE)</f>
        <v>#N/A</v>
      </c>
      <c r="U7" s="62" t="e">
        <f>VLOOKUP($A7,'Matriz POA 2024-TRABAJO'!$A$5:$CD$9142,66,FALSE)</f>
        <v>#N/A</v>
      </c>
      <c r="V7" s="62" t="e">
        <f>VLOOKUP($A7,'Matriz POA 2024-TRABAJO'!$A$5:$CD$9142,67,FALSE)</f>
        <v>#N/A</v>
      </c>
      <c r="W7" s="62" t="e">
        <f>VLOOKUP($A7,'Matriz POA 2024-TRABAJO'!$A$5:$CD$9142,72,FALSE)</f>
        <v>#N/A</v>
      </c>
      <c r="X7" s="64" t="e">
        <f>VLOOKUP($A7,'Matriz POA 2024-TRABAJO'!$A$5:$CD$9142,45,FALSE)</f>
        <v>#N/A</v>
      </c>
      <c r="Y7" s="64" t="e">
        <f>VLOOKUP($A7,'Matriz POA 2024-TRABAJO'!$A$5:$CD$9142,46,FALSE)</f>
        <v>#N/A</v>
      </c>
      <c r="Z7" s="64" t="e">
        <f>VLOOKUP($A7,'Matriz POA 2024-TRABAJO'!$A$5:$CD$9142,47,FALSE)</f>
        <v>#N/A</v>
      </c>
      <c r="AA7" s="15"/>
      <c r="AB7" s="16"/>
      <c r="AC7" s="195"/>
      <c r="AD7" s="14"/>
      <c r="AE7" s="14"/>
      <c r="AF7" s="195"/>
    </row>
    <row r="8" spans="1:32" ht="13.7" customHeight="1">
      <c r="B8" s="12" t="e">
        <f>VLOOKUP($A8,'Matriz POA 2024-TRABAJO'!$A$5:$CD$9142,11,FALSE)</f>
        <v>#N/A</v>
      </c>
      <c r="C8" s="12" t="e">
        <f>VLOOKUP($A8,'Matriz POA 2024-TRABAJO'!$A$5:$CD$9142,14,FALSE)</f>
        <v>#N/A</v>
      </c>
      <c r="D8" s="12" t="e">
        <f>VLOOKUP($A8,'Matriz POA 2024-TRABAJO'!$A$5:$CD$9142,15,FALSE)</f>
        <v>#N/A</v>
      </c>
      <c r="E8" s="12" t="e">
        <f>VLOOKUP($A8,'Matriz POA 2024-TRABAJO'!$A$5:$CD$9142,18,FALSE)</f>
        <v>#N/A</v>
      </c>
      <c r="F8" s="12" t="e">
        <f>VLOOKUP($A8,'Matriz POA 2024-TRABAJO'!$A$5:$CD$9142,20,FALSE)</f>
        <v>#N/A</v>
      </c>
      <c r="G8" s="12" t="e">
        <f>VLOOKUP($A8,'Matriz POA 2024-TRABAJO'!$A$5:$CD$9142,21,FALSE)</f>
        <v>#N/A</v>
      </c>
      <c r="H8" s="12" t="e">
        <f>VLOOKUP($A8,'Matriz POA 2024-TRABAJO'!$A$5:$CD$9142,22,FALSE)</f>
        <v>#N/A</v>
      </c>
      <c r="I8" s="12" t="e">
        <f>VLOOKUP($A8,'Matriz POA 2024-TRABAJO'!$A$5:$CD$9142,23,FALSE)</f>
        <v>#N/A</v>
      </c>
      <c r="J8" s="12" t="e">
        <f>VLOOKUP($A8,'Matriz POA 2024-TRABAJO'!$A$5:$CD$9142,24,FALSE)</f>
        <v>#N/A</v>
      </c>
      <c r="K8" s="12" t="e">
        <f>VLOOKUP($A8,'Matriz POA 2024-TRABAJO'!$A$5:$CD$9142,25,FALSE)</f>
        <v>#N/A</v>
      </c>
      <c r="L8" s="12" t="e">
        <f>VLOOKUP($A8,'Matriz POA 2024-TRABAJO'!$A$5:$CD$9142,26,FALSE)</f>
        <v>#N/A</v>
      </c>
      <c r="M8" s="12" t="e">
        <f>VLOOKUP($A8,'Matriz POA 2024-TRABAJO'!$A$5:$CD$9142,27,FALSE)</f>
        <v>#N/A</v>
      </c>
      <c r="N8" s="12" t="e">
        <f>VLOOKUP($A8,'Matriz POA 2024-TRABAJO'!$A$5:$CD$9142,28,FALSE)</f>
        <v>#N/A</v>
      </c>
      <c r="O8" s="12" t="e">
        <f>VLOOKUP($A8,'Matriz POA 2024-TRABAJO'!$A$5:$CD$9142,29,FALSE)</f>
        <v>#N/A</v>
      </c>
      <c r="P8" s="12" t="e">
        <f>VLOOKUP($A8,'Matriz POA 2024-TRABAJO'!$A$5:$CD$9142,30,FALSE)</f>
        <v>#N/A</v>
      </c>
      <c r="Q8" s="12" t="e">
        <f>VLOOKUP($A8,'Matriz POA 2024-TRABAJO'!$A$5:$CD$9142,32,FALSE)</f>
        <v>#N/A</v>
      </c>
      <c r="R8" s="12" t="e">
        <f>VLOOKUP($A8,'Matriz POA 2024-TRABAJO'!$A$5:$CD$9142,33,FALSE)</f>
        <v>#N/A</v>
      </c>
      <c r="S8" s="12" t="e">
        <f>VLOOKUP($A8,'Matriz POA 2024-TRABAJO'!$A$5:$CD$9142,34,FALSE)</f>
        <v>#N/A</v>
      </c>
      <c r="T8" s="12" t="e">
        <f>VLOOKUP($A8,'Matriz POA 2024-TRABAJO'!$A$5:$CD$9142,35,FALSE)</f>
        <v>#N/A</v>
      </c>
      <c r="U8" s="62" t="e">
        <f>VLOOKUP($A8,'Matriz POA 2024-TRABAJO'!$A$5:$CD$9142,66,FALSE)</f>
        <v>#N/A</v>
      </c>
      <c r="V8" s="62" t="e">
        <f>VLOOKUP($A8,'Matriz POA 2024-TRABAJO'!$A$5:$CD$9142,67,FALSE)</f>
        <v>#N/A</v>
      </c>
      <c r="W8" s="62" t="e">
        <f>VLOOKUP($A8,'Matriz POA 2024-TRABAJO'!$A$5:$CD$9142,72,FALSE)</f>
        <v>#N/A</v>
      </c>
      <c r="X8" s="64" t="e">
        <f>VLOOKUP($A8,'Matriz POA 2024-TRABAJO'!$A$5:$CD$9142,45,FALSE)</f>
        <v>#N/A</v>
      </c>
      <c r="Y8" s="64" t="e">
        <f>VLOOKUP($A8,'Matriz POA 2024-TRABAJO'!$A$5:$CD$9142,46,FALSE)</f>
        <v>#N/A</v>
      </c>
      <c r="Z8" s="64" t="e">
        <f>VLOOKUP($A8,'Matriz POA 2024-TRABAJO'!$A$5:$CD$9142,47,FALSE)</f>
        <v>#N/A</v>
      </c>
      <c r="AA8" s="15"/>
      <c r="AB8" s="16"/>
      <c r="AC8" s="195"/>
      <c r="AD8" s="14"/>
      <c r="AE8" s="14"/>
      <c r="AF8" s="195"/>
    </row>
    <row r="9" spans="1:32" ht="13.7" customHeight="1">
      <c r="B9" s="12" t="e">
        <f>VLOOKUP($A9,'Matriz POA 2024-TRABAJO'!$A$5:$CD$9142,11,FALSE)</f>
        <v>#N/A</v>
      </c>
      <c r="C9" s="12" t="e">
        <f>VLOOKUP($A9,'Matriz POA 2024-TRABAJO'!$A$5:$CD$9142,14,FALSE)</f>
        <v>#N/A</v>
      </c>
      <c r="D9" s="12" t="e">
        <f>VLOOKUP($A9,'Matriz POA 2024-TRABAJO'!$A$5:$CD$9142,15,FALSE)</f>
        <v>#N/A</v>
      </c>
      <c r="E9" s="12" t="e">
        <f>VLOOKUP($A9,'Matriz POA 2024-TRABAJO'!$A$5:$CD$9142,18,FALSE)</f>
        <v>#N/A</v>
      </c>
      <c r="F9" s="12" t="e">
        <f>VLOOKUP($A9,'Matriz POA 2024-TRABAJO'!$A$5:$CD$9142,20,FALSE)</f>
        <v>#N/A</v>
      </c>
      <c r="G9" s="12" t="e">
        <f>VLOOKUP($A9,'Matriz POA 2024-TRABAJO'!$A$5:$CD$9142,21,FALSE)</f>
        <v>#N/A</v>
      </c>
      <c r="H9" s="12" t="e">
        <f>VLOOKUP($A9,'Matriz POA 2024-TRABAJO'!$A$5:$CD$9142,22,FALSE)</f>
        <v>#N/A</v>
      </c>
      <c r="I9" s="12" t="e">
        <f>VLOOKUP($A9,'Matriz POA 2024-TRABAJO'!$A$5:$CD$9142,23,FALSE)</f>
        <v>#N/A</v>
      </c>
      <c r="J9" s="12" t="e">
        <f>VLOOKUP($A9,'Matriz POA 2024-TRABAJO'!$A$5:$CD$9142,24,FALSE)</f>
        <v>#N/A</v>
      </c>
      <c r="K9" s="12" t="e">
        <f>VLOOKUP($A9,'Matriz POA 2024-TRABAJO'!$A$5:$CD$9142,25,FALSE)</f>
        <v>#N/A</v>
      </c>
      <c r="L9" s="12" t="e">
        <f>VLOOKUP($A9,'Matriz POA 2024-TRABAJO'!$A$5:$CD$9142,26,FALSE)</f>
        <v>#N/A</v>
      </c>
      <c r="M9" s="12" t="e">
        <f>VLOOKUP($A9,'Matriz POA 2024-TRABAJO'!$A$5:$CD$9142,27,FALSE)</f>
        <v>#N/A</v>
      </c>
      <c r="N9" s="12" t="e">
        <f>VLOOKUP($A9,'Matriz POA 2024-TRABAJO'!$A$5:$CD$9142,28,FALSE)</f>
        <v>#N/A</v>
      </c>
      <c r="O9" s="12" t="e">
        <f>VLOOKUP($A9,'Matriz POA 2024-TRABAJO'!$A$5:$CD$9142,29,FALSE)</f>
        <v>#N/A</v>
      </c>
      <c r="P9" s="12" t="e">
        <f>VLOOKUP($A9,'Matriz POA 2024-TRABAJO'!$A$5:$CD$9142,30,FALSE)</f>
        <v>#N/A</v>
      </c>
      <c r="Q9" s="12" t="e">
        <f>VLOOKUP($A9,'Matriz POA 2024-TRABAJO'!$A$5:$CD$9142,32,FALSE)</f>
        <v>#N/A</v>
      </c>
      <c r="R9" s="12" t="e">
        <f>VLOOKUP($A9,'Matriz POA 2024-TRABAJO'!$A$5:$CD$9142,33,FALSE)</f>
        <v>#N/A</v>
      </c>
      <c r="S9" s="12" t="e">
        <f>VLOOKUP($A9,'Matriz POA 2024-TRABAJO'!$A$5:$CD$9142,34,FALSE)</f>
        <v>#N/A</v>
      </c>
      <c r="T9" s="12" t="e">
        <f>VLOOKUP($A9,'Matriz POA 2024-TRABAJO'!$A$5:$CD$9142,35,FALSE)</f>
        <v>#N/A</v>
      </c>
      <c r="U9" s="62" t="e">
        <f>VLOOKUP($A9,'Matriz POA 2024-TRABAJO'!$A$5:$CD$9142,66,FALSE)</f>
        <v>#N/A</v>
      </c>
      <c r="V9" s="62" t="e">
        <f>VLOOKUP($A9,'Matriz POA 2024-TRABAJO'!$A$5:$CD$9142,67,FALSE)</f>
        <v>#N/A</v>
      </c>
      <c r="W9" s="62" t="e">
        <f>VLOOKUP($A9,'Matriz POA 2024-TRABAJO'!$A$5:$CD$9142,72,FALSE)</f>
        <v>#N/A</v>
      </c>
      <c r="X9" s="64" t="e">
        <f>VLOOKUP($A9,'Matriz POA 2024-TRABAJO'!$A$5:$CD$9142,45,FALSE)</f>
        <v>#N/A</v>
      </c>
      <c r="Y9" s="64" t="e">
        <f>VLOOKUP($A9,'Matriz POA 2024-TRABAJO'!$A$5:$CD$9142,46,FALSE)</f>
        <v>#N/A</v>
      </c>
      <c r="Z9" s="64" t="e">
        <f>VLOOKUP($A9,'Matriz POA 2024-TRABAJO'!$A$5:$CD$9142,47,FALSE)</f>
        <v>#N/A</v>
      </c>
      <c r="AA9" s="15"/>
      <c r="AB9" s="16"/>
      <c r="AC9" s="195"/>
      <c r="AD9" s="14"/>
      <c r="AE9" s="14"/>
      <c r="AF9" s="195"/>
    </row>
    <row r="10" spans="1:32" ht="13.7" customHeight="1">
      <c r="B10" s="12" t="e">
        <f>VLOOKUP($A10,'Matriz POA 2024-TRABAJO'!$A$5:$CD$9142,11,FALSE)</f>
        <v>#N/A</v>
      </c>
      <c r="C10" s="12" t="e">
        <f>VLOOKUP($A10,'Matriz POA 2024-TRABAJO'!$A$5:$CD$9142,14,FALSE)</f>
        <v>#N/A</v>
      </c>
      <c r="D10" s="12" t="e">
        <f>VLOOKUP($A10,'Matriz POA 2024-TRABAJO'!$A$5:$CD$9142,15,FALSE)</f>
        <v>#N/A</v>
      </c>
      <c r="E10" s="12" t="e">
        <f>VLOOKUP($A10,'Matriz POA 2024-TRABAJO'!$A$5:$CD$9142,18,FALSE)</f>
        <v>#N/A</v>
      </c>
      <c r="F10" s="12" t="e">
        <f>VLOOKUP($A10,'Matriz POA 2024-TRABAJO'!$A$5:$CD$9142,20,FALSE)</f>
        <v>#N/A</v>
      </c>
      <c r="G10" s="12" t="e">
        <f>VLOOKUP($A10,'Matriz POA 2024-TRABAJO'!$A$5:$CD$9142,21,FALSE)</f>
        <v>#N/A</v>
      </c>
      <c r="H10" s="12" t="e">
        <f>VLOOKUP($A10,'Matriz POA 2024-TRABAJO'!$A$5:$CD$9142,22,FALSE)</f>
        <v>#N/A</v>
      </c>
      <c r="I10" s="12" t="e">
        <f>VLOOKUP($A10,'Matriz POA 2024-TRABAJO'!$A$5:$CD$9142,23,FALSE)</f>
        <v>#N/A</v>
      </c>
      <c r="J10" s="12" t="e">
        <f>VLOOKUP($A10,'Matriz POA 2024-TRABAJO'!$A$5:$CD$9142,24,FALSE)</f>
        <v>#N/A</v>
      </c>
      <c r="K10" s="12" t="e">
        <f>VLOOKUP($A10,'Matriz POA 2024-TRABAJO'!$A$5:$CD$9142,25,FALSE)</f>
        <v>#N/A</v>
      </c>
      <c r="L10" s="12" t="e">
        <f>VLOOKUP($A10,'Matriz POA 2024-TRABAJO'!$A$5:$CD$9142,26,FALSE)</f>
        <v>#N/A</v>
      </c>
      <c r="M10" s="12" t="e">
        <f>VLOOKUP($A10,'Matriz POA 2024-TRABAJO'!$A$5:$CD$9142,27,FALSE)</f>
        <v>#N/A</v>
      </c>
      <c r="N10" s="12" t="e">
        <f>VLOOKUP($A10,'Matriz POA 2024-TRABAJO'!$A$5:$CD$9142,28,FALSE)</f>
        <v>#N/A</v>
      </c>
      <c r="O10" s="12" t="e">
        <f>VLOOKUP($A10,'Matriz POA 2024-TRABAJO'!$A$5:$CD$9142,29,FALSE)</f>
        <v>#N/A</v>
      </c>
      <c r="P10" s="12" t="e">
        <f>VLOOKUP($A10,'Matriz POA 2024-TRABAJO'!$A$5:$CD$9142,30,FALSE)</f>
        <v>#N/A</v>
      </c>
      <c r="Q10" s="12" t="e">
        <f>VLOOKUP($A10,'Matriz POA 2024-TRABAJO'!$A$5:$CD$9142,32,FALSE)</f>
        <v>#N/A</v>
      </c>
      <c r="R10" s="12" t="e">
        <f>VLOOKUP($A10,'Matriz POA 2024-TRABAJO'!$A$5:$CD$9142,33,FALSE)</f>
        <v>#N/A</v>
      </c>
      <c r="S10" s="12" t="e">
        <f>VLOOKUP($A10,'Matriz POA 2024-TRABAJO'!$A$5:$CD$9142,34,FALSE)</f>
        <v>#N/A</v>
      </c>
      <c r="T10" s="12" t="e">
        <f>VLOOKUP($A10,'Matriz POA 2024-TRABAJO'!$A$5:$CD$9142,35,FALSE)</f>
        <v>#N/A</v>
      </c>
      <c r="U10" s="62" t="e">
        <f>VLOOKUP($A10,'Matriz POA 2024-TRABAJO'!$A$5:$CD$9142,66,FALSE)</f>
        <v>#N/A</v>
      </c>
      <c r="V10" s="62" t="e">
        <f>VLOOKUP($A10,'Matriz POA 2024-TRABAJO'!$A$5:$CD$9142,67,FALSE)</f>
        <v>#N/A</v>
      </c>
      <c r="W10" s="62" t="e">
        <f>VLOOKUP($A10,'Matriz POA 2024-TRABAJO'!$A$5:$CD$9142,72,FALSE)</f>
        <v>#N/A</v>
      </c>
      <c r="X10" s="64" t="e">
        <f>VLOOKUP($A10,'Matriz POA 2024-TRABAJO'!$A$5:$CD$9142,45,FALSE)</f>
        <v>#N/A</v>
      </c>
      <c r="Y10" s="64" t="e">
        <f>VLOOKUP($A10,'Matriz POA 2024-TRABAJO'!$A$5:$CD$9142,46,FALSE)</f>
        <v>#N/A</v>
      </c>
      <c r="Z10" s="64" t="e">
        <f>VLOOKUP($A10,'Matriz POA 2024-TRABAJO'!$A$5:$CD$9142,47,FALSE)</f>
        <v>#N/A</v>
      </c>
      <c r="AA10" s="15"/>
      <c r="AB10" s="16"/>
      <c r="AC10" s="195"/>
      <c r="AD10" s="14"/>
      <c r="AE10" s="14"/>
      <c r="AF10" s="195"/>
    </row>
    <row r="11" spans="1:32" ht="13.7" customHeight="1">
      <c r="B11" s="12" t="e">
        <f>VLOOKUP($A11,'Matriz POA 2024-TRABAJO'!$A$5:$CD$9142,11,FALSE)</f>
        <v>#N/A</v>
      </c>
      <c r="C11" s="12" t="e">
        <f>VLOOKUP($A11,'Matriz POA 2024-TRABAJO'!$A$5:$CD$9142,14,FALSE)</f>
        <v>#N/A</v>
      </c>
      <c r="D11" s="12" t="e">
        <f>VLOOKUP($A11,'Matriz POA 2024-TRABAJO'!$A$5:$CD$9142,15,FALSE)</f>
        <v>#N/A</v>
      </c>
      <c r="E11" s="12" t="e">
        <f>VLOOKUP($A11,'Matriz POA 2024-TRABAJO'!$A$5:$CD$9142,18,FALSE)</f>
        <v>#N/A</v>
      </c>
      <c r="F11" s="12" t="e">
        <f>VLOOKUP($A11,'Matriz POA 2024-TRABAJO'!$A$5:$CD$9142,20,FALSE)</f>
        <v>#N/A</v>
      </c>
      <c r="G11" s="12" t="e">
        <f>VLOOKUP($A11,'Matriz POA 2024-TRABAJO'!$A$5:$CD$9142,21,FALSE)</f>
        <v>#N/A</v>
      </c>
      <c r="H11" s="12" t="e">
        <f>VLOOKUP($A11,'Matriz POA 2024-TRABAJO'!$A$5:$CD$9142,22,FALSE)</f>
        <v>#N/A</v>
      </c>
      <c r="I11" s="12" t="e">
        <f>VLOOKUP($A11,'Matriz POA 2024-TRABAJO'!$A$5:$CD$9142,23,FALSE)</f>
        <v>#N/A</v>
      </c>
      <c r="J11" s="12" t="e">
        <f>VLOOKUP($A11,'Matriz POA 2024-TRABAJO'!$A$5:$CD$9142,24,FALSE)</f>
        <v>#N/A</v>
      </c>
      <c r="K11" s="12" t="e">
        <f>VLOOKUP($A11,'Matriz POA 2024-TRABAJO'!$A$5:$CD$9142,25,FALSE)</f>
        <v>#N/A</v>
      </c>
      <c r="L11" s="12" t="e">
        <f>VLOOKUP($A11,'Matriz POA 2024-TRABAJO'!$A$5:$CD$9142,26,FALSE)</f>
        <v>#N/A</v>
      </c>
      <c r="M11" s="12" t="e">
        <f>VLOOKUP($A11,'Matriz POA 2024-TRABAJO'!$A$5:$CD$9142,27,FALSE)</f>
        <v>#N/A</v>
      </c>
      <c r="N11" s="12" t="e">
        <f>VLOOKUP($A11,'Matriz POA 2024-TRABAJO'!$A$5:$CD$9142,28,FALSE)</f>
        <v>#N/A</v>
      </c>
      <c r="O11" s="12" t="e">
        <f>VLOOKUP($A11,'Matriz POA 2024-TRABAJO'!$A$5:$CD$9142,29,FALSE)</f>
        <v>#N/A</v>
      </c>
      <c r="P11" s="12" t="e">
        <f>VLOOKUP($A11,'Matriz POA 2024-TRABAJO'!$A$5:$CD$9142,30,FALSE)</f>
        <v>#N/A</v>
      </c>
      <c r="Q11" s="12" t="e">
        <f>VLOOKUP($A11,'Matriz POA 2024-TRABAJO'!$A$5:$CD$9142,32,FALSE)</f>
        <v>#N/A</v>
      </c>
      <c r="R11" s="12" t="e">
        <f>VLOOKUP($A11,'Matriz POA 2024-TRABAJO'!$A$5:$CD$9142,33,FALSE)</f>
        <v>#N/A</v>
      </c>
      <c r="S11" s="12" t="e">
        <f>VLOOKUP($A11,'Matriz POA 2024-TRABAJO'!$A$5:$CD$9142,34,FALSE)</f>
        <v>#N/A</v>
      </c>
      <c r="T11" s="12" t="e">
        <f>VLOOKUP($A11,'Matriz POA 2024-TRABAJO'!$A$5:$CD$9142,35,FALSE)</f>
        <v>#N/A</v>
      </c>
      <c r="U11" s="62" t="e">
        <f>VLOOKUP($A11,'Matriz POA 2024-TRABAJO'!$A$5:$CD$9142,66,FALSE)</f>
        <v>#N/A</v>
      </c>
      <c r="V11" s="62" t="e">
        <f>VLOOKUP($A11,'Matriz POA 2024-TRABAJO'!$A$5:$CD$9142,67,FALSE)</f>
        <v>#N/A</v>
      </c>
      <c r="W11" s="62" t="e">
        <f>VLOOKUP($A11,'Matriz POA 2024-TRABAJO'!$A$5:$CD$9142,72,FALSE)</f>
        <v>#N/A</v>
      </c>
      <c r="X11" s="64" t="e">
        <f>VLOOKUP($A11,'Matriz POA 2024-TRABAJO'!$A$5:$CD$9142,45,FALSE)</f>
        <v>#N/A</v>
      </c>
      <c r="Y11" s="64" t="e">
        <f>VLOOKUP($A11,'Matriz POA 2024-TRABAJO'!$A$5:$CD$9142,46,FALSE)</f>
        <v>#N/A</v>
      </c>
      <c r="Z11" s="64" t="e">
        <f>VLOOKUP($A11,'Matriz POA 2024-TRABAJO'!$A$5:$CD$9142,47,FALSE)</f>
        <v>#N/A</v>
      </c>
      <c r="AA11" s="15"/>
      <c r="AB11" s="16"/>
      <c r="AC11" s="195"/>
      <c r="AD11" s="14"/>
      <c r="AE11" s="14"/>
      <c r="AF11" s="195"/>
    </row>
    <row r="12" spans="1:32" ht="13.7" customHeight="1">
      <c r="B12" s="12" t="e">
        <f>VLOOKUP($A12,'Matriz POA 2024-TRABAJO'!$A$5:$CD$9142,11,FALSE)</f>
        <v>#N/A</v>
      </c>
      <c r="C12" s="12" t="e">
        <f>VLOOKUP($A12,'Matriz POA 2024-TRABAJO'!$A$5:$CD$9142,14,FALSE)</f>
        <v>#N/A</v>
      </c>
      <c r="D12" s="12" t="e">
        <f>VLOOKUP($A12,'Matriz POA 2024-TRABAJO'!$A$5:$CD$9142,15,FALSE)</f>
        <v>#N/A</v>
      </c>
      <c r="E12" s="12" t="e">
        <f>VLOOKUP($A12,'Matriz POA 2024-TRABAJO'!$A$5:$CD$9142,18,FALSE)</f>
        <v>#N/A</v>
      </c>
      <c r="F12" s="12" t="e">
        <f>VLOOKUP($A12,'Matriz POA 2024-TRABAJO'!$A$5:$CD$9142,20,FALSE)</f>
        <v>#N/A</v>
      </c>
      <c r="G12" s="12" t="e">
        <f>VLOOKUP($A12,'Matriz POA 2024-TRABAJO'!$A$5:$CD$9142,21,FALSE)</f>
        <v>#N/A</v>
      </c>
      <c r="H12" s="12" t="e">
        <f>VLOOKUP($A12,'Matriz POA 2024-TRABAJO'!$A$5:$CD$9142,22,FALSE)</f>
        <v>#N/A</v>
      </c>
      <c r="I12" s="12" t="e">
        <f>VLOOKUP($A12,'Matriz POA 2024-TRABAJO'!$A$5:$CD$9142,23,FALSE)</f>
        <v>#N/A</v>
      </c>
      <c r="J12" s="12" t="e">
        <f>VLOOKUP($A12,'Matriz POA 2024-TRABAJO'!$A$5:$CD$9142,24,FALSE)</f>
        <v>#N/A</v>
      </c>
      <c r="K12" s="12" t="e">
        <f>VLOOKUP($A12,'Matriz POA 2024-TRABAJO'!$A$5:$CD$9142,25,FALSE)</f>
        <v>#N/A</v>
      </c>
      <c r="L12" s="12" t="e">
        <f>VLOOKUP($A12,'Matriz POA 2024-TRABAJO'!$A$5:$CD$9142,26,FALSE)</f>
        <v>#N/A</v>
      </c>
      <c r="M12" s="12" t="e">
        <f>VLOOKUP($A12,'Matriz POA 2024-TRABAJO'!$A$5:$CD$9142,27,FALSE)</f>
        <v>#N/A</v>
      </c>
      <c r="N12" s="12" t="e">
        <f>VLOOKUP($A12,'Matriz POA 2024-TRABAJO'!$A$5:$CD$9142,28,FALSE)</f>
        <v>#N/A</v>
      </c>
      <c r="O12" s="12" t="e">
        <f>VLOOKUP($A12,'Matriz POA 2024-TRABAJO'!$A$5:$CD$9142,29,FALSE)</f>
        <v>#N/A</v>
      </c>
      <c r="P12" s="12" t="e">
        <f>VLOOKUP($A12,'Matriz POA 2024-TRABAJO'!$A$5:$CD$9142,30,FALSE)</f>
        <v>#N/A</v>
      </c>
      <c r="Q12" s="12" t="e">
        <f>VLOOKUP($A12,'Matriz POA 2024-TRABAJO'!$A$5:$CD$9142,32,FALSE)</f>
        <v>#N/A</v>
      </c>
      <c r="R12" s="12" t="e">
        <f>VLOOKUP($A12,'Matriz POA 2024-TRABAJO'!$A$5:$CD$9142,33,FALSE)</f>
        <v>#N/A</v>
      </c>
      <c r="S12" s="12" t="e">
        <f>VLOOKUP($A12,'Matriz POA 2024-TRABAJO'!$A$5:$CD$9142,34,FALSE)</f>
        <v>#N/A</v>
      </c>
      <c r="T12" s="12" t="e">
        <f>VLOOKUP($A12,'Matriz POA 2024-TRABAJO'!$A$5:$CD$9142,35,FALSE)</f>
        <v>#N/A</v>
      </c>
      <c r="U12" s="62" t="e">
        <f>VLOOKUP($A12,'Matriz POA 2024-TRABAJO'!$A$5:$CD$9142,66,FALSE)</f>
        <v>#N/A</v>
      </c>
      <c r="V12" s="62" t="e">
        <f>VLOOKUP($A12,'Matriz POA 2024-TRABAJO'!$A$5:$CD$9142,67,FALSE)</f>
        <v>#N/A</v>
      </c>
      <c r="W12" s="62" t="e">
        <f>VLOOKUP($A12,'Matriz POA 2024-TRABAJO'!$A$5:$CD$9142,72,FALSE)</f>
        <v>#N/A</v>
      </c>
      <c r="X12" s="64" t="e">
        <f>VLOOKUP($A12,'Matriz POA 2024-TRABAJO'!$A$5:$CD$9142,45,FALSE)</f>
        <v>#N/A</v>
      </c>
      <c r="Y12" s="64" t="e">
        <f>VLOOKUP($A12,'Matriz POA 2024-TRABAJO'!$A$5:$CD$9142,46,FALSE)</f>
        <v>#N/A</v>
      </c>
      <c r="Z12" s="64" t="e">
        <f>VLOOKUP($A12,'Matriz POA 2024-TRABAJO'!$A$5:$CD$9142,47,FALSE)</f>
        <v>#N/A</v>
      </c>
      <c r="AA12" s="15"/>
      <c r="AB12" s="16"/>
      <c r="AC12" s="195"/>
      <c r="AD12" s="14"/>
      <c r="AE12" s="14"/>
      <c r="AF12" s="195"/>
    </row>
    <row r="13" spans="1:32" ht="13.7" customHeight="1">
      <c r="B13" s="12" t="e">
        <f>VLOOKUP($A13,'Matriz POA 2024-TRABAJO'!$A$5:$CD$9142,11,FALSE)</f>
        <v>#N/A</v>
      </c>
      <c r="C13" s="12" t="e">
        <f>VLOOKUP($A13,'Matriz POA 2024-TRABAJO'!$A$5:$CD$9142,14,FALSE)</f>
        <v>#N/A</v>
      </c>
      <c r="D13" s="12" t="e">
        <f>VLOOKUP($A13,'Matriz POA 2024-TRABAJO'!$A$5:$CD$9142,15,FALSE)</f>
        <v>#N/A</v>
      </c>
      <c r="E13" s="12" t="e">
        <f>VLOOKUP($A13,'Matriz POA 2024-TRABAJO'!$A$5:$CD$9142,18,FALSE)</f>
        <v>#N/A</v>
      </c>
      <c r="F13" s="12" t="e">
        <f>VLOOKUP($A13,'Matriz POA 2024-TRABAJO'!$A$5:$CD$9142,20,FALSE)</f>
        <v>#N/A</v>
      </c>
      <c r="G13" s="12" t="e">
        <f>VLOOKUP($A13,'Matriz POA 2024-TRABAJO'!$A$5:$CD$9142,21,FALSE)</f>
        <v>#N/A</v>
      </c>
      <c r="H13" s="12" t="e">
        <f>VLOOKUP($A13,'Matriz POA 2024-TRABAJO'!$A$5:$CD$9142,22,FALSE)</f>
        <v>#N/A</v>
      </c>
      <c r="I13" s="12" t="e">
        <f>VLOOKUP($A13,'Matriz POA 2024-TRABAJO'!$A$5:$CD$9142,23,FALSE)</f>
        <v>#N/A</v>
      </c>
      <c r="J13" s="12" t="e">
        <f>VLOOKUP($A13,'Matriz POA 2024-TRABAJO'!$A$5:$CD$9142,24,FALSE)</f>
        <v>#N/A</v>
      </c>
      <c r="K13" s="12" t="e">
        <f>VLOOKUP($A13,'Matriz POA 2024-TRABAJO'!$A$5:$CD$9142,25,FALSE)</f>
        <v>#N/A</v>
      </c>
      <c r="L13" s="12" t="e">
        <f>VLOOKUP($A13,'Matriz POA 2024-TRABAJO'!$A$5:$CD$9142,26,FALSE)</f>
        <v>#N/A</v>
      </c>
      <c r="M13" s="12" t="e">
        <f>VLOOKUP($A13,'Matriz POA 2024-TRABAJO'!$A$5:$CD$9142,27,FALSE)</f>
        <v>#N/A</v>
      </c>
      <c r="N13" s="12" t="e">
        <f>VLOOKUP($A13,'Matriz POA 2024-TRABAJO'!$A$5:$CD$9142,28,FALSE)</f>
        <v>#N/A</v>
      </c>
      <c r="O13" s="12" t="e">
        <f>VLOOKUP($A13,'Matriz POA 2024-TRABAJO'!$A$5:$CD$9142,29,FALSE)</f>
        <v>#N/A</v>
      </c>
      <c r="P13" s="12" t="e">
        <f>VLOOKUP($A13,'Matriz POA 2024-TRABAJO'!$A$5:$CD$9142,30,FALSE)</f>
        <v>#N/A</v>
      </c>
      <c r="Q13" s="12" t="e">
        <f>VLOOKUP($A13,'Matriz POA 2024-TRABAJO'!$A$5:$CD$9142,32,FALSE)</f>
        <v>#N/A</v>
      </c>
      <c r="R13" s="12" t="e">
        <f>VLOOKUP($A13,'Matriz POA 2024-TRABAJO'!$A$5:$CD$9142,33,FALSE)</f>
        <v>#N/A</v>
      </c>
      <c r="S13" s="12" t="e">
        <f>VLOOKUP($A13,'Matriz POA 2024-TRABAJO'!$A$5:$CD$9142,34,FALSE)</f>
        <v>#N/A</v>
      </c>
      <c r="T13" s="12" t="e">
        <f>VLOOKUP($A13,'Matriz POA 2024-TRABAJO'!$A$5:$CD$9142,35,FALSE)</f>
        <v>#N/A</v>
      </c>
      <c r="U13" s="62" t="e">
        <f>VLOOKUP($A13,'Matriz POA 2024-TRABAJO'!$A$5:$CD$9142,66,FALSE)</f>
        <v>#N/A</v>
      </c>
      <c r="V13" s="62" t="e">
        <f>VLOOKUP($A13,'Matriz POA 2024-TRABAJO'!$A$5:$CD$9142,67,FALSE)</f>
        <v>#N/A</v>
      </c>
      <c r="W13" s="62" t="e">
        <f>VLOOKUP($A13,'Matriz POA 2024-TRABAJO'!$A$5:$CD$9142,72,FALSE)</f>
        <v>#N/A</v>
      </c>
      <c r="X13" s="64" t="e">
        <f>VLOOKUP($A13,'Matriz POA 2024-TRABAJO'!$A$5:$CD$9142,45,FALSE)</f>
        <v>#N/A</v>
      </c>
      <c r="Y13" s="64" t="e">
        <f>VLOOKUP($A13,'Matriz POA 2024-TRABAJO'!$A$5:$CD$9142,46,FALSE)</f>
        <v>#N/A</v>
      </c>
      <c r="Z13" s="64" t="e">
        <f>VLOOKUP($A13,'Matriz POA 2024-TRABAJO'!$A$5:$CD$9142,47,FALSE)</f>
        <v>#N/A</v>
      </c>
      <c r="AA13" s="15"/>
      <c r="AB13" s="16"/>
      <c r="AC13" s="195"/>
      <c r="AD13" s="14"/>
      <c r="AE13" s="14"/>
      <c r="AF13" s="195"/>
    </row>
    <row r="14" spans="1:32" ht="13.7" customHeight="1">
      <c r="B14" s="12" t="e">
        <f>VLOOKUP($A14,'Matriz POA 2024-TRABAJO'!$A$5:$CD$9142,11,FALSE)</f>
        <v>#N/A</v>
      </c>
      <c r="C14" s="12" t="e">
        <f>VLOOKUP($A14,'Matriz POA 2024-TRABAJO'!$A$5:$CD$9142,14,FALSE)</f>
        <v>#N/A</v>
      </c>
      <c r="D14" s="12" t="e">
        <f>VLOOKUP($A14,'Matriz POA 2024-TRABAJO'!$A$5:$CD$9142,15,FALSE)</f>
        <v>#N/A</v>
      </c>
      <c r="E14" s="12" t="e">
        <f>VLOOKUP($A14,'Matriz POA 2024-TRABAJO'!$A$5:$CD$9142,18,FALSE)</f>
        <v>#N/A</v>
      </c>
      <c r="F14" s="12" t="e">
        <f>VLOOKUP($A14,'Matriz POA 2024-TRABAJO'!$A$5:$CD$9142,20,FALSE)</f>
        <v>#N/A</v>
      </c>
      <c r="G14" s="12" t="e">
        <f>VLOOKUP($A14,'Matriz POA 2024-TRABAJO'!$A$5:$CD$9142,21,FALSE)</f>
        <v>#N/A</v>
      </c>
      <c r="H14" s="12" t="e">
        <f>VLOOKUP($A14,'Matriz POA 2024-TRABAJO'!$A$5:$CD$9142,22,FALSE)</f>
        <v>#N/A</v>
      </c>
      <c r="I14" s="12" t="e">
        <f>VLOOKUP($A14,'Matriz POA 2024-TRABAJO'!$A$5:$CD$9142,23,FALSE)</f>
        <v>#N/A</v>
      </c>
      <c r="J14" s="12" t="e">
        <f>VLOOKUP($A14,'Matriz POA 2024-TRABAJO'!$A$5:$CD$9142,24,FALSE)</f>
        <v>#N/A</v>
      </c>
      <c r="K14" s="12" t="e">
        <f>VLOOKUP($A14,'Matriz POA 2024-TRABAJO'!$A$5:$CD$9142,25,FALSE)</f>
        <v>#N/A</v>
      </c>
      <c r="L14" s="12" t="e">
        <f>VLOOKUP($A14,'Matriz POA 2024-TRABAJO'!$A$5:$CD$9142,26,FALSE)</f>
        <v>#N/A</v>
      </c>
      <c r="M14" s="12" t="e">
        <f>VLOOKUP($A14,'Matriz POA 2024-TRABAJO'!$A$5:$CD$9142,27,FALSE)</f>
        <v>#N/A</v>
      </c>
      <c r="N14" s="12" t="e">
        <f>VLOOKUP($A14,'Matriz POA 2024-TRABAJO'!$A$5:$CD$9142,28,FALSE)</f>
        <v>#N/A</v>
      </c>
      <c r="O14" s="12" t="e">
        <f>VLOOKUP($A14,'Matriz POA 2024-TRABAJO'!$A$5:$CD$9142,29,FALSE)</f>
        <v>#N/A</v>
      </c>
      <c r="P14" s="12" t="e">
        <f>VLOOKUP($A14,'Matriz POA 2024-TRABAJO'!$A$5:$CD$9142,30,FALSE)</f>
        <v>#N/A</v>
      </c>
      <c r="Q14" s="12" t="e">
        <f>VLOOKUP($A14,'Matriz POA 2024-TRABAJO'!$A$5:$CD$9142,32,FALSE)</f>
        <v>#N/A</v>
      </c>
      <c r="R14" s="12" t="e">
        <f>VLOOKUP($A14,'Matriz POA 2024-TRABAJO'!$A$5:$CD$9142,33,FALSE)</f>
        <v>#N/A</v>
      </c>
      <c r="S14" s="12" t="e">
        <f>VLOOKUP($A14,'Matriz POA 2024-TRABAJO'!$A$5:$CD$9142,34,FALSE)</f>
        <v>#N/A</v>
      </c>
      <c r="T14" s="12" t="e">
        <f>VLOOKUP($A14,'Matriz POA 2024-TRABAJO'!$A$5:$CD$9142,35,FALSE)</f>
        <v>#N/A</v>
      </c>
      <c r="U14" s="62" t="e">
        <f>VLOOKUP($A14,'Matriz POA 2024-TRABAJO'!$A$5:$CD$9142,66,FALSE)</f>
        <v>#N/A</v>
      </c>
      <c r="V14" s="62" t="e">
        <f>VLOOKUP($A14,'Matriz POA 2024-TRABAJO'!$A$5:$CD$9142,67,FALSE)</f>
        <v>#N/A</v>
      </c>
      <c r="W14" s="62" t="e">
        <f>VLOOKUP($A14,'Matriz POA 2024-TRABAJO'!$A$5:$CD$9142,72,FALSE)</f>
        <v>#N/A</v>
      </c>
      <c r="X14" s="64" t="e">
        <f>VLOOKUP($A14,'Matriz POA 2024-TRABAJO'!$A$5:$CD$9142,45,FALSE)</f>
        <v>#N/A</v>
      </c>
      <c r="Y14" s="64" t="e">
        <f>VLOOKUP($A14,'Matriz POA 2024-TRABAJO'!$A$5:$CD$9142,46,FALSE)</f>
        <v>#N/A</v>
      </c>
      <c r="Z14" s="64" t="e">
        <f>VLOOKUP($A14,'Matriz POA 2024-TRABAJO'!$A$5:$CD$9142,47,FALSE)</f>
        <v>#N/A</v>
      </c>
      <c r="AA14" s="15"/>
      <c r="AB14" s="16"/>
      <c r="AC14" s="195"/>
      <c r="AD14" s="14"/>
      <c r="AE14" s="14"/>
      <c r="AF14" s="195"/>
    </row>
    <row r="15" spans="1:32" ht="13.7" customHeight="1">
      <c r="B15" s="12" t="e">
        <f>VLOOKUP($A15,'Matriz POA 2024-TRABAJO'!$A$5:$CD$9142,11,FALSE)</f>
        <v>#N/A</v>
      </c>
      <c r="C15" s="12" t="e">
        <f>VLOOKUP($A15,'Matriz POA 2024-TRABAJO'!$A$5:$CD$9142,14,FALSE)</f>
        <v>#N/A</v>
      </c>
      <c r="D15" s="12" t="e">
        <f>VLOOKUP($A15,'Matriz POA 2024-TRABAJO'!$A$5:$CD$9142,15,FALSE)</f>
        <v>#N/A</v>
      </c>
      <c r="E15" s="12" t="e">
        <f>VLOOKUP($A15,'Matriz POA 2024-TRABAJO'!$A$5:$CD$9142,18,FALSE)</f>
        <v>#N/A</v>
      </c>
      <c r="F15" s="12" t="e">
        <f>VLOOKUP($A15,'Matriz POA 2024-TRABAJO'!$A$5:$CD$9142,20,FALSE)</f>
        <v>#N/A</v>
      </c>
      <c r="G15" s="12" t="e">
        <f>VLOOKUP($A15,'Matriz POA 2024-TRABAJO'!$A$5:$CD$9142,21,FALSE)</f>
        <v>#N/A</v>
      </c>
      <c r="H15" s="12" t="e">
        <f>VLOOKUP($A15,'Matriz POA 2024-TRABAJO'!$A$5:$CD$9142,22,FALSE)</f>
        <v>#N/A</v>
      </c>
      <c r="I15" s="12" t="e">
        <f>VLOOKUP($A15,'Matriz POA 2024-TRABAJO'!$A$5:$CD$9142,23,FALSE)</f>
        <v>#N/A</v>
      </c>
      <c r="J15" s="12" t="e">
        <f>VLOOKUP($A15,'Matriz POA 2024-TRABAJO'!$A$5:$CD$9142,24,FALSE)</f>
        <v>#N/A</v>
      </c>
      <c r="K15" s="12" t="e">
        <f>VLOOKUP($A15,'Matriz POA 2024-TRABAJO'!$A$5:$CD$9142,25,FALSE)</f>
        <v>#N/A</v>
      </c>
      <c r="L15" s="12" t="e">
        <f>VLOOKUP($A15,'Matriz POA 2024-TRABAJO'!$A$5:$CD$9142,26,FALSE)</f>
        <v>#N/A</v>
      </c>
      <c r="M15" s="12" t="e">
        <f>VLOOKUP($A15,'Matriz POA 2024-TRABAJO'!$A$5:$CD$9142,27,FALSE)</f>
        <v>#N/A</v>
      </c>
      <c r="N15" s="12" t="e">
        <f>VLOOKUP($A15,'Matriz POA 2024-TRABAJO'!$A$5:$CD$9142,28,FALSE)</f>
        <v>#N/A</v>
      </c>
      <c r="O15" s="12" t="e">
        <f>VLOOKUP($A15,'Matriz POA 2024-TRABAJO'!$A$5:$CD$9142,29,FALSE)</f>
        <v>#N/A</v>
      </c>
      <c r="P15" s="12" t="e">
        <f>VLOOKUP($A15,'Matriz POA 2024-TRABAJO'!$A$5:$CD$9142,30,FALSE)</f>
        <v>#N/A</v>
      </c>
      <c r="Q15" s="12" t="e">
        <f>VLOOKUP($A15,'Matriz POA 2024-TRABAJO'!$A$5:$CD$9142,32,FALSE)</f>
        <v>#N/A</v>
      </c>
      <c r="R15" s="12" t="e">
        <f>VLOOKUP($A15,'Matriz POA 2024-TRABAJO'!$A$5:$CD$9142,33,FALSE)</f>
        <v>#N/A</v>
      </c>
      <c r="S15" s="12" t="e">
        <f>VLOOKUP($A15,'Matriz POA 2024-TRABAJO'!$A$5:$CD$9142,34,FALSE)</f>
        <v>#N/A</v>
      </c>
      <c r="T15" s="12" t="e">
        <f>VLOOKUP($A15,'Matriz POA 2024-TRABAJO'!$A$5:$CD$9142,35,FALSE)</f>
        <v>#N/A</v>
      </c>
      <c r="U15" s="62" t="e">
        <f>VLOOKUP($A15,'Matriz POA 2024-TRABAJO'!$A$5:$CD$9142,66,FALSE)</f>
        <v>#N/A</v>
      </c>
      <c r="V15" s="62" t="e">
        <f>VLOOKUP($A15,'Matriz POA 2024-TRABAJO'!$A$5:$CD$9142,67,FALSE)</f>
        <v>#N/A</v>
      </c>
      <c r="W15" s="62" t="e">
        <f>VLOOKUP($A15,'Matriz POA 2024-TRABAJO'!$A$5:$CD$9142,72,FALSE)</f>
        <v>#N/A</v>
      </c>
      <c r="X15" s="64" t="e">
        <f>VLOOKUP($A15,'Matriz POA 2024-TRABAJO'!$A$5:$CD$9142,45,FALSE)</f>
        <v>#N/A</v>
      </c>
      <c r="Y15" s="64" t="e">
        <f>VLOOKUP($A15,'Matriz POA 2024-TRABAJO'!$A$5:$CD$9142,46,FALSE)</f>
        <v>#N/A</v>
      </c>
      <c r="Z15" s="64" t="e">
        <f>VLOOKUP($A15,'Matriz POA 2024-TRABAJO'!$A$5:$CD$9142,47,FALSE)</f>
        <v>#N/A</v>
      </c>
      <c r="AA15" s="15"/>
      <c r="AB15" s="16"/>
      <c r="AC15" s="195"/>
      <c r="AD15" s="14"/>
      <c r="AE15" s="14"/>
      <c r="AF15" s="195"/>
    </row>
    <row r="16" spans="1:32" ht="13.7" customHeight="1">
      <c r="B16" s="12" t="e">
        <f>VLOOKUP($A16,'Matriz POA 2024-TRABAJO'!$A$5:$CD$9142,11,FALSE)</f>
        <v>#N/A</v>
      </c>
      <c r="C16" s="12" t="e">
        <f>VLOOKUP($A16,'Matriz POA 2024-TRABAJO'!$A$5:$CD$9142,14,FALSE)</f>
        <v>#N/A</v>
      </c>
      <c r="D16" s="12" t="e">
        <f>VLOOKUP($A16,'Matriz POA 2024-TRABAJO'!$A$5:$CD$9142,15,FALSE)</f>
        <v>#N/A</v>
      </c>
      <c r="E16" s="12" t="e">
        <f>VLOOKUP($A16,'Matriz POA 2024-TRABAJO'!$A$5:$CD$9142,18,FALSE)</f>
        <v>#N/A</v>
      </c>
      <c r="F16" s="12" t="e">
        <f>VLOOKUP($A16,'Matriz POA 2024-TRABAJO'!$A$5:$CD$9142,20,FALSE)</f>
        <v>#N/A</v>
      </c>
      <c r="G16" s="12" t="e">
        <f>VLOOKUP($A16,'Matriz POA 2024-TRABAJO'!$A$5:$CD$9142,21,FALSE)</f>
        <v>#N/A</v>
      </c>
      <c r="H16" s="12" t="e">
        <f>VLOOKUP($A16,'Matriz POA 2024-TRABAJO'!$A$5:$CD$9142,22,FALSE)</f>
        <v>#N/A</v>
      </c>
      <c r="I16" s="12" t="e">
        <f>VLOOKUP($A16,'Matriz POA 2024-TRABAJO'!$A$5:$CD$9142,23,FALSE)</f>
        <v>#N/A</v>
      </c>
      <c r="J16" s="12" t="e">
        <f>VLOOKUP($A16,'Matriz POA 2024-TRABAJO'!$A$5:$CD$9142,24,FALSE)</f>
        <v>#N/A</v>
      </c>
      <c r="K16" s="12" t="e">
        <f>VLOOKUP($A16,'Matriz POA 2024-TRABAJO'!$A$5:$CD$9142,25,FALSE)</f>
        <v>#N/A</v>
      </c>
      <c r="L16" s="12" t="e">
        <f>VLOOKUP($A16,'Matriz POA 2024-TRABAJO'!$A$5:$CD$9142,26,FALSE)</f>
        <v>#N/A</v>
      </c>
      <c r="M16" s="12" t="e">
        <f>VLOOKUP($A16,'Matriz POA 2024-TRABAJO'!$A$5:$CD$9142,27,FALSE)</f>
        <v>#N/A</v>
      </c>
      <c r="N16" s="12" t="e">
        <f>VLOOKUP($A16,'Matriz POA 2024-TRABAJO'!$A$5:$CD$9142,28,FALSE)</f>
        <v>#N/A</v>
      </c>
      <c r="O16" s="12" t="e">
        <f>VLOOKUP($A16,'Matriz POA 2024-TRABAJO'!$A$5:$CD$9142,29,FALSE)</f>
        <v>#N/A</v>
      </c>
      <c r="P16" s="12" t="e">
        <f>VLOOKUP($A16,'Matriz POA 2024-TRABAJO'!$A$5:$CD$9142,30,FALSE)</f>
        <v>#N/A</v>
      </c>
      <c r="Q16" s="12" t="e">
        <f>VLOOKUP($A16,'Matriz POA 2024-TRABAJO'!$A$5:$CD$9142,32,FALSE)</f>
        <v>#N/A</v>
      </c>
      <c r="R16" s="12" t="e">
        <f>VLOOKUP($A16,'Matriz POA 2024-TRABAJO'!$A$5:$CD$9142,33,FALSE)</f>
        <v>#N/A</v>
      </c>
      <c r="S16" s="12" t="e">
        <f>VLOOKUP($A16,'Matriz POA 2024-TRABAJO'!$A$5:$CD$9142,34,FALSE)</f>
        <v>#N/A</v>
      </c>
      <c r="T16" s="12" t="e">
        <f>VLOOKUP($A16,'Matriz POA 2024-TRABAJO'!$A$5:$CD$9142,35,FALSE)</f>
        <v>#N/A</v>
      </c>
      <c r="U16" s="62" t="e">
        <f>VLOOKUP($A16,'Matriz POA 2024-TRABAJO'!$A$5:$CD$9142,66,FALSE)</f>
        <v>#N/A</v>
      </c>
      <c r="V16" s="62" t="e">
        <f>VLOOKUP($A16,'Matriz POA 2024-TRABAJO'!$A$5:$CD$9142,67,FALSE)</f>
        <v>#N/A</v>
      </c>
      <c r="W16" s="62" t="e">
        <f>VLOOKUP($A16,'Matriz POA 2024-TRABAJO'!$A$5:$CD$9142,72,FALSE)</f>
        <v>#N/A</v>
      </c>
      <c r="X16" s="64" t="e">
        <f>VLOOKUP($A16,'Matriz POA 2024-TRABAJO'!$A$5:$CD$9142,45,FALSE)</f>
        <v>#N/A</v>
      </c>
      <c r="Y16" s="64" t="e">
        <f>VLOOKUP($A16,'Matriz POA 2024-TRABAJO'!$A$5:$CD$9142,46,FALSE)</f>
        <v>#N/A</v>
      </c>
      <c r="Z16" s="64" t="e">
        <f>VLOOKUP($A16,'Matriz POA 2024-TRABAJO'!$A$5:$CD$9142,47,FALSE)</f>
        <v>#N/A</v>
      </c>
      <c r="AA16" s="15"/>
      <c r="AB16" s="16"/>
      <c r="AC16" s="195"/>
      <c r="AD16" s="14"/>
      <c r="AE16" s="14"/>
      <c r="AF16" s="195"/>
    </row>
    <row r="17" spans="2:32" ht="13.7" customHeight="1">
      <c r="B17" s="12" t="e">
        <f>VLOOKUP($A17,'Matriz POA 2024-TRABAJO'!$A$5:$CD$9142,11,FALSE)</f>
        <v>#N/A</v>
      </c>
      <c r="C17" s="12" t="e">
        <f>VLOOKUP($A17,'Matriz POA 2024-TRABAJO'!$A$5:$CD$9142,14,FALSE)</f>
        <v>#N/A</v>
      </c>
      <c r="D17" s="12" t="e">
        <f>VLOOKUP($A17,'Matriz POA 2024-TRABAJO'!$A$5:$CD$9142,15,FALSE)</f>
        <v>#N/A</v>
      </c>
      <c r="E17" s="12" t="e">
        <f>VLOOKUP($A17,'Matriz POA 2024-TRABAJO'!$A$5:$CD$9142,18,FALSE)</f>
        <v>#N/A</v>
      </c>
      <c r="F17" s="12" t="e">
        <f>VLOOKUP($A17,'Matriz POA 2024-TRABAJO'!$A$5:$CD$9142,20,FALSE)</f>
        <v>#N/A</v>
      </c>
      <c r="G17" s="12" t="e">
        <f>VLOOKUP($A17,'Matriz POA 2024-TRABAJO'!$A$5:$CD$9142,21,FALSE)</f>
        <v>#N/A</v>
      </c>
      <c r="H17" s="12" t="e">
        <f>VLOOKUP($A17,'Matriz POA 2024-TRABAJO'!$A$5:$CD$9142,22,FALSE)</f>
        <v>#N/A</v>
      </c>
      <c r="I17" s="12" t="e">
        <f>VLOOKUP($A17,'Matriz POA 2024-TRABAJO'!$A$5:$CD$9142,23,FALSE)</f>
        <v>#N/A</v>
      </c>
      <c r="J17" s="12" t="e">
        <f>VLOOKUP($A17,'Matriz POA 2024-TRABAJO'!$A$5:$CD$9142,24,FALSE)</f>
        <v>#N/A</v>
      </c>
      <c r="K17" s="12" t="e">
        <f>VLOOKUP($A17,'Matriz POA 2024-TRABAJO'!$A$5:$CD$9142,25,FALSE)</f>
        <v>#N/A</v>
      </c>
      <c r="L17" s="12" t="e">
        <f>VLOOKUP($A17,'Matriz POA 2024-TRABAJO'!$A$5:$CD$9142,26,FALSE)</f>
        <v>#N/A</v>
      </c>
      <c r="M17" s="12" t="e">
        <f>VLOOKUP($A17,'Matriz POA 2024-TRABAJO'!$A$5:$CD$9142,27,FALSE)</f>
        <v>#N/A</v>
      </c>
      <c r="N17" s="12" t="e">
        <f>VLOOKUP($A17,'Matriz POA 2024-TRABAJO'!$A$5:$CD$9142,28,FALSE)</f>
        <v>#N/A</v>
      </c>
      <c r="O17" s="12" t="e">
        <f>VLOOKUP($A17,'Matriz POA 2024-TRABAJO'!$A$5:$CD$9142,29,FALSE)</f>
        <v>#N/A</v>
      </c>
      <c r="P17" s="12" t="e">
        <f>VLOOKUP($A17,'Matriz POA 2024-TRABAJO'!$A$5:$CD$9142,30,FALSE)</f>
        <v>#N/A</v>
      </c>
      <c r="Q17" s="12" t="e">
        <f>VLOOKUP($A17,'Matriz POA 2024-TRABAJO'!$A$5:$CD$9142,32,FALSE)</f>
        <v>#N/A</v>
      </c>
      <c r="R17" s="12" t="e">
        <f>VLOOKUP($A17,'Matriz POA 2024-TRABAJO'!$A$5:$CD$9142,33,FALSE)</f>
        <v>#N/A</v>
      </c>
      <c r="S17" s="12" t="e">
        <f>VLOOKUP($A17,'Matriz POA 2024-TRABAJO'!$A$5:$CD$9142,34,FALSE)</f>
        <v>#N/A</v>
      </c>
      <c r="T17" s="12" t="e">
        <f>VLOOKUP($A17,'Matriz POA 2024-TRABAJO'!$A$5:$CD$9142,35,FALSE)</f>
        <v>#N/A</v>
      </c>
      <c r="U17" s="62" t="e">
        <f>VLOOKUP($A17,'Matriz POA 2024-TRABAJO'!$A$5:$CD$9142,66,FALSE)</f>
        <v>#N/A</v>
      </c>
      <c r="V17" s="62" t="e">
        <f>VLOOKUP($A17,'Matriz POA 2024-TRABAJO'!$A$5:$CD$9142,67,FALSE)</f>
        <v>#N/A</v>
      </c>
      <c r="W17" s="62" t="e">
        <f>VLOOKUP($A17,'Matriz POA 2024-TRABAJO'!$A$5:$CD$9142,72,FALSE)</f>
        <v>#N/A</v>
      </c>
      <c r="X17" s="64" t="e">
        <f>VLOOKUP($A17,'Matriz POA 2024-TRABAJO'!$A$5:$CD$9142,45,FALSE)</f>
        <v>#N/A</v>
      </c>
      <c r="Y17" s="64" t="e">
        <f>VLOOKUP($A17,'Matriz POA 2024-TRABAJO'!$A$5:$CD$9142,46,FALSE)</f>
        <v>#N/A</v>
      </c>
      <c r="Z17" s="64" t="e">
        <f>VLOOKUP($A17,'Matriz POA 2024-TRABAJO'!$A$5:$CD$9142,47,FALSE)</f>
        <v>#N/A</v>
      </c>
      <c r="AA17" s="15"/>
      <c r="AB17" s="16"/>
      <c r="AC17" s="195"/>
      <c r="AD17" s="14"/>
      <c r="AE17" s="14"/>
      <c r="AF17" s="195"/>
    </row>
    <row r="18" spans="2:32" ht="13.7" customHeight="1">
      <c r="B18" s="12" t="e">
        <f>VLOOKUP($A18,'Matriz POA 2024-TRABAJO'!$A$5:$CD$9142,11,FALSE)</f>
        <v>#N/A</v>
      </c>
      <c r="C18" s="12" t="e">
        <f>VLOOKUP($A18,'Matriz POA 2024-TRABAJO'!$A$5:$CD$9142,14,FALSE)</f>
        <v>#N/A</v>
      </c>
      <c r="D18" s="12" t="e">
        <f>VLOOKUP($A18,'Matriz POA 2024-TRABAJO'!$A$5:$CD$9142,15,FALSE)</f>
        <v>#N/A</v>
      </c>
      <c r="E18" s="12" t="e">
        <f>VLOOKUP($A18,'Matriz POA 2024-TRABAJO'!$A$5:$CD$9142,18,FALSE)</f>
        <v>#N/A</v>
      </c>
      <c r="F18" s="12" t="e">
        <f>VLOOKUP($A18,'Matriz POA 2024-TRABAJO'!$A$5:$CD$9142,20,FALSE)</f>
        <v>#N/A</v>
      </c>
      <c r="G18" s="12" t="e">
        <f>VLOOKUP($A18,'Matriz POA 2024-TRABAJO'!$A$5:$CD$9142,21,FALSE)</f>
        <v>#N/A</v>
      </c>
      <c r="H18" s="12" t="e">
        <f>VLOOKUP($A18,'Matriz POA 2024-TRABAJO'!$A$5:$CD$9142,22,FALSE)</f>
        <v>#N/A</v>
      </c>
      <c r="I18" s="12" t="e">
        <f>VLOOKUP($A18,'Matriz POA 2024-TRABAJO'!$A$5:$CD$9142,23,FALSE)</f>
        <v>#N/A</v>
      </c>
      <c r="J18" s="12" t="e">
        <f>VLOOKUP($A18,'Matriz POA 2024-TRABAJO'!$A$5:$CD$9142,24,FALSE)</f>
        <v>#N/A</v>
      </c>
      <c r="K18" s="12" t="e">
        <f>VLOOKUP($A18,'Matriz POA 2024-TRABAJO'!$A$5:$CD$9142,25,FALSE)</f>
        <v>#N/A</v>
      </c>
      <c r="L18" s="12" t="e">
        <f>VLOOKUP($A18,'Matriz POA 2024-TRABAJO'!$A$5:$CD$9142,26,FALSE)</f>
        <v>#N/A</v>
      </c>
      <c r="M18" s="12" t="e">
        <f>VLOOKUP($A18,'Matriz POA 2024-TRABAJO'!$A$5:$CD$9142,27,FALSE)</f>
        <v>#N/A</v>
      </c>
      <c r="N18" s="12" t="e">
        <f>VLOOKUP($A18,'Matriz POA 2024-TRABAJO'!$A$5:$CD$9142,28,FALSE)</f>
        <v>#N/A</v>
      </c>
      <c r="O18" s="12" t="e">
        <f>VLOOKUP($A18,'Matriz POA 2024-TRABAJO'!$A$5:$CD$9142,29,FALSE)</f>
        <v>#N/A</v>
      </c>
      <c r="P18" s="12" t="e">
        <f>VLOOKUP($A18,'Matriz POA 2024-TRABAJO'!$A$5:$CD$9142,30,FALSE)</f>
        <v>#N/A</v>
      </c>
      <c r="Q18" s="12" t="e">
        <f>VLOOKUP($A18,'Matriz POA 2024-TRABAJO'!$A$5:$CD$9142,32,FALSE)</f>
        <v>#N/A</v>
      </c>
      <c r="R18" s="12" t="e">
        <f>VLOOKUP($A18,'Matriz POA 2024-TRABAJO'!$A$5:$CD$9142,33,FALSE)</f>
        <v>#N/A</v>
      </c>
      <c r="S18" s="12" t="e">
        <f>VLOOKUP($A18,'Matriz POA 2024-TRABAJO'!$A$5:$CD$9142,34,FALSE)</f>
        <v>#N/A</v>
      </c>
      <c r="T18" s="12" t="e">
        <f>VLOOKUP($A18,'Matriz POA 2024-TRABAJO'!$A$5:$CD$9142,35,FALSE)</f>
        <v>#N/A</v>
      </c>
      <c r="U18" s="62" t="e">
        <f>VLOOKUP($A18,'Matriz POA 2024-TRABAJO'!$A$5:$CD$9142,66,FALSE)</f>
        <v>#N/A</v>
      </c>
      <c r="V18" s="62" t="e">
        <f>VLOOKUP($A18,'Matriz POA 2024-TRABAJO'!$A$5:$CD$9142,67,FALSE)</f>
        <v>#N/A</v>
      </c>
      <c r="W18" s="62" t="e">
        <f>VLOOKUP($A18,'Matriz POA 2024-TRABAJO'!$A$5:$CD$9142,72,FALSE)</f>
        <v>#N/A</v>
      </c>
      <c r="X18" s="64" t="e">
        <f>VLOOKUP($A18,'Matriz POA 2024-TRABAJO'!$A$5:$CD$9142,45,FALSE)</f>
        <v>#N/A</v>
      </c>
      <c r="Y18" s="64" t="e">
        <f>VLOOKUP($A18,'Matriz POA 2024-TRABAJO'!$A$5:$CD$9142,46,FALSE)</f>
        <v>#N/A</v>
      </c>
      <c r="Z18" s="64" t="e">
        <f>VLOOKUP($A18,'Matriz POA 2024-TRABAJO'!$A$5:$CD$9142,47,FALSE)</f>
        <v>#N/A</v>
      </c>
      <c r="AA18" s="15"/>
      <c r="AB18" s="16"/>
      <c r="AC18" s="195"/>
      <c r="AD18" s="14"/>
      <c r="AE18" s="14"/>
      <c r="AF18" s="195"/>
    </row>
    <row r="19" spans="2:32" ht="13.7" customHeight="1">
      <c r="B19" s="12" t="e">
        <f>VLOOKUP($A19,'Matriz POA 2024-TRABAJO'!$A$5:$CD$9142,11,FALSE)</f>
        <v>#N/A</v>
      </c>
      <c r="C19" s="12" t="e">
        <f>VLOOKUP($A19,'Matriz POA 2024-TRABAJO'!$A$5:$CD$9142,14,FALSE)</f>
        <v>#N/A</v>
      </c>
      <c r="D19" s="12" t="e">
        <f>VLOOKUP($A19,'Matriz POA 2024-TRABAJO'!$A$5:$CD$9142,15,FALSE)</f>
        <v>#N/A</v>
      </c>
      <c r="E19" s="12" t="e">
        <f>VLOOKUP($A19,'Matriz POA 2024-TRABAJO'!$A$5:$CD$9142,18,FALSE)</f>
        <v>#N/A</v>
      </c>
      <c r="F19" s="12" t="e">
        <f>VLOOKUP($A19,'Matriz POA 2024-TRABAJO'!$A$5:$CD$9142,20,FALSE)</f>
        <v>#N/A</v>
      </c>
      <c r="G19" s="12" t="e">
        <f>VLOOKUP($A19,'Matriz POA 2024-TRABAJO'!$A$5:$CD$9142,21,FALSE)</f>
        <v>#N/A</v>
      </c>
      <c r="H19" s="12" t="e">
        <f>VLOOKUP($A19,'Matriz POA 2024-TRABAJO'!$A$5:$CD$9142,22,FALSE)</f>
        <v>#N/A</v>
      </c>
      <c r="I19" s="12" t="e">
        <f>VLOOKUP($A19,'Matriz POA 2024-TRABAJO'!$A$5:$CD$9142,23,FALSE)</f>
        <v>#N/A</v>
      </c>
      <c r="J19" s="12" t="e">
        <f>VLOOKUP($A19,'Matriz POA 2024-TRABAJO'!$A$5:$CD$9142,24,FALSE)</f>
        <v>#N/A</v>
      </c>
      <c r="K19" s="12" t="e">
        <f>VLOOKUP($A19,'Matriz POA 2024-TRABAJO'!$A$5:$CD$9142,25,FALSE)</f>
        <v>#N/A</v>
      </c>
      <c r="L19" s="12" t="e">
        <f>VLOOKUP($A19,'Matriz POA 2024-TRABAJO'!$A$5:$CD$9142,26,FALSE)</f>
        <v>#N/A</v>
      </c>
      <c r="M19" s="12" t="e">
        <f>VLOOKUP($A19,'Matriz POA 2024-TRABAJO'!$A$5:$CD$9142,27,FALSE)</f>
        <v>#N/A</v>
      </c>
      <c r="N19" s="12" t="e">
        <f>VLOOKUP($A19,'Matriz POA 2024-TRABAJO'!$A$5:$CD$9142,28,FALSE)</f>
        <v>#N/A</v>
      </c>
      <c r="O19" s="12" t="e">
        <f>VLOOKUP($A19,'Matriz POA 2024-TRABAJO'!$A$5:$CD$9142,29,FALSE)</f>
        <v>#N/A</v>
      </c>
      <c r="P19" s="12" t="e">
        <f>VLOOKUP($A19,'Matriz POA 2024-TRABAJO'!$A$5:$CD$9142,30,FALSE)</f>
        <v>#N/A</v>
      </c>
      <c r="Q19" s="12" t="e">
        <f>VLOOKUP($A19,'Matriz POA 2024-TRABAJO'!$A$5:$CD$9142,32,FALSE)</f>
        <v>#N/A</v>
      </c>
      <c r="R19" s="12" t="e">
        <f>VLOOKUP($A19,'Matriz POA 2024-TRABAJO'!$A$5:$CD$9142,33,FALSE)</f>
        <v>#N/A</v>
      </c>
      <c r="S19" s="12" t="e">
        <f>VLOOKUP($A19,'Matriz POA 2024-TRABAJO'!$A$5:$CD$9142,34,FALSE)</f>
        <v>#N/A</v>
      </c>
      <c r="T19" s="12" t="e">
        <f>VLOOKUP($A19,'Matriz POA 2024-TRABAJO'!$A$5:$CD$9142,35,FALSE)</f>
        <v>#N/A</v>
      </c>
      <c r="U19" s="62" t="e">
        <f>VLOOKUP($A19,'Matriz POA 2024-TRABAJO'!$A$5:$CD$9142,66,FALSE)</f>
        <v>#N/A</v>
      </c>
      <c r="V19" s="62" t="e">
        <f>VLOOKUP($A19,'Matriz POA 2024-TRABAJO'!$A$5:$CD$9142,67,FALSE)</f>
        <v>#N/A</v>
      </c>
      <c r="W19" s="62" t="e">
        <f>VLOOKUP($A19,'Matriz POA 2024-TRABAJO'!$A$5:$CD$9142,72,FALSE)</f>
        <v>#N/A</v>
      </c>
      <c r="X19" s="64" t="e">
        <f>VLOOKUP($A19,'Matriz POA 2024-TRABAJO'!$A$5:$CD$9142,45,FALSE)</f>
        <v>#N/A</v>
      </c>
      <c r="Y19" s="64" t="e">
        <f>VLOOKUP($A19,'Matriz POA 2024-TRABAJO'!$A$5:$CD$9142,46,FALSE)</f>
        <v>#N/A</v>
      </c>
      <c r="Z19" s="64" t="e">
        <f>VLOOKUP($A19,'Matriz POA 2024-TRABAJO'!$A$5:$CD$9142,47,FALSE)</f>
        <v>#N/A</v>
      </c>
      <c r="AA19" s="15"/>
      <c r="AB19" s="16"/>
      <c r="AC19" s="195"/>
      <c r="AD19" s="14"/>
      <c r="AE19" s="14"/>
      <c r="AF19" s="195"/>
    </row>
    <row r="20" spans="2:32" ht="13.7" customHeight="1">
      <c r="B20" s="12" t="e">
        <f>VLOOKUP($A20,'Matriz POA 2024-TRABAJO'!$A$5:$CD$9142,11,FALSE)</f>
        <v>#N/A</v>
      </c>
      <c r="C20" s="12" t="e">
        <f>VLOOKUP($A20,'Matriz POA 2024-TRABAJO'!$A$5:$CD$9142,14,FALSE)</f>
        <v>#N/A</v>
      </c>
      <c r="D20" s="12" t="e">
        <f>VLOOKUP($A20,'Matriz POA 2024-TRABAJO'!$A$5:$CD$9142,15,FALSE)</f>
        <v>#N/A</v>
      </c>
      <c r="E20" s="12" t="e">
        <f>VLOOKUP($A20,'Matriz POA 2024-TRABAJO'!$A$5:$CD$9142,18,FALSE)</f>
        <v>#N/A</v>
      </c>
      <c r="F20" s="12" t="e">
        <f>VLOOKUP($A20,'Matriz POA 2024-TRABAJO'!$A$5:$CD$9142,20,FALSE)</f>
        <v>#N/A</v>
      </c>
      <c r="G20" s="12" t="e">
        <f>VLOOKUP($A20,'Matriz POA 2024-TRABAJO'!$A$5:$CD$9142,21,FALSE)</f>
        <v>#N/A</v>
      </c>
      <c r="H20" s="12" t="e">
        <f>VLOOKUP($A20,'Matriz POA 2024-TRABAJO'!$A$5:$CD$9142,22,FALSE)</f>
        <v>#N/A</v>
      </c>
      <c r="I20" s="12" t="e">
        <f>VLOOKUP($A20,'Matriz POA 2024-TRABAJO'!$A$5:$CD$9142,23,FALSE)</f>
        <v>#N/A</v>
      </c>
      <c r="J20" s="12" t="e">
        <f>VLOOKUP($A20,'Matriz POA 2024-TRABAJO'!$A$5:$CD$9142,24,FALSE)</f>
        <v>#N/A</v>
      </c>
      <c r="K20" s="12" t="e">
        <f>VLOOKUP($A20,'Matriz POA 2024-TRABAJO'!$A$5:$CD$9142,25,FALSE)</f>
        <v>#N/A</v>
      </c>
      <c r="L20" s="12" t="e">
        <f>VLOOKUP($A20,'Matriz POA 2024-TRABAJO'!$A$5:$CD$9142,26,FALSE)</f>
        <v>#N/A</v>
      </c>
      <c r="M20" s="12" t="e">
        <f>VLOOKUP($A20,'Matriz POA 2024-TRABAJO'!$A$5:$CD$9142,27,FALSE)</f>
        <v>#N/A</v>
      </c>
      <c r="N20" s="12" t="e">
        <f>VLOOKUP($A20,'Matriz POA 2024-TRABAJO'!$A$5:$CD$9142,28,FALSE)</f>
        <v>#N/A</v>
      </c>
      <c r="O20" s="12" t="e">
        <f>VLOOKUP($A20,'Matriz POA 2024-TRABAJO'!$A$5:$CD$9142,29,FALSE)</f>
        <v>#N/A</v>
      </c>
      <c r="P20" s="12" t="e">
        <f>VLOOKUP($A20,'Matriz POA 2024-TRABAJO'!$A$5:$CD$9142,30,FALSE)</f>
        <v>#N/A</v>
      </c>
      <c r="Q20" s="12" t="e">
        <f>VLOOKUP($A20,'Matriz POA 2024-TRABAJO'!$A$5:$CD$9142,32,FALSE)</f>
        <v>#N/A</v>
      </c>
      <c r="R20" s="12" t="e">
        <f>VLOOKUP($A20,'Matriz POA 2024-TRABAJO'!$A$5:$CD$9142,33,FALSE)</f>
        <v>#N/A</v>
      </c>
      <c r="S20" s="12" t="e">
        <f>VLOOKUP($A20,'Matriz POA 2024-TRABAJO'!$A$5:$CD$9142,34,FALSE)</f>
        <v>#N/A</v>
      </c>
      <c r="T20" s="12" t="e">
        <f>VLOOKUP($A20,'Matriz POA 2024-TRABAJO'!$A$5:$CD$9142,35,FALSE)</f>
        <v>#N/A</v>
      </c>
      <c r="U20" s="62" t="e">
        <f>VLOOKUP($A20,'Matriz POA 2024-TRABAJO'!$A$5:$CD$9142,66,FALSE)</f>
        <v>#N/A</v>
      </c>
      <c r="V20" s="62" t="e">
        <f>VLOOKUP($A20,'Matriz POA 2024-TRABAJO'!$A$5:$CD$9142,67,FALSE)</f>
        <v>#N/A</v>
      </c>
      <c r="W20" s="62" t="e">
        <f>VLOOKUP($A20,'Matriz POA 2024-TRABAJO'!$A$5:$CD$9142,72,FALSE)</f>
        <v>#N/A</v>
      </c>
      <c r="X20" s="64" t="e">
        <f>VLOOKUP($A20,'Matriz POA 2024-TRABAJO'!$A$5:$CD$9142,45,FALSE)</f>
        <v>#N/A</v>
      </c>
      <c r="Y20" s="64" t="e">
        <f>VLOOKUP($A20,'Matriz POA 2024-TRABAJO'!$A$5:$CD$9142,46,FALSE)</f>
        <v>#N/A</v>
      </c>
      <c r="Z20" s="64" t="e">
        <f>VLOOKUP($A20,'Matriz POA 2024-TRABAJO'!$A$5:$CD$9142,47,FALSE)</f>
        <v>#N/A</v>
      </c>
      <c r="AA20" s="15"/>
      <c r="AB20" s="16"/>
      <c r="AC20" s="195"/>
      <c r="AD20" s="14"/>
      <c r="AE20" s="14"/>
      <c r="AF20" s="195"/>
    </row>
    <row r="21" spans="2:32" ht="13.7" customHeight="1">
      <c r="B21" s="12" t="e">
        <f>VLOOKUP($A21,'Matriz POA 2024-TRABAJO'!$A$5:$CD$9142,11,FALSE)</f>
        <v>#N/A</v>
      </c>
      <c r="C21" s="12" t="e">
        <f>VLOOKUP($A21,'Matriz POA 2024-TRABAJO'!$A$5:$CD$9142,14,FALSE)</f>
        <v>#N/A</v>
      </c>
      <c r="D21" s="12" t="e">
        <f>VLOOKUP($A21,'Matriz POA 2024-TRABAJO'!$A$5:$CD$9142,15,FALSE)</f>
        <v>#N/A</v>
      </c>
      <c r="E21" s="12" t="e">
        <f>VLOOKUP($A21,'Matriz POA 2024-TRABAJO'!$A$5:$CD$9142,18,FALSE)</f>
        <v>#N/A</v>
      </c>
      <c r="F21" s="12" t="e">
        <f>VLOOKUP($A21,'Matriz POA 2024-TRABAJO'!$A$5:$CD$9142,20,FALSE)</f>
        <v>#N/A</v>
      </c>
      <c r="G21" s="12" t="e">
        <f>VLOOKUP($A21,'Matriz POA 2024-TRABAJO'!$A$5:$CD$9142,21,FALSE)</f>
        <v>#N/A</v>
      </c>
      <c r="H21" s="12" t="e">
        <f>VLOOKUP($A21,'Matriz POA 2024-TRABAJO'!$A$5:$CD$9142,22,FALSE)</f>
        <v>#N/A</v>
      </c>
      <c r="I21" s="12" t="e">
        <f>VLOOKUP($A21,'Matriz POA 2024-TRABAJO'!$A$5:$CD$9142,23,FALSE)</f>
        <v>#N/A</v>
      </c>
      <c r="J21" s="12" t="e">
        <f>VLOOKUP($A21,'Matriz POA 2024-TRABAJO'!$A$5:$CD$9142,24,FALSE)</f>
        <v>#N/A</v>
      </c>
      <c r="K21" s="12" t="e">
        <f>VLOOKUP($A21,'Matriz POA 2024-TRABAJO'!$A$5:$CD$9142,25,FALSE)</f>
        <v>#N/A</v>
      </c>
      <c r="L21" s="12" t="e">
        <f>VLOOKUP($A21,'Matriz POA 2024-TRABAJO'!$A$5:$CD$9142,26,FALSE)</f>
        <v>#N/A</v>
      </c>
      <c r="M21" s="12" t="e">
        <f>VLOOKUP($A21,'Matriz POA 2024-TRABAJO'!$A$5:$CD$9142,27,FALSE)</f>
        <v>#N/A</v>
      </c>
      <c r="N21" s="12" t="e">
        <f>VLOOKUP($A21,'Matriz POA 2024-TRABAJO'!$A$5:$CD$9142,28,FALSE)</f>
        <v>#N/A</v>
      </c>
      <c r="O21" s="12" t="e">
        <f>VLOOKUP($A21,'Matriz POA 2024-TRABAJO'!$A$5:$CD$9142,29,FALSE)</f>
        <v>#N/A</v>
      </c>
      <c r="P21" s="12" t="e">
        <f>VLOOKUP($A21,'Matriz POA 2024-TRABAJO'!$A$5:$CD$9142,30,FALSE)</f>
        <v>#N/A</v>
      </c>
      <c r="Q21" s="12" t="e">
        <f>VLOOKUP($A21,'Matriz POA 2024-TRABAJO'!$A$5:$CD$9142,32,FALSE)</f>
        <v>#N/A</v>
      </c>
      <c r="R21" s="12" t="e">
        <f>VLOOKUP($A21,'Matriz POA 2024-TRABAJO'!$A$5:$CD$9142,33,FALSE)</f>
        <v>#N/A</v>
      </c>
      <c r="S21" s="12" t="e">
        <f>VLOOKUP($A21,'Matriz POA 2024-TRABAJO'!$A$5:$CD$9142,34,FALSE)</f>
        <v>#N/A</v>
      </c>
      <c r="T21" s="12" t="e">
        <f>VLOOKUP($A21,'Matriz POA 2024-TRABAJO'!$A$5:$CD$9142,35,FALSE)</f>
        <v>#N/A</v>
      </c>
      <c r="U21" s="62" t="e">
        <f>VLOOKUP($A21,'Matriz POA 2024-TRABAJO'!$A$5:$CD$9142,66,FALSE)</f>
        <v>#N/A</v>
      </c>
      <c r="V21" s="62" t="e">
        <f>VLOOKUP($A21,'Matriz POA 2024-TRABAJO'!$A$5:$CD$9142,67,FALSE)</f>
        <v>#N/A</v>
      </c>
      <c r="W21" s="62" t="e">
        <f>VLOOKUP($A21,'Matriz POA 2024-TRABAJO'!$A$5:$CD$9142,72,FALSE)</f>
        <v>#N/A</v>
      </c>
      <c r="X21" s="64" t="e">
        <f>VLOOKUP($A21,'Matriz POA 2024-TRABAJO'!$A$5:$CD$9142,45,FALSE)</f>
        <v>#N/A</v>
      </c>
      <c r="Y21" s="64" t="e">
        <f>VLOOKUP($A21,'Matriz POA 2024-TRABAJO'!$A$5:$CD$9142,46,FALSE)</f>
        <v>#N/A</v>
      </c>
      <c r="Z21" s="64" t="e">
        <f>VLOOKUP($A21,'Matriz POA 2024-TRABAJO'!$A$5:$CD$9142,47,FALSE)</f>
        <v>#N/A</v>
      </c>
      <c r="AA21" s="15"/>
      <c r="AB21" s="16"/>
      <c r="AC21" s="195"/>
      <c r="AD21" s="14"/>
      <c r="AE21" s="14"/>
      <c r="AF21" s="195"/>
    </row>
    <row r="22" spans="2:32" ht="13.7" customHeight="1">
      <c r="B22" s="12" t="e">
        <f>VLOOKUP($A22,'Matriz POA 2024-TRABAJO'!$A$5:$CD$9142,11,FALSE)</f>
        <v>#N/A</v>
      </c>
      <c r="C22" s="12" t="e">
        <f>VLOOKUP($A22,'Matriz POA 2024-TRABAJO'!$A$5:$CD$9142,14,FALSE)</f>
        <v>#N/A</v>
      </c>
      <c r="D22" s="12" t="e">
        <f>VLOOKUP($A22,'Matriz POA 2024-TRABAJO'!$A$5:$CD$9142,15,FALSE)</f>
        <v>#N/A</v>
      </c>
      <c r="E22" s="12" t="e">
        <f>VLOOKUP($A22,'Matriz POA 2024-TRABAJO'!$A$5:$CD$9142,18,FALSE)</f>
        <v>#N/A</v>
      </c>
      <c r="F22" s="12" t="e">
        <f>VLOOKUP($A22,'Matriz POA 2024-TRABAJO'!$A$5:$CD$9142,20,FALSE)</f>
        <v>#N/A</v>
      </c>
      <c r="G22" s="12" t="e">
        <f>VLOOKUP($A22,'Matriz POA 2024-TRABAJO'!$A$5:$CD$9142,21,FALSE)</f>
        <v>#N/A</v>
      </c>
      <c r="H22" s="12" t="e">
        <f>VLOOKUP($A22,'Matriz POA 2024-TRABAJO'!$A$5:$CD$9142,22,FALSE)</f>
        <v>#N/A</v>
      </c>
      <c r="I22" s="12" t="e">
        <f>VLOOKUP($A22,'Matriz POA 2024-TRABAJO'!$A$5:$CD$9142,23,FALSE)</f>
        <v>#N/A</v>
      </c>
      <c r="J22" s="12" t="e">
        <f>VLOOKUP($A22,'Matriz POA 2024-TRABAJO'!$A$5:$CD$9142,24,FALSE)</f>
        <v>#N/A</v>
      </c>
      <c r="K22" s="12" t="e">
        <f>VLOOKUP($A22,'Matriz POA 2024-TRABAJO'!$A$5:$CD$9142,25,FALSE)</f>
        <v>#N/A</v>
      </c>
      <c r="L22" s="12" t="e">
        <f>VLOOKUP($A22,'Matriz POA 2024-TRABAJO'!$A$5:$CD$9142,26,FALSE)</f>
        <v>#N/A</v>
      </c>
      <c r="M22" s="12" t="e">
        <f>VLOOKUP($A22,'Matriz POA 2024-TRABAJO'!$A$5:$CD$9142,27,FALSE)</f>
        <v>#N/A</v>
      </c>
      <c r="N22" s="12" t="e">
        <f>VLOOKUP($A22,'Matriz POA 2024-TRABAJO'!$A$5:$CD$9142,28,FALSE)</f>
        <v>#N/A</v>
      </c>
      <c r="O22" s="12" t="e">
        <f>VLOOKUP($A22,'Matriz POA 2024-TRABAJO'!$A$5:$CD$9142,29,FALSE)</f>
        <v>#N/A</v>
      </c>
      <c r="P22" s="12" t="e">
        <f>VLOOKUP($A22,'Matriz POA 2024-TRABAJO'!$A$5:$CD$9142,30,FALSE)</f>
        <v>#N/A</v>
      </c>
      <c r="Q22" s="12" t="e">
        <f>VLOOKUP($A22,'Matriz POA 2024-TRABAJO'!$A$5:$CD$9142,32,FALSE)</f>
        <v>#N/A</v>
      </c>
      <c r="R22" s="12" t="e">
        <f>VLOOKUP($A22,'Matriz POA 2024-TRABAJO'!$A$5:$CD$9142,33,FALSE)</f>
        <v>#N/A</v>
      </c>
      <c r="S22" s="12" t="e">
        <f>VLOOKUP($A22,'Matriz POA 2024-TRABAJO'!$A$5:$CD$9142,34,FALSE)</f>
        <v>#N/A</v>
      </c>
      <c r="T22" s="12" t="e">
        <f>VLOOKUP($A22,'Matriz POA 2024-TRABAJO'!$A$5:$CD$9142,35,FALSE)</f>
        <v>#N/A</v>
      </c>
      <c r="U22" s="62" t="e">
        <f>VLOOKUP($A22,'Matriz POA 2024-TRABAJO'!$A$5:$CD$9142,66,FALSE)</f>
        <v>#N/A</v>
      </c>
      <c r="V22" s="62" t="e">
        <f>VLOOKUP($A22,'Matriz POA 2024-TRABAJO'!$A$5:$CD$9142,67,FALSE)</f>
        <v>#N/A</v>
      </c>
      <c r="W22" s="62" t="e">
        <f>VLOOKUP($A22,'Matriz POA 2024-TRABAJO'!$A$5:$CD$9142,72,FALSE)</f>
        <v>#N/A</v>
      </c>
      <c r="X22" s="64" t="e">
        <f>VLOOKUP($A22,'Matriz POA 2024-TRABAJO'!$A$5:$CD$9142,45,FALSE)</f>
        <v>#N/A</v>
      </c>
      <c r="Y22" s="64" t="e">
        <f>VLOOKUP($A22,'Matriz POA 2024-TRABAJO'!$A$5:$CD$9142,46,FALSE)</f>
        <v>#N/A</v>
      </c>
      <c r="Z22" s="64" t="e">
        <f>VLOOKUP($A22,'Matriz POA 2024-TRABAJO'!$A$5:$CD$9142,47,FALSE)</f>
        <v>#N/A</v>
      </c>
      <c r="AA22" s="15"/>
      <c r="AB22" s="16"/>
      <c r="AC22" s="195"/>
      <c r="AD22" s="14"/>
      <c r="AE22" s="14"/>
      <c r="AF22" s="195"/>
    </row>
  </sheetData>
  <autoFilter ref="A1:AF1"/>
  <pageMargins left="0.7" right="0.7" top="0.75" bottom="0.75" header="0.3" footer="0.3"/>
  <pageSetup paperSize="9" scale="9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filterMode="1">
    <tabColor rgb="FF00B050"/>
  </sheetPr>
  <dimension ref="A1:DH391"/>
  <sheetViews>
    <sheetView zoomScale="115" zoomScaleNormal="115" workbookViewId="0">
      <pane ySplit="1" topLeftCell="A224" activePane="bottomLeft" state="frozen"/>
      <selection activeCell="AG7" sqref="AG7:AH7"/>
      <selection pane="bottomLeft" activeCell="A226" sqref="A226"/>
    </sheetView>
  </sheetViews>
  <sheetFormatPr baseColWidth="10" defaultRowHeight="15" customHeight="1"/>
  <cols>
    <col min="1" max="1" width="10.85546875" style="21" bestFit="1" customWidth="1"/>
    <col min="2" max="3" width="8" style="21" customWidth="1"/>
    <col min="4" max="4" width="11.28515625" style="21" customWidth="1"/>
    <col min="5" max="5" width="14.5703125" style="21" customWidth="1"/>
    <col min="6" max="7" width="11.42578125" style="21" customWidth="1"/>
    <col min="8" max="8" width="15.7109375" style="21" customWidth="1"/>
    <col min="9" max="33" width="11.42578125" style="21" customWidth="1"/>
    <col min="34" max="34" width="15.28515625" style="21" customWidth="1"/>
    <col min="35" max="35" width="15.42578125" style="21" customWidth="1"/>
    <col min="36" max="36" width="16" style="21" customWidth="1"/>
    <col min="37" max="37" width="16.140625" style="21" customWidth="1"/>
    <col min="38" max="38" width="14.5703125" style="21" customWidth="1"/>
    <col min="39" max="39" width="17.85546875" style="21" customWidth="1"/>
    <col min="40" max="72" width="11.42578125" style="21" customWidth="1"/>
    <col min="73" max="110" width="11.42578125" style="21"/>
    <col min="111" max="16384" width="11.42578125" style="42"/>
  </cols>
  <sheetData>
    <row r="1" spans="1:112" s="21" customFormat="1" ht="45">
      <c r="A1" s="22" t="s">
        <v>921</v>
      </c>
      <c r="B1" s="22" t="s">
        <v>926</v>
      </c>
      <c r="C1" s="22" t="s">
        <v>1014</v>
      </c>
      <c r="D1" s="22" t="s">
        <v>5</v>
      </c>
      <c r="E1" s="22" t="s">
        <v>6</v>
      </c>
      <c r="F1" s="22" t="s">
        <v>9</v>
      </c>
      <c r="G1" s="40" t="s">
        <v>1015</v>
      </c>
      <c r="H1" s="40" t="s">
        <v>15</v>
      </c>
      <c r="I1" s="23" t="s">
        <v>815</v>
      </c>
      <c r="J1" s="24" t="s">
        <v>17</v>
      </c>
      <c r="K1" s="24" t="s">
        <v>922</v>
      </c>
      <c r="L1" s="24" t="s">
        <v>1016</v>
      </c>
      <c r="M1" s="23" t="s">
        <v>927</v>
      </c>
      <c r="N1" s="22" t="s">
        <v>1017</v>
      </c>
      <c r="O1" s="22" t="s">
        <v>27</v>
      </c>
      <c r="P1" s="22" t="s">
        <v>28</v>
      </c>
      <c r="Q1" s="22" t="s">
        <v>29</v>
      </c>
      <c r="R1" s="25" t="s">
        <v>1018</v>
      </c>
      <c r="S1" s="26" t="s">
        <v>1019</v>
      </c>
      <c r="T1" s="25" t="s">
        <v>1020</v>
      </c>
      <c r="U1" s="25" t="s">
        <v>1021</v>
      </c>
      <c r="V1" s="25" t="s">
        <v>1022</v>
      </c>
      <c r="W1" s="27" t="s">
        <v>1023</v>
      </c>
      <c r="X1" s="28" t="s">
        <v>1024</v>
      </c>
      <c r="Y1" s="27" t="s">
        <v>1025</v>
      </c>
      <c r="Z1" s="28" t="s">
        <v>1026</v>
      </c>
      <c r="AA1" s="29" t="s">
        <v>1027</v>
      </c>
      <c r="AB1" s="29" t="s">
        <v>1028</v>
      </c>
      <c r="AC1" s="30" t="s">
        <v>1029</v>
      </c>
      <c r="AD1" s="30" t="s">
        <v>1030</v>
      </c>
      <c r="AE1" s="31" t="s">
        <v>1031</v>
      </c>
      <c r="AF1" s="32" t="s">
        <v>1032</v>
      </c>
      <c r="AG1" s="31" t="s">
        <v>1033</v>
      </c>
      <c r="AH1" s="32" t="s">
        <v>1034</v>
      </c>
      <c r="AI1" s="33" t="s">
        <v>1035</v>
      </c>
      <c r="AJ1" s="33" t="s">
        <v>1036</v>
      </c>
      <c r="AK1" s="34" t="s">
        <v>1037</v>
      </c>
      <c r="AL1" s="34" t="s">
        <v>1030</v>
      </c>
      <c r="AM1" s="30" t="s">
        <v>1038</v>
      </c>
      <c r="AN1" s="30" t="s">
        <v>1039</v>
      </c>
      <c r="AO1" s="30" t="s">
        <v>1040</v>
      </c>
      <c r="AP1" s="30" t="s">
        <v>1041</v>
      </c>
      <c r="AQ1" s="30" t="s">
        <v>1042</v>
      </c>
      <c r="AR1" s="30" t="s">
        <v>1043</v>
      </c>
      <c r="AS1" s="30" t="s">
        <v>1044</v>
      </c>
      <c r="AT1" s="30" t="s">
        <v>1030</v>
      </c>
      <c r="AU1" s="31" t="s">
        <v>1045</v>
      </c>
      <c r="AV1" s="32" t="s">
        <v>1046</v>
      </c>
      <c r="AW1" s="31" t="s">
        <v>1047</v>
      </c>
      <c r="AX1" s="32" t="s">
        <v>1048</v>
      </c>
      <c r="AY1" s="33" t="s">
        <v>1049</v>
      </c>
      <c r="AZ1" s="33" t="s">
        <v>1050</v>
      </c>
      <c r="BA1" s="34" t="s">
        <v>1051</v>
      </c>
      <c r="BB1" s="34" t="s">
        <v>1030</v>
      </c>
      <c r="BC1" s="35" t="s">
        <v>1052</v>
      </c>
      <c r="BD1" s="35" t="s">
        <v>1053</v>
      </c>
      <c r="BE1" s="35" t="s">
        <v>1054</v>
      </c>
      <c r="BF1" s="35" t="s">
        <v>1055</v>
      </c>
      <c r="BG1" s="35" t="s">
        <v>1056</v>
      </c>
      <c r="BH1" s="35" t="s">
        <v>1057</v>
      </c>
      <c r="BI1" s="35" t="s">
        <v>1058</v>
      </c>
      <c r="BJ1" s="35" t="s">
        <v>1030</v>
      </c>
      <c r="BK1" s="36" t="s">
        <v>1059</v>
      </c>
      <c r="BL1" s="37" t="s">
        <v>1060</v>
      </c>
      <c r="BM1" s="36" t="s">
        <v>1061</v>
      </c>
      <c r="BN1" s="37" t="s">
        <v>1062</v>
      </c>
      <c r="BO1" s="38" t="s">
        <v>1063</v>
      </c>
      <c r="BP1" s="38" t="s">
        <v>1064</v>
      </c>
      <c r="BQ1" s="39" t="s">
        <v>1065</v>
      </c>
      <c r="BR1" s="39" t="s">
        <v>1030</v>
      </c>
      <c r="BS1" s="35" t="s">
        <v>1066</v>
      </c>
      <c r="BT1" s="35" t="s">
        <v>1067</v>
      </c>
      <c r="BU1" s="35" t="s">
        <v>1068</v>
      </c>
      <c r="BV1" s="35" t="s">
        <v>1069</v>
      </c>
      <c r="BW1" s="35" t="s">
        <v>1070</v>
      </c>
      <c r="BX1" s="38" t="s">
        <v>1071</v>
      </c>
      <c r="BY1" s="35" t="s">
        <v>1072</v>
      </c>
      <c r="BZ1" s="35" t="s">
        <v>1030</v>
      </c>
      <c r="CA1" s="36" t="s">
        <v>1073</v>
      </c>
      <c r="CB1" s="37" t="s">
        <v>1074</v>
      </c>
      <c r="CC1" s="36" t="s">
        <v>1075</v>
      </c>
      <c r="CD1" s="37" t="s">
        <v>1076</v>
      </c>
      <c r="CE1" s="38" t="s">
        <v>1077</v>
      </c>
      <c r="CF1" s="38" t="s">
        <v>1078</v>
      </c>
      <c r="CG1" s="39" t="s">
        <v>1079</v>
      </c>
      <c r="CH1" s="39" t="s">
        <v>1030</v>
      </c>
      <c r="CI1" s="40" t="s">
        <v>1080</v>
      </c>
      <c r="CJ1" s="40" t="s">
        <v>1081</v>
      </c>
      <c r="CK1" s="40" t="s">
        <v>1082</v>
      </c>
      <c r="CL1" s="40" t="s">
        <v>1083</v>
      </c>
      <c r="CM1" s="40" t="s">
        <v>1084</v>
      </c>
      <c r="CN1" s="38" t="s">
        <v>1085</v>
      </c>
      <c r="CO1" s="40" t="s">
        <v>1086</v>
      </c>
      <c r="CP1" s="40" t="s">
        <v>1087</v>
      </c>
      <c r="CQ1" s="39" t="s">
        <v>1088</v>
      </c>
      <c r="CR1" s="39" t="s">
        <v>1089</v>
      </c>
      <c r="CS1" s="39" t="s">
        <v>1090</v>
      </c>
      <c r="CT1" s="39" t="s">
        <v>1091</v>
      </c>
      <c r="CU1" s="39" t="s">
        <v>1092</v>
      </c>
      <c r="CV1" s="38" t="s">
        <v>1093</v>
      </c>
      <c r="CW1" s="39" t="s">
        <v>1094</v>
      </c>
      <c r="CX1" s="39" t="s">
        <v>1095</v>
      </c>
      <c r="CY1" s="41" t="s">
        <v>1096</v>
      </c>
      <c r="CZ1" s="41" t="s">
        <v>1097</v>
      </c>
      <c r="DA1" s="41" t="s">
        <v>1098</v>
      </c>
      <c r="DB1" s="41" t="s">
        <v>1099</v>
      </c>
      <c r="DC1" s="41" t="s">
        <v>1100</v>
      </c>
      <c r="DD1" s="41" t="s">
        <v>1101</v>
      </c>
      <c r="DE1" s="41" t="s">
        <v>1102</v>
      </c>
      <c r="DF1" s="41" t="s">
        <v>1103</v>
      </c>
      <c r="DG1" s="41" t="s">
        <v>1104</v>
      </c>
      <c r="DH1" s="41" t="s">
        <v>1105</v>
      </c>
    </row>
    <row r="2" spans="1:112" s="21" customFormat="1" ht="26.45" hidden="1" customHeight="1">
      <c r="A2" s="93">
        <v>500</v>
      </c>
      <c r="B2" s="93" t="e">
        <f>VLOOKUP($A2,  'Matriz POA 2024-TRABAJO'!$A$5:$CY$9142,29,FALSE)</f>
        <v>#N/A</v>
      </c>
      <c r="C2" s="93" t="e">
        <f>VLOOKUP($A2, 'Matriz POA 2024-TRABAJO'!$A$5:$CY$9142,11,FALSE)</f>
        <v>#N/A</v>
      </c>
      <c r="D2" s="93" t="e">
        <f>VLOOKUP($A2, 'Matriz POA 2024-TRABAJO'!$A$5:$CY$9142,14,FALSE)</f>
        <v>#N/A</v>
      </c>
      <c r="E2" s="93" t="e">
        <f>VLOOKUP($A2, 'Matriz POA 2024-TRABAJO'!$A$5:$CY$9142,15,FALSE)</f>
        <v>#N/A</v>
      </c>
      <c r="F2" s="93" t="e">
        <f>VLOOKUP($A2, 'Matriz POA 2024-TRABAJO'!$A$5:$CY$9142,18,FALSE)</f>
        <v>#N/A</v>
      </c>
      <c r="G2" s="93" t="e">
        <f>VLOOKUP($A2, 'Matriz POA 2024-TRABAJO'!$A$5:$CY$9142,23,FALSE)</f>
        <v>#N/A</v>
      </c>
      <c r="H2" s="93" t="e">
        <f>VLOOKUP($A2, 'Matriz POA 2024-TRABAJO'!$A$5:$CY$9142,24,FALSE)</f>
        <v>#N/A</v>
      </c>
      <c r="I2" s="93" t="e">
        <f>VLOOKUP($A2, 'Matriz POA 2024-TRABAJO'!$A$5:$CY$9142,20,FALSE)</f>
        <v>#N/A</v>
      </c>
      <c r="J2" s="93" t="e">
        <f>VLOOKUP($A2, 'Matriz POA 2024-TRABAJO'!$A$5:$CY$9142,26,FALSE)</f>
        <v>#N/A</v>
      </c>
      <c r="K2" s="93" t="e">
        <f>VLOOKUP($A2, 'Matriz POA 2024-TRABAJO'!$A$5:$CY$9142,27,FALSE)</f>
        <v>#N/A</v>
      </c>
      <c r="L2" s="93" t="e">
        <f>VLOOKUP($A2, 'Matriz POA 2024-TRABAJO'!$A$5:$CY$9142,28,FALSE)</f>
        <v>#N/A</v>
      </c>
      <c r="M2" s="93" t="e">
        <f>VLOOKUP($A2, 'Matriz POA 2024-TRABAJO'!$A$5:$CY$9142,30,FALSE)</f>
        <v>#N/A</v>
      </c>
      <c r="N2" s="93" t="e">
        <f>VLOOKUP($A2, 'Matriz POA 2024-TRABAJO'!$A$5:$CY$9142,31,FALSE)</f>
        <v>#N/A</v>
      </c>
      <c r="O2" s="93" t="e">
        <f>VLOOKUP($A2, 'Matriz POA 2024-TRABAJO'!$A$5:$CY$9142,45,FALSE)</f>
        <v>#N/A</v>
      </c>
      <c r="P2" s="93" t="e">
        <f>VLOOKUP($A2, 'Matriz POA 2024-TRABAJO'!$A$5:$CY$9142,46,FALSE)</f>
        <v>#N/A</v>
      </c>
      <c r="Q2" s="93" t="e">
        <f>VLOOKUP($A2, 'Matriz POA 2024-TRABAJO'!$A$5:$CY$9142,47,FALSE)</f>
        <v>#N/A</v>
      </c>
      <c r="R2" s="94">
        <f>AA2+AI2+AQ2+AY2+BG2+BO2+BW2+CE2+CM2+CU2+AB2+AJ2+AR2+AZ2+BH2+BP2</f>
        <v>614096.56000000006</v>
      </c>
      <c r="S2" s="95" t="e">
        <f>Q2-R2</f>
        <v>#N/A</v>
      </c>
      <c r="T2" s="93" t="e">
        <f>VLOOKUP($A2, 'Matriz POA 2024-TRABAJO'!$A$5:$CY$9142,72,FALSE)</f>
        <v>#N/A</v>
      </c>
      <c r="U2" s="93" t="e">
        <f>VLOOKUP($A2, 'Matriz POA 2024-TRABAJO'!$A$5:$CY$9142,29,FALSE)</f>
        <v>#N/A</v>
      </c>
      <c r="V2" s="94" t="str">
        <f t="shared" ref="V2:V11" si="0">AD2&amp;AL2&amp;AT2&amp;BB2&amp;BJ2&amp;BR2&amp;BZ2&amp;CH2&amp;CP2&amp;CX2</f>
        <v>1ar-lp-</v>
      </c>
      <c r="W2" s="96" t="s">
        <v>1106</v>
      </c>
      <c r="X2" s="96">
        <v>45303</v>
      </c>
      <c r="Y2" s="97" t="s">
        <v>1107</v>
      </c>
      <c r="Z2" s="96">
        <v>45303</v>
      </c>
      <c r="AA2" s="98">
        <v>615326.03</v>
      </c>
      <c r="AB2" s="98"/>
      <c r="AC2" s="99">
        <f t="shared" ref="AC2:AC9" si="1">Z2-X2</f>
        <v>0</v>
      </c>
      <c r="AD2" s="100" t="s">
        <v>1108</v>
      </c>
      <c r="AE2" s="97" t="s">
        <v>974</v>
      </c>
      <c r="AF2" s="101">
        <v>45329</v>
      </c>
      <c r="AG2" s="97" t="s">
        <v>975</v>
      </c>
      <c r="AH2" s="101">
        <v>45330</v>
      </c>
      <c r="AI2" s="98">
        <v>-1229.47</v>
      </c>
      <c r="AJ2" s="98"/>
      <c r="AK2" s="99">
        <f t="shared" ref="AK2:AK9" si="2">AH2-AF2</f>
        <v>1</v>
      </c>
      <c r="AL2" s="99" t="s">
        <v>1109</v>
      </c>
      <c r="AM2" s="98"/>
      <c r="AN2" s="96"/>
      <c r="AO2" s="97"/>
      <c r="AP2" s="101"/>
      <c r="AQ2" s="98"/>
      <c r="AR2" s="98"/>
      <c r="AS2" s="99">
        <f t="shared" ref="AS2:AS9" si="3">AP2-AN2</f>
        <v>0</v>
      </c>
      <c r="AT2" s="99"/>
      <c r="AU2" s="96"/>
      <c r="AV2" s="96"/>
      <c r="AW2" s="93"/>
      <c r="AX2" s="96"/>
      <c r="AY2" s="98"/>
      <c r="AZ2" s="98"/>
      <c r="BA2" s="99">
        <f t="shared" ref="BA2:BA9" si="4">AX2-AV2</f>
        <v>0</v>
      </c>
      <c r="BB2" s="99"/>
      <c r="BC2" s="96"/>
      <c r="BD2" s="96"/>
      <c r="BE2" s="93"/>
      <c r="BF2" s="96"/>
      <c r="BG2" s="102"/>
      <c r="BH2" s="102"/>
      <c r="BI2" s="93">
        <f t="shared" ref="BI2:BI9" si="5">BF2-BD2</f>
        <v>0</v>
      </c>
      <c r="BJ2" s="93"/>
      <c r="BK2" s="93"/>
      <c r="BL2" s="103"/>
      <c r="BM2" s="93"/>
      <c r="BN2" s="103"/>
      <c r="BO2" s="94"/>
      <c r="BP2" s="94"/>
      <c r="BQ2" s="93">
        <f t="shared" ref="BQ2:BQ9" si="6">BN2-BL2</f>
        <v>0</v>
      </c>
      <c r="BR2" s="93"/>
      <c r="BS2" s="93"/>
      <c r="BT2" s="103"/>
      <c r="BU2" s="93"/>
      <c r="BV2" s="103"/>
      <c r="BW2" s="94"/>
      <c r="BX2" s="94"/>
      <c r="BY2" s="93">
        <f t="shared" ref="BY2:BY9" si="7">BV2-BT2</f>
        <v>0</v>
      </c>
      <c r="BZ2" s="93"/>
      <c r="CA2" s="104"/>
      <c r="CB2" s="105"/>
      <c r="CC2" s="106"/>
      <c r="CD2" s="107"/>
      <c r="CE2" s="94"/>
      <c r="CF2" s="94"/>
      <c r="CG2" s="93">
        <f t="shared" ref="CG2:CG9" si="8">CD2-CB2</f>
        <v>0</v>
      </c>
      <c r="CH2" s="93"/>
      <c r="CI2" s="106"/>
      <c r="CJ2" s="105"/>
      <c r="CK2" s="93"/>
      <c r="CL2" s="105"/>
      <c r="CM2" s="108"/>
      <c r="CN2" s="108"/>
      <c r="CO2" s="93">
        <f t="shared" ref="CO2:CO9" si="9">CL2-CJ2</f>
        <v>0</v>
      </c>
      <c r="CP2" s="93"/>
      <c r="CQ2" s="93"/>
      <c r="CR2" s="93"/>
      <c r="CS2" s="93"/>
      <c r="CT2" s="93"/>
      <c r="CU2" s="93"/>
      <c r="CV2" s="93"/>
      <c r="CW2" s="93">
        <f t="shared" ref="CW2:CW9" si="10">CT2-CR2</f>
        <v>0</v>
      </c>
      <c r="CX2" s="93"/>
      <c r="CY2" s="93" t="str">
        <f>TEXT(Z2,"MMMM")</f>
        <v>enero</v>
      </c>
      <c r="CZ2" s="93" t="str">
        <f t="shared" ref="CZ2:CZ9" si="11">TEXT(AF2,"MMMM")</f>
        <v>febrero</v>
      </c>
      <c r="DA2" s="93" t="str">
        <f t="shared" ref="DA2:DA9" si="12">TEXT(AN2,"MMMM")</f>
        <v>enero</v>
      </c>
      <c r="DB2" s="93" t="str">
        <f t="shared" ref="DB2:DB9" si="13">TEXT(AV2,"MMMM")</f>
        <v>enero</v>
      </c>
      <c r="DC2" s="93" t="str">
        <f t="shared" ref="DC2:DC9" si="14">TEXT(BD2,"MMMM")</f>
        <v>enero</v>
      </c>
      <c r="DD2" s="93" t="str">
        <f t="shared" ref="DD2:DD9" si="15">TEXT(BL2,"MMMM")</f>
        <v>enero</v>
      </c>
      <c r="DE2" s="93" t="str">
        <f t="shared" ref="DE2:DE9" si="16">TEXT(BT2,"MMMM")</f>
        <v>enero</v>
      </c>
      <c r="DF2" s="93" t="str">
        <f t="shared" ref="DF2:DF9" si="17">TEXT(BT2,"MMMM")</f>
        <v>enero</v>
      </c>
      <c r="DG2" s="93" t="str">
        <f t="shared" ref="DG2:DG9" si="18">TEXT(BV2,"MMMM")</f>
        <v>enero</v>
      </c>
      <c r="DH2" s="93" t="str">
        <f t="shared" ref="DH2:DH9" si="19">TEXT(BY2,"MMMM")</f>
        <v>enero</v>
      </c>
    </row>
    <row r="3" spans="1:112" s="21" customFormat="1" ht="18.75" hidden="1" customHeight="1">
      <c r="A3" s="93">
        <v>501</v>
      </c>
      <c r="B3" s="93" t="e">
        <f>VLOOKUP($A3,  'Matriz POA 2024-TRABAJO'!$A$5:$CY$9142,29,FALSE)</f>
        <v>#N/A</v>
      </c>
      <c r="C3" s="93" t="e">
        <f>VLOOKUP($A3, 'Matriz POA 2024-TRABAJO'!$A$5:$CY$9142,11,FALSE)</f>
        <v>#N/A</v>
      </c>
      <c r="D3" s="93" t="e">
        <f>VLOOKUP($A3, 'Matriz POA 2024-TRABAJO'!$A$5:$CY$9142,14,FALSE)</f>
        <v>#N/A</v>
      </c>
      <c r="E3" s="93" t="e">
        <f>VLOOKUP($A3, 'Matriz POA 2024-TRABAJO'!$A$5:$CY$9142,15,FALSE)</f>
        <v>#N/A</v>
      </c>
      <c r="F3" s="93" t="e">
        <f>VLOOKUP($A3, 'Matriz POA 2024-TRABAJO'!$A$5:$CY$9142,18,FALSE)</f>
        <v>#N/A</v>
      </c>
      <c r="G3" s="93" t="e">
        <f>VLOOKUP($A3, 'Matriz POA 2024-TRABAJO'!$A$5:$CY$9142,23,FALSE)</f>
        <v>#N/A</v>
      </c>
      <c r="H3" s="93" t="e">
        <f>VLOOKUP($A3, 'Matriz POA 2024-TRABAJO'!$A$5:$CY$9142,24,FALSE)</f>
        <v>#N/A</v>
      </c>
      <c r="I3" s="93" t="e">
        <f>VLOOKUP($A3, 'Matriz POA 2024-TRABAJO'!$A$5:$CY$9142,20,FALSE)</f>
        <v>#N/A</v>
      </c>
      <c r="J3" s="93" t="e">
        <f>VLOOKUP($A3, 'Matriz POA 2024-TRABAJO'!$A$5:$CY$9142,26,FALSE)</f>
        <v>#N/A</v>
      </c>
      <c r="K3" s="93" t="e">
        <f>VLOOKUP($A3, 'Matriz POA 2024-TRABAJO'!$A$5:$CY$9142,27,FALSE)</f>
        <v>#N/A</v>
      </c>
      <c r="L3" s="93" t="e">
        <f>VLOOKUP($A3, 'Matriz POA 2024-TRABAJO'!$A$5:$CY$9142,28,FALSE)</f>
        <v>#N/A</v>
      </c>
      <c r="M3" s="93" t="e">
        <f>VLOOKUP($A3, 'Matriz POA 2024-TRABAJO'!$A$5:$CY$9142,30,FALSE)</f>
        <v>#N/A</v>
      </c>
      <c r="N3" s="93" t="e">
        <f>VLOOKUP($A3, 'Matriz POA 2024-TRABAJO'!$A$5:$CY$9142,31,FALSE)</f>
        <v>#N/A</v>
      </c>
      <c r="O3" s="93" t="e">
        <f>VLOOKUP($A3, 'Matriz POA 2024-TRABAJO'!$A$5:$CY$9142,45,FALSE)</f>
        <v>#N/A</v>
      </c>
      <c r="P3" s="93" t="e">
        <f>VLOOKUP($A3, 'Matriz POA 2024-TRABAJO'!$A$5:$CY$9142,46,FALSE)</f>
        <v>#N/A</v>
      </c>
      <c r="Q3" s="93" t="e">
        <f>VLOOKUP($A3, 'Matriz POA 2024-TRABAJO'!$A$5:$CY$9142,47,FALSE)</f>
        <v>#N/A</v>
      </c>
      <c r="R3" s="94">
        <f t="shared" ref="R3:R65" si="20">AA3+AI3+AQ3+AY3+BG3+BO3+BW3+CE3+CM3+CU3+AB3+AJ3+AR3+AZ3+BH3+BP3</f>
        <v>0</v>
      </c>
      <c r="S3" s="95" t="e">
        <f t="shared" ref="S3:S65" si="21">Q3-R3</f>
        <v>#N/A</v>
      </c>
      <c r="T3" s="93" t="e">
        <f>VLOOKUP($A3, 'Matriz POA 2024-TRABAJO'!$A$5:$CY$9142,72,FALSE)</f>
        <v>#N/A</v>
      </c>
      <c r="U3" s="93" t="e">
        <f>VLOOKUP($A3, 'Matriz POA 2024-TRABAJO'!$A$5:$CY$9142,29,FALSE)</f>
        <v>#N/A</v>
      </c>
      <c r="V3" s="94" t="str">
        <f t="shared" si="0"/>
        <v>1ar-lt</v>
      </c>
      <c r="W3" s="96" t="s">
        <v>1106</v>
      </c>
      <c r="X3" s="96">
        <v>45303</v>
      </c>
      <c r="Y3" s="97" t="s">
        <v>1107</v>
      </c>
      <c r="Z3" s="96">
        <v>45303</v>
      </c>
      <c r="AA3" s="98">
        <v>244821.36</v>
      </c>
      <c r="AB3" s="98"/>
      <c r="AC3" s="99">
        <f t="shared" si="1"/>
        <v>0</v>
      </c>
      <c r="AD3" s="100" t="s">
        <v>1108</v>
      </c>
      <c r="AE3" s="97" t="s">
        <v>965</v>
      </c>
      <c r="AF3" s="101">
        <v>45310</v>
      </c>
      <c r="AG3" s="97" t="s">
        <v>966</v>
      </c>
      <c r="AH3" s="101">
        <v>45316</v>
      </c>
      <c r="AI3" s="252">
        <v>-244821.36</v>
      </c>
      <c r="AJ3" s="98"/>
      <c r="AK3" s="99">
        <f t="shared" si="2"/>
        <v>6</v>
      </c>
      <c r="AL3" s="99" t="s">
        <v>1110</v>
      </c>
      <c r="AM3" s="98"/>
      <c r="AN3" s="96"/>
      <c r="AO3" s="97"/>
      <c r="AP3" s="101"/>
      <c r="AQ3" s="98"/>
      <c r="AR3" s="98"/>
      <c r="AS3" s="99">
        <f t="shared" si="3"/>
        <v>0</v>
      </c>
      <c r="AT3" s="99"/>
      <c r="AU3" s="96"/>
      <c r="AV3" s="96"/>
      <c r="AW3" s="93"/>
      <c r="AX3" s="96"/>
      <c r="AY3" s="98"/>
      <c r="AZ3" s="98"/>
      <c r="BA3" s="99">
        <f t="shared" si="4"/>
        <v>0</v>
      </c>
      <c r="BB3" s="99"/>
      <c r="BC3" s="96"/>
      <c r="BD3" s="96"/>
      <c r="BE3" s="93"/>
      <c r="BF3" s="96"/>
      <c r="BG3" s="102"/>
      <c r="BH3" s="102"/>
      <c r="BI3" s="93">
        <f t="shared" si="5"/>
        <v>0</v>
      </c>
      <c r="BJ3" s="93"/>
      <c r="BK3" s="93"/>
      <c r="BL3" s="103"/>
      <c r="BM3" s="93"/>
      <c r="BN3" s="103"/>
      <c r="BO3" s="94"/>
      <c r="BP3" s="94"/>
      <c r="BQ3" s="93">
        <f t="shared" si="6"/>
        <v>0</v>
      </c>
      <c r="BR3" s="93"/>
      <c r="BS3" s="93"/>
      <c r="BT3" s="103"/>
      <c r="BU3" s="93"/>
      <c r="BV3" s="103"/>
      <c r="BW3" s="94"/>
      <c r="BX3" s="94"/>
      <c r="BY3" s="93">
        <f t="shared" si="7"/>
        <v>0</v>
      </c>
      <c r="BZ3" s="93"/>
      <c r="CA3" s="104"/>
      <c r="CB3" s="105"/>
      <c r="CC3" s="106"/>
      <c r="CD3" s="107"/>
      <c r="CE3" s="94"/>
      <c r="CF3" s="94"/>
      <c r="CG3" s="93">
        <f t="shared" si="8"/>
        <v>0</v>
      </c>
      <c r="CH3" s="93"/>
      <c r="CI3" s="106"/>
      <c r="CJ3" s="105"/>
      <c r="CK3" s="93"/>
      <c r="CL3" s="105"/>
      <c r="CM3" s="108"/>
      <c r="CN3" s="108"/>
      <c r="CO3" s="93">
        <f t="shared" si="9"/>
        <v>0</v>
      </c>
      <c r="CP3" s="93"/>
      <c r="CQ3" s="93"/>
      <c r="CR3" s="93"/>
      <c r="CS3" s="93"/>
      <c r="CT3" s="93"/>
      <c r="CU3" s="93"/>
      <c r="CV3" s="93"/>
      <c r="CW3" s="93">
        <f t="shared" si="10"/>
        <v>0</v>
      </c>
      <c r="CX3" s="93"/>
      <c r="CY3" s="93" t="str">
        <f>TEXT(X3,"MMMM")</f>
        <v>enero</v>
      </c>
      <c r="CZ3" s="93" t="str">
        <f t="shared" si="11"/>
        <v>enero</v>
      </c>
      <c r="DA3" s="93" t="str">
        <f t="shared" si="12"/>
        <v>enero</v>
      </c>
      <c r="DB3" s="93" t="str">
        <f t="shared" si="13"/>
        <v>enero</v>
      </c>
      <c r="DC3" s="93" t="str">
        <f t="shared" si="14"/>
        <v>enero</v>
      </c>
      <c r="DD3" s="93" t="str">
        <f t="shared" si="15"/>
        <v>enero</v>
      </c>
      <c r="DE3" s="93" t="str">
        <f t="shared" si="16"/>
        <v>enero</v>
      </c>
      <c r="DF3" s="93" t="str">
        <f t="shared" si="17"/>
        <v>enero</v>
      </c>
      <c r="DG3" s="93" t="str">
        <f t="shared" si="18"/>
        <v>enero</v>
      </c>
      <c r="DH3" s="93" t="str">
        <f t="shared" si="19"/>
        <v>enero</v>
      </c>
    </row>
    <row r="4" spans="1:112" s="21" customFormat="1" ht="26.45" hidden="1" customHeight="1">
      <c r="A4" s="93">
        <v>504</v>
      </c>
      <c r="B4" s="93" t="e">
        <f>VLOOKUP($A4,  'Matriz POA 2024-TRABAJO'!$A$5:$CY$9142,29,FALSE)</f>
        <v>#N/A</v>
      </c>
      <c r="C4" s="93" t="e">
        <f>VLOOKUP($A4, 'Matriz POA 2024-TRABAJO'!$A$5:$CY$9142,11,FALSE)</f>
        <v>#N/A</v>
      </c>
      <c r="D4" s="93" t="e">
        <f>VLOOKUP($A4, 'Matriz POA 2024-TRABAJO'!$A$5:$CY$9142,14,FALSE)</f>
        <v>#N/A</v>
      </c>
      <c r="E4" s="93" t="e">
        <f>VLOOKUP($A4, 'Matriz POA 2024-TRABAJO'!$A$5:$CY$9142,15,FALSE)</f>
        <v>#N/A</v>
      </c>
      <c r="F4" s="93" t="e">
        <f>VLOOKUP($A4, 'Matriz POA 2024-TRABAJO'!$A$5:$CY$9142,18,FALSE)</f>
        <v>#N/A</v>
      </c>
      <c r="G4" s="93" t="e">
        <f>VLOOKUP($A4, 'Matriz POA 2024-TRABAJO'!$A$5:$CY$9142,23,FALSE)</f>
        <v>#N/A</v>
      </c>
      <c r="H4" s="93" t="e">
        <f>VLOOKUP($A4, 'Matriz POA 2024-TRABAJO'!$A$5:$CY$9142,24,FALSE)</f>
        <v>#N/A</v>
      </c>
      <c r="I4" s="93" t="e">
        <f>VLOOKUP($A4, 'Matriz POA 2024-TRABAJO'!$A$5:$CY$9142,20,FALSE)</f>
        <v>#N/A</v>
      </c>
      <c r="J4" s="93" t="e">
        <f>VLOOKUP($A4, 'Matriz POA 2024-TRABAJO'!$A$5:$CY$9142,26,FALSE)</f>
        <v>#N/A</v>
      </c>
      <c r="K4" s="93" t="e">
        <f>VLOOKUP($A4, 'Matriz POA 2024-TRABAJO'!$A$5:$CY$9142,27,FALSE)</f>
        <v>#N/A</v>
      </c>
      <c r="L4" s="93" t="e">
        <f>VLOOKUP($A4, 'Matriz POA 2024-TRABAJO'!$A$5:$CY$9142,28,FALSE)</f>
        <v>#N/A</v>
      </c>
      <c r="M4" s="93" t="e">
        <f>VLOOKUP($A4, 'Matriz POA 2024-TRABAJO'!$A$5:$CY$9142,30,FALSE)</f>
        <v>#N/A</v>
      </c>
      <c r="N4" s="93" t="e">
        <f>VLOOKUP($A4, 'Matriz POA 2024-TRABAJO'!$A$5:$CY$9142,31,FALSE)</f>
        <v>#N/A</v>
      </c>
      <c r="O4" s="93" t="e">
        <f>VLOOKUP($A4, 'Matriz POA 2024-TRABAJO'!$A$5:$CY$9142,45,FALSE)</f>
        <v>#N/A</v>
      </c>
      <c r="P4" s="93" t="e">
        <f>VLOOKUP($A4, 'Matriz POA 2024-TRABAJO'!$A$5:$CY$9142,46,FALSE)</f>
        <v>#N/A</v>
      </c>
      <c r="Q4" s="93" t="e">
        <f>VLOOKUP($A4, 'Matriz POA 2024-TRABAJO'!$A$5:$CY$9142,47,FALSE)</f>
        <v>#N/A</v>
      </c>
      <c r="R4" s="94">
        <f t="shared" si="20"/>
        <v>32452.730000000003</v>
      </c>
      <c r="S4" s="95" t="e">
        <f t="shared" si="21"/>
        <v>#N/A</v>
      </c>
      <c r="T4" s="93" t="e">
        <f>VLOOKUP($A4, 'Matriz POA 2024-TRABAJO'!$A$5:$CY$9142,72,FALSE)</f>
        <v>#N/A</v>
      </c>
      <c r="U4" s="93" t="e">
        <f>VLOOKUP($A4, 'Matriz POA 2024-TRABAJO'!$A$5:$CY$9142,29,FALSE)</f>
        <v>#N/A</v>
      </c>
      <c r="V4" s="94" t="str">
        <f t="shared" si="0"/>
        <v>1ar-ltar-52ar-LP-MG-69mg-</v>
      </c>
      <c r="W4" s="96" t="s">
        <v>1106</v>
      </c>
      <c r="X4" s="96">
        <v>45303</v>
      </c>
      <c r="Y4" s="97" t="s">
        <v>1107</v>
      </c>
      <c r="Z4" s="96">
        <v>45303</v>
      </c>
      <c r="AA4" s="98">
        <v>18054.830000000002</v>
      </c>
      <c r="AB4" s="98"/>
      <c r="AC4" s="99">
        <f t="shared" si="1"/>
        <v>0</v>
      </c>
      <c r="AD4" s="100" t="s">
        <v>1108</v>
      </c>
      <c r="AE4" s="97" t="s">
        <v>1111</v>
      </c>
      <c r="AF4" s="101">
        <v>45393</v>
      </c>
      <c r="AG4" s="97" t="s">
        <v>1112</v>
      </c>
      <c r="AH4" s="101">
        <v>45393</v>
      </c>
      <c r="AI4" s="98">
        <v>-18054.830000000002</v>
      </c>
      <c r="AJ4" s="98"/>
      <c r="AK4" s="99">
        <f t="shared" si="2"/>
        <v>0</v>
      </c>
      <c r="AL4" s="99" t="s">
        <v>1113</v>
      </c>
      <c r="AM4" s="97" t="s">
        <v>1111</v>
      </c>
      <c r="AN4" s="101">
        <v>45393</v>
      </c>
      <c r="AO4" s="97" t="s">
        <v>1112</v>
      </c>
      <c r="AP4" s="101">
        <v>45393</v>
      </c>
      <c r="AQ4" s="98">
        <v>41907.97</v>
      </c>
      <c r="AR4" s="98"/>
      <c r="AS4" s="99">
        <f t="shared" si="3"/>
        <v>0</v>
      </c>
      <c r="AT4" s="99" t="s">
        <v>1114</v>
      </c>
      <c r="AU4" s="96" t="s">
        <v>1785</v>
      </c>
      <c r="AV4" s="96">
        <v>45422</v>
      </c>
      <c r="AW4" s="93" t="s">
        <v>1789</v>
      </c>
      <c r="AX4" s="96">
        <v>45422</v>
      </c>
      <c r="AY4" s="98">
        <v>-36246.239999999998</v>
      </c>
      <c r="AZ4" s="98"/>
      <c r="BA4" s="99">
        <f t="shared" si="4"/>
        <v>0</v>
      </c>
      <c r="BB4" s="99" t="s">
        <v>1786</v>
      </c>
      <c r="BC4" s="96" t="s">
        <v>1785</v>
      </c>
      <c r="BD4" s="96">
        <v>45422</v>
      </c>
      <c r="BE4" s="93" t="s">
        <v>1787</v>
      </c>
      <c r="BF4" s="96">
        <v>45422</v>
      </c>
      <c r="BG4" s="102">
        <v>26791</v>
      </c>
      <c r="BH4" s="102"/>
      <c r="BI4" s="93">
        <f t="shared" si="5"/>
        <v>0</v>
      </c>
      <c r="BJ4" s="93" t="s">
        <v>1788</v>
      </c>
      <c r="BK4" s="93"/>
      <c r="BL4" s="103"/>
      <c r="BM4" s="93"/>
      <c r="BN4" s="103"/>
      <c r="BO4" s="94"/>
      <c r="BP4" s="94"/>
      <c r="BQ4" s="93">
        <f t="shared" si="6"/>
        <v>0</v>
      </c>
      <c r="BR4" s="93"/>
      <c r="BS4" s="93"/>
      <c r="BT4" s="103"/>
      <c r="BU4" s="93"/>
      <c r="BV4" s="103"/>
      <c r="BW4" s="94"/>
      <c r="BX4" s="94"/>
      <c r="BY4" s="93">
        <f t="shared" si="7"/>
        <v>0</v>
      </c>
      <c r="BZ4" s="93"/>
      <c r="CA4" s="104"/>
      <c r="CB4" s="105"/>
      <c r="CC4" s="106"/>
      <c r="CD4" s="107"/>
      <c r="CE4" s="94"/>
      <c r="CF4" s="94"/>
      <c r="CG4" s="93">
        <f t="shared" si="8"/>
        <v>0</v>
      </c>
      <c r="CH4" s="93"/>
      <c r="CI4" s="106"/>
      <c r="CJ4" s="105"/>
      <c r="CK4" s="93"/>
      <c r="CL4" s="105"/>
      <c r="CM4" s="108"/>
      <c r="CN4" s="108"/>
      <c r="CO4" s="93">
        <f t="shared" si="9"/>
        <v>0</v>
      </c>
      <c r="CP4" s="93"/>
      <c r="CQ4" s="93"/>
      <c r="CR4" s="93"/>
      <c r="CS4" s="93"/>
      <c r="CT4" s="93"/>
      <c r="CU4" s="93"/>
      <c r="CV4" s="93"/>
      <c r="CW4" s="93">
        <f t="shared" si="10"/>
        <v>0</v>
      </c>
      <c r="CX4" s="93"/>
      <c r="CY4" s="93" t="str">
        <f>TEXT(Z4,"MMMM")</f>
        <v>enero</v>
      </c>
      <c r="CZ4" s="93" t="str">
        <f t="shared" si="11"/>
        <v>abril</v>
      </c>
      <c r="DA4" s="93" t="str">
        <f t="shared" si="12"/>
        <v>abril</v>
      </c>
      <c r="DB4" s="93" t="str">
        <f t="shared" si="13"/>
        <v>mayo</v>
      </c>
      <c r="DC4" s="93" t="str">
        <f t="shared" si="14"/>
        <v>mayo</v>
      </c>
      <c r="DD4" s="93" t="str">
        <f t="shared" si="15"/>
        <v>enero</v>
      </c>
      <c r="DE4" s="93" t="str">
        <f t="shared" si="16"/>
        <v>enero</v>
      </c>
      <c r="DF4" s="93" t="str">
        <f t="shared" si="17"/>
        <v>enero</v>
      </c>
      <c r="DG4" s="93" t="str">
        <f t="shared" si="18"/>
        <v>enero</v>
      </c>
      <c r="DH4" s="93" t="str">
        <f t="shared" si="19"/>
        <v>enero</v>
      </c>
    </row>
    <row r="5" spans="1:112" s="21" customFormat="1" ht="18.75" hidden="1" customHeight="1">
      <c r="A5" s="93">
        <v>505</v>
      </c>
      <c r="B5" s="93" t="e">
        <f>VLOOKUP($A5,  'Matriz POA 2024-TRABAJO'!$A$5:$CY$9142,29,FALSE)</f>
        <v>#N/A</v>
      </c>
      <c r="C5" s="93" t="e">
        <f>VLOOKUP($A5, 'Matriz POA 2024-TRABAJO'!$A$5:$CY$9142,11,FALSE)</f>
        <v>#N/A</v>
      </c>
      <c r="D5" s="93" t="e">
        <f>VLOOKUP($A5, 'Matriz POA 2024-TRABAJO'!$A$5:$CY$9142,14,FALSE)</f>
        <v>#N/A</v>
      </c>
      <c r="E5" s="93" t="e">
        <f>VLOOKUP($A5, 'Matriz POA 2024-TRABAJO'!$A$5:$CY$9142,15,FALSE)</f>
        <v>#N/A</v>
      </c>
      <c r="F5" s="93" t="e">
        <f>VLOOKUP($A5, 'Matriz POA 2024-TRABAJO'!$A$5:$CY$9142,18,FALSE)</f>
        <v>#N/A</v>
      </c>
      <c r="G5" s="93" t="e">
        <f>VLOOKUP($A5, 'Matriz POA 2024-TRABAJO'!$A$5:$CY$9142,23,FALSE)</f>
        <v>#N/A</v>
      </c>
      <c r="H5" s="93" t="e">
        <f>VLOOKUP($A5, 'Matriz POA 2024-TRABAJO'!$A$5:$CY$9142,24,FALSE)</f>
        <v>#N/A</v>
      </c>
      <c r="I5" s="93" t="e">
        <f>VLOOKUP($A5, 'Matriz POA 2024-TRABAJO'!$A$5:$CY$9142,20,FALSE)</f>
        <v>#N/A</v>
      </c>
      <c r="J5" s="93" t="e">
        <f>VLOOKUP($A5, 'Matriz POA 2024-TRABAJO'!$A$5:$CY$9142,26,FALSE)</f>
        <v>#N/A</v>
      </c>
      <c r="K5" s="93" t="e">
        <f>VLOOKUP($A5, 'Matriz POA 2024-TRABAJO'!$A$5:$CY$9142,27,FALSE)</f>
        <v>#N/A</v>
      </c>
      <c r="L5" s="93" t="e">
        <f>VLOOKUP($A5, 'Matriz POA 2024-TRABAJO'!$A$5:$CY$9142,28,FALSE)</f>
        <v>#N/A</v>
      </c>
      <c r="M5" s="93" t="e">
        <f>VLOOKUP($A5, 'Matriz POA 2024-TRABAJO'!$A$5:$CY$9142,30,FALSE)</f>
        <v>#N/A</v>
      </c>
      <c r="N5" s="93" t="e">
        <f>VLOOKUP($A5, 'Matriz POA 2024-TRABAJO'!$A$5:$CY$9142,31,FALSE)</f>
        <v>#N/A</v>
      </c>
      <c r="O5" s="93" t="e">
        <f>VLOOKUP($A5, 'Matriz POA 2024-TRABAJO'!$A$5:$CY$9142,45,FALSE)</f>
        <v>#N/A</v>
      </c>
      <c r="P5" s="93" t="e">
        <f>VLOOKUP($A5, 'Matriz POA 2024-TRABAJO'!$A$5:$CY$9142,46,FALSE)</f>
        <v>#N/A</v>
      </c>
      <c r="Q5" s="93" t="e">
        <f>VLOOKUP($A5, 'Matriz POA 2024-TRABAJO'!$A$5:$CY$9142,47,FALSE)</f>
        <v>#N/A</v>
      </c>
      <c r="R5" s="94">
        <f t="shared" si="20"/>
        <v>26135</v>
      </c>
      <c r="S5" s="95" t="e">
        <f t="shared" si="21"/>
        <v>#N/A</v>
      </c>
      <c r="T5" s="93" t="e">
        <f>VLOOKUP($A5, 'Matriz POA 2024-TRABAJO'!$A$5:$CY$9142,72,FALSE)</f>
        <v>#N/A</v>
      </c>
      <c r="U5" s="93" t="e">
        <f>VLOOKUP($A5, 'Matriz POA 2024-TRABAJO'!$A$5:$CY$9142,29,FALSE)</f>
        <v>#N/A</v>
      </c>
      <c r="V5" s="94" t="str">
        <f t="shared" si="0"/>
        <v>1ar-ltar-52ar-LP-MG-69mg-</v>
      </c>
      <c r="W5" s="96" t="s">
        <v>1106</v>
      </c>
      <c r="X5" s="96">
        <v>45303</v>
      </c>
      <c r="Y5" s="97" t="s">
        <v>1107</v>
      </c>
      <c r="Z5" s="96">
        <v>45303</v>
      </c>
      <c r="AA5" s="98">
        <v>1679.76</v>
      </c>
      <c r="AB5" s="98"/>
      <c r="AC5" s="99">
        <f t="shared" si="1"/>
        <v>0</v>
      </c>
      <c r="AD5" s="100" t="s">
        <v>1108</v>
      </c>
      <c r="AE5" s="97" t="s">
        <v>1111</v>
      </c>
      <c r="AF5" s="101">
        <v>45393</v>
      </c>
      <c r="AG5" s="97" t="s">
        <v>1112</v>
      </c>
      <c r="AH5" s="101">
        <v>45393</v>
      </c>
      <c r="AI5" s="98">
        <v>-1679.76</v>
      </c>
      <c r="AJ5" s="98"/>
      <c r="AK5" s="99">
        <f t="shared" si="2"/>
        <v>0</v>
      </c>
      <c r="AL5" s="99" t="s">
        <v>1113</v>
      </c>
      <c r="AM5" s="97" t="s">
        <v>1111</v>
      </c>
      <c r="AN5" s="101">
        <v>45393</v>
      </c>
      <c r="AO5" s="97" t="s">
        <v>1112</v>
      </c>
      <c r="AP5" s="101">
        <v>45393</v>
      </c>
      <c r="AQ5" s="98">
        <v>16679.759999999998</v>
      </c>
      <c r="AR5" s="98"/>
      <c r="AS5" s="99">
        <f t="shared" si="3"/>
        <v>0</v>
      </c>
      <c r="AT5" s="99" t="s">
        <v>1114</v>
      </c>
      <c r="AU5" s="96" t="s">
        <v>1785</v>
      </c>
      <c r="AV5" s="96">
        <v>45422</v>
      </c>
      <c r="AW5" s="93" t="s">
        <v>1789</v>
      </c>
      <c r="AX5" s="96">
        <v>45422</v>
      </c>
      <c r="AY5" s="98">
        <v>-16679.759999999998</v>
      </c>
      <c r="AZ5" s="98"/>
      <c r="BA5" s="99">
        <f t="shared" si="4"/>
        <v>0</v>
      </c>
      <c r="BB5" s="99" t="s">
        <v>1786</v>
      </c>
      <c r="BC5" s="96" t="s">
        <v>1785</v>
      </c>
      <c r="BD5" s="96">
        <v>45422</v>
      </c>
      <c r="BE5" s="93" t="s">
        <v>1787</v>
      </c>
      <c r="BF5" s="96">
        <v>45422</v>
      </c>
      <c r="BG5" s="102">
        <v>26135</v>
      </c>
      <c r="BH5" s="102"/>
      <c r="BI5" s="93">
        <f t="shared" si="5"/>
        <v>0</v>
      </c>
      <c r="BJ5" s="93" t="s">
        <v>1788</v>
      </c>
      <c r="BK5" s="93"/>
      <c r="BL5" s="103"/>
      <c r="BM5" s="93"/>
      <c r="BN5" s="103"/>
      <c r="BO5" s="94"/>
      <c r="BP5" s="94"/>
      <c r="BQ5" s="93">
        <f t="shared" si="6"/>
        <v>0</v>
      </c>
      <c r="BR5" s="93"/>
      <c r="BS5" s="93"/>
      <c r="BT5" s="103"/>
      <c r="BU5" s="93"/>
      <c r="BV5" s="103"/>
      <c r="BW5" s="94"/>
      <c r="BX5" s="94"/>
      <c r="BY5" s="93">
        <f t="shared" si="7"/>
        <v>0</v>
      </c>
      <c r="BZ5" s="93"/>
      <c r="CA5" s="104"/>
      <c r="CB5" s="105"/>
      <c r="CC5" s="106"/>
      <c r="CD5" s="107"/>
      <c r="CE5" s="94"/>
      <c r="CF5" s="94"/>
      <c r="CG5" s="93">
        <f t="shared" si="8"/>
        <v>0</v>
      </c>
      <c r="CH5" s="93"/>
      <c r="CI5" s="106"/>
      <c r="CJ5" s="105"/>
      <c r="CK5" s="93"/>
      <c r="CL5" s="105"/>
      <c r="CM5" s="108"/>
      <c r="CN5" s="108"/>
      <c r="CO5" s="93">
        <f t="shared" si="9"/>
        <v>0</v>
      </c>
      <c r="CP5" s="93"/>
      <c r="CQ5" s="93"/>
      <c r="CR5" s="93"/>
      <c r="CS5" s="93"/>
      <c r="CT5" s="93"/>
      <c r="CU5" s="93"/>
      <c r="CV5" s="93"/>
      <c r="CW5" s="93">
        <f t="shared" si="10"/>
        <v>0</v>
      </c>
      <c r="CX5" s="93"/>
      <c r="CY5" s="93" t="str">
        <f>TEXT(X5,"MMMM")</f>
        <v>enero</v>
      </c>
      <c r="CZ5" s="93" t="str">
        <f t="shared" si="11"/>
        <v>abril</v>
      </c>
      <c r="DA5" s="93" t="str">
        <f t="shared" si="12"/>
        <v>abril</v>
      </c>
      <c r="DB5" s="93" t="str">
        <f t="shared" si="13"/>
        <v>mayo</v>
      </c>
      <c r="DC5" s="93" t="str">
        <f t="shared" si="14"/>
        <v>mayo</v>
      </c>
      <c r="DD5" s="93" t="str">
        <f t="shared" si="15"/>
        <v>enero</v>
      </c>
      <c r="DE5" s="93" t="str">
        <f t="shared" si="16"/>
        <v>enero</v>
      </c>
      <c r="DF5" s="93" t="str">
        <f t="shared" si="17"/>
        <v>enero</v>
      </c>
      <c r="DG5" s="93" t="str">
        <f t="shared" si="18"/>
        <v>enero</v>
      </c>
      <c r="DH5" s="93" t="str">
        <f t="shared" si="19"/>
        <v>enero</v>
      </c>
    </row>
    <row r="6" spans="1:112" ht="15" hidden="1" customHeight="1">
      <c r="A6" s="93">
        <v>524</v>
      </c>
      <c r="B6" s="93" t="e">
        <f>VLOOKUP($A6,  'Matriz POA 2024-TRABAJO'!$A$5:$CY$9142,29,FALSE)</f>
        <v>#N/A</v>
      </c>
      <c r="C6" s="93" t="e">
        <f>VLOOKUP($A6, 'Matriz POA 2024-TRABAJO'!$A$5:$CY$9142,11,FALSE)</f>
        <v>#N/A</v>
      </c>
      <c r="D6" s="93" t="e">
        <f>VLOOKUP($A6, 'Matriz POA 2024-TRABAJO'!$A$5:$CY$9142,14,FALSE)</f>
        <v>#N/A</v>
      </c>
      <c r="E6" s="93" t="e">
        <f>VLOOKUP($A6, 'Matriz POA 2024-TRABAJO'!$A$5:$CY$9142,15,FALSE)</f>
        <v>#N/A</v>
      </c>
      <c r="F6" s="93" t="e">
        <f>VLOOKUP($A6, 'Matriz POA 2024-TRABAJO'!$A$5:$CY$9142,18,FALSE)</f>
        <v>#N/A</v>
      </c>
      <c r="G6" s="93" t="e">
        <f>VLOOKUP($A6, 'Matriz POA 2024-TRABAJO'!$A$5:$CY$9142,23,FALSE)</f>
        <v>#N/A</v>
      </c>
      <c r="H6" s="93" t="e">
        <f>VLOOKUP($A6, 'Matriz POA 2024-TRABAJO'!$A$5:$CY$9142,24,FALSE)</f>
        <v>#N/A</v>
      </c>
      <c r="I6" s="93" t="e">
        <f>VLOOKUP($A6, 'Matriz POA 2024-TRABAJO'!$A$5:$CY$9142,20,FALSE)</f>
        <v>#N/A</v>
      </c>
      <c r="J6" s="93" t="e">
        <f>VLOOKUP($A6, 'Matriz POA 2024-TRABAJO'!$A$5:$CY$9142,26,FALSE)</f>
        <v>#N/A</v>
      </c>
      <c r="K6" s="93" t="e">
        <f>VLOOKUP($A6, 'Matriz POA 2024-TRABAJO'!$A$5:$CY$9142,27,FALSE)</f>
        <v>#N/A</v>
      </c>
      <c r="L6" s="93" t="e">
        <f>VLOOKUP($A6, 'Matriz POA 2024-TRABAJO'!$A$5:$CY$9142,28,FALSE)</f>
        <v>#N/A</v>
      </c>
      <c r="M6" s="93" t="e">
        <f>VLOOKUP($A6, 'Matriz POA 2024-TRABAJO'!$A$5:$CY$9142,30,FALSE)</f>
        <v>#N/A</v>
      </c>
      <c r="N6" s="93" t="e">
        <f>VLOOKUP($A6, 'Matriz POA 2024-TRABAJO'!$A$5:$CY$9142,31,FALSE)</f>
        <v>#N/A</v>
      </c>
      <c r="O6" s="93" t="e">
        <f>VLOOKUP($A6, 'Matriz POA 2024-TRABAJO'!$A$5:$CY$9142,45,FALSE)</f>
        <v>#N/A</v>
      </c>
      <c r="P6" s="93" t="e">
        <f>VLOOKUP($A6, 'Matriz POA 2024-TRABAJO'!$A$5:$CY$9142,46,FALSE)</f>
        <v>#N/A</v>
      </c>
      <c r="Q6" s="93" t="e">
        <f>VLOOKUP($A6, 'Matriz POA 2024-TRABAJO'!$A$5:$CY$9142,47,FALSE)</f>
        <v>#N/A</v>
      </c>
      <c r="R6" s="94">
        <f t="shared" si="20"/>
        <v>4000</v>
      </c>
      <c r="S6" s="95" t="e">
        <f t="shared" si="21"/>
        <v>#N/A</v>
      </c>
      <c r="T6" s="93" t="e">
        <f>VLOOKUP($A6, 'Matriz POA 2024-TRABAJO'!$A$5:$CY$9142,72,FALSE)</f>
        <v>#N/A</v>
      </c>
      <c r="U6" s="93" t="e">
        <f>VLOOKUP($A6, 'Matriz POA 2024-TRABAJO'!$A$5:$CY$9142,29,FALSE)</f>
        <v>#N/A</v>
      </c>
      <c r="V6" s="94" t="str">
        <f t="shared" si="0"/>
        <v>1ar-</v>
      </c>
      <c r="W6" s="96" t="s">
        <v>1106</v>
      </c>
      <c r="X6" s="96">
        <v>45303</v>
      </c>
      <c r="Y6" s="97" t="s">
        <v>1107</v>
      </c>
      <c r="Z6" s="96">
        <v>45303</v>
      </c>
      <c r="AA6" s="98">
        <v>4000</v>
      </c>
      <c r="AB6" s="98"/>
      <c r="AC6" s="99">
        <f t="shared" si="1"/>
        <v>0</v>
      </c>
      <c r="AD6" s="100" t="s">
        <v>1108</v>
      </c>
      <c r="AE6" s="97"/>
      <c r="AF6" s="101"/>
      <c r="AG6" s="97"/>
      <c r="AH6" s="101"/>
      <c r="AI6" s="98"/>
      <c r="AJ6" s="98"/>
      <c r="AK6" s="99">
        <f t="shared" si="2"/>
        <v>0</v>
      </c>
      <c r="AL6" s="99"/>
      <c r="AM6" s="98"/>
      <c r="AN6" s="96"/>
      <c r="AO6" s="97"/>
      <c r="AP6" s="101"/>
      <c r="AQ6" s="98"/>
      <c r="AR6" s="98"/>
      <c r="AS6" s="99">
        <f t="shared" si="3"/>
        <v>0</v>
      </c>
      <c r="AT6" s="99"/>
      <c r="AU6" s="96"/>
      <c r="AV6" s="96"/>
      <c r="AW6" s="93"/>
      <c r="AX6" s="96"/>
      <c r="AY6" s="98"/>
      <c r="AZ6" s="98"/>
      <c r="BA6" s="99">
        <f t="shared" si="4"/>
        <v>0</v>
      </c>
      <c r="BB6" s="99"/>
      <c r="BC6" s="96"/>
      <c r="BD6" s="96"/>
      <c r="BE6" s="93"/>
      <c r="BF6" s="96"/>
      <c r="BG6" s="102"/>
      <c r="BH6" s="102"/>
      <c r="BI6" s="93">
        <f t="shared" si="5"/>
        <v>0</v>
      </c>
      <c r="BJ6" s="93"/>
      <c r="BK6" s="93"/>
      <c r="BL6" s="103"/>
      <c r="BM6" s="93"/>
      <c r="BN6" s="103"/>
      <c r="BO6" s="94"/>
      <c r="BP6" s="94"/>
      <c r="BQ6" s="93">
        <f t="shared" si="6"/>
        <v>0</v>
      </c>
      <c r="BR6" s="93"/>
      <c r="BS6" s="93"/>
      <c r="BT6" s="103"/>
      <c r="BU6" s="93"/>
      <c r="BV6" s="103"/>
      <c r="BW6" s="94"/>
      <c r="BX6" s="94"/>
      <c r="BY6" s="93">
        <f t="shared" si="7"/>
        <v>0</v>
      </c>
      <c r="BZ6" s="93"/>
      <c r="CA6" s="104"/>
      <c r="CB6" s="105"/>
      <c r="CC6" s="106"/>
      <c r="CD6" s="107"/>
      <c r="CE6" s="94"/>
      <c r="CF6" s="94"/>
      <c r="CG6" s="93">
        <f t="shared" si="8"/>
        <v>0</v>
      </c>
      <c r="CH6" s="93"/>
      <c r="CI6" s="106"/>
      <c r="CJ6" s="105"/>
      <c r="CK6" s="93"/>
      <c r="CL6" s="105"/>
      <c r="CM6" s="108"/>
      <c r="CN6" s="108"/>
      <c r="CO6" s="93">
        <f t="shared" si="9"/>
        <v>0</v>
      </c>
      <c r="CP6" s="93"/>
      <c r="CQ6" s="93"/>
      <c r="CR6" s="93"/>
      <c r="CS6" s="93"/>
      <c r="CT6" s="93"/>
      <c r="CU6" s="93"/>
      <c r="CV6" s="93"/>
      <c r="CW6" s="93">
        <f t="shared" si="10"/>
        <v>0</v>
      </c>
      <c r="CX6" s="93"/>
      <c r="CY6" s="93" t="str">
        <f>TEXT(X6,"MMMM")</f>
        <v>enero</v>
      </c>
      <c r="CZ6" s="93" t="str">
        <f t="shared" si="11"/>
        <v>enero</v>
      </c>
      <c r="DA6" s="93" t="str">
        <f t="shared" si="12"/>
        <v>enero</v>
      </c>
      <c r="DB6" s="93" t="str">
        <f t="shared" si="13"/>
        <v>enero</v>
      </c>
      <c r="DC6" s="93" t="str">
        <f t="shared" si="14"/>
        <v>enero</v>
      </c>
      <c r="DD6" s="93" t="str">
        <f t="shared" si="15"/>
        <v>enero</v>
      </c>
      <c r="DE6" s="93" t="str">
        <f t="shared" si="16"/>
        <v>enero</v>
      </c>
      <c r="DF6" s="93" t="str">
        <f t="shared" si="17"/>
        <v>enero</v>
      </c>
      <c r="DG6" s="93" t="str">
        <f t="shared" si="18"/>
        <v>enero</v>
      </c>
      <c r="DH6" s="93" t="str">
        <f t="shared" si="19"/>
        <v>enero</v>
      </c>
    </row>
    <row r="7" spans="1:112" s="21" customFormat="1" ht="26.45" hidden="1" customHeight="1">
      <c r="A7" s="93">
        <v>525</v>
      </c>
      <c r="B7" s="93" t="e">
        <f>VLOOKUP($A7,  'Matriz POA 2024-TRABAJO'!$A$5:$CY$9142,29,FALSE)</f>
        <v>#N/A</v>
      </c>
      <c r="C7" s="93" t="e">
        <f>VLOOKUP($A7, 'Matriz POA 2024-TRABAJO'!$A$5:$CY$9142,11,FALSE)</f>
        <v>#N/A</v>
      </c>
      <c r="D7" s="93" t="e">
        <f>VLOOKUP($A7, 'Matriz POA 2024-TRABAJO'!$A$5:$CY$9142,14,FALSE)</f>
        <v>#N/A</v>
      </c>
      <c r="E7" s="93" t="e">
        <f>VLOOKUP($A7, 'Matriz POA 2024-TRABAJO'!$A$5:$CY$9142,15,FALSE)</f>
        <v>#N/A</v>
      </c>
      <c r="F7" s="93" t="e">
        <f>VLOOKUP($A7, 'Matriz POA 2024-TRABAJO'!$A$5:$CY$9142,18,FALSE)</f>
        <v>#N/A</v>
      </c>
      <c r="G7" s="93" t="e">
        <f>VLOOKUP($A7, 'Matriz POA 2024-TRABAJO'!$A$5:$CY$9142,23,FALSE)</f>
        <v>#N/A</v>
      </c>
      <c r="H7" s="93" t="e">
        <f>VLOOKUP($A7, 'Matriz POA 2024-TRABAJO'!$A$5:$CY$9142,24,FALSE)</f>
        <v>#N/A</v>
      </c>
      <c r="I7" s="93" t="e">
        <f>VLOOKUP($A7, 'Matriz POA 2024-TRABAJO'!$A$5:$CY$9142,20,FALSE)</f>
        <v>#N/A</v>
      </c>
      <c r="J7" s="93" t="e">
        <f>VLOOKUP($A7, 'Matriz POA 2024-TRABAJO'!$A$5:$CY$9142,26,FALSE)</f>
        <v>#N/A</v>
      </c>
      <c r="K7" s="93" t="e">
        <f>VLOOKUP($A7, 'Matriz POA 2024-TRABAJO'!$A$5:$CY$9142,27,FALSE)</f>
        <v>#N/A</v>
      </c>
      <c r="L7" s="93" t="e">
        <f>VLOOKUP($A7, 'Matriz POA 2024-TRABAJO'!$A$5:$CY$9142,28,FALSE)</f>
        <v>#N/A</v>
      </c>
      <c r="M7" s="93" t="e">
        <f>VLOOKUP($A7, 'Matriz POA 2024-TRABAJO'!$A$5:$CY$9142,30,FALSE)</f>
        <v>#N/A</v>
      </c>
      <c r="N7" s="93" t="e">
        <f>VLOOKUP($A7, 'Matriz POA 2024-TRABAJO'!$A$5:$CY$9142,31,FALSE)</f>
        <v>#N/A</v>
      </c>
      <c r="O7" s="93" t="e">
        <f>VLOOKUP($A7, 'Matriz POA 2024-TRABAJO'!$A$5:$CY$9142,45,FALSE)</f>
        <v>#N/A</v>
      </c>
      <c r="P7" s="93" t="e">
        <f>VLOOKUP($A7, 'Matriz POA 2024-TRABAJO'!$A$5:$CY$9142,46,FALSE)</f>
        <v>#N/A</v>
      </c>
      <c r="Q7" s="93" t="e">
        <f>VLOOKUP($A7, 'Matriz POA 2024-TRABAJO'!$A$5:$CY$9142,47,FALSE)</f>
        <v>#N/A</v>
      </c>
      <c r="R7" s="94">
        <f t="shared" si="20"/>
        <v>290</v>
      </c>
      <c r="S7" s="95" t="e">
        <f t="shared" si="21"/>
        <v>#N/A</v>
      </c>
      <c r="T7" s="93" t="e">
        <f>VLOOKUP($A7, 'Matriz POA 2024-TRABAJO'!$A$5:$CY$9142,72,FALSE)</f>
        <v>#N/A</v>
      </c>
      <c r="U7" s="93" t="e">
        <f>VLOOKUP($A7, 'Matriz POA 2024-TRABAJO'!$A$5:$CY$9142,29,FALSE)</f>
        <v>#N/A</v>
      </c>
      <c r="V7" s="94" t="str">
        <f t="shared" si="0"/>
        <v>1ar-lpar-68ar-</v>
      </c>
      <c r="W7" s="96" t="s">
        <v>1106</v>
      </c>
      <c r="X7" s="96">
        <v>45303</v>
      </c>
      <c r="Y7" s="97" t="s">
        <v>1107</v>
      </c>
      <c r="Z7" s="96">
        <v>45303</v>
      </c>
      <c r="AA7" s="98">
        <v>200</v>
      </c>
      <c r="AB7" s="98"/>
      <c r="AC7" s="99">
        <f t="shared" si="1"/>
        <v>0</v>
      </c>
      <c r="AD7" s="100" t="s">
        <v>1108</v>
      </c>
      <c r="AE7" s="97" t="s">
        <v>1774</v>
      </c>
      <c r="AF7" s="101">
        <v>45418</v>
      </c>
      <c r="AG7" s="97" t="s">
        <v>1779</v>
      </c>
      <c r="AH7" s="101">
        <v>45419</v>
      </c>
      <c r="AI7" s="98">
        <v>-110</v>
      </c>
      <c r="AJ7" s="98"/>
      <c r="AK7" s="99">
        <f t="shared" si="2"/>
        <v>1</v>
      </c>
      <c r="AL7" s="99" t="s">
        <v>1244</v>
      </c>
      <c r="AM7" s="98" t="s">
        <v>1778</v>
      </c>
      <c r="AN7" s="96">
        <v>45419</v>
      </c>
      <c r="AO7" s="97"/>
      <c r="AP7" s="101">
        <v>45419</v>
      </c>
      <c r="AQ7" s="95">
        <v>200</v>
      </c>
      <c r="AR7" s="98"/>
      <c r="AS7" s="99">
        <f t="shared" si="3"/>
        <v>0</v>
      </c>
      <c r="AT7" s="99" t="s">
        <v>1780</v>
      </c>
      <c r="AU7" s="96"/>
      <c r="AV7" s="96"/>
      <c r="AW7" s="93"/>
      <c r="AX7" s="96"/>
      <c r="AY7" s="98"/>
      <c r="AZ7" s="98"/>
      <c r="BA7" s="99">
        <f t="shared" si="4"/>
        <v>0</v>
      </c>
      <c r="BB7" s="99"/>
      <c r="BC7" s="96"/>
      <c r="BD7" s="96"/>
      <c r="BE7" s="93"/>
      <c r="BF7" s="96"/>
      <c r="BG7" s="102"/>
      <c r="BH7" s="102"/>
      <c r="BI7" s="93">
        <f t="shared" si="5"/>
        <v>0</v>
      </c>
      <c r="BJ7" s="93"/>
      <c r="BK7" s="93"/>
      <c r="BL7" s="103"/>
      <c r="BM7" s="93"/>
      <c r="BN7" s="103"/>
      <c r="BO7" s="94"/>
      <c r="BP7" s="94"/>
      <c r="BQ7" s="93">
        <f t="shared" si="6"/>
        <v>0</v>
      </c>
      <c r="BR7" s="93"/>
      <c r="BS7" s="93"/>
      <c r="BT7" s="103"/>
      <c r="BU7" s="93"/>
      <c r="BV7" s="103"/>
      <c r="BW7" s="94"/>
      <c r="BX7" s="94"/>
      <c r="BY7" s="93">
        <f t="shared" si="7"/>
        <v>0</v>
      </c>
      <c r="BZ7" s="93"/>
      <c r="CA7" s="104"/>
      <c r="CB7" s="105"/>
      <c r="CC7" s="106"/>
      <c r="CD7" s="107"/>
      <c r="CE7" s="94"/>
      <c r="CF7" s="94"/>
      <c r="CG7" s="93">
        <f t="shared" si="8"/>
        <v>0</v>
      </c>
      <c r="CH7" s="93"/>
      <c r="CI7" s="106"/>
      <c r="CJ7" s="105"/>
      <c r="CK7" s="93"/>
      <c r="CL7" s="105"/>
      <c r="CM7" s="108"/>
      <c r="CN7" s="108"/>
      <c r="CO7" s="93">
        <f t="shared" si="9"/>
        <v>0</v>
      </c>
      <c r="CP7" s="93"/>
      <c r="CQ7" s="93"/>
      <c r="CR7" s="93"/>
      <c r="CS7" s="93"/>
      <c r="CT7" s="93"/>
      <c r="CU7" s="93"/>
      <c r="CV7" s="93"/>
      <c r="CW7" s="93">
        <f t="shared" si="10"/>
        <v>0</v>
      </c>
      <c r="CX7" s="93"/>
      <c r="CY7" s="93" t="str">
        <f>TEXT(Z7,"MMMM")</f>
        <v>enero</v>
      </c>
      <c r="CZ7" s="93" t="str">
        <f t="shared" si="11"/>
        <v>mayo</v>
      </c>
      <c r="DA7" s="93" t="str">
        <f t="shared" si="12"/>
        <v>mayo</v>
      </c>
      <c r="DB7" s="93" t="str">
        <f t="shared" si="13"/>
        <v>enero</v>
      </c>
      <c r="DC7" s="93" t="str">
        <f t="shared" si="14"/>
        <v>enero</v>
      </c>
      <c r="DD7" s="93" t="str">
        <f t="shared" si="15"/>
        <v>enero</v>
      </c>
      <c r="DE7" s="93" t="str">
        <f t="shared" si="16"/>
        <v>enero</v>
      </c>
      <c r="DF7" s="93" t="str">
        <f t="shared" si="17"/>
        <v>enero</v>
      </c>
      <c r="DG7" s="93" t="str">
        <f t="shared" si="18"/>
        <v>enero</v>
      </c>
      <c r="DH7" s="93" t="str">
        <f t="shared" si="19"/>
        <v>enero</v>
      </c>
    </row>
    <row r="8" spans="1:112" s="21" customFormat="1" ht="18.75" hidden="1" customHeight="1">
      <c r="A8" s="93">
        <v>526</v>
      </c>
      <c r="B8" s="93" t="e">
        <f>VLOOKUP($A8,  'Matriz POA 2024-TRABAJO'!$A$5:$CY$9142,29,FALSE)</f>
        <v>#N/A</v>
      </c>
      <c r="C8" s="93" t="e">
        <f>VLOOKUP($A8, 'Matriz POA 2024-TRABAJO'!$A$5:$CY$9142,11,FALSE)</f>
        <v>#N/A</v>
      </c>
      <c r="D8" s="93" t="e">
        <f>VLOOKUP($A8, 'Matriz POA 2024-TRABAJO'!$A$5:$CY$9142,14,FALSE)</f>
        <v>#N/A</v>
      </c>
      <c r="E8" s="93" t="e">
        <f>VLOOKUP($A8, 'Matriz POA 2024-TRABAJO'!$A$5:$CY$9142,15,FALSE)</f>
        <v>#N/A</v>
      </c>
      <c r="F8" s="93" t="e">
        <f>VLOOKUP($A8, 'Matriz POA 2024-TRABAJO'!$A$5:$CY$9142,18,FALSE)</f>
        <v>#N/A</v>
      </c>
      <c r="G8" s="93" t="e">
        <f>VLOOKUP($A8, 'Matriz POA 2024-TRABAJO'!$A$5:$CY$9142,23,FALSE)</f>
        <v>#N/A</v>
      </c>
      <c r="H8" s="93" t="e">
        <f>VLOOKUP($A8, 'Matriz POA 2024-TRABAJO'!$A$5:$CY$9142,24,FALSE)</f>
        <v>#N/A</v>
      </c>
      <c r="I8" s="93" t="e">
        <f>VLOOKUP($A8, 'Matriz POA 2024-TRABAJO'!$A$5:$CY$9142,20,FALSE)</f>
        <v>#N/A</v>
      </c>
      <c r="J8" s="93" t="e">
        <f>VLOOKUP($A8, 'Matriz POA 2024-TRABAJO'!$A$5:$CY$9142,26,FALSE)</f>
        <v>#N/A</v>
      </c>
      <c r="K8" s="93" t="e">
        <f>VLOOKUP($A8, 'Matriz POA 2024-TRABAJO'!$A$5:$CY$9142,27,FALSE)</f>
        <v>#N/A</v>
      </c>
      <c r="L8" s="93" t="e">
        <f>VLOOKUP($A8, 'Matriz POA 2024-TRABAJO'!$A$5:$CY$9142,28,FALSE)</f>
        <v>#N/A</v>
      </c>
      <c r="M8" s="93" t="e">
        <f>VLOOKUP($A8, 'Matriz POA 2024-TRABAJO'!$A$5:$CY$9142,30,FALSE)</f>
        <v>#N/A</v>
      </c>
      <c r="N8" s="93" t="e">
        <f>VLOOKUP($A8, 'Matriz POA 2024-TRABAJO'!$A$5:$CY$9142,31,FALSE)</f>
        <v>#N/A</v>
      </c>
      <c r="O8" s="93" t="e">
        <f>VLOOKUP($A8, 'Matriz POA 2024-TRABAJO'!$A$5:$CY$9142,45,FALSE)</f>
        <v>#N/A</v>
      </c>
      <c r="P8" s="93" t="e">
        <f>VLOOKUP($A8, 'Matriz POA 2024-TRABAJO'!$A$5:$CY$9142,46,FALSE)</f>
        <v>#N/A</v>
      </c>
      <c r="Q8" s="93" t="e">
        <f>VLOOKUP($A8, 'Matriz POA 2024-TRABAJO'!$A$5:$CY$9142,47,FALSE)</f>
        <v>#N/A</v>
      </c>
      <c r="R8" s="94">
        <f t="shared" si="20"/>
        <v>400</v>
      </c>
      <c r="S8" s="95" t="e">
        <f t="shared" si="21"/>
        <v>#N/A</v>
      </c>
      <c r="T8" s="93" t="e">
        <f>VLOOKUP($A8, 'Matriz POA 2024-TRABAJO'!$A$5:$CY$9142,72,FALSE)</f>
        <v>#N/A</v>
      </c>
      <c r="U8" s="93" t="e">
        <f>VLOOKUP($A8, 'Matriz POA 2024-TRABAJO'!$A$5:$CY$9142,29,FALSE)</f>
        <v>#N/A</v>
      </c>
      <c r="V8" s="94" t="str">
        <f t="shared" si="0"/>
        <v>1ar-lpar-68ar-</v>
      </c>
      <c r="W8" s="96" t="s">
        <v>1106</v>
      </c>
      <c r="X8" s="96">
        <v>45303</v>
      </c>
      <c r="Y8" s="97" t="s">
        <v>1107</v>
      </c>
      <c r="Z8" s="96">
        <v>45303</v>
      </c>
      <c r="AA8" s="98">
        <v>200</v>
      </c>
      <c r="AB8" s="98"/>
      <c r="AC8" s="99">
        <f t="shared" si="1"/>
        <v>0</v>
      </c>
      <c r="AD8" s="100" t="s">
        <v>1108</v>
      </c>
      <c r="AE8" s="97" t="s">
        <v>1774</v>
      </c>
      <c r="AF8" s="101">
        <v>45418</v>
      </c>
      <c r="AG8" s="97" t="s">
        <v>1779</v>
      </c>
      <c r="AH8" s="101">
        <v>45419</v>
      </c>
      <c r="AI8" s="98">
        <v>-38</v>
      </c>
      <c r="AJ8" s="98"/>
      <c r="AK8" s="99">
        <f t="shared" si="2"/>
        <v>1</v>
      </c>
      <c r="AL8" s="99" t="s">
        <v>1244</v>
      </c>
      <c r="AM8" s="98" t="s">
        <v>1778</v>
      </c>
      <c r="AN8" s="96">
        <v>45419</v>
      </c>
      <c r="AO8" s="97"/>
      <c r="AP8" s="101">
        <v>45419</v>
      </c>
      <c r="AQ8" s="98">
        <v>238</v>
      </c>
      <c r="AR8" s="98"/>
      <c r="AS8" s="99">
        <f t="shared" si="3"/>
        <v>0</v>
      </c>
      <c r="AT8" s="99" t="s">
        <v>1780</v>
      </c>
      <c r="AU8" s="96"/>
      <c r="AV8" s="96"/>
      <c r="AW8" s="93"/>
      <c r="AX8" s="96"/>
      <c r="AY8" s="98"/>
      <c r="AZ8" s="98"/>
      <c r="BA8" s="99">
        <f t="shared" si="4"/>
        <v>0</v>
      </c>
      <c r="BB8" s="99"/>
      <c r="BC8" s="96"/>
      <c r="BD8" s="96"/>
      <c r="BE8" s="93"/>
      <c r="BF8" s="96"/>
      <c r="BG8" s="102"/>
      <c r="BH8" s="102"/>
      <c r="BI8" s="93">
        <f t="shared" si="5"/>
        <v>0</v>
      </c>
      <c r="BJ8" s="93"/>
      <c r="BK8" s="93"/>
      <c r="BL8" s="103"/>
      <c r="BM8" s="93"/>
      <c r="BN8" s="103"/>
      <c r="BO8" s="94"/>
      <c r="BP8" s="94"/>
      <c r="BQ8" s="93">
        <f t="shared" si="6"/>
        <v>0</v>
      </c>
      <c r="BR8" s="93"/>
      <c r="BS8" s="93"/>
      <c r="BT8" s="103"/>
      <c r="BU8" s="93"/>
      <c r="BV8" s="103"/>
      <c r="BW8" s="94"/>
      <c r="BX8" s="94"/>
      <c r="BY8" s="93">
        <f t="shared" si="7"/>
        <v>0</v>
      </c>
      <c r="BZ8" s="93"/>
      <c r="CA8" s="104"/>
      <c r="CB8" s="105"/>
      <c r="CC8" s="106"/>
      <c r="CD8" s="107"/>
      <c r="CE8" s="94"/>
      <c r="CF8" s="94"/>
      <c r="CG8" s="93">
        <f t="shared" si="8"/>
        <v>0</v>
      </c>
      <c r="CH8" s="93"/>
      <c r="CI8" s="106"/>
      <c r="CJ8" s="105"/>
      <c r="CK8" s="93"/>
      <c r="CL8" s="105"/>
      <c r="CM8" s="108"/>
      <c r="CN8" s="108"/>
      <c r="CO8" s="93">
        <f t="shared" si="9"/>
        <v>0</v>
      </c>
      <c r="CP8" s="93"/>
      <c r="CQ8" s="93"/>
      <c r="CR8" s="93"/>
      <c r="CS8" s="93"/>
      <c r="CT8" s="93"/>
      <c r="CU8" s="93"/>
      <c r="CV8" s="93"/>
      <c r="CW8" s="93">
        <f t="shared" si="10"/>
        <v>0</v>
      </c>
      <c r="CX8" s="93"/>
      <c r="CY8" s="93" t="str">
        <f>TEXT(X8,"MMMM")</f>
        <v>enero</v>
      </c>
      <c r="CZ8" s="93" t="str">
        <f t="shared" si="11"/>
        <v>mayo</v>
      </c>
      <c r="DA8" s="93" t="str">
        <f t="shared" si="12"/>
        <v>mayo</v>
      </c>
      <c r="DB8" s="93" t="str">
        <f t="shared" si="13"/>
        <v>enero</v>
      </c>
      <c r="DC8" s="93" t="str">
        <f t="shared" si="14"/>
        <v>enero</v>
      </c>
      <c r="DD8" s="93" t="str">
        <f t="shared" si="15"/>
        <v>enero</v>
      </c>
      <c r="DE8" s="93" t="str">
        <f t="shared" si="16"/>
        <v>enero</v>
      </c>
      <c r="DF8" s="93" t="str">
        <f t="shared" si="17"/>
        <v>enero</v>
      </c>
      <c r="DG8" s="93" t="str">
        <f t="shared" si="18"/>
        <v>enero</v>
      </c>
      <c r="DH8" s="93" t="str">
        <f t="shared" si="19"/>
        <v>enero</v>
      </c>
    </row>
    <row r="9" spans="1:112" s="21" customFormat="1" ht="18.75" hidden="1" customHeight="1">
      <c r="A9" s="93">
        <v>527</v>
      </c>
      <c r="B9" s="93" t="e">
        <f>VLOOKUP($A9,  'Matriz POA 2024-TRABAJO'!$A$5:$CY$9142,29,FALSE)</f>
        <v>#N/A</v>
      </c>
      <c r="C9" s="93" t="e">
        <f>VLOOKUP($A9, 'Matriz POA 2024-TRABAJO'!$A$5:$CY$9142,11,FALSE)</f>
        <v>#N/A</v>
      </c>
      <c r="D9" s="93" t="e">
        <f>VLOOKUP($A9, 'Matriz POA 2024-TRABAJO'!$A$5:$CY$9142,14,FALSE)</f>
        <v>#N/A</v>
      </c>
      <c r="E9" s="93" t="e">
        <f>VLOOKUP($A9, 'Matriz POA 2024-TRABAJO'!$A$5:$CY$9142,15,FALSE)</f>
        <v>#N/A</v>
      </c>
      <c r="F9" s="93" t="e">
        <f>VLOOKUP($A9, 'Matriz POA 2024-TRABAJO'!$A$5:$CY$9142,18,FALSE)</f>
        <v>#N/A</v>
      </c>
      <c r="G9" s="93" t="e">
        <f>VLOOKUP($A9, 'Matriz POA 2024-TRABAJO'!$A$5:$CY$9142,23,FALSE)</f>
        <v>#N/A</v>
      </c>
      <c r="H9" s="93" t="e">
        <f>VLOOKUP($A9, 'Matriz POA 2024-TRABAJO'!$A$5:$CY$9142,24,FALSE)</f>
        <v>#N/A</v>
      </c>
      <c r="I9" s="93" t="e">
        <f>VLOOKUP($A9, 'Matriz POA 2024-TRABAJO'!$A$5:$CY$9142,20,FALSE)</f>
        <v>#N/A</v>
      </c>
      <c r="J9" s="93" t="e">
        <f>VLOOKUP($A9, 'Matriz POA 2024-TRABAJO'!$A$5:$CY$9142,26,FALSE)</f>
        <v>#N/A</v>
      </c>
      <c r="K9" s="93" t="e">
        <f>VLOOKUP($A9, 'Matriz POA 2024-TRABAJO'!$A$5:$CY$9142,27,FALSE)</f>
        <v>#N/A</v>
      </c>
      <c r="L9" s="93" t="e">
        <f>VLOOKUP($A9, 'Matriz POA 2024-TRABAJO'!$A$5:$CY$9142,28,FALSE)</f>
        <v>#N/A</v>
      </c>
      <c r="M9" s="93" t="e">
        <f>VLOOKUP($A9, 'Matriz POA 2024-TRABAJO'!$A$5:$CY$9142,30,FALSE)</f>
        <v>#N/A</v>
      </c>
      <c r="N9" s="93" t="e">
        <f>VLOOKUP($A9, 'Matriz POA 2024-TRABAJO'!$A$5:$CY$9142,31,FALSE)</f>
        <v>#N/A</v>
      </c>
      <c r="O9" s="93" t="e">
        <f>VLOOKUP($A9, 'Matriz POA 2024-TRABAJO'!$A$5:$CY$9142,45,FALSE)</f>
        <v>#N/A</v>
      </c>
      <c r="P9" s="93" t="e">
        <f>VLOOKUP($A9, 'Matriz POA 2024-TRABAJO'!$A$5:$CY$9142,46,FALSE)</f>
        <v>#N/A</v>
      </c>
      <c r="Q9" s="93" t="e">
        <f>VLOOKUP($A9, 'Matriz POA 2024-TRABAJO'!$A$5:$CY$9142,47,FALSE)</f>
        <v>#N/A</v>
      </c>
      <c r="R9" s="94">
        <f t="shared" si="20"/>
        <v>400</v>
      </c>
      <c r="S9" s="95" t="e">
        <f t="shared" si="21"/>
        <v>#N/A</v>
      </c>
      <c r="T9" s="93" t="e">
        <f>VLOOKUP($A9, 'Matriz POA 2024-TRABAJO'!$A$5:$CY$9142,72,FALSE)</f>
        <v>#N/A</v>
      </c>
      <c r="U9" s="93" t="e">
        <f>VLOOKUP($A9, 'Matriz POA 2024-TRABAJO'!$A$5:$CY$9142,29,FALSE)</f>
        <v>#N/A</v>
      </c>
      <c r="V9" s="94" t="str">
        <f t="shared" si="0"/>
        <v>1ar-lpar-68ar-</v>
      </c>
      <c r="W9" s="96" t="s">
        <v>1106</v>
      </c>
      <c r="X9" s="96">
        <v>45303</v>
      </c>
      <c r="Y9" s="97" t="s">
        <v>1107</v>
      </c>
      <c r="Z9" s="96">
        <v>45303</v>
      </c>
      <c r="AA9" s="98">
        <v>200</v>
      </c>
      <c r="AB9" s="98"/>
      <c r="AC9" s="99">
        <f t="shared" si="1"/>
        <v>0</v>
      </c>
      <c r="AD9" s="100" t="s">
        <v>1108</v>
      </c>
      <c r="AE9" s="97" t="s">
        <v>1774</v>
      </c>
      <c r="AF9" s="101">
        <v>45418</v>
      </c>
      <c r="AG9" s="97" t="s">
        <v>1779</v>
      </c>
      <c r="AH9" s="101">
        <v>45419</v>
      </c>
      <c r="AI9" s="98">
        <v>-37.58</v>
      </c>
      <c r="AJ9" s="98"/>
      <c r="AK9" s="99">
        <f t="shared" si="2"/>
        <v>1</v>
      </c>
      <c r="AL9" s="99" t="s">
        <v>1244</v>
      </c>
      <c r="AM9" s="98" t="s">
        <v>1778</v>
      </c>
      <c r="AN9" s="96">
        <v>45419</v>
      </c>
      <c r="AO9" s="97"/>
      <c r="AP9" s="101">
        <v>45419</v>
      </c>
      <c r="AQ9" s="98">
        <v>237.57999999999998</v>
      </c>
      <c r="AR9" s="98"/>
      <c r="AS9" s="99">
        <f t="shared" si="3"/>
        <v>0</v>
      </c>
      <c r="AT9" s="99" t="s">
        <v>1780</v>
      </c>
      <c r="AU9" s="96"/>
      <c r="AV9" s="96"/>
      <c r="AW9" s="93"/>
      <c r="AX9" s="96"/>
      <c r="AY9" s="98"/>
      <c r="AZ9" s="98"/>
      <c r="BA9" s="99">
        <f t="shared" si="4"/>
        <v>0</v>
      </c>
      <c r="BB9" s="99"/>
      <c r="BC9" s="96"/>
      <c r="BD9" s="96"/>
      <c r="BE9" s="93"/>
      <c r="BF9" s="96"/>
      <c r="BG9" s="102"/>
      <c r="BH9" s="102"/>
      <c r="BI9" s="93">
        <f t="shared" si="5"/>
        <v>0</v>
      </c>
      <c r="BJ9" s="93"/>
      <c r="BK9" s="93"/>
      <c r="BL9" s="103"/>
      <c r="BM9" s="93"/>
      <c r="BN9" s="103"/>
      <c r="BO9" s="94"/>
      <c r="BP9" s="94"/>
      <c r="BQ9" s="93">
        <f t="shared" si="6"/>
        <v>0</v>
      </c>
      <c r="BR9" s="93"/>
      <c r="BS9" s="93"/>
      <c r="BT9" s="103"/>
      <c r="BU9" s="93"/>
      <c r="BV9" s="103"/>
      <c r="BW9" s="94"/>
      <c r="BX9" s="94"/>
      <c r="BY9" s="93">
        <f t="shared" si="7"/>
        <v>0</v>
      </c>
      <c r="BZ9" s="93"/>
      <c r="CA9" s="104"/>
      <c r="CB9" s="105"/>
      <c r="CC9" s="106"/>
      <c r="CD9" s="107"/>
      <c r="CE9" s="94"/>
      <c r="CF9" s="94"/>
      <c r="CG9" s="93">
        <f t="shared" si="8"/>
        <v>0</v>
      </c>
      <c r="CH9" s="93"/>
      <c r="CI9" s="106"/>
      <c r="CJ9" s="105"/>
      <c r="CK9" s="93"/>
      <c r="CL9" s="105"/>
      <c r="CM9" s="108"/>
      <c r="CN9" s="108"/>
      <c r="CO9" s="93">
        <f t="shared" si="9"/>
        <v>0</v>
      </c>
      <c r="CP9" s="93"/>
      <c r="CQ9" s="93"/>
      <c r="CR9" s="93"/>
      <c r="CS9" s="93"/>
      <c r="CT9" s="93"/>
      <c r="CU9" s="93"/>
      <c r="CV9" s="93"/>
      <c r="CW9" s="93">
        <f t="shared" si="10"/>
        <v>0</v>
      </c>
      <c r="CX9" s="93"/>
      <c r="CY9" s="93" t="str">
        <f>TEXT(X9,"MMMM")</f>
        <v>enero</v>
      </c>
      <c r="CZ9" s="93" t="str">
        <f t="shared" si="11"/>
        <v>mayo</v>
      </c>
      <c r="DA9" s="93" t="str">
        <f t="shared" si="12"/>
        <v>mayo</v>
      </c>
      <c r="DB9" s="93" t="str">
        <f t="shared" si="13"/>
        <v>enero</v>
      </c>
      <c r="DC9" s="93" t="str">
        <f t="shared" si="14"/>
        <v>enero</v>
      </c>
      <c r="DD9" s="93" t="str">
        <f t="shared" si="15"/>
        <v>enero</v>
      </c>
      <c r="DE9" s="93" t="str">
        <f t="shared" si="16"/>
        <v>enero</v>
      </c>
      <c r="DF9" s="93" t="str">
        <f t="shared" si="17"/>
        <v>enero</v>
      </c>
      <c r="DG9" s="93" t="str">
        <f t="shared" si="18"/>
        <v>enero</v>
      </c>
      <c r="DH9" s="93" t="str">
        <f t="shared" si="19"/>
        <v>enero</v>
      </c>
    </row>
    <row r="10" spans="1:112" ht="15" hidden="1" customHeight="1">
      <c r="A10" s="93">
        <v>528</v>
      </c>
      <c r="B10" s="93" t="e">
        <f>VLOOKUP($A10,  'Matriz POA 2024-TRABAJO'!$A$5:$CY$9142,29,FALSE)</f>
        <v>#N/A</v>
      </c>
      <c r="C10" s="93" t="e">
        <f>VLOOKUP($A10, 'Matriz POA 2024-TRABAJO'!$A$5:$CY$9142,11,FALSE)</f>
        <v>#N/A</v>
      </c>
      <c r="D10" s="93" t="e">
        <f>VLOOKUP($A10, 'Matriz POA 2024-TRABAJO'!$A$5:$CY$9142,14,FALSE)</f>
        <v>#N/A</v>
      </c>
      <c r="E10" s="93" t="e">
        <f>VLOOKUP($A10, 'Matriz POA 2024-TRABAJO'!$A$5:$CY$9142,15,FALSE)</f>
        <v>#N/A</v>
      </c>
      <c r="F10" s="93" t="e">
        <f>VLOOKUP($A10, 'Matriz POA 2024-TRABAJO'!$A$5:$CY$9142,18,FALSE)</f>
        <v>#N/A</v>
      </c>
      <c r="G10" s="93" t="e">
        <f>VLOOKUP($A10, 'Matriz POA 2024-TRABAJO'!$A$5:$CY$9142,23,FALSE)</f>
        <v>#N/A</v>
      </c>
      <c r="H10" s="93" t="e">
        <f>VLOOKUP($A10, 'Matriz POA 2024-TRABAJO'!$A$5:$CY$9142,24,FALSE)</f>
        <v>#N/A</v>
      </c>
      <c r="I10" s="93" t="e">
        <f>VLOOKUP($A10, 'Matriz POA 2024-TRABAJO'!$A$5:$CY$9142,20,FALSE)</f>
        <v>#N/A</v>
      </c>
      <c r="J10" s="93" t="e">
        <f>VLOOKUP($A10, 'Matriz POA 2024-TRABAJO'!$A$5:$CY$9142,26,FALSE)</f>
        <v>#N/A</v>
      </c>
      <c r="K10" s="93" t="e">
        <f>VLOOKUP($A10, 'Matriz POA 2024-TRABAJO'!$A$5:$CY$9142,27,FALSE)</f>
        <v>#N/A</v>
      </c>
      <c r="L10" s="93" t="e">
        <f>VLOOKUP($A10, 'Matriz POA 2024-TRABAJO'!$A$5:$CY$9142,28,FALSE)</f>
        <v>#N/A</v>
      </c>
      <c r="M10" s="93" t="e">
        <f>VLOOKUP($A10, 'Matriz POA 2024-TRABAJO'!$A$5:$CY$9142,30,FALSE)</f>
        <v>#N/A</v>
      </c>
      <c r="N10" s="93" t="e">
        <f>VLOOKUP($A10, 'Matriz POA 2024-TRABAJO'!$A$5:$CY$9142,31,FALSE)</f>
        <v>#N/A</v>
      </c>
      <c r="O10" s="93" t="e">
        <f>VLOOKUP($A10, 'Matriz POA 2024-TRABAJO'!$A$5:$CY$9142,45,FALSE)</f>
        <v>#N/A</v>
      </c>
      <c r="P10" s="93" t="e">
        <f>VLOOKUP($A10, 'Matriz POA 2024-TRABAJO'!$A$5:$CY$9142,46,FALSE)</f>
        <v>#N/A</v>
      </c>
      <c r="Q10" s="93" t="e">
        <f>VLOOKUP($A10, 'Matriz POA 2024-TRABAJO'!$A$5:$CY$9142,47,FALSE)</f>
        <v>#N/A</v>
      </c>
      <c r="R10" s="94">
        <f t="shared" si="20"/>
        <v>400</v>
      </c>
      <c r="S10" s="95" t="e">
        <f t="shared" si="21"/>
        <v>#N/A</v>
      </c>
      <c r="T10" s="93" t="e">
        <f>VLOOKUP($A10, 'Matriz POA 2024-TRABAJO'!$A$5:$CY$9142,72,FALSE)</f>
        <v>#N/A</v>
      </c>
      <c r="U10" s="93" t="e">
        <f>VLOOKUP($A10, 'Matriz POA 2024-TRABAJO'!$A$5:$CY$9142,29,FALSE)</f>
        <v>#N/A</v>
      </c>
      <c r="V10" s="94" t="str">
        <f t="shared" si="0"/>
        <v>1ar-lpar-68ar-</v>
      </c>
      <c r="W10" s="96" t="s">
        <v>1106</v>
      </c>
      <c r="X10" s="96">
        <v>45303</v>
      </c>
      <c r="Y10" s="97" t="s">
        <v>1107</v>
      </c>
      <c r="Z10" s="96">
        <v>45303</v>
      </c>
      <c r="AA10" s="98">
        <v>200</v>
      </c>
      <c r="AB10" s="98"/>
      <c r="AC10" s="99">
        <f t="shared" ref="AC10:AC37" si="22">Z10-X10</f>
        <v>0</v>
      </c>
      <c r="AD10" s="100" t="s">
        <v>1108</v>
      </c>
      <c r="AE10" s="97" t="s">
        <v>1774</v>
      </c>
      <c r="AF10" s="101">
        <v>45418</v>
      </c>
      <c r="AG10" s="97" t="s">
        <v>1779</v>
      </c>
      <c r="AH10" s="101">
        <v>45419</v>
      </c>
      <c r="AI10" s="98">
        <v>-14.58</v>
      </c>
      <c r="AJ10" s="98"/>
      <c r="AK10" s="99">
        <f t="shared" ref="AK10:AK37" si="23">AH10-AF10</f>
        <v>1</v>
      </c>
      <c r="AL10" s="99" t="s">
        <v>1244</v>
      </c>
      <c r="AM10" s="98" t="s">
        <v>1778</v>
      </c>
      <c r="AN10" s="96">
        <v>45419</v>
      </c>
      <c r="AO10" s="97"/>
      <c r="AP10" s="101">
        <v>45419</v>
      </c>
      <c r="AQ10" s="98">
        <v>214.58</v>
      </c>
      <c r="AR10" s="98"/>
      <c r="AS10" s="99">
        <f t="shared" ref="AS10:AS37" si="24">AP10-AN10</f>
        <v>0</v>
      </c>
      <c r="AT10" s="99" t="s">
        <v>1780</v>
      </c>
      <c r="AU10" s="96"/>
      <c r="AV10" s="96"/>
      <c r="AW10" s="93"/>
      <c r="AX10" s="96"/>
      <c r="AY10" s="98"/>
      <c r="AZ10" s="98"/>
      <c r="BA10" s="99">
        <f t="shared" ref="BA10:BA37" si="25">AX10-AV10</f>
        <v>0</v>
      </c>
      <c r="BB10" s="99"/>
      <c r="BC10" s="96"/>
      <c r="BD10" s="96"/>
      <c r="BE10" s="93"/>
      <c r="BF10" s="96"/>
      <c r="BG10" s="102"/>
      <c r="BH10" s="102"/>
      <c r="BI10" s="93">
        <f t="shared" ref="BI10:BI37" si="26">BF10-BD10</f>
        <v>0</v>
      </c>
      <c r="BJ10" s="93"/>
      <c r="BK10" s="93"/>
      <c r="BL10" s="103"/>
      <c r="BM10" s="93"/>
      <c r="BN10" s="103"/>
      <c r="BO10" s="94"/>
      <c r="BP10" s="94"/>
      <c r="BQ10" s="93">
        <f t="shared" ref="BQ10:BQ37" si="27">BN10-BL10</f>
        <v>0</v>
      </c>
      <c r="BR10" s="93"/>
      <c r="BS10" s="93"/>
      <c r="BT10" s="103"/>
      <c r="BU10" s="93"/>
      <c r="BV10" s="103"/>
      <c r="BW10" s="94"/>
      <c r="BX10" s="94"/>
      <c r="BY10" s="93">
        <f t="shared" ref="BY10:BY37" si="28">BV10-BT10</f>
        <v>0</v>
      </c>
      <c r="BZ10" s="93"/>
      <c r="CA10" s="104"/>
      <c r="CB10" s="105"/>
      <c r="CC10" s="106"/>
      <c r="CD10" s="107"/>
      <c r="CE10" s="94"/>
      <c r="CF10" s="94"/>
      <c r="CG10" s="93">
        <f t="shared" ref="CG10:CG37" si="29">CD10-CB10</f>
        <v>0</v>
      </c>
      <c r="CH10" s="93"/>
      <c r="CI10" s="106"/>
      <c r="CJ10" s="105"/>
      <c r="CK10" s="93"/>
      <c r="CL10" s="105"/>
      <c r="CM10" s="108"/>
      <c r="CN10" s="108"/>
      <c r="CO10" s="93">
        <f t="shared" ref="CO10:CO37" si="30">CL10-CJ10</f>
        <v>0</v>
      </c>
      <c r="CP10" s="93"/>
      <c r="CQ10" s="93"/>
      <c r="CR10" s="93"/>
      <c r="CS10" s="93"/>
      <c r="CT10" s="93"/>
      <c r="CU10" s="93"/>
      <c r="CV10" s="93"/>
      <c r="CW10" s="93">
        <f t="shared" ref="CW10:CW37" si="31">CT10-CR10</f>
        <v>0</v>
      </c>
      <c r="CX10" s="93"/>
      <c r="CY10" s="93" t="str">
        <f>TEXT(X10,"MMMM")</f>
        <v>enero</v>
      </c>
      <c r="CZ10" s="93" t="str">
        <f t="shared" ref="CZ10:CZ37" si="32">TEXT(AF10,"MMMM")</f>
        <v>mayo</v>
      </c>
      <c r="DA10" s="93" t="str">
        <f t="shared" ref="DA10:DA37" si="33">TEXT(AN10,"MMMM")</f>
        <v>mayo</v>
      </c>
      <c r="DB10" s="93" t="str">
        <f t="shared" ref="DB10:DB37" si="34">TEXT(AV10,"MMMM")</f>
        <v>enero</v>
      </c>
      <c r="DC10" s="93" t="str">
        <f t="shared" ref="DC10:DC37" si="35">TEXT(BD10,"MMMM")</f>
        <v>enero</v>
      </c>
      <c r="DD10" s="93" t="str">
        <f t="shared" ref="DD10:DD37" si="36">TEXT(BL10,"MMMM")</f>
        <v>enero</v>
      </c>
      <c r="DE10" s="93" t="str">
        <f t="shared" ref="DE10:DE37" si="37">TEXT(BT10,"MMMM")</f>
        <v>enero</v>
      </c>
      <c r="DF10" s="93" t="str">
        <f t="shared" ref="DF10:DF37" si="38">TEXT(BT10,"MMMM")</f>
        <v>enero</v>
      </c>
      <c r="DG10" s="93" t="str">
        <f t="shared" ref="DG10:DG37" si="39">TEXT(BV10,"MMMM")</f>
        <v>enero</v>
      </c>
      <c r="DH10" s="93" t="str">
        <f t="shared" ref="DH10:DH37" si="40">TEXT(BY10,"MMMM")</f>
        <v>enero</v>
      </c>
    </row>
    <row r="11" spans="1:112" s="21" customFormat="1" ht="26.45" hidden="1" customHeight="1">
      <c r="A11" s="93">
        <v>529</v>
      </c>
      <c r="B11" s="93" t="e">
        <f>VLOOKUP($A11,  'Matriz POA 2024-TRABAJO'!$A$5:$CY$9142,29,FALSE)</f>
        <v>#N/A</v>
      </c>
      <c r="C11" s="93" t="e">
        <f>VLOOKUP($A11, 'Matriz POA 2024-TRABAJO'!$A$5:$CY$9142,11,FALSE)</f>
        <v>#N/A</v>
      </c>
      <c r="D11" s="93" t="e">
        <f>VLOOKUP($A11, 'Matriz POA 2024-TRABAJO'!$A$5:$CY$9142,14,FALSE)</f>
        <v>#N/A</v>
      </c>
      <c r="E11" s="93" t="e">
        <f>VLOOKUP($A11, 'Matriz POA 2024-TRABAJO'!$A$5:$CY$9142,15,FALSE)</f>
        <v>#N/A</v>
      </c>
      <c r="F11" s="93" t="e">
        <f>VLOOKUP($A11, 'Matriz POA 2024-TRABAJO'!$A$5:$CY$9142,18,FALSE)</f>
        <v>#N/A</v>
      </c>
      <c r="G11" s="93" t="e">
        <f>VLOOKUP($A11, 'Matriz POA 2024-TRABAJO'!$A$5:$CY$9142,23,FALSE)</f>
        <v>#N/A</v>
      </c>
      <c r="H11" s="93" t="e">
        <f>VLOOKUP($A11, 'Matriz POA 2024-TRABAJO'!$A$5:$CY$9142,24,FALSE)</f>
        <v>#N/A</v>
      </c>
      <c r="I11" s="93" t="e">
        <f>VLOOKUP($A11, 'Matriz POA 2024-TRABAJO'!$A$5:$CY$9142,20,FALSE)</f>
        <v>#N/A</v>
      </c>
      <c r="J11" s="93" t="e">
        <f>VLOOKUP($A11, 'Matriz POA 2024-TRABAJO'!$A$5:$CY$9142,26,FALSE)</f>
        <v>#N/A</v>
      </c>
      <c r="K11" s="93" t="e">
        <f>VLOOKUP($A11, 'Matriz POA 2024-TRABAJO'!$A$5:$CY$9142,27,FALSE)</f>
        <v>#N/A</v>
      </c>
      <c r="L11" s="93" t="e">
        <f>VLOOKUP($A11, 'Matriz POA 2024-TRABAJO'!$A$5:$CY$9142,28,FALSE)</f>
        <v>#N/A</v>
      </c>
      <c r="M11" s="93" t="e">
        <f>VLOOKUP($A11, 'Matriz POA 2024-TRABAJO'!$A$5:$CY$9142,30,FALSE)</f>
        <v>#N/A</v>
      </c>
      <c r="N11" s="93" t="e">
        <f>VLOOKUP($A11, 'Matriz POA 2024-TRABAJO'!$A$5:$CY$9142,31,FALSE)</f>
        <v>#N/A</v>
      </c>
      <c r="O11" s="93" t="e">
        <f>VLOOKUP($A11, 'Matriz POA 2024-TRABAJO'!$A$5:$CY$9142,45,FALSE)</f>
        <v>#N/A</v>
      </c>
      <c r="P11" s="93" t="e">
        <f>VLOOKUP($A11, 'Matriz POA 2024-TRABAJO'!$A$5:$CY$9142,46,FALSE)</f>
        <v>#N/A</v>
      </c>
      <c r="Q11" s="93" t="e">
        <f>VLOOKUP($A11, 'Matriz POA 2024-TRABAJO'!$A$5:$CY$9142,47,FALSE)</f>
        <v>#N/A</v>
      </c>
      <c r="R11" s="94">
        <f t="shared" si="20"/>
        <v>500</v>
      </c>
      <c r="S11" s="95" t="e">
        <f t="shared" si="21"/>
        <v>#N/A</v>
      </c>
      <c r="T11" s="93" t="e">
        <f>VLOOKUP($A11, 'Matriz POA 2024-TRABAJO'!$A$5:$CY$9142,72,FALSE)</f>
        <v>#N/A</v>
      </c>
      <c r="U11" s="93" t="e">
        <f>VLOOKUP($A11, 'Matriz POA 2024-TRABAJO'!$A$5:$CY$9142,29,FALSE)</f>
        <v>#N/A</v>
      </c>
      <c r="V11" s="94" t="str">
        <f t="shared" si="0"/>
        <v>1ar-</v>
      </c>
      <c r="W11" s="96" t="s">
        <v>1106</v>
      </c>
      <c r="X11" s="96">
        <v>45303</v>
      </c>
      <c r="Y11" s="97" t="s">
        <v>1107</v>
      </c>
      <c r="Z11" s="96">
        <v>45303</v>
      </c>
      <c r="AA11" s="98">
        <v>500</v>
      </c>
      <c r="AB11" s="98"/>
      <c r="AC11" s="99">
        <f t="shared" si="22"/>
        <v>0</v>
      </c>
      <c r="AD11" s="100" t="s">
        <v>1108</v>
      </c>
      <c r="AE11" s="97"/>
      <c r="AF11" s="101"/>
      <c r="AG11" s="97"/>
      <c r="AH11" s="101"/>
      <c r="AI11" s="98"/>
      <c r="AJ11" s="98">
        <f>AI11*-1</f>
        <v>0</v>
      </c>
      <c r="AK11" s="99">
        <f t="shared" si="23"/>
        <v>0</v>
      </c>
      <c r="AL11" s="99"/>
      <c r="AM11" s="98"/>
      <c r="AN11" s="96"/>
      <c r="AO11" s="97"/>
      <c r="AP11" s="101"/>
      <c r="AQ11" s="98"/>
      <c r="AR11" s="98"/>
      <c r="AS11" s="99">
        <f t="shared" si="24"/>
        <v>0</v>
      </c>
      <c r="AT11" s="99"/>
      <c r="AU11" s="96"/>
      <c r="AV11" s="96"/>
      <c r="AW11" s="93"/>
      <c r="AX11" s="96"/>
      <c r="AY11" s="98"/>
      <c r="AZ11" s="98"/>
      <c r="BA11" s="99">
        <f t="shared" si="25"/>
        <v>0</v>
      </c>
      <c r="BB11" s="99"/>
      <c r="BC11" s="96"/>
      <c r="BD11" s="96"/>
      <c r="BE11" s="93"/>
      <c r="BF11" s="96"/>
      <c r="BG11" s="102"/>
      <c r="BH11" s="102"/>
      <c r="BI11" s="93">
        <f t="shared" si="26"/>
        <v>0</v>
      </c>
      <c r="BJ11" s="93"/>
      <c r="BK11" s="93"/>
      <c r="BL11" s="103"/>
      <c r="BM11" s="93"/>
      <c r="BN11" s="103"/>
      <c r="BO11" s="94"/>
      <c r="BP11" s="94"/>
      <c r="BQ11" s="93">
        <f t="shared" si="27"/>
        <v>0</v>
      </c>
      <c r="BR11" s="93"/>
      <c r="BS11" s="93"/>
      <c r="BT11" s="103"/>
      <c r="BU11" s="93"/>
      <c r="BV11" s="103"/>
      <c r="BW11" s="94"/>
      <c r="BX11" s="94"/>
      <c r="BY11" s="93">
        <f t="shared" si="28"/>
        <v>0</v>
      </c>
      <c r="BZ11" s="93"/>
      <c r="CA11" s="104"/>
      <c r="CB11" s="105"/>
      <c r="CC11" s="106"/>
      <c r="CD11" s="107"/>
      <c r="CE11" s="94"/>
      <c r="CF11" s="94"/>
      <c r="CG11" s="93">
        <f t="shared" si="29"/>
        <v>0</v>
      </c>
      <c r="CH11" s="93"/>
      <c r="CI11" s="106"/>
      <c r="CJ11" s="105"/>
      <c r="CK11" s="93"/>
      <c r="CL11" s="105"/>
      <c r="CM11" s="108"/>
      <c r="CN11" s="108"/>
      <c r="CO11" s="93">
        <f t="shared" si="30"/>
        <v>0</v>
      </c>
      <c r="CP11" s="93"/>
      <c r="CQ11" s="93"/>
      <c r="CR11" s="93"/>
      <c r="CS11" s="93"/>
      <c r="CT11" s="93"/>
      <c r="CU11" s="93"/>
      <c r="CV11" s="93"/>
      <c r="CW11" s="93">
        <f t="shared" si="31"/>
        <v>0</v>
      </c>
      <c r="CX11" s="93"/>
      <c r="CY11" s="93" t="str">
        <f>TEXT(Z11,"MMMM")</f>
        <v>enero</v>
      </c>
      <c r="CZ11" s="93" t="str">
        <f t="shared" si="32"/>
        <v>enero</v>
      </c>
      <c r="DA11" s="93" t="str">
        <f t="shared" si="33"/>
        <v>enero</v>
      </c>
      <c r="DB11" s="93" t="str">
        <f t="shared" si="34"/>
        <v>enero</v>
      </c>
      <c r="DC11" s="93" t="str">
        <f t="shared" si="35"/>
        <v>enero</v>
      </c>
      <c r="DD11" s="93" t="str">
        <f t="shared" si="36"/>
        <v>enero</v>
      </c>
      <c r="DE11" s="93" t="str">
        <f t="shared" si="37"/>
        <v>enero</v>
      </c>
      <c r="DF11" s="93" t="str">
        <f t="shared" si="38"/>
        <v>enero</v>
      </c>
      <c r="DG11" s="93" t="str">
        <f t="shared" si="39"/>
        <v>enero</v>
      </c>
      <c r="DH11" s="93" t="str">
        <f t="shared" si="40"/>
        <v>enero</v>
      </c>
    </row>
    <row r="12" spans="1:112" s="21" customFormat="1" ht="18.75" hidden="1" customHeight="1">
      <c r="A12" s="93">
        <v>532</v>
      </c>
      <c r="B12" s="93" t="e">
        <f>VLOOKUP($A12,  'Matriz POA 2024-TRABAJO'!$A$5:$CY$9142,29,FALSE)</f>
        <v>#N/A</v>
      </c>
      <c r="C12" s="93" t="e">
        <f>VLOOKUP($A12, 'Matriz POA 2024-TRABAJO'!$A$5:$CY$9142,11,FALSE)</f>
        <v>#N/A</v>
      </c>
      <c r="D12" s="93" t="e">
        <f>VLOOKUP($A12, 'Matriz POA 2024-TRABAJO'!$A$5:$CY$9142,14,FALSE)</f>
        <v>#N/A</v>
      </c>
      <c r="E12" s="93" t="e">
        <f>VLOOKUP($A12, 'Matriz POA 2024-TRABAJO'!$A$5:$CY$9142,15,FALSE)</f>
        <v>#N/A</v>
      </c>
      <c r="F12" s="93" t="e">
        <f>VLOOKUP($A12, 'Matriz POA 2024-TRABAJO'!$A$5:$CY$9142,18,FALSE)</f>
        <v>#N/A</v>
      </c>
      <c r="G12" s="93" t="e">
        <f>VLOOKUP($A12, 'Matriz POA 2024-TRABAJO'!$A$5:$CY$9142,23,FALSE)</f>
        <v>#N/A</v>
      </c>
      <c r="H12" s="93" t="e">
        <f>VLOOKUP($A12, 'Matriz POA 2024-TRABAJO'!$A$5:$CY$9142,24,FALSE)</f>
        <v>#N/A</v>
      </c>
      <c r="I12" s="93" t="e">
        <f>VLOOKUP($A12, 'Matriz POA 2024-TRABAJO'!$A$5:$CY$9142,20,FALSE)</f>
        <v>#N/A</v>
      </c>
      <c r="J12" s="93" t="e">
        <f>VLOOKUP($A12, 'Matriz POA 2024-TRABAJO'!$A$5:$CY$9142,26,FALSE)</f>
        <v>#N/A</v>
      </c>
      <c r="K12" s="93" t="e">
        <f>VLOOKUP($A12, 'Matriz POA 2024-TRABAJO'!$A$5:$CY$9142,27,FALSE)</f>
        <v>#N/A</v>
      </c>
      <c r="L12" s="93" t="e">
        <f>VLOOKUP($A12, 'Matriz POA 2024-TRABAJO'!$A$5:$CY$9142,28,FALSE)</f>
        <v>#N/A</v>
      </c>
      <c r="M12" s="93" t="e">
        <f>VLOOKUP($A12, 'Matriz POA 2024-TRABAJO'!$A$5:$CY$9142,30,FALSE)</f>
        <v>#N/A</v>
      </c>
      <c r="N12" s="93" t="e">
        <f>VLOOKUP($A12, 'Matriz POA 2024-TRABAJO'!$A$5:$CY$9142,31,FALSE)</f>
        <v>#N/A</v>
      </c>
      <c r="O12" s="93" t="e">
        <f>VLOOKUP($A12, 'Matriz POA 2024-TRABAJO'!$A$5:$CY$9142,45,FALSE)</f>
        <v>#N/A</v>
      </c>
      <c r="P12" s="93" t="e">
        <f>VLOOKUP($A12, 'Matriz POA 2024-TRABAJO'!$A$5:$CY$9142,46,FALSE)</f>
        <v>#N/A</v>
      </c>
      <c r="Q12" s="93" t="e">
        <f>VLOOKUP($A12, 'Matriz POA 2024-TRABAJO'!$A$5:$CY$9142,47,FALSE)</f>
        <v>#N/A</v>
      </c>
      <c r="R12" s="94">
        <f t="shared" si="20"/>
        <v>6305.07</v>
      </c>
      <c r="S12" s="95" t="e">
        <f t="shared" si="21"/>
        <v>#N/A</v>
      </c>
      <c r="T12" s="93" t="e">
        <f>VLOOKUP($A12, 'Matriz POA 2024-TRABAJO'!$A$5:$CY$9142,72,FALSE)</f>
        <v>#N/A</v>
      </c>
      <c r="U12" s="93" t="e">
        <f>VLOOKUP($A12, 'Matriz POA 2024-TRABAJO'!$A$5:$CY$9142,29,FALSE)</f>
        <v>#N/A</v>
      </c>
      <c r="V12" s="94" t="str">
        <f t="shared" ref="V12:V37" si="41">AD12&amp;AL12&amp;AT12&amp;BB12&amp;BJ12&amp;BR12&amp;BZ12&amp;CH12&amp;CP12&amp;CX12</f>
        <v>1ar-lp1mg-70mg-</v>
      </c>
      <c r="W12" s="96" t="s">
        <v>1106</v>
      </c>
      <c r="X12" s="96">
        <v>45303</v>
      </c>
      <c r="Y12" s="97" t="s">
        <v>1107</v>
      </c>
      <c r="Z12" s="96">
        <v>45303</v>
      </c>
      <c r="AA12" s="98">
        <v>3600</v>
      </c>
      <c r="AB12" s="98"/>
      <c r="AC12" s="99">
        <f t="shared" si="22"/>
        <v>0</v>
      </c>
      <c r="AD12" s="100" t="s">
        <v>1108</v>
      </c>
      <c r="AE12" s="96" t="s">
        <v>1791</v>
      </c>
      <c r="AF12" s="96">
        <v>45422</v>
      </c>
      <c r="AG12" s="93" t="s">
        <v>1790</v>
      </c>
      <c r="AH12" s="96">
        <v>45422</v>
      </c>
      <c r="AI12" s="416">
        <v>-1498.31</v>
      </c>
      <c r="AJ12" s="98"/>
      <c r="AK12" s="99">
        <f t="shared" si="23"/>
        <v>0</v>
      </c>
      <c r="AL12" s="416" t="s">
        <v>1793</v>
      </c>
      <c r="AM12" s="96" t="s">
        <v>1791</v>
      </c>
      <c r="AN12" s="96">
        <v>45422</v>
      </c>
      <c r="AO12" s="93" t="s">
        <v>1790</v>
      </c>
      <c r="AP12" s="96">
        <v>45422</v>
      </c>
      <c r="AQ12" s="98">
        <v>4203.38</v>
      </c>
      <c r="AR12" s="98"/>
      <c r="AS12" s="99">
        <f t="shared" si="24"/>
        <v>0</v>
      </c>
      <c r="AT12" s="99" t="s">
        <v>1792</v>
      </c>
      <c r="AU12" s="96"/>
      <c r="AV12" s="96"/>
      <c r="AW12" s="93"/>
      <c r="AX12" s="96"/>
      <c r="AY12" s="98"/>
      <c r="AZ12" s="98"/>
      <c r="BA12" s="99">
        <f t="shared" si="25"/>
        <v>0</v>
      </c>
      <c r="BB12" s="99"/>
      <c r="BC12" s="96"/>
      <c r="BD12" s="96"/>
      <c r="BE12" s="93"/>
      <c r="BF12" s="96"/>
      <c r="BG12" s="102"/>
      <c r="BH12" s="102"/>
      <c r="BI12" s="93">
        <f t="shared" si="26"/>
        <v>0</v>
      </c>
      <c r="BJ12" s="93"/>
      <c r="BK12" s="93"/>
      <c r="BL12" s="103"/>
      <c r="BM12" s="93"/>
      <c r="BN12" s="103"/>
      <c r="BO12" s="94"/>
      <c r="BP12" s="94"/>
      <c r="BQ12" s="93">
        <f t="shared" si="27"/>
        <v>0</v>
      </c>
      <c r="BR12" s="93"/>
      <c r="BS12" s="93"/>
      <c r="BT12" s="103"/>
      <c r="BU12" s="93"/>
      <c r="BV12" s="103"/>
      <c r="BW12" s="94"/>
      <c r="BX12" s="94"/>
      <c r="BY12" s="93">
        <f t="shared" si="28"/>
        <v>0</v>
      </c>
      <c r="BZ12" s="93"/>
      <c r="CA12" s="104"/>
      <c r="CB12" s="105"/>
      <c r="CC12" s="106"/>
      <c r="CD12" s="107"/>
      <c r="CE12" s="94"/>
      <c r="CF12" s="94"/>
      <c r="CG12" s="93">
        <f t="shared" si="29"/>
        <v>0</v>
      </c>
      <c r="CH12" s="93"/>
      <c r="CI12" s="106"/>
      <c r="CJ12" s="105"/>
      <c r="CK12" s="93"/>
      <c r="CL12" s="105"/>
      <c r="CM12" s="108"/>
      <c r="CN12" s="108"/>
      <c r="CO12" s="93">
        <f t="shared" si="30"/>
        <v>0</v>
      </c>
      <c r="CP12" s="93"/>
      <c r="CQ12" s="93"/>
      <c r="CR12" s="93"/>
      <c r="CS12" s="93"/>
      <c r="CT12" s="93"/>
      <c r="CU12" s="93"/>
      <c r="CV12" s="93"/>
      <c r="CW12" s="93">
        <f t="shared" si="31"/>
        <v>0</v>
      </c>
      <c r="CX12" s="93"/>
      <c r="CY12" s="93" t="str">
        <f>TEXT(X12,"MMMM")</f>
        <v>enero</v>
      </c>
      <c r="CZ12" s="93" t="str">
        <f t="shared" si="32"/>
        <v>mayo</v>
      </c>
      <c r="DA12" s="93" t="str">
        <f t="shared" si="33"/>
        <v>mayo</v>
      </c>
      <c r="DB12" s="93" t="str">
        <f t="shared" si="34"/>
        <v>enero</v>
      </c>
      <c r="DC12" s="93" t="str">
        <f t="shared" si="35"/>
        <v>enero</v>
      </c>
      <c r="DD12" s="93" t="str">
        <f t="shared" si="36"/>
        <v>enero</v>
      </c>
      <c r="DE12" s="93" t="str">
        <f t="shared" si="37"/>
        <v>enero</v>
      </c>
      <c r="DF12" s="93" t="str">
        <f t="shared" si="38"/>
        <v>enero</v>
      </c>
      <c r="DG12" s="93" t="str">
        <f t="shared" si="39"/>
        <v>enero</v>
      </c>
      <c r="DH12" s="93" t="str">
        <f t="shared" si="40"/>
        <v>enero</v>
      </c>
    </row>
    <row r="13" spans="1:112" s="21" customFormat="1" ht="18.75" hidden="1" customHeight="1">
      <c r="A13" s="93">
        <v>533</v>
      </c>
      <c r="B13" s="93" t="e">
        <f>VLOOKUP($A13,  'Matriz POA 2024-TRABAJO'!$A$5:$CY$9142,29,FALSE)</f>
        <v>#N/A</v>
      </c>
      <c r="C13" s="93" t="e">
        <f>VLOOKUP($A13, 'Matriz POA 2024-TRABAJO'!$A$5:$CY$9142,11,FALSE)</f>
        <v>#N/A</v>
      </c>
      <c r="D13" s="93" t="e">
        <f>VLOOKUP($A13, 'Matriz POA 2024-TRABAJO'!$A$5:$CY$9142,14,FALSE)</f>
        <v>#N/A</v>
      </c>
      <c r="E13" s="93" t="e">
        <f>VLOOKUP($A13, 'Matriz POA 2024-TRABAJO'!$A$5:$CY$9142,15,FALSE)</f>
        <v>#N/A</v>
      </c>
      <c r="F13" s="93" t="e">
        <f>VLOOKUP($A13, 'Matriz POA 2024-TRABAJO'!$A$5:$CY$9142,18,FALSE)</f>
        <v>#N/A</v>
      </c>
      <c r="G13" s="93" t="e">
        <f>VLOOKUP($A13, 'Matriz POA 2024-TRABAJO'!$A$5:$CY$9142,23,FALSE)</f>
        <v>#N/A</v>
      </c>
      <c r="H13" s="93" t="e">
        <f>VLOOKUP($A13, 'Matriz POA 2024-TRABAJO'!$A$5:$CY$9142,24,FALSE)</f>
        <v>#N/A</v>
      </c>
      <c r="I13" s="93" t="e">
        <f>VLOOKUP($A13, 'Matriz POA 2024-TRABAJO'!$A$5:$CY$9142,20,FALSE)</f>
        <v>#N/A</v>
      </c>
      <c r="J13" s="93" t="e">
        <f>VLOOKUP($A13, 'Matriz POA 2024-TRABAJO'!$A$5:$CY$9142,26,FALSE)</f>
        <v>#N/A</v>
      </c>
      <c r="K13" s="93" t="e">
        <f>VLOOKUP($A13, 'Matriz POA 2024-TRABAJO'!$A$5:$CY$9142,27,FALSE)</f>
        <v>#N/A</v>
      </c>
      <c r="L13" s="93" t="e">
        <f>VLOOKUP($A13, 'Matriz POA 2024-TRABAJO'!$A$5:$CY$9142,28,FALSE)</f>
        <v>#N/A</v>
      </c>
      <c r="M13" s="93" t="e">
        <f>VLOOKUP($A13, 'Matriz POA 2024-TRABAJO'!$A$5:$CY$9142,30,FALSE)</f>
        <v>#N/A</v>
      </c>
      <c r="N13" s="93" t="e">
        <f>VLOOKUP($A13, 'Matriz POA 2024-TRABAJO'!$A$5:$CY$9142,31,FALSE)</f>
        <v>#N/A</v>
      </c>
      <c r="O13" s="93" t="e">
        <f>VLOOKUP($A13, 'Matriz POA 2024-TRABAJO'!$A$5:$CY$9142,45,FALSE)</f>
        <v>#N/A</v>
      </c>
      <c r="P13" s="93" t="e">
        <f>VLOOKUP($A13, 'Matriz POA 2024-TRABAJO'!$A$5:$CY$9142,46,FALSE)</f>
        <v>#N/A</v>
      </c>
      <c r="Q13" s="93" t="e">
        <f>VLOOKUP($A13, 'Matriz POA 2024-TRABAJO'!$A$5:$CY$9142,47,FALSE)</f>
        <v>#N/A</v>
      </c>
      <c r="R13" s="94">
        <f t="shared" si="20"/>
        <v>95145.81</v>
      </c>
      <c r="S13" s="95" t="e">
        <f t="shared" si="21"/>
        <v>#N/A</v>
      </c>
      <c r="T13" s="93" t="e">
        <f>VLOOKUP($A13, 'Matriz POA 2024-TRABAJO'!$A$5:$CY$9142,72,FALSE)</f>
        <v>#N/A</v>
      </c>
      <c r="U13" s="93" t="e">
        <f>VLOOKUP($A13, 'Matriz POA 2024-TRABAJO'!$A$5:$CY$9142,29,FALSE)</f>
        <v>#N/A</v>
      </c>
      <c r="V13" s="94" t="str">
        <f t="shared" si="41"/>
        <v>1ar-lp1mg-70mg-</v>
      </c>
      <c r="W13" s="96" t="s">
        <v>1106</v>
      </c>
      <c r="X13" s="96">
        <v>45303</v>
      </c>
      <c r="Y13" s="97" t="s">
        <v>1107</v>
      </c>
      <c r="Z13" s="96">
        <v>45303</v>
      </c>
      <c r="AA13" s="98">
        <v>72000</v>
      </c>
      <c r="AB13" s="98"/>
      <c r="AC13" s="99">
        <f t="shared" si="22"/>
        <v>0</v>
      </c>
      <c r="AD13" s="100" t="s">
        <v>1108</v>
      </c>
      <c r="AE13" s="96" t="s">
        <v>1791</v>
      </c>
      <c r="AF13" s="96">
        <v>45422</v>
      </c>
      <c r="AG13" s="93" t="s">
        <v>1790</v>
      </c>
      <c r="AH13" s="96">
        <v>45422</v>
      </c>
      <c r="AI13" s="416">
        <v>-21575.26</v>
      </c>
      <c r="AJ13" s="98"/>
      <c r="AK13" s="99">
        <f t="shared" si="23"/>
        <v>0</v>
      </c>
      <c r="AL13" s="416" t="s">
        <v>1793</v>
      </c>
      <c r="AM13" s="96" t="s">
        <v>1791</v>
      </c>
      <c r="AN13" s="96">
        <v>45422</v>
      </c>
      <c r="AO13" s="93" t="s">
        <v>1790</v>
      </c>
      <c r="AP13" s="96">
        <v>45422</v>
      </c>
      <c r="AQ13" s="98">
        <v>44721.07</v>
      </c>
      <c r="AR13" s="98"/>
      <c r="AS13" s="99">
        <f t="shared" si="24"/>
        <v>0</v>
      </c>
      <c r="AT13" s="99" t="s">
        <v>1792</v>
      </c>
      <c r="AU13" s="96"/>
      <c r="AV13" s="96"/>
      <c r="AW13" s="93"/>
      <c r="AX13" s="96"/>
      <c r="AY13" s="98"/>
      <c r="AZ13" s="98"/>
      <c r="BA13" s="99">
        <f t="shared" si="25"/>
        <v>0</v>
      </c>
      <c r="BB13" s="99"/>
      <c r="BC13" s="96"/>
      <c r="BD13" s="96"/>
      <c r="BE13" s="93"/>
      <c r="BF13" s="96"/>
      <c r="BG13" s="102"/>
      <c r="BH13" s="102"/>
      <c r="BI13" s="93">
        <f t="shared" si="26"/>
        <v>0</v>
      </c>
      <c r="BJ13" s="93"/>
      <c r="BK13" s="93"/>
      <c r="BL13" s="103"/>
      <c r="BM13" s="93"/>
      <c r="BN13" s="103"/>
      <c r="BO13" s="94"/>
      <c r="BP13" s="94"/>
      <c r="BQ13" s="93">
        <f t="shared" si="27"/>
        <v>0</v>
      </c>
      <c r="BR13" s="93"/>
      <c r="BS13" s="93"/>
      <c r="BT13" s="103"/>
      <c r="BU13" s="93"/>
      <c r="BV13" s="103"/>
      <c r="BW13" s="94"/>
      <c r="BX13" s="94"/>
      <c r="BY13" s="93">
        <f t="shared" si="28"/>
        <v>0</v>
      </c>
      <c r="BZ13" s="93"/>
      <c r="CA13" s="104"/>
      <c r="CB13" s="105"/>
      <c r="CC13" s="106"/>
      <c r="CD13" s="107"/>
      <c r="CE13" s="94"/>
      <c r="CF13" s="94"/>
      <c r="CG13" s="93">
        <f t="shared" si="29"/>
        <v>0</v>
      </c>
      <c r="CH13" s="93"/>
      <c r="CI13" s="106"/>
      <c r="CJ13" s="105"/>
      <c r="CK13" s="93"/>
      <c r="CL13" s="105"/>
      <c r="CM13" s="108"/>
      <c r="CN13" s="108"/>
      <c r="CO13" s="93">
        <f t="shared" si="30"/>
        <v>0</v>
      </c>
      <c r="CP13" s="93"/>
      <c r="CQ13" s="93"/>
      <c r="CR13" s="93"/>
      <c r="CS13" s="93"/>
      <c r="CT13" s="93"/>
      <c r="CU13" s="93"/>
      <c r="CV13" s="93"/>
      <c r="CW13" s="93">
        <f t="shared" si="31"/>
        <v>0</v>
      </c>
      <c r="CX13" s="93"/>
      <c r="CY13" s="93" t="str">
        <f>TEXT(X13,"MMMM")</f>
        <v>enero</v>
      </c>
      <c r="CZ13" s="93" t="str">
        <f t="shared" si="32"/>
        <v>mayo</v>
      </c>
      <c r="DA13" s="93" t="str">
        <f t="shared" si="33"/>
        <v>mayo</v>
      </c>
      <c r="DB13" s="93" t="str">
        <f t="shared" si="34"/>
        <v>enero</v>
      </c>
      <c r="DC13" s="93" t="str">
        <f t="shared" si="35"/>
        <v>enero</v>
      </c>
      <c r="DD13" s="93" t="str">
        <f t="shared" si="36"/>
        <v>enero</v>
      </c>
      <c r="DE13" s="93" t="str">
        <f t="shared" si="37"/>
        <v>enero</v>
      </c>
      <c r="DF13" s="93" t="str">
        <f t="shared" si="38"/>
        <v>enero</v>
      </c>
      <c r="DG13" s="93" t="str">
        <f t="shared" si="39"/>
        <v>enero</v>
      </c>
      <c r="DH13" s="93" t="str">
        <f t="shared" si="40"/>
        <v>enero</v>
      </c>
    </row>
    <row r="14" spans="1:112" ht="15" hidden="1" customHeight="1">
      <c r="A14" s="93">
        <v>534</v>
      </c>
      <c r="B14" s="93" t="e">
        <f>VLOOKUP($A14,  'Matriz POA 2024-TRABAJO'!$A$5:$CY$9142,29,FALSE)</f>
        <v>#N/A</v>
      </c>
      <c r="C14" s="93" t="e">
        <f>VLOOKUP($A14, 'Matriz POA 2024-TRABAJO'!$A$5:$CY$9142,11,FALSE)</f>
        <v>#N/A</v>
      </c>
      <c r="D14" s="93" t="e">
        <f>VLOOKUP($A14, 'Matriz POA 2024-TRABAJO'!$A$5:$CY$9142,14,FALSE)</f>
        <v>#N/A</v>
      </c>
      <c r="E14" s="93" t="e">
        <f>VLOOKUP($A14, 'Matriz POA 2024-TRABAJO'!$A$5:$CY$9142,15,FALSE)</f>
        <v>#N/A</v>
      </c>
      <c r="F14" s="93" t="e">
        <f>VLOOKUP($A14, 'Matriz POA 2024-TRABAJO'!$A$5:$CY$9142,18,FALSE)</f>
        <v>#N/A</v>
      </c>
      <c r="G14" s="93" t="e">
        <f>VLOOKUP($A14, 'Matriz POA 2024-TRABAJO'!$A$5:$CY$9142,23,FALSE)</f>
        <v>#N/A</v>
      </c>
      <c r="H14" s="93" t="e">
        <f>VLOOKUP($A14, 'Matriz POA 2024-TRABAJO'!$A$5:$CY$9142,24,FALSE)</f>
        <v>#N/A</v>
      </c>
      <c r="I14" s="93" t="e">
        <f>VLOOKUP($A14, 'Matriz POA 2024-TRABAJO'!$A$5:$CY$9142,20,FALSE)</f>
        <v>#N/A</v>
      </c>
      <c r="J14" s="93" t="e">
        <f>VLOOKUP($A14, 'Matriz POA 2024-TRABAJO'!$A$5:$CY$9142,26,FALSE)</f>
        <v>#N/A</v>
      </c>
      <c r="K14" s="93" t="e">
        <f>VLOOKUP($A14, 'Matriz POA 2024-TRABAJO'!$A$5:$CY$9142,27,FALSE)</f>
        <v>#N/A</v>
      </c>
      <c r="L14" s="93" t="e">
        <f>VLOOKUP($A14, 'Matriz POA 2024-TRABAJO'!$A$5:$CY$9142,28,FALSE)</f>
        <v>#N/A</v>
      </c>
      <c r="M14" s="93" t="e">
        <f>VLOOKUP($A14, 'Matriz POA 2024-TRABAJO'!$A$5:$CY$9142,30,FALSE)</f>
        <v>#N/A</v>
      </c>
      <c r="N14" s="93" t="e">
        <f>VLOOKUP($A14, 'Matriz POA 2024-TRABAJO'!$A$5:$CY$9142,31,FALSE)</f>
        <v>#N/A</v>
      </c>
      <c r="O14" s="93" t="e">
        <f>VLOOKUP($A14, 'Matriz POA 2024-TRABAJO'!$A$5:$CY$9142,45,FALSE)</f>
        <v>#N/A</v>
      </c>
      <c r="P14" s="93" t="e">
        <f>VLOOKUP($A14, 'Matriz POA 2024-TRABAJO'!$A$5:$CY$9142,46,FALSE)</f>
        <v>#N/A</v>
      </c>
      <c r="Q14" s="93" t="e">
        <f>VLOOKUP($A14, 'Matriz POA 2024-TRABAJO'!$A$5:$CY$9142,47,FALSE)</f>
        <v>#N/A</v>
      </c>
      <c r="R14" s="94">
        <f t="shared" si="20"/>
        <v>102034.22</v>
      </c>
      <c r="S14" s="95" t="e">
        <f t="shared" si="21"/>
        <v>#N/A</v>
      </c>
      <c r="T14" s="93" t="e">
        <f>VLOOKUP($A14, 'Matriz POA 2024-TRABAJO'!$A$5:$CY$9142,72,FALSE)</f>
        <v>#N/A</v>
      </c>
      <c r="U14" s="93" t="e">
        <f>VLOOKUP($A14, 'Matriz POA 2024-TRABAJO'!$A$5:$CY$9142,29,FALSE)</f>
        <v>#N/A</v>
      </c>
      <c r="V14" s="94" t="str">
        <f t="shared" si="41"/>
        <v>1ar-lp-14ar-lp14MG-70mg-</v>
      </c>
      <c r="W14" s="96" t="s">
        <v>1106</v>
      </c>
      <c r="X14" s="96">
        <v>45303</v>
      </c>
      <c r="Y14" s="97" t="s">
        <v>1107</v>
      </c>
      <c r="Z14" s="96">
        <v>45303</v>
      </c>
      <c r="AA14" s="98">
        <v>18000</v>
      </c>
      <c r="AB14" s="98"/>
      <c r="AC14" s="99">
        <f t="shared" si="22"/>
        <v>0</v>
      </c>
      <c r="AD14" s="100" t="s">
        <v>1108</v>
      </c>
      <c r="AE14" s="97" t="s">
        <v>965</v>
      </c>
      <c r="AF14" s="101">
        <v>45310</v>
      </c>
      <c r="AG14" s="97" t="s">
        <v>966</v>
      </c>
      <c r="AH14" s="101">
        <v>45316</v>
      </c>
      <c r="AI14" s="98">
        <v>-319.16000000000003</v>
      </c>
      <c r="AJ14" s="98"/>
      <c r="AK14" s="99">
        <f t="shared" si="23"/>
        <v>6</v>
      </c>
      <c r="AL14" s="99" t="s">
        <v>1109</v>
      </c>
      <c r="AM14" s="98" t="s">
        <v>1115</v>
      </c>
      <c r="AN14" s="96">
        <v>45320</v>
      </c>
      <c r="AO14" s="97" t="s">
        <v>1116</v>
      </c>
      <c r="AP14" s="101">
        <v>45323</v>
      </c>
      <c r="AQ14" s="98">
        <v>53042.520000000004</v>
      </c>
      <c r="AR14" s="98"/>
      <c r="AS14" s="99">
        <f t="shared" si="24"/>
        <v>3</v>
      </c>
      <c r="AT14" s="99" t="s">
        <v>1117</v>
      </c>
      <c r="AU14" s="96" t="s">
        <v>1791</v>
      </c>
      <c r="AV14" s="96">
        <v>45422</v>
      </c>
      <c r="AW14" s="93" t="s">
        <v>1790</v>
      </c>
      <c r="AX14" s="96">
        <v>45422</v>
      </c>
      <c r="AY14" s="98">
        <v>-586.77</v>
      </c>
      <c r="AZ14" s="98"/>
      <c r="BA14" s="99">
        <f t="shared" si="25"/>
        <v>0</v>
      </c>
      <c r="BB14" s="99" t="s">
        <v>1794</v>
      </c>
      <c r="BC14" s="96" t="s">
        <v>1791</v>
      </c>
      <c r="BD14" s="96">
        <v>45422</v>
      </c>
      <c r="BE14" s="93" t="s">
        <v>1790</v>
      </c>
      <c r="BF14" s="96">
        <v>45422</v>
      </c>
      <c r="BG14" s="102">
        <v>31897.63</v>
      </c>
      <c r="BH14" s="102"/>
      <c r="BI14" s="93">
        <f t="shared" si="26"/>
        <v>0</v>
      </c>
      <c r="BJ14" s="93" t="s">
        <v>1792</v>
      </c>
      <c r="BK14" s="93"/>
      <c r="BL14" s="103"/>
      <c r="BM14" s="93"/>
      <c r="BN14" s="103"/>
      <c r="BO14" s="94"/>
      <c r="BP14" s="94"/>
      <c r="BQ14" s="93">
        <f t="shared" si="27"/>
        <v>0</v>
      </c>
      <c r="BR14" s="93"/>
      <c r="BS14" s="93"/>
      <c r="BT14" s="103"/>
      <c r="BU14" s="93"/>
      <c r="BV14" s="103"/>
      <c r="BW14" s="94"/>
      <c r="BX14" s="94"/>
      <c r="BY14" s="93">
        <f t="shared" si="28"/>
        <v>0</v>
      </c>
      <c r="BZ14" s="93"/>
      <c r="CA14" s="104"/>
      <c r="CB14" s="105"/>
      <c r="CC14" s="106"/>
      <c r="CD14" s="107"/>
      <c r="CE14" s="94"/>
      <c r="CF14" s="94"/>
      <c r="CG14" s="93">
        <f t="shared" si="29"/>
        <v>0</v>
      </c>
      <c r="CH14" s="93"/>
      <c r="CI14" s="106"/>
      <c r="CJ14" s="105"/>
      <c r="CK14" s="93"/>
      <c r="CL14" s="105"/>
      <c r="CM14" s="108"/>
      <c r="CN14" s="108"/>
      <c r="CO14" s="93">
        <f t="shared" si="30"/>
        <v>0</v>
      </c>
      <c r="CP14" s="93"/>
      <c r="CQ14" s="93"/>
      <c r="CR14" s="93"/>
      <c r="CS14" s="93"/>
      <c r="CT14" s="93"/>
      <c r="CU14" s="93"/>
      <c r="CV14" s="93"/>
      <c r="CW14" s="93">
        <f t="shared" si="31"/>
        <v>0</v>
      </c>
      <c r="CX14" s="93"/>
      <c r="CY14" s="93" t="str">
        <f>TEXT(X14,"MMMM")</f>
        <v>enero</v>
      </c>
      <c r="CZ14" s="93" t="str">
        <f t="shared" si="32"/>
        <v>enero</v>
      </c>
      <c r="DA14" s="93" t="str">
        <f t="shared" si="33"/>
        <v>enero</v>
      </c>
      <c r="DB14" s="93" t="str">
        <f t="shared" si="34"/>
        <v>mayo</v>
      </c>
      <c r="DC14" s="93" t="str">
        <f t="shared" si="35"/>
        <v>mayo</v>
      </c>
      <c r="DD14" s="93" t="str">
        <f t="shared" si="36"/>
        <v>enero</v>
      </c>
      <c r="DE14" s="93" t="str">
        <f t="shared" si="37"/>
        <v>enero</v>
      </c>
      <c r="DF14" s="93" t="str">
        <f t="shared" si="38"/>
        <v>enero</v>
      </c>
      <c r="DG14" s="93" t="str">
        <f t="shared" si="39"/>
        <v>enero</v>
      </c>
      <c r="DH14" s="93" t="str">
        <f t="shared" si="40"/>
        <v>enero</v>
      </c>
    </row>
    <row r="15" spans="1:112" s="21" customFormat="1" ht="26.45" hidden="1" customHeight="1">
      <c r="A15" s="93">
        <v>535</v>
      </c>
      <c r="B15" s="93" t="e">
        <f>VLOOKUP($A15,  'Matriz POA 2024-TRABAJO'!$A$5:$CY$9142,29,FALSE)</f>
        <v>#N/A</v>
      </c>
      <c r="C15" s="93" t="e">
        <f>VLOOKUP($A15, 'Matriz POA 2024-TRABAJO'!$A$5:$CY$9142,11,FALSE)</f>
        <v>#N/A</v>
      </c>
      <c r="D15" s="93" t="e">
        <f>VLOOKUP($A15, 'Matriz POA 2024-TRABAJO'!$A$5:$CY$9142,14,FALSE)</f>
        <v>#N/A</v>
      </c>
      <c r="E15" s="93" t="e">
        <f>VLOOKUP($A15, 'Matriz POA 2024-TRABAJO'!$A$5:$CY$9142,15,FALSE)</f>
        <v>#N/A</v>
      </c>
      <c r="F15" s="93" t="e">
        <f>VLOOKUP($A15, 'Matriz POA 2024-TRABAJO'!$A$5:$CY$9142,18,FALSE)</f>
        <v>#N/A</v>
      </c>
      <c r="G15" s="93" t="e">
        <f>VLOOKUP($A15, 'Matriz POA 2024-TRABAJO'!$A$5:$CY$9142,23,FALSE)</f>
        <v>#N/A</v>
      </c>
      <c r="H15" s="93" t="e">
        <f>VLOOKUP($A15, 'Matriz POA 2024-TRABAJO'!$A$5:$CY$9142,24,FALSE)</f>
        <v>#N/A</v>
      </c>
      <c r="I15" s="93" t="e">
        <f>VLOOKUP($A15, 'Matriz POA 2024-TRABAJO'!$A$5:$CY$9142,20,FALSE)</f>
        <v>#N/A</v>
      </c>
      <c r="J15" s="93" t="e">
        <f>VLOOKUP($A15, 'Matriz POA 2024-TRABAJO'!$A$5:$CY$9142,26,FALSE)</f>
        <v>#N/A</v>
      </c>
      <c r="K15" s="93" t="e">
        <f>VLOOKUP($A15, 'Matriz POA 2024-TRABAJO'!$A$5:$CY$9142,27,FALSE)</f>
        <v>#N/A</v>
      </c>
      <c r="L15" s="93" t="e">
        <f>VLOOKUP($A15, 'Matriz POA 2024-TRABAJO'!$A$5:$CY$9142,28,FALSE)</f>
        <v>#N/A</v>
      </c>
      <c r="M15" s="93" t="e">
        <f>VLOOKUP($A15, 'Matriz POA 2024-TRABAJO'!$A$5:$CY$9142,30,FALSE)</f>
        <v>#N/A</v>
      </c>
      <c r="N15" s="93" t="e">
        <f>VLOOKUP($A15, 'Matriz POA 2024-TRABAJO'!$A$5:$CY$9142,31,FALSE)</f>
        <v>#N/A</v>
      </c>
      <c r="O15" s="93" t="e">
        <f>VLOOKUP($A15, 'Matriz POA 2024-TRABAJO'!$A$5:$CY$9142,45,FALSE)</f>
        <v>#N/A</v>
      </c>
      <c r="P15" s="93" t="e">
        <f>VLOOKUP($A15, 'Matriz POA 2024-TRABAJO'!$A$5:$CY$9142,46,FALSE)</f>
        <v>#N/A</v>
      </c>
      <c r="Q15" s="93" t="e">
        <f>VLOOKUP($A15, 'Matriz POA 2024-TRABAJO'!$A$5:$CY$9142,47,FALSE)</f>
        <v>#N/A</v>
      </c>
      <c r="R15" s="94">
        <f t="shared" si="20"/>
        <v>35000</v>
      </c>
      <c r="S15" s="95" t="e">
        <f t="shared" si="21"/>
        <v>#N/A</v>
      </c>
      <c r="T15" s="93" t="e">
        <f>VLOOKUP($A15, 'Matriz POA 2024-TRABAJO'!$A$5:$CY$9142,72,FALSE)</f>
        <v>#N/A</v>
      </c>
      <c r="U15" s="93" t="e">
        <f>VLOOKUP($A15, 'Matriz POA 2024-TRABAJO'!$A$5:$CY$9142,29,FALSE)</f>
        <v>#N/A</v>
      </c>
      <c r="V15" s="94" t="str">
        <f t="shared" si="41"/>
        <v>1ar-</v>
      </c>
      <c r="W15" s="96" t="s">
        <v>1106</v>
      </c>
      <c r="X15" s="96">
        <v>45303</v>
      </c>
      <c r="Y15" s="97" t="s">
        <v>1107</v>
      </c>
      <c r="Z15" s="96">
        <v>45303</v>
      </c>
      <c r="AA15" s="98">
        <v>35000</v>
      </c>
      <c r="AB15" s="98"/>
      <c r="AC15" s="99">
        <f t="shared" si="22"/>
        <v>0</v>
      </c>
      <c r="AD15" s="100" t="s">
        <v>1108</v>
      </c>
      <c r="AE15" s="97"/>
      <c r="AF15" s="101"/>
      <c r="AG15" s="97"/>
      <c r="AH15" s="101"/>
      <c r="AI15" s="98"/>
      <c r="AJ15" s="98">
        <f>AI15*-1</f>
        <v>0</v>
      </c>
      <c r="AK15" s="99">
        <f t="shared" si="23"/>
        <v>0</v>
      </c>
      <c r="AL15" s="99"/>
      <c r="AM15" s="98"/>
      <c r="AN15" s="96"/>
      <c r="AO15" s="97"/>
      <c r="AP15" s="101"/>
      <c r="AQ15" s="98"/>
      <c r="AR15" s="98"/>
      <c r="AS15" s="99">
        <f t="shared" si="24"/>
        <v>0</v>
      </c>
      <c r="AT15" s="99"/>
      <c r="AU15" s="96"/>
      <c r="AV15" s="96"/>
      <c r="AW15" s="93"/>
      <c r="AX15" s="96"/>
      <c r="AY15" s="98"/>
      <c r="AZ15" s="98"/>
      <c r="BA15" s="99">
        <f t="shared" si="25"/>
        <v>0</v>
      </c>
      <c r="BB15" s="99"/>
      <c r="BC15" s="96"/>
      <c r="BD15" s="96"/>
      <c r="BE15" s="93"/>
      <c r="BF15" s="96"/>
      <c r="BG15" s="102"/>
      <c r="BH15" s="102"/>
      <c r="BI15" s="93">
        <f t="shared" si="26"/>
        <v>0</v>
      </c>
      <c r="BJ15" s="93"/>
      <c r="BK15" s="93"/>
      <c r="BL15" s="103"/>
      <c r="BM15" s="93"/>
      <c r="BN15" s="103"/>
      <c r="BO15" s="94"/>
      <c r="BP15" s="94"/>
      <c r="BQ15" s="93">
        <f t="shared" si="27"/>
        <v>0</v>
      </c>
      <c r="BR15" s="93"/>
      <c r="BS15" s="93"/>
      <c r="BT15" s="103"/>
      <c r="BU15" s="93"/>
      <c r="BV15" s="103"/>
      <c r="BW15" s="94"/>
      <c r="BX15" s="94"/>
      <c r="BY15" s="93">
        <f t="shared" si="28"/>
        <v>0</v>
      </c>
      <c r="BZ15" s="93"/>
      <c r="CA15" s="104"/>
      <c r="CB15" s="105"/>
      <c r="CC15" s="106"/>
      <c r="CD15" s="107"/>
      <c r="CE15" s="94"/>
      <c r="CF15" s="94"/>
      <c r="CG15" s="93">
        <f t="shared" si="29"/>
        <v>0</v>
      </c>
      <c r="CH15" s="93"/>
      <c r="CI15" s="106"/>
      <c r="CJ15" s="105"/>
      <c r="CK15" s="93"/>
      <c r="CL15" s="105"/>
      <c r="CM15" s="108"/>
      <c r="CN15" s="108"/>
      <c r="CO15" s="93">
        <f t="shared" si="30"/>
        <v>0</v>
      </c>
      <c r="CP15" s="93"/>
      <c r="CQ15" s="93"/>
      <c r="CR15" s="93"/>
      <c r="CS15" s="93"/>
      <c r="CT15" s="93"/>
      <c r="CU15" s="93"/>
      <c r="CV15" s="93"/>
      <c r="CW15" s="93">
        <f t="shared" si="31"/>
        <v>0</v>
      </c>
      <c r="CX15" s="93"/>
      <c r="CY15" s="93" t="str">
        <f>TEXT(Z15,"MMMM")</f>
        <v>enero</v>
      </c>
      <c r="CZ15" s="93" t="str">
        <f t="shared" si="32"/>
        <v>enero</v>
      </c>
      <c r="DA15" s="93" t="str">
        <f t="shared" si="33"/>
        <v>enero</v>
      </c>
      <c r="DB15" s="93" t="str">
        <f t="shared" si="34"/>
        <v>enero</v>
      </c>
      <c r="DC15" s="93" t="str">
        <f t="shared" si="35"/>
        <v>enero</v>
      </c>
      <c r="DD15" s="93" t="str">
        <f t="shared" si="36"/>
        <v>enero</v>
      </c>
      <c r="DE15" s="93" t="str">
        <f t="shared" si="37"/>
        <v>enero</v>
      </c>
      <c r="DF15" s="93" t="str">
        <f t="shared" si="38"/>
        <v>enero</v>
      </c>
      <c r="DG15" s="93" t="str">
        <f t="shared" si="39"/>
        <v>enero</v>
      </c>
      <c r="DH15" s="93" t="str">
        <f t="shared" si="40"/>
        <v>enero</v>
      </c>
    </row>
    <row r="16" spans="1:112" s="21" customFormat="1" ht="18.75" hidden="1" customHeight="1">
      <c r="A16" s="93">
        <v>536</v>
      </c>
      <c r="B16" s="93" t="e">
        <f>VLOOKUP($A16,  'Matriz POA 2024-TRABAJO'!$A$5:$CY$9142,29,FALSE)</f>
        <v>#N/A</v>
      </c>
      <c r="C16" s="93" t="e">
        <f>VLOOKUP($A16, 'Matriz POA 2024-TRABAJO'!$A$5:$CY$9142,11,FALSE)</f>
        <v>#N/A</v>
      </c>
      <c r="D16" s="93" t="e">
        <f>VLOOKUP($A16, 'Matriz POA 2024-TRABAJO'!$A$5:$CY$9142,14,FALSE)</f>
        <v>#N/A</v>
      </c>
      <c r="E16" s="93" t="e">
        <f>VLOOKUP($A16, 'Matriz POA 2024-TRABAJO'!$A$5:$CY$9142,15,FALSE)</f>
        <v>#N/A</v>
      </c>
      <c r="F16" s="93" t="e">
        <f>VLOOKUP($A16, 'Matriz POA 2024-TRABAJO'!$A$5:$CY$9142,18,FALSE)</f>
        <v>#N/A</v>
      </c>
      <c r="G16" s="93" t="e">
        <f>VLOOKUP($A16, 'Matriz POA 2024-TRABAJO'!$A$5:$CY$9142,23,FALSE)</f>
        <v>#N/A</v>
      </c>
      <c r="H16" s="93" t="e">
        <f>VLOOKUP($A16, 'Matriz POA 2024-TRABAJO'!$A$5:$CY$9142,24,FALSE)</f>
        <v>#N/A</v>
      </c>
      <c r="I16" s="93" t="e">
        <f>VLOOKUP($A16, 'Matriz POA 2024-TRABAJO'!$A$5:$CY$9142,20,FALSE)</f>
        <v>#N/A</v>
      </c>
      <c r="J16" s="93" t="e">
        <f>VLOOKUP($A16, 'Matriz POA 2024-TRABAJO'!$A$5:$CY$9142,26,FALSE)</f>
        <v>#N/A</v>
      </c>
      <c r="K16" s="93" t="e">
        <f>VLOOKUP($A16, 'Matriz POA 2024-TRABAJO'!$A$5:$CY$9142,27,FALSE)</f>
        <v>#N/A</v>
      </c>
      <c r="L16" s="93" t="e">
        <f>VLOOKUP($A16, 'Matriz POA 2024-TRABAJO'!$A$5:$CY$9142,28,FALSE)</f>
        <v>#N/A</v>
      </c>
      <c r="M16" s="93" t="e">
        <f>VLOOKUP($A16, 'Matriz POA 2024-TRABAJO'!$A$5:$CY$9142,30,FALSE)</f>
        <v>#N/A</v>
      </c>
      <c r="N16" s="93" t="e">
        <f>VLOOKUP($A16, 'Matriz POA 2024-TRABAJO'!$A$5:$CY$9142,31,FALSE)</f>
        <v>#N/A</v>
      </c>
      <c r="O16" s="93" t="e">
        <f>VLOOKUP($A16, 'Matriz POA 2024-TRABAJO'!$A$5:$CY$9142,45,FALSE)</f>
        <v>#N/A</v>
      </c>
      <c r="P16" s="93" t="e">
        <f>VLOOKUP($A16, 'Matriz POA 2024-TRABAJO'!$A$5:$CY$9142,46,FALSE)</f>
        <v>#N/A</v>
      </c>
      <c r="Q16" s="93" t="e">
        <f>VLOOKUP($A16, 'Matriz POA 2024-TRABAJO'!$A$5:$CY$9142,47,FALSE)</f>
        <v>#N/A</v>
      </c>
      <c r="R16" s="94">
        <f t="shared" si="20"/>
        <v>100</v>
      </c>
      <c r="S16" s="95" t="e">
        <f t="shared" si="21"/>
        <v>#N/A</v>
      </c>
      <c r="T16" s="93" t="e">
        <f>VLOOKUP($A16, 'Matriz POA 2024-TRABAJO'!$A$5:$CY$9142,72,FALSE)</f>
        <v>#N/A</v>
      </c>
      <c r="U16" s="93" t="e">
        <f>VLOOKUP($A16, 'Matriz POA 2024-TRABAJO'!$A$5:$CY$9142,29,FALSE)</f>
        <v>#N/A</v>
      </c>
      <c r="V16" s="94" t="str">
        <f t="shared" si="41"/>
        <v>1ar-</v>
      </c>
      <c r="W16" s="96" t="s">
        <v>1106</v>
      </c>
      <c r="X16" s="96">
        <v>45303</v>
      </c>
      <c r="Y16" s="97" t="s">
        <v>1107</v>
      </c>
      <c r="Z16" s="96">
        <v>45303</v>
      </c>
      <c r="AA16" s="98">
        <v>100</v>
      </c>
      <c r="AB16" s="98"/>
      <c r="AC16" s="99">
        <f t="shared" si="22"/>
        <v>0</v>
      </c>
      <c r="AD16" s="100" t="s">
        <v>1108</v>
      </c>
      <c r="AE16" s="97"/>
      <c r="AF16" s="101"/>
      <c r="AG16" s="97"/>
      <c r="AH16" s="101"/>
      <c r="AI16" s="98"/>
      <c r="AJ16" s="98"/>
      <c r="AK16" s="99">
        <f t="shared" si="23"/>
        <v>0</v>
      </c>
      <c r="AL16" s="99"/>
      <c r="AM16" s="98"/>
      <c r="AN16" s="96"/>
      <c r="AO16" s="97"/>
      <c r="AP16" s="101"/>
      <c r="AQ16" s="98"/>
      <c r="AR16" s="98"/>
      <c r="AS16" s="99">
        <f t="shared" si="24"/>
        <v>0</v>
      </c>
      <c r="AT16" s="99"/>
      <c r="AU16" s="96"/>
      <c r="AV16" s="96"/>
      <c r="AW16" s="93"/>
      <c r="AX16" s="96"/>
      <c r="AY16" s="98"/>
      <c r="AZ16" s="98"/>
      <c r="BA16" s="99">
        <f t="shared" si="25"/>
        <v>0</v>
      </c>
      <c r="BB16" s="99"/>
      <c r="BC16" s="96"/>
      <c r="BD16" s="96"/>
      <c r="BE16" s="93"/>
      <c r="BF16" s="96"/>
      <c r="BG16" s="102"/>
      <c r="BH16" s="102"/>
      <c r="BI16" s="93">
        <f t="shared" si="26"/>
        <v>0</v>
      </c>
      <c r="BJ16" s="93"/>
      <c r="BK16" s="93"/>
      <c r="BL16" s="103"/>
      <c r="BM16" s="93"/>
      <c r="BN16" s="103"/>
      <c r="BO16" s="94"/>
      <c r="BP16" s="94"/>
      <c r="BQ16" s="93">
        <f t="shared" si="27"/>
        <v>0</v>
      </c>
      <c r="BR16" s="93"/>
      <c r="BS16" s="93"/>
      <c r="BT16" s="103"/>
      <c r="BU16" s="93"/>
      <c r="BV16" s="103"/>
      <c r="BW16" s="94"/>
      <c r="BX16" s="94"/>
      <c r="BY16" s="93">
        <f t="shared" si="28"/>
        <v>0</v>
      </c>
      <c r="BZ16" s="93"/>
      <c r="CA16" s="104"/>
      <c r="CB16" s="105"/>
      <c r="CC16" s="106"/>
      <c r="CD16" s="107"/>
      <c r="CE16" s="94"/>
      <c r="CF16" s="94"/>
      <c r="CG16" s="93">
        <f t="shared" si="29"/>
        <v>0</v>
      </c>
      <c r="CH16" s="93"/>
      <c r="CI16" s="106"/>
      <c r="CJ16" s="105"/>
      <c r="CK16" s="93"/>
      <c r="CL16" s="105"/>
      <c r="CM16" s="108"/>
      <c r="CN16" s="108"/>
      <c r="CO16" s="93">
        <f t="shared" si="30"/>
        <v>0</v>
      </c>
      <c r="CP16" s="93"/>
      <c r="CQ16" s="93"/>
      <c r="CR16" s="93"/>
      <c r="CS16" s="93"/>
      <c r="CT16" s="93"/>
      <c r="CU16" s="93"/>
      <c r="CV16" s="93"/>
      <c r="CW16" s="93">
        <f t="shared" si="31"/>
        <v>0</v>
      </c>
      <c r="CX16" s="93"/>
      <c r="CY16" s="93" t="str">
        <f>TEXT(X16,"MMMM")</f>
        <v>enero</v>
      </c>
      <c r="CZ16" s="93" t="str">
        <f t="shared" si="32"/>
        <v>enero</v>
      </c>
      <c r="DA16" s="93" t="str">
        <f t="shared" si="33"/>
        <v>enero</v>
      </c>
      <c r="DB16" s="93" t="str">
        <f t="shared" si="34"/>
        <v>enero</v>
      </c>
      <c r="DC16" s="93" t="str">
        <f t="shared" si="35"/>
        <v>enero</v>
      </c>
      <c r="DD16" s="93" t="str">
        <f t="shared" si="36"/>
        <v>enero</v>
      </c>
      <c r="DE16" s="93" t="str">
        <f t="shared" si="37"/>
        <v>enero</v>
      </c>
      <c r="DF16" s="93" t="str">
        <f t="shared" si="38"/>
        <v>enero</v>
      </c>
      <c r="DG16" s="93" t="str">
        <f t="shared" si="39"/>
        <v>enero</v>
      </c>
      <c r="DH16" s="93" t="str">
        <f t="shared" si="40"/>
        <v>enero</v>
      </c>
    </row>
    <row r="17" spans="1:112" s="21" customFormat="1" ht="18.75" hidden="1" customHeight="1">
      <c r="A17" s="93">
        <v>537</v>
      </c>
      <c r="B17" s="93" t="e">
        <f>VLOOKUP($A17,  'Matriz POA 2024-TRABAJO'!$A$5:$CY$9142,29,FALSE)</f>
        <v>#N/A</v>
      </c>
      <c r="C17" s="93" t="e">
        <f>VLOOKUP($A17, 'Matriz POA 2024-TRABAJO'!$A$5:$CY$9142,11,FALSE)</f>
        <v>#N/A</v>
      </c>
      <c r="D17" s="93" t="e">
        <f>VLOOKUP($A17, 'Matriz POA 2024-TRABAJO'!$A$5:$CY$9142,14,FALSE)</f>
        <v>#N/A</v>
      </c>
      <c r="E17" s="93" t="e">
        <f>VLOOKUP($A17, 'Matriz POA 2024-TRABAJO'!$A$5:$CY$9142,15,FALSE)</f>
        <v>#N/A</v>
      </c>
      <c r="F17" s="93" t="e">
        <f>VLOOKUP($A17, 'Matriz POA 2024-TRABAJO'!$A$5:$CY$9142,18,FALSE)</f>
        <v>#N/A</v>
      </c>
      <c r="G17" s="93" t="e">
        <f>VLOOKUP($A17, 'Matriz POA 2024-TRABAJO'!$A$5:$CY$9142,23,FALSE)</f>
        <v>#N/A</v>
      </c>
      <c r="H17" s="93" t="e">
        <f>VLOOKUP($A17, 'Matriz POA 2024-TRABAJO'!$A$5:$CY$9142,24,FALSE)</f>
        <v>#N/A</v>
      </c>
      <c r="I17" s="93" t="e">
        <f>VLOOKUP($A17, 'Matriz POA 2024-TRABAJO'!$A$5:$CY$9142,20,FALSE)</f>
        <v>#N/A</v>
      </c>
      <c r="J17" s="93" t="e">
        <f>VLOOKUP($A17, 'Matriz POA 2024-TRABAJO'!$A$5:$CY$9142,26,FALSE)</f>
        <v>#N/A</v>
      </c>
      <c r="K17" s="93" t="e">
        <f>VLOOKUP($A17, 'Matriz POA 2024-TRABAJO'!$A$5:$CY$9142,27,FALSE)</f>
        <v>#N/A</v>
      </c>
      <c r="L17" s="93" t="e">
        <f>VLOOKUP($A17, 'Matriz POA 2024-TRABAJO'!$A$5:$CY$9142,28,FALSE)</f>
        <v>#N/A</v>
      </c>
      <c r="M17" s="93" t="e">
        <f>VLOOKUP($A17, 'Matriz POA 2024-TRABAJO'!$A$5:$CY$9142,30,FALSE)</f>
        <v>#N/A</v>
      </c>
      <c r="N17" s="93" t="e">
        <f>VLOOKUP($A17, 'Matriz POA 2024-TRABAJO'!$A$5:$CY$9142,31,FALSE)</f>
        <v>#N/A</v>
      </c>
      <c r="O17" s="93" t="e">
        <f>VLOOKUP($A17, 'Matriz POA 2024-TRABAJO'!$A$5:$CY$9142,45,FALSE)</f>
        <v>#N/A</v>
      </c>
      <c r="P17" s="93" t="e">
        <f>VLOOKUP($A17, 'Matriz POA 2024-TRABAJO'!$A$5:$CY$9142,46,FALSE)</f>
        <v>#N/A</v>
      </c>
      <c r="Q17" s="93" t="e">
        <f>VLOOKUP($A17, 'Matriz POA 2024-TRABAJO'!$A$5:$CY$9142,47,FALSE)</f>
        <v>#N/A</v>
      </c>
      <c r="R17" s="94">
        <f t="shared" si="20"/>
        <v>755.62</v>
      </c>
      <c r="S17" s="95" t="e">
        <f t="shared" si="21"/>
        <v>#N/A</v>
      </c>
      <c r="T17" s="93" t="e">
        <f>VLOOKUP($A17, 'Matriz POA 2024-TRABAJO'!$A$5:$CY$9142,72,FALSE)</f>
        <v>#N/A</v>
      </c>
      <c r="U17" s="93" t="e">
        <f>VLOOKUP($A17, 'Matriz POA 2024-TRABAJO'!$A$5:$CY$9142,29,FALSE)</f>
        <v>#N/A</v>
      </c>
      <c r="V17" s="94" t="str">
        <f t="shared" si="41"/>
        <v>1ar-lpar-68ar-</v>
      </c>
      <c r="W17" s="96" t="s">
        <v>1106</v>
      </c>
      <c r="X17" s="96">
        <v>45303</v>
      </c>
      <c r="Y17" s="97" t="s">
        <v>1107</v>
      </c>
      <c r="Z17" s="96">
        <v>45303</v>
      </c>
      <c r="AA17" s="98">
        <v>400</v>
      </c>
      <c r="AB17" s="98"/>
      <c r="AC17" s="99">
        <f t="shared" si="22"/>
        <v>0</v>
      </c>
      <c r="AD17" s="100" t="s">
        <v>1108</v>
      </c>
      <c r="AE17" s="97" t="s">
        <v>1774</v>
      </c>
      <c r="AF17" s="101">
        <v>45418</v>
      </c>
      <c r="AG17" s="97" t="s">
        <v>1779</v>
      </c>
      <c r="AH17" s="101">
        <v>45419</v>
      </c>
      <c r="AI17" s="98">
        <v>-0.6</v>
      </c>
      <c r="AJ17" s="98"/>
      <c r="AK17" s="99">
        <f t="shared" si="23"/>
        <v>1</v>
      </c>
      <c r="AL17" s="99" t="s">
        <v>1244</v>
      </c>
      <c r="AM17" s="98" t="s">
        <v>1778</v>
      </c>
      <c r="AN17" s="96">
        <v>45419</v>
      </c>
      <c r="AO17" s="97"/>
      <c r="AP17" s="101">
        <v>45419</v>
      </c>
      <c r="AQ17" s="98">
        <v>356.22</v>
      </c>
      <c r="AR17" s="98"/>
      <c r="AS17" s="99">
        <f t="shared" si="24"/>
        <v>0</v>
      </c>
      <c r="AT17" s="99" t="s">
        <v>1780</v>
      </c>
      <c r="AU17" s="96"/>
      <c r="AV17" s="96"/>
      <c r="AW17" s="93"/>
      <c r="AX17" s="96"/>
      <c r="AY17" s="98"/>
      <c r="AZ17" s="98"/>
      <c r="BA17" s="99">
        <f t="shared" si="25"/>
        <v>0</v>
      </c>
      <c r="BB17" s="99"/>
      <c r="BC17" s="96"/>
      <c r="BD17" s="96"/>
      <c r="BE17" s="93"/>
      <c r="BF17" s="96"/>
      <c r="BG17" s="102"/>
      <c r="BH17" s="102"/>
      <c r="BI17" s="93">
        <f t="shared" si="26"/>
        <v>0</v>
      </c>
      <c r="BJ17" s="93"/>
      <c r="BK17" s="93"/>
      <c r="BL17" s="103"/>
      <c r="BM17" s="93"/>
      <c r="BN17" s="103"/>
      <c r="BO17" s="94"/>
      <c r="BP17" s="94"/>
      <c r="BQ17" s="93">
        <f t="shared" si="27"/>
        <v>0</v>
      </c>
      <c r="BR17" s="93"/>
      <c r="BS17" s="93"/>
      <c r="BT17" s="103"/>
      <c r="BU17" s="93"/>
      <c r="BV17" s="103"/>
      <c r="BW17" s="94"/>
      <c r="BX17" s="94"/>
      <c r="BY17" s="93">
        <f t="shared" si="28"/>
        <v>0</v>
      </c>
      <c r="BZ17" s="93"/>
      <c r="CA17" s="104"/>
      <c r="CB17" s="105"/>
      <c r="CC17" s="106"/>
      <c r="CD17" s="107"/>
      <c r="CE17" s="94"/>
      <c r="CF17" s="94"/>
      <c r="CG17" s="93">
        <f t="shared" si="29"/>
        <v>0</v>
      </c>
      <c r="CH17" s="93"/>
      <c r="CI17" s="106"/>
      <c r="CJ17" s="105"/>
      <c r="CK17" s="93"/>
      <c r="CL17" s="105"/>
      <c r="CM17" s="108"/>
      <c r="CN17" s="108"/>
      <c r="CO17" s="93">
        <f t="shared" si="30"/>
        <v>0</v>
      </c>
      <c r="CP17" s="93"/>
      <c r="CQ17" s="93"/>
      <c r="CR17" s="93"/>
      <c r="CS17" s="93"/>
      <c r="CT17" s="93"/>
      <c r="CU17" s="93"/>
      <c r="CV17" s="93"/>
      <c r="CW17" s="93">
        <f t="shared" si="31"/>
        <v>0</v>
      </c>
      <c r="CX17" s="93"/>
      <c r="CY17" s="93" t="str">
        <f>TEXT(X17,"MMMM")</f>
        <v>enero</v>
      </c>
      <c r="CZ17" s="93" t="str">
        <f t="shared" si="32"/>
        <v>mayo</v>
      </c>
      <c r="DA17" s="93" t="str">
        <f t="shared" si="33"/>
        <v>mayo</v>
      </c>
      <c r="DB17" s="93" t="str">
        <f t="shared" si="34"/>
        <v>enero</v>
      </c>
      <c r="DC17" s="93" t="str">
        <f t="shared" si="35"/>
        <v>enero</v>
      </c>
      <c r="DD17" s="93" t="str">
        <f t="shared" si="36"/>
        <v>enero</v>
      </c>
      <c r="DE17" s="93" t="str">
        <f t="shared" si="37"/>
        <v>enero</v>
      </c>
      <c r="DF17" s="93" t="str">
        <f t="shared" si="38"/>
        <v>enero</v>
      </c>
      <c r="DG17" s="93" t="str">
        <f t="shared" si="39"/>
        <v>enero</v>
      </c>
      <c r="DH17" s="93" t="str">
        <f t="shared" si="40"/>
        <v>enero</v>
      </c>
    </row>
    <row r="18" spans="1:112" s="21" customFormat="1" ht="18.75" hidden="1" customHeight="1">
      <c r="A18" s="93">
        <v>538</v>
      </c>
      <c r="B18" s="93" t="e">
        <f>VLOOKUP($A18,  'Matriz POA 2024-TRABAJO'!$A$5:$CY$9142,29,FALSE)</f>
        <v>#N/A</v>
      </c>
      <c r="C18" s="93" t="e">
        <f>VLOOKUP($A18, 'Matriz POA 2024-TRABAJO'!$A$5:$CY$9142,11,FALSE)</f>
        <v>#N/A</v>
      </c>
      <c r="D18" s="93" t="e">
        <f>VLOOKUP($A18, 'Matriz POA 2024-TRABAJO'!$A$5:$CY$9142,14,FALSE)</f>
        <v>#N/A</v>
      </c>
      <c r="E18" s="93" t="e">
        <f>VLOOKUP($A18, 'Matriz POA 2024-TRABAJO'!$A$5:$CY$9142,15,FALSE)</f>
        <v>#N/A</v>
      </c>
      <c r="F18" s="93" t="e">
        <f>VLOOKUP($A18, 'Matriz POA 2024-TRABAJO'!$A$5:$CY$9142,18,FALSE)</f>
        <v>#N/A</v>
      </c>
      <c r="G18" s="93" t="e">
        <f>VLOOKUP($A18, 'Matriz POA 2024-TRABAJO'!$A$5:$CY$9142,23,FALSE)</f>
        <v>#N/A</v>
      </c>
      <c r="H18" s="93" t="e">
        <f>VLOOKUP($A18, 'Matriz POA 2024-TRABAJO'!$A$5:$CY$9142,24,FALSE)</f>
        <v>#N/A</v>
      </c>
      <c r="I18" s="93" t="e">
        <f>VLOOKUP($A18, 'Matriz POA 2024-TRABAJO'!$A$5:$CY$9142,20,FALSE)</f>
        <v>#N/A</v>
      </c>
      <c r="J18" s="93" t="e">
        <f>VLOOKUP($A18, 'Matriz POA 2024-TRABAJO'!$A$5:$CY$9142,26,FALSE)</f>
        <v>#N/A</v>
      </c>
      <c r="K18" s="93" t="e">
        <f>VLOOKUP($A18, 'Matriz POA 2024-TRABAJO'!$A$5:$CY$9142,27,FALSE)</f>
        <v>#N/A</v>
      </c>
      <c r="L18" s="93" t="e">
        <f>VLOOKUP($A18, 'Matriz POA 2024-TRABAJO'!$A$5:$CY$9142,28,FALSE)</f>
        <v>#N/A</v>
      </c>
      <c r="M18" s="93" t="e">
        <f>VLOOKUP($A18, 'Matriz POA 2024-TRABAJO'!$A$5:$CY$9142,30,FALSE)</f>
        <v>#N/A</v>
      </c>
      <c r="N18" s="93" t="e">
        <f>VLOOKUP($A18, 'Matriz POA 2024-TRABAJO'!$A$5:$CY$9142,31,FALSE)</f>
        <v>#N/A</v>
      </c>
      <c r="O18" s="93" t="e">
        <f>VLOOKUP($A18, 'Matriz POA 2024-TRABAJO'!$A$5:$CY$9142,45,FALSE)</f>
        <v>#N/A</v>
      </c>
      <c r="P18" s="93" t="e">
        <f>VLOOKUP($A18, 'Matriz POA 2024-TRABAJO'!$A$5:$CY$9142,46,FALSE)</f>
        <v>#N/A</v>
      </c>
      <c r="Q18" s="93" t="e">
        <f>VLOOKUP($A18, 'Matriz POA 2024-TRABAJO'!$A$5:$CY$9142,47,FALSE)</f>
        <v>#N/A</v>
      </c>
      <c r="R18" s="94">
        <f t="shared" si="20"/>
        <v>900</v>
      </c>
      <c r="S18" s="95" t="e">
        <f t="shared" si="21"/>
        <v>#N/A</v>
      </c>
      <c r="T18" s="93" t="e">
        <f>VLOOKUP($A18, 'Matriz POA 2024-TRABAJO'!$A$5:$CY$9142,72,FALSE)</f>
        <v>#N/A</v>
      </c>
      <c r="U18" s="93" t="e">
        <f>VLOOKUP($A18, 'Matriz POA 2024-TRABAJO'!$A$5:$CY$9142,29,FALSE)</f>
        <v>#N/A</v>
      </c>
      <c r="V18" s="94" t="str">
        <f t="shared" si="41"/>
        <v>1ar-lpar-68ar-</v>
      </c>
      <c r="W18" s="96" t="s">
        <v>1106</v>
      </c>
      <c r="X18" s="96">
        <v>45303</v>
      </c>
      <c r="Y18" s="97" t="s">
        <v>1107</v>
      </c>
      <c r="Z18" s="96">
        <v>45303</v>
      </c>
      <c r="AA18" s="98">
        <v>500</v>
      </c>
      <c r="AB18" s="98"/>
      <c r="AC18" s="99">
        <f t="shared" si="22"/>
        <v>0</v>
      </c>
      <c r="AD18" s="100" t="s">
        <v>1108</v>
      </c>
      <c r="AE18" s="97" t="s">
        <v>1774</v>
      </c>
      <c r="AF18" s="101">
        <v>45418</v>
      </c>
      <c r="AG18" s="97" t="s">
        <v>1779</v>
      </c>
      <c r="AH18" s="101">
        <v>45419</v>
      </c>
      <c r="AI18" s="98">
        <v>-90.8</v>
      </c>
      <c r="AJ18" s="98"/>
      <c r="AK18" s="99">
        <f t="shared" si="23"/>
        <v>1</v>
      </c>
      <c r="AL18" s="99" t="s">
        <v>1244</v>
      </c>
      <c r="AM18" s="98" t="s">
        <v>1778</v>
      </c>
      <c r="AN18" s="96">
        <v>45419</v>
      </c>
      <c r="AO18" s="97"/>
      <c r="AP18" s="101">
        <v>45419</v>
      </c>
      <c r="AQ18" s="98">
        <v>490.8</v>
      </c>
      <c r="AR18" s="98"/>
      <c r="AS18" s="99">
        <f t="shared" si="24"/>
        <v>0</v>
      </c>
      <c r="AT18" s="99" t="s">
        <v>1780</v>
      </c>
      <c r="AU18" s="96"/>
      <c r="AV18" s="96"/>
      <c r="AW18" s="93"/>
      <c r="AX18" s="96"/>
      <c r="AY18" s="98"/>
      <c r="AZ18" s="98"/>
      <c r="BA18" s="99">
        <f t="shared" si="25"/>
        <v>0</v>
      </c>
      <c r="BB18" s="99"/>
      <c r="BC18" s="96"/>
      <c r="BD18" s="96"/>
      <c r="BE18" s="93"/>
      <c r="BF18" s="96"/>
      <c r="BG18" s="102"/>
      <c r="BH18" s="102"/>
      <c r="BI18" s="93">
        <f t="shared" si="26"/>
        <v>0</v>
      </c>
      <c r="BJ18" s="93"/>
      <c r="BK18" s="93"/>
      <c r="BL18" s="103"/>
      <c r="BM18" s="93"/>
      <c r="BN18" s="103"/>
      <c r="BO18" s="94"/>
      <c r="BP18" s="94"/>
      <c r="BQ18" s="93">
        <f t="shared" si="27"/>
        <v>0</v>
      </c>
      <c r="BR18" s="93"/>
      <c r="BS18" s="93"/>
      <c r="BT18" s="103"/>
      <c r="BU18" s="93"/>
      <c r="BV18" s="103"/>
      <c r="BW18" s="94"/>
      <c r="BX18" s="94"/>
      <c r="BY18" s="93">
        <f t="shared" si="28"/>
        <v>0</v>
      </c>
      <c r="BZ18" s="93"/>
      <c r="CA18" s="104"/>
      <c r="CB18" s="105"/>
      <c r="CC18" s="106"/>
      <c r="CD18" s="107"/>
      <c r="CE18" s="94"/>
      <c r="CF18" s="94"/>
      <c r="CG18" s="93">
        <f t="shared" si="29"/>
        <v>0</v>
      </c>
      <c r="CH18" s="93"/>
      <c r="CI18" s="106"/>
      <c r="CJ18" s="105"/>
      <c r="CK18" s="93"/>
      <c r="CL18" s="105"/>
      <c r="CM18" s="108"/>
      <c r="CN18" s="108"/>
      <c r="CO18" s="93">
        <f t="shared" si="30"/>
        <v>0</v>
      </c>
      <c r="CP18" s="93"/>
      <c r="CQ18" s="93"/>
      <c r="CR18" s="93"/>
      <c r="CS18" s="93"/>
      <c r="CT18" s="93"/>
      <c r="CU18" s="93"/>
      <c r="CV18" s="93"/>
      <c r="CW18" s="93">
        <f t="shared" si="31"/>
        <v>0</v>
      </c>
      <c r="CX18" s="93"/>
      <c r="CY18" s="93" t="str">
        <f>TEXT(X18,"MMMM")</f>
        <v>enero</v>
      </c>
      <c r="CZ18" s="93" t="str">
        <f t="shared" si="32"/>
        <v>mayo</v>
      </c>
      <c r="DA18" s="93" t="str">
        <f t="shared" si="33"/>
        <v>mayo</v>
      </c>
      <c r="DB18" s="93" t="str">
        <f t="shared" si="34"/>
        <v>enero</v>
      </c>
      <c r="DC18" s="93" t="str">
        <f t="shared" si="35"/>
        <v>enero</v>
      </c>
      <c r="DD18" s="93" t="str">
        <f t="shared" si="36"/>
        <v>enero</v>
      </c>
      <c r="DE18" s="93" t="str">
        <f t="shared" si="37"/>
        <v>enero</v>
      </c>
      <c r="DF18" s="93" t="str">
        <f t="shared" si="38"/>
        <v>enero</v>
      </c>
      <c r="DG18" s="93" t="str">
        <f t="shared" si="39"/>
        <v>enero</v>
      </c>
      <c r="DH18" s="93" t="str">
        <f t="shared" si="40"/>
        <v>enero</v>
      </c>
    </row>
    <row r="19" spans="1:112" s="21" customFormat="1" ht="18.75" hidden="1" customHeight="1">
      <c r="A19" s="93">
        <v>539</v>
      </c>
      <c r="B19" s="93" t="e">
        <f>VLOOKUP($A19,  'Matriz POA 2024-TRABAJO'!$A$5:$CY$9142,29,FALSE)</f>
        <v>#N/A</v>
      </c>
      <c r="C19" s="93" t="e">
        <f>VLOOKUP($A19, 'Matriz POA 2024-TRABAJO'!$A$5:$CY$9142,11,FALSE)</f>
        <v>#N/A</v>
      </c>
      <c r="D19" s="93" t="e">
        <f>VLOOKUP($A19, 'Matriz POA 2024-TRABAJO'!$A$5:$CY$9142,14,FALSE)</f>
        <v>#N/A</v>
      </c>
      <c r="E19" s="93" t="e">
        <f>VLOOKUP($A19, 'Matriz POA 2024-TRABAJO'!$A$5:$CY$9142,15,FALSE)</f>
        <v>#N/A</v>
      </c>
      <c r="F19" s="93" t="e">
        <f>VLOOKUP($A19, 'Matriz POA 2024-TRABAJO'!$A$5:$CY$9142,18,FALSE)</f>
        <v>#N/A</v>
      </c>
      <c r="G19" s="93" t="e">
        <f>VLOOKUP($A19, 'Matriz POA 2024-TRABAJO'!$A$5:$CY$9142,23,FALSE)</f>
        <v>#N/A</v>
      </c>
      <c r="H19" s="93" t="e">
        <f>VLOOKUP($A19, 'Matriz POA 2024-TRABAJO'!$A$5:$CY$9142,24,FALSE)</f>
        <v>#N/A</v>
      </c>
      <c r="I19" s="93" t="e">
        <f>VLOOKUP($A19, 'Matriz POA 2024-TRABAJO'!$A$5:$CY$9142,20,FALSE)</f>
        <v>#N/A</v>
      </c>
      <c r="J19" s="93" t="e">
        <f>VLOOKUP($A19, 'Matriz POA 2024-TRABAJO'!$A$5:$CY$9142,26,FALSE)</f>
        <v>#N/A</v>
      </c>
      <c r="K19" s="93" t="e">
        <f>VLOOKUP($A19, 'Matriz POA 2024-TRABAJO'!$A$5:$CY$9142,27,FALSE)</f>
        <v>#N/A</v>
      </c>
      <c r="L19" s="93" t="e">
        <f>VLOOKUP($A19, 'Matriz POA 2024-TRABAJO'!$A$5:$CY$9142,28,FALSE)</f>
        <v>#N/A</v>
      </c>
      <c r="M19" s="93" t="e">
        <f>VLOOKUP($A19, 'Matriz POA 2024-TRABAJO'!$A$5:$CY$9142,30,FALSE)</f>
        <v>#N/A</v>
      </c>
      <c r="N19" s="93" t="e">
        <f>VLOOKUP($A19, 'Matriz POA 2024-TRABAJO'!$A$5:$CY$9142,31,FALSE)</f>
        <v>#N/A</v>
      </c>
      <c r="O19" s="93" t="e">
        <f>VLOOKUP($A19, 'Matriz POA 2024-TRABAJO'!$A$5:$CY$9142,45,FALSE)</f>
        <v>#N/A</v>
      </c>
      <c r="P19" s="93" t="e">
        <f>VLOOKUP($A19, 'Matriz POA 2024-TRABAJO'!$A$5:$CY$9142,46,FALSE)</f>
        <v>#N/A</v>
      </c>
      <c r="Q19" s="93" t="e">
        <f>VLOOKUP($A19, 'Matriz POA 2024-TRABAJO'!$A$5:$CY$9142,47,FALSE)</f>
        <v>#N/A</v>
      </c>
      <c r="R19" s="94">
        <f t="shared" si="20"/>
        <v>63.44</v>
      </c>
      <c r="S19" s="95" t="e">
        <f t="shared" si="21"/>
        <v>#N/A</v>
      </c>
      <c r="T19" s="93" t="e">
        <f>VLOOKUP($A19, 'Matriz POA 2024-TRABAJO'!$A$5:$CY$9142,72,FALSE)</f>
        <v>#N/A</v>
      </c>
      <c r="U19" s="93" t="e">
        <f>VLOOKUP($A19, 'Matriz POA 2024-TRABAJO'!$A$5:$CY$9142,29,FALSE)</f>
        <v>#N/A</v>
      </c>
      <c r="V19" s="94" t="str">
        <f t="shared" si="41"/>
        <v>1ar-lpar-68ar-</v>
      </c>
      <c r="W19" s="96" t="s">
        <v>1106</v>
      </c>
      <c r="X19" s="96">
        <v>45303</v>
      </c>
      <c r="Y19" s="97" t="s">
        <v>1107</v>
      </c>
      <c r="Z19" s="96">
        <v>45303</v>
      </c>
      <c r="AA19" s="98">
        <v>100</v>
      </c>
      <c r="AB19" s="98"/>
      <c r="AC19" s="99">
        <f t="shared" si="22"/>
        <v>0</v>
      </c>
      <c r="AD19" s="100" t="s">
        <v>1108</v>
      </c>
      <c r="AE19" s="97" t="s">
        <v>1774</v>
      </c>
      <c r="AF19" s="101">
        <v>45418</v>
      </c>
      <c r="AG19" s="97" t="s">
        <v>1779</v>
      </c>
      <c r="AH19" s="101">
        <v>45419</v>
      </c>
      <c r="AI19" s="98">
        <v>-86.56</v>
      </c>
      <c r="AJ19" s="98"/>
      <c r="AK19" s="99">
        <f t="shared" si="23"/>
        <v>1</v>
      </c>
      <c r="AL19" s="99" t="s">
        <v>1244</v>
      </c>
      <c r="AM19" s="98" t="s">
        <v>1778</v>
      </c>
      <c r="AN19" s="96">
        <v>45419</v>
      </c>
      <c r="AO19" s="97"/>
      <c r="AP19" s="101">
        <v>45419</v>
      </c>
      <c r="AQ19" s="98">
        <v>50</v>
      </c>
      <c r="AR19" s="98"/>
      <c r="AS19" s="99">
        <f t="shared" si="24"/>
        <v>0</v>
      </c>
      <c r="AT19" s="99" t="s">
        <v>1780</v>
      </c>
      <c r="AU19" s="96"/>
      <c r="AV19" s="96"/>
      <c r="AW19" s="93"/>
      <c r="AX19" s="96"/>
      <c r="AY19" s="98"/>
      <c r="AZ19" s="98"/>
      <c r="BA19" s="99">
        <f t="shared" si="25"/>
        <v>0</v>
      </c>
      <c r="BB19" s="99"/>
      <c r="BC19" s="96"/>
      <c r="BD19" s="96"/>
      <c r="BE19" s="93"/>
      <c r="BF19" s="96"/>
      <c r="BG19" s="102"/>
      <c r="BH19" s="102"/>
      <c r="BI19" s="93">
        <f t="shared" si="26"/>
        <v>0</v>
      </c>
      <c r="BJ19" s="93"/>
      <c r="BK19" s="93"/>
      <c r="BL19" s="103"/>
      <c r="BM19" s="93"/>
      <c r="BN19" s="103"/>
      <c r="BO19" s="94"/>
      <c r="BP19" s="94"/>
      <c r="BQ19" s="93">
        <f t="shared" si="27"/>
        <v>0</v>
      </c>
      <c r="BR19" s="93"/>
      <c r="BS19" s="93"/>
      <c r="BT19" s="103"/>
      <c r="BU19" s="93"/>
      <c r="BV19" s="103"/>
      <c r="BW19" s="94"/>
      <c r="BX19" s="94"/>
      <c r="BY19" s="93">
        <f t="shared" si="28"/>
        <v>0</v>
      </c>
      <c r="BZ19" s="93"/>
      <c r="CA19" s="104"/>
      <c r="CB19" s="105"/>
      <c r="CC19" s="106"/>
      <c r="CD19" s="107"/>
      <c r="CE19" s="94"/>
      <c r="CF19" s="94"/>
      <c r="CG19" s="93">
        <f t="shared" si="29"/>
        <v>0</v>
      </c>
      <c r="CH19" s="93"/>
      <c r="CI19" s="106"/>
      <c r="CJ19" s="105"/>
      <c r="CK19" s="93"/>
      <c r="CL19" s="105"/>
      <c r="CM19" s="108"/>
      <c r="CN19" s="108"/>
      <c r="CO19" s="93">
        <f t="shared" si="30"/>
        <v>0</v>
      </c>
      <c r="CP19" s="93"/>
      <c r="CQ19" s="93"/>
      <c r="CR19" s="93"/>
      <c r="CS19" s="93"/>
      <c r="CT19" s="93"/>
      <c r="CU19" s="93"/>
      <c r="CV19" s="93"/>
      <c r="CW19" s="93">
        <f t="shared" si="31"/>
        <v>0</v>
      </c>
      <c r="CX19" s="93"/>
      <c r="CY19" s="93" t="str">
        <f>TEXT(X19,"MMMM")</f>
        <v>enero</v>
      </c>
      <c r="CZ19" s="93" t="str">
        <f t="shared" si="32"/>
        <v>mayo</v>
      </c>
      <c r="DA19" s="93" t="str">
        <f t="shared" si="33"/>
        <v>mayo</v>
      </c>
      <c r="DB19" s="93" t="str">
        <f t="shared" si="34"/>
        <v>enero</v>
      </c>
      <c r="DC19" s="93" t="str">
        <f t="shared" si="35"/>
        <v>enero</v>
      </c>
      <c r="DD19" s="93" t="str">
        <f t="shared" si="36"/>
        <v>enero</v>
      </c>
      <c r="DE19" s="93" t="str">
        <f t="shared" si="37"/>
        <v>enero</v>
      </c>
      <c r="DF19" s="93" t="str">
        <f t="shared" si="38"/>
        <v>enero</v>
      </c>
      <c r="DG19" s="93" t="str">
        <f t="shared" si="39"/>
        <v>enero</v>
      </c>
      <c r="DH19" s="93" t="str">
        <f t="shared" si="40"/>
        <v>enero</v>
      </c>
    </row>
    <row r="20" spans="1:112" ht="15" hidden="1" customHeight="1">
      <c r="A20" s="93">
        <v>540</v>
      </c>
      <c r="B20" s="93" t="e">
        <f>VLOOKUP($A20,  'Matriz POA 2024-TRABAJO'!$A$5:$CY$9142,29,FALSE)</f>
        <v>#N/A</v>
      </c>
      <c r="C20" s="93" t="e">
        <f>VLOOKUP($A20, 'Matriz POA 2024-TRABAJO'!$A$5:$CY$9142,11,FALSE)</f>
        <v>#N/A</v>
      </c>
      <c r="D20" s="93" t="e">
        <f>VLOOKUP($A20, 'Matriz POA 2024-TRABAJO'!$A$5:$CY$9142,14,FALSE)</f>
        <v>#N/A</v>
      </c>
      <c r="E20" s="93" t="e">
        <f>VLOOKUP($A20, 'Matriz POA 2024-TRABAJO'!$A$5:$CY$9142,15,FALSE)</f>
        <v>#N/A</v>
      </c>
      <c r="F20" s="93" t="e">
        <f>VLOOKUP($A20, 'Matriz POA 2024-TRABAJO'!$A$5:$CY$9142,18,FALSE)</f>
        <v>#N/A</v>
      </c>
      <c r="G20" s="93" t="e">
        <f>VLOOKUP($A20, 'Matriz POA 2024-TRABAJO'!$A$5:$CY$9142,23,FALSE)</f>
        <v>#N/A</v>
      </c>
      <c r="H20" s="93" t="e">
        <f>VLOOKUP($A20, 'Matriz POA 2024-TRABAJO'!$A$5:$CY$9142,24,FALSE)</f>
        <v>#N/A</v>
      </c>
      <c r="I20" s="93" t="e">
        <f>VLOOKUP($A20, 'Matriz POA 2024-TRABAJO'!$A$5:$CY$9142,20,FALSE)</f>
        <v>#N/A</v>
      </c>
      <c r="J20" s="93" t="e">
        <f>VLOOKUP($A20, 'Matriz POA 2024-TRABAJO'!$A$5:$CY$9142,26,FALSE)</f>
        <v>#N/A</v>
      </c>
      <c r="K20" s="93" t="e">
        <f>VLOOKUP($A20, 'Matriz POA 2024-TRABAJO'!$A$5:$CY$9142,27,FALSE)</f>
        <v>#N/A</v>
      </c>
      <c r="L20" s="93" t="e">
        <f>VLOOKUP($A20, 'Matriz POA 2024-TRABAJO'!$A$5:$CY$9142,28,FALSE)</f>
        <v>#N/A</v>
      </c>
      <c r="M20" s="93" t="e">
        <f>VLOOKUP($A20, 'Matriz POA 2024-TRABAJO'!$A$5:$CY$9142,30,FALSE)</f>
        <v>#N/A</v>
      </c>
      <c r="N20" s="93" t="e">
        <f>VLOOKUP($A20, 'Matriz POA 2024-TRABAJO'!$A$5:$CY$9142,31,FALSE)</f>
        <v>#N/A</v>
      </c>
      <c r="O20" s="93" t="e">
        <f>VLOOKUP($A20, 'Matriz POA 2024-TRABAJO'!$A$5:$CY$9142,45,FALSE)</f>
        <v>#N/A</v>
      </c>
      <c r="P20" s="93" t="e">
        <f>VLOOKUP($A20, 'Matriz POA 2024-TRABAJO'!$A$5:$CY$9142,46,FALSE)</f>
        <v>#N/A</v>
      </c>
      <c r="Q20" s="93" t="e">
        <f>VLOOKUP($A20, 'Matriz POA 2024-TRABAJO'!$A$5:$CY$9142,47,FALSE)</f>
        <v>#N/A</v>
      </c>
      <c r="R20" s="94">
        <f t="shared" si="20"/>
        <v>50</v>
      </c>
      <c r="S20" s="95" t="e">
        <f t="shared" si="21"/>
        <v>#N/A</v>
      </c>
      <c r="T20" s="93" t="e">
        <f>VLOOKUP($A20, 'Matriz POA 2024-TRABAJO'!$A$5:$CY$9142,72,FALSE)</f>
        <v>#N/A</v>
      </c>
      <c r="U20" s="93" t="e">
        <f>VLOOKUP($A20, 'Matriz POA 2024-TRABAJO'!$A$5:$CY$9142,29,FALSE)</f>
        <v>#N/A</v>
      </c>
      <c r="V20" s="94" t="str">
        <f t="shared" si="41"/>
        <v>1ar-lpar-68ar-</v>
      </c>
      <c r="W20" s="96" t="s">
        <v>1106</v>
      </c>
      <c r="X20" s="96">
        <v>45303</v>
      </c>
      <c r="Y20" s="97" t="s">
        <v>1107</v>
      </c>
      <c r="Z20" s="96">
        <v>45303</v>
      </c>
      <c r="AA20" s="98">
        <v>100</v>
      </c>
      <c r="AB20" s="98"/>
      <c r="AC20" s="99">
        <f t="shared" si="22"/>
        <v>0</v>
      </c>
      <c r="AD20" s="100" t="s">
        <v>1108</v>
      </c>
      <c r="AE20" s="97" t="s">
        <v>1774</v>
      </c>
      <c r="AF20" s="101">
        <v>45418</v>
      </c>
      <c r="AG20" s="97" t="s">
        <v>1779</v>
      </c>
      <c r="AH20" s="101">
        <v>45419</v>
      </c>
      <c r="AI20" s="98">
        <v>-100</v>
      </c>
      <c r="AJ20" s="98"/>
      <c r="AK20" s="99">
        <f t="shared" si="23"/>
        <v>1</v>
      </c>
      <c r="AL20" s="99" t="s">
        <v>1244</v>
      </c>
      <c r="AM20" s="98" t="s">
        <v>1778</v>
      </c>
      <c r="AN20" s="96">
        <v>45419</v>
      </c>
      <c r="AO20" s="97"/>
      <c r="AP20" s="101">
        <v>45419</v>
      </c>
      <c r="AQ20" s="98">
        <v>50</v>
      </c>
      <c r="AR20" s="98"/>
      <c r="AS20" s="99">
        <f t="shared" si="24"/>
        <v>0</v>
      </c>
      <c r="AT20" s="99" t="s">
        <v>1780</v>
      </c>
      <c r="AU20" s="96"/>
      <c r="AV20" s="96"/>
      <c r="AW20" s="93"/>
      <c r="AX20" s="96"/>
      <c r="AY20" s="98"/>
      <c r="AZ20" s="98"/>
      <c r="BA20" s="99">
        <f t="shared" si="25"/>
        <v>0</v>
      </c>
      <c r="BB20" s="99"/>
      <c r="BC20" s="96"/>
      <c r="BD20" s="96"/>
      <c r="BE20" s="93"/>
      <c r="BF20" s="96"/>
      <c r="BG20" s="102"/>
      <c r="BH20" s="102"/>
      <c r="BI20" s="93">
        <f t="shared" si="26"/>
        <v>0</v>
      </c>
      <c r="BJ20" s="93"/>
      <c r="BK20" s="93"/>
      <c r="BL20" s="103"/>
      <c r="BM20" s="93"/>
      <c r="BN20" s="103"/>
      <c r="BO20" s="94"/>
      <c r="BP20" s="94"/>
      <c r="BQ20" s="93">
        <f t="shared" si="27"/>
        <v>0</v>
      </c>
      <c r="BR20" s="93"/>
      <c r="BS20" s="93"/>
      <c r="BT20" s="103"/>
      <c r="BU20" s="93"/>
      <c r="BV20" s="103"/>
      <c r="BW20" s="94"/>
      <c r="BX20" s="94"/>
      <c r="BY20" s="93">
        <f t="shared" si="28"/>
        <v>0</v>
      </c>
      <c r="BZ20" s="93"/>
      <c r="CA20" s="104"/>
      <c r="CB20" s="105"/>
      <c r="CC20" s="106"/>
      <c r="CD20" s="107"/>
      <c r="CE20" s="94"/>
      <c r="CF20" s="94"/>
      <c r="CG20" s="93">
        <f t="shared" si="29"/>
        <v>0</v>
      </c>
      <c r="CH20" s="93"/>
      <c r="CI20" s="106"/>
      <c r="CJ20" s="105"/>
      <c r="CK20" s="93"/>
      <c r="CL20" s="105"/>
      <c r="CM20" s="108"/>
      <c r="CN20" s="108"/>
      <c r="CO20" s="93">
        <f t="shared" si="30"/>
        <v>0</v>
      </c>
      <c r="CP20" s="93"/>
      <c r="CQ20" s="93"/>
      <c r="CR20" s="93"/>
      <c r="CS20" s="93"/>
      <c r="CT20" s="93"/>
      <c r="CU20" s="93"/>
      <c r="CV20" s="93"/>
      <c r="CW20" s="93">
        <f t="shared" si="31"/>
        <v>0</v>
      </c>
      <c r="CX20" s="93"/>
      <c r="CY20" s="93" t="str">
        <f>TEXT(X20,"MMMM")</f>
        <v>enero</v>
      </c>
      <c r="CZ20" s="93" t="str">
        <f t="shared" si="32"/>
        <v>mayo</v>
      </c>
      <c r="DA20" s="93" t="str">
        <f t="shared" si="33"/>
        <v>mayo</v>
      </c>
      <c r="DB20" s="93" t="str">
        <f t="shared" si="34"/>
        <v>enero</v>
      </c>
      <c r="DC20" s="93" t="str">
        <f t="shared" si="35"/>
        <v>enero</v>
      </c>
      <c r="DD20" s="93" t="str">
        <f t="shared" si="36"/>
        <v>enero</v>
      </c>
      <c r="DE20" s="93" t="str">
        <f t="shared" si="37"/>
        <v>enero</v>
      </c>
      <c r="DF20" s="93" t="str">
        <f t="shared" si="38"/>
        <v>enero</v>
      </c>
      <c r="DG20" s="93" t="str">
        <f t="shared" si="39"/>
        <v>enero</v>
      </c>
      <c r="DH20" s="93" t="str">
        <f t="shared" si="40"/>
        <v>enero</v>
      </c>
    </row>
    <row r="21" spans="1:112" s="21" customFormat="1" ht="26.45" hidden="1" customHeight="1">
      <c r="A21" s="93">
        <v>541</v>
      </c>
      <c r="B21" s="93" t="e">
        <f>VLOOKUP($A21,  'Matriz POA 2024-TRABAJO'!$A$5:$CY$9142,29,FALSE)</f>
        <v>#N/A</v>
      </c>
      <c r="C21" s="93" t="e">
        <f>VLOOKUP($A21, 'Matriz POA 2024-TRABAJO'!$A$5:$CY$9142,11,FALSE)</f>
        <v>#N/A</v>
      </c>
      <c r="D21" s="93" t="e">
        <f>VLOOKUP($A21, 'Matriz POA 2024-TRABAJO'!$A$5:$CY$9142,14,FALSE)</f>
        <v>#N/A</v>
      </c>
      <c r="E21" s="93" t="e">
        <f>VLOOKUP($A21, 'Matriz POA 2024-TRABAJO'!$A$5:$CY$9142,15,FALSE)</f>
        <v>#N/A</v>
      </c>
      <c r="F21" s="93" t="e">
        <f>VLOOKUP($A21, 'Matriz POA 2024-TRABAJO'!$A$5:$CY$9142,18,FALSE)</f>
        <v>#N/A</v>
      </c>
      <c r="G21" s="93" t="e">
        <f>VLOOKUP($A21, 'Matriz POA 2024-TRABAJO'!$A$5:$CY$9142,23,FALSE)</f>
        <v>#N/A</v>
      </c>
      <c r="H21" s="93" t="e">
        <f>VLOOKUP($A21, 'Matriz POA 2024-TRABAJO'!$A$5:$CY$9142,24,FALSE)</f>
        <v>#N/A</v>
      </c>
      <c r="I21" s="93" t="e">
        <f>VLOOKUP($A21, 'Matriz POA 2024-TRABAJO'!$A$5:$CY$9142,20,FALSE)</f>
        <v>#N/A</v>
      </c>
      <c r="J21" s="93" t="e">
        <f>VLOOKUP($A21, 'Matriz POA 2024-TRABAJO'!$A$5:$CY$9142,26,FALSE)</f>
        <v>#N/A</v>
      </c>
      <c r="K21" s="93" t="e">
        <f>VLOOKUP($A21, 'Matriz POA 2024-TRABAJO'!$A$5:$CY$9142,27,FALSE)</f>
        <v>#N/A</v>
      </c>
      <c r="L21" s="93" t="e">
        <f>VLOOKUP($A21, 'Matriz POA 2024-TRABAJO'!$A$5:$CY$9142,28,FALSE)</f>
        <v>#N/A</v>
      </c>
      <c r="M21" s="93" t="e">
        <f>VLOOKUP($A21, 'Matriz POA 2024-TRABAJO'!$A$5:$CY$9142,30,FALSE)</f>
        <v>#N/A</v>
      </c>
      <c r="N21" s="93" t="e">
        <f>VLOOKUP($A21, 'Matriz POA 2024-TRABAJO'!$A$5:$CY$9142,31,FALSE)</f>
        <v>#N/A</v>
      </c>
      <c r="O21" s="93" t="e">
        <f>VLOOKUP($A21, 'Matriz POA 2024-TRABAJO'!$A$5:$CY$9142,45,FALSE)</f>
        <v>#N/A</v>
      </c>
      <c r="P21" s="93" t="e">
        <f>VLOOKUP($A21, 'Matriz POA 2024-TRABAJO'!$A$5:$CY$9142,46,FALSE)</f>
        <v>#N/A</v>
      </c>
      <c r="Q21" s="93" t="e">
        <f>VLOOKUP($A21, 'Matriz POA 2024-TRABAJO'!$A$5:$CY$9142,47,FALSE)</f>
        <v>#N/A</v>
      </c>
      <c r="R21" s="94">
        <f t="shared" si="20"/>
        <v>50</v>
      </c>
      <c r="S21" s="95" t="e">
        <f t="shared" si="21"/>
        <v>#N/A</v>
      </c>
      <c r="T21" s="93" t="e">
        <f>VLOOKUP($A21, 'Matriz POA 2024-TRABAJO'!$A$5:$CY$9142,72,FALSE)</f>
        <v>#N/A</v>
      </c>
      <c r="U21" s="93" t="e">
        <f>VLOOKUP($A21, 'Matriz POA 2024-TRABAJO'!$A$5:$CY$9142,29,FALSE)</f>
        <v>#N/A</v>
      </c>
      <c r="V21" s="94" t="str">
        <f t="shared" si="41"/>
        <v>1ar-lpar-68ar-</v>
      </c>
      <c r="W21" s="96" t="s">
        <v>1106</v>
      </c>
      <c r="X21" s="96">
        <v>45303</v>
      </c>
      <c r="Y21" s="97" t="s">
        <v>1107</v>
      </c>
      <c r="Z21" s="96">
        <v>45303</v>
      </c>
      <c r="AA21" s="98">
        <v>100</v>
      </c>
      <c r="AB21" s="98"/>
      <c r="AC21" s="99">
        <f t="shared" si="22"/>
        <v>0</v>
      </c>
      <c r="AD21" s="100" t="s">
        <v>1108</v>
      </c>
      <c r="AE21" s="97" t="s">
        <v>1774</v>
      </c>
      <c r="AF21" s="101">
        <v>45418</v>
      </c>
      <c r="AG21" s="97" t="s">
        <v>1779</v>
      </c>
      <c r="AH21" s="101">
        <v>45419</v>
      </c>
      <c r="AI21" s="414">
        <v>-100</v>
      </c>
      <c r="AJ21" s="98"/>
      <c r="AK21" s="99">
        <f t="shared" si="23"/>
        <v>1</v>
      </c>
      <c r="AL21" s="99" t="s">
        <v>1244</v>
      </c>
      <c r="AM21" s="98" t="s">
        <v>1778</v>
      </c>
      <c r="AN21" s="96">
        <v>45419</v>
      </c>
      <c r="AO21" s="97"/>
      <c r="AP21" s="101">
        <v>45419</v>
      </c>
      <c r="AQ21" s="98">
        <v>50</v>
      </c>
      <c r="AR21" s="98"/>
      <c r="AS21" s="99">
        <f t="shared" si="24"/>
        <v>0</v>
      </c>
      <c r="AT21" s="99" t="s">
        <v>1780</v>
      </c>
      <c r="AU21" s="96"/>
      <c r="AV21" s="96"/>
      <c r="AW21" s="93"/>
      <c r="AX21" s="96"/>
      <c r="AY21" s="98"/>
      <c r="AZ21" s="98"/>
      <c r="BA21" s="99">
        <f t="shared" si="25"/>
        <v>0</v>
      </c>
      <c r="BB21" s="99"/>
      <c r="BC21" s="96"/>
      <c r="BD21" s="96"/>
      <c r="BE21" s="93"/>
      <c r="BF21" s="96"/>
      <c r="BG21" s="102"/>
      <c r="BH21" s="102"/>
      <c r="BI21" s="93">
        <f t="shared" si="26"/>
        <v>0</v>
      </c>
      <c r="BJ21" s="93"/>
      <c r="BK21" s="93"/>
      <c r="BL21" s="103"/>
      <c r="BM21" s="93"/>
      <c r="BN21" s="103"/>
      <c r="BO21" s="94"/>
      <c r="BP21" s="94"/>
      <c r="BQ21" s="93">
        <f t="shared" si="27"/>
        <v>0</v>
      </c>
      <c r="BR21" s="93"/>
      <c r="BS21" s="93"/>
      <c r="BT21" s="103"/>
      <c r="BU21" s="93"/>
      <c r="BV21" s="103"/>
      <c r="BW21" s="94"/>
      <c r="BX21" s="94"/>
      <c r="BY21" s="93">
        <f t="shared" si="28"/>
        <v>0</v>
      </c>
      <c r="BZ21" s="93"/>
      <c r="CA21" s="104"/>
      <c r="CB21" s="105"/>
      <c r="CC21" s="106"/>
      <c r="CD21" s="107"/>
      <c r="CE21" s="94"/>
      <c r="CF21" s="94"/>
      <c r="CG21" s="93">
        <f t="shared" si="29"/>
        <v>0</v>
      </c>
      <c r="CH21" s="93"/>
      <c r="CI21" s="106"/>
      <c r="CJ21" s="105"/>
      <c r="CK21" s="93"/>
      <c r="CL21" s="105"/>
      <c r="CM21" s="108"/>
      <c r="CN21" s="108"/>
      <c r="CO21" s="93">
        <f t="shared" si="30"/>
        <v>0</v>
      </c>
      <c r="CP21" s="93"/>
      <c r="CQ21" s="93"/>
      <c r="CR21" s="93"/>
      <c r="CS21" s="93"/>
      <c r="CT21" s="93"/>
      <c r="CU21" s="93"/>
      <c r="CV21" s="93"/>
      <c r="CW21" s="93">
        <f t="shared" si="31"/>
        <v>0</v>
      </c>
      <c r="CX21" s="93"/>
      <c r="CY21" s="93" t="str">
        <f>TEXT(Z21,"MMMM")</f>
        <v>enero</v>
      </c>
      <c r="CZ21" s="93" t="str">
        <f t="shared" si="32"/>
        <v>mayo</v>
      </c>
      <c r="DA21" s="93" t="str">
        <f t="shared" si="33"/>
        <v>mayo</v>
      </c>
      <c r="DB21" s="93" t="str">
        <f t="shared" si="34"/>
        <v>enero</v>
      </c>
      <c r="DC21" s="93" t="str">
        <f t="shared" si="35"/>
        <v>enero</v>
      </c>
      <c r="DD21" s="93" t="str">
        <f t="shared" si="36"/>
        <v>enero</v>
      </c>
      <c r="DE21" s="93" t="str">
        <f t="shared" si="37"/>
        <v>enero</v>
      </c>
      <c r="DF21" s="93" t="str">
        <f t="shared" si="38"/>
        <v>enero</v>
      </c>
      <c r="DG21" s="93" t="str">
        <f t="shared" si="39"/>
        <v>enero</v>
      </c>
      <c r="DH21" s="93" t="str">
        <f t="shared" si="40"/>
        <v>enero</v>
      </c>
    </row>
    <row r="22" spans="1:112" s="21" customFormat="1" ht="18.75" hidden="1" customHeight="1">
      <c r="A22" s="253">
        <v>544</v>
      </c>
      <c r="B22" s="93" t="e">
        <f>VLOOKUP($A22,  'Matriz POA 2024-TRABAJO'!$A$5:$CY$9142,29,FALSE)</f>
        <v>#N/A</v>
      </c>
      <c r="C22" s="93" t="e">
        <f>VLOOKUP($A22, 'Matriz POA 2024-TRABAJO'!$A$5:$CY$9142,11,FALSE)</f>
        <v>#N/A</v>
      </c>
      <c r="D22" s="93" t="e">
        <f>VLOOKUP($A22, 'Matriz POA 2024-TRABAJO'!$A$5:$CY$9142,14,FALSE)</f>
        <v>#N/A</v>
      </c>
      <c r="E22" s="93" t="e">
        <f>VLOOKUP($A22, 'Matriz POA 2024-TRABAJO'!$A$5:$CY$9142,15,FALSE)</f>
        <v>#N/A</v>
      </c>
      <c r="F22" s="93" t="e">
        <f>VLOOKUP($A22, 'Matriz POA 2024-TRABAJO'!$A$5:$CY$9142,18,FALSE)</f>
        <v>#N/A</v>
      </c>
      <c r="G22" s="93" t="e">
        <f>VLOOKUP($A22, 'Matriz POA 2024-TRABAJO'!$A$5:$CY$9142,23,FALSE)</f>
        <v>#N/A</v>
      </c>
      <c r="H22" s="93" t="e">
        <f>VLOOKUP($A22, 'Matriz POA 2024-TRABAJO'!$A$5:$CY$9142,24,FALSE)</f>
        <v>#N/A</v>
      </c>
      <c r="I22" s="93" t="e">
        <f>VLOOKUP($A22, 'Matriz POA 2024-TRABAJO'!$A$5:$CY$9142,20,FALSE)</f>
        <v>#N/A</v>
      </c>
      <c r="J22" s="93" t="e">
        <f>VLOOKUP($A22, 'Matriz POA 2024-TRABAJO'!$A$5:$CY$9142,26,FALSE)</f>
        <v>#N/A</v>
      </c>
      <c r="K22" s="93" t="e">
        <f>VLOOKUP($A22, 'Matriz POA 2024-TRABAJO'!$A$5:$CY$9142,27,FALSE)</f>
        <v>#N/A</v>
      </c>
      <c r="L22" s="93" t="e">
        <f>VLOOKUP($A22, 'Matriz POA 2024-TRABAJO'!$A$5:$CY$9142,28,FALSE)</f>
        <v>#N/A</v>
      </c>
      <c r="M22" s="93" t="e">
        <f>VLOOKUP($A22, 'Matriz POA 2024-TRABAJO'!$A$5:$CY$9142,30,FALSE)</f>
        <v>#N/A</v>
      </c>
      <c r="N22" s="93" t="e">
        <f>VLOOKUP($A22, 'Matriz POA 2024-TRABAJO'!$A$5:$CY$9142,31,FALSE)</f>
        <v>#N/A</v>
      </c>
      <c r="O22" s="93" t="e">
        <f>VLOOKUP($A22, 'Matriz POA 2024-TRABAJO'!$A$5:$CY$9142,45,FALSE)</f>
        <v>#N/A</v>
      </c>
      <c r="P22" s="93" t="e">
        <f>VLOOKUP($A22, 'Matriz POA 2024-TRABAJO'!$A$5:$CY$9142,46,FALSE)</f>
        <v>#N/A</v>
      </c>
      <c r="Q22" s="93" t="e">
        <f>VLOOKUP($A22, 'Matriz POA 2024-TRABAJO'!$A$5:$CY$9142,47,FALSE)</f>
        <v>#N/A</v>
      </c>
      <c r="R22" s="94">
        <f t="shared" si="20"/>
        <v>800</v>
      </c>
      <c r="S22" s="95" t="e">
        <f t="shared" si="21"/>
        <v>#N/A</v>
      </c>
      <c r="T22" s="93" t="e">
        <f>VLOOKUP($A22, 'Matriz POA 2024-TRABAJO'!$A$5:$CY$9142,72,FALSE)</f>
        <v>#N/A</v>
      </c>
      <c r="U22" s="93" t="e">
        <f>VLOOKUP($A22, 'Matriz POA 2024-TRABAJO'!$A$5:$CY$9142,29,FALSE)</f>
        <v>#N/A</v>
      </c>
      <c r="V22" s="94" t="str">
        <f t="shared" si="41"/>
        <v>1ar-ltmg-</v>
      </c>
      <c r="W22" s="96" t="s">
        <v>1106</v>
      </c>
      <c r="X22" s="96">
        <v>45303</v>
      </c>
      <c r="Y22" s="97" t="s">
        <v>1107</v>
      </c>
      <c r="Z22" s="96">
        <v>45303</v>
      </c>
      <c r="AA22" s="98">
        <v>1000</v>
      </c>
      <c r="AB22" s="98"/>
      <c r="AC22" s="99">
        <f t="shared" si="22"/>
        <v>0</v>
      </c>
      <c r="AD22" s="100" t="s">
        <v>1108</v>
      </c>
      <c r="AE22" s="97" t="s">
        <v>997</v>
      </c>
      <c r="AF22" s="101">
        <v>45387</v>
      </c>
      <c r="AG22" s="97" t="s">
        <v>998</v>
      </c>
      <c r="AH22" s="101">
        <v>45390</v>
      </c>
      <c r="AI22" s="98">
        <v>-1000</v>
      </c>
      <c r="AJ22" s="98"/>
      <c r="AK22" s="99">
        <f t="shared" si="23"/>
        <v>3</v>
      </c>
      <c r="AL22" s="99" t="s">
        <v>1118</v>
      </c>
      <c r="AM22" s="93" t="s">
        <v>1119</v>
      </c>
      <c r="AN22" s="105">
        <v>45392</v>
      </c>
      <c r="AO22" s="93" t="s">
        <v>1120</v>
      </c>
      <c r="AP22" s="105">
        <v>45392</v>
      </c>
      <c r="AQ22" s="98">
        <v>800</v>
      </c>
      <c r="AR22" s="98"/>
      <c r="AS22" s="99">
        <f t="shared" si="24"/>
        <v>0</v>
      </c>
      <c r="AT22" s="99"/>
      <c r="AU22" s="96"/>
      <c r="AV22" s="96"/>
      <c r="AW22" s="93"/>
      <c r="AX22" s="96"/>
      <c r="AY22" s="98"/>
      <c r="AZ22" s="98"/>
      <c r="BA22" s="99">
        <f t="shared" si="25"/>
        <v>0</v>
      </c>
      <c r="BB22" s="99"/>
      <c r="BC22" s="96"/>
      <c r="BD22" s="96"/>
      <c r="BE22" s="93"/>
      <c r="BF22" s="96"/>
      <c r="BG22" s="102"/>
      <c r="BH22" s="102"/>
      <c r="BI22" s="93">
        <f t="shared" si="26"/>
        <v>0</v>
      </c>
      <c r="BJ22" s="93"/>
      <c r="BK22" s="93"/>
      <c r="BL22" s="103"/>
      <c r="BM22" s="93"/>
      <c r="BN22" s="103"/>
      <c r="BO22" s="94"/>
      <c r="BP22" s="94"/>
      <c r="BQ22" s="93">
        <f t="shared" si="27"/>
        <v>0</v>
      </c>
      <c r="BR22" s="93"/>
      <c r="BS22" s="93"/>
      <c r="BT22" s="103"/>
      <c r="BU22" s="93"/>
      <c r="BV22" s="103"/>
      <c r="BW22" s="94"/>
      <c r="BX22" s="94"/>
      <c r="BY22" s="93">
        <f t="shared" si="28"/>
        <v>0</v>
      </c>
      <c r="BZ22" s="93"/>
      <c r="CA22" s="104"/>
      <c r="CB22" s="105"/>
      <c r="CC22" s="106"/>
      <c r="CD22" s="107"/>
      <c r="CE22" s="94"/>
      <c r="CF22" s="94"/>
      <c r="CG22" s="93">
        <f t="shared" si="29"/>
        <v>0</v>
      </c>
      <c r="CH22" s="93"/>
      <c r="CI22" s="106"/>
      <c r="CJ22" s="105"/>
      <c r="CK22" s="93"/>
      <c r="CL22" s="105"/>
      <c r="CM22" s="108"/>
      <c r="CN22" s="108"/>
      <c r="CO22" s="93">
        <f t="shared" si="30"/>
        <v>0</v>
      </c>
      <c r="CP22" s="93"/>
      <c r="CQ22" s="93"/>
      <c r="CR22" s="93"/>
      <c r="CS22" s="93"/>
      <c r="CT22" s="93"/>
      <c r="CU22" s="93"/>
      <c r="CV22" s="93"/>
      <c r="CW22" s="93">
        <f t="shared" si="31"/>
        <v>0</v>
      </c>
      <c r="CX22" s="93"/>
      <c r="CY22" s="93" t="str">
        <f>TEXT(X22,"MMMM")</f>
        <v>enero</v>
      </c>
      <c r="CZ22" s="93" t="str">
        <f t="shared" si="32"/>
        <v>abril</v>
      </c>
      <c r="DA22" s="93" t="str">
        <f t="shared" si="33"/>
        <v>abril</v>
      </c>
      <c r="DB22" s="93" t="str">
        <f t="shared" si="34"/>
        <v>enero</v>
      </c>
      <c r="DC22" s="93" t="str">
        <f t="shared" si="35"/>
        <v>enero</v>
      </c>
      <c r="DD22" s="93" t="str">
        <f t="shared" si="36"/>
        <v>enero</v>
      </c>
      <c r="DE22" s="93" t="str">
        <f t="shared" si="37"/>
        <v>enero</v>
      </c>
      <c r="DF22" s="93" t="str">
        <f t="shared" si="38"/>
        <v>enero</v>
      </c>
      <c r="DG22" s="93" t="str">
        <f t="shared" si="39"/>
        <v>enero</v>
      </c>
      <c r="DH22" s="93" t="str">
        <f t="shared" si="40"/>
        <v>enero</v>
      </c>
    </row>
    <row r="23" spans="1:112" s="21" customFormat="1" ht="18.75" hidden="1" customHeight="1">
      <c r="A23" s="93">
        <v>562</v>
      </c>
      <c r="B23" s="93" t="e">
        <f>VLOOKUP($A23,  'Matriz POA 2024-TRABAJO'!$A$5:$CY$9142,29,FALSE)</f>
        <v>#N/A</v>
      </c>
      <c r="C23" s="93" t="e">
        <f>VLOOKUP($A23, 'Matriz POA 2024-TRABAJO'!$A$5:$CY$9142,11,FALSE)</f>
        <v>#N/A</v>
      </c>
      <c r="D23" s="93" t="e">
        <f>VLOOKUP($A23, 'Matriz POA 2024-TRABAJO'!$A$5:$CY$9142,14,FALSE)</f>
        <v>#N/A</v>
      </c>
      <c r="E23" s="93" t="e">
        <f>VLOOKUP($A23, 'Matriz POA 2024-TRABAJO'!$A$5:$CY$9142,15,FALSE)</f>
        <v>#N/A</v>
      </c>
      <c r="F23" s="93" t="e">
        <f>VLOOKUP($A23, 'Matriz POA 2024-TRABAJO'!$A$5:$CY$9142,18,FALSE)</f>
        <v>#N/A</v>
      </c>
      <c r="G23" s="93" t="e">
        <f>VLOOKUP($A23, 'Matriz POA 2024-TRABAJO'!$A$5:$CY$9142,23,FALSE)</f>
        <v>#N/A</v>
      </c>
      <c r="H23" s="93" t="e">
        <f>VLOOKUP($A23, 'Matriz POA 2024-TRABAJO'!$A$5:$CY$9142,24,FALSE)</f>
        <v>#N/A</v>
      </c>
      <c r="I23" s="93" t="e">
        <f>VLOOKUP($A23, 'Matriz POA 2024-TRABAJO'!$A$5:$CY$9142,20,FALSE)</f>
        <v>#N/A</v>
      </c>
      <c r="J23" s="93" t="e">
        <f>VLOOKUP($A23, 'Matriz POA 2024-TRABAJO'!$A$5:$CY$9142,26,FALSE)</f>
        <v>#N/A</v>
      </c>
      <c r="K23" s="93" t="e">
        <f>VLOOKUP($A23, 'Matriz POA 2024-TRABAJO'!$A$5:$CY$9142,27,FALSE)</f>
        <v>#N/A</v>
      </c>
      <c r="L23" s="93" t="e">
        <f>VLOOKUP($A23, 'Matriz POA 2024-TRABAJO'!$A$5:$CY$9142,28,FALSE)</f>
        <v>#N/A</v>
      </c>
      <c r="M23" s="93" t="e">
        <f>VLOOKUP($A23, 'Matriz POA 2024-TRABAJO'!$A$5:$CY$9142,30,FALSE)</f>
        <v>#N/A</v>
      </c>
      <c r="N23" s="93" t="e">
        <f>VLOOKUP($A23, 'Matriz POA 2024-TRABAJO'!$A$5:$CY$9142,31,FALSE)</f>
        <v>#N/A</v>
      </c>
      <c r="O23" s="93" t="e">
        <f>VLOOKUP($A23, 'Matriz POA 2024-TRABAJO'!$A$5:$CY$9142,45,FALSE)</f>
        <v>#N/A</v>
      </c>
      <c r="P23" s="93" t="e">
        <f>VLOOKUP($A23, 'Matriz POA 2024-TRABAJO'!$A$5:$CY$9142,46,FALSE)</f>
        <v>#N/A</v>
      </c>
      <c r="Q23" s="93" t="e">
        <f>VLOOKUP($A23, 'Matriz POA 2024-TRABAJO'!$A$5:$CY$9142,47,FALSE)</f>
        <v>#N/A</v>
      </c>
      <c r="R23" s="94">
        <f t="shared" si="20"/>
        <v>13522.65</v>
      </c>
      <c r="S23" s="95" t="e">
        <f t="shared" si="21"/>
        <v>#N/A</v>
      </c>
      <c r="T23" s="93" t="e">
        <f>VLOOKUP($A23, 'Matriz POA 2024-TRABAJO'!$A$5:$CY$9142,72,FALSE)</f>
        <v>#N/A</v>
      </c>
      <c r="U23" s="93" t="e">
        <f>VLOOKUP($A23, 'Matriz POA 2024-TRABAJO'!$A$5:$CY$9142,29,FALSE)</f>
        <v>#N/A</v>
      </c>
      <c r="V23" s="94" t="str">
        <f t="shared" si="41"/>
        <v>1ar-lp-50ar-Lp80ar-</v>
      </c>
      <c r="W23" s="96" t="s">
        <v>1106</v>
      </c>
      <c r="X23" s="96">
        <v>45303</v>
      </c>
      <c r="Y23" s="97" t="s">
        <v>1107</v>
      </c>
      <c r="Z23" s="96">
        <v>45303</v>
      </c>
      <c r="AA23" s="98">
        <v>4000</v>
      </c>
      <c r="AB23" s="98"/>
      <c r="AC23" s="99">
        <f t="shared" si="22"/>
        <v>0</v>
      </c>
      <c r="AD23" s="100" t="s">
        <v>1108</v>
      </c>
      <c r="AE23" s="262" t="s">
        <v>994</v>
      </c>
      <c r="AF23" s="101">
        <v>45373</v>
      </c>
      <c r="AG23" s="151" t="s">
        <v>995</v>
      </c>
      <c r="AH23" s="101">
        <v>45390</v>
      </c>
      <c r="AI23" s="98">
        <v>-2.84</v>
      </c>
      <c r="AJ23" s="98"/>
      <c r="AK23" s="99">
        <f t="shared" si="23"/>
        <v>17</v>
      </c>
      <c r="AL23" s="99" t="s">
        <v>1109</v>
      </c>
      <c r="AM23" s="93" t="s">
        <v>1119</v>
      </c>
      <c r="AN23" s="105">
        <v>45392</v>
      </c>
      <c r="AO23" s="93" t="s">
        <v>1120</v>
      </c>
      <c r="AP23" s="105">
        <v>45392</v>
      </c>
      <c r="AQ23" s="98">
        <v>4385</v>
      </c>
      <c r="AR23" s="98"/>
      <c r="AS23" s="99">
        <f t="shared" si="24"/>
        <v>0</v>
      </c>
      <c r="AT23" s="99" t="s">
        <v>1249</v>
      </c>
      <c r="AU23" s="96" t="s">
        <v>1845</v>
      </c>
      <c r="AV23" s="96">
        <v>45392</v>
      </c>
      <c r="AW23" s="93"/>
      <c r="AX23" s="96">
        <v>45435</v>
      </c>
      <c r="AY23" s="98">
        <v>-11.77</v>
      </c>
      <c r="AZ23" s="98"/>
      <c r="BA23" s="99">
        <f t="shared" si="25"/>
        <v>43</v>
      </c>
      <c r="BB23" s="99" t="s">
        <v>1846</v>
      </c>
      <c r="BC23" s="96" t="s">
        <v>1841</v>
      </c>
      <c r="BD23" s="96">
        <v>45434</v>
      </c>
      <c r="BE23" s="93"/>
      <c r="BF23" s="96">
        <v>45435</v>
      </c>
      <c r="BG23" s="102">
        <v>5152.26</v>
      </c>
      <c r="BH23" s="102"/>
      <c r="BI23" s="93">
        <f t="shared" si="26"/>
        <v>1</v>
      </c>
      <c r="BJ23" s="93" t="s">
        <v>1850</v>
      </c>
      <c r="BK23" s="93"/>
      <c r="BL23" s="103"/>
      <c r="BM23" s="93"/>
      <c r="BN23" s="103"/>
      <c r="BO23" s="94"/>
      <c r="BP23" s="94"/>
      <c r="BQ23" s="93">
        <f t="shared" si="27"/>
        <v>0</v>
      </c>
      <c r="BR23" s="93"/>
      <c r="BS23" s="93"/>
      <c r="BT23" s="103"/>
      <c r="BU23" s="93"/>
      <c r="BV23" s="103"/>
      <c r="BW23" s="94"/>
      <c r="BX23" s="94"/>
      <c r="BY23" s="93">
        <f t="shared" si="28"/>
        <v>0</v>
      </c>
      <c r="BZ23" s="93"/>
      <c r="CA23" s="104"/>
      <c r="CB23" s="105"/>
      <c r="CC23" s="106"/>
      <c r="CD23" s="107"/>
      <c r="CE23" s="94"/>
      <c r="CF23" s="94"/>
      <c r="CG23" s="93">
        <f t="shared" si="29"/>
        <v>0</v>
      </c>
      <c r="CH23" s="93"/>
      <c r="CI23" s="106"/>
      <c r="CJ23" s="105"/>
      <c r="CK23" s="93"/>
      <c r="CL23" s="105"/>
      <c r="CM23" s="108"/>
      <c r="CN23" s="108"/>
      <c r="CO23" s="93">
        <f t="shared" si="30"/>
        <v>0</v>
      </c>
      <c r="CP23" s="93"/>
      <c r="CQ23" s="93"/>
      <c r="CR23" s="93"/>
      <c r="CS23" s="93"/>
      <c r="CT23" s="93"/>
      <c r="CU23" s="93"/>
      <c r="CV23" s="93"/>
      <c r="CW23" s="93">
        <f t="shared" si="31"/>
        <v>0</v>
      </c>
      <c r="CX23" s="93"/>
      <c r="CY23" s="93" t="str">
        <f>TEXT(X23,"MMMM")</f>
        <v>enero</v>
      </c>
      <c r="CZ23" s="93" t="str">
        <f t="shared" si="32"/>
        <v>marzo</v>
      </c>
      <c r="DA23" s="93" t="str">
        <f t="shared" si="33"/>
        <v>abril</v>
      </c>
      <c r="DB23" s="93" t="str">
        <f t="shared" si="34"/>
        <v>abril</v>
      </c>
      <c r="DC23" s="93" t="str">
        <f t="shared" si="35"/>
        <v>mayo</v>
      </c>
      <c r="DD23" s="93" t="str">
        <f t="shared" si="36"/>
        <v>enero</v>
      </c>
      <c r="DE23" s="93" t="str">
        <f t="shared" si="37"/>
        <v>enero</v>
      </c>
      <c r="DF23" s="93" t="str">
        <f t="shared" si="38"/>
        <v>enero</v>
      </c>
      <c r="DG23" s="93" t="str">
        <f t="shared" si="39"/>
        <v>enero</v>
      </c>
      <c r="DH23" s="93" t="str">
        <f t="shared" si="40"/>
        <v>enero</v>
      </c>
    </row>
    <row r="24" spans="1:112" ht="15" hidden="1" customHeight="1">
      <c r="A24" s="93">
        <v>563</v>
      </c>
      <c r="B24" s="93" t="e">
        <f>VLOOKUP($A24,  'Matriz POA 2024-TRABAJO'!$A$5:$CY$9142,29,FALSE)</f>
        <v>#N/A</v>
      </c>
      <c r="C24" s="93" t="e">
        <f>VLOOKUP($A24, 'Matriz POA 2024-TRABAJO'!$A$5:$CY$9142,11,FALSE)</f>
        <v>#N/A</v>
      </c>
      <c r="D24" s="93" t="e">
        <f>VLOOKUP($A24, 'Matriz POA 2024-TRABAJO'!$A$5:$CY$9142,14,FALSE)</f>
        <v>#N/A</v>
      </c>
      <c r="E24" s="93" t="e">
        <f>VLOOKUP($A24, 'Matriz POA 2024-TRABAJO'!$A$5:$CY$9142,15,FALSE)</f>
        <v>#N/A</v>
      </c>
      <c r="F24" s="93" t="e">
        <f>VLOOKUP($A24, 'Matriz POA 2024-TRABAJO'!$A$5:$CY$9142,18,FALSE)</f>
        <v>#N/A</v>
      </c>
      <c r="G24" s="93" t="e">
        <f>VLOOKUP($A24, 'Matriz POA 2024-TRABAJO'!$A$5:$CY$9142,23,FALSE)</f>
        <v>#N/A</v>
      </c>
      <c r="H24" s="93" t="e">
        <f>VLOOKUP($A24, 'Matriz POA 2024-TRABAJO'!$A$5:$CY$9142,24,FALSE)</f>
        <v>#N/A</v>
      </c>
      <c r="I24" s="93" t="e">
        <f>VLOOKUP($A24, 'Matriz POA 2024-TRABAJO'!$A$5:$CY$9142,20,FALSE)</f>
        <v>#N/A</v>
      </c>
      <c r="J24" s="93" t="e">
        <f>VLOOKUP($A24, 'Matriz POA 2024-TRABAJO'!$A$5:$CY$9142,26,FALSE)</f>
        <v>#N/A</v>
      </c>
      <c r="K24" s="93" t="e">
        <f>VLOOKUP($A24, 'Matriz POA 2024-TRABAJO'!$A$5:$CY$9142,27,FALSE)</f>
        <v>#N/A</v>
      </c>
      <c r="L24" s="93" t="e">
        <f>VLOOKUP($A24, 'Matriz POA 2024-TRABAJO'!$A$5:$CY$9142,28,FALSE)</f>
        <v>#N/A</v>
      </c>
      <c r="M24" s="93" t="e">
        <f>VLOOKUP($A24, 'Matriz POA 2024-TRABAJO'!$A$5:$CY$9142,30,FALSE)</f>
        <v>#N/A</v>
      </c>
      <c r="N24" s="93" t="e">
        <f>VLOOKUP($A24, 'Matriz POA 2024-TRABAJO'!$A$5:$CY$9142,31,FALSE)</f>
        <v>#N/A</v>
      </c>
      <c r="O24" s="93" t="e">
        <f>VLOOKUP($A24, 'Matriz POA 2024-TRABAJO'!$A$5:$CY$9142,45,FALSE)</f>
        <v>#N/A</v>
      </c>
      <c r="P24" s="93" t="e">
        <f>VLOOKUP($A24, 'Matriz POA 2024-TRABAJO'!$A$5:$CY$9142,46,FALSE)</f>
        <v>#N/A</v>
      </c>
      <c r="Q24" s="93" t="e">
        <f>VLOOKUP($A24, 'Matriz POA 2024-TRABAJO'!$A$5:$CY$9142,47,FALSE)</f>
        <v>#N/A</v>
      </c>
      <c r="R24" s="94">
        <f t="shared" si="20"/>
        <v>500</v>
      </c>
      <c r="S24" s="95" t="e">
        <f t="shared" si="21"/>
        <v>#N/A</v>
      </c>
      <c r="T24" s="93" t="e">
        <f>VLOOKUP($A24, 'Matriz POA 2024-TRABAJO'!$A$5:$CY$9142,72,FALSE)</f>
        <v>#N/A</v>
      </c>
      <c r="U24" s="93" t="e">
        <f>VLOOKUP($A24, 'Matriz POA 2024-TRABAJO'!$A$5:$CY$9142,29,FALSE)</f>
        <v>#N/A</v>
      </c>
      <c r="V24" s="94" t="str">
        <f t="shared" si="41"/>
        <v>1ar-lp-50ar-Lp80ar-</v>
      </c>
      <c r="W24" s="96" t="s">
        <v>1106</v>
      </c>
      <c r="X24" s="96">
        <v>45303</v>
      </c>
      <c r="Y24" s="97" t="s">
        <v>1107</v>
      </c>
      <c r="Z24" s="96">
        <v>45303</v>
      </c>
      <c r="AA24" s="98">
        <v>500</v>
      </c>
      <c r="AB24" s="98"/>
      <c r="AC24" s="99">
        <f t="shared" si="22"/>
        <v>0</v>
      </c>
      <c r="AD24" s="100" t="s">
        <v>1108</v>
      </c>
      <c r="AE24" s="262" t="s">
        <v>994</v>
      </c>
      <c r="AF24" s="101">
        <v>45373</v>
      </c>
      <c r="AG24" s="151" t="s">
        <v>995</v>
      </c>
      <c r="AH24" s="101">
        <v>45390</v>
      </c>
      <c r="AI24" s="98">
        <v>-484</v>
      </c>
      <c r="AJ24" s="98"/>
      <c r="AK24" s="99">
        <f t="shared" si="23"/>
        <v>17</v>
      </c>
      <c r="AL24" s="99" t="s">
        <v>1109</v>
      </c>
      <c r="AM24" s="93" t="s">
        <v>1119</v>
      </c>
      <c r="AN24" s="105">
        <v>45392</v>
      </c>
      <c r="AO24" s="93" t="s">
        <v>1120</v>
      </c>
      <c r="AP24" s="105">
        <v>45392</v>
      </c>
      <c r="AQ24" s="98">
        <v>484</v>
      </c>
      <c r="AR24" s="98"/>
      <c r="AS24" s="99">
        <f t="shared" si="24"/>
        <v>0</v>
      </c>
      <c r="AT24" s="99" t="s">
        <v>1249</v>
      </c>
      <c r="AU24" s="96" t="s">
        <v>1845</v>
      </c>
      <c r="AV24" s="96">
        <v>45392</v>
      </c>
      <c r="AW24" s="93"/>
      <c r="AX24" s="96">
        <v>45435</v>
      </c>
      <c r="AY24" s="98">
        <v>-474</v>
      </c>
      <c r="AZ24" s="98"/>
      <c r="BA24" s="99">
        <f t="shared" si="25"/>
        <v>43</v>
      </c>
      <c r="BB24" s="99" t="s">
        <v>1846</v>
      </c>
      <c r="BC24" s="96" t="s">
        <v>1841</v>
      </c>
      <c r="BD24" s="96">
        <v>45434</v>
      </c>
      <c r="BE24" s="93"/>
      <c r="BF24" s="96">
        <v>45435</v>
      </c>
      <c r="BG24" s="102">
        <v>474</v>
      </c>
      <c r="BH24" s="102"/>
      <c r="BI24" s="93">
        <f t="shared" si="26"/>
        <v>1</v>
      </c>
      <c r="BJ24" s="93" t="s">
        <v>1850</v>
      </c>
      <c r="BK24" s="93"/>
      <c r="BL24" s="103"/>
      <c r="BM24" s="93"/>
      <c r="BN24" s="103"/>
      <c r="BO24" s="94"/>
      <c r="BP24" s="94"/>
      <c r="BQ24" s="93">
        <f t="shared" si="27"/>
        <v>0</v>
      </c>
      <c r="BR24" s="93"/>
      <c r="BS24" s="93"/>
      <c r="BT24" s="103"/>
      <c r="BU24" s="93"/>
      <c r="BV24" s="103"/>
      <c r="BW24" s="94"/>
      <c r="BX24" s="94"/>
      <c r="BY24" s="93">
        <f t="shared" si="28"/>
        <v>0</v>
      </c>
      <c r="BZ24" s="93"/>
      <c r="CA24" s="104"/>
      <c r="CB24" s="105"/>
      <c r="CC24" s="106"/>
      <c r="CD24" s="107"/>
      <c r="CE24" s="94"/>
      <c r="CF24" s="94"/>
      <c r="CG24" s="93">
        <f t="shared" si="29"/>
        <v>0</v>
      </c>
      <c r="CH24" s="93"/>
      <c r="CI24" s="106"/>
      <c r="CJ24" s="105"/>
      <c r="CK24" s="93"/>
      <c r="CL24" s="105"/>
      <c r="CM24" s="108"/>
      <c r="CN24" s="108"/>
      <c r="CO24" s="93">
        <f t="shared" si="30"/>
        <v>0</v>
      </c>
      <c r="CP24" s="93"/>
      <c r="CQ24" s="93"/>
      <c r="CR24" s="93"/>
      <c r="CS24" s="93"/>
      <c r="CT24" s="93"/>
      <c r="CU24" s="93"/>
      <c r="CV24" s="93"/>
      <c r="CW24" s="93">
        <f t="shared" si="31"/>
        <v>0</v>
      </c>
      <c r="CX24" s="93"/>
      <c r="CY24" s="93" t="str">
        <f>TEXT(X24,"MMMM")</f>
        <v>enero</v>
      </c>
      <c r="CZ24" s="93" t="str">
        <f t="shared" si="32"/>
        <v>marzo</v>
      </c>
      <c r="DA24" s="93" t="str">
        <f t="shared" si="33"/>
        <v>abril</v>
      </c>
      <c r="DB24" s="93" t="str">
        <f t="shared" si="34"/>
        <v>abril</v>
      </c>
      <c r="DC24" s="93" t="str">
        <f t="shared" si="35"/>
        <v>mayo</v>
      </c>
      <c r="DD24" s="93" t="str">
        <f t="shared" si="36"/>
        <v>enero</v>
      </c>
      <c r="DE24" s="93" t="str">
        <f t="shared" si="37"/>
        <v>enero</v>
      </c>
      <c r="DF24" s="93" t="str">
        <f t="shared" si="38"/>
        <v>enero</v>
      </c>
      <c r="DG24" s="93" t="str">
        <f t="shared" si="39"/>
        <v>enero</v>
      </c>
      <c r="DH24" s="93" t="str">
        <f t="shared" si="40"/>
        <v>enero</v>
      </c>
    </row>
    <row r="25" spans="1:112" s="21" customFormat="1" ht="26.45" hidden="1" customHeight="1">
      <c r="A25" s="93">
        <v>564</v>
      </c>
      <c r="B25" s="93" t="e">
        <f>VLOOKUP($A25,  'Matriz POA 2024-TRABAJO'!$A$5:$CY$9142,29,FALSE)</f>
        <v>#N/A</v>
      </c>
      <c r="C25" s="93" t="e">
        <f>VLOOKUP($A25, 'Matriz POA 2024-TRABAJO'!$A$5:$CY$9142,11,FALSE)</f>
        <v>#N/A</v>
      </c>
      <c r="D25" s="93" t="e">
        <f>VLOOKUP($A25, 'Matriz POA 2024-TRABAJO'!$A$5:$CY$9142,14,FALSE)</f>
        <v>#N/A</v>
      </c>
      <c r="E25" s="93" t="e">
        <f>VLOOKUP($A25, 'Matriz POA 2024-TRABAJO'!$A$5:$CY$9142,15,FALSE)</f>
        <v>#N/A</v>
      </c>
      <c r="F25" s="93" t="e">
        <f>VLOOKUP($A25, 'Matriz POA 2024-TRABAJO'!$A$5:$CY$9142,18,FALSE)</f>
        <v>#N/A</v>
      </c>
      <c r="G25" s="93" t="e">
        <f>VLOOKUP($A25, 'Matriz POA 2024-TRABAJO'!$A$5:$CY$9142,23,FALSE)</f>
        <v>#N/A</v>
      </c>
      <c r="H25" s="93" t="e">
        <f>VLOOKUP($A25, 'Matriz POA 2024-TRABAJO'!$A$5:$CY$9142,24,FALSE)</f>
        <v>#N/A</v>
      </c>
      <c r="I25" s="93" t="e">
        <f>VLOOKUP($A25, 'Matriz POA 2024-TRABAJO'!$A$5:$CY$9142,20,FALSE)</f>
        <v>#N/A</v>
      </c>
      <c r="J25" s="93" t="e">
        <f>VLOOKUP($A25, 'Matriz POA 2024-TRABAJO'!$A$5:$CY$9142,26,FALSE)</f>
        <v>#N/A</v>
      </c>
      <c r="K25" s="93" t="e">
        <f>VLOOKUP($A25, 'Matriz POA 2024-TRABAJO'!$A$5:$CY$9142,27,FALSE)</f>
        <v>#N/A</v>
      </c>
      <c r="L25" s="93" t="e">
        <f>VLOOKUP($A25, 'Matriz POA 2024-TRABAJO'!$A$5:$CY$9142,28,FALSE)</f>
        <v>#N/A</v>
      </c>
      <c r="M25" s="93" t="e">
        <f>VLOOKUP($A25, 'Matriz POA 2024-TRABAJO'!$A$5:$CY$9142,30,FALSE)</f>
        <v>#N/A</v>
      </c>
      <c r="N25" s="93" t="e">
        <f>VLOOKUP($A25, 'Matriz POA 2024-TRABAJO'!$A$5:$CY$9142,31,FALSE)</f>
        <v>#N/A</v>
      </c>
      <c r="O25" s="93" t="e">
        <f>VLOOKUP($A25, 'Matriz POA 2024-TRABAJO'!$A$5:$CY$9142,45,FALSE)</f>
        <v>#N/A</v>
      </c>
      <c r="P25" s="93" t="e">
        <f>VLOOKUP($A25, 'Matriz POA 2024-TRABAJO'!$A$5:$CY$9142,46,FALSE)</f>
        <v>#N/A</v>
      </c>
      <c r="Q25" s="93" t="e">
        <f>VLOOKUP($A25, 'Matriz POA 2024-TRABAJO'!$A$5:$CY$9142,47,FALSE)</f>
        <v>#N/A</v>
      </c>
      <c r="R25" s="94">
        <f t="shared" si="20"/>
        <v>785.18000000000006</v>
      </c>
      <c r="S25" s="95" t="e">
        <f t="shared" si="21"/>
        <v>#N/A</v>
      </c>
      <c r="T25" s="93" t="e">
        <f>VLOOKUP($A25, 'Matriz POA 2024-TRABAJO'!$A$5:$CY$9142,72,FALSE)</f>
        <v>#N/A</v>
      </c>
      <c r="U25" s="93" t="e">
        <f>VLOOKUP($A25, 'Matriz POA 2024-TRABAJO'!$A$5:$CY$9142,29,FALSE)</f>
        <v>#N/A</v>
      </c>
      <c r="V25" s="94" t="str">
        <f t="shared" si="41"/>
        <v>1ar-lp-50ar-Lp80ar-</v>
      </c>
      <c r="W25" s="96" t="s">
        <v>1106</v>
      </c>
      <c r="X25" s="96">
        <v>45303</v>
      </c>
      <c r="Y25" s="97" t="s">
        <v>1107</v>
      </c>
      <c r="Z25" s="96">
        <v>45303</v>
      </c>
      <c r="AA25" s="98">
        <v>500</v>
      </c>
      <c r="AB25" s="98"/>
      <c r="AC25" s="99">
        <f t="shared" si="22"/>
        <v>0</v>
      </c>
      <c r="AD25" s="100" t="s">
        <v>1108</v>
      </c>
      <c r="AE25" s="262" t="s">
        <v>994</v>
      </c>
      <c r="AF25" s="101">
        <v>45373</v>
      </c>
      <c r="AG25" s="151" t="s">
        <v>995</v>
      </c>
      <c r="AH25" s="101">
        <v>45390</v>
      </c>
      <c r="AI25" s="98">
        <v>-107.41</v>
      </c>
      <c r="AJ25" s="98"/>
      <c r="AK25" s="99">
        <f t="shared" si="23"/>
        <v>17</v>
      </c>
      <c r="AL25" s="99" t="s">
        <v>1109</v>
      </c>
      <c r="AM25" s="93" t="s">
        <v>1119</v>
      </c>
      <c r="AN25" s="105">
        <v>45392</v>
      </c>
      <c r="AO25" s="93" t="s">
        <v>1120</v>
      </c>
      <c r="AP25" s="105">
        <v>45392</v>
      </c>
      <c r="AQ25" s="98">
        <v>392.59000000000003</v>
      </c>
      <c r="AR25" s="98"/>
      <c r="AS25" s="99">
        <f t="shared" si="24"/>
        <v>0</v>
      </c>
      <c r="AT25" s="99" t="s">
        <v>1249</v>
      </c>
      <c r="AU25" s="96" t="s">
        <v>1845</v>
      </c>
      <c r="AV25" s="96">
        <v>45392</v>
      </c>
      <c r="AW25" s="93"/>
      <c r="AX25" s="96">
        <v>45435</v>
      </c>
      <c r="AY25" s="98">
        <v>-163.57</v>
      </c>
      <c r="AZ25" s="98"/>
      <c r="BA25" s="99">
        <f t="shared" si="25"/>
        <v>43</v>
      </c>
      <c r="BB25" s="99" t="s">
        <v>1846</v>
      </c>
      <c r="BC25" s="96" t="s">
        <v>1841</v>
      </c>
      <c r="BD25" s="96">
        <v>45434</v>
      </c>
      <c r="BE25" s="93"/>
      <c r="BF25" s="96">
        <v>45435</v>
      </c>
      <c r="BG25" s="102">
        <v>163.56999999999994</v>
      </c>
      <c r="BH25" s="102"/>
      <c r="BI25" s="93">
        <f t="shared" si="26"/>
        <v>1</v>
      </c>
      <c r="BJ25" s="93" t="s">
        <v>1850</v>
      </c>
      <c r="BK25" s="93"/>
      <c r="BL25" s="103"/>
      <c r="BM25" s="93"/>
      <c r="BN25" s="103"/>
      <c r="BO25" s="94"/>
      <c r="BP25" s="94"/>
      <c r="BQ25" s="93">
        <f t="shared" si="27"/>
        <v>0</v>
      </c>
      <c r="BR25" s="93"/>
      <c r="BS25" s="93"/>
      <c r="BT25" s="103"/>
      <c r="BU25" s="93"/>
      <c r="BV25" s="103"/>
      <c r="BW25" s="94"/>
      <c r="BX25" s="94"/>
      <c r="BY25" s="93">
        <f t="shared" si="28"/>
        <v>0</v>
      </c>
      <c r="BZ25" s="93"/>
      <c r="CA25" s="104"/>
      <c r="CB25" s="105"/>
      <c r="CC25" s="106"/>
      <c r="CD25" s="107"/>
      <c r="CE25" s="94"/>
      <c r="CF25" s="94"/>
      <c r="CG25" s="93">
        <f t="shared" si="29"/>
        <v>0</v>
      </c>
      <c r="CH25" s="93"/>
      <c r="CI25" s="106"/>
      <c r="CJ25" s="105"/>
      <c r="CK25" s="93"/>
      <c r="CL25" s="105"/>
      <c r="CM25" s="108"/>
      <c r="CN25" s="108"/>
      <c r="CO25" s="93">
        <f t="shared" si="30"/>
        <v>0</v>
      </c>
      <c r="CP25" s="93"/>
      <c r="CQ25" s="93"/>
      <c r="CR25" s="93"/>
      <c r="CS25" s="93"/>
      <c r="CT25" s="93"/>
      <c r="CU25" s="93"/>
      <c r="CV25" s="93"/>
      <c r="CW25" s="93">
        <f t="shared" si="31"/>
        <v>0</v>
      </c>
      <c r="CX25" s="93"/>
      <c r="CY25" s="93" t="str">
        <f>TEXT(Z25,"MMMM")</f>
        <v>enero</v>
      </c>
      <c r="CZ25" s="93" t="str">
        <f t="shared" si="32"/>
        <v>marzo</v>
      </c>
      <c r="DA25" s="93" t="str">
        <f t="shared" si="33"/>
        <v>abril</v>
      </c>
      <c r="DB25" s="93" t="str">
        <f t="shared" si="34"/>
        <v>abril</v>
      </c>
      <c r="DC25" s="93" t="str">
        <f t="shared" si="35"/>
        <v>mayo</v>
      </c>
      <c r="DD25" s="93" t="str">
        <f t="shared" si="36"/>
        <v>enero</v>
      </c>
      <c r="DE25" s="93" t="str">
        <f t="shared" si="37"/>
        <v>enero</v>
      </c>
      <c r="DF25" s="93" t="str">
        <f t="shared" si="38"/>
        <v>enero</v>
      </c>
      <c r="DG25" s="93" t="str">
        <f t="shared" si="39"/>
        <v>enero</v>
      </c>
      <c r="DH25" s="93" t="str">
        <f t="shared" si="40"/>
        <v>enero</v>
      </c>
    </row>
    <row r="26" spans="1:112" s="21" customFormat="1" ht="18.75" hidden="1" customHeight="1">
      <c r="A26" s="93">
        <v>565</v>
      </c>
      <c r="B26" s="93" t="e">
        <f>VLOOKUP($A26,  'Matriz POA 2024-TRABAJO'!$A$5:$CY$9142,29,FALSE)</f>
        <v>#N/A</v>
      </c>
      <c r="C26" s="93" t="e">
        <f>VLOOKUP($A26, 'Matriz POA 2024-TRABAJO'!$A$5:$CY$9142,11,FALSE)</f>
        <v>#N/A</v>
      </c>
      <c r="D26" s="93" t="e">
        <f>VLOOKUP($A26, 'Matriz POA 2024-TRABAJO'!$A$5:$CY$9142,14,FALSE)</f>
        <v>#N/A</v>
      </c>
      <c r="E26" s="93" t="e">
        <f>VLOOKUP($A26, 'Matriz POA 2024-TRABAJO'!$A$5:$CY$9142,15,FALSE)</f>
        <v>#N/A</v>
      </c>
      <c r="F26" s="93" t="e">
        <f>VLOOKUP($A26, 'Matriz POA 2024-TRABAJO'!$A$5:$CY$9142,18,FALSE)</f>
        <v>#N/A</v>
      </c>
      <c r="G26" s="93" t="e">
        <f>VLOOKUP($A26, 'Matriz POA 2024-TRABAJO'!$A$5:$CY$9142,23,FALSE)</f>
        <v>#N/A</v>
      </c>
      <c r="H26" s="93" t="e">
        <f>VLOOKUP($A26, 'Matriz POA 2024-TRABAJO'!$A$5:$CY$9142,24,FALSE)</f>
        <v>#N/A</v>
      </c>
      <c r="I26" s="93" t="e">
        <f>VLOOKUP($A26, 'Matriz POA 2024-TRABAJO'!$A$5:$CY$9142,20,FALSE)</f>
        <v>#N/A</v>
      </c>
      <c r="J26" s="93" t="e">
        <f>VLOOKUP($A26, 'Matriz POA 2024-TRABAJO'!$A$5:$CY$9142,26,FALSE)</f>
        <v>#N/A</v>
      </c>
      <c r="K26" s="93" t="e">
        <f>VLOOKUP($A26, 'Matriz POA 2024-TRABAJO'!$A$5:$CY$9142,27,FALSE)</f>
        <v>#N/A</v>
      </c>
      <c r="L26" s="93" t="e">
        <f>VLOOKUP($A26, 'Matriz POA 2024-TRABAJO'!$A$5:$CY$9142,28,FALSE)</f>
        <v>#N/A</v>
      </c>
      <c r="M26" s="93" t="e">
        <f>VLOOKUP($A26, 'Matriz POA 2024-TRABAJO'!$A$5:$CY$9142,30,FALSE)</f>
        <v>#N/A</v>
      </c>
      <c r="N26" s="93" t="e">
        <f>VLOOKUP($A26, 'Matriz POA 2024-TRABAJO'!$A$5:$CY$9142,31,FALSE)</f>
        <v>#N/A</v>
      </c>
      <c r="O26" s="93" t="e">
        <f>VLOOKUP($A26, 'Matriz POA 2024-TRABAJO'!$A$5:$CY$9142,45,FALSE)</f>
        <v>#N/A</v>
      </c>
      <c r="P26" s="93" t="e">
        <f>VLOOKUP($A26, 'Matriz POA 2024-TRABAJO'!$A$5:$CY$9142,46,FALSE)</f>
        <v>#N/A</v>
      </c>
      <c r="Q26" s="93" t="e">
        <f>VLOOKUP($A26, 'Matriz POA 2024-TRABAJO'!$A$5:$CY$9142,47,FALSE)</f>
        <v>#N/A</v>
      </c>
      <c r="R26" s="94">
        <f t="shared" si="20"/>
        <v>500</v>
      </c>
      <c r="S26" s="95" t="e">
        <f t="shared" si="21"/>
        <v>#N/A</v>
      </c>
      <c r="T26" s="93" t="e">
        <f>VLOOKUP($A26, 'Matriz POA 2024-TRABAJO'!$A$5:$CY$9142,72,FALSE)</f>
        <v>#N/A</v>
      </c>
      <c r="U26" s="93" t="e">
        <f>VLOOKUP($A26, 'Matriz POA 2024-TRABAJO'!$A$5:$CY$9142,29,FALSE)</f>
        <v>#N/A</v>
      </c>
      <c r="V26" s="94" t="str">
        <f t="shared" si="41"/>
        <v>1ar-lp-50ar-Lp80ar-</v>
      </c>
      <c r="W26" s="96" t="s">
        <v>1106</v>
      </c>
      <c r="X26" s="96">
        <v>45303</v>
      </c>
      <c r="Y26" s="97" t="s">
        <v>1107</v>
      </c>
      <c r="Z26" s="96">
        <v>45303</v>
      </c>
      <c r="AA26" s="98">
        <v>500</v>
      </c>
      <c r="AB26" s="98"/>
      <c r="AC26" s="99">
        <f t="shared" si="22"/>
        <v>0</v>
      </c>
      <c r="AD26" s="100" t="s">
        <v>1108</v>
      </c>
      <c r="AE26" s="262" t="s">
        <v>994</v>
      </c>
      <c r="AF26" s="101">
        <v>45373</v>
      </c>
      <c r="AG26" s="151" t="s">
        <v>995</v>
      </c>
      <c r="AH26" s="101">
        <v>45390</v>
      </c>
      <c r="AI26" s="98">
        <v>-500</v>
      </c>
      <c r="AJ26" s="98"/>
      <c r="AK26" s="99">
        <f t="shared" si="23"/>
        <v>17</v>
      </c>
      <c r="AL26" s="99" t="s">
        <v>1109</v>
      </c>
      <c r="AM26" s="93" t="s">
        <v>1119</v>
      </c>
      <c r="AN26" s="105">
        <v>45392</v>
      </c>
      <c r="AO26" s="93" t="s">
        <v>1120</v>
      </c>
      <c r="AP26" s="105">
        <v>45392</v>
      </c>
      <c r="AQ26" s="98">
        <v>500</v>
      </c>
      <c r="AR26" s="98"/>
      <c r="AS26" s="99">
        <f t="shared" si="24"/>
        <v>0</v>
      </c>
      <c r="AT26" s="99" t="s">
        <v>1249</v>
      </c>
      <c r="AU26" s="96" t="s">
        <v>1845</v>
      </c>
      <c r="AV26" s="96">
        <v>45392</v>
      </c>
      <c r="AW26" s="93"/>
      <c r="AX26" s="96">
        <v>45435</v>
      </c>
      <c r="AY26" s="98">
        <v>-500</v>
      </c>
      <c r="AZ26" s="98"/>
      <c r="BA26" s="99">
        <f t="shared" si="25"/>
        <v>43</v>
      </c>
      <c r="BB26" s="99" t="s">
        <v>1846</v>
      </c>
      <c r="BC26" s="96" t="s">
        <v>1841</v>
      </c>
      <c r="BD26" s="96">
        <v>45434</v>
      </c>
      <c r="BE26" s="93"/>
      <c r="BF26" s="96">
        <v>45435</v>
      </c>
      <c r="BG26" s="102">
        <v>500</v>
      </c>
      <c r="BH26" s="102"/>
      <c r="BI26" s="93">
        <f t="shared" si="26"/>
        <v>1</v>
      </c>
      <c r="BJ26" s="93" t="s">
        <v>1850</v>
      </c>
      <c r="BK26" s="93"/>
      <c r="BL26" s="103"/>
      <c r="BM26" s="93"/>
      <c r="BN26" s="103"/>
      <c r="BO26" s="94"/>
      <c r="BP26" s="94"/>
      <c r="BQ26" s="93">
        <f t="shared" si="27"/>
        <v>0</v>
      </c>
      <c r="BR26" s="93"/>
      <c r="BS26" s="93"/>
      <c r="BT26" s="103"/>
      <c r="BU26" s="93"/>
      <c r="BV26" s="103"/>
      <c r="BW26" s="94"/>
      <c r="BX26" s="94"/>
      <c r="BY26" s="93">
        <f t="shared" si="28"/>
        <v>0</v>
      </c>
      <c r="BZ26" s="93"/>
      <c r="CA26" s="104"/>
      <c r="CB26" s="105"/>
      <c r="CC26" s="106"/>
      <c r="CD26" s="107"/>
      <c r="CE26" s="94"/>
      <c r="CF26" s="94"/>
      <c r="CG26" s="93">
        <f t="shared" si="29"/>
        <v>0</v>
      </c>
      <c r="CH26" s="93"/>
      <c r="CI26" s="106"/>
      <c r="CJ26" s="105"/>
      <c r="CK26" s="93"/>
      <c r="CL26" s="105"/>
      <c r="CM26" s="108"/>
      <c r="CN26" s="108"/>
      <c r="CO26" s="93">
        <f t="shared" si="30"/>
        <v>0</v>
      </c>
      <c r="CP26" s="93"/>
      <c r="CQ26" s="93"/>
      <c r="CR26" s="93"/>
      <c r="CS26" s="93"/>
      <c r="CT26" s="93"/>
      <c r="CU26" s="93"/>
      <c r="CV26" s="93"/>
      <c r="CW26" s="93">
        <f t="shared" si="31"/>
        <v>0</v>
      </c>
      <c r="CX26" s="93"/>
      <c r="CY26" s="93" t="str">
        <f>TEXT(X26,"MMMM")</f>
        <v>enero</v>
      </c>
      <c r="CZ26" s="93" t="str">
        <f t="shared" si="32"/>
        <v>marzo</v>
      </c>
      <c r="DA26" s="93" t="str">
        <f t="shared" si="33"/>
        <v>abril</v>
      </c>
      <c r="DB26" s="93" t="str">
        <f t="shared" si="34"/>
        <v>abril</v>
      </c>
      <c r="DC26" s="93" t="str">
        <f t="shared" si="35"/>
        <v>mayo</v>
      </c>
      <c r="DD26" s="93" t="str">
        <f t="shared" si="36"/>
        <v>enero</v>
      </c>
      <c r="DE26" s="93" t="str">
        <f t="shared" si="37"/>
        <v>enero</v>
      </c>
      <c r="DF26" s="93" t="str">
        <f t="shared" si="38"/>
        <v>enero</v>
      </c>
      <c r="DG26" s="93" t="str">
        <f t="shared" si="39"/>
        <v>enero</v>
      </c>
      <c r="DH26" s="93" t="str">
        <f t="shared" si="40"/>
        <v>enero</v>
      </c>
    </row>
    <row r="27" spans="1:112" s="21" customFormat="1" ht="18.75" hidden="1" customHeight="1">
      <c r="A27" s="93">
        <v>566</v>
      </c>
      <c r="B27" s="93" t="e">
        <f>VLOOKUP($A27,  'Matriz POA 2024-TRABAJO'!$A$5:$CY$9142,29,FALSE)</f>
        <v>#N/A</v>
      </c>
      <c r="C27" s="93" t="e">
        <f>VLOOKUP($A27, 'Matriz POA 2024-TRABAJO'!$A$5:$CY$9142,11,FALSE)</f>
        <v>#N/A</v>
      </c>
      <c r="D27" s="93" t="e">
        <f>VLOOKUP($A27, 'Matriz POA 2024-TRABAJO'!$A$5:$CY$9142,14,FALSE)</f>
        <v>#N/A</v>
      </c>
      <c r="E27" s="93" t="e">
        <f>VLOOKUP($A27, 'Matriz POA 2024-TRABAJO'!$A$5:$CY$9142,15,FALSE)</f>
        <v>#N/A</v>
      </c>
      <c r="F27" s="93" t="e">
        <f>VLOOKUP($A27, 'Matriz POA 2024-TRABAJO'!$A$5:$CY$9142,18,FALSE)</f>
        <v>#N/A</v>
      </c>
      <c r="G27" s="93" t="e">
        <f>VLOOKUP($A27, 'Matriz POA 2024-TRABAJO'!$A$5:$CY$9142,23,FALSE)</f>
        <v>#N/A</v>
      </c>
      <c r="H27" s="93" t="e">
        <f>VLOOKUP($A27, 'Matriz POA 2024-TRABAJO'!$A$5:$CY$9142,24,FALSE)</f>
        <v>#N/A</v>
      </c>
      <c r="I27" s="93" t="e">
        <f>VLOOKUP($A27, 'Matriz POA 2024-TRABAJO'!$A$5:$CY$9142,20,FALSE)</f>
        <v>#N/A</v>
      </c>
      <c r="J27" s="93" t="e">
        <f>VLOOKUP($A27, 'Matriz POA 2024-TRABAJO'!$A$5:$CY$9142,26,FALSE)</f>
        <v>#N/A</v>
      </c>
      <c r="K27" s="93" t="e">
        <f>VLOOKUP($A27, 'Matriz POA 2024-TRABAJO'!$A$5:$CY$9142,27,FALSE)</f>
        <v>#N/A</v>
      </c>
      <c r="L27" s="93" t="e">
        <f>VLOOKUP($A27, 'Matriz POA 2024-TRABAJO'!$A$5:$CY$9142,28,FALSE)</f>
        <v>#N/A</v>
      </c>
      <c r="M27" s="93" t="e">
        <f>VLOOKUP($A27, 'Matriz POA 2024-TRABAJO'!$A$5:$CY$9142,30,FALSE)</f>
        <v>#N/A</v>
      </c>
      <c r="N27" s="93" t="e">
        <f>VLOOKUP($A27, 'Matriz POA 2024-TRABAJO'!$A$5:$CY$9142,31,FALSE)</f>
        <v>#N/A</v>
      </c>
      <c r="O27" s="93" t="e">
        <f>VLOOKUP($A27, 'Matriz POA 2024-TRABAJO'!$A$5:$CY$9142,45,FALSE)</f>
        <v>#N/A</v>
      </c>
      <c r="P27" s="93" t="e">
        <f>VLOOKUP($A27, 'Matriz POA 2024-TRABAJO'!$A$5:$CY$9142,46,FALSE)</f>
        <v>#N/A</v>
      </c>
      <c r="Q27" s="93" t="e">
        <f>VLOOKUP($A27, 'Matriz POA 2024-TRABAJO'!$A$5:$CY$9142,47,FALSE)</f>
        <v>#N/A</v>
      </c>
      <c r="R27" s="94">
        <f t="shared" si="20"/>
        <v>9400</v>
      </c>
      <c r="S27" s="95" t="e">
        <f t="shared" si="21"/>
        <v>#N/A</v>
      </c>
      <c r="T27" s="93" t="e">
        <f>VLOOKUP($A27, 'Matriz POA 2024-TRABAJO'!$A$5:$CY$9142,72,FALSE)</f>
        <v>#N/A</v>
      </c>
      <c r="U27" s="93" t="e">
        <f>VLOOKUP($A27, 'Matriz POA 2024-TRABAJO'!$A$5:$CY$9142,29,FALSE)</f>
        <v>#N/A</v>
      </c>
      <c r="V27" s="94" t="str">
        <f t="shared" si="41"/>
        <v>1ar-lp-50ar-Lp80ar-</v>
      </c>
      <c r="W27" s="96" t="s">
        <v>1106</v>
      </c>
      <c r="X27" s="96">
        <v>45303</v>
      </c>
      <c r="Y27" s="97" t="s">
        <v>1107</v>
      </c>
      <c r="Z27" s="96">
        <v>45303</v>
      </c>
      <c r="AA27" s="98">
        <v>2500</v>
      </c>
      <c r="AB27" s="98"/>
      <c r="AC27" s="99">
        <f t="shared" si="22"/>
        <v>0</v>
      </c>
      <c r="AD27" s="100" t="s">
        <v>1108</v>
      </c>
      <c r="AE27" s="262" t="s">
        <v>994</v>
      </c>
      <c r="AF27" s="101">
        <v>45373</v>
      </c>
      <c r="AG27" s="151" t="s">
        <v>995</v>
      </c>
      <c r="AH27" s="101">
        <v>45390</v>
      </c>
      <c r="AI27" s="98">
        <v>-2500</v>
      </c>
      <c r="AJ27" s="98"/>
      <c r="AK27" s="99">
        <f t="shared" si="23"/>
        <v>17</v>
      </c>
      <c r="AL27" s="99" t="s">
        <v>1109</v>
      </c>
      <c r="AM27" s="93" t="s">
        <v>1119</v>
      </c>
      <c r="AN27" s="105">
        <v>45392</v>
      </c>
      <c r="AO27" s="93" t="s">
        <v>1120</v>
      </c>
      <c r="AP27" s="105">
        <v>45392</v>
      </c>
      <c r="AQ27" s="98">
        <v>4000</v>
      </c>
      <c r="AR27" s="98"/>
      <c r="AS27" s="99">
        <f t="shared" si="24"/>
        <v>0</v>
      </c>
      <c r="AT27" s="99" t="s">
        <v>1249</v>
      </c>
      <c r="AU27" s="96" t="s">
        <v>1845</v>
      </c>
      <c r="AV27" s="96">
        <v>45392</v>
      </c>
      <c r="AW27" s="93"/>
      <c r="AX27" s="96">
        <v>45435</v>
      </c>
      <c r="AY27" s="98">
        <v>-4000</v>
      </c>
      <c r="AZ27" s="98"/>
      <c r="BA27" s="99">
        <f t="shared" si="25"/>
        <v>43</v>
      </c>
      <c r="BB27" s="99" t="s">
        <v>1846</v>
      </c>
      <c r="BC27" s="96" t="s">
        <v>1841</v>
      </c>
      <c r="BD27" s="96">
        <v>45434</v>
      </c>
      <c r="BE27" s="93"/>
      <c r="BF27" s="96">
        <v>45435</v>
      </c>
      <c r="BG27" s="102">
        <v>9400</v>
      </c>
      <c r="BH27" s="102"/>
      <c r="BI27" s="93">
        <f t="shared" si="26"/>
        <v>1</v>
      </c>
      <c r="BJ27" s="93" t="s">
        <v>1850</v>
      </c>
      <c r="BK27" s="93"/>
      <c r="BL27" s="103"/>
      <c r="BM27" s="93"/>
      <c r="BN27" s="103"/>
      <c r="BO27" s="94"/>
      <c r="BP27" s="94"/>
      <c r="BQ27" s="93">
        <f t="shared" si="27"/>
        <v>0</v>
      </c>
      <c r="BR27" s="93"/>
      <c r="BS27" s="93"/>
      <c r="BT27" s="103"/>
      <c r="BU27" s="93"/>
      <c r="BV27" s="103"/>
      <c r="BW27" s="94"/>
      <c r="BX27" s="94"/>
      <c r="BY27" s="93">
        <f t="shared" si="28"/>
        <v>0</v>
      </c>
      <c r="BZ27" s="93"/>
      <c r="CA27" s="104"/>
      <c r="CB27" s="105"/>
      <c r="CC27" s="106"/>
      <c r="CD27" s="107"/>
      <c r="CE27" s="94"/>
      <c r="CF27" s="94"/>
      <c r="CG27" s="93">
        <f t="shared" si="29"/>
        <v>0</v>
      </c>
      <c r="CH27" s="93"/>
      <c r="CI27" s="106"/>
      <c r="CJ27" s="105"/>
      <c r="CK27" s="93"/>
      <c r="CL27" s="105"/>
      <c r="CM27" s="108"/>
      <c r="CN27" s="108"/>
      <c r="CO27" s="93">
        <f t="shared" si="30"/>
        <v>0</v>
      </c>
      <c r="CP27" s="93"/>
      <c r="CQ27" s="93"/>
      <c r="CR27" s="93"/>
      <c r="CS27" s="93"/>
      <c r="CT27" s="93"/>
      <c r="CU27" s="93"/>
      <c r="CV27" s="93"/>
      <c r="CW27" s="93">
        <f t="shared" si="31"/>
        <v>0</v>
      </c>
      <c r="CX27" s="93"/>
      <c r="CY27" s="93" t="str">
        <f>TEXT(X27,"MMMM")</f>
        <v>enero</v>
      </c>
      <c r="CZ27" s="93" t="str">
        <f t="shared" si="32"/>
        <v>marzo</v>
      </c>
      <c r="DA27" s="93" t="str">
        <f t="shared" si="33"/>
        <v>abril</v>
      </c>
      <c r="DB27" s="93" t="str">
        <f t="shared" si="34"/>
        <v>abril</v>
      </c>
      <c r="DC27" s="93" t="str">
        <f t="shared" si="35"/>
        <v>mayo</v>
      </c>
      <c r="DD27" s="93" t="str">
        <f t="shared" si="36"/>
        <v>enero</v>
      </c>
      <c r="DE27" s="93" t="str">
        <f t="shared" si="37"/>
        <v>enero</v>
      </c>
      <c r="DF27" s="93" t="str">
        <f t="shared" si="38"/>
        <v>enero</v>
      </c>
      <c r="DG27" s="93" t="str">
        <f t="shared" si="39"/>
        <v>enero</v>
      </c>
      <c r="DH27" s="93" t="str">
        <f t="shared" si="40"/>
        <v>enero</v>
      </c>
    </row>
    <row r="28" spans="1:112" s="21" customFormat="1" ht="26.45" hidden="1" customHeight="1">
      <c r="A28" s="93">
        <v>1</v>
      </c>
      <c r="B28" s="93" t="e">
        <f>VLOOKUP($A28,  'Matriz POA 2024-TRABAJO'!$A$5:$CY$9142,29,FALSE)</f>
        <v>#N/A</v>
      </c>
      <c r="C28" s="93" t="e">
        <f>VLOOKUP($A28, 'Matriz POA 2024-TRABAJO'!$A$5:$CY$9142,11,FALSE)</f>
        <v>#N/A</v>
      </c>
      <c r="D28" s="93" t="e">
        <f>VLOOKUP($A28, 'Matriz POA 2024-TRABAJO'!$A$5:$CY$9142,14,FALSE)</f>
        <v>#N/A</v>
      </c>
      <c r="E28" s="93" t="e">
        <f>VLOOKUP($A28, 'Matriz POA 2024-TRABAJO'!$A$5:$CY$9142,15,FALSE)</f>
        <v>#N/A</v>
      </c>
      <c r="F28" s="93" t="e">
        <f>VLOOKUP($A28, 'Matriz POA 2024-TRABAJO'!$A$5:$CY$9142,18,FALSE)</f>
        <v>#N/A</v>
      </c>
      <c r="G28" s="93" t="e">
        <f>VLOOKUP($A28, 'Matriz POA 2024-TRABAJO'!$A$5:$CY$9142,23,FALSE)</f>
        <v>#N/A</v>
      </c>
      <c r="H28" s="93" t="e">
        <f>VLOOKUP($A28, 'Matriz POA 2024-TRABAJO'!$A$5:$CY$9142,24,FALSE)</f>
        <v>#N/A</v>
      </c>
      <c r="I28" s="93" t="e">
        <f>VLOOKUP($A28, 'Matriz POA 2024-TRABAJO'!$A$5:$CY$9142,20,FALSE)</f>
        <v>#N/A</v>
      </c>
      <c r="J28" s="93" t="e">
        <f>VLOOKUP($A28, 'Matriz POA 2024-TRABAJO'!$A$5:$CY$9142,26,FALSE)</f>
        <v>#N/A</v>
      </c>
      <c r="K28" s="93" t="e">
        <f>VLOOKUP($A28, 'Matriz POA 2024-TRABAJO'!$A$5:$CY$9142,27,FALSE)</f>
        <v>#N/A</v>
      </c>
      <c r="L28" s="93" t="e">
        <f>VLOOKUP($A28, 'Matriz POA 2024-TRABAJO'!$A$5:$CY$9142,28,FALSE)</f>
        <v>#N/A</v>
      </c>
      <c r="M28" s="93" t="e">
        <f>VLOOKUP($A28, 'Matriz POA 2024-TRABAJO'!$A$5:$CY$9142,30,FALSE)</f>
        <v>#N/A</v>
      </c>
      <c r="N28" s="93" t="e">
        <f>VLOOKUP($A28, 'Matriz POA 2024-TRABAJO'!$A$5:$CY$9142,31,FALSE)</f>
        <v>#N/A</v>
      </c>
      <c r="O28" s="93" t="e">
        <f>VLOOKUP($A28, 'Matriz POA 2024-TRABAJO'!$A$5:$CY$9142,45,FALSE)</f>
        <v>#N/A</v>
      </c>
      <c r="P28" s="93" t="e">
        <f>VLOOKUP($A28, 'Matriz POA 2024-TRABAJO'!$A$5:$CY$9142,46,FALSE)</f>
        <v>#N/A</v>
      </c>
      <c r="Q28" s="93" t="e">
        <f>VLOOKUP($A28, 'Matriz POA 2024-TRABAJO'!$A$5:$CY$9142,47,FALSE)</f>
        <v>#N/A</v>
      </c>
      <c r="R28" s="94">
        <f t="shared" si="20"/>
        <v>11163</v>
      </c>
      <c r="S28" s="95" t="e">
        <f t="shared" si="21"/>
        <v>#N/A</v>
      </c>
      <c r="T28" s="93" t="e">
        <f>VLOOKUP($A28, 'Matriz POA 2024-TRABAJO'!$A$5:$CY$9142,72,FALSE)</f>
        <v>#N/A</v>
      </c>
      <c r="U28" s="93" t="e">
        <f>VLOOKUP($A28, 'Matriz POA 2024-TRABAJO'!$A$5:$CY$9142,29,FALSE)</f>
        <v>#N/A</v>
      </c>
      <c r="V28" s="94" t="str">
        <f t="shared" si="41"/>
        <v>2ar-</v>
      </c>
      <c r="W28" s="96" t="s">
        <v>1121</v>
      </c>
      <c r="X28" s="96">
        <v>45307</v>
      </c>
      <c r="Y28" s="97" t="s">
        <v>1122</v>
      </c>
      <c r="Z28" s="96">
        <v>45308</v>
      </c>
      <c r="AA28" s="98">
        <v>11163</v>
      </c>
      <c r="AB28" s="98"/>
      <c r="AC28" s="99">
        <f t="shared" si="22"/>
        <v>1</v>
      </c>
      <c r="AD28" s="100" t="s">
        <v>1123</v>
      </c>
      <c r="AE28" s="97"/>
      <c r="AF28" s="101"/>
      <c r="AG28" s="97"/>
      <c r="AH28" s="101"/>
      <c r="AI28" s="98"/>
      <c r="AJ28" s="98">
        <f>AI28*-1</f>
        <v>0</v>
      </c>
      <c r="AK28" s="99">
        <f t="shared" si="23"/>
        <v>0</v>
      </c>
      <c r="AL28" s="99"/>
      <c r="AM28" s="98"/>
      <c r="AN28" s="96"/>
      <c r="AO28" s="97"/>
      <c r="AP28" s="101"/>
      <c r="AQ28" s="98"/>
      <c r="AR28" s="98"/>
      <c r="AS28" s="99">
        <f t="shared" si="24"/>
        <v>0</v>
      </c>
      <c r="AT28" s="99"/>
      <c r="AU28" s="96"/>
      <c r="AV28" s="96"/>
      <c r="AW28" s="93"/>
      <c r="AX28" s="96"/>
      <c r="AY28" s="98"/>
      <c r="AZ28" s="98"/>
      <c r="BA28" s="99">
        <f t="shared" si="25"/>
        <v>0</v>
      </c>
      <c r="BB28" s="99"/>
      <c r="BC28" s="96"/>
      <c r="BD28" s="96"/>
      <c r="BE28" s="93"/>
      <c r="BF28" s="96"/>
      <c r="BG28" s="102"/>
      <c r="BH28" s="102"/>
      <c r="BI28" s="93">
        <f t="shared" si="26"/>
        <v>0</v>
      </c>
      <c r="BJ28" s="93"/>
      <c r="BK28" s="93"/>
      <c r="BL28" s="103"/>
      <c r="BM28" s="93"/>
      <c r="BN28" s="103"/>
      <c r="BO28" s="94"/>
      <c r="BP28" s="94"/>
      <c r="BQ28" s="93">
        <f t="shared" si="27"/>
        <v>0</v>
      </c>
      <c r="BR28" s="93"/>
      <c r="BS28" s="93"/>
      <c r="BT28" s="103"/>
      <c r="BU28" s="93"/>
      <c r="BV28" s="103"/>
      <c r="BW28" s="94"/>
      <c r="BX28" s="94"/>
      <c r="BY28" s="93">
        <f t="shared" si="28"/>
        <v>0</v>
      </c>
      <c r="BZ28" s="93"/>
      <c r="CA28" s="104"/>
      <c r="CB28" s="105"/>
      <c r="CC28" s="106"/>
      <c r="CD28" s="107"/>
      <c r="CE28" s="94"/>
      <c r="CF28" s="94"/>
      <c r="CG28" s="93">
        <f t="shared" si="29"/>
        <v>0</v>
      </c>
      <c r="CH28" s="93"/>
      <c r="CI28" s="106"/>
      <c r="CJ28" s="105"/>
      <c r="CK28" s="93"/>
      <c r="CL28" s="105"/>
      <c r="CM28" s="108"/>
      <c r="CN28" s="108"/>
      <c r="CO28" s="93">
        <f t="shared" si="30"/>
        <v>0</v>
      </c>
      <c r="CP28" s="93"/>
      <c r="CQ28" s="93"/>
      <c r="CR28" s="93"/>
      <c r="CS28" s="93"/>
      <c r="CT28" s="93"/>
      <c r="CU28" s="93"/>
      <c r="CV28" s="93"/>
      <c r="CW28" s="93">
        <f t="shared" si="31"/>
        <v>0</v>
      </c>
      <c r="CX28" s="93"/>
      <c r="CY28" s="93" t="str">
        <f>TEXT(Z28,"MMMM")</f>
        <v>enero</v>
      </c>
      <c r="CZ28" s="93" t="str">
        <f t="shared" si="32"/>
        <v>enero</v>
      </c>
      <c r="DA28" s="93" t="str">
        <f t="shared" si="33"/>
        <v>enero</v>
      </c>
      <c r="DB28" s="93" t="str">
        <f t="shared" si="34"/>
        <v>enero</v>
      </c>
      <c r="DC28" s="93" t="str">
        <f t="shared" si="35"/>
        <v>enero</v>
      </c>
      <c r="DD28" s="93" t="str">
        <f t="shared" si="36"/>
        <v>enero</v>
      </c>
      <c r="DE28" s="93" t="str">
        <f t="shared" si="37"/>
        <v>enero</v>
      </c>
      <c r="DF28" s="93" t="str">
        <f t="shared" si="38"/>
        <v>enero</v>
      </c>
      <c r="DG28" s="93" t="str">
        <f t="shared" si="39"/>
        <v>enero</v>
      </c>
      <c r="DH28" s="93" t="str">
        <f t="shared" si="40"/>
        <v>enero</v>
      </c>
    </row>
    <row r="29" spans="1:112" s="21" customFormat="1" ht="18.75" hidden="1" customHeight="1">
      <c r="A29" s="93">
        <v>2</v>
      </c>
      <c r="B29" s="93" t="e">
        <f>VLOOKUP($A29,  'Matriz POA 2024-TRABAJO'!$A$5:$CY$9142,29,FALSE)</f>
        <v>#N/A</v>
      </c>
      <c r="C29" s="93" t="e">
        <f>VLOOKUP($A29, 'Matriz POA 2024-TRABAJO'!$A$5:$CY$9142,11,FALSE)</f>
        <v>#N/A</v>
      </c>
      <c r="D29" s="93" t="e">
        <f>VLOOKUP($A29, 'Matriz POA 2024-TRABAJO'!$A$5:$CY$9142,14,FALSE)</f>
        <v>#N/A</v>
      </c>
      <c r="E29" s="93" t="e">
        <f>VLOOKUP($A29, 'Matriz POA 2024-TRABAJO'!$A$5:$CY$9142,15,FALSE)</f>
        <v>#N/A</v>
      </c>
      <c r="F29" s="93" t="e">
        <f>VLOOKUP($A29, 'Matriz POA 2024-TRABAJO'!$A$5:$CY$9142,18,FALSE)</f>
        <v>#N/A</v>
      </c>
      <c r="G29" s="93" t="e">
        <f>VLOOKUP($A29, 'Matriz POA 2024-TRABAJO'!$A$5:$CY$9142,23,FALSE)</f>
        <v>#N/A</v>
      </c>
      <c r="H29" s="93" t="e">
        <f>VLOOKUP($A29, 'Matriz POA 2024-TRABAJO'!$A$5:$CY$9142,24,FALSE)</f>
        <v>#N/A</v>
      </c>
      <c r="I29" s="93" t="e">
        <f>VLOOKUP($A29, 'Matriz POA 2024-TRABAJO'!$A$5:$CY$9142,20,FALSE)</f>
        <v>#N/A</v>
      </c>
      <c r="J29" s="93" t="e">
        <f>VLOOKUP($A29, 'Matriz POA 2024-TRABAJO'!$A$5:$CY$9142,26,FALSE)</f>
        <v>#N/A</v>
      </c>
      <c r="K29" s="93" t="e">
        <f>VLOOKUP($A29, 'Matriz POA 2024-TRABAJO'!$A$5:$CY$9142,27,FALSE)</f>
        <v>#N/A</v>
      </c>
      <c r="L29" s="93" t="e">
        <f>VLOOKUP($A29, 'Matriz POA 2024-TRABAJO'!$A$5:$CY$9142,28,FALSE)</f>
        <v>#N/A</v>
      </c>
      <c r="M29" s="93" t="e">
        <f>VLOOKUP($A29, 'Matriz POA 2024-TRABAJO'!$A$5:$CY$9142,30,FALSE)</f>
        <v>#N/A</v>
      </c>
      <c r="N29" s="93" t="e">
        <f>VLOOKUP($A29, 'Matriz POA 2024-TRABAJO'!$A$5:$CY$9142,31,FALSE)</f>
        <v>#N/A</v>
      </c>
      <c r="O29" s="93" t="e">
        <f>VLOOKUP($A29, 'Matriz POA 2024-TRABAJO'!$A$5:$CY$9142,45,FALSE)</f>
        <v>#N/A</v>
      </c>
      <c r="P29" s="93" t="e">
        <f>VLOOKUP($A29, 'Matriz POA 2024-TRABAJO'!$A$5:$CY$9142,46,FALSE)</f>
        <v>#N/A</v>
      </c>
      <c r="Q29" s="93" t="e">
        <f>VLOOKUP($A29, 'Matriz POA 2024-TRABAJO'!$A$5:$CY$9142,47,FALSE)</f>
        <v>#N/A</v>
      </c>
      <c r="R29" s="94">
        <f t="shared" si="20"/>
        <v>233428</v>
      </c>
      <c r="S29" s="95" t="e">
        <f t="shared" si="21"/>
        <v>#N/A</v>
      </c>
      <c r="T29" s="93" t="e">
        <f>VLOOKUP($A29, 'Matriz POA 2024-TRABAJO'!$A$5:$CY$9142,72,FALSE)</f>
        <v>#N/A</v>
      </c>
      <c r="U29" s="93" t="e">
        <f>VLOOKUP($A29, 'Matriz POA 2024-TRABAJO'!$A$5:$CY$9142,29,FALSE)</f>
        <v>#N/A</v>
      </c>
      <c r="V29" s="94" t="str">
        <f t="shared" si="41"/>
        <v>2ar-</v>
      </c>
      <c r="W29" s="96" t="s">
        <v>1121</v>
      </c>
      <c r="X29" s="96">
        <v>45307</v>
      </c>
      <c r="Y29" s="97" t="s">
        <v>1122</v>
      </c>
      <c r="Z29" s="96">
        <v>45308</v>
      </c>
      <c r="AA29" s="98">
        <v>233428</v>
      </c>
      <c r="AB29" s="98"/>
      <c r="AC29" s="99">
        <f t="shared" si="22"/>
        <v>1</v>
      </c>
      <c r="AD29" s="100" t="s">
        <v>1123</v>
      </c>
      <c r="AE29" s="97"/>
      <c r="AF29" s="101"/>
      <c r="AG29" s="97"/>
      <c r="AH29" s="101"/>
      <c r="AI29" s="98"/>
      <c r="AJ29" s="98">
        <f>AI29*-1</f>
        <v>0</v>
      </c>
      <c r="AK29" s="99">
        <f t="shared" si="23"/>
        <v>0</v>
      </c>
      <c r="AL29" s="99"/>
      <c r="AM29" s="98"/>
      <c r="AN29" s="96"/>
      <c r="AO29" s="97"/>
      <c r="AP29" s="101"/>
      <c r="AQ29" s="98"/>
      <c r="AR29" s="98"/>
      <c r="AS29" s="99">
        <f t="shared" si="24"/>
        <v>0</v>
      </c>
      <c r="AT29" s="99"/>
      <c r="AU29" s="96"/>
      <c r="AV29" s="96"/>
      <c r="AW29" s="93"/>
      <c r="AX29" s="96"/>
      <c r="AY29" s="98"/>
      <c r="AZ29" s="98"/>
      <c r="BA29" s="99">
        <f t="shared" si="25"/>
        <v>0</v>
      </c>
      <c r="BB29" s="99"/>
      <c r="BC29" s="96"/>
      <c r="BD29" s="96"/>
      <c r="BE29" s="93"/>
      <c r="BF29" s="96"/>
      <c r="BG29" s="102"/>
      <c r="BH29" s="102"/>
      <c r="BI29" s="93">
        <f t="shared" si="26"/>
        <v>0</v>
      </c>
      <c r="BJ29" s="93"/>
      <c r="BK29" s="93"/>
      <c r="BL29" s="103"/>
      <c r="BM29" s="93"/>
      <c r="BN29" s="103"/>
      <c r="BO29" s="94"/>
      <c r="BP29" s="94"/>
      <c r="BQ29" s="93">
        <f t="shared" si="27"/>
        <v>0</v>
      </c>
      <c r="BR29" s="93"/>
      <c r="BS29" s="93"/>
      <c r="BT29" s="103"/>
      <c r="BU29" s="93"/>
      <c r="BV29" s="103"/>
      <c r="BW29" s="94"/>
      <c r="BX29" s="94"/>
      <c r="BY29" s="93">
        <f t="shared" si="28"/>
        <v>0</v>
      </c>
      <c r="BZ29" s="93"/>
      <c r="CA29" s="104"/>
      <c r="CB29" s="105"/>
      <c r="CC29" s="106"/>
      <c r="CD29" s="107"/>
      <c r="CE29" s="94"/>
      <c r="CF29" s="94"/>
      <c r="CG29" s="93">
        <f t="shared" si="29"/>
        <v>0</v>
      </c>
      <c r="CH29" s="93"/>
      <c r="CI29" s="106"/>
      <c r="CJ29" s="105"/>
      <c r="CK29" s="93"/>
      <c r="CL29" s="105"/>
      <c r="CM29" s="108"/>
      <c r="CN29" s="108"/>
      <c r="CO29" s="93">
        <f t="shared" si="30"/>
        <v>0</v>
      </c>
      <c r="CP29" s="93"/>
      <c r="CQ29" s="93"/>
      <c r="CR29" s="93"/>
      <c r="CS29" s="93"/>
      <c r="CT29" s="93"/>
      <c r="CU29" s="93"/>
      <c r="CV29" s="93"/>
      <c r="CW29" s="93">
        <f t="shared" si="31"/>
        <v>0</v>
      </c>
      <c r="CX29" s="93"/>
      <c r="CY29" s="93" t="str">
        <f>TEXT(X29,"MMMM")</f>
        <v>enero</v>
      </c>
      <c r="CZ29" s="93" t="str">
        <f t="shared" si="32"/>
        <v>enero</v>
      </c>
      <c r="DA29" s="93" t="str">
        <f t="shared" si="33"/>
        <v>enero</v>
      </c>
      <c r="DB29" s="93" t="str">
        <f t="shared" si="34"/>
        <v>enero</v>
      </c>
      <c r="DC29" s="93" t="str">
        <f t="shared" si="35"/>
        <v>enero</v>
      </c>
      <c r="DD29" s="93" t="str">
        <f t="shared" si="36"/>
        <v>enero</v>
      </c>
      <c r="DE29" s="93" t="str">
        <f t="shared" si="37"/>
        <v>enero</v>
      </c>
      <c r="DF29" s="93" t="str">
        <f t="shared" si="38"/>
        <v>enero</v>
      </c>
      <c r="DG29" s="93" t="str">
        <f t="shared" si="39"/>
        <v>enero</v>
      </c>
      <c r="DH29" s="93" t="str">
        <f t="shared" si="40"/>
        <v>enero</v>
      </c>
    </row>
    <row r="30" spans="1:112" s="21" customFormat="1" ht="18.75" hidden="1" customHeight="1">
      <c r="A30" s="93">
        <v>3</v>
      </c>
      <c r="B30" s="93" t="e">
        <f>VLOOKUP($A30,  'Matriz POA 2024-TRABAJO'!$A$5:$CY$9142,29,FALSE)</f>
        <v>#N/A</v>
      </c>
      <c r="C30" s="93" t="e">
        <f>VLOOKUP($A30, 'Matriz POA 2024-TRABAJO'!$A$5:$CY$9142,11,FALSE)</f>
        <v>#N/A</v>
      </c>
      <c r="D30" s="93" t="e">
        <f>VLOOKUP($A30, 'Matriz POA 2024-TRABAJO'!$A$5:$CY$9142,14,FALSE)</f>
        <v>#N/A</v>
      </c>
      <c r="E30" s="93" t="e">
        <f>VLOOKUP($A30, 'Matriz POA 2024-TRABAJO'!$A$5:$CY$9142,15,FALSE)</f>
        <v>#N/A</v>
      </c>
      <c r="F30" s="93" t="e">
        <f>VLOOKUP($A30, 'Matriz POA 2024-TRABAJO'!$A$5:$CY$9142,18,FALSE)</f>
        <v>#N/A</v>
      </c>
      <c r="G30" s="93" t="e">
        <f>VLOOKUP($A30, 'Matriz POA 2024-TRABAJO'!$A$5:$CY$9142,23,FALSE)</f>
        <v>#N/A</v>
      </c>
      <c r="H30" s="93" t="e">
        <f>VLOOKUP($A30, 'Matriz POA 2024-TRABAJO'!$A$5:$CY$9142,24,FALSE)</f>
        <v>#N/A</v>
      </c>
      <c r="I30" s="93" t="e">
        <f>VLOOKUP($A30, 'Matriz POA 2024-TRABAJO'!$A$5:$CY$9142,20,FALSE)</f>
        <v>#N/A</v>
      </c>
      <c r="J30" s="93" t="e">
        <f>VLOOKUP($A30, 'Matriz POA 2024-TRABAJO'!$A$5:$CY$9142,26,FALSE)</f>
        <v>#N/A</v>
      </c>
      <c r="K30" s="93" t="e">
        <f>VLOOKUP($A30, 'Matriz POA 2024-TRABAJO'!$A$5:$CY$9142,27,FALSE)</f>
        <v>#N/A</v>
      </c>
      <c r="L30" s="93" t="e">
        <f>VLOOKUP($A30, 'Matriz POA 2024-TRABAJO'!$A$5:$CY$9142,28,FALSE)</f>
        <v>#N/A</v>
      </c>
      <c r="M30" s="93" t="e">
        <f>VLOOKUP($A30, 'Matriz POA 2024-TRABAJO'!$A$5:$CY$9142,30,FALSE)</f>
        <v>#N/A</v>
      </c>
      <c r="N30" s="93" t="e">
        <f>VLOOKUP($A30, 'Matriz POA 2024-TRABAJO'!$A$5:$CY$9142,31,FALSE)</f>
        <v>#N/A</v>
      </c>
      <c r="O30" s="93" t="e">
        <f>VLOOKUP($A30, 'Matriz POA 2024-TRABAJO'!$A$5:$CY$9142,45,FALSE)</f>
        <v>#N/A</v>
      </c>
      <c r="P30" s="93" t="e">
        <f>VLOOKUP($A30, 'Matriz POA 2024-TRABAJO'!$A$5:$CY$9142,46,FALSE)</f>
        <v>#N/A</v>
      </c>
      <c r="Q30" s="93" t="e">
        <f>VLOOKUP($A30, 'Matriz POA 2024-TRABAJO'!$A$5:$CY$9142,47,FALSE)</f>
        <v>#N/A</v>
      </c>
      <c r="R30" s="94">
        <f t="shared" si="20"/>
        <v>3278</v>
      </c>
      <c r="S30" s="95" t="e">
        <f t="shared" si="21"/>
        <v>#N/A</v>
      </c>
      <c r="T30" s="93" t="e">
        <f>VLOOKUP($A30, 'Matriz POA 2024-TRABAJO'!$A$5:$CY$9142,72,FALSE)</f>
        <v>#N/A</v>
      </c>
      <c r="U30" s="93" t="e">
        <f>VLOOKUP($A30, 'Matriz POA 2024-TRABAJO'!$A$5:$CY$9142,29,FALSE)</f>
        <v>#N/A</v>
      </c>
      <c r="V30" s="94" t="str">
        <f t="shared" si="41"/>
        <v>2ar-</v>
      </c>
      <c r="W30" s="96" t="s">
        <v>1121</v>
      </c>
      <c r="X30" s="96">
        <v>45307</v>
      </c>
      <c r="Y30" s="97" t="s">
        <v>1122</v>
      </c>
      <c r="Z30" s="96">
        <v>45308</v>
      </c>
      <c r="AA30" s="98">
        <v>3278</v>
      </c>
      <c r="AB30" s="98"/>
      <c r="AC30" s="99">
        <f t="shared" si="22"/>
        <v>1</v>
      </c>
      <c r="AD30" s="100" t="s">
        <v>1123</v>
      </c>
      <c r="AE30" s="97"/>
      <c r="AF30" s="101"/>
      <c r="AG30" s="97"/>
      <c r="AH30" s="101"/>
      <c r="AI30" s="98"/>
      <c r="AJ30" s="98">
        <f>AI30*-1</f>
        <v>0</v>
      </c>
      <c r="AK30" s="99">
        <f t="shared" si="23"/>
        <v>0</v>
      </c>
      <c r="AL30" s="99"/>
      <c r="AM30" s="98"/>
      <c r="AN30" s="96"/>
      <c r="AO30" s="97"/>
      <c r="AP30" s="101"/>
      <c r="AQ30" s="98"/>
      <c r="AR30" s="98"/>
      <c r="AS30" s="99">
        <f t="shared" si="24"/>
        <v>0</v>
      </c>
      <c r="AT30" s="99"/>
      <c r="AU30" s="96"/>
      <c r="AV30" s="96"/>
      <c r="AW30" s="93"/>
      <c r="AX30" s="96"/>
      <c r="AY30" s="98"/>
      <c r="AZ30" s="98"/>
      <c r="BA30" s="99">
        <f t="shared" si="25"/>
        <v>0</v>
      </c>
      <c r="BB30" s="99"/>
      <c r="BC30" s="96"/>
      <c r="BD30" s="96"/>
      <c r="BE30" s="93"/>
      <c r="BF30" s="96"/>
      <c r="BG30" s="102"/>
      <c r="BH30" s="102"/>
      <c r="BI30" s="93">
        <f t="shared" si="26"/>
        <v>0</v>
      </c>
      <c r="BJ30" s="93"/>
      <c r="BK30" s="93"/>
      <c r="BL30" s="103"/>
      <c r="BM30" s="93"/>
      <c r="BN30" s="103"/>
      <c r="BO30" s="94"/>
      <c r="BP30" s="94"/>
      <c r="BQ30" s="93">
        <f t="shared" si="27"/>
        <v>0</v>
      </c>
      <c r="BR30" s="93"/>
      <c r="BS30" s="93"/>
      <c r="BT30" s="103"/>
      <c r="BU30" s="93"/>
      <c r="BV30" s="103"/>
      <c r="BW30" s="94"/>
      <c r="BX30" s="94"/>
      <c r="BY30" s="93">
        <f t="shared" si="28"/>
        <v>0</v>
      </c>
      <c r="BZ30" s="93"/>
      <c r="CA30" s="104"/>
      <c r="CB30" s="105"/>
      <c r="CC30" s="106"/>
      <c r="CD30" s="107"/>
      <c r="CE30" s="94"/>
      <c r="CF30" s="94"/>
      <c r="CG30" s="93">
        <f t="shared" si="29"/>
        <v>0</v>
      </c>
      <c r="CH30" s="93"/>
      <c r="CI30" s="106"/>
      <c r="CJ30" s="105"/>
      <c r="CK30" s="93"/>
      <c r="CL30" s="105"/>
      <c r="CM30" s="108"/>
      <c r="CN30" s="108"/>
      <c r="CO30" s="93">
        <f t="shared" si="30"/>
        <v>0</v>
      </c>
      <c r="CP30" s="93"/>
      <c r="CQ30" s="93"/>
      <c r="CR30" s="93"/>
      <c r="CS30" s="93"/>
      <c r="CT30" s="93"/>
      <c r="CU30" s="93"/>
      <c r="CV30" s="93"/>
      <c r="CW30" s="93">
        <f t="shared" si="31"/>
        <v>0</v>
      </c>
      <c r="CX30" s="93"/>
      <c r="CY30" s="93" t="str">
        <f>TEXT(X30,"MMMM")</f>
        <v>enero</v>
      </c>
      <c r="CZ30" s="93" t="str">
        <f t="shared" si="32"/>
        <v>enero</v>
      </c>
      <c r="DA30" s="93" t="str">
        <f t="shared" si="33"/>
        <v>enero</v>
      </c>
      <c r="DB30" s="93" t="str">
        <f t="shared" si="34"/>
        <v>enero</v>
      </c>
      <c r="DC30" s="93" t="str">
        <f t="shared" si="35"/>
        <v>enero</v>
      </c>
      <c r="DD30" s="93" t="str">
        <f t="shared" si="36"/>
        <v>enero</v>
      </c>
      <c r="DE30" s="93" t="str">
        <f t="shared" si="37"/>
        <v>enero</v>
      </c>
      <c r="DF30" s="93" t="str">
        <f t="shared" si="38"/>
        <v>enero</v>
      </c>
      <c r="DG30" s="93" t="str">
        <f t="shared" si="39"/>
        <v>enero</v>
      </c>
      <c r="DH30" s="93" t="str">
        <f t="shared" si="40"/>
        <v>enero</v>
      </c>
    </row>
    <row r="31" spans="1:112" ht="15" hidden="1" customHeight="1">
      <c r="A31" s="93">
        <v>21</v>
      </c>
      <c r="B31" s="93" t="e">
        <f>VLOOKUP($A31,  'Matriz POA 2024-TRABAJO'!$A$5:$CY$9142,29,FALSE)</f>
        <v>#N/A</v>
      </c>
      <c r="C31" s="93" t="e">
        <f>VLOOKUP($A31, 'Matriz POA 2024-TRABAJO'!$A$5:$CY$9142,11,FALSE)</f>
        <v>#N/A</v>
      </c>
      <c r="D31" s="93" t="e">
        <f>VLOOKUP($A31, 'Matriz POA 2024-TRABAJO'!$A$5:$CY$9142,14,FALSE)</f>
        <v>#N/A</v>
      </c>
      <c r="E31" s="93" t="e">
        <f>VLOOKUP($A31, 'Matriz POA 2024-TRABAJO'!$A$5:$CY$9142,15,FALSE)</f>
        <v>#N/A</v>
      </c>
      <c r="F31" s="93" t="e">
        <f>VLOOKUP($A31, 'Matriz POA 2024-TRABAJO'!$A$5:$CY$9142,18,FALSE)</f>
        <v>#N/A</v>
      </c>
      <c r="G31" s="93" t="e">
        <f>VLOOKUP($A31, 'Matriz POA 2024-TRABAJO'!$A$5:$CY$9142,23,FALSE)</f>
        <v>#N/A</v>
      </c>
      <c r="H31" s="93" t="e">
        <f>VLOOKUP($A31, 'Matriz POA 2024-TRABAJO'!$A$5:$CY$9142,24,FALSE)</f>
        <v>#N/A</v>
      </c>
      <c r="I31" s="93" t="e">
        <f>VLOOKUP($A31, 'Matriz POA 2024-TRABAJO'!$A$5:$CY$9142,20,FALSE)</f>
        <v>#N/A</v>
      </c>
      <c r="J31" s="93" t="e">
        <f>VLOOKUP($A31, 'Matriz POA 2024-TRABAJO'!$A$5:$CY$9142,26,FALSE)</f>
        <v>#N/A</v>
      </c>
      <c r="K31" s="93" t="e">
        <f>VLOOKUP($A31, 'Matriz POA 2024-TRABAJO'!$A$5:$CY$9142,27,FALSE)</f>
        <v>#N/A</v>
      </c>
      <c r="L31" s="93" t="e">
        <f>VLOOKUP($A31, 'Matriz POA 2024-TRABAJO'!$A$5:$CY$9142,28,FALSE)</f>
        <v>#N/A</v>
      </c>
      <c r="M31" s="93" t="e">
        <f>VLOOKUP($A31, 'Matriz POA 2024-TRABAJO'!$A$5:$CY$9142,30,FALSE)</f>
        <v>#N/A</v>
      </c>
      <c r="N31" s="93" t="e">
        <f>VLOOKUP($A31, 'Matriz POA 2024-TRABAJO'!$A$5:$CY$9142,31,FALSE)</f>
        <v>#N/A</v>
      </c>
      <c r="O31" s="93" t="e">
        <f>VLOOKUP($A31, 'Matriz POA 2024-TRABAJO'!$A$5:$CY$9142,45,FALSE)</f>
        <v>#N/A</v>
      </c>
      <c r="P31" s="93" t="e">
        <f>VLOOKUP($A31, 'Matriz POA 2024-TRABAJO'!$A$5:$CY$9142,46,FALSE)</f>
        <v>#N/A</v>
      </c>
      <c r="Q31" s="93" t="e">
        <f>VLOOKUP($A31, 'Matriz POA 2024-TRABAJO'!$A$5:$CY$9142,47,FALSE)</f>
        <v>#N/A</v>
      </c>
      <c r="R31" s="94">
        <f t="shared" si="20"/>
        <v>1008.9</v>
      </c>
      <c r="S31" s="95" t="e">
        <f t="shared" si="21"/>
        <v>#N/A</v>
      </c>
      <c r="T31" s="93" t="e">
        <f>VLOOKUP($A31, 'Matriz POA 2024-TRABAJO'!$A$5:$CY$9142,72,FALSE)</f>
        <v>#N/A</v>
      </c>
      <c r="U31" s="93" t="e">
        <f>VLOOKUP($A31, 'Matriz POA 2024-TRABAJO'!$A$5:$CY$9142,29,FALSE)</f>
        <v>#N/A</v>
      </c>
      <c r="V31" s="94" t="str">
        <f t="shared" si="41"/>
        <v>2ar-</v>
      </c>
      <c r="W31" s="96" t="s">
        <v>1121</v>
      </c>
      <c r="X31" s="96">
        <v>45307</v>
      </c>
      <c r="Y31" s="97" t="s">
        <v>1122</v>
      </c>
      <c r="Z31" s="96">
        <v>45308</v>
      </c>
      <c r="AA31" s="98">
        <v>1698</v>
      </c>
      <c r="AB31" s="98"/>
      <c r="AC31" s="99">
        <f t="shared" si="22"/>
        <v>1</v>
      </c>
      <c r="AD31" s="100" t="s">
        <v>1123</v>
      </c>
      <c r="AE31" s="97" t="s">
        <v>1004</v>
      </c>
      <c r="AF31" s="101">
        <v>45398</v>
      </c>
      <c r="AG31" s="97"/>
      <c r="AH31" s="101">
        <v>45399</v>
      </c>
      <c r="AI31" s="98">
        <v>-689.1</v>
      </c>
      <c r="AJ31" s="98"/>
      <c r="AK31" s="99">
        <f t="shared" si="23"/>
        <v>1</v>
      </c>
      <c r="AL31" s="99"/>
      <c r="AM31" s="98"/>
      <c r="AN31" s="96"/>
      <c r="AO31" s="97"/>
      <c r="AP31" s="101"/>
      <c r="AQ31" s="98"/>
      <c r="AR31" s="98"/>
      <c r="AS31" s="99">
        <f t="shared" si="24"/>
        <v>0</v>
      </c>
      <c r="AT31" s="99"/>
      <c r="AU31" s="96"/>
      <c r="AV31" s="96"/>
      <c r="AW31" s="93"/>
      <c r="AX31" s="96"/>
      <c r="AY31" s="98"/>
      <c r="AZ31" s="98"/>
      <c r="BA31" s="99">
        <f t="shared" si="25"/>
        <v>0</v>
      </c>
      <c r="BB31" s="99"/>
      <c r="BC31" s="96"/>
      <c r="BD31" s="96"/>
      <c r="BE31" s="93"/>
      <c r="BF31" s="96"/>
      <c r="BG31" s="102"/>
      <c r="BH31" s="102"/>
      <c r="BI31" s="93">
        <f t="shared" si="26"/>
        <v>0</v>
      </c>
      <c r="BJ31" s="93"/>
      <c r="BK31" s="93"/>
      <c r="BL31" s="103"/>
      <c r="BM31" s="93"/>
      <c r="BN31" s="103"/>
      <c r="BO31" s="94"/>
      <c r="BP31" s="94"/>
      <c r="BQ31" s="93">
        <f t="shared" si="27"/>
        <v>0</v>
      </c>
      <c r="BR31" s="93"/>
      <c r="BS31" s="93"/>
      <c r="BT31" s="103"/>
      <c r="BU31" s="93"/>
      <c r="BV31" s="103"/>
      <c r="BW31" s="94"/>
      <c r="BX31" s="94"/>
      <c r="BY31" s="93">
        <f t="shared" si="28"/>
        <v>0</v>
      </c>
      <c r="BZ31" s="93"/>
      <c r="CA31" s="104"/>
      <c r="CB31" s="105"/>
      <c r="CC31" s="106"/>
      <c r="CD31" s="107"/>
      <c r="CE31" s="94"/>
      <c r="CF31" s="94"/>
      <c r="CG31" s="93">
        <f t="shared" si="29"/>
        <v>0</v>
      </c>
      <c r="CH31" s="93"/>
      <c r="CI31" s="106"/>
      <c r="CJ31" s="105"/>
      <c r="CK31" s="93"/>
      <c r="CL31" s="105"/>
      <c r="CM31" s="108"/>
      <c r="CN31" s="108"/>
      <c r="CO31" s="93">
        <f t="shared" si="30"/>
        <v>0</v>
      </c>
      <c r="CP31" s="93"/>
      <c r="CQ31" s="93"/>
      <c r="CR31" s="93"/>
      <c r="CS31" s="93"/>
      <c r="CT31" s="93"/>
      <c r="CU31" s="93"/>
      <c r="CV31" s="93"/>
      <c r="CW31" s="93">
        <f t="shared" si="31"/>
        <v>0</v>
      </c>
      <c r="CX31" s="93"/>
      <c r="CY31" s="93" t="str">
        <f>TEXT(X31,"MMMM")</f>
        <v>enero</v>
      </c>
      <c r="CZ31" s="93" t="str">
        <f t="shared" si="32"/>
        <v>abril</v>
      </c>
      <c r="DA31" s="93" t="str">
        <f t="shared" si="33"/>
        <v>enero</v>
      </c>
      <c r="DB31" s="93" t="str">
        <f t="shared" si="34"/>
        <v>enero</v>
      </c>
      <c r="DC31" s="93" t="str">
        <f t="shared" si="35"/>
        <v>enero</v>
      </c>
      <c r="DD31" s="93" t="str">
        <f t="shared" si="36"/>
        <v>enero</v>
      </c>
      <c r="DE31" s="93" t="str">
        <f t="shared" si="37"/>
        <v>enero</v>
      </c>
      <c r="DF31" s="93" t="str">
        <f t="shared" si="38"/>
        <v>enero</v>
      </c>
      <c r="DG31" s="93" t="str">
        <f t="shared" si="39"/>
        <v>enero</v>
      </c>
      <c r="DH31" s="93" t="str">
        <f t="shared" si="40"/>
        <v>enero</v>
      </c>
    </row>
    <row r="32" spans="1:112" s="21" customFormat="1" ht="26.45" hidden="1" customHeight="1">
      <c r="A32" s="93">
        <v>22</v>
      </c>
      <c r="B32" s="93" t="e">
        <f>VLOOKUP($A32,  'Matriz POA 2024-TRABAJO'!$A$5:$CY$9142,29,FALSE)</f>
        <v>#N/A</v>
      </c>
      <c r="C32" s="93" t="e">
        <f>VLOOKUP($A32, 'Matriz POA 2024-TRABAJO'!$A$5:$CY$9142,11,FALSE)</f>
        <v>#N/A</v>
      </c>
      <c r="D32" s="93" t="e">
        <f>VLOOKUP($A32, 'Matriz POA 2024-TRABAJO'!$A$5:$CY$9142,14,FALSE)</f>
        <v>#N/A</v>
      </c>
      <c r="E32" s="93" t="e">
        <f>VLOOKUP($A32, 'Matriz POA 2024-TRABAJO'!$A$5:$CY$9142,15,FALSE)</f>
        <v>#N/A</v>
      </c>
      <c r="F32" s="93" t="e">
        <f>VLOOKUP($A32, 'Matriz POA 2024-TRABAJO'!$A$5:$CY$9142,18,FALSE)</f>
        <v>#N/A</v>
      </c>
      <c r="G32" s="93" t="e">
        <f>VLOOKUP($A32, 'Matriz POA 2024-TRABAJO'!$A$5:$CY$9142,23,FALSE)</f>
        <v>#N/A</v>
      </c>
      <c r="H32" s="93" t="e">
        <f>VLOOKUP($A32, 'Matriz POA 2024-TRABAJO'!$A$5:$CY$9142,24,FALSE)</f>
        <v>#N/A</v>
      </c>
      <c r="I32" s="93" t="e">
        <f>VLOOKUP($A32, 'Matriz POA 2024-TRABAJO'!$A$5:$CY$9142,20,FALSE)</f>
        <v>#N/A</v>
      </c>
      <c r="J32" s="93" t="e">
        <f>VLOOKUP($A32, 'Matriz POA 2024-TRABAJO'!$A$5:$CY$9142,26,FALSE)</f>
        <v>#N/A</v>
      </c>
      <c r="K32" s="93" t="e">
        <f>VLOOKUP($A32, 'Matriz POA 2024-TRABAJO'!$A$5:$CY$9142,27,FALSE)</f>
        <v>#N/A</v>
      </c>
      <c r="L32" s="93" t="e">
        <f>VLOOKUP($A32, 'Matriz POA 2024-TRABAJO'!$A$5:$CY$9142,28,FALSE)</f>
        <v>#N/A</v>
      </c>
      <c r="M32" s="93" t="e">
        <f>VLOOKUP($A32, 'Matriz POA 2024-TRABAJO'!$A$5:$CY$9142,30,FALSE)</f>
        <v>#N/A</v>
      </c>
      <c r="N32" s="93" t="e">
        <f>VLOOKUP($A32, 'Matriz POA 2024-TRABAJO'!$A$5:$CY$9142,31,FALSE)</f>
        <v>#N/A</v>
      </c>
      <c r="O32" s="93" t="e">
        <f>VLOOKUP($A32, 'Matriz POA 2024-TRABAJO'!$A$5:$CY$9142,45,FALSE)</f>
        <v>#N/A</v>
      </c>
      <c r="P32" s="93" t="e">
        <f>VLOOKUP($A32, 'Matriz POA 2024-TRABAJO'!$A$5:$CY$9142,46,FALSE)</f>
        <v>#N/A</v>
      </c>
      <c r="Q32" s="93" t="e">
        <f>VLOOKUP($A32, 'Matriz POA 2024-TRABAJO'!$A$5:$CY$9142,47,FALSE)</f>
        <v>#N/A</v>
      </c>
      <c r="R32" s="94">
        <f t="shared" si="20"/>
        <v>14301.99</v>
      </c>
      <c r="S32" s="95" t="e">
        <f t="shared" si="21"/>
        <v>#N/A</v>
      </c>
      <c r="T32" s="93" t="e">
        <f>VLOOKUP($A32, 'Matriz POA 2024-TRABAJO'!$A$5:$CY$9142,72,FALSE)</f>
        <v>#N/A</v>
      </c>
      <c r="U32" s="93" t="e">
        <f>VLOOKUP($A32, 'Matriz POA 2024-TRABAJO'!$A$5:$CY$9142,29,FALSE)</f>
        <v>#N/A</v>
      </c>
      <c r="V32" s="94" t="str">
        <f t="shared" si="41"/>
        <v>2ar-</v>
      </c>
      <c r="W32" s="96" t="s">
        <v>1121</v>
      </c>
      <c r="X32" s="96">
        <v>45307</v>
      </c>
      <c r="Y32" s="97" t="s">
        <v>1122</v>
      </c>
      <c r="Z32" s="96">
        <v>45308</v>
      </c>
      <c r="AA32" s="98">
        <v>19328</v>
      </c>
      <c r="AB32" s="98"/>
      <c r="AC32" s="99">
        <f t="shared" si="22"/>
        <v>1</v>
      </c>
      <c r="AD32" s="100" t="s">
        <v>1123</v>
      </c>
      <c r="AE32" s="97" t="s">
        <v>1004</v>
      </c>
      <c r="AF32" s="101">
        <v>45398</v>
      </c>
      <c r="AG32" s="97"/>
      <c r="AH32" s="101">
        <v>45399</v>
      </c>
      <c r="AI32" s="98">
        <v>-5026.01</v>
      </c>
      <c r="AJ32" s="98"/>
      <c r="AK32" s="99">
        <f t="shared" si="23"/>
        <v>1</v>
      </c>
      <c r="AL32" s="99"/>
      <c r="AM32" s="98"/>
      <c r="AN32" s="96"/>
      <c r="AO32" s="97"/>
      <c r="AP32" s="101"/>
      <c r="AQ32" s="98"/>
      <c r="AR32" s="98"/>
      <c r="AS32" s="99">
        <f t="shared" si="24"/>
        <v>0</v>
      </c>
      <c r="AT32" s="99"/>
      <c r="AU32" s="96"/>
      <c r="AV32" s="96"/>
      <c r="AW32" s="93"/>
      <c r="AX32" s="96"/>
      <c r="AY32" s="98"/>
      <c r="AZ32" s="98"/>
      <c r="BA32" s="99">
        <f t="shared" si="25"/>
        <v>0</v>
      </c>
      <c r="BB32" s="99"/>
      <c r="BC32" s="96"/>
      <c r="BD32" s="96"/>
      <c r="BE32" s="93"/>
      <c r="BF32" s="96"/>
      <c r="BG32" s="102"/>
      <c r="BH32" s="102"/>
      <c r="BI32" s="93">
        <f t="shared" si="26"/>
        <v>0</v>
      </c>
      <c r="BJ32" s="93"/>
      <c r="BK32" s="93"/>
      <c r="BL32" s="103"/>
      <c r="BM32" s="93"/>
      <c r="BN32" s="103"/>
      <c r="BO32" s="94"/>
      <c r="BP32" s="94"/>
      <c r="BQ32" s="93">
        <f t="shared" si="27"/>
        <v>0</v>
      </c>
      <c r="BR32" s="93"/>
      <c r="BS32" s="93"/>
      <c r="BT32" s="103"/>
      <c r="BU32" s="93"/>
      <c r="BV32" s="103"/>
      <c r="BW32" s="94"/>
      <c r="BX32" s="94"/>
      <c r="BY32" s="93">
        <f t="shared" si="28"/>
        <v>0</v>
      </c>
      <c r="BZ32" s="93"/>
      <c r="CA32" s="104"/>
      <c r="CB32" s="105"/>
      <c r="CC32" s="106"/>
      <c r="CD32" s="107"/>
      <c r="CE32" s="94"/>
      <c r="CF32" s="94"/>
      <c r="CG32" s="93">
        <f t="shared" si="29"/>
        <v>0</v>
      </c>
      <c r="CH32" s="93"/>
      <c r="CI32" s="106"/>
      <c r="CJ32" s="105"/>
      <c r="CK32" s="93"/>
      <c r="CL32" s="105"/>
      <c r="CM32" s="108"/>
      <c r="CN32" s="108"/>
      <c r="CO32" s="93">
        <f t="shared" si="30"/>
        <v>0</v>
      </c>
      <c r="CP32" s="93"/>
      <c r="CQ32" s="93"/>
      <c r="CR32" s="93"/>
      <c r="CS32" s="93"/>
      <c r="CT32" s="93"/>
      <c r="CU32" s="93"/>
      <c r="CV32" s="93"/>
      <c r="CW32" s="93">
        <f t="shared" si="31"/>
        <v>0</v>
      </c>
      <c r="CX32" s="93"/>
      <c r="CY32" s="93" t="str">
        <f>TEXT(Z32,"MMMM")</f>
        <v>enero</v>
      </c>
      <c r="CZ32" s="93" t="str">
        <f t="shared" si="32"/>
        <v>abril</v>
      </c>
      <c r="DA32" s="93" t="str">
        <f t="shared" si="33"/>
        <v>enero</v>
      </c>
      <c r="DB32" s="93" t="str">
        <f t="shared" si="34"/>
        <v>enero</v>
      </c>
      <c r="DC32" s="93" t="str">
        <f t="shared" si="35"/>
        <v>enero</v>
      </c>
      <c r="DD32" s="93" t="str">
        <f t="shared" si="36"/>
        <v>enero</v>
      </c>
      <c r="DE32" s="93" t="str">
        <f t="shared" si="37"/>
        <v>enero</v>
      </c>
      <c r="DF32" s="93" t="str">
        <f t="shared" si="38"/>
        <v>enero</v>
      </c>
      <c r="DG32" s="93" t="str">
        <f t="shared" si="39"/>
        <v>enero</v>
      </c>
      <c r="DH32" s="93" t="str">
        <f t="shared" si="40"/>
        <v>enero</v>
      </c>
    </row>
    <row r="33" spans="1:112" s="21" customFormat="1" ht="18.75" hidden="1" customHeight="1">
      <c r="A33" s="93">
        <v>23</v>
      </c>
      <c r="B33" s="93" t="e">
        <f>VLOOKUP($A33,  'Matriz POA 2024-TRABAJO'!$A$5:$CY$9142,29,FALSE)</f>
        <v>#N/A</v>
      </c>
      <c r="C33" s="93" t="e">
        <f>VLOOKUP($A33, 'Matriz POA 2024-TRABAJO'!$A$5:$CY$9142,11,FALSE)</f>
        <v>#N/A</v>
      </c>
      <c r="D33" s="93" t="e">
        <f>VLOOKUP($A33, 'Matriz POA 2024-TRABAJO'!$A$5:$CY$9142,14,FALSE)</f>
        <v>#N/A</v>
      </c>
      <c r="E33" s="93" t="e">
        <f>VLOOKUP($A33, 'Matriz POA 2024-TRABAJO'!$A$5:$CY$9142,15,FALSE)</f>
        <v>#N/A</v>
      </c>
      <c r="F33" s="93" t="e">
        <f>VLOOKUP($A33, 'Matriz POA 2024-TRABAJO'!$A$5:$CY$9142,18,FALSE)</f>
        <v>#N/A</v>
      </c>
      <c r="G33" s="93" t="e">
        <f>VLOOKUP($A33, 'Matriz POA 2024-TRABAJO'!$A$5:$CY$9142,23,FALSE)</f>
        <v>#N/A</v>
      </c>
      <c r="H33" s="93" t="e">
        <f>VLOOKUP($A33, 'Matriz POA 2024-TRABAJO'!$A$5:$CY$9142,24,FALSE)</f>
        <v>#N/A</v>
      </c>
      <c r="I33" s="93" t="e">
        <f>VLOOKUP($A33, 'Matriz POA 2024-TRABAJO'!$A$5:$CY$9142,20,FALSE)</f>
        <v>#N/A</v>
      </c>
      <c r="J33" s="93" t="e">
        <f>VLOOKUP($A33, 'Matriz POA 2024-TRABAJO'!$A$5:$CY$9142,26,FALSE)</f>
        <v>#N/A</v>
      </c>
      <c r="K33" s="93" t="e">
        <f>VLOOKUP($A33, 'Matriz POA 2024-TRABAJO'!$A$5:$CY$9142,27,FALSE)</f>
        <v>#N/A</v>
      </c>
      <c r="L33" s="93" t="e">
        <f>VLOOKUP($A33, 'Matriz POA 2024-TRABAJO'!$A$5:$CY$9142,28,FALSE)</f>
        <v>#N/A</v>
      </c>
      <c r="M33" s="93" t="e">
        <f>VLOOKUP($A33, 'Matriz POA 2024-TRABAJO'!$A$5:$CY$9142,30,FALSE)</f>
        <v>#N/A</v>
      </c>
      <c r="N33" s="93" t="e">
        <f>VLOOKUP($A33, 'Matriz POA 2024-TRABAJO'!$A$5:$CY$9142,31,FALSE)</f>
        <v>#N/A</v>
      </c>
      <c r="O33" s="93" t="e">
        <f>VLOOKUP($A33, 'Matriz POA 2024-TRABAJO'!$A$5:$CY$9142,45,FALSE)</f>
        <v>#N/A</v>
      </c>
      <c r="P33" s="93" t="e">
        <f>VLOOKUP($A33, 'Matriz POA 2024-TRABAJO'!$A$5:$CY$9142,46,FALSE)</f>
        <v>#N/A</v>
      </c>
      <c r="Q33" s="93" t="e">
        <f>VLOOKUP($A33, 'Matriz POA 2024-TRABAJO'!$A$5:$CY$9142,47,FALSE)</f>
        <v>#N/A</v>
      </c>
      <c r="R33" s="94">
        <f t="shared" si="20"/>
        <v>34335</v>
      </c>
      <c r="S33" s="95" t="e">
        <f t="shared" si="21"/>
        <v>#N/A</v>
      </c>
      <c r="T33" s="93" t="e">
        <f>VLOOKUP($A33, 'Matriz POA 2024-TRABAJO'!$A$5:$CY$9142,72,FALSE)</f>
        <v>#N/A</v>
      </c>
      <c r="U33" s="93" t="e">
        <f>VLOOKUP($A33, 'Matriz POA 2024-TRABAJO'!$A$5:$CY$9142,29,FALSE)</f>
        <v>#N/A</v>
      </c>
      <c r="V33" s="94" t="str">
        <f t="shared" si="41"/>
        <v>2ar-</v>
      </c>
      <c r="W33" s="96" t="s">
        <v>1121</v>
      </c>
      <c r="X33" s="96">
        <v>45307</v>
      </c>
      <c r="Y33" s="97" t="s">
        <v>1122</v>
      </c>
      <c r="Z33" s="96">
        <v>45308</v>
      </c>
      <c r="AA33" s="98">
        <v>34535</v>
      </c>
      <c r="AB33" s="98"/>
      <c r="AC33" s="99">
        <f t="shared" si="22"/>
        <v>1</v>
      </c>
      <c r="AD33" s="100" t="s">
        <v>1123</v>
      </c>
      <c r="AE33" s="97" t="s">
        <v>1004</v>
      </c>
      <c r="AF33" s="101">
        <v>45398</v>
      </c>
      <c r="AG33" s="97"/>
      <c r="AH33" s="101">
        <v>45399</v>
      </c>
      <c r="AI33" s="98">
        <v>-200</v>
      </c>
      <c r="AJ33" s="98"/>
      <c r="AK33" s="99">
        <f t="shared" si="23"/>
        <v>1</v>
      </c>
      <c r="AL33" s="99"/>
      <c r="AM33" s="98"/>
      <c r="AN33" s="96"/>
      <c r="AO33" s="97"/>
      <c r="AP33" s="101"/>
      <c r="AQ33" s="98"/>
      <c r="AR33" s="98"/>
      <c r="AS33" s="99">
        <f t="shared" si="24"/>
        <v>0</v>
      </c>
      <c r="AT33" s="99"/>
      <c r="AU33" s="96"/>
      <c r="AV33" s="96"/>
      <c r="AW33" s="93"/>
      <c r="AX33" s="96"/>
      <c r="AY33" s="98"/>
      <c r="AZ33" s="98"/>
      <c r="BA33" s="99">
        <f t="shared" si="25"/>
        <v>0</v>
      </c>
      <c r="BB33" s="99"/>
      <c r="BC33" s="96"/>
      <c r="BD33" s="96"/>
      <c r="BE33" s="93"/>
      <c r="BF33" s="96"/>
      <c r="BG33" s="102"/>
      <c r="BH33" s="102"/>
      <c r="BI33" s="93">
        <f t="shared" si="26"/>
        <v>0</v>
      </c>
      <c r="BJ33" s="93"/>
      <c r="BK33" s="93"/>
      <c r="BL33" s="103"/>
      <c r="BM33" s="93"/>
      <c r="BN33" s="103"/>
      <c r="BO33" s="94"/>
      <c r="BP33" s="94"/>
      <c r="BQ33" s="93">
        <f t="shared" si="27"/>
        <v>0</v>
      </c>
      <c r="BR33" s="93"/>
      <c r="BS33" s="93"/>
      <c r="BT33" s="103"/>
      <c r="BU33" s="93"/>
      <c r="BV33" s="103"/>
      <c r="BW33" s="94"/>
      <c r="BX33" s="94"/>
      <c r="BY33" s="93">
        <f t="shared" si="28"/>
        <v>0</v>
      </c>
      <c r="BZ33" s="93"/>
      <c r="CA33" s="104"/>
      <c r="CB33" s="105"/>
      <c r="CC33" s="106"/>
      <c r="CD33" s="107"/>
      <c r="CE33" s="94"/>
      <c r="CF33" s="94"/>
      <c r="CG33" s="93">
        <f t="shared" si="29"/>
        <v>0</v>
      </c>
      <c r="CH33" s="93"/>
      <c r="CI33" s="106"/>
      <c r="CJ33" s="105"/>
      <c r="CK33" s="93"/>
      <c r="CL33" s="105"/>
      <c r="CM33" s="108"/>
      <c r="CN33" s="108"/>
      <c r="CO33" s="93">
        <f t="shared" si="30"/>
        <v>0</v>
      </c>
      <c r="CP33" s="93"/>
      <c r="CQ33" s="93"/>
      <c r="CR33" s="93"/>
      <c r="CS33" s="93"/>
      <c r="CT33" s="93"/>
      <c r="CU33" s="93"/>
      <c r="CV33" s="93"/>
      <c r="CW33" s="93">
        <f t="shared" si="31"/>
        <v>0</v>
      </c>
      <c r="CX33" s="93"/>
      <c r="CY33" s="93" t="str">
        <f>TEXT(X33,"MMMM")</f>
        <v>enero</v>
      </c>
      <c r="CZ33" s="93" t="str">
        <f t="shared" si="32"/>
        <v>abril</v>
      </c>
      <c r="DA33" s="93" t="str">
        <f t="shared" si="33"/>
        <v>enero</v>
      </c>
      <c r="DB33" s="93" t="str">
        <f t="shared" si="34"/>
        <v>enero</v>
      </c>
      <c r="DC33" s="93" t="str">
        <f t="shared" si="35"/>
        <v>enero</v>
      </c>
      <c r="DD33" s="93" t="str">
        <f t="shared" si="36"/>
        <v>enero</v>
      </c>
      <c r="DE33" s="93" t="str">
        <f t="shared" si="37"/>
        <v>enero</v>
      </c>
      <c r="DF33" s="93" t="str">
        <f t="shared" si="38"/>
        <v>enero</v>
      </c>
      <c r="DG33" s="93" t="str">
        <f t="shared" si="39"/>
        <v>enero</v>
      </c>
      <c r="DH33" s="93" t="str">
        <f t="shared" si="40"/>
        <v>enero</v>
      </c>
    </row>
    <row r="34" spans="1:112" s="21" customFormat="1" ht="18.75" hidden="1" customHeight="1">
      <c r="A34" s="93">
        <v>7</v>
      </c>
      <c r="B34" s="93" t="e">
        <f>VLOOKUP($A34,  'Matriz POA 2024-TRABAJO'!$A$5:$CY$9142,29,FALSE)</f>
        <v>#N/A</v>
      </c>
      <c r="C34" s="93" t="e">
        <f>VLOOKUP($A34, 'Matriz POA 2024-TRABAJO'!$A$5:$CY$9142,11,FALSE)</f>
        <v>#N/A</v>
      </c>
      <c r="D34" s="93" t="e">
        <f>VLOOKUP($A34, 'Matriz POA 2024-TRABAJO'!$A$5:$CY$9142,14,FALSE)</f>
        <v>#N/A</v>
      </c>
      <c r="E34" s="93" t="e">
        <f>VLOOKUP($A34, 'Matriz POA 2024-TRABAJO'!$A$5:$CY$9142,15,FALSE)</f>
        <v>#N/A</v>
      </c>
      <c r="F34" s="93" t="e">
        <f>VLOOKUP($A34, 'Matriz POA 2024-TRABAJO'!$A$5:$CY$9142,18,FALSE)</f>
        <v>#N/A</v>
      </c>
      <c r="G34" s="93" t="e">
        <f>VLOOKUP($A34, 'Matriz POA 2024-TRABAJO'!$A$5:$CY$9142,23,FALSE)</f>
        <v>#N/A</v>
      </c>
      <c r="H34" s="93" t="e">
        <f>VLOOKUP($A34, 'Matriz POA 2024-TRABAJO'!$A$5:$CY$9142,24,FALSE)</f>
        <v>#N/A</v>
      </c>
      <c r="I34" s="93" t="e">
        <f>VLOOKUP($A34, 'Matriz POA 2024-TRABAJO'!$A$5:$CY$9142,20,FALSE)</f>
        <v>#N/A</v>
      </c>
      <c r="J34" s="93" t="e">
        <f>VLOOKUP($A34, 'Matriz POA 2024-TRABAJO'!$A$5:$CY$9142,26,FALSE)</f>
        <v>#N/A</v>
      </c>
      <c r="K34" s="93" t="e">
        <f>VLOOKUP($A34, 'Matriz POA 2024-TRABAJO'!$A$5:$CY$9142,27,FALSE)</f>
        <v>#N/A</v>
      </c>
      <c r="L34" s="93" t="e">
        <f>VLOOKUP($A34, 'Matriz POA 2024-TRABAJO'!$A$5:$CY$9142,28,FALSE)</f>
        <v>#N/A</v>
      </c>
      <c r="M34" s="93" t="e">
        <f>VLOOKUP($A34, 'Matriz POA 2024-TRABAJO'!$A$5:$CY$9142,30,FALSE)</f>
        <v>#N/A</v>
      </c>
      <c r="N34" s="93" t="e">
        <f>VLOOKUP($A34, 'Matriz POA 2024-TRABAJO'!$A$5:$CY$9142,31,FALSE)</f>
        <v>#N/A</v>
      </c>
      <c r="O34" s="93" t="e">
        <f>VLOOKUP($A34, 'Matriz POA 2024-TRABAJO'!$A$5:$CY$9142,45,FALSE)</f>
        <v>#N/A</v>
      </c>
      <c r="P34" s="93" t="e">
        <f>VLOOKUP($A34, 'Matriz POA 2024-TRABAJO'!$A$5:$CY$9142,46,FALSE)</f>
        <v>#N/A</v>
      </c>
      <c r="Q34" s="93" t="e">
        <f>VLOOKUP($A34, 'Matriz POA 2024-TRABAJO'!$A$5:$CY$9142,47,FALSE)</f>
        <v>#N/A</v>
      </c>
      <c r="R34" s="94">
        <f t="shared" si="20"/>
        <v>9194.56</v>
      </c>
      <c r="S34" s="95" t="e">
        <f t="shared" si="21"/>
        <v>#N/A</v>
      </c>
      <c r="T34" s="93" t="e">
        <f>VLOOKUP($A34, 'Matriz POA 2024-TRABAJO'!$A$5:$CY$9142,72,FALSE)</f>
        <v>#N/A</v>
      </c>
      <c r="U34" s="93" t="e">
        <f>VLOOKUP($A34, 'Matriz POA 2024-TRABAJO'!$A$5:$CY$9142,29,FALSE)</f>
        <v>#N/A</v>
      </c>
      <c r="V34" s="94" t="str">
        <f t="shared" si="41"/>
        <v>3ar-</v>
      </c>
      <c r="W34" s="97" t="s">
        <v>1124</v>
      </c>
      <c r="X34" s="109">
        <v>45309</v>
      </c>
      <c r="Y34" s="99" t="s">
        <v>1125</v>
      </c>
      <c r="Z34" s="109">
        <v>45314</v>
      </c>
      <c r="AA34" s="98">
        <v>9194.56</v>
      </c>
      <c r="AB34" s="98"/>
      <c r="AC34" s="99">
        <f t="shared" si="22"/>
        <v>5</v>
      </c>
      <c r="AD34" s="110" t="s">
        <v>1126</v>
      </c>
      <c r="AE34" s="97"/>
      <c r="AF34" s="101"/>
      <c r="AG34" s="97"/>
      <c r="AH34" s="101"/>
      <c r="AI34" s="98"/>
      <c r="AJ34" s="98">
        <f>AI34*-1</f>
        <v>0</v>
      </c>
      <c r="AK34" s="99">
        <f t="shared" si="23"/>
        <v>0</v>
      </c>
      <c r="AL34" s="99"/>
      <c r="AM34" s="98"/>
      <c r="AN34" s="96"/>
      <c r="AO34" s="97"/>
      <c r="AP34" s="101"/>
      <c r="AQ34" s="98"/>
      <c r="AR34" s="98"/>
      <c r="AS34" s="99">
        <f t="shared" si="24"/>
        <v>0</v>
      </c>
      <c r="AT34" s="99"/>
      <c r="AU34" s="96"/>
      <c r="AV34" s="96"/>
      <c r="AW34" s="93"/>
      <c r="AX34" s="96"/>
      <c r="AY34" s="98"/>
      <c r="AZ34" s="98"/>
      <c r="BA34" s="99">
        <f t="shared" si="25"/>
        <v>0</v>
      </c>
      <c r="BB34" s="99"/>
      <c r="BC34" s="96"/>
      <c r="BD34" s="96"/>
      <c r="BE34" s="93"/>
      <c r="BF34" s="96"/>
      <c r="BG34" s="102"/>
      <c r="BH34" s="102"/>
      <c r="BI34" s="93">
        <f t="shared" si="26"/>
        <v>0</v>
      </c>
      <c r="BJ34" s="93"/>
      <c r="BK34" s="93"/>
      <c r="BL34" s="103"/>
      <c r="BM34" s="93"/>
      <c r="BN34" s="103"/>
      <c r="BO34" s="94"/>
      <c r="BP34" s="94"/>
      <c r="BQ34" s="93">
        <f t="shared" si="27"/>
        <v>0</v>
      </c>
      <c r="BR34" s="93"/>
      <c r="BS34" s="93"/>
      <c r="BT34" s="103"/>
      <c r="BU34" s="93"/>
      <c r="BV34" s="103"/>
      <c r="BW34" s="94"/>
      <c r="BX34" s="94"/>
      <c r="BY34" s="93">
        <f t="shared" si="28"/>
        <v>0</v>
      </c>
      <c r="BZ34" s="93"/>
      <c r="CA34" s="104"/>
      <c r="CB34" s="105"/>
      <c r="CC34" s="106"/>
      <c r="CD34" s="107"/>
      <c r="CE34" s="94"/>
      <c r="CF34" s="94"/>
      <c r="CG34" s="93">
        <f t="shared" si="29"/>
        <v>0</v>
      </c>
      <c r="CH34" s="93"/>
      <c r="CI34" s="106"/>
      <c r="CJ34" s="105"/>
      <c r="CK34" s="93"/>
      <c r="CL34" s="105"/>
      <c r="CM34" s="108"/>
      <c r="CN34" s="108"/>
      <c r="CO34" s="93">
        <f t="shared" si="30"/>
        <v>0</v>
      </c>
      <c r="CP34" s="93"/>
      <c r="CQ34" s="93"/>
      <c r="CR34" s="93"/>
      <c r="CS34" s="93"/>
      <c r="CT34" s="93"/>
      <c r="CU34" s="93"/>
      <c r="CV34" s="93"/>
      <c r="CW34" s="93">
        <f t="shared" si="31"/>
        <v>0</v>
      </c>
      <c r="CX34" s="93"/>
      <c r="CY34" s="93" t="str">
        <f>TEXT(X34,"MMMM")</f>
        <v>enero</v>
      </c>
      <c r="CZ34" s="93" t="str">
        <f t="shared" si="32"/>
        <v>enero</v>
      </c>
      <c r="DA34" s="93" t="str">
        <f t="shared" si="33"/>
        <v>enero</v>
      </c>
      <c r="DB34" s="93" t="str">
        <f t="shared" si="34"/>
        <v>enero</v>
      </c>
      <c r="DC34" s="93" t="str">
        <f t="shared" si="35"/>
        <v>enero</v>
      </c>
      <c r="DD34" s="93" t="str">
        <f t="shared" si="36"/>
        <v>enero</v>
      </c>
      <c r="DE34" s="93" t="str">
        <f t="shared" si="37"/>
        <v>enero</v>
      </c>
      <c r="DF34" s="93" t="str">
        <f t="shared" si="38"/>
        <v>enero</v>
      </c>
      <c r="DG34" s="93" t="str">
        <f t="shared" si="39"/>
        <v>enero</v>
      </c>
      <c r="DH34" s="93" t="str">
        <f t="shared" si="40"/>
        <v>enero</v>
      </c>
    </row>
    <row r="35" spans="1:112" ht="15" hidden="1" customHeight="1">
      <c r="A35" s="93">
        <v>77</v>
      </c>
      <c r="B35" s="93" t="e">
        <f>VLOOKUP($A35,  'Matriz POA 2024-TRABAJO'!$A$5:$CY$9142,29,FALSE)</f>
        <v>#N/A</v>
      </c>
      <c r="C35" s="93" t="e">
        <f>VLOOKUP($A35, 'Matriz POA 2024-TRABAJO'!$A$5:$CY$9142,11,FALSE)</f>
        <v>#N/A</v>
      </c>
      <c r="D35" s="93" t="e">
        <f>VLOOKUP($A35, 'Matriz POA 2024-TRABAJO'!$A$5:$CY$9142,14,FALSE)</f>
        <v>#N/A</v>
      </c>
      <c r="E35" s="93" t="e">
        <f>VLOOKUP($A35, 'Matriz POA 2024-TRABAJO'!$A$5:$CY$9142,15,FALSE)</f>
        <v>#N/A</v>
      </c>
      <c r="F35" s="93" t="e">
        <f>VLOOKUP($A35, 'Matriz POA 2024-TRABAJO'!$A$5:$CY$9142,18,FALSE)</f>
        <v>#N/A</v>
      </c>
      <c r="G35" s="93" t="e">
        <f>VLOOKUP($A35, 'Matriz POA 2024-TRABAJO'!$A$5:$CY$9142,23,FALSE)</f>
        <v>#N/A</v>
      </c>
      <c r="H35" s="93" t="e">
        <f>VLOOKUP($A35, 'Matriz POA 2024-TRABAJO'!$A$5:$CY$9142,24,FALSE)</f>
        <v>#N/A</v>
      </c>
      <c r="I35" s="93" t="e">
        <f>VLOOKUP($A35, 'Matriz POA 2024-TRABAJO'!$A$5:$CY$9142,20,FALSE)</f>
        <v>#N/A</v>
      </c>
      <c r="J35" s="93" t="e">
        <f>VLOOKUP($A35, 'Matriz POA 2024-TRABAJO'!$A$5:$CY$9142,26,FALSE)</f>
        <v>#N/A</v>
      </c>
      <c r="K35" s="93" t="e">
        <f>VLOOKUP($A35, 'Matriz POA 2024-TRABAJO'!$A$5:$CY$9142,27,FALSE)</f>
        <v>#N/A</v>
      </c>
      <c r="L35" s="93" t="e">
        <f>VLOOKUP($A35, 'Matriz POA 2024-TRABAJO'!$A$5:$CY$9142,28,FALSE)</f>
        <v>#N/A</v>
      </c>
      <c r="M35" s="93" t="e">
        <f>VLOOKUP($A35, 'Matriz POA 2024-TRABAJO'!$A$5:$CY$9142,30,FALSE)</f>
        <v>#N/A</v>
      </c>
      <c r="N35" s="93" t="e">
        <f>VLOOKUP($A35, 'Matriz POA 2024-TRABAJO'!$A$5:$CY$9142,31,FALSE)</f>
        <v>#N/A</v>
      </c>
      <c r="O35" s="93" t="e">
        <f>VLOOKUP($A35, 'Matriz POA 2024-TRABAJO'!$A$5:$CY$9142,45,FALSE)</f>
        <v>#N/A</v>
      </c>
      <c r="P35" s="93" t="e">
        <f>VLOOKUP($A35, 'Matriz POA 2024-TRABAJO'!$A$5:$CY$9142,46,FALSE)</f>
        <v>#N/A</v>
      </c>
      <c r="Q35" s="93" t="e">
        <f>VLOOKUP($A35, 'Matriz POA 2024-TRABAJO'!$A$5:$CY$9142,47,FALSE)</f>
        <v>#N/A</v>
      </c>
      <c r="R35" s="94">
        <f t="shared" si="20"/>
        <v>1950</v>
      </c>
      <c r="S35" s="95" t="e">
        <f t="shared" si="21"/>
        <v>#N/A</v>
      </c>
      <c r="T35" s="93" t="e">
        <f>VLOOKUP($A35, 'Matriz POA 2024-TRABAJO'!$A$5:$CY$9142,72,FALSE)</f>
        <v>#N/A</v>
      </c>
      <c r="U35" s="93" t="e">
        <f>VLOOKUP($A35, 'Matriz POA 2024-TRABAJO'!$A$5:$CY$9142,29,FALSE)</f>
        <v>#N/A</v>
      </c>
      <c r="V35" s="94" t="str">
        <f t="shared" si="41"/>
        <v>4ar-</v>
      </c>
      <c r="W35" s="97" t="s">
        <v>1127</v>
      </c>
      <c r="X35" s="109">
        <v>45307</v>
      </c>
      <c r="Y35" s="99" t="s">
        <v>1128</v>
      </c>
      <c r="Z35" s="109">
        <v>45315</v>
      </c>
      <c r="AA35" s="98">
        <v>1950</v>
      </c>
      <c r="AB35" s="98"/>
      <c r="AC35" s="99">
        <f t="shared" si="22"/>
        <v>8</v>
      </c>
      <c r="AD35" s="99" t="s">
        <v>1129</v>
      </c>
      <c r="AE35" s="97"/>
      <c r="AF35" s="101"/>
      <c r="AG35" s="97"/>
      <c r="AH35" s="101"/>
      <c r="AI35" s="98"/>
      <c r="AJ35" s="98"/>
      <c r="AK35" s="99">
        <f t="shared" si="23"/>
        <v>0</v>
      </c>
      <c r="AL35" s="99"/>
      <c r="AM35" s="98"/>
      <c r="AN35" s="96"/>
      <c r="AO35" s="97"/>
      <c r="AP35" s="101"/>
      <c r="AQ35" s="98"/>
      <c r="AR35" s="98"/>
      <c r="AS35" s="99">
        <f t="shared" si="24"/>
        <v>0</v>
      </c>
      <c r="AT35" s="99"/>
      <c r="AU35" s="96"/>
      <c r="AV35" s="96"/>
      <c r="AW35" s="93"/>
      <c r="AX35" s="96"/>
      <c r="AY35" s="98"/>
      <c r="AZ35" s="98"/>
      <c r="BA35" s="99">
        <f t="shared" si="25"/>
        <v>0</v>
      </c>
      <c r="BB35" s="99"/>
      <c r="BC35" s="96"/>
      <c r="BD35" s="96"/>
      <c r="BE35" s="93"/>
      <c r="BF35" s="96"/>
      <c r="BG35" s="102"/>
      <c r="BH35" s="102"/>
      <c r="BI35" s="93">
        <f t="shared" si="26"/>
        <v>0</v>
      </c>
      <c r="BJ35" s="93"/>
      <c r="BK35" s="93"/>
      <c r="BL35" s="103"/>
      <c r="BM35" s="93"/>
      <c r="BN35" s="103"/>
      <c r="BO35" s="94"/>
      <c r="BP35" s="94"/>
      <c r="BQ35" s="93">
        <f t="shared" si="27"/>
        <v>0</v>
      </c>
      <c r="BR35" s="93"/>
      <c r="BS35" s="93"/>
      <c r="BT35" s="103"/>
      <c r="BU35" s="93"/>
      <c r="BV35" s="103"/>
      <c r="BW35" s="94"/>
      <c r="BX35" s="94"/>
      <c r="BY35" s="93">
        <f t="shared" si="28"/>
        <v>0</v>
      </c>
      <c r="BZ35" s="93"/>
      <c r="CA35" s="104"/>
      <c r="CB35" s="105"/>
      <c r="CC35" s="106"/>
      <c r="CD35" s="107"/>
      <c r="CE35" s="94"/>
      <c r="CF35" s="94"/>
      <c r="CG35" s="93">
        <f t="shared" si="29"/>
        <v>0</v>
      </c>
      <c r="CH35" s="93"/>
      <c r="CI35" s="106"/>
      <c r="CJ35" s="105"/>
      <c r="CK35" s="93"/>
      <c r="CL35" s="105"/>
      <c r="CM35" s="108"/>
      <c r="CN35" s="108"/>
      <c r="CO35" s="93">
        <f t="shared" si="30"/>
        <v>0</v>
      </c>
      <c r="CP35" s="93"/>
      <c r="CQ35" s="93"/>
      <c r="CR35" s="93"/>
      <c r="CS35" s="93"/>
      <c r="CT35" s="93"/>
      <c r="CU35" s="93"/>
      <c r="CV35" s="93"/>
      <c r="CW35" s="93">
        <f t="shared" si="31"/>
        <v>0</v>
      </c>
      <c r="CX35" s="93"/>
      <c r="CY35" s="93" t="str">
        <f>TEXT(X35,"MMMM")</f>
        <v>enero</v>
      </c>
      <c r="CZ35" s="93" t="str">
        <f t="shared" si="32"/>
        <v>enero</v>
      </c>
      <c r="DA35" s="93" t="str">
        <f t="shared" si="33"/>
        <v>enero</v>
      </c>
      <c r="DB35" s="93" t="str">
        <f t="shared" si="34"/>
        <v>enero</v>
      </c>
      <c r="DC35" s="93" t="str">
        <f t="shared" si="35"/>
        <v>enero</v>
      </c>
      <c r="DD35" s="93" t="str">
        <f t="shared" si="36"/>
        <v>enero</v>
      </c>
      <c r="DE35" s="93" t="str">
        <f t="shared" si="37"/>
        <v>enero</v>
      </c>
      <c r="DF35" s="93" t="str">
        <f t="shared" si="38"/>
        <v>enero</v>
      </c>
      <c r="DG35" s="93" t="str">
        <f t="shared" si="39"/>
        <v>enero</v>
      </c>
      <c r="DH35" s="93" t="str">
        <f t="shared" si="40"/>
        <v>enero</v>
      </c>
    </row>
    <row r="36" spans="1:112" s="21" customFormat="1" ht="26.45" hidden="1" customHeight="1">
      <c r="A36" s="93">
        <v>11</v>
      </c>
      <c r="B36" s="93" t="e">
        <f>VLOOKUP($A36,  'Matriz POA 2024-TRABAJO'!$A$5:$CY$9142,29,FALSE)</f>
        <v>#N/A</v>
      </c>
      <c r="C36" s="93" t="e">
        <f>VLOOKUP($A36, 'Matriz POA 2024-TRABAJO'!$A$5:$CY$9142,11,FALSE)</f>
        <v>#N/A</v>
      </c>
      <c r="D36" s="93" t="e">
        <f>VLOOKUP($A36, 'Matriz POA 2024-TRABAJO'!$A$5:$CY$9142,14,FALSE)</f>
        <v>#N/A</v>
      </c>
      <c r="E36" s="93" t="e">
        <f>VLOOKUP($A36, 'Matriz POA 2024-TRABAJO'!$A$5:$CY$9142,15,FALSE)</f>
        <v>#N/A</v>
      </c>
      <c r="F36" s="93" t="e">
        <f>VLOOKUP($A36, 'Matriz POA 2024-TRABAJO'!$A$5:$CY$9142,18,FALSE)</f>
        <v>#N/A</v>
      </c>
      <c r="G36" s="93" t="e">
        <f>VLOOKUP($A36, 'Matriz POA 2024-TRABAJO'!$A$5:$CY$9142,23,FALSE)</f>
        <v>#N/A</v>
      </c>
      <c r="H36" s="93" t="e">
        <f>VLOOKUP($A36, 'Matriz POA 2024-TRABAJO'!$A$5:$CY$9142,24,FALSE)</f>
        <v>#N/A</v>
      </c>
      <c r="I36" s="93" t="e">
        <f>VLOOKUP($A36, 'Matriz POA 2024-TRABAJO'!$A$5:$CY$9142,20,FALSE)</f>
        <v>#N/A</v>
      </c>
      <c r="J36" s="93" t="e">
        <f>VLOOKUP($A36, 'Matriz POA 2024-TRABAJO'!$A$5:$CY$9142,26,FALSE)</f>
        <v>#N/A</v>
      </c>
      <c r="K36" s="93" t="e">
        <f>VLOOKUP($A36, 'Matriz POA 2024-TRABAJO'!$A$5:$CY$9142,27,FALSE)</f>
        <v>#N/A</v>
      </c>
      <c r="L36" s="93" t="e">
        <f>VLOOKUP($A36, 'Matriz POA 2024-TRABAJO'!$A$5:$CY$9142,28,FALSE)</f>
        <v>#N/A</v>
      </c>
      <c r="M36" s="93" t="e">
        <f>VLOOKUP($A36, 'Matriz POA 2024-TRABAJO'!$A$5:$CY$9142,30,FALSE)</f>
        <v>#N/A</v>
      </c>
      <c r="N36" s="93" t="e">
        <f>VLOOKUP($A36, 'Matriz POA 2024-TRABAJO'!$A$5:$CY$9142,31,FALSE)</f>
        <v>#N/A</v>
      </c>
      <c r="O36" s="93" t="e">
        <f>VLOOKUP($A36, 'Matriz POA 2024-TRABAJO'!$A$5:$CY$9142,45,FALSE)</f>
        <v>#N/A</v>
      </c>
      <c r="P36" s="93" t="e">
        <f>VLOOKUP($A36, 'Matriz POA 2024-TRABAJO'!$A$5:$CY$9142,46,FALSE)</f>
        <v>#N/A</v>
      </c>
      <c r="Q36" s="93" t="e">
        <f>VLOOKUP($A36, 'Matriz POA 2024-TRABAJO'!$A$5:$CY$9142,47,FALSE)</f>
        <v>#N/A</v>
      </c>
      <c r="R36" s="94">
        <f t="shared" si="20"/>
        <v>360</v>
      </c>
      <c r="S36" s="95" t="e">
        <f t="shared" si="21"/>
        <v>#N/A</v>
      </c>
      <c r="T36" s="93" t="e">
        <f>VLOOKUP($A36, 'Matriz POA 2024-TRABAJO'!$A$5:$CY$9142,72,FALSE)</f>
        <v>#N/A</v>
      </c>
      <c r="U36" s="93" t="e">
        <f>VLOOKUP($A36, 'Matriz POA 2024-TRABAJO'!$A$5:$CY$9142,29,FALSE)</f>
        <v>#N/A</v>
      </c>
      <c r="V36" s="94" t="str">
        <f t="shared" si="41"/>
        <v>5ar-</v>
      </c>
      <c r="W36" s="96" t="s">
        <v>1130</v>
      </c>
      <c r="X36" s="96">
        <v>45309</v>
      </c>
      <c r="Y36" s="97" t="s">
        <v>1131</v>
      </c>
      <c r="Z36" s="96">
        <v>45315</v>
      </c>
      <c r="AA36" s="98">
        <v>360</v>
      </c>
      <c r="AB36" s="98"/>
      <c r="AC36" s="99">
        <f t="shared" si="22"/>
        <v>6</v>
      </c>
      <c r="AD36" s="100" t="s">
        <v>1132</v>
      </c>
      <c r="AE36" s="97"/>
      <c r="AF36" s="101"/>
      <c r="AG36" s="97"/>
      <c r="AH36" s="101"/>
      <c r="AI36" s="98"/>
      <c r="AJ36" s="98">
        <f>AI36*-1</f>
        <v>0</v>
      </c>
      <c r="AK36" s="99">
        <f t="shared" si="23"/>
        <v>0</v>
      </c>
      <c r="AL36" s="99"/>
      <c r="AM36" s="98"/>
      <c r="AN36" s="96"/>
      <c r="AO36" s="97"/>
      <c r="AP36" s="101"/>
      <c r="AQ36" s="98"/>
      <c r="AR36" s="98"/>
      <c r="AS36" s="99">
        <f t="shared" si="24"/>
        <v>0</v>
      </c>
      <c r="AT36" s="99"/>
      <c r="AU36" s="96"/>
      <c r="AV36" s="96"/>
      <c r="AW36" s="93"/>
      <c r="AX36" s="96"/>
      <c r="AY36" s="98"/>
      <c r="AZ36" s="98"/>
      <c r="BA36" s="99">
        <f t="shared" si="25"/>
        <v>0</v>
      </c>
      <c r="BB36" s="99"/>
      <c r="BC36" s="96"/>
      <c r="BD36" s="96"/>
      <c r="BE36" s="93"/>
      <c r="BF36" s="96"/>
      <c r="BG36" s="102"/>
      <c r="BH36" s="102"/>
      <c r="BI36" s="93">
        <f t="shared" si="26"/>
        <v>0</v>
      </c>
      <c r="BJ36" s="93"/>
      <c r="BK36" s="93"/>
      <c r="BL36" s="103"/>
      <c r="BM36" s="93"/>
      <c r="BN36" s="103"/>
      <c r="BO36" s="94"/>
      <c r="BP36" s="94"/>
      <c r="BQ36" s="93">
        <f t="shared" si="27"/>
        <v>0</v>
      </c>
      <c r="BR36" s="93"/>
      <c r="BS36" s="93"/>
      <c r="BT36" s="103"/>
      <c r="BU36" s="93"/>
      <c r="BV36" s="103"/>
      <c r="BW36" s="94"/>
      <c r="BX36" s="94"/>
      <c r="BY36" s="93">
        <f t="shared" si="28"/>
        <v>0</v>
      </c>
      <c r="BZ36" s="93"/>
      <c r="CA36" s="104"/>
      <c r="CB36" s="105"/>
      <c r="CC36" s="106"/>
      <c r="CD36" s="107"/>
      <c r="CE36" s="94"/>
      <c r="CF36" s="94"/>
      <c r="CG36" s="93">
        <f t="shared" si="29"/>
        <v>0</v>
      </c>
      <c r="CH36" s="93"/>
      <c r="CI36" s="106"/>
      <c r="CJ36" s="105"/>
      <c r="CK36" s="93"/>
      <c r="CL36" s="105"/>
      <c r="CM36" s="108"/>
      <c r="CN36" s="108"/>
      <c r="CO36" s="93">
        <f t="shared" si="30"/>
        <v>0</v>
      </c>
      <c r="CP36" s="93"/>
      <c r="CQ36" s="93"/>
      <c r="CR36" s="93"/>
      <c r="CS36" s="93"/>
      <c r="CT36" s="93"/>
      <c r="CU36" s="93"/>
      <c r="CV36" s="93"/>
      <c r="CW36" s="93">
        <f t="shared" si="31"/>
        <v>0</v>
      </c>
      <c r="CX36" s="93"/>
      <c r="CY36" s="93" t="str">
        <f>TEXT(Z36,"MMMM")</f>
        <v>enero</v>
      </c>
      <c r="CZ36" s="93" t="str">
        <f t="shared" si="32"/>
        <v>enero</v>
      </c>
      <c r="DA36" s="93" t="str">
        <f t="shared" si="33"/>
        <v>enero</v>
      </c>
      <c r="DB36" s="93" t="str">
        <f t="shared" si="34"/>
        <v>enero</v>
      </c>
      <c r="DC36" s="93" t="str">
        <f t="shared" si="35"/>
        <v>enero</v>
      </c>
      <c r="DD36" s="93" t="str">
        <f t="shared" si="36"/>
        <v>enero</v>
      </c>
      <c r="DE36" s="93" t="str">
        <f t="shared" si="37"/>
        <v>enero</v>
      </c>
      <c r="DF36" s="93" t="str">
        <f t="shared" si="38"/>
        <v>enero</v>
      </c>
      <c r="DG36" s="93" t="str">
        <f t="shared" si="39"/>
        <v>enero</v>
      </c>
      <c r="DH36" s="93" t="str">
        <f t="shared" si="40"/>
        <v>enero</v>
      </c>
    </row>
    <row r="37" spans="1:112" s="21" customFormat="1" ht="18.75" hidden="1" customHeight="1">
      <c r="A37" s="93">
        <v>12</v>
      </c>
      <c r="B37" s="93" t="e">
        <f>VLOOKUP($A37,  'Matriz POA 2024-TRABAJO'!$A$5:$CY$9142,29,FALSE)</f>
        <v>#N/A</v>
      </c>
      <c r="C37" s="93" t="e">
        <f>VLOOKUP($A37, 'Matriz POA 2024-TRABAJO'!$A$5:$CY$9142,11,FALSE)</f>
        <v>#N/A</v>
      </c>
      <c r="D37" s="93" t="e">
        <f>VLOOKUP($A37, 'Matriz POA 2024-TRABAJO'!$A$5:$CY$9142,14,FALSE)</f>
        <v>#N/A</v>
      </c>
      <c r="E37" s="93" t="e">
        <f>VLOOKUP($A37, 'Matriz POA 2024-TRABAJO'!$A$5:$CY$9142,15,FALSE)</f>
        <v>#N/A</v>
      </c>
      <c r="F37" s="93" t="e">
        <f>VLOOKUP($A37, 'Matriz POA 2024-TRABAJO'!$A$5:$CY$9142,18,FALSE)</f>
        <v>#N/A</v>
      </c>
      <c r="G37" s="93" t="e">
        <f>VLOOKUP($A37, 'Matriz POA 2024-TRABAJO'!$A$5:$CY$9142,23,FALSE)</f>
        <v>#N/A</v>
      </c>
      <c r="H37" s="93" t="e">
        <f>VLOOKUP($A37, 'Matriz POA 2024-TRABAJO'!$A$5:$CY$9142,24,FALSE)</f>
        <v>#N/A</v>
      </c>
      <c r="I37" s="93" t="e">
        <f>VLOOKUP($A37, 'Matriz POA 2024-TRABAJO'!$A$5:$CY$9142,20,FALSE)</f>
        <v>#N/A</v>
      </c>
      <c r="J37" s="93" t="e">
        <f>VLOOKUP($A37, 'Matriz POA 2024-TRABAJO'!$A$5:$CY$9142,26,FALSE)</f>
        <v>#N/A</v>
      </c>
      <c r="K37" s="93" t="e">
        <f>VLOOKUP($A37, 'Matriz POA 2024-TRABAJO'!$A$5:$CY$9142,27,FALSE)</f>
        <v>#N/A</v>
      </c>
      <c r="L37" s="93" t="e">
        <f>VLOOKUP($A37, 'Matriz POA 2024-TRABAJO'!$A$5:$CY$9142,28,FALSE)</f>
        <v>#N/A</v>
      </c>
      <c r="M37" s="93" t="e">
        <f>VLOOKUP($A37, 'Matriz POA 2024-TRABAJO'!$A$5:$CY$9142,30,FALSE)</f>
        <v>#N/A</v>
      </c>
      <c r="N37" s="93" t="e">
        <f>VLOOKUP($A37, 'Matriz POA 2024-TRABAJO'!$A$5:$CY$9142,31,FALSE)</f>
        <v>#N/A</v>
      </c>
      <c r="O37" s="93" t="e">
        <f>VLOOKUP($A37, 'Matriz POA 2024-TRABAJO'!$A$5:$CY$9142,45,FALSE)</f>
        <v>#N/A</v>
      </c>
      <c r="P37" s="93" t="e">
        <f>VLOOKUP($A37, 'Matriz POA 2024-TRABAJO'!$A$5:$CY$9142,46,FALSE)</f>
        <v>#N/A</v>
      </c>
      <c r="Q37" s="93" t="e">
        <f>VLOOKUP($A37, 'Matriz POA 2024-TRABAJO'!$A$5:$CY$9142,47,FALSE)</f>
        <v>#N/A</v>
      </c>
      <c r="R37" s="94">
        <f t="shared" si="20"/>
        <v>1000</v>
      </c>
      <c r="S37" s="95" t="e">
        <f t="shared" si="21"/>
        <v>#N/A</v>
      </c>
      <c r="T37" s="93" t="e">
        <f>VLOOKUP($A37, 'Matriz POA 2024-TRABAJO'!$A$5:$CY$9142,72,FALSE)</f>
        <v>#N/A</v>
      </c>
      <c r="U37" s="93" t="e">
        <f>VLOOKUP($A37, 'Matriz POA 2024-TRABAJO'!$A$5:$CY$9142,29,FALSE)</f>
        <v>#N/A</v>
      </c>
      <c r="V37" s="94" t="str">
        <f t="shared" si="41"/>
        <v>6ar-</v>
      </c>
      <c r="W37" s="96" t="s">
        <v>1133</v>
      </c>
      <c r="X37" s="109">
        <v>45309</v>
      </c>
      <c r="Y37" s="99" t="s">
        <v>1134</v>
      </c>
      <c r="Z37" s="109">
        <v>45315</v>
      </c>
      <c r="AA37" s="98">
        <v>1000</v>
      </c>
      <c r="AB37" s="98"/>
      <c r="AC37" s="99">
        <f t="shared" si="22"/>
        <v>6</v>
      </c>
      <c r="AD37" s="110" t="s">
        <v>1135</v>
      </c>
      <c r="AE37" s="97"/>
      <c r="AF37" s="101"/>
      <c r="AG37" s="97"/>
      <c r="AH37" s="101"/>
      <c r="AI37" s="98"/>
      <c r="AJ37" s="98">
        <f>AI37*-1</f>
        <v>0</v>
      </c>
      <c r="AK37" s="99">
        <f t="shared" si="23"/>
        <v>0</v>
      </c>
      <c r="AL37" s="99"/>
      <c r="AM37" s="98"/>
      <c r="AN37" s="96"/>
      <c r="AO37" s="97"/>
      <c r="AP37" s="101"/>
      <c r="AQ37" s="98"/>
      <c r="AR37" s="98"/>
      <c r="AS37" s="99">
        <f t="shared" si="24"/>
        <v>0</v>
      </c>
      <c r="AT37" s="99"/>
      <c r="AU37" s="96"/>
      <c r="AV37" s="96"/>
      <c r="AW37" s="93"/>
      <c r="AX37" s="96"/>
      <c r="AY37" s="98"/>
      <c r="AZ37" s="98"/>
      <c r="BA37" s="99">
        <f t="shared" si="25"/>
        <v>0</v>
      </c>
      <c r="BB37" s="99"/>
      <c r="BC37" s="96"/>
      <c r="BD37" s="96"/>
      <c r="BE37" s="93"/>
      <c r="BF37" s="96"/>
      <c r="BG37" s="102"/>
      <c r="BH37" s="102"/>
      <c r="BI37" s="93">
        <f t="shared" si="26"/>
        <v>0</v>
      </c>
      <c r="BJ37" s="93"/>
      <c r="BK37" s="93"/>
      <c r="BL37" s="103"/>
      <c r="BM37" s="93"/>
      <c r="BN37" s="103"/>
      <c r="BO37" s="94"/>
      <c r="BP37" s="94"/>
      <c r="BQ37" s="93">
        <f t="shared" si="27"/>
        <v>0</v>
      </c>
      <c r="BR37" s="93"/>
      <c r="BS37" s="93"/>
      <c r="BT37" s="103"/>
      <c r="BU37" s="93"/>
      <c r="BV37" s="103"/>
      <c r="BW37" s="94"/>
      <c r="BX37" s="94"/>
      <c r="BY37" s="93">
        <f t="shared" si="28"/>
        <v>0</v>
      </c>
      <c r="BZ37" s="93"/>
      <c r="CA37" s="104"/>
      <c r="CB37" s="105"/>
      <c r="CC37" s="106"/>
      <c r="CD37" s="107"/>
      <c r="CE37" s="94"/>
      <c r="CF37" s="94"/>
      <c r="CG37" s="93">
        <f t="shared" si="29"/>
        <v>0</v>
      </c>
      <c r="CH37" s="93"/>
      <c r="CI37" s="106"/>
      <c r="CJ37" s="105"/>
      <c r="CK37" s="93"/>
      <c r="CL37" s="105"/>
      <c r="CM37" s="108"/>
      <c r="CN37" s="108"/>
      <c r="CO37" s="93">
        <f t="shared" si="30"/>
        <v>0</v>
      </c>
      <c r="CP37" s="93"/>
      <c r="CQ37" s="93"/>
      <c r="CR37" s="93"/>
      <c r="CS37" s="93"/>
      <c r="CT37" s="93"/>
      <c r="CU37" s="93"/>
      <c r="CV37" s="93"/>
      <c r="CW37" s="93">
        <f t="shared" si="31"/>
        <v>0</v>
      </c>
      <c r="CX37" s="93"/>
      <c r="CY37" s="93" t="str">
        <f>TEXT(X37,"MMMM")</f>
        <v>enero</v>
      </c>
      <c r="CZ37" s="93" t="str">
        <f t="shared" si="32"/>
        <v>enero</v>
      </c>
      <c r="DA37" s="93" t="str">
        <f t="shared" si="33"/>
        <v>enero</v>
      </c>
      <c r="DB37" s="93" t="str">
        <f t="shared" si="34"/>
        <v>enero</v>
      </c>
      <c r="DC37" s="93" t="str">
        <f t="shared" si="35"/>
        <v>enero</v>
      </c>
      <c r="DD37" s="93" t="str">
        <f t="shared" si="36"/>
        <v>enero</v>
      </c>
      <c r="DE37" s="93" t="str">
        <f t="shared" si="37"/>
        <v>enero</v>
      </c>
      <c r="DF37" s="93" t="str">
        <f t="shared" si="38"/>
        <v>enero</v>
      </c>
      <c r="DG37" s="93" t="str">
        <f t="shared" si="39"/>
        <v>enero</v>
      </c>
      <c r="DH37" s="93" t="str">
        <f t="shared" si="40"/>
        <v>enero</v>
      </c>
    </row>
    <row r="38" spans="1:112" s="21" customFormat="1" ht="26.45" hidden="1" customHeight="1">
      <c r="A38" s="93">
        <v>14</v>
      </c>
      <c r="B38" s="93" t="e">
        <f>VLOOKUP($A38,  'Matriz POA 2024-TRABAJO'!$A$5:$CY$9142,29,FALSE)</f>
        <v>#N/A</v>
      </c>
      <c r="C38" s="93" t="e">
        <f>VLOOKUP($A38, 'Matriz POA 2024-TRABAJO'!$A$5:$CY$9142,11,FALSE)</f>
        <v>#N/A</v>
      </c>
      <c r="D38" s="93" t="e">
        <f>VLOOKUP($A38, 'Matriz POA 2024-TRABAJO'!$A$5:$CY$9142,14,FALSE)</f>
        <v>#N/A</v>
      </c>
      <c r="E38" s="93" t="e">
        <f>VLOOKUP($A38, 'Matriz POA 2024-TRABAJO'!$A$5:$CY$9142,15,FALSE)</f>
        <v>#N/A</v>
      </c>
      <c r="F38" s="93" t="e">
        <f>VLOOKUP($A38, 'Matriz POA 2024-TRABAJO'!$A$5:$CY$9142,18,FALSE)</f>
        <v>#N/A</v>
      </c>
      <c r="G38" s="93" t="e">
        <f>VLOOKUP($A38, 'Matriz POA 2024-TRABAJO'!$A$5:$CY$9142,23,FALSE)</f>
        <v>#N/A</v>
      </c>
      <c r="H38" s="93" t="e">
        <f>VLOOKUP($A38, 'Matriz POA 2024-TRABAJO'!$A$5:$CY$9142,24,FALSE)</f>
        <v>#N/A</v>
      </c>
      <c r="I38" s="93" t="e">
        <f>VLOOKUP($A38, 'Matriz POA 2024-TRABAJO'!$A$5:$CY$9142,20,FALSE)</f>
        <v>#N/A</v>
      </c>
      <c r="J38" s="93" t="e">
        <f>VLOOKUP($A38, 'Matriz POA 2024-TRABAJO'!$A$5:$CY$9142,26,FALSE)</f>
        <v>#N/A</v>
      </c>
      <c r="K38" s="93" t="e">
        <f>VLOOKUP($A38, 'Matriz POA 2024-TRABAJO'!$A$5:$CY$9142,27,FALSE)</f>
        <v>#N/A</v>
      </c>
      <c r="L38" s="93" t="e">
        <f>VLOOKUP($A38, 'Matriz POA 2024-TRABAJO'!$A$5:$CY$9142,28,FALSE)</f>
        <v>#N/A</v>
      </c>
      <c r="M38" s="93" t="e">
        <f>VLOOKUP($A38, 'Matriz POA 2024-TRABAJO'!$A$5:$CY$9142,30,FALSE)</f>
        <v>#N/A</v>
      </c>
      <c r="N38" s="93" t="e">
        <f>VLOOKUP($A38, 'Matriz POA 2024-TRABAJO'!$A$5:$CY$9142,31,FALSE)</f>
        <v>#N/A</v>
      </c>
      <c r="O38" s="93" t="e">
        <f>VLOOKUP($A38, 'Matriz POA 2024-TRABAJO'!$A$5:$CY$9142,45,FALSE)</f>
        <v>#N/A</v>
      </c>
      <c r="P38" s="93" t="e">
        <f>VLOOKUP($A38, 'Matriz POA 2024-TRABAJO'!$A$5:$CY$9142,46,FALSE)</f>
        <v>#N/A</v>
      </c>
      <c r="Q38" s="93" t="e">
        <f>VLOOKUP($A38, 'Matriz POA 2024-TRABAJO'!$A$5:$CY$9142,47,FALSE)</f>
        <v>#N/A</v>
      </c>
      <c r="R38" s="94">
        <f t="shared" si="20"/>
        <v>6300</v>
      </c>
      <c r="S38" s="95" t="e">
        <f t="shared" si="21"/>
        <v>#N/A</v>
      </c>
      <c r="T38" s="93" t="e">
        <f>VLOOKUP($A38, 'Matriz POA 2024-TRABAJO'!$A$5:$CY$9142,72,FALSE)</f>
        <v>#N/A</v>
      </c>
      <c r="U38" s="93" t="e">
        <f>VLOOKUP($A38, 'Matriz POA 2024-TRABAJO'!$A$5:$CY$9142,29,FALSE)</f>
        <v>#N/A</v>
      </c>
      <c r="V38" s="94" t="str">
        <f t="shared" ref="V38:V47" si="42">AD38&amp;AL38&amp;AT38&amp;BB38&amp;BJ38&amp;BR38&amp;BZ38&amp;CH38&amp;CP38&amp;CX38</f>
        <v>7ar-</v>
      </c>
      <c r="W38" s="96" t="s">
        <v>1136</v>
      </c>
      <c r="X38" s="96">
        <v>45309</v>
      </c>
      <c r="Y38" s="97" t="s">
        <v>1137</v>
      </c>
      <c r="Z38" s="109">
        <v>45315</v>
      </c>
      <c r="AA38" s="98">
        <v>6300</v>
      </c>
      <c r="AB38" s="98"/>
      <c r="AC38" s="99">
        <f t="shared" ref="AC38:AC47" si="43">Z38-X38</f>
        <v>6</v>
      </c>
      <c r="AD38" s="100" t="s">
        <v>1138</v>
      </c>
      <c r="AE38" s="97"/>
      <c r="AF38" s="101"/>
      <c r="AG38" s="97"/>
      <c r="AH38" s="101"/>
      <c r="AI38" s="98"/>
      <c r="AJ38" s="98">
        <f>AI38*-1</f>
        <v>0</v>
      </c>
      <c r="AK38" s="99">
        <f t="shared" ref="AK38:AK47" si="44">AH38-AF38</f>
        <v>0</v>
      </c>
      <c r="AL38" s="99"/>
      <c r="AM38" s="98"/>
      <c r="AN38" s="96"/>
      <c r="AO38" s="97"/>
      <c r="AP38" s="101"/>
      <c r="AQ38" s="98"/>
      <c r="AR38" s="98"/>
      <c r="AS38" s="99">
        <f t="shared" ref="AS38:AS47" si="45">AP38-AN38</f>
        <v>0</v>
      </c>
      <c r="AT38" s="99"/>
      <c r="AU38" s="96"/>
      <c r="AV38" s="96"/>
      <c r="AW38" s="93"/>
      <c r="AX38" s="96"/>
      <c r="AY38" s="98"/>
      <c r="AZ38" s="98"/>
      <c r="BA38" s="99">
        <f t="shared" ref="BA38:BA47" si="46">AX38-AV38</f>
        <v>0</v>
      </c>
      <c r="BB38" s="99"/>
      <c r="BC38" s="96"/>
      <c r="BD38" s="96"/>
      <c r="BE38" s="93"/>
      <c r="BF38" s="96"/>
      <c r="BG38" s="102"/>
      <c r="BH38" s="102"/>
      <c r="BI38" s="93">
        <f t="shared" ref="BI38:BI47" si="47">BF38-BD38</f>
        <v>0</v>
      </c>
      <c r="BJ38" s="93"/>
      <c r="BK38" s="93"/>
      <c r="BL38" s="103"/>
      <c r="BM38" s="93"/>
      <c r="BN38" s="103"/>
      <c r="BO38" s="94"/>
      <c r="BP38" s="94"/>
      <c r="BQ38" s="93">
        <f t="shared" ref="BQ38:BQ47" si="48">BN38-BL38</f>
        <v>0</v>
      </c>
      <c r="BR38" s="93"/>
      <c r="BS38" s="93"/>
      <c r="BT38" s="103"/>
      <c r="BU38" s="93"/>
      <c r="BV38" s="103"/>
      <c r="BW38" s="94"/>
      <c r="BX38" s="94"/>
      <c r="BY38" s="93">
        <f t="shared" ref="BY38:BY47" si="49">BV38-BT38</f>
        <v>0</v>
      </c>
      <c r="BZ38" s="93"/>
      <c r="CA38" s="104"/>
      <c r="CB38" s="105"/>
      <c r="CC38" s="106"/>
      <c r="CD38" s="107"/>
      <c r="CE38" s="94"/>
      <c r="CF38" s="94"/>
      <c r="CG38" s="93">
        <f t="shared" ref="CG38:CG47" si="50">CD38-CB38</f>
        <v>0</v>
      </c>
      <c r="CH38" s="93"/>
      <c r="CI38" s="106"/>
      <c r="CJ38" s="105"/>
      <c r="CK38" s="93"/>
      <c r="CL38" s="105"/>
      <c r="CM38" s="108"/>
      <c r="CN38" s="108"/>
      <c r="CO38" s="93">
        <f t="shared" ref="CO38:CO47" si="51">CL38-CJ38</f>
        <v>0</v>
      </c>
      <c r="CP38" s="93"/>
      <c r="CQ38" s="93"/>
      <c r="CR38" s="93"/>
      <c r="CS38" s="93"/>
      <c r="CT38" s="93"/>
      <c r="CU38" s="93"/>
      <c r="CV38" s="93"/>
      <c r="CW38" s="93">
        <f t="shared" ref="CW38:CW47" si="52">CT38-CR38</f>
        <v>0</v>
      </c>
      <c r="CX38" s="93"/>
      <c r="CY38" s="93" t="str">
        <f>TEXT(Z38,"MMMM")</f>
        <v>enero</v>
      </c>
      <c r="CZ38" s="93" t="str">
        <f t="shared" ref="CZ38:CZ47" si="53">TEXT(AF38,"MMMM")</f>
        <v>enero</v>
      </c>
      <c r="DA38" s="93" t="str">
        <f t="shared" ref="DA38:DA47" si="54">TEXT(AN38,"MMMM")</f>
        <v>enero</v>
      </c>
      <c r="DB38" s="93" t="str">
        <f t="shared" ref="DB38:DB47" si="55">TEXT(AV38,"MMMM")</f>
        <v>enero</v>
      </c>
      <c r="DC38" s="93" t="str">
        <f t="shared" ref="DC38:DC47" si="56">TEXT(BD38,"MMMM")</f>
        <v>enero</v>
      </c>
      <c r="DD38" s="93" t="str">
        <f t="shared" ref="DD38:DD47" si="57">TEXT(BL38,"MMMM")</f>
        <v>enero</v>
      </c>
      <c r="DE38" s="93" t="str">
        <f t="shared" ref="DE38:DE47" si="58">TEXT(BT38,"MMMM")</f>
        <v>enero</v>
      </c>
      <c r="DF38" s="93" t="str">
        <f t="shared" ref="DF38:DF47" si="59">TEXT(BT38,"MMMM")</f>
        <v>enero</v>
      </c>
      <c r="DG38" s="93" t="str">
        <f t="shared" ref="DG38:DG47" si="60">TEXT(BV38,"MMMM")</f>
        <v>enero</v>
      </c>
      <c r="DH38" s="93" t="str">
        <f t="shared" ref="DH38:DH47" si="61">TEXT(BY38,"MMMM")</f>
        <v>enero</v>
      </c>
    </row>
    <row r="39" spans="1:112" s="21" customFormat="1" ht="18.75" hidden="1" customHeight="1">
      <c r="A39" s="93">
        <v>410</v>
      </c>
      <c r="B39" s="93" t="e">
        <f>VLOOKUP($A39,  'Matriz POA 2024-TRABAJO'!$A$5:$CY$9142,29,FALSE)</f>
        <v>#N/A</v>
      </c>
      <c r="C39" s="93" t="e">
        <f>VLOOKUP($A39, 'Matriz POA 2024-TRABAJO'!$A$5:$CY$9142,11,FALSE)</f>
        <v>#N/A</v>
      </c>
      <c r="D39" s="93" t="e">
        <f>VLOOKUP($A39, 'Matriz POA 2024-TRABAJO'!$A$5:$CY$9142,14,FALSE)</f>
        <v>#N/A</v>
      </c>
      <c r="E39" s="93" t="e">
        <f>VLOOKUP($A39, 'Matriz POA 2024-TRABAJO'!$A$5:$CY$9142,15,FALSE)</f>
        <v>#N/A</v>
      </c>
      <c r="F39" s="93" t="e">
        <f>VLOOKUP($A39, 'Matriz POA 2024-TRABAJO'!$A$5:$CY$9142,18,FALSE)</f>
        <v>#N/A</v>
      </c>
      <c r="G39" s="93" t="e">
        <f>VLOOKUP($A39, 'Matriz POA 2024-TRABAJO'!$A$5:$CY$9142,23,FALSE)</f>
        <v>#N/A</v>
      </c>
      <c r="H39" s="93" t="e">
        <f>VLOOKUP($A39, 'Matriz POA 2024-TRABAJO'!$A$5:$CY$9142,24,FALSE)</f>
        <v>#N/A</v>
      </c>
      <c r="I39" s="93" t="e">
        <f>VLOOKUP($A39, 'Matriz POA 2024-TRABAJO'!$A$5:$CY$9142,20,FALSE)</f>
        <v>#N/A</v>
      </c>
      <c r="J39" s="93" t="e">
        <f>VLOOKUP($A39, 'Matriz POA 2024-TRABAJO'!$A$5:$CY$9142,26,FALSE)</f>
        <v>#N/A</v>
      </c>
      <c r="K39" s="93" t="e">
        <f>VLOOKUP($A39, 'Matriz POA 2024-TRABAJO'!$A$5:$CY$9142,27,FALSE)</f>
        <v>#N/A</v>
      </c>
      <c r="L39" s="93" t="e">
        <f>VLOOKUP($A39, 'Matriz POA 2024-TRABAJO'!$A$5:$CY$9142,28,FALSE)</f>
        <v>#N/A</v>
      </c>
      <c r="M39" s="93" t="e">
        <f>VLOOKUP($A39, 'Matriz POA 2024-TRABAJO'!$A$5:$CY$9142,30,FALSE)</f>
        <v>#N/A</v>
      </c>
      <c r="N39" s="93" t="e">
        <f>VLOOKUP($A39, 'Matriz POA 2024-TRABAJO'!$A$5:$CY$9142,31,FALSE)</f>
        <v>#N/A</v>
      </c>
      <c r="O39" s="93" t="e">
        <f>VLOOKUP($A39, 'Matriz POA 2024-TRABAJO'!$A$5:$CY$9142,45,FALSE)</f>
        <v>#N/A</v>
      </c>
      <c r="P39" s="93" t="e">
        <f>VLOOKUP($A39, 'Matriz POA 2024-TRABAJO'!$A$5:$CY$9142,46,FALSE)</f>
        <v>#N/A</v>
      </c>
      <c r="Q39" s="93" t="e">
        <f>VLOOKUP($A39, 'Matriz POA 2024-TRABAJO'!$A$5:$CY$9142,47,FALSE)</f>
        <v>#N/A</v>
      </c>
      <c r="R39" s="94">
        <f t="shared" si="20"/>
        <v>134.79</v>
      </c>
      <c r="S39" s="95" t="e">
        <f t="shared" si="21"/>
        <v>#N/A</v>
      </c>
      <c r="T39" s="93" t="e">
        <f>VLOOKUP($A39, 'Matriz POA 2024-TRABAJO'!$A$5:$CY$9142,72,FALSE)</f>
        <v>#N/A</v>
      </c>
      <c r="U39" s="93" t="e">
        <f>VLOOKUP($A39, 'Matriz POA 2024-TRABAJO'!$A$5:$CY$9142,29,FALSE)</f>
        <v>#N/A</v>
      </c>
      <c r="V39" s="94" t="str">
        <f t="shared" si="42"/>
        <v>8ar-45ar-</v>
      </c>
      <c r="W39" s="97" t="s">
        <v>1139</v>
      </c>
      <c r="X39" s="109">
        <v>45315</v>
      </c>
      <c r="Y39" s="99" t="s">
        <v>1140</v>
      </c>
      <c r="Z39" s="109">
        <v>45315</v>
      </c>
      <c r="AA39" s="98">
        <v>110.95</v>
      </c>
      <c r="AB39" s="98"/>
      <c r="AC39" s="99">
        <f t="shared" si="43"/>
        <v>0</v>
      </c>
      <c r="AD39" s="110" t="s">
        <v>1141</v>
      </c>
      <c r="AE39" s="97" t="s">
        <v>1142</v>
      </c>
      <c r="AF39" s="101">
        <v>45372</v>
      </c>
      <c r="AG39" s="97" t="s">
        <v>1143</v>
      </c>
      <c r="AH39" s="101">
        <v>45377</v>
      </c>
      <c r="AI39" s="98">
        <v>23.84</v>
      </c>
      <c r="AJ39" s="98"/>
      <c r="AK39" s="99">
        <f t="shared" si="44"/>
        <v>5</v>
      </c>
      <c r="AL39" s="99" t="s">
        <v>1144</v>
      </c>
      <c r="AM39" s="98"/>
      <c r="AN39" s="96"/>
      <c r="AO39" s="97"/>
      <c r="AP39" s="101"/>
      <c r="AQ39" s="98"/>
      <c r="AR39" s="98"/>
      <c r="AS39" s="99">
        <f t="shared" si="45"/>
        <v>0</v>
      </c>
      <c r="AT39" s="99"/>
      <c r="AU39" s="96"/>
      <c r="AV39" s="96"/>
      <c r="AW39" s="93"/>
      <c r="AX39" s="96"/>
      <c r="AY39" s="98"/>
      <c r="AZ39" s="98"/>
      <c r="BA39" s="99">
        <f t="shared" si="46"/>
        <v>0</v>
      </c>
      <c r="BB39" s="99"/>
      <c r="BC39" s="96"/>
      <c r="BD39" s="96"/>
      <c r="BE39" s="93"/>
      <c r="BF39" s="96"/>
      <c r="BG39" s="102"/>
      <c r="BH39" s="102"/>
      <c r="BI39" s="93">
        <f t="shared" si="47"/>
        <v>0</v>
      </c>
      <c r="BJ39" s="93"/>
      <c r="BK39" s="93"/>
      <c r="BL39" s="103"/>
      <c r="BM39" s="93"/>
      <c r="BN39" s="103"/>
      <c r="BO39" s="94"/>
      <c r="BP39" s="94"/>
      <c r="BQ39" s="93">
        <f t="shared" si="48"/>
        <v>0</v>
      </c>
      <c r="BR39" s="93"/>
      <c r="BS39" s="93"/>
      <c r="BT39" s="103"/>
      <c r="BU39" s="93"/>
      <c r="BV39" s="103"/>
      <c r="BW39" s="94"/>
      <c r="BX39" s="94"/>
      <c r="BY39" s="93">
        <f t="shared" si="49"/>
        <v>0</v>
      </c>
      <c r="BZ39" s="93"/>
      <c r="CA39" s="104"/>
      <c r="CB39" s="105"/>
      <c r="CC39" s="106"/>
      <c r="CD39" s="107"/>
      <c r="CE39" s="94"/>
      <c r="CF39" s="94"/>
      <c r="CG39" s="93">
        <f t="shared" si="50"/>
        <v>0</v>
      </c>
      <c r="CH39" s="93"/>
      <c r="CI39" s="106"/>
      <c r="CJ39" s="105"/>
      <c r="CK39" s="93"/>
      <c r="CL39" s="105"/>
      <c r="CM39" s="108"/>
      <c r="CN39" s="108"/>
      <c r="CO39" s="93">
        <f t="shared" si="51"/>
        <v>0</v>
      </c>
      <c r="CP39" s="93"/>
      <c r="CQ39" s="93"/>
      <c r="CR39" s="93"/>
      <c r="CS39" s="93"/>
      <c r="CT39" s="93"/>
      <c r="CU39" s="93"/>
      <c r="CV39" s="93"/>
      <c r="CW39" s="93">
        <f t="shared" si="52"/>
        <v>0</v>
      </c>
      <c r="CX39" s="93"/>
      <c r="CY39" s="93" t="str">
        <f>TEXT(X39,"MMMM")</f>
        <v>enero</v>
      </c>
      <c r="CZ39" s="93" t="str">
        <f t="shared" si="53"/>
        <v>marzo</v>
      </c>
      <c r="DA39" s="93" t="str">
        <f t="shared" si="54"/>
        <v>enero</v>
      </c>
      <c r="DB39" s="93" t="str">
        <f t="shared" si="55"/>
        <v>enero</v>
      </c>
      <c r="DC39" s="93" t="str">
        <f t="shared" si="56"/>
        <v>enero</v>
      </c>
      <c r="DD39" s="93" t="str">
        <f t="shared" si="57"/>
        <v>enero</v>
      </c>
      <c r="DE39" s="93" t="str">
        <f t="shared" si="58"/>
        <v>enero</v>
      </c>
      <c r="DF39" s="93" t="str">
        <f t="shared" si="59"/>
        <v>enero</v>
      </c>
      <c r="DG39" s="93" t="str">
        <f t="shared" si="60"/>
        <v>enero</v>
      </c>
      <c r="DH39" s="93" t="str">
        <f t="shared" si="61"/>
        <v>enero</v>
      </c>
    </row>
    <row r="40" spans="1:112" s="21" customFormat="1" ht="18.75" hidden="1" customHeight="1">
      <c r="A40" s="93">
        <v>716</v>
      </c>
      <c r="B40" s="93" t="e">
        <f>VLOOKUP($A40,  'Matriz POA 2024-TRABAJO'!$A$5:$CY$9142,29,FALSE)</f>
        <v>#N/A</v>
      </c>
      <c r="C40" s="93" t="e">
        <f>VLOOKUP($A40, 'Matriz POA 2024-TRABAJO'!$A$5:$CY$9142,11,FALSE)</f>
        <v>#N/A</v>
      </c>
      <c r="D40" s="93" t="e">
        <f>VLOOKUP($A40, 'Matriz POA 2024-TRABAJO'!$A$5:$CY$9142,14,FALSE)</f>
        <v>#N/A</v>
      </c>
      <c r="E40" s="93" t="e">
        <f>VLOOKUP($A40, 'Matriz POA 2024-TRABAJO'!$A$5:$CY$9142,15,FALSE)</f>
        <v>#N/A</v>
      </c>
      <c r="F40" s="93" t="e">
        <f>VLOOKUP($A40, 'Matriz POA 2024-TRABAJO'!$A$5:$CY$9142,18,FALSE)</f>
        <v>#N/A</v>
      </c>
      <c r="G40" s="93" t="e">
        <f>VLOOKUP($A40, 'Matriz POA 2024-TRABAJO'!$A$5:$CY$9142,23,FALSE)</f>
        <v>#N/A</v>
      </c>
      <c r="H40" s="93" t="e">
        <f>VLOOKUP($A40, 'Matriz POA 2024-TRABAJO'!$A$5:$CY$9142,24,FALSE)</f>
        <v>#N/A</v>
      </c>
      <c r="I40" s="93" t="e">
        <f>VLOOKUP($A40, 'Matriz POA 2024-TRABAJO'!$A$5:$CY$9142,20,FALSE)</f>
        <v>#N/A</v>
      </c>
      <c r="J40" s="93" t="e">
        <f>VLOOKUP($A40, 'Matriz POA 2024-TRABAJO'!$A$5:$CY$9142,26,FALSE)</f>
        <v>#N/A</v>
      </c>
      <c r="K40" s="93" t="e">
        <f>VLOOKUP($A40, 'Matriz POA 2024-TRABAJO'!$A$5:$CY$9142,27,FALSE)</f>
        <v>#N/A</v>
      </c>
      <c r="L40" s="93" t="e">
        <f>VLOOKUP($A40, 'Matriz POA 2024-TRABAJO'!$A$5:$CY$9142,28,FALSE)</f>
        <v>#N/A</v>
      </c>
      <c r="M40" s="93" t="e">
        <f>VLOOKUP($A40, 'Matriz POA 2024-TRABAJO'!$A$5:$CY$9142,30,FALSE)</f>
        <v>#N/A</v>
      </c>
      <c r="N40" s="93" t="e">
        <f>VLOOKUP($A40, 'Matriz POA 2024-TRABAJO'!$A$5:$CY$9142,31,FALSE)</f>
        <v>#N/A</v>
      </c>
      <c r="O40" s="93" t="e">
        <f>VLOOKUP($A40, 'Matriz POA 2024-TRABAJO'!$A$5:$CY$9142,45,FALSE)</f>
        <v>#N/A</v>
      </c>
      <c r="P40" s="93" t="e">
        <f>VLOOKUP($A40, 'Matriz POA 2024-TRABAJO'!$A$5:$CY$9142,46,FALSE)</f>
        <v>#N/A</v>
      </c>
      <c r="Q40" s="93" t="e">
        <f>VLOOKUP($A40, 'Matriz POA 2024-TRABAJO'!$A$5:$CY$9142,47,FALSE)</f>
        <v>#N/A</v>
      </c>
      <c r="R40" s="94" t="e">
        <f t="shared" si="20"/>
        <v>#N/A</v>
      </c>
      <c r="S40" s="95" t="e">
        <f t="shared" si="21"/>
        <v>#N/A</v>
      </c>
      <c r="T40" s="93" t="e">
        <f>VLOOKUP($A40, 'Matriz POA 2024-TRABAJO'!$A$5:$CY$9142,72,FALSE)</f>
        <v>#N/A</v>
      </c>
      <c r="U40" s="93" t="e">
        <f>VLOOKUP($A40, 'Matriz POA 2024-TRABAJO'!$A$5:$CY$9142,29,FALSE)</f>
        <v>#N/A</v>
      </c>
      <c r="V40" s="94" t="str">
        <f t="shared" si="42"/>
        <v>9ar-65ar-</v>
      </c>
      <c r="W40" s="97" t="s">
        <v>1145</v>
      </c>
      <c r="X40" s="109">
        <v>45317</v>
      </c>
      <c r="Y40" s="97" t="s">
        <v>1146</v>
      </c>
      <c r="Z40" s="109">
        <v>45317</v>
      </c>
      <c r="AA40" s="98">
        <v>32042.83</v>
      </c>
      <c r="AB40" s="98"/>
      <c r="AC40" s="99">
        <f t="shared" si="43"/>
        <v>0</v>
      </c>
      <c r="AD40" s="110" t="s">
        <v>1147</v>
      </c>
      <c r="AE40" s="97" t="s">
        <v>1772</v>
      </c>
      <c r="AF40" s="101">
        <v>45412</v>
      </c>
      <c r="AG40" s="97" t="s">
        <v>1773</v>
      </c>
      <c r="AH40" s="101">
        <v>45413</v>
      </c>
      <c r="AI40" s="98">
        <v>-32042.83</v>
      </c>
      <c r="AJ40" s="93" t="e">
        <f>VLOOKUP($A40, 'Matriz POA 2024-TRABAJO'!$A$5:$CY$9142,45,FALSE)</f>
        <v>#N/A</v>
      </c>
      <c r="AK40" s="99">
        <f t="shared" si="44"/>
        <v>1</v>
      </c>
      <c r="AL40" s="99" t="s">
        <v>1781</v>
      </c>
      <c r="AM40" s="98"/>
      <c r="AN40" s="96"/>
      <c r="AO40" s="97"/>
      <c r="AP40" s="101"/>
      <c r="AQ40" s="98"/>
      <c r="AR40" s="98"/>
      <c r="AS40" s="99">
        <f t="shared" si="45"/>
        <v>0</v>
      </c>
      <c r="AT40" s="99"/>
      <c r="AU40" s="96"/>
      <c r="AV40" s="96"/>
      <c r="AW40" s="93"/>
      <c r="AX40" s="96"/>
      <c r="AY40" s="98"/>
      <c r="AZ40" s="98"/>
      <c r="BA40" s="99">
        <f t="shared" si="46"/>
        <v>0</v>
      </c>
      <c r="BB40" s="99"/>
      <c r="BC40" s="96"/>
      <c r="BD40" s="96"/>
      <c r="BE40" s="93"/>
      <c r="BF40" s="96"/>
      <c r="BG40" s="102"/>
      <c r="BH40" s="102"/>
      <c r="BI40" s="93">
        <f t="shared" si="47"/>
        <v>0</v>
      </c>
      <c r="BJ40" s="93"/>
      <c r="BK40" s="93"/>
      <c r="BL40" s="103"/>
      <c r="BM40" s="93"/>
      <c r="BN40" s="103"/>
      <c r="BO40" s="94"/>
      <c r="BP40" s="94"/>
      <c r="BQ40" s="93">
        <f t="shared" si="48"/>
        <v>0</v>
      </c>
      <c r="BR40" s="93"/>
      <c r="BS40" s="93"/>
      <c r="BT40" s="103"/>
      <c r="BU40" s="93"/>
      <c r="BV40" s="103"/>
      <c r="BW40" s="94"/>
      <c r="BX40" s="94"/>
      <c r="BY40" s="93">
        <f t="shared" si="49"/>
        <v>0</v>
      </c>
      <c r="BZ40" s="93"/>
      <c r="CA40" s="104"/>
      <c r="CB40" s="105"/>
      <c r="CC40" s="106"/>
      <c r="CD40" s="107"/>
      <c r="CE40" s="94"/>
      <c r="CF40" s="94"/>
      <c r="CG40" s="93">
        <f t="shared" si="50"/>
        <v>0</v>
      </c>
      <c r="CH40" s="93"/>
      <c r="CI40" s="106"/>
      <c r="CJ40" s="105"/>
      <c r="CK40" s="93"/>
      <c r="CL40" s="105"/>
      <c r="CM40" s="108"/>
      <c r="CN40" s="108"/>
      <c r="CO40" s="93">
        <f t="shared" si="51"/>
        <v>0</v>
      </c>
      <c r="CP40" s="93"/>
      <c r="CQ40" s="93"/>
      <c r="CR40" s="93"/>
      <c r="CS40" s="93"/>
      <c r="CT40" s="93"/>
      <c r="CU40" s="93"/>
      <c r="CV40" s="93"/>
      <c r="CW40" s="93">
        <f t="shared" si="52"/>
        <v>0</v>
      </c>
      <c r="CX40" s="93"/>
      <c r="CY40" s="93" t="str">
        <f>TEXT(X40,"MMMM")</f>
        <v>enero</v>
      </c>
      <c r="CZ40" s="93" t="str">
        <f t="shared" si="53"/>
        <v>abril</v>
      </c>
      <c r="DA40" s="93" t="str">
        <f t="shared" si="54"/>
        <v>enero</v>
      </c>
      <c r="DB40" s="93" t="str">
        <f t="shared" si="55"/>
        <v>enero</v>
      </c>
      <c r="DC40" s="93" t="str">
        <f t="shared" si="56"/>
        <v>enero</v>
      </c>
      <c r="DD40" s="93" t="str">
        <f t="shared" si="57"/>
        <v>enero</v>
      </c>
      <c r="DE40" s="93" t="str">
        <f t="shared" si="58"/>
        <v>enero</v>
      </c>
      <c r="DF40" s="93" t="str">
        <f t="shared" si="59"/>
        <v>enero</v>
      </c>
      <c r="DG40" s="93" t="str">
        <f t="shared" si="60"/>
        <v>enero</v>
      </c>
      <c r="DH40" s="93" t="str">
        <f t="shared" si="61"/>
        <v>enero</v>
      </c>
    </row>
    <row r="41" spans="1:112" ht="15" hidden="1" customHeight="1">
      <c r="A41" s="93">
        <v>717</v>
      </c>
      <c r="B41" s="93" t="e">
        <f>VLOOKUP($A41,  'Matriz POA 2024-TRABAJO'!$A$5:$CY$9142,29,FALSE)</f>
        <v>#N/A</v>
      </c>
      <c r="C41" s="93" t="e">
        <f>VLOOKUP($A41, 'Matriz POA 2024-TRABAJO'!$A$5:$CY$9142,11,FALSE)</f>
        <v>#N/A</v>
      </c>
      <c r="D41" s="93" t="e">
        <f>VLOOKUP($A41, 'Matriz POA 2024-TRABAJO'!$A$5:$CY$9142,14,FALSE)</f>
        <v>#N/A</v>
      </c>
      <c r="E41" s="93" t="e">
        <f>VLOOKUP($A41, 'Matriz POA 2024-TRABAJO'!$A$5:$CY$9142,15,FALSE)</f>
        <v>#N/A</v>
      </c>
      <c r="F41" s="93" t="e">
        <f>VLOOKUP($A41, 'Matriz POA 2024-TRABAJO'!$A$5:$CY$9142,18,FALSE)</f>
        <v>#N/A</v>
      </c>
      <c r="G41" s="93" t="e">
        <f>VLOOKUP($A41, 'Matriz POA 2024-TRABAJO'!$A$5:$CY$9142,23,FALSE)</f>
        <v>#N/A</v>
      </c>
      <c r="H41" s="93" t="e">
        <f>VLOOKUP($A41, 'Matriz POA 2024-TRABAJO'!$A$5:$CY$9142,24,FALSE)</f>
        <v>#N/A</v>
      </c>
      <c r="I41" s="93" t="e">
        <f>VLOOKUP($A41, 'Matriz POA 2024-TRABAJO'!$A$5:$CY$9142,20,FALSE)</f>
        <v>#N/A</v>
      </c>
      <c r="J41" s="93" t="e">
        <f>VLOOKUP($A41, 'Matriz POA 2024-TRABAJO'!$A$5:$CY$9142,26,FALSE)</f>
        <v>#N/A</v>
      </c>
      <c r="K41" s="93" t="e">
        <f>VLOOKUP($A41, 'Matriz POA 2024-TRABAJO'!$A$5:$CY$9142,27,FALSE)</f>
        <v>#N/A</v>
      </c>
      <c r="L41" s="93" t="e">
        <f>VLOOKUP($A41, 'Matriz POA 2024-TRABAJO'!$A$5:$CY$9142,28,FALSE)</f>
        <v>#N/A</v>
      </c>
      <c r="M41" s="93" t="e">
        <f>VLOOKUP($A41, 'Matriz POA 2024-TRABAJO'!$A$5:$CY$9142,30,FALSE)</f>
        <v>#N/A</v>
      </c>
      <c r="N41" s="93" t="e">
        <f>VLOOKUP($A41, 'Matriz POA 2024-TRABAJO'!$A$5:$CY$9142,31,FALSE)</f>
        <v>#N/A</v>
      </c>
      <c r="O41" s="93" t="e">
        <f>VLOOKUP($A41, 'Matriz POA 2024-TRABAJO'!$A$5:$CY$9142,45,FALSE)</f>
        <v>#N/A</v>
      </c>
      <c r="P41" s="93" t="e">
        <f>VLOOKUP($A41, 'Matriz POA 2024-TRABAJO'!$A$5:$CY$9142,46,FALSE)</f>
        <v>#N/A</v>
      </c>
      <c r="Q41" s="93" t="e">
        <f>VLOOKUP($A41, 'Matriz POA 2024-TRABAJO'!$A$5:$CY$9142,47,FALSE)</f>
        <v>#N/A</v>
      </c>
      <c r="R41" s="94" t="e">
        <f t="shared" si="20"/>
        <v>#N/A</v>
      </c>
      <c r="S41" s="95" t="e">
        <f t="shared" si="21"/>
        <v>#N/A</v>
      </c>
      <c r="T41" s="93" t="e">
        <f>VLOOKUP($A41, 'Matriz POA 2024-TRABAJO'!$A$5:$CY$9142,72,FALSE)</f>
        <v>#N/A</v>
      </c>
      <c r="U41" s="93" t="e">
        <f>VLOOKUP($A41, 'Matriz POA 2024-TRABAJO'!$A$5:$CY$9142,29,FALSE)</f>
        <v>#N/A</v>
      </c>
      <c r="V41" s="94" t="str">
        <f t="shared" si="42"/>
        <v>9ar-65ar-</v>
      </c>
      <c r="W41" s="97" t="s">
        <v>1145</v>
      </c>
      <c r="X41" s="109">
        <v>45317</v>
      </c>
      <c r="Y41" s="97" t="s">
        <v>1146</v>
      </c>
      <c r="Z41" s="109">
        <v>45317</v>
      </c>
      <c r="AA41" s="98">
        <v>2888</v>
      </c>
      <c r="AB41" s="98"/>
      <c r="AC41" s="99">
        <f t="shared" si="43"/>
        <v>0</v>
      </c>
      <c r="AD41" s="110" t="s">
        <v>1147</v>
      </c>
      <c r="AE41" s="97" t="s">
        <v>1772</v>
      </c>
      <c r="AF41" s="101">
        <v>45412</v>
      </c>
      <c r="AG41" s="97" t="s">
        <v>1773</v>
      </c>
      <c r="AH41" s="101">
        <v>45413</v>
      </c>
      <c r="AI41" s="98">
        <v>-2888</v>
      </c>
      <c r="AJ41" s="93" t="e">
        <f>VLOOKUP($A41, 'Matriz POA 2024-TRABAJO'!$A$5:$CY$9142,45,FALSE)</f>
        <v>#N/A</v>
      </c>
      <c r="AK41" s="99">
        <f t="shared" si="44"/>
        <v>1</v>
      </c>
      <c r="AL41" s="99" t="s">
        <v>1781</v>
      </c>
      <c r="AM41" s="98"/>
      <c r="AN41" s="96"/>
      <c r="AO41" s="97"/>
      <c r="AP41" s="101"/>
      <c r="AQ41" s="98"/>
      <c r="AR41" s="98"/>
      <c r="AS41" s="99">
        <f t="shared" si="45"/>
        <v>0</v>
      </c>
      <c r="AT41" s="99"/>
      <c r="AU41" s="96"/>
      <c r="AV41" s="96"/>
      <c r="AW41" s="93"/>
      <c r="AX41" s="96"/>
      <c r="AY41" s="98"/>
      <c r="AZ41" s="98"/>
      <c r="BA41" s="99">
        <f t="shared" si="46"/>
        <v>0</v>
      </c>
      <c r="BB41" s="99"/>
      <c r="BC41" s="96"/>
      <c r="BD41" s="96"/>
      <c r="BE41" s="93"/>
      <c r="BF41" s="96"/>
      <c r="BG41" s="102"/>
      <c r="BH41" s="102"/>
      <c r="BI41" s="93">
        <f t="shared" si="47"/>
        <v>0</v>
      </c>
      <c r="BJ41" s="93"/>
      <c r="BK41" s="93"/>
      <c r="BL41" s="103"/>
      <c r="BM41" s="93"/>
      <c r="BN41" s="103"/>
      <c r="BO41" s="94"/>
      <c r="BP41" s="94"/>
      <c r="BQ41" s="93">
        <f t="shared" si="48"/>
        <v>0</v>
      </c>
      <c r="BR41" s="93"/>
      <c r="BS41" s="93"/>
      <c r="BT41" s="103"/>
      <c r="BU41" s="93"/>
      <c r="BV41" s="103"/>
      <c r="BW41" s="94"/>
      <c r="BX41" s="94"/>
      <c r="BY41" s="93">
        <f t="shared" si="49"/>
        <v>0</v>
      </c>
      <c r="BZ41" s="93"/>
      <c r="CA41" s="104"/>
      <c r="CB41" s="105"/>
      <c r="CC41" s="106"/>
      <c r="CD41" s="107"/>
      <c r="CE41" s="94"/>
      <c r="CF41" s="94"/>
      <c r="CG41" s="93">
        <f t="shared" si="50"/>
        <v>0</v>
      </c>
      <c r="CH41" s="93"/>
      <c r="CI41" s="106"/>
      <c r="CJ41" s="105"/>
      <c r="CK41" s="93"/>
      <c r="CL41" s="105"/>
      <c r="CM41" s="108"/>
      <c r="CN41" s="108"/>
      <c r="CO41" s="93">
        <f t="shared" si="51"/>
        <v>0</v>
      </c>
      <c r="CP41" s="93"/>
      <c r="CQ41" s="93"/>
      <c r="CR41" s="93"/>
      <c r="CS41" s="93"/>
      <c r="CT41" s="93"/>
      <c r="CU41" s="93"/>
      <c r="CV41" s="93"/>
      <c r="CW41" s="93">
        <f t="shared" si="52"/>
        <v>0</v>
      </c>
      <c r="CX41" s="93"/>
      <c r="CY41" s="93" t="str">
        <f>TEXT(X41,"MMMM")</f>
        <v>enero</v>
      </c>
      <c r="CZ41" s="93" t="str">
        <f t="shared" si="53"/>
        <v>abril</v>
      </c>
      <c r="DA41" s="93" t="str">
        <f t="shared" si="54"/>
        <v>enero</v>
      </c>
      <c r="DB41" s="93" t="str">
        <f t="shared" si="55"/>
        <v>enero</v>
      </c>
      <c r="DC41" s="93" t="str">
        <f t="shared" si="56"/>
        <v>enero</v>
      </c>
      <c r="DD41" s="93" t="str">
        <f t="shared" si="57"/>
        <v>enero</v>
      </c>
      <c r="DE41" s="93" t="str">
        <f t="shared" si="58"/>
        <v>enero</v>
      </c>
      <c r="DF41" s="93" t="str">
        <f t="shared" si="59"/>
        <v>enero</v>
      </c>
      <c r="DG41" s="93" t="str">
        <f t="shared" si="60"/>
        <v>enero</v>
      </c>
      <c r="DH41" s="93" t="str">
        <f t="shared" si="61"/>
        <v>enero</v>
      </c>
    </row>
    <row r="42" spans="1:112" s="21" customFormat="1" ht="26.45" hidden="1" customHeight="1">
      <c r="A42" s="93">
        <v>718</v>
      </c>
      <c r="B42" s="93" t="e">
        <f>VLOOKUP($A42,  'Matriz POA 2024-TRABAJO'!$A$5:$CY$9142,29,FALSE)</f>
        <v>#N/A</v>
      </c>
      <c r="C42" s="93" t="e">
        <f>VLOOKUP($A42, 'Matriz POA 2024-TRABAJO'!$A$5:$CY$9142,11,FALSE)</f>
        <v>#N/A</v>
      </c>
      <c r="D42" s="93" t="e">
        <f>VLOOKUP($A42, 'Matriz POA 2024-TRABAJO'!$A$5:$CY$9142,14,FALSE)</f>
        <v>#N/A</v>
      </c>
      <c r="E42" s="93" t="e">
        <f>VLOOKUP($A42, 'Matriz POA 2024-TRABAJO'!$A$5:$CY$9142,15,FALSE)</f>
        <v>#N/A</v>
      </c>
      <c r="F42" s="93" t="e">
        <f>VLOOKUP($A42, 'Matriz POA 2024-TRABAJO'!$A$5:$CY$9142,18,FALSE)</f>
        <v>#N/A</v>
      </c>
      <c r="G42" s="93" t="e">
        <f>VLOOKUP($A42, 'Matriz POA 2024-TRABAJO'!$A$5:$CY$9142,23,FALSE)</f>
        <v>#N/A</v>
      </c>
      <c r="H42" s="93" t="e">
        <f>VLOOKUP($A42, 'Matriz POA 2024-TRABAJO'!$A$5:$CY$9142,24,FALSE)</f>
        <v>#N/A</v>
      </c>
      <c r="I42" s="93" t="e">
        <f>VLOOKUP($A42, 'Matriz POA 2024-TRABAJO'!$A$5:$CY$9142,20,FALSE)</f>
        <v>#N/A</v>
      </c>
      <c r="J42" s="93" t="e">
        <f>VLOOKUP($A42, 'Matriz POA 2024-TRABAJO'!$A$5:$CY$9142,26,FALSE)</f>
        <v>#N/A</v>
      </c>
      <c r="K42" s="93" t="e">
        <f>VLOOKUP($A42, 'Matriz POA 2024-TRABAJO'!$A$5:$CY$9142,27,FALSE)</f>
        <v>#N/A</v>
      </c>
      <c r="L42" s="93" t="e">
        <f>VLOOKUP($A42, 'Matriz POA 2024-TRABAJO'!$A$5:$CY$9142,28,FALSE)</f>
        <v>#N/A</v>
      </c>
      <c r="M42" s="93" t="e">
        <f>VLOOKUP($A42, 'Matriz POA 2024-TRABAJO'!$A$5:$CY$9142,30,FALSE)</f>
        <v>#N/A</v>
      </c>
      <c r="N42" s="93" t="e">
        <f>VLOOKUP($A42, 'Matriz POA 2024-TRABAJO'!$A$5:$CY$9142,31,FALSE)</f>
        <v>#N/A</v>
      </c>
      <c r="O42" s="93" t="e">
        <f>VLOOKUP($A42, 'Matriz POA 2024-TRABAJO'!$A$5:$CY$9142,45,FALSE)</f>
        <v>#N/A</v>
      </c>
      <c r="P42" s="93" t="e">
        <f>VLOOKUP($A42, 'Matriz POA 2024-TRABAJO'!$A$5:$CY$9142,46,FALSE)</f>
        <v>#N/A</v>
      </c>
      <c r="Q42" s="93" t="e">
        <f>VLOOKUP($A42, 'Matriz POA 2024-TRABAJO'!$A$5:$CY$9142,47,FALSE)</f>
        <v>#N/A</v>
      </c>
      <c r="R42" s="94" t="e">
        <f t="shared" si="20"/>
        <v>#N/A</v>
      </c>
      <c r="S42" s="95" t="e">
        <f t="shared" si="21"/>
        <v>#N/A</v>
      </c>
      <c r="T42" s="93" t="e">
        <f>VLOOKUP($A42, 'Matriz POA 2024-TRABAJO'!$A$5:$CY$9142,72,FALSE)</f>
        <v>#N/A</v>
      </c>
      <c r="U42" s="93" t="e">
        <f>VLOOKUP($A42, 'Matriz POA 2024-TRABAJO'!$A$5:$CY$9142,29,FALSE)</f>
        <v>#N/A</v>
      </c>
      <c r="V42" s="94" t="str">
        <f t="shared" si="42"/>
        <v>9ar-65ar-</v>
      </c>
      <c r="W42" s="97" t="s">
        <v>1145</v>
      </c>
      <c r="X42" s="109">
        <v>45317</v>
      </c>
      <c r="Y42" s="97" t="s">
        <v>1146</v>
      </c>
      <c r="Z42" s="109">
        <v>45317</v>
      </c>
      <c r="AA42" s="98">
        <v>920</v>
      </c>
      <c r="AB42" s="98"/>
      <c r="AC42" s="99">
        <f t="shared" si="43"/>
        <v>0</v>
      </c>
      <c r="AD42" s="110" t="s">
        <v>1147</v>
      </c>
      <c r="AE42" s="97" t="s">
        <v>1772</v>
      </c>
      <c r="AF42" s="101">
        <v>45412</v>
      </c>
      <c r="AG42" s="97" t="s">
        <v>1773</v>
      </c>
      <c r="AH42" s="101">
        <v>45413</v>
      </c>
      <c r="AI42" s="98">
        <v>-920</v>
      </c>
      <c r="AJ42" s="93" t="e">
        <f>VLOOKUP($A42, 'Matriz POA 2024-TRABAJO'!$A$5:$CY$9142,45,FALSE)</f>
        <v>#N/A</v>
      </c>
      <c r="AK42" s="99">
        <f t="shared" si="44"/>
        <v>1</v>
      </c>
      <c r="AL42" s="99" t="s">
        <v>1781</v>
      </c>
      <c r="AM42" s="98"/>
      <c r="AN42" s="96"/>
      <c r="AO42" s="97"/>
      <c r="AP42" s="101"/>
      <c r="AQ42" s="98"/>
      <c r="AR42" s="98"/>
      <c r="AS42" s="99">
        <f t="shared" si="45"/>
        <v>0</v>
      </c>
      <c r="AT42" s="99"/>
      <c r="AU42" s="96"/>
      <c r="AV42" s="96"/>
      <c r="AW42" s="93"/>
      <c r="AX42" s="96"/>
      <c r="AY42" s="98"/>
      <c r="AZ42" s="98"/>
      <c r="BA42" s="99">
        <f t="shared" si="46"/>
        <v>0</v>
      </c>
      <c r="BB42" s="99"/>
      <c r="BC42" s="96"/>
      <c r="BD42" s="96"/>
      <c r="BE42" s="93"/>
      <c r="BF42" s="96"/>
      <c r="BG42" s="102"/>
      <c r="BH42" s="102"/>
      <c r="BI42" s="93">
        <f t="shared" si="47"/>
        <v>0</v>
      </c>
      <c r="BJ42" s="93"/>
      <c r="BK42" s="93"/>
      <c r="BL42" s="103"/>
      <c r="BM42" s="93"/>
      <c r="BN42" s="103"/>
      <c r="BO42" s="94"/>
      <c r="BP42" s="94"/>
      <c r="BQ42" s="93">
        <f t="shared" si="48"/>
        <v>0</v>
      </c>
      <c r="BR42" s="93"/>
      <c r="BS42" s="93"/>
      <c r="BT42" s="103"/>
      <c r="BU42" s="93"/>
      <c r="BV42" s="103"/>
      <c r="BW42" s="94"/>
      <c r="BX42" s="94"/>
      <c r="BY42" s="93">
        <f t="shared" si="49"/>
        <v>0</v>
      </c>
      <c r="BZ42" s="93"/>
      <c r="CA42" s="104"/>
      <c r="CB42" s="105"/>
      <c r="CC42" s="106"/>
      <c r="CD42" s="107"/>
      <c r="CE42" s="94"/>
      <c r="CF42" s="94"/>
      <c r="CG42" s="93">
        <f t="shared" si="50"/>
        <v>0</v>
      </c>
      <c r="CH42" s="93"/>
      <c r="CI42" s="106"/>
      <c r="CJ42" s="105"/>
      <c r="CK42" s="93"/>
      <c r="CL42" s="105"/>
      <c r="CM42" s="108"/>
      <c r="CN42" s="108"/>
      <c r="CO42" s="93">
        <f t="shared" si="51"/>
        <v>0</v>
      </c>
      <c r="CP42" s="93"/>
      <c r="CQ42" s="93"/>
      <c r="CR42" s="93"/>
      <c r="CS42" s="93"/>
      <c r="CT42" s="93"/>
      <c r="CU42" s="93"/>
      <c r="CV42" s="93"/>
      <c r="CW42" s="93">
        <f t="shared" si="52"/>
        <v>0</v>
      </c>
      <c r="CX42" s="93"/>
      <c r="CY42" s="93" t="str">
        <f>TEXT(Z42,"MMMM")</f>
        <v>enero</v>
      </c>
      <c r="CZ42" s="93" t="str">
        <f t="shared" si="53"/>
        <v>abril</v>
      </c>
      <c r="DA42" s="93" t="str">
        <f t="shared" si="54"/>
        <v>enero</v>
      </c>
      <c r="DB42" s="93" t="str">
        <f t="shared" si="55"/>
        <v>enero</v>
      </c>
      <c r="DC42" s="93" t="str">
        <f t="shared" si="56"/>
        <v>enero</v>
      </c>
      <c r="DD42" s="93" t="str">
        <f t="shared" si="57"/>
        <v>enero</v>
      </c>
      <c r="DE42" s="93" t="str">
        <f t="shared" si="58"/>
        <v>enero</v>
      </c>
      <c r="DF42" s="93" t="str">
        <f t="shared" si="59"/>
        <v>enero</v>
      </c>
      <c r="DG42" s="93" t="str">
        <f t="shared" si="60"/>
        <v>enero</v>
      </c>
      <c r="DH42" s="93" t="str">
        <f t="shared" si="61"/>
        <v>enero</v>
      </c>
    </row>
    <row r="43" spans="1:112" s="21" customFormat="1" ht="18.75" hidden="1" customHeight="1">
      <c r="A43" s="93">
        <v>719</v>
      </c>
      <c r="B43" s="93" t="e">
        <f>VLOOKUP($A43,  'Matriz POA 2024-TRABAJO'!$A$5:$CY$9142,29,FALSE)</f>
        <v>#N/A</v>
      </c>
      <c r="C43" s="93" t="e">
        <f>VLOOKUP($A43, 'Matriz POA 2024-TRABAJO'!$A$5:$CY$9142,11,FALSE)</f>
        <v>#N/A</v>
      </c>
      <c r="D43" s="93" t="e">
        <f>VLOOKUP($A43, 'Matriz POA 2024-TRABAJO'!$A$5:$CY$9142,14,FALSE)</f>
        <v>#N/A</v>
      </c>
      <c r="E43" s="93" t="e">
        <f>VLOOKUP($A43, 'Matriz POA 2024-TRABAJO'!$A$5:$CY$9142,15,FALSE)</f>
        <v>#N/A</v>
      </c>
      <c r="F43" s="93" t="e">
        <f>VLOOKUP($A43, 'Matriz POA 2024-TRABAJO'!$A$5:$CY$9142,18,FALSE)</f>
        <v>#N/A</v>
      </c>
      <c r="G43" s="93" t="e">
        <f>VLOOKUP($A43, 'Matriz POA 2024-TRABAJO'!$A$5:$CY$9142,23,FALSE)</f>
        <v>#N/A</v>
      </c>
      <c r="H43" s="93" t="e">
        <f>VLOOKUP($A43, 'Matriz POA 2024-TRABAJO'!$A$5:$CY$9142,24,FALSE)</f>
        <v>#N/A</v>
      </c>
      <c r="I43" s="93" t="e">
        <f>VLOOKUP($A43, 'Matriz POA 2024-TRABAJO'!$A$5:$CY$9142,20,FALSE)</f>
        <v>#N/A</v>
      </c>
      <c r="J43" s="93" t="e">
        <f>VLOOKUP($A43, 'Matriz POA 2024-TRABAJO'!$A$5:$CY$9142,26,FALSE)</f>
        <v>#N/A</v>
      </c>
      <c r="K43" s="93" t="e">
        <f>VLOOKUP($A43, 'Matriz POA 2024-TRABAJO'!$A$5:$CY$9142,27,FALSE)</f>
        <v>#N/A</v>
      </c>
      <c r="L43" s="93" t="e">
        <f>VLOOKUP($A43, 'Matriz POA 2024-TRABAJO'!$A$5:$CY$9142,28,FALSE)</f>
        <v>#N/A</v>
      </c>
      <c r="M43" s="93" t="e">
        <f>VLOOKUP($A43, 'Matriz POA 2024-TRABAJO'!$A$5:$CY$9142,30,FALSE)</f>
        <v>#N/A</v>
      </c>
      <c r="N43" s="93" t="e">
        <f>VLOOKUP($A43, 'Matriz POA 2024-TRABAJO'!$A$5:$CY$9142,31,FALSE)</f>
        <v>#N/A</v>
      </c>
      <c r="O43" s="93" t="e">
        <f>VLOOKUP($A43, 'Matriz POA 2024-TRABAJO'!$A$5:$CY$9142,45,FALSE)</f>
        <v>#N/A</v>
      </c>
      <c r="P43" s="93" t="e">
        <f>VLOOKUP($A43, 'Matriz POA 2024-TRABAJO'!$A$5:$CY$9142,46,FALSE)</f>
        <v>#N/A</v>
      </c>
      <c r="Q43" s="93" t="e">
        <f>VLOOKUP($A43, 'Matriz POA 2024-TRABAJO'!$A$5:$CY$9142,47,FALSE)</f>
        <v>#N/A</v>
      </c>
      <c r="R43" s="94" t="e">
        <f t="shared" si="20"/>
        <v>#N/A</v>
      </c>
      <c r="S43" s="95" t="e">
        <f t="shared" si="21"/>
        <v>#N/A</v>
      </c>
      <c r="T43" s="93" t="e">
        <f>VLOOKUP($A43, 'Matriz POA 2024-TRABAJO'!$A$5:$CY$9142,72,FALSE)</f>
        <v>#N/A</v>
      </c>
      <c r="U43" s="93" t="e">
        <f>VLOOKUP($A43, 'Matriz POA 2024-TRABAJO'!$A$5:$CY$9142,29,FALSE)</f>
        <v>#N/A</v>
      </c>
      <c r="V43" s="94" t="str">
        <f t="shared" si="42"/>
        <v>9ar-65ar-</v>
      </c>
      <c r="W43" s="97" t="s">
        <v>1145</v>
      </c>
      <c r="X43" s="109">
        <v>45317</v>
      </c>
      <c r="Y43" s="97" t="s">
        <v>1146</v>
      </c>
      <c r="Z43" s="109">
        <v>45317</v>
      </c>
      <c r="AA43" s="98">
        <v>3065.59</v>
      </c>
      <c r="AB43" s="98"/>
      <c r="AC43" s="99">
        <f t="shared" si="43"/>
        <v>0</v>
      </c>
      <c r="AD43" s="110" t="s">
        <v>1147</v>
      </c>
      <c r="AE43" s="97" t="s">
        <v>1772</v>
      </c>
      <c r="AF43" s="101">
        <v>45412</v>
      </c>
      <c r="AG43" s="97" t="s">
        <v>1773</v>
      </c>
      <c r="AH43" s="101">
        <v>45413</v>
      </c>
      <c r="AI43" s="98">
        <v>-3065.59</v>
      </c>
      <c r="AJ43" s="93" t="e">
        <f>VLOOKUP($A43, 'Matriz POA 2024-TRABAJO'!$A$5:$CY$9142,45,FALSE)</f>
        <v>#N/A</v>
      </c>
      <c r="AK43" s="99">
        <f t="shared" si="44"/>
        <v>1</v>
      </c>
      <c r="AL43" s="99" t="s">
        <v>1781</v>
      </c>
      <c r="AM43" s="98"/>
      <c r="AN43" s="96"/>
      <c r="AO43" s="97"/>
      <c r="AP43" s="101"/>
      <c r="AQ43" s="98"/>
      <c r="AR43" s="98"/>
      <c r="AS43" s="99">
        <f t="shared" si="45"/>
        <v>0</v>
      </c>
      <c r="AT43" s="99"/>
      <c r="AU43" s="96"/>
      <c r="AV43" s="96"/>
      <c r="AW43" s="93"/>
      <c r="AX43" s="96"/>
      <c r="AY43" s="98"/>
      <c r="AZ43" s="98"/>
      <c r="BA43" s="99">
        <f t="shared" si="46"/>
        <v>0</v>
      </c>
      <c r="BB43" s="99"/>
      <c r="BC43" s="96"/>
      <c r="BD43" s="96"/>
      <c r="BE43" s="93"/>
      <c r="BF43" s="96"/>
      <c r="BG43" s="102"/>
      <c r="BH43" s="102"/>
      <c r="BI43" s="93">
        <f t="shared" si="47"/>
        <v>0</v>
      </c>
      <c r="BJ43" s="93"/>
      <c r="BK43" s="93"/>
      <c r="BL43" s="103"/>
      <c r="BM43" s="93"/>
      <c r="BN43" s="103"/>
      <c r="BO43" s="94"/>
      <c r="BP43" s="94"/>
      <c r="BQ43" s="93">
        <f t="shared" si="48"/>
        <v>0</v>
      </c>
      <c r="BR43" s="93"/>
      <c r="BS43" s="93"/>
      <c r="BT43" s="103"/>
      <c r="BU43" s="93"/>
      <c r="BV43" s="103"/>
      <c r="BW43" s="94"/>
      <c r="BX43" s="94"/>
      <c r="BY43" s="93">
        <f t="shared" si="49"/>
        <v>0</v>
      </c>
      <c r="BZ43" s="93"/>
      <c r="CA43" s="104"/>
      <c r="CB43" s="105"/>
      <c r="CC43" s="106"/>
      <c r="CD43" s="107"/>
      <c r="CE43" s="94"/>
      <c r="CF43" s="94"/>
      <c r="CG43" s="93">
        <f t="shared" si="50"/>
        <v>0</v>
      </c>
      <c r="CH43" s="93"/>
      <c r="CI43" s="106"/>
      <c r="CJ43" s="105"/>
      <c r="CK43" s="93"/>
      <c r="CL43" s="105"/>
      <c r="CM43" s="108"/>
      <c r="CN43" s="108"/>
      <c r="CO43" s="93">
        <f t="shared" si="51"/>
        <v>0</v>
      </c>
      <c r="CP43" s="93"/>
      <c r="CQ43" s="93"/>
      <c r="CR43" s="93"/>
      <c r="CS43" s="93"/>
      <c r="CT43" s="93"/>
      <c r="CU43" s="93"/>
      <c r="CV43" s="93"/>
      <c r="CW43" s="93">
        <f t="shared" si="52"/>
        <v>0</v>
      </c>
      <c r="CX43" s="93"/>
      <c r="CY43" s="93" t="str">
        <f>TEXT(X43,"MMMM")</f>
        <v>enero</v>
      </c>
      <c r="CZ43" s="93" t="str">
        <f t="shared" si="53"/>
        <v>abril</v>
      </c>
      <c r="DA43" s="93" t="str">
        <f t="shared" si="54"/>
        <v>enero</v>
      </c>
      <c r="DB43" s="93" t="str">
        <f t="shared" si="55"/>
        <v>enero</v>
      </c>
      <c r="DC43" s="93" t="str">
        <f t="shared" si="56"/>
        <v>enero</v>
      </c>
      <c r="DD43" s="93" t="str">
        <f t="shared" si="57"/>
        <v>enero</v>
      </c>
      <c r="DE43" s="93" t="str">
        <f t="shared" si="58"/>
        <v>enero</v>
      </c>
      <c r="DF43" s="93" t="str">
        <f t="shared" si="59"/>
        <v>enero</v>
      </c>
      <c r="DG43" s="93" t="str">
        <f t="shared" si="60"/>
        <v>enero</v>
      </c>
      <c r="DH43" s="93" t="str">
        <f t="shared" si="61"/>
        <v>enero</v>
      </c>
    </row>
    <row r="44" spans="1:112" s="21" customFormat="1" ht="18.75" hidden="1" customHeight="1">
      <c r="A44" s="93">
        <v>720</v>
      </c>
      <c r="B44" s="93" t="e">
        <f>VLOOKUP($A44,  'Matriz POA 2024-TRABAJO'!$A$5:$CY$9142,29,FALSE)</f>
        <v>#N/A</v>
      </c>
      <c r="C44" s="93" t="e">
        <f>VLOOKUP($A44, 'Matriz POA 2024-TRABAJO'!$A$5:$CY$9142,11,FALSE)</f>
        <v>#N/A</v>
      </c>
      <c r="D44" s="93" t="e">
        <f>VLOOKUP($A44, 'Matriz POA 2024-TRABAJO'!$A$5:$CY$9142,14,FALSE)</f>
        <v>#N/A</v>
      </c>
      <c r="E44" s="93" t="e">
        <f>VLOOKUP($A44, 'Matriz POA 2024-TRABAJO'!$A$5:$CY$9142,15,FALSE)</f>
        <v>#N/A</v>
      </c>
      <c r="F44" s="93" t="e">
        <f>VLOOKUP($A44, 'Matriz POA 2024-TRABAJO'!$A$5:$CY$9142,18,FALSE)</f>
        <v>#N/A</v>
      </c>
      <c r="G44" s="93" t="e">
        <f>VLOOKUP($A44, 'Matriz POA 2024-TRABAJO'!$A$5:$CY$9142,23,FALSE)</f>
        <v>#N/A</v>
      </c>
      <c r="H44" s="93" t="e">
        <f>VLOOKUP($A44, 'Matriz POA 2024-TRABAJO'!$A$5:$CY$9142,24,FALSE)</f>
        <v>#N/A</v>
      </c>
      <c r="I44" s="93" t="e">
        <f>VLOOKUP($A44, 'Matriz POA 2024-TRABAJO'!$A$5:$CY$9142,20,FALSE)</f>
        <v>#N/A</v>
      </c>
      <c r="J44" s="93" t="e">
        <f>VLOOKUP($A44, 'Matriz POA 2024-TRABAJO'!$A$5:$CY$9142,26,FALSE)</f>
        <v>#N/A</v>
      </c>
      <c r="K44" s="93" t="e">
        <f>VLOOKUP($A44, 'Matriz POA 2024-TRABAJO'!$A$5:$CY$9142,27,FALSE)</f>
        <v>#N/A</v>
      </c>
      <c r="L44" s="93" t="e">
        <f>VLOOKUP($A44, 'Matriz POA 2024-TRABAJO'!$A$5:$CY$9142,28,FALSE)</f>
        <v>#N/A</v>
      </c>
      <c r="M44" s="93" t="e">
        <f>VLOOKUP($A44, 'Matriz POA 2024-TRABAJO'!$A$5:$CY$9142,30,FALSE)</f>
        <v>#N/A</v>
      </c>
      <c r="N44" s="93" t="e">
        <f>VLOOKUP($A44, 'Matriz POA 2024-TRABAJO'!$A$5:$CY$9142,31,FALSE)</f>
        <v>#N/A</v>
      </c>
      <c r="O44" s="93" t="e">
        <f>VLOOKUP($A44, 'Matriz POA 2024-TRABAJO'!$A$5:$CY$9142,45,FALSE)</f>
        <v>#N/A</v>
      </c>
      <c r="P44" s="93" t="e">
        <f>VLOOKUP($A44, 'Matriz POA 2024-TRABAJO'!$A$5:$CY$9142,46,FALSE)</f>
        <v>#N/A</v>
      </c>
      <c r="Q44" s="93" t="e">
        <f>VLOOKUP($A44, 'Matriz POA 2024-TRABAJO'!$A$5:$CY$9142,47,FALSE)</f>
        <v>#N/A</v>
      </c>
      <c r="R44" s="94" t="e">
        <f t="shared" si="20"/>
        <v>#N/A</v>
      </c>
      <c r="S44" s="95" t="e">
        <f t="shared" si="21"/>
        <v>#N/A</v>
      </c>
      <c r="T44" s="93" t="e">
        <f>VLOOKUP($A44, 'Matriz POA 2024-TRABAJO'!$A$5:$CY$9142,72,FALSE)</f>
        <v>#N/A</v>
      </c>
      <c r="U44" s="93" t="e">
        <f>VLOOKUP($A44, 'Matriz POA 2024-TRABAJO'!$A$5:$CY$9142,29,FALSE)</f>
        <v>#N/A</v>
      </c>
      <c r="V44" s="94" t="str">
        <f t="shared" si="42"/>
        <v>9ar-65ar-</v>
      </c>
      <c r="W44" s="97" t="s">
        <v>1145</v>
      </c>
      <c r="X44" s="109">
        <v>45317</v>
      </c>
      <c r="Y44" s="97" t="s">
        <v>1146</v>
      </c>
      <c r="Z44" s="109">
        <v>45317</v>
      </c>
      <c r="AA44" s="98">
        <v>2646.27</v>
      </c>
      <c r="AB44" s="98"/>
      <c r="AC44" s="99">
        <f t="shared" si="43"/>
        <v>0</v>
      </c>
      <c r="AD44" s="110" t="s">
        <v>1147</v>
      </c>
      <c r="AE44" s="97" t="s">
        <v>1772</v>
      </c>
      <c r="AF44" s="101">
        <v>45412</v>
      </c>
      <c r="AG44" s="97" t="s">
        <v>1773</v>
      </c>
      <c r="AH44" s="101">
        <v>45413</v>
      </c>
      <c r="AI44" s="98">
        <v>-2646.27</v>
      </c>
      <c r="AJ44" s="93" t="e">
        <f>VLOOKUP($A44, 'Matriz POA 2024-TRABAJO'!$A$5:$CY$9142,45,FALSE)</f>
        <v>#N/A</v>
      </c>
      <c r="AK44" s="99">
        <f t="shared" si="44"/>
        <v>1</v>
      </c>
      <c r="AL44" s="99" t="s">
        <v>1781</v>
      </c>
      <c r="AM44" s="98"/>
      <c r="AN44" s="96"/>
      <c r="AO44" s="97"/>
      <c r="AP44" s="101"/>
      <c r="AQ44" s="98"/>
      <c r="AR44" s="98"/>
      <c r="AS44" s="99">
        <f t="shared" si="45"/>
        <v>0</v>
      </c>
      <c r="AT44" s="99"/>
      <c r="AU44" s="96"/>
      <c r="AV44" s="96"/>
      <c r="AW44" s="93"/>
      <c r="AX44" s="96"/>
      <c r="AY44" s="98"/>
      <c r="AZ44" s="98"/>
      <c r="BA44" s="99">
        <f t="shared" si="46"/>
        <v>0</v>
      </c>
      <c r="BB44" s="99"/>
      <c r="BC44" s="96"/>
      <c r="BD44" s="96"/>
      <c r="BE44" s="93"/>
      <c r="BF44" s="96"/>
      <c r="BG44" s="102"/>
      <c r="BH44" s="102"/>
      <c r="BI44" s="93">
        <f t="shared" si="47"/>
        <v>0</v>
      </c>
      <c r="BJ44" s="93"/>
      <c r="BK44" s="93"/>
      <c r="BL44" s="103"/>
      <c r="BM44" s="93"/>
      <c r="BN44" s="103"/>
      <c r="BO44" s="94"/>
      <c r="BP44" s="94"/>
      <c r="BQ44" s="93">
        <f t="shared" si="48"/>
        <v>0</v>
      </c>
      <c r="BR44" s="93"/>
      <c r="BS44" s="93"/>
      <c r="BT44" s="103"/>
      <c r="BU44" s="93"/>
      <c r="BV44" s="103"/>
      <c r="BW44" s="94"/>
      <c r="BX44" s="94"/>
      <c r="BY44" s="93">
        <f t="shared" si="49"/>
        <v>0</v>
      </c>
      <c r="BZ44" s="93"/>
      <c r="CA44" s="104"/>
      <c r="CB44" s="105"/>
      <c r="CC44" s="106"/>
      <c r="CD44" s="107"/>
      <c r="CE44" s="94"/>
      <c r="CF44" s="94"/>
      <c r="CG44" s="93">
        <f t="shared" si="50"/>
        <v>0</v>
      </c>
      <c r="CH44" s="93"/>
      <c r="CI44" s="106"/>
      <c r="CJ44" s="105"/>
      <c r="CK44" s="93"/>
      <c r="CL44" s="105"/>
      <c r="CM44" s="108"/>
      <c r="CN44" s="108"/>
      <c r="CO44" s="93">
        <f t="shared" si="51"/>
        <v>0</v>
      </c>
      <c r="CP44" s="93"/>
      <c r="CQ44" s="93"/>
      <c r="CR44" s="93"/>
      <c r="CS44" s="93"/>
      <c r="CT44" s="93"/>
      <c r="CU44" s="93"/>
      <c r="CV44" s="93"/>
      <c r="CW44" s="93">
        <f t="shared" si="52"/>
        <v>0</v>
      </c>
      <c r="CX44" s="93"/>
      <c r="CY44" s="93" t="str">
        <f>TEXT(X44,"MMMM")</f>
        <v>enero</v>
      </c>
      <c r="CZ44" s="93" t="str">
        <f t="shared" si="53"/>
        <v>abril</v>
      </c>
      <c r="DA44" s="93" t="str">
        <f t="shared" si="54"/>
        <v>enero</v>
      </c>
      <c r="DB44" s="93" t="str">
        <f t="shared" si="55"/>
        <v>enero</v>
      </c>
      <c r="DC44" s="93" t="str">
        <f t="shared" si="56"/>
        <v>enero</v>
      </c>
      <c r="DD44" s="93" t="str">
        <f t="shared" si="57"/>
        <v>enero</v>
      </c>
      <c r="DE44" s="93" t="str">
        <f t="shared" si="58"/>
        <v>enero</v>
      </c>
      <c r="DF44" s="93" t="str">
        <f t="shared" si="59"/>
        <v>enero</v>
      </c>
      <c r="DG44" s="93" t="str">
        <f t="shared" si="60"/>
        <v>enero</v>
      </c>
      <c r="DH44" s="93" t="str">
        <f t="shared" si="61"/>
        <v>enero</v>
      </c>
    </row>
    <row r="45" spans="1:112" ht="15" hidden="1" customHeight="1">
      <c r="A45" s="93">
        <v>721</v>
      </c>
      <c r="B45" s="93" t="e">
        <f>VLOOKUP($A45,  'Matriz POA 2024-TRABAJO'!$A$5:$CY$9142,29,FALSE)</f>
        <v>#N/A</v>
      </c>
      <c r="C45" s="93" t="e">
        <f>VLOOKUP($A45, 'Matriz POA 2024-TRABAJO'!$A$5:$CY$9142,11,FALSE)</f>
        <v>#N/A</v>
      </c>
      <c r="D45" s="93" t="e">
        <f>VLOOKUP($A45, 'Matriz POA 2024-TRABAJO'!$A$5:$CY$9142,14,FALSE)</f>
        <v>#N/A</v>
      </c>
      <c r="E45" s="93" t="e">
        <f>VLOOKUP($A45, 'Matriz POA 2024-TRABAJO'!$A$5:$CY$9142,15,FALSE)</f>
        <v>#N/A</v>
      </c>
      <c r="F45" s="93" t="e">
        <f>VLOOKUP($A45, 'Matriz POA 2024-TRABAJO'!$A$5:$CY$9142,18,FALSE)</f>
        <v>#N/A</v>
      </c>
      <c r="G45" s="93" t="e">
        <f>VLOOKUP($A45, 'Matriz POA 2024-TRABAJO'!$A$5:$CY$9142,23,FALSE)</f>
        <v>#N/A</v>
      </c>
      <c r="H45" s="93" t="e">
        <f>VLOOKUP($A45, 'Matriz POA 2024-TRABAJO'!$A$5:$CY$9142,24,FALSE)</f>
        <v>#N/A</v>
      </c>
      <c r="I45" s="93" t="e">
        <f>VLOOKUP($A45, 'Matriz POA 2024-TRABAJO'!$A$5:$CY$9142,20,FALSE)</f>
        <v>#N/A</v>
      </c>
      <c r="J45" s="93" t="e">
        <f>VLOOKUP($A45, 'Matriz POA 2024-TRABAJO'!$A$5:$CY$9142,26,FALSE)</f>
        <v>#N/A</v>
      </c>
      <c r="K45" s="93" t="e">
        <f>VLOOKUP($A45, 'Matriz POA 2024-TRABAJO'!$A$5:$CY$9142,27,FALSE)</f>
        <v>#N/A</v>
      </c>
      <c r="L45" s="93" t="e">
        <f>VLOOKUP($A45, 'Matriz POA 2024-TRABAJO'!$A$5:$CY$9142,28,FALSE)</f>
        <v>#N/A</v>
      </c>
      <c r="M45" s="93" t="e">
        <f>VLOOKUP($A45, 'Matriz POA 2024-TRABAJO'!$A$5:$CY$9142,30,FALSE)</f>
        <v>#N/A</v>
      </c>
      <c r="N45" s="93" t="e">
        <f>VLOOKUP($A45, 'Matriz POA 2024-TRABAJO'!$A$5:$CY$9142,31,FALSE)</f>
        <v>#N/A</v>
      </c>
      <c r="O45" s="93" t="e">
        <f>VLOOKUP($A45, 'Matriz POA 2024-TRABAJO'!$A$5:$CY$9142,45,FALSE)</f>
        <v>#N/A</v>
      </c>
      <c r="P45" s="93" t="e">
        <f>VLOOKUP($A45, 'Matriz POA 2024-TRABAJO'!$A$5:$CY$9142,46,FALSE)</f>
        <v>#N/A</v>
      </c>
      <c r="Q45" s="93" t="e">
        <f>VLOOKUP($A45, 'Matriz POA 2024-TRABAJO'!$A$5:$CY$9142,47,FALSE)</f>
        <v>#N/A</v>
      </c>
      <c r="R45" s="94" t="e">
        <f t="shared" si="20"/>
        <v>#N/A</v>
      </c>
      <c r="S45" s="95" t="e">
        <f t="shared" si="21"/>
        <v>#N/A</v>
      </c>
      <c r="T45" s="93" t="e">
        <f>VLOOKUP($A45, 'Matriz POA 2024-TRABAJO'!$A$5:$CY$9142,72,FALSE)</f>
        <v>#N/A</v>
      </c>
      <c r="U45" s="93" t="e">
        <f>VLOOKUP($A45, 'Matriz POA 2024-TRABAJO'!$A$5:$CY$9142,29,FALSE)</f>
        <v>#N/A</v>
      </c>
      <c r="V45" s="94" t="str">
        <f t="shared" si="42"/>
        <v>9ar-65ar-</v>
      </c>
      <c r="W45" s="97" t="s">
        <v>1145</v>
      </c>
      <c r="X45" s="109">
        <v>45317</v>
      </c>
      <c r="Y45" s="97" t="s">
        <v>1146</v>
      </c>
      <c r="Z45" s="109">
        <v>45317</v>
      </c>
      <c r="AA45" s="98">
        <v>18436</v>
      </c>
      <c r="AB45" s="98"/>
      <c r="AC45" s="99">
        <f t="shared" si="43"/>
        <v>0</v>
      </c>
      <c r="AD45" s="110" t="s">
        <v>1147</v>
      </c>
      <c r="AE45" s="97" t="s">
        <v>1772</v>
      </c>
      <c r="AF45" s="101">
        <v>45412</v>
      </c>
      <c r="AG45" s="97" t="s">
        <v>1773</v>
      </c>
      <c r="AH45" s="101">
        <v>45413</v>
      </c>
      <c r="AI45" s="98">
        <v>-18436</v>
      </c>
      <c r="AJ45" s="93" t="e">
        <f>VLOOKUP($A45, 'Matriz POA 2024-TRABAJO'!$A$5:$CY$9142,45,FALSE)</f>
        <v>#N/A</v>
      </c>
      <c r="AK45" s="99">
        <f t="shared" si="44"/>
        <v>1</v>
      </c>
      <c r="AL45" s="99" t="s">
        <v>1781</v>
      </c>
      <c r="AM45" s="98"/>
      <c r="AN45" s="96"/>
      <c r="AO45" s="97"/>
      <c r="AP45" s="101"/>
      <c r="AQ45" s="98"/>
      <c r="AR45" s="98"/>
      <c r="AS45" s="99">
        <f t="shared" si="45"/>
        <v>0</v>
      </c>
      <c r="AT45" s="99"/>
      <c r="AU45" s="96"/>
      <c r="AV45" s="96"/>
      <c r="AW45" s="93"/>
      <c r="AX45" s="96"/>
      <c r="AY45" s="98"/>
      <c r="AZ45" s="98"/>
      <c r="BA45" s="99">
        <f t="shared" si="46"/>
        <v>0</v>
      </c>
      <c r="BB45" s="99"/>
      <c r="BC45" s="96"/>
      <c r="BD45" s="96"/>
      <c r="BE45" s="93"/>
      <c r="BF45" s="96"/>
      <c r="BG45" s="102"/>
      <c r="BH45" s="102"/>
      <c r="BI45" s="93">
        <f t="shared" si="47"/>
        <v>0</v>
      </c>
      <c r="BJ45" s="93"/>
      <c r="BK45" s="93"/>
      <c r="BL45" s="103"/>
      <c r="BM45" s="93"/>
      <c r="BN45" s="103"/>
      <c r="BO45" s="94"/>
      <c r="BP45" s="94"/>
      <c r="BQ45" s="93">
        <f t="shared" si="48"/>
        <v>0</v>
      </c>
      <c r="BR45" s="93"/>
      <c r="BS45" s="93"/>
      <c r="BT45" s="103"/>
      <c r="BU45" s="93"/>
      <c r="BV45" s="103"/>
      <c r="BW45" s="94"/>
      <c r="BX45" s="94"/>
      <c r="BY45" s="93">
        <f t="shared" si="49"/>
        <v>0</v>
      </c>
      <c r="BZ45" s="93"/>
      <c r="CA45" s="104"/>
      <c r="CB45" s="105"/>
      <c r="CC45" s="106"/>
      <c r="CD45" s="107"/>
      <c r="CE45" s="94"/>
      <c r="CF45" s="94"/>
      <c r="CG45" s="93">
        <f t="shared" si="50"/>
        <v>0</v>
      </c>
      <c r="CH45" s="93"/>
      <c r="CI45" s="106"/>
      <c r="CJ45" s="105"/>
      <c r="CK45" s="93"/>
      <c r="CL45" s="105"/>
      <c r="CM45" s="108"/>
      <c r="CN45" s="108"/>
      <c r="CO45" s="93">
        <f t="shared" si="51"/>
        <v>0</v>
      </c>
      <c r="CP45" s="93"/>
      <c r="CQ45" s="93"/>
      <c r="CR45" s="93"/>
      <c r="CS45" s="93"/>
      <c r="CT45" s="93"/>
      <c r="CU45" s="93"/>
      <c r="CV45" s="93"/>
      <c r="CW45" s="93">
        <f t="shared" si="52"/>
        <v>0</v>
      </c>
      <c r="CX45" s="93"/>
      <c r="CY45" s="93" t="str">
        <f>TEXT(X45,"MMMM")</f>
        <v>enero</v>
      </c>
      <c r="CZ45" s="93" t="str">
        <f t="shared" si="53"/>
        <v>abril</v>
      </c>
      <c r="DA45" s="93" t="str">
        <f t="shared" si="54"/>
        <v>enero</v>
      </c>
      <c r="DB45" s="93" t="str">
        <f t="shared" si="55"/>
        <v>enero</v>
      </c>
      <c r="DC45" s="93" t="str">
        <f t="shared" si="56"/>
        <v>enero</v>
      </c>
      <c r="DD45" s="93" t="str">
        <f t="shared" si="57"/>
        <v>enero</v>
      </c>
      <c r="DE45" s="93" t="str">
        <f t="shared" si="58"/>
        <v>enero</v>
      </c>
      <c r="DF45" s="93" t="str">
        <f t="shared" si="59"/>
        <v>enero</v>
      </c>
      <c r="DG45" s="93" t="str">
        <f t="shared" si="60"/>
        <v>enero</v>
      </c>
      <c r="DH45" s="93" t="str">
        <f t="shared" si="61"/>
        <v>enero</v>
      </c>
    </row>
    <row r="46" spans="1:112" s="21" customFormat="1" ht="26.45" hidden="1" customHeight="1">
      <c r="A46" s="93">
        <v>722</v>
      </c>
      <c r="B46" s="93" t="e">
        <f>VLOOKUP($A46,  'Matriz POA 2024-TRABAJO'!$A$5:$CY$9142,29,FALSE)</f>
        <v>#N/A</v>
      </c>
      <c r="C46" s="93" t="e">
        <f>VLOOKUP($A46, 'Matriz POA 2024-TRABAJO'!$A$5:$CY$9142,11,FALSE)</f>
        <v>#N/A</v>
      </c>
      <c r="D46" s="93" t="e">
        <f>VLOOKUP($A46, 'Matriz POA 2024-TRABAJO'!$A$5:$CY$9142,14,FALSE)</f>
        <v>#N/A</v>
      </c>
      <c r="E46" s="93" t="e">
        <f>VLOOKUP($A46, 'Matriz POA 2024-TRABAJO'!$A$5:$CY$9142,15,FALSE)</f>
        <v>#N/A</v>
      </c>
      <c r="F46" s="93" t="e">
        <f>VLOOKUP($A46, 'Matriz POA 2024-TRABAJO'!$A$5:$CY$9142,18,FALSE)</f>
        <v>#N/A</v>
      </c>
      <c r="G46" s="93" t="e">
        <f>VLOOKUP($A46, 'Matriz POA 2024-TRABAJO'!$A$5:$CY$9142,23,FALSE)</f>
        <v>#N/A</v>
      </c>
      <c r="H46" s="93" t="e">
        <f>VLOOKUP($A46, 'Matriz POA 2024-TRABAJO'!$A$5:$CY$9142,24,FALSE)</f>
        <v>#N/A</v>
      </c>
      <c r="I46" s="93" t="e">
        <f>VLOOKUP($A46, 'Matriz POA 2024-TRABAJO'!$A$5:$CY$9142,20,FALSE)</f>
        <v>#N/A</v>
      </c>
      <c r="J46" s="93" t="e">
        <f>VLOOKUP($A46, 'Matriz POA 2024-TRABAJO'!$A$5:$CY$9142,26,FALSE)</f>
        <v>#N/A</v>
      </c>
      <c r="K46" s="93" t="e">
        <f>VLOOKUP($A46, 'Matriz POA 2024-TRABAJO'!$A$5:$CY$9142,27,FALSE)</f>
        <v>#N/A</v>
      </c>
      <c r="L46" s="93" t="e">
        <f>VLOOKUP($A46, 'Matriz POA 2024-TRABAJO'!$A$5:$CY$9142,28,FALSE)</f>
        <v>#N/A</v>
      </c>
      <c r="M46" s="93" t="e">
        <f>VLOOKUP($A46, 'Matriz POA 2024-TRABAJO'!$A$5:$CY$9142,30,FALSE)</f>
        <v>#N/A</v>
      </c>
      <c r="N46" s="93" t="e">
        <f>VLOOKUP($A46, 'Matriz POA 2024-TRABAJO'!$A$5:$CY$9142,31,FALSE)</f>
        <v>#N/A</v>
      </c>
      <c r="O46" s="93" t="e">
        <f>VLOOKUP($A46, 'Matriz POA 2024-TRABAJO'!$A$5:$CY$9142,45,FALSE)</f>
        <v>#N/A</v>
      </c>
      <c r="P46" s="93" t="e">
        <f>VLOOKUP($A46, 'Matriz POA 2024-TRABAJO'!$A$5:$CY$9142,46,FALSE)</f>
        <v>#N/A</v>
      </c>
      <c r="Q46" s="93" t="e">
        <f>VLOOKUP($A46, 'Matriz POA 2024-TRABAJO'!$A$5:$CY$9142,47,FALSE)</f>
        <v>#N/A</v>
      </c>
      <c r="R46" s="94" t="e">
        <f t="shared" si="20"/>
        <v>#N/A</v>
      </c>
      <c r="S46" s="95" t="e">
        <f t="shared" si="21"/>
        <v>#N/A</v>
      </c>
      <c r="T46" s="93" t="e">
        <f>VLOOKUP($A46, 'Matriz POA 2024-TRABAJO'!$A$5:$CY$9142,72,FALSE)</f>
        <v>#N/A</v>
      </c>
      <c r="U46" s="93" t="e">
        <f>VLOOKUP($A46, 'Matriz POA 2024-TRABAJO'!$A$5:$CY$9142,29,FALSE)</f>
        <v>#N/A</v>
      </c>
      <c r="V46" s="94" t="str">
        <f t="shared" si="42"/>
        <v>9ar-65ar-</v>
      </c>
      <c r="W46" s="97" t="s">
        <v>1145</v>
      </c>
      <c r="X46" s="109">
        <v>45317</v>
      </c>
      <c r="Y46" s="97" t="s">
        <v>1146</v>
      </c>
      <c r="Z46" s="109">
        <v>45317</v>
      </c>
      <c r="AA46" s="98">
        <v>1676.0400000000002</v>
      </c>
      <c r="AB46" s="98"/>
      <c r="AC46" s="99">
        <f t="shared" si="43"/>
        <v>0</v>
      </c>
      <c r="AD46" s="110" t="s">
        <v>1147</v>
      </c>
      <c r="AE46" s="97" t="s">
        <v>1772</v>
      </c>
      <c r="AF46" s="101">
        <v>45412</v>
      </c>
      <c r="AG46" s="97" t="s">
        <v>1773</v>
      </c>
      <c r="AH46" s="101">
        <v>45413</v>
      </c>
      <c r="AI46" s="98">
        <v>-1676.04</v>
      </c>
      <c r="AJ46" s="93" t="e">
        <f>VLOOKUP($A46, 'Matriz POA 2024-TRABAJO'!$A$5:$CY$9142,45,FALSE)</f>
        <v>#N/A</v>
      </c>
      <c r="AK46" s="99">
        <f t="shared" si="44"/>
        <v>1</v>
      </c>
      <c r="AL46" s="99" t="s">
        <v>1781</v>
      </c>
      <c r="AM46" s="98"/>
      <c r="AN46" s="96"/>
      <c r="AO46" s="97"/>
      <c r="AP46" s="101"/>
      <c r="AQ46" s="98"/>
      <c r="AR46" s="98"/>
      <c r="AS46" s="99">
        <f t="shared" si="45"/>
        <v>0</v>
      </c>
      <c r="AT46" s="99"/>
      <c r="AU46" s="96"/>
      <c r="AV46" s="96"/>
      <c r="AW46" s="93"/>
      <c r="AX46" s="96"/>
      <c r="AY46" s="98"/>
      <c r="AZ46" s="98"/>
      <c r="BA46" s="99">
        <f t="shared" si="46"/>
        <v>0</v>
      </c>
      <c r="BB46" s="99"/>
      <c r="BC46" s="96"/>
      <c r="BD46" s="96"/>
      <c r="BE46" s="93"/>
      <c r="BF46" s="96"/>
      <c r="BG46" s="102"/>
      <c r="BH46" s="102"/>
      <c r="BI46" s="93">
        <f t="shared" si="47"/>
        <v>0</v>
      </c>
      <c r="BJ46" s="93"/>
      <c r="BK46" s="93"/>
      <c r="BL46" s="103"/>
      <c r="BM46" s="93"/>
      <c r="BN46" s="103"/>
      <c r="BO46" s="94"/>
      <c r="BP46" s="94"/>
      <c r="BQ46" s="93">
        <f t="shared" si="48"/>
        <v>0</v>
      </c>
      <c r="BR46" s="93"/>
      <c r="BS46" s="93"/>
      <c r="BT46" s="103"/>
      <c r="BU46" s="93"/>
      <c r="BV46" s="103"/>
      <c r="BW46" s="94"/>
      <c r="BX46" s="94"/>
      <c r="BY46" s="93">
        <f t="shared" si="49"/>
        <v>0</v>
      </c>
      <c r="BZ46" s="93"/>
      <c r="CA46" s="104"/>
      <c r="CB46" s="105"/>
      <c r="CC46" s="106"/>
      <c r="CD46" s="107"/>
      <c r="CE46" s="94"/>
      <c r="CF46" s="94"/>
      <c r="CG46" s="93">
        <f t="shared" si="50"/>
        <v>0</v>
      </c>
      <c r="CH46" s="93"/>
      <c r="CI46" s="106"/>
      <c r="CJ46" s="105"/>
      <c r="CK46" s="93"/>
      <c r="CL46" s="105"/>
      <c r="CM46" s="108"/>
      <c r="CN46" s="108"/>
      <c r="CO46" s="93">
        <f t="shared" si="51"/>
        <v>0</v>
      </c>
      <c r="CP46" s="93"/>
      <c r="CQ46" s="93"/>
      <c r="CR46" s="93"/>
      <c r="CS46" s="93"/>
      <c r="CT46" s="93"/>
      <c r="CU46" s="93"/>
      <c r="CV46" s="93"/>
      <c r="CW46" s="93">
        <f t="shared" si="52"/>
        <v>0</v>
      </c>
      <c r="CX46" s="93"/>
      <c r="CY46" s="93" t="str">
        <f>TEXT(Z46,"MMMM")</f>
        <v>enero</v>
      </c>
      <c r="CZ46" s="93" t="str">
        <f t="shared" si="53"/>
        <v>abril</v>
      </c>
      <c r="DA46" s="93" t="str">
        <f t="shared" si="54"/>
        <v>enero</v>
      </c>
      <c r="DB46" s="93" t="str">
        <f t="shared" si="55"/>
        <v>enero</v>
      </c>
      <c r="DC46" s="93" t="str">
        <f t="shared" si="56"/>
        <v>enero</v>
      </c>
      <c r="DD46" s="93" t="str">
        <f t="shared" si="57"/>
        <v>enero</v>
      </c>
      <c r="DE46" s="93" t="str">
        <f t="shared" si="58"/>
        <v>enero</v>
      </c>
      <c r="DF46" s="93" t="str">
        <f t="shared" si="59"/>
        <v>enero</v>
      </c>
      <c r="DG46" s="93" t="str">
        <f t="shared" si="60"/>
        <v>enero</v>
      </c>
      <c r="DH46" s="93" t="str">
        <f t="shared" si="61"/>
        <v>enero</v>
      </c>
    </row>
    <row r="47" spans="1:112" s="21" customFormat="1" ht="18.75" hidden="1" customHeight="1">
      <c r="A47" s="93">
        <v>723</v>
      </c>
      <c r="B47" s="93" t="e">
        <f>VLOOKUP($A47,  'Matriz POA 2024-TRABAJO'!$A$5:$CY$9142,29,FALSE)</f>
        <v>#N/A</v>
      </c>
      <c r="C47" s="93" t="e">
        <f>VLOOKUP($A47, 'Matriz POA 2024-TRABAJO'!$A$5:$CY$9142,11,FALSE)</f>
        <v>#N/A</v>
      </c>
      <c r="D47" s="93" t="e">
        <f>VLOOKUP($A47, 'Matriz POA 2024-TRABAJO'!$A$5:$CY$9142,14,FALSE)</f>
        <v>#N/A</v>
      </c>
      <c r="E47" s="93" t="e">
        <f>VLOOKUP($A47, 'Matriz POA 2024-TRABAJO'!$A$5:$CY$9142,15,FALSE)</f>
        <v>#N/A</v>
      </c>
      <c r="F47" s="93" t="e">
        <f>VLOOKUP($A47, 'Matriz POA 2024-TRABAJO'!$A$5:$CY$9142,18,FALSE)</f>
        <v>#N/A</v>
      </c>
      <c r="G47" s="93" t="e">
        <f>VLOOKUP($A47, 'Matriz POA 2024-TRABAJO'!$A$5:$CY$9142,23,FALSE)</f>
        <v>#N/A</v>
      </c>
      <c r="H47" s="93" t="e">
        <f>VLOOKUP($A47, 'Matriz POA 2024-TRABAJO'!$A$5:$CY$9142,24,FALSE)</f>
        <v>#N/A</v>
      </c>
      <c r="I47" s="93" t="e">
        <f>VLOOKUP($A47, 'Matriz POA 2024-TRABAJO'!$A$5:$CY$9142,20,FALSE)</f>
        <v>#N/A</v>
      </c>
      <c r="J47" s="93" t="e">
        <f>VLOOKUP($A47, 'Matriz POA 2024-TRABAJO'!$A$5:$CY$9142,26,FALSE)</f>
        <v>#N/A</v>
      </c>
      <c r="K47" s="93" t="e">
        <f>VLOOKUP($A47, 'Matriz POA 2024-TRABAJO'!$A$5:$CY$9142,27,FALSE)</f>
        <v>#N/A</v>
      </c>
      <c r="L47" s="93" t="e">
        <f>VLOOKUP($A47, 'Matriz POA 2024-TRABAJO'!$A$5:$CY$9142,28,FALSE)</f>
        <v>#N/A</v>
      </c>
      <c r="M47" s="93" t="e">
        <f>VLOOKUP($A47, 'Matriz POA 2024-TRABAJO'!$A$5:$CY$9142,30,FALSE)</f>
        <v>#N/A</v>
      </c>
      <c r="N47" s="93" t="e">
        <f>VLOOKUP($A47, 'Matriz POA 2024-TRABAJO'!$A$5:$CY$9142,31,FALSE)</f>
        <v>#N/A</v>
      </c>
      <c r="O47" s="93" t="e">
        <f>VLOOKUP($A47, 'Matriz POA 2024-TRABAJO'!$A$5:$CY$9142,45,FALSE)</f>
        <v>#N/A</v>
      </c>
      <c r="P47" s="93" t="e">
        <f>VLOOKUP($A47, 'Matriz POA 2024-TRABAJO'!$A$5:$CY$9142,46,FALSE)</f>
        <v>#N/A</v>
      </c>
      <c r="Q47" s="93" t="e">
        <f>VLOOKUP($A47, 'Matriz POA 2024-TRABAJO'!$A$5:$CY$9142,47,FALSE)</f>
        <v>#N/A</v>
      </c>
      <c r="R47" s="94" t="e">
        <f t="shared" si="20"/>
        <v>#N/A</v>
      </c>
      <c r="S47" s="95" t="e">
        <f t="shared" si="21"/>
        <v>#N/A</v>
      </c>
      <c r="T47" s="93" t="e">
        <f>VLOOKUP($A47, 'Matriz POA 2024-TRABAJO'!$A$5:$CY$9142,72,FALSE)</f>
        <v>#N/A</v>
      </c>
      <c r="U47" s="93" t="e">
        <f>VLOOKUP($A47, 'Matriz POA 2024-TRABAJO'!$A$5:$CY$9142,29,FALSE)</f>
        <v>#N/A</v>
      </c>
      <c r="V47" s="94" t="str">
        <f t="shared" si="42"/>
        <v>9ar-65ar-</v>
      </c>
      <c r="W47" s="97" t="s">
        <v>1145</v>
      </c>
      <c r="X47" s="109">
        <v>45317</v>
      </c>
      <c r="Y47" s="97" t="s">
        <v>1146</v>
      </c>
      <c r="Z47" s="109">
        <v>45317</v>
      </c>
      <c r="AA47" s="98">
        <v>460</v>
      </c>
      <c r="AB47" s="98"/>
      <c r="AC47" s="99">
        <f t="shared" si="43"/>
        <v>0</v>
      </c>
      <c r="AD47" s="110" t="s">
        <v>1147</v>
      </c>
      <c r="AE47" s="97" t="s">
        <v>1772</v>
      </c>
      <c r="AF47" s="101">
        <v>45412</v>
      </c>
      <c r="AG47" s="97" t="s">
        <v>1773</v>
      </c>
      <c r="AH47" s="101">
        <v>45413</v>
      </c>
      <c r="AI47" s="98">
        <v>-460</v>
      </c>
      <c r="AJ47" s="93" t="e">
        <f>VLOOKUP($A47, 'Matriz POA 2024-TRABAJO'!$A$5:$CY$9142,45,FALSE)</f>
        <v>#N/A</v>
      </c>
      <c r="AK47" s="99">
        <f t="shared" si="44"/>
        <v>1</v>
      </c>
      <c r="AL47" s="99" t="s">
        <v>1781</v>
      </c>
      <c r="AM47" s="98"/>
      <c r="AN47" s="96"/>
      <c r="AO47" s="97"/>
      <c r="AP47" s="101"/>
      <c r="AQ47" s="98"/>
      <c r="AR47" s="98"/>
      <c r="AS47" s="99">
        <f t="shared" si="45"/>
        <v>0</v>
      </c>
      <c r="AT47" s="99"/>
      <c r="AU47" s="96"/>
      <c r="AV47" s="96"/>
      <c r="AW47" s="93"/>
      <c r="AX47" s="96"/>
      <c r="AY47" s="98"/>
      <c r="AZ47" s="98"/>
      <c r="BA47" s="99">
        <f t="shared" si="46"/>
        <v>0</v>
      </c>
      <c r="BB47" s="99"/>
      <c r="BC47" s="96"/>
      <c r="BD47" s="96"/>
      <c r="BE47" s="93"/>
      <c r="BF47" s="96"/>
      <c r="BG47" s="102"/>
      <c r="BH47" s="102"/>
      <c r="BI47" s="93">
        <f t="shared" si="47"/>
        <v>0</v>
      </c>
      <c r="BJ47" s="93"/>
      <c r="BK47" s="93"/>
      <c r="BL47" s="103"/>
      <c r="BM47" s="93"/>
      <c r="BN47" s="103"/>
      <c r="BO47" s="94"/>
      <c r="BP47" s="94"/>
      <c r="BQ47" s="93">
        <f t="shared" si="48"/>
        <v>0</v>
      </c>
      <c r="BR47" s="93"/>
      <c r="BS47" s="93"/>
      <c r="BT47" s="103"/>
      <c r="BU47" s="93"/>
      <c r="BV47" s="103"/>
      <c r="BW47" s="94"/>
      <c r="BX47" s="94"/>
      <c r="BY47" s="93">
        <f t="shared" si="49"/>
        <v>0</v>
      </c>
      <c r="BZ47" s="93"/>
      <c r="CA47" s="104"/>
      <c r="CB47" s="105"/>
      <c r="CC47" s="106"/>
      <c r="CD47" s="107"/>
      <c r="CE47" s="94"/>
      <c r="CF47" s="94"/>
      <c r="CG47" s="93">
        <f t="shared" si="50"/>
        <v>0</v>
      </c>
      <c r="CH47" s="93"/>
      <c r="CI47" s="106"/>
      <c r="CJ47" s="105"/>
      <c r="CK47" s="93"/>
      <c r="CL47" s="105"/>
      <c r="CM47" s="108"/>
      <c r="CN47" s="108"/>
      <c r="CO47" s="93">
        <f t="shared" si="51"/>
        <v>0</v>
      </c>
      <c r="CP47" s="93"/>
      <c r="CQ47" s="93"/>
      <c r="CR47" s="93"/>
      <c r="CS47" s="93"/>
      <c r="CT47" s="93"/>
      <c r="CU47" s="93"/>
      <c r="CV47" s="93"/>
      <c r="CW47" s="93">
        <f t="shared" si="52"/>
        <v>0</v>
      </c>
      <c r="CX47" s="93"/>
      <c r="CY47" s="93" t="str">
        <f>TEXT(X47,"MMMM")</f>
        <v>enero</v>
      </c>
      <c r="CZ47" s="93" t="str">
        <f t="shared" si="53"/>
        <v>abril</v>
      </c>
      <c r="DA47" s="93" t="str">
        <f t="shared" si="54"/>
        <v>enero</v>
      </c>
      <c r="DB47" s="93" t="str">
        <f t="shared" si="55"/>
        <v>enero</v>
      </c>
      <c r="DC47" s="93" t="str">
        <f t="shared" si="56"/>
        <v>enero</v>
      </c>
      <c r="DD47" s="93" t="str">
        <f t="shared" si="57"/>
        <v>enero</v>
      </c>
      <c r="DE47" s="93" t="str">
        <f t="shared" si="58"/>
        <v>enero</v>
      </c>
      <c r="DF47" s="93" t="str">
        <f t="shared" si="59"/>
        <v>enero</v>
      </c>
      <c r="DG47" s="93" t="str">
        <f t="shared" si="60"/>
        <v>enero</v>
      </c>
      <c r="DH47" s="93" t="str">
        <f t="shared" si="61"/>
        <v>enero</v>
      </c>
    </row>
    <row r="48" spans="1:112" s="21" customFormat="1" ht="18.75" hidden="1" customHeight="1">
      <c r="A48" s="93">
        <v>724</v>
      </c>
      <c r="B48" s="93" t="e">
        <f>VLOOKUP($A48,  'Matriz POA 2024-TRABAJO'!$A$5:$CY$9142,29,FALSE)</f>
        <v>#N/A</v>
      </c>
      <c r="C48" s="93" t="e">
        <f>VLOOKUP($A48, 'Matriz POA 2024-TRABAJO'!$A$5:$CY$9142,11,FALSE)</f>
        <v>#N/A</v>
      </c>
      <c r="D48" s="93" t="e">
        <f>VLOOKUP($A48, 'Matriz POA 2024-TRABAJO'!$A$5:$CY$9142,14,FALSE)</f>
        <v>#N/A</v>
      </c>
      <c r="E48" s="93" t="e">
        <f>VLOOKUP($A48, 'Matriz POA 2024-TRABAJO'!$A$5:$CY$9142,15,FALSE)</f>
        <v>#N/A</v>
      </c>
      <c r="F48" s="93" t="e">
        <f>VLOOKUP($A48, 'Matriz POA 2024-TRABAJO'!$A$5:$CY$9142,18,FALSE)</f>
        <v>#N/A</v>
      </c>
      <c r="G48" s="93" t="e">
        <f>VLOOKUP($A48, 'Matriz POA 2024-TRABAJO'!$A$5:$CY$9142,23,FALSE)</f>
        <v>#N/A</v>
      </c>
      <c r="H48" s="93" t="e">
        <f>VLOOKUP($A48, 'Matriz POA 2024-TRABAJO'!$A$5:$CY$9142,24,FALSE)</f>
        <v>#N/A</v>
      </c>
      <c r="I48" s="93" t="e">
        <f>VLOOKUP($A48, 'Matriz POA 2024-TRABAJO'!$A$5:$CY$9142,20,FALSE)</f>
        <v>#N/A</v>
      </c>
      <c r="J48" s="93" t="e">
        <f>VLOOKUP($A48, 'Matriz POA 2024-TRABAJO'!$A$5:$CY$9142,26,FALSE)</f>
        <v>#N/A</v>
      </c>
      <c r="K48" s="93" t="e">
        <f>VLOOKUP($A48, 'Matriz POA 2024-TRABAJO'!$A$5:$CY$9142,27,FALSE)</f>
        <v>#N/A</v>
      </c>
      <c r="L48" s="93" t="e">
        <f>VLOOKUP($A48, 'Matriz POA 2024-TRABAJO'!$A$5:$CY$9142,28,FALSE)</f>
        <v>#N/A</v>
      </c>
      <c r="M48" s="93" t="e">
        <f>VLOOKUP($A48, 'Matriz POA 2024-TRABAJO'!$A$5:$CY$9142,30,FALSE)</f>
        <v>#N/A</v>
      </c>
      <c r="N48" s="93" t="e">
        <f>VLOOKUP($A48, 'Matriz POA 2024-TRABAJO'!$A$5:$CY$9142,31,FALSE)</f>
        <v>#N/A</v>
      </c>
      <c r="O48" s="93" t="e">
        <f>VLOOKUP($A48, 'Matriz POA 2024-TRABAJO'!$A$5:$CY$9142,45,FALSE)</f>
        <v>#N/A</v>
      </c>
      <c r="P48" s="93" t="e">
        <f>VLOOKUP($A48, 'Matriz POA 2024-TRABAJO'!$A$5:$CY$9142,46,FALSE)</f>
        <v>#N/A</v>
      </c>
      <c r="Q48" s="93" t="e">
        <f>VLOOKUP($A48, 'Matriz POA 2024-TRABAJO'!$A$5:$CY$9142,47,FALSE)</f>
        <v>#N/A</v>
      </c>
      <c r="R48" s="94" t="e">
        <f t="shared" si="20"/>
        <v>#N/A</v>
      </c>
      <c r="S48" s="95" t="e">
        <f t="shared" si="21"/>
        <v>#N/A</v>
      </c>
      <c r="T48" s="93" t="e">
        <f>VLOOKUP($A48, 'Matriz POA 2024-TRABAJO'!$A$5:$CY$9142,72,FALSE)</f>
        <v>#N/A</v>
      </c>
      <c r="U48" s="93" t="e">
        <f>VLOOKUP($A48, 'Matriz POA 2024-TRABAJO'!$A$5:$CY$9142,29,FALSE)</f>
        <v>#N/A</v>
      </c>
      <c r="V48" s="94" t="str">
        <f t="shared" ref="V48:V68" si="62">AD48&amp;AL48&amp;AT48&amp;BB48&amp;BJ48&amp;BR48&amp;BZ48&amp;CH48&amp;CP48&amp;CX48</f>
        <v>9ar-65ar-</v>
      </c>
      <c r="W48" s="97" t="s">
        <v>1145</v>
      </c>
      <c r="X48" s="109">
        <v>45317</v>
      </c>
      <c r="Y48" s="97" t="s">
        <v>1146</v>
      </c>
      <c r="Z48" s="109">
        <v>45317</v>
      </c>
      <c r="AA48" s="98">
        <v>1779.0299999999997</v>
      </c>
      <c r="AB48" s="98"/>
      <c r="AC48" s="99">
        <f t="shared" ref="AC48:AC79" si="63">Z48-X48</f>
        <v>0</v>
      </c>
      <c r="AD48" s="110" t="s">
        <v>1147</v>
      </c>
      <c r="AE48" s="97" t="s">
        <v>1772</v>
      </c>
      <c r="AF48" s="101">
        <v>45412</v>
      </c>
      <c r="AG48" s="97" t="s">
        <v>1773</v>
      </c>
      <c r="AH48" s="101">
        <v>45413</v>
      </c>
      <c r="AI48" s="98">
        <v>-1779.03</v>
      </c>
      <c r="AJ48" s="93" t="e">
        <f>VLOOKUP($A48, 'Matriz POA 2024-TRABAJO'!$A$5:$CY$9142,45,FALSE)</f>
        <v>#N/A</v>
      </c>
      <c r="AK48" s="99">
        <f t="shared" ref="AK48:AK68" si="64">AH48-AF48</f>
        <v>1</v>
      </c>
      <c r="AL48" s="99" t="s">
        <v>1781</v>
      </c>
      <c r="AM48" s="98"/>
      <c r="AN48" s="96"/>
      <c r="AO48" s="97"/>
      <c r="AP48" s="101"/>
      <c r="AQ48" s="98"/>
      <c r="AR48" s="98"/>
      <c r="AS48" s="99">
        <f t="shared" ref="AS48:AS68" si="65">AP48-AN48</f>
        <v>0</v>
      </c>
      <c r="AT48" s="99"/>
      <c r="AU48" s="96"/>
      <c r="AV48" s="96"/>
      <c r="AW48" s="93"/>
      <c r="AX48" s="96"/>
      <c r="AY48" s="98"/>
      <c r="AZ48" s="98"/>
      <c r="BA48" s="99">
        <f t="shared" ref="BA48:BA68" si="66">AX48-AV48</f>
        <v>0</v>
      </c>
      <c r="BB48" s="99"/>
      <c r="BC48" s="96"/>
      <c r="BD48" s="96"/>
      <c r="BE48" s="93"/>
      <c r="BF48" s="96"/>
      <c r="BG48" s="102"/>
      <c r="BH48" s="102"/>
      <c r="BI48" s="93">
        <f t="shared" ref="BI48:BI79" si="67">BF48-BD48</f>
        <v>0</v>
      </c>
      <c r="BJ48" s="93"/>
      <c r="BK48" s="93"/>
      <c r="BL48" s="103"/>
      <c r="BM48" s="93"/>
      <c r="BN48" s="103"/>
      <c r="BO48" s="94"/>
      <c r="BP48" s="94"/>
      <c r="BQ48" s="93">
        <f t="shared" ref="BQ48:BQ79" si="68">BN48-BL48</f>
        <v>0</v>
      </c>
      <c r="BR48" s="93"/>
      <c r="BS48" s="93"/>
      <c r="BT48" s="103"/>
      <c r="BU48" s="93"/>
      <c r="BV48" s="103"/>
      <c r="BW48" s="94"/>
      <c r="BX48" s="94"/>
      <c r="BY48" s="93">
        <f t="shared" ref="BY48:BY79" si="69">BV48-BT48</f>
        <v>0</v>
      </c>
      <c r="BZ48" s="93"/>
      <c r="CA48" s="104"/>
      <c r="CB48" s="105"/>
      <c r="CC48" s="106"/>
      <c r="CD48" s="107"/>
      <c r="CE48" s="94"/>
      <c r="CF48" s="94"/>
      <c r="CG48" s="93">
        <f t="shared" ref="CG48:CG79" si="70">CD48-CB48</f>
        <v>0</v>
      </c>
      <c r="CH48" s="93"/>
      <c r="CI48" s="106"/>
      <c r="CJ48" s="105"/>
      <c r="CK48" s="93"/>
      <c r="CL48" s="105"/>
      <c r="CM48" s="108"/>
      <c r="CN48" s="108"/>
      <c r="CO48" s="93">
        <f t="shared" ref="CO48:CO79" si="71">CL48-CJ48</f>
        <v>0</v>
      </c>
      <c r="CP48" s="93"/>
      <c r="CQ48" s="93"/>
      <c r="CR48" s="93"/>
      <c r="CS48" s="93"/>
      <c r="CT48" s="93"/>
      <c r="CU48" s="93"/>
      <c r="CV48" s="93"/>
      <c r="CW48" s="93">
        <f t="shared" ref="CW48:CW79" si="72">CT48-CR48</f>
        <v>0</v>
      </c>
      <c r="CX48" s="93"/>
      <c r="CY48" s="93" t="str">
        <f>TEXT(X48,"MMMM")</f>
        <v>enero</v>
      </c>
      <c r="CZ48" s="93" t="str">
        <f t="shared" ref="CZ48:CZ68" si="73">TEXT(AF48,"MMMM")</f>
        <v>abril</v>
      </c>
      <c r="DA48" s="93" t="str">
        <f t="shared" ref="DA48:DA68" si="74">TEXT(AN48,"MMMM")</f>
        <v>enero</v>
      </c>
      <c r="DB48" s="93" t="str">
        <f t="shared" ref="DB48:DB68" si="75">TEXT(AV48,"MMMM")</f>
        <v>enero</v>
      </c>
      <c r="DC48" s="93" t="str">
        <f t="shared" ref="DC48:DC79" si="76">TEXT(BD48,"MMMM")</f>
        <v>enero</v>
      </c>
      <c r="DD48" s="93" t="str">
        <f t="shared" ref="DD48:DD79" si="77">TEXT(BL48,"MMMM")</f>
        <v>enero</v>
      </c>
      <c r="DE48" s="93" t="str">
        <f t="shared" ref="DE48:DE79" si="78">TEXT(BT48,"MMMM")</f>
        <v>enero</v>
      </c>
      <c r="DF48" s="93" t="str">
        <f t="shared" ref="DF48:DF79" si="79">TEXT(BT48,"MMMM")</f>
        <v>enero</v>
      </c>
      <c r="DG48" s="93" t="str">
        <f t="shared" ref="DG48:DG79" si="80">TEXT(BV48,"MMMM")</f>
        <v>enero</v>
      </c>
      <c r="DH48" s="93" t="str">
        <f t="shared" ref="DH48:DH79" si="81">TEXT(BY48,"MMMM")</f>
        <v>enero</v>
      </c>
    </row>
    <row r="49" spans="1:112" ht="15" hidden="1" customHeight="1">
      <c r="A49" s="93">
        <v>725</v>
      </c>
      <c r="B49" s="93" t="e">
        <f>VLOOKUP($A49,  'Matriz POA 2024-TRABAJO'!$A$5:$CY$9142,29,FALSE)</f>
        <v>#N/A</v>
      </c>
      <c r="C49" s="93" t="e">
        <f>VLOOKUP($A49, 'Matriz POA 2024-TRABAJO'!$A$5:$CY$9142,11,FALSE)</f>
        <v>#N/A</v>
      </c>
      <c r="D49" s="93" t="e">
        <f>VLOOKUP($A49, 'Matriz POA 2024-TRABAJO'!$A$5:$CY$9142,14,FALSE)</f>
        <v>#N/A</v>
      </c>
      <c r="E49" s="93" t="e">
        <f>VLOOKUP($A49, 'Matriz POA 2024-TRABAJO'!$A$5:$CY$9142,15,FALSE)</f>
        <v>#N/A</v>
      </c>
      <c r="F49" s="93" t="e">
        <f>VLOOKUP($A49, 'Matriz POA 2024-TRABAJO'!$A$5:$CY$9142,18,FALSE)</f>
        <v>#N/A</v>
      </c>
      <c r="G49" s="93" t="e">
        <f>VLOOKUP($A49, 'Matriz POA 2024-TRABAJO'!$A$5:$CY$9142,23,FALSE)</f>
        <v>#N/A</v>
      </c>
      <c r="H49" s="93" t="e">
        <f>VLOOKUP($A49, 'Matriz POA 2024-TRABAJO'!$A$5:$CY$9142,24,FALSE)</f>
        <v>#N/A</v>
      </c>
      <c r="I49" s="93" t="e">
        <f>VLOOKUP($A49, 'Matriz POA 2024-TRABAJO'!$A$5:$CY$9142,20,FALSE)</f>
        <v>#N/A</v>
      </c>
      <c r="J49" s="93" t="e">
        <f>VLOOKUP($A49, 'Matriz POA 2024-TRABAJO'!$A$5:$CY$9142,26,FALSE)</f>
        <v>#N/A</v>
      </c>
      <c r="K49" s="93" t="e">
        <f>VLOOKUP($A49, 'Matriz POA 2024-TRABAJO'!$A$5:$CY$9142,27,FALSE)</f>
        <v>#N/A</v>
      </c>
      <c r="L49" s="93" t="e">
        <f>VLOOKUP($A49, 'Matriz POA 2024-TRABAJO'!$A$5:$CY$9142,28,FALSE)</f>
        <v>#N/A</v>
      </c>
      <c r="M49" s="93" t="e">
        <f>VLOOKUP($A49, 'Matriz POA 2024-TRABAJO'!$A$5:$CY$9142,30,FALSE)</f>
        <v>#N/A</v>
      </c>
      <c r="N49" s="93" t="e">
        <f>VLOOKUP($A49, 'Matriz POA 2024-TRABAJO'!$A$5:$CY$9142,31,FALSE)</f>
        <v>#N/A</v>
      </c>
      <c r="O49" s="93" t="e">
        <f>VLOOKUP($A49, 'Matriz POA 2024-TRABAJO'!$A$5:$CY$9142,45,FALSE)</f>
        <v>#N/A</v>
      </c>
      <c r="P49" s="93" t="e">
        <f>VLOOKUP($A49, 'Matriz POA 2024-TRABAJO'!$A$5:$CY$9142,46,FALSE)</f>
        <v>#N/A</v>
      </c>
      <c r="Q49" s="93" t="e">
        <f>VLOOKUP($A49, 'Matriz POA 2024-TRABAJO'!$A$5:$CY$9142,47,FALSE)</f>
        <v>#N/A</v>
      </c>
      <c r="R49" s="94" t="e">
        <f t="shared" si="20"/>
        <v>#N/A</v>
      </c>
      <c r="S49" s="95" t="e">
        <f t="shared" si="21"/>
        <v>#N/A</v>
      </c>
      <c r="T49" s="93" t="e">
        <f>VLOOKUP($A49, 'Matriz POA 2024-TRABAJO'!$A$5:$CY$9142,72,FALSE)</f>
        <v>#N/A</v>
      </c>
      <c r="U49" s="93" t="e">
        <f>VLOOKUP($A49, 'Matriz POA 2024-TRABAJO'!$A$5:$CY$9142,29,FALSE)</f>
        <v>#N/A</v>
      </c>
      <c r="V49" s="94" t="str">
        <f t="shared" si="62"/>
        <v>9ar-65ar-</v>
      </c>
      <c r="W49" s="97" t="s">
        <v>1145</v>
      </c>
      <c r="X49" s="109">
        <v>45317</v>
      </c>
      <c r="Y49" s="97" t="s">
        <v>1146</v>
      </c>
      <c r="Z49" s="109">
        <v>45317</v>
      </c>
      <c r="AA49" s="98">
        <v>1535.7100000000005</v>
      </c>
      <c r="AB49" s="98"/>
      <c r="AC49" s="99">
        <f t="shared" si="63"/>
        <v>0</v>
      </c>
      <c r="AD49" s="110" t="s">
        <v>1147</v>
      </c>
      <c r="AE49" s="97" t="s">
        <v>1772</v>
      </c>
      <c r="AF49" s="101">
        <v>45412</v>
      </c>
      <c r="AG49" s="97" t="s">
        <v>1773</v>
      </c>
      <c r="AH49" s="101">
        <v>45413</v>
      </c>
      <c r="AI49" s="98">
        <v>-1535.71</v>
      </c>
      <c r="AJ49" s="93" t="e">
        <f>VLOOKUP($A49, 'Matriz POA 2024-TRABAJO'!$A$5:$CY$9142,45,FALSE)</f>
        <v>#N/A</v>
      </c>
      <c r="AK49" s="99">
        <f t="shared" si="64"/>
        <v>1</v>
      </c>
      <c r="AL49" s="99" t="s">
        <v>1781</v>
      </c>
      <c r="AM49" s="98"/>
      <c r="AN49" s="96"/>
      <c r="AO49" s="97"/>
      <c r="AP49" s="101"/>
      <c r="AQ49" s="98"/>
      <c r="AR49" s="98"/>
      <c r="AS49" s="99">
        <f t="shared" si="65"/>
        <v>0</v>
      </c>
      <c r="AT49" s="99"/>
      <c r="AU49" s="96"/>
      <c r="AV49" s="96"/>
      <c r="AW49" s="93"/>
      <c r="AX49" s="96"/>
      <c r="AY49" s="98"/>
      <c r="AZ49" s="98"/>
      <c r="BA49" s="99">
        <f t="shared" si="66"/>
        <v>0</v>
      </c>
      <c r="BB49" s="99"/>
      <c r="BC49" s="96"/>
      <c r="BD49" s="96"/>
      <c r="BE49" s="93"/>
      <c r="BF49" s="96"/>
      <c r="BG49" s="102"/>
      <c r="BH49" s="102"/>
      <c r="BI49" s="93">
        <f t="shared" si="67"/>
        <v>0</v>
      </c>
      <c r="BJ49" s="93"/>
      <c r="BK49" s="93"/>
      <c r="BL49" s="103"/>
      <c r="BM49" s="93"/>
      <c r="BN49" s="103"/>
      <c r="BO49" s="94"/>
      <c r="BP49" s="94"/>
      <c r="BQ49" s="93">
        <f t="shared" si="68"/>
        <v>0</v>
      </c>
      <c r="BR49" s="93"/>
      <c r="BS49" s="93"/>
      <c r="BT49" s="103"/>
      <c r="BU49" s="93"/>
      <c r="BV49" s="103"/>
      <c r="BW49" s="94"/>
      <c r="BX49" s="94"/>
      <c r="BY49" s="93">
        <f t="shared" si="69"/>
        <v>0</v>
      </c>
      <c r="BZ49" s="93"/>
      <c r="CA49" s="104"/>
      <c r="CB49" s="105"/>
      <c r="CC49" s="106"/>
      <c r="CD49" s="107"/>
      <c r="CE49" s="94"/>
      <c r="CF49" s="94"/>
      <c r="CG49" s="93">
        <f t="shared" si="70"/>
        <v>0</v>
      </c>
      <c r="CH49" s="93"/>
      <c r="CI49" s="106"/>
      <c r="CJ49" s="105"/>
      <c r="CK49" s="93"/>
      <c r="CL49" s="105"/>
      <c r="CM49" s="108"/>
      <c r="CN49" s="108"/>
      <c r="CO49" s="93">
        <f t="shared" si="71"/>
        <v>0</v>
      </c>
      <c r="CP49" s="93"/>
      <c r="CQ49" s="93"/>
      <c r="CR49" s="93"/>
      <c r="CS49" s="93"/>
      <c r="CT49" s="93"/>
      <c r="CU49" s="93"/>
      <c r="CV49" s="93"/>
      <c r="CW49" s="93">
        <f t="shared" si="72"/>
        <v>0</v>
      </c>
      <c r="CX49" s="93"/>
      <c r="CY49" s="93" t="str">
        <f>TEXT(X49,"MMMM")</f>
        <v>enero</v>
      </c>
      <c r="CZ49" s="93" t="str">
        <f t="shared" si="73"/>
        <v>abril</v>
      </c>
      <c r="DA49" s="93" t="str">
        <f t="shared" si="74"/>
        <v>enero</v>
      </c>
      <c r="DB49" s="93" t="str">
        <f t="shared" si="75"/>
        <v>enero</v>
      </c>
      <c r="DC49" s="93" t="str">
        <f t="shared" si="76"/>
        <v>enero</v>
      </c>
      <c r="DD49" s="93" t="str">
        <f t="shared" si="77"/>
        <v>enero</v>
      </c>
      <c r="DE49" s="93" t="str">
        <f t="shared" si="78"/>
        <v>enero</v>
      </c>
      <c r="DF49" s="93" t="str">
        <f t="shared" si="79"/>
        <v>enero</v>
      </c>
      <c r="DG49" s="93" t="str">
        <f t="shared" si="80"/>
        <v>enero</v>
      </c>
      <c r="DH49" s="93" t="str">
        <f t="shared" si="81"/>
        <v>enero</v>
      </c>
    </row>
    <row r="50" spans="1:112" s="21" customFormat="1" ht="26.45" hidden="1" customHeight="1">
      <c r="A50" s="93">
        <v>726</v>
      </c>
      <c r="B50" s="93" t="e">
        <f>VLOOKUP($A50,  'Matriz POA 2024-TRABAJO'!$A$5:$CY$9142,29,FALSE)</f>
        <v>#N/A</v>
      </c>
      <c r="C50" s="93" t="e">
        <f>VLOOKUP($A50, 'Matriz POA 2024-TRABAJO'!$A$5:$CY$9142,11,FALSE)</f>
        <v>#N/A</v>
      </c>
      <c r="D50" s="93" t="e">
        <f>VLOOKUP($A50, 'Matriz POA 2024-TRABAJO'!$A$5:$CY$9142,14,FALSE)</f>
        <v>#N/A</v>
      </c>
      <c r="E50" s="93" t="e">
        <f>VLOOKUP($A50, 'Matriz POA 2024-TRABAJO'!$A$5:$CY$9142,15,FALSE)</f>
        <v>#N/A</v>
      </c>
      <c r="F50" s="93" t="e">
        <f>VLOOKUP($A50, 'Matriz POA 2024-TRABAJO'!$A$5:$CY$9142,18,FALSE)</f>
        <v>#N/A</v>
      </c>
      <c r="G50" s="93" t="e">
        <f>VLOOKUP($A50, 'Matriz POA 2024-TRABAJO'!$A$5:$CY$9142,23,FALSE)</f>
        <v>#N/A</v>
      </c>
      <c r="H50" s="93" t="e">
        <f>VLOOKUP($A50, 'Matriz POA 2024-TRABAJO'!$A$5:$CY$9142,24,FALSE)</f>
        <v>#N/A</v>
      </c>
      <c r="I50" s="93" t="e">
        <f>VLOOKUP($A50, 'Matriz POA 2024-TRABAJO'!$A$5:$CY$9142,20,FALSE)</f>
        <v>#N/A</v>
      </c>
      <c r="J50" s="93" t="e">
        <f>VLOOKUP($A50, 'Matriz POA 2024-TRABAJO'!$A$5:$CY$9142,26,FALSE)</f>
        <v>#N/A</v>
      </c>
      <c r="K50" s="93" t="e">
        <f>VLOOKUP($A50, 'Matriz POA 2024-TRABAJO'!$A$5:$CY$9142,27,FALSE)</f>
        <v>#N/A</v>
      </c>
      <c r="L50" s="93" t="e">
        <f>VLOOKUP($A50, 'Matriz POA 2024-TRABAJO'!$A$5:$CY$9142,28,FALSE)</f>
        <v>#N/A</v>
      </c>
      <c r="M50" s="93" t="e">
        <f>VLOOKUP($A50, 'Matriz POA 2024-TRABAJO'!$A$5:$CY$9142,30,FALSE)</f>
        <v>#N/A</v>
      </c>
      <c r="N50" s="93" t="e">
        <f>VLOOKUP($A50, 'Matriz POA 2024-TRABAJO'!$A$5:$CY$9142,31,FALSE)</f>
        <v>#N/A</v>
      </c>
      <c r="O50" s="93" t="e">
        <f>VLOOKUP($A50, 'Matriz POA 2024-TRABAJO'!$A$5:$CY$9142,45,FALSE)</f>
        <v>#N/A</v>
      </c>
      <c r="P50" s="93" t="e">
        <f>VLOOKUP($A50, 'Matriz POA 2024-TRABAJO'!$A$5:$CY$9142,46,FALSE)</f>
        <v>#N/A</v>
      </c>
      <c r="Q50" s="93" t="e">
        <f>VLOOKUP($A50, 'Matriz POA 2024-TRABAJO'!$A$5:$CY$9142,47,FALSE)</f>
        <v>#N/A</v>
      </c>
      <c r="R50" s="94">
        <f t="shared" si="20"/>
        <v>410989.53</v>
      </c>
      <c r="S50" s="95" t="e">
        <f t="shared" si="21"/>
        <v>#N/A</v>
      </c>
      <c r="T50" s="93" t="e">
        <f>VLOOKUP($A50, 'Matriz POA 2024-TRABAJO'!$A$5:$CY$9142,72,FALSE)</f>
        <v>#N/A</v>
      </c>
      <c r="U50" s="93" t="e">
        <f>VLOOKUP($A50, 'Matriz POA 2024-TRABAJO'!$A$5:$CY$9142,29,FALSE)</f>
        <v>#N/A</v>
      </c>
      <c r="V50" s="94" t="str">
        <f t="shared" si="62"/>
        <v>10ar-64ar-</v>
      </c>
      <c r="W50" s="96" t="s">
        <v>1148</v>
      </c>
      <c r="X50" s="96">
        <v>45317</v>
      </c>
      <c r="Y50" s="96" t="s">
        <v>1149</v>
      </c>
      <c r="Z50" s="96">
        <v>45317</v>
      </c>
      <c r="AA50" s="98">
        <v>280324</v>
      </c>
      <c r="AB50" s="98"/>
      <c r="AC50" s="99">
        <f t="shared" si="63"/>
        <v>0</v>
      </c>
      <c r="AD50" s="100" t="s">
        <v>1150</v>
      </c>
      <c r="AE50" s="97" t="s">
        <v>1151</v>
      </c>
      <c r="AF50" s="101">
        <v>45413</v>
      </c>
      <c r="AG50" s="92" t="s">
        <v>1771</v>
      </c>
      <c r="AH50" s="142">
        <v>45413</v>
      </c>
      <c r="AI50" s="98">
        <v>-280324</v>
      </c>
      <c r="AJ50" s="397">
        <v>410989.53</v>
      </c>
      <c r="AK50" s="99">
        <f t="shared" si="64"/>
        <v>0</v>
      </c>
      <c r="AL50" s="99" t="s">
        <v>1152</v>
      </c>
      <c r="AM50" s="98"/>
      <c r="AN50" s="96"/>
      <c r="AO50" s="97"/>
      <c r="AP50" s="101"/>
      <c r="AQ50" s="98"/>
      <c r="AR50" s="98"/>
      <c r="AS50" s="99">
        <f t="shared" si="65"/>
        <v>0</v>
      </c>
      <c r="AT50" s="99"/>
      <c r="AU50" s="96"/>
      <c r="AV50" s="96"/>
      <c r="AW50" s="93"/>
      <c r="AX50" s="96"/>
      <c r="AY50" s="98"/>
      <c r="AZ50" s="98"/>
      <c r="BA50" s="99">
        <f t="shared" si="66"/>
        <v>0</v>
      </c>
      <c r="BB50" s="99"/>
      <c r="BC50" s="96"/>
      <c r="BD50" s="96"/>
      <c r="BE50" s="93"/>
      <c r="BF50" s="96"/>
      <c r="BG50" s="102"/>
      <c r="BH50" s="102"/>
      <c r="BI50" s="93">
        <f t="shared" si="67"/>
        <v>0</v>
      </c>
      <c r="BJ50" s="93"/>
      <c r="BK50" s="93"/>
      <c r="BL50" s="103"/>
      <c r="BM50" s="93"/>
      <c r="BN50" s="103"/>
      <c r="BO50" s="94"/>
      <c r="BP50" s="94"/>
      <c r="BQ50" s="93">
        <f t="shared" si="68"/>
        <v>0</v>
      </c>
      <c r="BR50" s="93"/>
      <c r="BS50" s="93"/>
      <c r="BT50" s="103"/>
      <c r="BU50" s="93"/>
      <c r="BV50" s="103"/>
      <c r="BW50" s="94"/>
      <c r="BX50" s="94"/>
      <c r="BY50" s="93">
        <f t="shared" si="69"/>
        <v>0</v>
      </c>
      <c r="BZ50" s="93"/>
      <c r="CA50" s="104"/>
      <c r="CB50" s="105"/>
      <c r="CC50" s="106"/>
      <c r="CD50" s="107"/>
      <c r="CE50" s="94"/>
      <c r="CF50" s="94"/>
      <c r="CG50" s="93">
        <f t="shared" si="70"/>
        <v>0</v>
      </c>
      <c r="CH50" s="93"/>
      <c r="CI50" s="106"/>
      <c r="CJ50" s="105"/>
      <c r="CK50" s="93"/>
      <c r="CL50" s="105"/>
      <c r="CM50" s="108"/>
      <c r="CN50" s="108"/>
      <c r="CO50" s="93">
        <f t="shared" si="71"/>
        <v>0</v>
      </c>
      <c r="CP50" s="93"/>
      <c r="CQ50" s="93"/>
      <c r="CR50" s="93"/>
      <c r="CS50" s="93"/>
      <c r="CT50" s="93"/>
      <c r="CU50" s="93"/>
      <c r="CV50" s="93"/>
      <c r="CW50" s="93">
        <f t="shared" si="72"/>
        <v>0</v>
      </c>
      <c r="CX50" s="93"/>
      <c r="CY50" s="93" t="str">
        <f>TEXT(Z50,"MMMM")</f>
        <v>enero</v>
      </c>
      <c r="CZ50" s="93" t="str">
        <f t="shared" si="73"/>
        <v>mayo</v>
      </c>
      <c r="DA50" s="93" t="str">
        <f t="shared" si="74"/>
        <v>enero</v>
      </c>
      <c r="DB50" s="93" t="str">
        <f t="shared" si="75"/>
        <v>enero</v>
      </c>
      <c r="DC50" s="93" t="str">
        <f t="shared" si="76"/>
        <v>enero</v>
      </c>
      <c r="DD50" s="93" t="str">
        <f t="shared" si="77"/>
        <v>enero</v>
      </c>
      <c r="DE50" s="93" t="str">
        <f t="shared" si="78"/>
        <v>enero</v>
      </c>
      <c r="DF50" s="93" t="str">
        <f t="shared" si="79"/>
        <v>enero</v>
      </c>
      <c r="DG50" s="93" t="str">
        <f t="shared" si="80"/>
        <v>enero</v>
      </c>
      <c r="DH50" s="93" t="str">
        <f t="shared" si="81"/>
        <v>enero</v>
      </c>
    </row>
    <row r="51" spans="1:112" s="21" customFormat="1" ht="18.75" hidden="1" customHeight="1">
      <c r="A51" s="93">
        <v>727</v>
      </c>
      <c r="B51" s="93" t="e">
        <f>VLOOKUP($A51,  'Matriz POA 2024-TRABAJO'!$A$5:$CY$9142,29,FALSE)</f>
        <v>#N/A</v>
      </c>
      <c r="C51" s="93" t="e">
        <f>VLOOKUP($A51, 'Matriz POA 2024-TRABAJO'!$A$5:$CY$9142,11,FALSE)</f>
        <v>#N/A</v>
      </c>
      <c r="D51" s="93" t="e">
        <f>VLOOKUP($A51, 'Matriz POA 2024-TRABAJO'!$A$5:$CY$9142,14,FALSE)</f>
        <v>#N/A</v>
      </c>
      <c r="E51" s="93" t="e">
        <f>VLOOKUP($A51, 'Matriz POA 2024-TRABAJO'!$A$5:$CY$9142,15,FALSE)</f>
        <v>#N/A</v>
      </c>
      <c r="F51" s="93" t="e">
        <f>VLOOKUP($A51, 'Matriz POA 2024-TRABAJO'!$A$5:$CY$9142,18,FALSE)</f>
        <v>#N/A</v>
      </c>
      <c r="G51" s="93" t="e">
        <f>VLOOKUP($A51, 'Matriz POA 2024-TRABAJO'!$A$5:$CY$9142,23,FALSE)</f>
        <v>#N/A</v>
      </c>
      <c r="H51" s="93" t="e">
        <f>VLOOKUP($A51, 'Matriz POA 2024-TRABAJO'!$A$5:$CY$9142,24,FALSE)</f>
        <v>#N/A</v>
      </c>
      <c r="I51" s="93" t="e">
        <f>VLOOKUP($A51, 'Matriz POA 2024-TRABAJO'!$A$5:$CY$9142,20,FALSE)</f>
        <v>#N/A</v>
      </c>
      <c r="J51" s="93" t="e">
        <f>VLOOKUP($A51, 'Matriz POA 2024-TRABAJO'!$A$5:$CY$9142,26,FALSE)</f>
        <v>#N/A</v>
      </c>
      <c r="K51" s="93" t="e">
        <f>VLOOKUP($A51, 'Matriz POA 2024-TRABAJO'!$A$5:$CY$9142,27,FALSE)</f>
        <v>#N/A</v>
      </c>
      <c r="L51" s="93" t="e">
        <f>VLOOKUP($A51, 'Matriz POA 2024-TRABAJO'!$A$5:$CY$9142,28,FALSE)</f>
        <v>#N/A</v>
      </c>
      <c r="M51" s="93" t="e">
        <f>VLOOKUP($A51, 'Matriz POA 2024-TRABAJO'!$A$5:$CY$9142,30,FALSE)</f>
        <v>#N/A</v>
      </c>
      <c r="N51" s="93" t="e">
        <f>VLOOKUP($A51, 'Matriz POA 2024-TRABAJO'!$A$5:$CY$9142,31,FALSE)</f>
        <v>#N/A</v>
      </c>
      <c r="O51" s="93" t="e">
        <f>VLOOKUP($A51, 'Matriz POA 2024-TRABAJO'!$A$5:$CY$9142,45,FALSE)</f>
        <v>#N/A</v>
      </c>
      <c r="P51" s="93" t="e">
        <f>VLOOKUP($A51, 'Matriz POA 2024-TRABAJO'!$A$5:$CY$9142,46,FALSE)</f>
        <v>#N/A</v>
      </c>
      <c r="Q51" s="93" t="e">
        <f>VLOOKUP($A51, 'Matriz POA 2024-TRABAJO'!$A$5:$CY$9142,47,FALSE)</f>
        <v>#N/A</v>
      </c>
      <c r="R51" s="94">
        <f t="shared" si="20"/>
        <v>39660.47</v>
      </c>
      <c r="S51" s="95" t="e">
        <f t="shared" si="21"/>
        <v>#N/A</v>
      </c>
      <c r="T51" s="93" t="e">
        <f>VLOOKUP($A51, 'Matriz POA 2024-TRABAJO'!$A$5:$CY$9142,72,FALSE)</f>
        <v>#N/A</v>
      </c>
      <c r="U51" s="93" t="e">
        <f>VLOOKUP($A51, 'Matriz POA 2024-TRABAJO'!$A$5:$CY$9142,29,FALSE)</f>
        <v>#N/A</v>
      </c>
      <c r="V51" s="94" t="str">
        <f t="shared" si="62"/>
        <v>10ar-64ar-</v>
      </c>
      <c r="W51" s="96" t="s">
        <v>1148</v>
      </c>
      <c r="X51" s="96">
        <v>45317</v>
      </c>
      <c r="Y51" s="96" t="s">
        <v>1149</v>
      </c>
      <c r="Z51" s="96">
        <v>45317</v>
      </c>
      <c r="AA51" s="98">
        <v>27051.270000000004</v>
      </c>
      <c r="AB51" s="98"/>
      <c r="AC51" s="99">
        <f t="shared" si="63"/>
        <v>0</v>
      </c>
      <c r="AD51" s="100" t="s">
        <v>1150</v>
      </c>
      <c r="AE51" s="97" t="s">
        <v>1151</v>
      </c>
      <c r="AF51" s="101">
        <v>45413</v>
      </c>
      <c r="AG51" s="92" t="s">
        <v>1771</v>
      </c>
      <c r="AH51" s="142">
        <v>45413</v>
      </c>
      <c r="AI51" s="98">
        <v>-27051.27</v>
      </c>
      <c r="AJ51" s="98">
        <v>39660.47</v>
      </c>
      <c r="AK51" s="99">
        <f t="shared" si="64"/>
        <v>0</v>
      </c>
      <c r="AL51" s="99" t="s">
        <v>1152</v>
      </c>
      <c r="AM51" s="98"/>
      <c r="AN51" s="96"/>
      <c r="AO51" s="97"/>
      <c r="AP51" s="101"/>
      <c r="AQ51" s="98"/>
      <c r="AR51" s="98"/>
      <c r="AS51" s="99">
        <f t="shared" si="65"/>
        <v>0</v>
      </c>
      <c r="AT51" s="99"/>
      <c r="AU51" s="96"/>
      <c r="AV51" s="96"/>
      <c r="AW51" s="93"/>
      <c r="AX51" s="96"/>
      <c r="AY51" s="98"/>
      <c r="AZ51" s="98"/>
      <c r="BA51" s="99">
        <f t="shared" si="66"/>
        <v>0</v>
      </c>
      <c r="BB51" s="99"/>
      <c r="BC51" s="96"/>
      <c r="BD51" s="96"/>
      <c r="BE51" s="93"/>
      <c r="BF51" s="96"/>
      <c r="BG51" s="102"/>
      <c r="BH51" s="102"/>
      <c r="BI51" s="93">
        <f t="shared" si="67"/>
        <v>0</v>
      </c>
      <c r="BJ51" s="93"/>
      <c r="BK51" s="93"/>
      <c r="BL51" s="103"/>
      <c r="BM51" s="93"/>
      <c r="BN51" s="103"/>
      <c r="BO51" s="94"/>
      <c r="BP51" s="94"/>
      <c r="BQ51" s="93">
        <f t="shared" si="68"/>
        <v>0</v>
      </c>
      <c r="BR51" s="93"/>
      <c r="BS51" s="93"/>
      <c r="BT51" s="103"/>
      <c r="BU51" s="93"/>
      <c r="BV51" s="103"/>
      <c r="BW51" s="94"/>
      <c r="BX51" s="94"/>
      <c r="BY51" s="93">
        <f t="shared" si="69"/>
        <v>0</v>
      </c>
      <c r="BZ51" s="93"/>
      <c r="CA51" s="104"/>
      <c r="CB51" s="105"/>
      <c r="CC51" s="106"/>
      <c r="CD51" s="107"/>
      <c r="CE51" s="94"/>
      <c r="CF51" s="94"/>
      <c r="CG51" s="93">
        <f t="shared" si="70"/>
        <v>0</v>
      </c>
      <c r="CH51" s="93"/>
      <c r="CI51" s="106"/>
      <c r="CJ51" s="105"/>
      <c r="CK51" s="93"/>
      <c r="CL51" s="105"/>
      <c r="CM51" s="108"/>
      <c r="CN51" s="108"/>
      <c r="CO51" s="93">
        <f t="shared" si="71"/>
        <v>0</v>
      </c>
      <c r="CP51" s="93"/>
      <c r="CQ51" s="93"/>
      <c r="CR51" s="93"/>
      <c r="CS51" s="93"/>
      <c r="CT51" s="93"/>
      <c r="CU51" s="93"/>
      <c r="CV51" s="93"/>
      <c r="CW51" s="93">
        <f t="shared" si="72"/>
        <v>0</v>
      </c>
      <c r="CX51" s="93"/>
      <c r="CY51" s="93" t="str">
        <f>TEXT(X51,"MMMM")</f>
        <v>enero</v>
      </c>
      <c r="CZ51" s="93" t="str">
        <f t="shared" si="73"/>
        <v>mayo</v>
      </c>
      <c r="DA51" s="93" t="str">
        <f t="shared" si="74"/>
        <v>enero</v>
      </c>
      <c r="DB51" s="93" t="str">
        <f t="shared" si="75"/>
        <v>enero</v>
      </c>
      <c r="DC51" s="93" t="str">
        <f t="shared" si="76"/>
        <v>enero</v>
      </c>
      <c r="DD51" s="93" t="str">
        <f t="shared" si="77"/>
        <v>enero</v>
      </c>
      <c r="DE51" s="93" t="str">
        <f t="shared" si="78"/>
        <v>enero</v>
      </c>
      <c r="DF51" s="93" t="str">
        <f t="shared" si="79"/>
        <v>enero</v>
      </c>
      <c r="DG51" s="93" t="str">
        <f t="shared" si="80"/>
        <v>enero</v>
      </c>
      <c r="DH51" s="93" t="str">
        <f t="shared" si="81"/>
        <v>enero</v>
      </c>
    </row>
    <row r="52" spans="1:112" s="21" customFormat="1" ht="18.75" hidden="1" customHeight="1">
      <c r="A52" s="93">
        <v>728</v>
      </c>
      <c r="B52" s="93" t="e">
        <f>VLOOKUP($A52,  'Matriz POA 2024-TRABAJO'!$A$5:$CY$9142,29,FALSE)</f>
        <v>#N/A</v>
      </c>
      <c r="C52" s="93" t="e">
        <f>VLOOKUP($A52, 'Matriz POA 2024-TRABAJO'!$A$5:$CY$9142,11,FALSE)</f>
        <v>#N/A</v>
      </c>
      <c r="D52" s="93" t="e">
        <f>VLOOKUP($A52, 'Matriz POA 2024-TRABAJO'!$A$5:$CY$9142,14,FALSE)</f>
        <v>#N/A</v>
      </c>
      <c r="E52" s="93" t="e">
        <f>VLOOKUP($A52, 'Matriz POA 2024-TRABAJO'!$A$5:$CY$9142,15,FALSE)</f>
        <v>#N/A</v>
      </c>
      <c r="F52" s="93" t="e">
        <f>VLOOKUP($A52, 'Matriz POA 2024-TRABAJO'!$A$5:$CY$9142,18,FALSE)</f>
        <v>#N/A</v>
      </c>
      <c r="G52" s="93" t="e">
        <f>VLOOKUP($A52, 'Matriz POA 2024-TRABAJO'!$A$5:$CY$9142,23,FALSE)</f>
        <v>#N/A</v>
      </c>
      <c r="H52" s="93" t="e">
        <f>VLOOKUP($A52, 'Matriz POA 2024-TRABAJO'!$A$5:$CY$9142,24,FALSE)</f>
        <v>#N/A</v>
      </c>
      <c r="I52" s="93" t="e">
        <f>VLOOKUP($A52, 'Matriz POA 2024-TRABAJO'!$A$5:$CY$9142,20,FALSE)</f>
        <v>#N/A</v>
      </c>
      <c r="J52" s="93" t="e">
        <f>VLOOKUP($A52, 'Matriz POA 2024-TRABAJO'!$A$5:$CY$9142,26,FALSE)</f>
        <v>#N/A</v>
      </c>
      <c r="K52" s="93" t="e">
        <f>VLOOKUP($A52, 'Matriz POA 2024-TRABAJO'!$A$5:$CY$9142,27,FALSE)</f>
        <v>#N/A</v>
      </c>
      <c r="L52" s="93" t="e">
        <f>VLOOKUP($A52, 'Matriz POA 2024-TRABAJO'!$A$5:$CY$9142,28,FALSE)</f>
        <v>#N/A</v>
      </c>
      <c r="M52" s="93" t="e">
        <f>VLOOKUP($A52, 'Matriz POA 2024-TRABAJO'!$A$5:$CY$9142,30,FALSE)</f>
        <v>#N/A</v>
      </c>
      <c r="N52" s="93" t="e">
        <f>VLOOKUP($A52, 'Matriz POA 2024-TRABAJO'!$A$5:$CY$9142,31,FALSE)</f>
        <v>#N/A</v>
      </c>
      <c r="O52" s="93" t="e">
        <f>VLOOKUP($A52, 'Matriz POA 2024-TRABAJO'!$A$5:$CY$9142,45,FALSE)</f>
        <v>#N/A</v>
      </c>
      <c r="P52" s="93" t="e">
        <f>VLOOKUP($A52, 'Matriz POA 2024-TRABAJO'!$A$5:$CY$9142,46,FALSE)</f>
        <v>#N/A</v>
      </c>
      <c r="Q52" s="93" t="e">
        <f>VLOOKUP($A52, 'Matriz POA 2024-TRABAJO'!$A$5:$CY$9142,47,FALSE)</f>
        <v>#N/A</v>
      </c>
      <c r="R52" s="94">
        <f t="shared" si="20"/>
        <v>30542.620000000003</v>
      </c>
      <c r="S52" s="95" t="e">
        <f t="shared" si="21"/>
        <v>#N/A</v>
      </c>
      <c r="T52" s="93" t="e">
        <f>VLOOKUP($A52, 'Matriz POA 2024-TRABAJO'!$A$5:$CY$9142,72,FALSE)</f>
        <v>#N/A</v>
      </c>
      <c r="U52" s="93" t="e">
        <f>VLOOKUP($A52, 'Matriz POA 2024-TRABAJO'!$A$5:$CY$9142,29,FALSE)</f>
        <v>#N/A</v>
      </c>
      <c r="V52" s="94" t="str">
        <f t="shared" si="62"/>
        <v>10ar-64ar-</v>
      </c>
      <c r="W52" s="96" t="s">
        <v>1148</v>
      </c>
      <c r="X52" s="96">
        <v>45317</v>
      </c>
      <c r="Y52" s="96" t="s">
        <v>1149</v>
      </c>
      <c r="Z52" s="96">
        <v>45317</v>
      </c>
      <c r="AA52" s="98">
        <v>23360.33</v>
      </c>
      <c r="AB52" s="98"/>
      <c r="AC52" s="99">
        <f t="shared" si="63"/>
        <v>0</v>
      </c>
      <c r="AD52" s="100" t="s">
        <v>1150</v>
      </c>
      <c r="AE52" s="97" t="s">
        <v>1151</v>
      </c>
      <c r="AF52" s="101">
        <v>45413</v>
      </c>
      <c r="AG52" s="92" t="s">
        <v>1771</v>
      </c>
      <c r="AH52" s="142">
        <v>45413</v>
      </c>
      <c r="AI52" s="98">
        <v>-23360.33</v>
      </c>
      <c r="AJ52" s="98">
        <v>30542.620000000003</v>
      </c>
      <c r="AK52" s="99">
        <f t="shared" si="64"/>
        <v>0</v>
      </c>
      <c r="AL52" s="99" t="s">
        <v>1152</v>
      </c>
      <c r="AM52" s="98"/>
      <c r="AN52" s="96"/>
      <c r="AO52" s="97"/>
      <c r="AP52" s="101"/>
      <c r="AQ52" s="98"/>
      <c r="AR52" s="98"/>
      <c r="AS52" s="99">
        <f t="shared" si="65"/>
        <v>0</v>
      </c>
      <c r="AT52" s="99"/>
      <c r="AU52" s="96"/>
      <c r="AV52" s="96"/>
      <c r="AW52" s="93"/>
      <c r="AX52" s="96"/>
      <c r="AY52" s="98"/>
      <c r="AZ52" s="98"/>
      <c r="BA52" s="99">
        <f t="shared" si="66"/>
        <v>0</v>
      </c>
      <c r="BB52" s="99"/>
      <c r="BC52" s="96"/>
      <c r="BD52" s="96"/>
      <c r="BE52" s="93"/>
      <c r="BF52" s="96"/>
      <c r="BG52" s="102"/>
      <c r="BH52" s="102"/>
      <c r="BI52" s="93">
        <f t="shared" si="67"/>
        <v>0</v>
      </c>
      <c r="BJ52" s="93"/>
      <c r="BK52" s="93"/>
      <c r="BL52" s="103"/>
      <c r="BM52" s="93"/>
      <c r="BN52" s="103"/>
      <c r="BO52" s="94"/>
      <c r="BP52" s="94"/>
      <c r="BQ52" s="93">
        <f t="shared" si="68"/>
        <v>0</v>
      </c>
      <c r="BR52" s="93"/>
      <c r="BS52" s="93"/>
      <c r="BT52" s="103"/>
      <c r="BU52" s="93"/>
      <c r="BV52" s="103"/>
      <c r="BW52" s="94"/>
      <c r="BX52" s="94"/>
      <c r="BY52" s="93">
        <f t="shared" si="69"/>
        <v>0</v>
      </c>
      <c r="BZ52" s="93"/>
      <c r="CA52" s="104"/>
      <c r="CB52" s="105"/>
      <c r="CC52" s="106"/>
      <c r="CD52" s="107"/>
      <c r="CE52" s="94"/>
      <c r="CF52" s="94"/>
      <c r="CG52" s="93">
        <f t="shared" si="70"/>
        <v>0</v>
      </c>
      <c r="CH52" s="93"/>
      <c r="CI52" s="106"/>
      <c r="CJ52" s="105"/>
      <c r="CK52" s="93"/>
      <c r="CL52" s="105"/>
      <c r="CM52" s="108"/>
      <c r="CN52" s="108"/>
      <c r="CO52" s="93">
        <f t="shared" si="71"/>
        <v>0</v>
      </c>
      <c r="CP52" s="93"/>
      <c r="CQ52" s="93"/>
      <c r="CR52" s="93"/>
      <c r="CS52" s="93"/>
      <c r="CT52" s="93"/>
      <c r="CU52" s="93"/>
      <c r="CV52" s="93"/>
      <c r="CW52" s="93">
        <f t="shared" si="72"/>
        <v>0</v>
      </c>
      <c r="CX52" s="93"/>
      <c r="CY52" s="93" t="str">
        <f>TEXT(X52,"MMMM")</f>
        <v>enero</v>
      </c>
      <c r="CZ52" s="93" t="str">
        <f t="shared" si="73"/>
        <v>mayo</v>
      </c>
      <c r="DA52" s="93" t="str">
        <f t="shared" si="74"/>
        <v>enero</v>
      </c>
      <c r="DB52" s="93" t="str">
        <f t="shared" si="75"/>
        <v>enero</v>
      </c>
      <c r="DC52" s="93" t="str">
        <f t="shared" si="76"/>
        <v>enero</v>
      </c>
      <c r="DD52" s="93" t="str">
        <f t="shared" si="77"/>
        <v>enero</v>
      </c>
      <c r="DE52" s="93" t="str">
        <f t="shared" si="78"/>
        <v>enero</v>
      </c>
      <c r="DF52" s="93" t="str">
        <f t="shared" si="79"/>
        <v>enero</v>
      </c>
      <c r="DG52" s="93" t="str">
        <f t="shared" si="80"/>
        <v>enero</v>
      </c>
      <c r="DH52" s="93" t="str">
        <f t="shared" si="81"/>
        <v>enero</v>
      </c>
    </row>
    <row r="53" spans="1:112" ht="15" hidden="1" customHeight="1">
      <c r="A53" s="93">
        <v>729</v>
      </c>
      <c r="B53" s="93" t="e">
        <f>VLOOKUP($A53,  'Matriz POA 2024-TRABAJO'!$A$5:$CY$9142,29,FALSE)</f>
        <v>#N/A</v>
      </c>
      <c r="C53" s="93" t="e">
        <f>VLOOKUP($A53, 'Matriz POA 2024-TRABAJO'!$A$5:$CY$9142,11,FALSE)</f>
        <v>#N/A</v>
      </c>
      <c r="D53" s="93" t="e">
        <f>VLOOKUP($A53, 'Matriz POA 2024-TRABAJO'!$A$5:$CY$9142,14,FALSE)</f>
        <v>#N/A</v>
      </c>
      <c r="E53" s="93" t="e">
        <f>VLOOKUP($A53, 'Matriz POA 2024-TRABAJO'!$A$5:$CY$9142,15,FALSE)</f>
        <v>#N/A</v>
      </c>
      <c r="F53" s="93" t="e">
        <f>VLOOKUP($A53, 'Matriz POA 2024-TRABAJO'!$A$5:$CY$9142,18,FALSE)</f>
        <v>#N/A</v>
      </c>
      <c r="G53" s="93" t="e">
        <f>VLOOKUP($A53, 'Matriz POA 2024-TRABAJO'!$A$5:$CY$9142,23,FALSE)</f>
        <v>#N/A</v>
      </c>
      <c r="H53" s="93" t="e">
        <f>VLOOKUP($A53, 'Matriz POA 2024-TRABAJO'!$A$5:$CY$9142,24,FALSE)</f>
        <v>#N/A</v>
      </c>
      <c r="I53" s="93" t="e">
        <f>VLOOKUP($A53, 'Matriz POA 2024-TRABAJO'!$A$5:$CY$9142,20,FALSE)</f>
        <v>#N/A</v>
      </c>
      <c r="J53" s="93" t="e">
        <f>VLOOKUP($A53, 'Matriz POA 2024-TRABAJO'!$A$5:$CY$9142,26,FALSE)</f>
        <v>#N/A</v>
      </c>
      <c r="K53" s="93" t="e">
        <f>VLOOKUP($A53, 'Matriz POA 2024-TRABAJO'!$A$5:$CY$9142,27,FALSE)</f>
        <v>#N/A</v>
      </c>
      <c r="L53" s="93" t="e">
        <f>VLOOKUP($A53, 'Matriz POA 2024-TRABAJO'!$A$5:$CY$9142,28,FALSE)</f>
        <v>#N/A</v>
      </c>
      <c r="M53" s="93" t="e">
        <f>VLOOKUP($A53, 'Matriz POA 2024-TRABAJO'!$A$5:$CY$9142,30,FALSE)</f>
        <v>#N/A</v>
      </c>
      <c r="N53" s="93" t="e">
        <f>VLOOKUP($A53, 'Matriz POA 2024-TRABAJO'!$A$5:$CY$9142,31,FALSE)</f>
        <v>#N/A</v>
      </c>
      <c r="O53" s="93" t="e">
        <f>VLOOKUP($A53, 'Matriz POA 2024-TRABAJO'!$A$5:$CY$9142,45,FALSE)</f>
        <v>#N/A</v>
      </c>
      <c r="P53" s="93" t="e">
        <f>VLOOKUP($A53, 'Matriz POA 2024-TRABAJO'!$A$5:$CY$9142,46,FALSE)</f>
        <v>#N/A</v>
      </c>
      <c r="Q53" s="93" t="e">
        <f>VLOOKUP($A53, 'Matriz POA 2024-TRABAJO'!$A$5:$CY$9142,47,FALSE)</f>
        <v>#N/A</v>
      </c>
      <c r="R53" s="94">
        <f t="shared" si="20"/>
        <v>9858.01</v>
      </c>
      <c r="S53" s="95" t="e">
        <f t="shared" si="21"/>
        <v>#N/A</v>
      </c>
      <c r="T53" s="93" t="e">
        <f>VLOOKUP($A53, 'Matriz POA 2024-TRABAJO'!$A$5:$CY$9142,72,FALSE)</f>
        <v>#N/A</v>
      </c>
      <c r="U53" s="93" t="e">
        <f>VLOOKUP($A53, 'Matriz POA 2024-TRABAJO'!$A$5:$CY$9142,29,FALSE)</f>
        <v>#N/A</v>
      </c>
      <c r="V53" s="94" t="str">
        <f t="shared" si="62"/>
        <v>10ar-64ar-</v>
      </c>
      <c r="W53" s="96" t="s">
        <v>1148</v>
      </c>
      <c r="X53" s="96">
        <v>45317</v>
      </c>
      <c r="Y53" s="96" t="s">
        <v>1149</v>
      </c>
      <c r="Z53" s="96">
        <v>45317</v>
      </c>
      <c r="AA53" s="98">
        <v>7475</v>
      </c>
      <c r="AB53" s="98"/>
      <c r="AC53" s="99">
        <f t="shared" si="63"/>
        <v>0</v>
      </c>
      <c r="AD53" s="100" t="s">
        <v>1150</v>
      </c>
      <c r="AE53" s="97" t="s">
        <v>1151</v>
      </c>
      <c r="AF53" s="101">
        <v>45413</v>
      </c>
      <c r="AG53" s="92" t="s">
        <v>1771</v>
      </c>
      <c r="AH53" s="142">
        <v>45413</v>
      </c>
      <c r="AI53" s="98">
        <v>-7475</v>
      </c>
      <c r="AJ53" s="98">
        <v>9858.01</v>
      </c>
      <c r="AK53" s="99">
        <f t="shared" si="64"/>
        <v>0</v>
      </c>
      <c r="AL53" s="99" t="s">
        <v>1152</v>
      </c>
      <c r="AM53" s="98"/>
      <c r="AN53" s="96"/>
      <c r="AO53" s="97"/>
      <c r="AP53" s="101"/>
      <c r="AQ53" s="98"/>
      <c r="AR53" s="98"/>
      <c r="AS53" s="99">
        <f t="shared" si="65"/>
        <v>0</v>
      </c>
      <c r="AT53" s="99"/>
      <c r="AU53" s="96"/>
      <c r="AV53" s="96"/>
      <c r="AW53" s="93"/>
      <c r="AX53" s="96"/>
      <c r="AY53" s="98"/>
      <c r="AZ53" s="98"/>
      <c r="BA53" s="99">
        <f t="shared" si="66"/>
        <v>0</v>
      </c>
      <c r="BB53" s="99"/>
      <c r="BC53" s="96"/>
      <c r="BD53" s="96"/>
      <c r="BE53" s="93"/>
      <c r="BF53" s="96"/>
      <c r="BG53" s="102"/>
      <c r="BH53" s="102"/>
      <c r="BI53" s="93">
        <f t="shared" si="67"/>
        <v>0</v>
      </c>
      <c r="BJ53" s="93"/>
      <c r="BK53" s="93"/>
      <c r="BL53" s="103"/>
      <c r="BM53" s="93"/>
      <c r="BN53" s="103"/>
      <c r="BO53" s="94"/>
      <c r="BP53" s="94"/>
      <c r="BQ53" s="93">
        <f t="shared" si="68"/>
        <v>0</v>
      </c>
      <c r="BR53" s="93"/>
      <c r="BS53" s="93"/>
      <c r="BT53" s="103"/>
      <c r="BU53" s="93"/>
      <c r="BV53" s="103"/>
      <c r="BW53" s="94"/>
      <c r="BX53" s="94"/>
      <c r="BY53" s="93">
        <f t="shared" si="69"/>
        <v>0</v>
      </c>
      <c r="BZ53" s="93"/>
      <c r="CA53" s="104"/>
      <c r="CB53" s="105"/>
      <c r="CC53" s="106"/>
      <c r="CD53" s="107"/>
      <c r="CE53" s="94"/>
      <c r="CF53" s="94"/>
      <c r="CG53" s="93">
        <f t="shared" si="70"/>
        <v>0</v>
      </c>
      <c r="CH53" s="93"/>
      <c r="CI53" s="106"/>
      <c r="CJ53" s="105"/>
      <c r="CK53" s="93"/>
      <c r="CL53" s="105"/>
      <c r="CM53" s="108"/>
      <c r="CN53" s="108"/>
      <c r="CO53" s="93">
        <f t="shared" si="71"/>
        <v>0</v>
      </c>
      <c r="CP53" s="93"/>
      <c r="CQ53" s="93"/>
      <c r="CR53" s="93"/>
      <c r="CS53" s="93"/>
      <c r="CT53" s="93"/>
      <c r="CU53" s="93"/>
      <c r="CV53" s="93"/>
      <c r="CW53" s="93">
        <f t="shared" si="72"/>
        <v>0</v>
      </c>
      <c r="CX53" s="93"/>
      <c r="CY53" s="93" t="str">
        <f>TEXT(X53,"MMMM")</f>
        <v>enero</v>
      </c>
      <c r="CZ53" s="93" t="str">
        <f t="shared" si="73"/>
        <v>mayo</v>
      </c>
      <c r="DA53" s="93" t="str">
        <f t="shared" si="74"/>
        <v>enero</v>
      </c>
      <c r="DB53" s="93" t="str">
        <f t="shared" si="75"/>
        <v>enero</v>
      </c>
      <c r="DC53" s="93" t="str">
        <f t="shared" si="76"/>
        <v>enero</v>
      </c>
      <c r="DD53" s="93" t="str">
        <f t="shared" si="77"/>
        <v>enero</v>
      </c>
      <c r="DE53" s="93" t="str">
        <f t="shared" si="78"/>
        <v>enero</v>
      </c>
      <c r="DF53" s="93" t="str">
        <f t="shared" si="79"/>
        <v>enero</v>
      </c>
      <c r="DG53" s="93" t="str">
        <f t="shared" si="80"/>
        <v>enero</v>
      </c>
      <c r="DH53" s="93" t="str">
        <f t="shared" si="81"/>
        <v>enero</v>
      </c>
    </row>
    <row r="54" spans="1:112" s="21" customFormat="1" ht="26.45" hidden="1" customHeight="1">
      <c r="A54" s="93">
        <v>730</v>
      </c>
      <c r="B54" s="93" t="e">
        <f>VLOOKUP($A54,  'Matriz POA 2024-TRABAJO'!$A$5:$CY$9142,29,FALSE)</f>
        <v>#N/A</v>
      </c>
      <c r="C54" s="93" t="e">
        <f>VLOOKUP($A54, 'Matriz POA 2024-TRABAJO'!$A$5:$CY$9142,11,FALSE)</f>
        <v>#N/A</v>
      </c>
      <c r="D54" s="93" t="e">
        <f>VLOOKUP($A54, 'Matriz POA 2024-TRABAJO'!$A$5:$CY$9142,14,FALSE)</f>
        <v>#N/A</v>
      </c>
      <c r="E54" s="93" t="e">
        <f>VLOOKUP($A54, 'Matriz POA 2024-TRABAJO'!$A$5:$CY$9142,15,FALSE)</f>
        <v>#N/A</v>
      </c>
      <c r="F54" s="93" t="e">
        <f>VLOOKUP($A54, 'Matriz POA 2024-TRABAJO'!$A$5:$CY$9142,18,FALSE)</f>
        <v>#N/A</v>
      </c>
      <c r="G54" s="93" t="e">
        <f>VLOOKUP($A54, 'Matriz POA 2024-TRABAJO'!$A$5:$CY$9142,23,FALSE)</f>
        <v>#N/A</v>
      </c>
      <c r="H54" s="93" t="e">
        <f>VLOOKUP($A54, 'Matriz POA 2024-TRABAJO'!$A$5:$CY$9142,24,FALSE)</f>
        <v>#N/A</v>
      </c>
      <c r="I54" s="93" t="e">
        <f>VLOOKUP($A54, 'Matriz POA 2024-TRABAJO'!$A$5:$CY$9142,20,FALSE)</f>
        <v>#N/A</v>
      </c>
      <c r="J54" s="93" t="e">
        <f>VLOOKUP($A54, 'Matriz POA 2024-TRABAJO'!$A$5:$CY$9142,26,FALSE)</f>
        <v>#N/A</v>
      </c>
      <c r="K54" s="93" t="e">
        <f>VLOOKUP($A54, 'Matriz POA 2024-TRABAJO'!$A$5:$CY$9142,27,FALSE)</f>
        <v>#N/A</v>
      </c>
      <c r="L54" s="93" t="e">
        <f>VLOOKUP($A54, 'Matriz POA 2024-TRABAJO'!$A$5:$CY$9142,28,FALSE)</f>
        <v>#N/A</v>
      </c>
      <c r="M54" s="93" t="e">
        <f>VLOOKUP($A54, 'Matriz POA 2024-TRABAJO'!$A$5:$CY$9142,30,FALSE)</f>
        <v>#N/A</v>
      </c>
      <c r="N54" s="93" t="e">
        <f>VLOOKUP($A54, 'Matriz POA 2024-TRABAJO'!$A$5:$CY$9142,31,FALSE)</f>
        <v>#N/A</v>
      </c>
      <c r="O54" s="93" t="e">
        <f>VLOOKUP($A54, 'Matriz POA 2024-TRABAJO'!$A$5:$CY$9142,45,FALSE)</f>
        <v>#N/A</v>
      </c>
      <c r="P54" s="93" t="e">
        <f>VLOOKUP($A54, 'Matriz POA 2024-TRABAJO'!$A$5:$CY$9142,46,FALSE)</f>
        <v>#N/A</v>
      </c>
      <c r="Q54" s="93" t="e">
        <f>VLOOKUP($A54, 'Matriz POA 2024-TRABAJO'!$A$5:$CY$9142,47,FALSE)</f>
        <v>#N/A</v>
      </c>
      <c r="R54" s="94">
        <f t="shared" si="20"/>
        <v>29551.67</v>
      </c>
      <c r="S54" s="95" t="e">
        <f t="shared" si="21"/>
        <v>#N/A</v>
      </c>
      <c r="T54" s="93" t="e">
        <f>VLOOKUP($A54, 'Matriz POA 2024-TRABAJO'!$A$5:$CY$9142,72,FALSE)</f>
        <v>#N/A</v>
      </c>
      <c r="U54" s="93" t="e">
        <f>VLOOKUP($A54, 'Matriz POA 2024-TRABAJO'!$A$5:$CY$9142,29,FALSE)</f>
        <v>#N/A</v>
      </c>
      <c r="V54" s="94" t="str">
        <f t="shared" si="62"/>
        <v>10ar-64ar-</v>
      </c>
      <c r="W54" s="96" t="s">
        <v>1148</v>
      </c>
      <c r="X54" s="96">
        <v>45317</v>
      </c>
      <c r="Y54" s="96" t="s">
        <v>1149</v>
      </c>
      <c r="Z54" s="96">
        <v>45317</v>
      </c>
      <c r="AA54" s="98">
        <v>21781.09</v>
      </c>
      <c r="AB54" s="98"/>
      <c r="AC54" s="99">
        <f t="shared" si="63"/>
        <v>0</v>
      </c>
      <c r="AD54" s="100" t="s">
        <v>1150</v>
      </c>
      <c r="AE54" s="97" t="s">
        <v>1151</v>
      </c>
      <c r="AF54" s="101">
        <v>45413</v>
      </c>
      <c r="AG54" s="92" t="s">
        <v>1771</v>
      </c>
      <c r="AH54" s="142">
        <v>45413</v>
      </c>
      <c r="AI54" s="98">
        <v>-21781.09</v>
      </c>
      <c r="AJ54" s="98">
        <v>29551.67</v>
      </c>
      <c r="AK54" s="99">
        <f t="shared" si="64"/>
        <v>0</v>
      </c>
      <c r="AL54" s="99" t="s">
        <v>1152</v>
      </c>
      <c r="AM54" s="98"/>
      <c r="AN54" s="96"/>
      <c r="AO54" s="97"/>
      <c r="AP54" s="101"/>
      <c r="AQ54" s="98"/>
      <c r="AR54" s="98"/>
      <c r="AS54" s="99">
        <f t="shared" si="65"/>
        <v>0</v>
      </c>
      <c r="AT54" s="99"/>
      <c r="AU54" s="96"/>
      <c r="AV54" s="96"/>
      <c r="AW54" s="93"/>
      <c r="AX54" s="96"/>
      <c r="AY54" s="98"/>
      <c r="AZ54" s="98"/>
      <c r="BA54" s="99">
        <f t="shared" si="66"/>
        <v>0</v>
      </c>
      <c r="BB54" s="99"/>
      <c r="BC54" s="96"/>
      <c r="BD54" s="96"/>
      <c r="BE54" s="93"/>
      <c r="BF54" s="96"/>
      <c r="BG54" s="102"/>
      <c r="BH54" s="102"/>
      <c r="BI54" s="93">
        <f t="shared" si="67"/>
        <v>0</v>
      </c>
      <c r="BJ54" s="93"/>
      <c r="BK54" s="93"/>
      <c r="BL54" s="103"/>
      <c r="BM54" s="93"/>
      <c r="BN54" s="103"/>
      <c r="BO54" s="94"/>
      <c r="BP54" s="94"/>
      <c r="BQ54" s="93">
        <f t="shared" si="68"/>
        <v>0</v>
      </c>
      <c r="BR54" s="93"/>
      <c r="BS54" s="93"/>
      <c r="BT54" s="103"/>
      <c r="BU54" s="93"/>
      <c r="BV54" s="103"/>
      <c r="BW54" s="94"/>
      <c r="BX54" s="94"/>
      <c r="BY54" s="93">
        <f t="shared" si="69"/>
        <v>0</v>
      </c>
      <c r="BZ54" s="93"/>
      <c r="CA54" s="104"/>
      <c r="CB54" s="105"/>
      <c r="CC54" s="106"/>
      <c r="CD54" s="107"/>
      <c r="CE54" s="94"/>
      <c r="CF54" s="94"/>
      <c r="CG54" s="93">
        <f t="shared" si="70"/>
        <v>0</v>
      </c>
      <c r="CH54" s="93"/>
      <c r="CI54" s="106"/>
      <c r="CJ54" s="105"/>
      <c r="CK54" s="93"/>
      <c r="CL54" s="105"/>
      <c r="CM54" s="108"/>
      <c r="CN54" s="108"/>
      <c r="CO54" s="93">
        <f t="shared" si="71"/>
        <v>0</v>
      </c>
      <c r="CP54" s="93"/>
      <c r="CQ54" s="93"/>
      <c r="CR54" s="93"/>
      <c r="CS54" s="93"/>
      <c r="CT54" s="93"/>
      <c r="CU54" s="93"/>
      <c r="CV54" s="93"/>
      <c r="CW54" s="93">
        <f t="shared" si="72"/>
        <v>0</v>
      </c>
      <c r="CX54" s="93"/>
      <c r="CY54" s="93" t="str">
        <f>TEXT(Z54,"MMMM")</f>
        <v>enero</v>
      </c>
      <c r="CZ54" s="93" t="str">
        <f t="shared" si="73"/>
        <v>mayo</v>
      </c>
      <c r="DA54" s="93" t="str">
        <f t="shared" si="74"/>
        <v>enero</v>
      </c>
      <c r="DB54" s="93" t="str">
        <f t="shared" si="75"/>
        <v>enero</v>
      </c>
      <c r="DC54" s="93" t="str">
        <f t="shared" si="76"/>
        <v>enero</v>
      </c>
      <c r="DD54" s="93" t="str">
        <f t="shared" si="77"/>
        <v>enero</v>
      </c>
      <c r="DE54" s="93" t="str">
        <f t="shared" si="78"/>
        <v>enero</v>
      </c>
      <c r="DF54" s="93" t="str">
        <f t="shared" si="79"/>
        <v>enero</v>
      </c>
      <c r="DG54" s="93" t="str">
        <f t="shared" si="80"/>
        <v>enero</v>
      </c>
      <c r="DH54" s="93" t="str">
        <f t="shared" si="81"/>
        <v>enero</v>
      </c>
    </row>
    <row r="55" spans="1:112" s="21" customFormat="1" ht="18.75" hidden="1" customHeight="1">
      <c r="A55" s="93">
        <v>738</v>
      </c>
      <c r="B55" s="93" t="e">
        <f>VLOOKUP($A55,  'Matriz POA 2024-TRABAJO'!$A$5:$CY$9142,29,FALSE)</f>
        <v>#N/A</v>
      </c>
      <c r="C55" s="93" t="e">
        <f>VLOOKUP($A55, 'Matriz POA 2024-TRABAJO'!$A$5:$CY$9142,11,FALSE)</f>
        <v>#N/A</v>
      </c>
      <c r="D55" s="93" t="e">
        <f>VLOOKUP($A55, 'Matriz POA 2024-TRABAJO'!$A$5:$CY$9142,14,FALSE)</f>
        <v>#N/A</v>
      </c>
      <c r="E55" s="93" t="e">
        <f>VLOOKUP($A55, 'Matriz POA 2024-TRABAJO'!$A$5:$CY$9142,15,FALSE)</f>
        <v>#N/A</v>
      </c>
      <c r="F55" s="93" t="e">
        <f>VLOOKUP($A55, 'Matriz POA 2024-TRABAJO'!$A$5:$CY$9142,18,FALSE)</f>
        <v>#N/A</v>
      </c>
      <c r="G55" s="93" t="e">
        <f>VLOOKUP($A55, 'Matriz POA 2024-TRABAJO'!$A$5:$CY$9142,23,FALSE)</f>
        <v>#N/A</v>
      </c>
      <c r="H55" s="93" t="e">
        <f>VLOOKUP($A55, 'Matriz POA 2024-TRABAJO'!$A$5:$CY$9142,24,FALSE)</f>
        <v>#N/A</v>
      </c>
      <c r="I55" s="93" t="e">
        <f>VLOOKUP($A55, 'Matriz POA 2024-TRABAJO'!$A$5:$CY$9142,20,FALSE)</f>
        <v>#N/A</v>
      </c>
      <c r="J55" s="93" t="e">
        <f>VLOOKUP($A55, 'Matriz POA 2024-TRABAJO'!$A$5:$CY$9142,26,FALSE)</f>
        <v>#N/A</v>
      </c>
      <c r="K55" s="93" t="e">
        <f>VLOOKUP($A55, 'Matriz POA 2024-TRABAJO'!$A$5:$CY$9142,27,FALSE)</f>
        <v>#N/A</v>
      </c>
      <c r="L55" s="93" t="e">
        <f>VLOOKUP($A55, 'Matriz POA 2024-TRABAJO'!$A$5:$CY$9142,28,FALSE)</f>
        <v>#N/A</v>
      </c>
      <c r="M55" s="93" t="e">
        <f>VLOOKUP($A55, 'Matriz POA 2024-TRABAJO'!$A$5:$CY$9142,30,FALSE)</f>
        <v>#N/A</v>
      </c>
      <c r="N55" s="93" t="e">
        <f>VLOOKUP($A55, 'Matriz POA 2024-TRABAJO'!$A$5:$CY$9142,31,FALSE)</f>
        <v>#N/A</v>
      </c>
      <c r="O55" s="93" t="e">
        <f>VLOOKUP($A55, 'Matriz POA 2024-TRABAJO'!$A$5:$CY$9142,45,FALSE)</f>
        <v>#N/A</v>
      </c>
      <c r="P55" s="93" t="e">
        <f>VLOOKUP($A55, 'Matriz POA 2024-TRABAJO'!$A$5:$CY$9142,46,FALSE)</f>
        <v>#N/A</v>
      </c>
      <c r="Q55" s="93" t="e">
        <f>VLOOKUP($A55, 'Matriz POA 2024-TRABAJO'!$A$5:$CY$9142,47,FALSE)</f>
        <v>#N/A</v>
      </c>
      <c r="R55" s="94">
        <f t="shared" si="20"/>
        <v>244821.36</v>
      </c>
      <c r="S55" s="95" t="e">
        <f t="shared" si="21"/>
        <v>#N/A</v>
      </c>
      <c r="T55" s="93" t="e">
        <f>VLOOKUP($A55, 'Matriz POA 2024-TRABAJO'!$A$5:$CY$9142,72,FALSE)</f>
        <v>#N/A</v>
      </c>
      <c r="U55" s="93" t="e">
        <f>VLOOKUP($A55, 'Matriz POA 2024-TRABAJO'!$A$5:$CY$9142,29,FALSE)</f>
        <v>#N/A</v>
      </c>
      <c r="V55" s="94" t="str">
        <f t="shared" si="62"/>
        <v>11ar-</v>
      </c>
      <c r="W55" s="97" t="s">
        <v>965</v>
      </c>
      <c r="X55" s="109">
        <v>45310</v>
      </c>
      <c r="Y55" s="99" t="s">
        <v>1153</v>
      </c>
      <c r="Z55" s="109">
        <v>45320</v>
      </c>
      <c r="AA55" s="98">
        <v>244821.36</v>
      </c>
      <c r="AB55" s="98"/>
      <c r="AC55" s="99">
        <f t="shared" si="63"/>
        <v>10</v>
      </c>
      <c r="AD55" s="110" t="s">
        <v>1154</v>
      </c>
      <c r="AE55" s="97"/>
      <c r="AF55" s="101"/>
      <c r="AG55" s="97"/>
      <c r="AH55" s="101"/>
      <c r="AI55" s="98"/>
      <c r="AJ55" s="98">
        <f>AI55*-1</f>
        <v>0</v>
      </c>
      <c r="AK55" s="99">
        <f t="shared" si="64"/>
        <v>0</v>
      </c>
      <c r="AL55" s="99"/>
      <c r="AM55" s="98"/>
      <c r="AN55" s="96"/>
      <c r="AO55" s="97"/>
      <c r="AP55" s="101"/>
      <c r="AQ55" s="98"/>
      <c r="AR55" s="98"/>
      <c r="AS55" s="99">
        <f t="shared" si="65"/>
        <v>0</v>
      </c>
      <c r="AT55" s="99"/>
      <c r="AU55" s="96"/>
      <c r="AV55" s="96"/>
      <c r="AW55" s="93"/>
      <c r="AX55" s="96"/>
      <c r="AY55" s="98"/>
      <c r="AZ55" s="98"/>
      <c r="BA55" s="99">
        <f t="shared" si="66"/>
        <v>0</v>
      </c>
      <c r="BB55" s="99"/>
      <c r="BC55" s="96"/>
      <c r="BD55" s="96"/>
      <c r="BE55" s="93"/>
      <c r="BF55" s="96"/>
      <c r="BG55" s="102"/>
      <c r="BH55" s="102"/>
      <c r="BI55" s="93">
        <f t="shared" si="67"/>
        <v>0</v>
      </c>
      <c r="BJ55" s="93"/>
      <c r="BK55" s="93"/>
      <c r="BL55" s="103"/>
      <c r="BM55" s="93"/>
      <c r="BN55" s="103"/>
      <c r="BO55" s="94"/>
      <c r="BP55" s="94"/>
      <c r="BQ55" s="93">
        <f t="shared" si="68"/>
        <v>0</v>
      </c>
      <c r="BR55" s="93"/>
      <c r="BS55" s="93"/>
      <c r="BT55" s="103"/>
      <c r="BU55" s="93"/>
      <c r="BV55" s="103"/>
      <c r="BW55" s="94"/>
      <c r="BX55" s="94"/>
      <c r="BY55" s="93">
        <f t="shared" si="69"/>
        <v>0</v>
      </c>
      <c r="BZ55" s="93"/>
      <c r="CA55" s="104"/>
      <c r="CB55" s="105"/>
      <c r="CC55" s="106"/>
      <c r="CD55" s="107"/>
      <c r="CE55" s="94"/>
      <c r="CF55" s="94"/>
      <c r="CG55" s="93">
        <f t="shared" si="70"/>
        <v>0</v>
      </c>
      <c r="CH55" s="93"/>
      <c r="CI55" s="106"/>
      <c r="CJ55" s="105"/>
      <c r="CK55" s="93"/>
      <c r="CL55" s="105"/>
      <c r="CM55" s="108"/>
      <c r="CN55" s="108"/>
      <c r="CO55" s="93">
        <f t="shared" si="71"/>
        <v>0</v>
      </c>
      <c r="CP55" s="93"/>
      <c r="CQ55" s="93"/>
      <c r="CR55" s="93"/>
      <c r="CS55" s="93"/>
      <c r="CT55" s="93"/>
      <c r="CU55" s="93"/>
      <c r="CV55" s="93"/>
      <c r="CW55" s="93">
        <f t="shared" si="72"/>
        <v>0</v>
      </c>
      <c r="CX55" s="93"/>
      <c r="CY55" s="93" t="str">
        <f>TEXT(X55,"MMMM")</f>
        <v>enero</v>
      </c>
      <c r="CZ55" s="93" t="str">
        <f t="shared" si="73"/>
        <v>enero</v>
      </c>
      <c r="DA55" s="93" t="str">
        <f t="shared" si="74"/>
        <v>enero</v>
      </c>
      <c r="DB55" s="93" t="str">
        <f t="shared" si="75"/>
        <v>enero</v>
      </c>
      <c r="DC55" s="93" t="str">
        <f t="shared" si="76"/>
        <v>enero</v>
      </c>
      <c r="DD55" s="93" t="str">
        <f t="shared" si="77"/>
        <v>enero</v>
      </c>
      <c r="DE55" s="93" t="str">
        <f t="shared" si="78"/>
        <v>enero</v>
      </c>
      <c r="DF55" s="93" t="str">
        <f t="shared" si="79"/>
        <v>enero</v>
      </c>
      <c r="DG55" s="93" t="str">
        <f t="shared" si="80"/>
        <v>enero</v>
      </c>
      <c r="DH55" s="93" t="str">
        <f t="shared" si="81"/>
        <v>enero</v>
      </c>
    </row>
    <row r="56" spans="1:112" s="21" customFormat="1" ht="18.75" hidden="1" customHeight="1">
      <c r="A56" s="93">
        <v>388</v>
      </c>
      <c r="B56" s="93" t="e">
        <f>VLOOKUP($A56,  'Matriz POA 2024-TRABAJO'!$A$5:$CY$9142,29,FALSE)</f>
        <v>#N/A</v>
      </c>
      <c r="C56" s="93" t="e">
        <f>VLOOKUP($A56, 'Matriz POA 2024-TRABAJO'!$A$5:$CY$9142,11,FALSE)</f>
        <v>#N/A</v>
      </c>
      <c r="D56" s="93" t="e">
        <f>VLOOKUP($A56, 'Matriz POA 2024-TRABAJO'!$A$5:$CY$9142,14,FALSE)</f>
        <v>#N/A</v>
      </c>
      <c r="E56" s="93" t="e">
        <f>VLOOKUP($A56, 'Matriz POA 2024-TRABAJO'!$A$5:$CY$9142,15,FALSE)</f>
        <v>#N/A</v>
      </c>
      <c r="F56" s="93" t="e">
        <f>VLOOKUP($A56, 'Matriz POA 2024-TRABAJO'!$A$5:$CY$9142,18,FALSE)</f>
        <v>#N/A</v>
      </c>
      <c r="G56" s="93" t="e">
        <f>VLOOKUP($A56, 'Matriz POA 2024-TRABAJO'!$A$5:$CY$9142,23,FALSE)</f>
        <v>#N/A</v>
      </c>
      <c r="H56" s="93" t="e">
        <f>VLOOKUP($A56, 'Matriz POA 2024-TRABAJO'!$A$5:$CY$9142,24,FALSE)</f>
        <v>#N/A</v>
      </c>
      <c r="I56" s="93" t="e">
        <f>VLOOKUP($A56, 'Matriz POA 2024-TRABAJO'!$A$5:$CY$9142,20,FALSE)</f>
        <v>#N/A</v>
      </c>
      <c r="J56" s="93" t="e">
        <f>VLOOKUP($A56, 'Matriz POA 2024-TRABAJO'!$A$5:$CY$9142,26,FALSE)</f>
        <v>#N/A</v>
      </c>
      <c r="K56" s="93" t="e">
        <f>VLOOKUP($A56, 'Matriz POA 2024-TRABAJO'!$A$5:$CY$9142,27,FALSE)</f>
        <v>#N/A</v>
      </c>
      <c r="L56" s="93" t="e">
        <f>VLOOKUP($A56, 'Matriz POA 2024-TRABAJO'!$A$5:$CY$9142,28,FALSE)</f>
        <v>#N/A</v>
      </c>
      <c r="M56" s="93" t="e">
        <f>VLOOKUP($A56, 'Matriz POA 2024-TRABAJO'!$A$5:$CY$9142,30,FALSE)</f>
        <v>#N/A</v>
      </c>
      <c r="N56" s="93" t="e">
        <f>VLOOKUP($A56, 'Matriz POA 2024-TRABAJO'!$A$5:$CY$9142,31,FALSE)</f>
        <v>#N/A</v>
      </c>
      <c r="O56" s="93" t="e">
        <f>VLOOKUP($A56, 'Matriz POA 2024-TRABAJO'!$A$5:$CY$9142,45,FALSE)</f>
        <v>#N/A</v>
      </c>
      <c r="P56" s="93" t="e">
        <f>VLOOKUP($A56, 'Matriz POA 2024-TRABAJO'!$A$5:$CY$9142,46,FALSE)</f>
        <v>#N/A</v>
      </c>
      <c r="Q56" s="93" t="e">
        <f>VLOOKUP($A56, 'Matriz POA 2024-TRABAJO'!$A$5:$CY$9142,47,FALSE)</f>
        <v>#N/A</v>
      </c>
      <c r="R56" s="94">
        <f t="shared" si="20"/>
        <v>6732</v>
      </c>
      <c r="S56" s="95" t="e">
        <f t="shared" si="21"/>
        <v>#N/A</v>
      </c>
      <c r="T56" s="93" t="e">
        <f>VLOOKUP($A56, 'Matriz POA 2024-TRABAJO'!$A$5:$CY$9142,72,FALSE)</f>
        <v>#N/A</v>
      </c>
      <c r="U56" s="93" t="e">
        <f>VLOOKUP($A56, 'Matriz POA 2024-TRABAJO'!$A$5:$CY$9142,29,FALSE)</f>
        <v>#N/A</v>
      </c>
      <c r="V56" s="94" t="str">
        <f t="shared" si="62"/>
        <v>12ar-</v>
      </c>
      <c r="W56" s="97" t="s">
        <v>1155</v>
      </c>
      <c r="X56" s="109">
        <v>45320</v>
      </c>
      <c r="Y56" s="99" t="s">
        <v>1156</v>
      </c>
      <c r="Z56" s="109">
        <v>45320</v>
      </c>
      <c r="AA56" s="98">
        <v>6732</v>
      </c>
      <c r="AB56" s="98"/>
      <c r="AC56" s="99">
        <f t="shared" si="63"/>
        <v>0</v>
      </c>
      <c r="AD56" s="110" t="s">
        <v>1157</v>
      </c>
      <c r="AE56" s="97"/>
      <c r="AF56" s="101"/>
      <c r="AG56" s="97"/>
      <c r="AH56" s="101"/>
      <c r="AI56" s="98"/>
      <c r="AJ56" s="98">
        <f>AI56*-1</f>
        <v>0</v>
      </c>
      <c r="AK56" s="99">
        <f t="shared" si="64"/>
        <v>0</v>
      </c>
      <c r="AL56" s="99"/>
      <c r="AM56" s="98"/>
      <c r="AN56" s="96"/>
      <c r="AO56" s="97"/>
      <c r="AP56" s="101"/>
      <c r="AQ56" s="98"/>
      <c r="AR56" s="98"/>
      <c r="AS56" s="99">
        <f t="shared" si="65"/>
        <v>0</v>
      </c>
      <c r="AT56" s="99"/>
      <c r="AU56" s="96"/>
      <c r="AV56" s="96"/>
      <c r="AW56" s="93"/>
      <c r="AX56" s="96"/>
      <c r="AY56" s="98"/>
      <c r="AZ56" s="98"/>
      <c r="BA56" s="99">
        <f t="shared" si="66"/>
        <v>0</v>
      </c>
      <c r="BB56" s="99"/>
      <c r="BC56" s="96"/>
      <c r="BD56" s="96"/>
      <c r="BE56" s="93"/>
      <c r="BF56" s="96"/>
      <c r="BG56" s="102"/>
      <c r="BH56" s="102"/>
      <c r="BI56" s="93">
        <f t="shared" si="67"/>
        <v>0</v>
      </c>
      <c r="BJ56" s="93"/>
      <c r="BK56" s="93"/>
      <c r="BL56" s="103"/>
      <c r="BM56" s="93"/>
      <c r="BN56" s="103"/>
      <c r="BO56" s="94"/>
      <c r="BP56" s="94"/>
      <c r="BQ56" s="93">
        <f t="shared" si="68"/>
        <v>0</v>
      </c>
      <c r="BR56" s="93"/>
      <c r="BS56" s="93"/>
      <c r="BT56" s="103"/>
      <c r="BU56" s="93"/>
      <c r="BV56" s="103"/>
      <c r="BW56" s="94"/>
      <c r="BX56" s="94"/>
      <c r="BY56" s="93">
        <f t="shared" si="69"/>
        <v>0</v>
      </c>
      <c r="BZ56" s="93"/>
      <c r="CA56" s="104"/>
      <c r="CB56" s="105"/>
      <c r="CC56" s="106"/>
      <c r="CD56" s="107"/>
      <c r="CE56" s="94"/>
      <c r="CF56" s="94"/>
      <c r="CG56" s="93">
        <f t="shared" si="70"/>
        <v>0</v>
      </c>
      <c r="CH56" s="93"/>
      <c r="CI56" s="106"/>
      <c r="CJ56" s="105"/>
      <c r="CK56" s="93"/>
      <c r="CL56" s="105"/>
      <c r="CM56" s="108"/>
      <c r="CN56" s="108"/>
      <c r="CO56" s="93">
        <f t="shared" si="71"/>
        <v>0</v>
      </c>
      <c r="CP56" s="93"/>
      <c r="CQ56" s="93"/>
      <c r="CR56" s="93"/>
      <c r="CS56" s="93"/>
      <c r="CT56" s="93"/>
      <c r="CU56" s="93"/>
      <c r="CV56" s="93"/>
      <c r="CW56" s="93">
        <f t="shared" si="72"/>
        <v>0</v>
      </c>
      <c r="CX56" s="93"/>
      <c r="CY56" s="93" t="str">
        <f>TEXT(X56,"MMMM")</f>
        <v>enero</v>
      </c>
      <c r="CZ56" s="93" t="str">
        <f t="shared" si="73"/>
        <v>enero</v>
      </c>
      <c r="DA56" s="93" t="str">
        <f t="shared" si="74"/>
        <v>enero</v>
      </c>
      <c r="DB56" s="93" t="str">
        <f t="shared" si="75"/>
        <v>enero</v>
      </c>
      <c r="DC56" s="93" t="str">
        <f t="shared" si="76"/>
        <v>enero</v>
      </c>
      <c r="DD56" s="93" t="str">
        <f t="shared" si="77"/>
        <v>enero</v>
      </c>
      <c r="DE56" s="93" t="str">
        <f t="shared" si="78"/>
        <v>enero</v>
      </c>
      <c r="DF56" s="93" t="str">
        <f t="shared" si="79"/>
        <v>enero</v>
      </c>
      <c r="DG56" s="93" t="str">
        <f t="shared" si="80"/>
        <v>enero</v>
      </c>
      <c r="DH56" s="93" t="str">
        <f t="shared" si="81"/>
        <v>enero</v>
      </c>
    </row>
    <row r="57" spans="1:112" ht="15" hidden="1" customHeight="1">
      <c r="A57" s="93">
        <v>389</v>
      </c>
      <c r="B57" s="93" t="e">
        <f>VLOOKUP($A57,  'Matriz POA 2024-TRABAJO'!$A$5:$CY$9142,29,FALSE)</f>
        <v>#N/A</v>
      </c>
      <c r="C57" s="93" t="e">
        <f>VLOOKUP($A57, 'Matriz POA 2024-TRABAJO'!$A$5:$CY$9142,11,FALSE)</f>
        <v>#N/A</v>
      </c>
      <c r="D57" s="93" t="e">
        <f>VLOOKUP($A57, 'Matriz POA 2024-TRABAJO'!$A$5:$CY$9142,14,FALSE)</f>
        <v>#N/A</v>
      </c>
      <c r="E57" s="93" t="e">
        <f>VLOOKUP($A57, 'Matriz POA 2024-TRABAJO'!$A$5:$CY$9142,15,FALSE)</f>
        <v>#N/A</v>
      </c>
      <c r="F57" s="93" t="e">
        <f>VLOOKUP($A57, 'Matriz POA 2024-TRABAJO'!$A$5:$CY$9142,18,FALSE)</f>
        <v>#N/A</v>
      </c>
      <c r="G57" s="93" t="e">
        <f>VLOOKUP($A57, 'Matriz POA 2024-TRABAJO'!$A$5:$CY$9142,23,FALSE)</f>
        <v>#N/A</v>
      </c>
      <c r="H57" s="93" t="e">
        <f>VLOOKUP($A57, 'Matriz POA 2024-TRABAJO'!$A$5:$CY$9142,24,FALSE)</f>
        <v>#N/A</v>
      </c>
      <c r="I57" s="93" t="e">
        <f>VLOOKUP($A57, 'Matriz POA 2024-TRABAJO'!$A$5:$CY$9142,20,FALSE)</f>
        <v>#N/A</v>
      </c>
      <c r="J57" s="93" t="e">
        <f>VLOOKUP($A57, 'Matriz POA 2024-TRABAJO'!$A$5:$CY$9142,26,FALSE)</f>
        <v>#N/A</v>
      </c>
      <c r="K57" s="93" t="e">
        <f>VLOOKUP($A57, 'Matriz POA 2024-TRABAJO'!$A$5:$CY$9142,27,FALSE)</f>
        <v>#N/A</v>
      </c>
      <c r="L57" s="93" t="e">
        <f>VLOOKUP($A57, 'Matriz POA 2024-TRABAJO'!$A$5:$CY$9142,28,FALSE)</f>
        <v>#N/A</v>
      </c>
      <c r="M57" s="93" t="e">
        <f>VLOOKUP($A57, 'Matriz POA 2024-TRABAJO'!$A$5:$CY$9142,30,FALSE)</f>
        <v>#N/A</v>
      </c>
      <c r="N57" s="93" t="e">
        <f>VLOOKUP($A57, 'Matriz POA 2024-TRABAJO'!$A$5:$CY$9142,31,FALSE)</f>
        <v>#N/A</v>
      </c>
      <c r="O57" s="93" t="e">
        <f>VLOOKUP($A57, 'Matriz POA 2024-TRABAJO'!$A$5:$CY$9142,45,FALSE)</f>
        <v>#N/A</v>
      </c>
      <c r="P57" s="93" t="e">
        <f>VLOOKUP($A57, 'Matriz POA 2024-TRABAJO'!$A$5:$CY$9142,46,FALSE)</f>
        <v>#N/A</v>
      </c>
      <c r="Q57" s="93" t="e">
        <f>VLOOKUP($A57, 'Matriz POA 2024-TRABAJO'!$A$5:$CY$9142,47,FALSE)</f>
        <v>#N/A</v>
      </c>
      <c r="R57" s="94">
        <f t="shared" si="20"/>
        <v>8714.6299999999992</v>
      </c>
      <c r="S57" s="95" t="e">
        <f t="shared" si="21"/>
        <v>#N/A</v>
      </c>
      <c r="T57" s="93" t="e">
        <f>VLOOKUP($A57, 'Matriz POA 2024-TRABAJO'!$A$5:$CY$9142,72,FALSE)</f>
        <v>#N/A</v>
      </c>
      <c r="U57" s="93" t="e">
        <f>VLOOKUP($A57, 'Matriz POA 2024-TRABAJO'!$A$5:$CY$9142,29,FALSE)</f>
        <v>#N/A</v>
      </c>
      <c r="V57" s="94" t="str">
        <f t="shared" si="62"/>
        <v>12ar-</v>
      </c>
      <c r="W57" s="97" t="s">
        <v>1155</v>
      </c>
      <c r="X57" s="109">
        <v>45320</v>
      </c>
      <c r="Y57" s="99" t="s">
        <v>1156</v>
      </c>
      <c r="Z57" s="109">
        <v>45320</v>
      </c>
      <c r="AA57" s="98">
        <v>8714.6299999999992</v>
      </c>
      <c r="AB57" s="98"/>
      <c r="AC57" s="99">
        <f t="shared" si="63"/>
        <v>0</v>
      </c>
      <c r="AD57" s="110" t="s">
        <v>1157</v>
      </c>
      <c r="AE57" s="97"/>
      <c r="AF57" s="101"/>
      <c r="AG57" s="97"/>
      <c r="AH57" s="101"/>
      <c r="AI57" s="98"/>
      <c r="AJ57" s="98"/>
      <c r="AK57" s="99">
        <f t="shared" si="64"/>
        <v>0</v>
      </c>
      <c r="AL57" s="99"/>
      <c r="AM57" s="98"/>
      <c r="AN57" s="96"/>
      <c r="AO57" s="97"/>
      <c r="AP57" s="101"/>
      <c r="AQ57" s="98"/>
      <c r="AR57" s="98"/>
      <c r="AS57" s="99">
        <f t="shared" si="65"/>
        <v>0</v>
      </c>
      <c r="AT57" s="99"/>
      <c r="AU57" s="96"/>
      <c r="AV57" s="96"/>
      <c r="AW57" s="93"/>
      <c r="AX57" s="96"/>
      <c r="AY57" s="98"/>
      <c r="AZ57" s="98"/>
      <c r="BA57" s="99">
        <f t="shared" si="66"/>
        <v>0</v>
      </c>
      <c r="BB57" s="99"/>
      <c r="BC57" s="96"/>
      <c r="BD57" s="96"/>
      <c r="BE57" s="93"/>
      <c r="BF57" s="96"/>
      <c r="BG57" s="102"/>
      <c r="BH57" s="102"/>
      <c r="BI57" s="93">
        <f t="shared" si="67"/>
        <v>0</v>
      </c>
      <c r="BJ57" s="93"/>
      <c r="BK57" s="93"/>
      <c r="BL57" s="103"/>
      <c r="BM57" s="93"/>
      <c r="BN57" s="103"/>
      <c r="BO57" s="94"/>
      <c r="BP57" s="94"/>
      <c r="BQ57" s="93">
        <f t="shared" si="68"/>
        <v>0</v>
      </c>
      <c r="BR57" s="93"/>
      <c r="BS57" s="93"/>
      <c r="BT57" s="103"/>
      <c r="BU57" s="93"/>
      <c r="BV57" s="103"/>
      <c r="BW57" s="94"/>
      <c r="BX57" s="94"/>
      <c r="BY57" s="93">
        <f t="shared" si="69"/>
        <v>0</v>
      </c>
      <c r="BZ57" s="93"/>
      <c r="CA57" s="104"/>
      <c r="CB57" s="105"/>
      <c r="CC57" s="106"/>
      <c r="CD57" s="107"/>
      <c r="CE57" s="94"/>
      <c r="CF57" s="94"/>
      <c r="CG57" s="93">
        <f t="shared" si="70"/>
        <v>0</v>
      </c>
      <c r="CH57" s="93"/>
      <c r="CI57" s="106"/>
      <c r="CJ57" s="105"/>
      <c r="CK57" s="93"/>
      <c r="CL57" s="105"/>
      <c r="CM57" s="108"/>
      <c r="CN57" s="108"/>
      <c r="CO57" s="93">
        <f t="shared" si="71"/>
        <v>0</v>
      </c>
      <c r="CP57" s="93"/>
      <c r="CQ57" s="93"/>
      <c r="CR57" s="93"/>
      <c r="CS57" s="93"/>
      <c r="CT57" s="93"/>
      <c r="CU57" s="93"/>
      <c r="CV57" s="93"/>
      <c r="CW57" s="93">
        <f t="shared" si="72"/>
        <v>0</v>
      </c>
      <c r="CX57" s="93"/>
      <c r="CY57" s="93" t="str">
        <f>TEXT(X57,"MMMM")</f>
        <v>enero</v>
      </c>
      <c r="CZ57" s="93" t="str">
        <f t="shared" si="73"/>
        <v>enero</v>
      </c>
      <c r="DA57" s="93" t="str">
        <f t="shared" si="74"/>
        <v>enero</v>
      </c>
      <c r="DB57" s="93" t="str">
        <f t="shared" si="75"/>
        <v>enero</v>
      </c>
      <c r="DC57" s="93" t="str">
        <f t="shared" si="76"/>
        <v>enero</v>
      </c>
      <c r="DD57" s="93" t="str">
        <f t="shared" si="77"/>
        <v>enero</v>
      </c>
      <c r="DE57" s="93" t="str">
        <f t="shared" si="78"/>
        <v>enero</v>
      </c>
      <c r="DF57" s="93" t="str">
        <f t="shared" si="79"/>
        <v>enero</v>
      </c>
      <c r="DG57" s="93" t="str">
        <f t="shared" si="80"/>
        <v>enero</v>
      </c>
      <c r="DH57" s="93" t="str">
        <f t="shared" si="81"/>
        <v>enero</v>
      </c>
    </row>
    <row r="58" spans="1:112" s="21" customFormat="1" ht="26.45" hidden="1" customHeight="1">
      <c r="A58" s="93">
        <v>390</v>
      </c>
      <c r="B58" s="93" t="e">
        <f>VLOOKUP($A58,  'Matriz POA 2024-TRABAJO'!$A$5:$CY$9142,29,FALSE)</f>
        <v>#N/A</v>
      </c>
      <c r="C58" s="93" t="e">
        <f>VLOOKUP($A58, 'Matriz POA 2024-TRABAJO'!$A$5:$CY$9142,11,FALSE)</f>
        <v>#N/A</v>
      </c>
      <c r="D58" s="93" t="e">
        <f>VLOOKUP($A58, 'Matriz POA 2024-TRABAJO'!$A$5:$CY$9142,14,FALSE)</f>
        <v>#N/A</v>
      </c>
      <c r="E58" s="93" t="e">
        <f>VLOOKUP($A58, 'Matriz POA 2024-TRABAJO'!$A$5:$CY$9142,15,FALSE)</f>
        <v>#N/A</v>
      </c>
      <c r="F58" s="93" t="e">
        <f>VLOOKUP($A58, 'Matriz POA 2024-TRABAJO'!$A$5:$CY$9142,18,FALSE)</f>
        <v>#N/A</v>
      </c>
      <c r="G58" s="93" t="e">
        <f>VLOOKUP($A58, 'Matriz POA 2024-TRABAJO'!$A$5:$CY$9142,23,FALSE)</f>
        <v>#N/A</v>
      </c>
      <c r="H58" s="93" t="e">
        <f>VLOOKUP($A58, 'Matriz POA 2024-TRABAJO'!$A$5:$CY$9142,24,FALSE)</f>
        <v>#N/A</v>
      </c>
      <c r="I58" s="93" t="e">
        <f>VLOOKUP($A58, 'Matriz POA 2024-TRABAJO'!$A$5:$CY$9142,20,FALSE)</f>
        <v>#N/A</v>
      </c>
      <c r="J58" s="93" t="e">
        <f>VLOOKUP($A58, 'Matriz POA 2024-TRABAJO'!$A$5:$CY$9142,26,FALSE)</f>
        <v>#N/A</v>
      </c>
      <c r="K58" s="93" t="e">
        <f>VLOOKUP($A58, 'Matriz POA 2024-TRABAJO'!$A$5:$CY$9142,27,FALSE)</f>
        <v>#N/A</v>
      </c>
      <c r="L58" s="93" t="e">
        <f>VLOOKUP($A58, 'Matriz POA 2024-TRABAJO'!$A$5:$CY$9142,28,FALSE)</f>
        <v>#N/A</v>
      </c>
      <c r="M58" s="93" t="e">
        <f>VLOOKUP($A58, 'Matriz POA 2024-TRABAJO'!$A$5:$CY$9142,30,FALSE)</f>
        <v>#N/A</v>
      </c>
      <c r="N58" s="93" t="e">
        <f>VLOOKUP($A58, 'Matriz POA 2024-TRABAJO'!$A$5:$CY$9142,31,FALSE)</f>
        <v>#N/A</v>
      </c>
      <c r="O58" s="93" t="e">
        <f>VLOOKUP($A58, 'Matriz POA 2024-TRABAJO'!$A$5:$CY$9142,45,FALSE)</f>
        <v>#N/A</v>
      </c>
      <c r="P58" s="93" t="e">
        <f>VLOOKUP($A58, 'Matriz POA 2024-TRABAJO'!$A$5:$CY$9142,46,FALSE)</f>
        <v>#N/A</v>
      </c>
      <c r="Q58" s="93" t="e">
        <f>VLOOKUP($A58, 'Matriz POA 2024-TRABAJO'!$A$5:$CY$9142,47,FALSE)</f>
        <v>#N/A</v>
      </c>
      <c r="R58" s="94">
        <f t="shared" si="20"/>
        <v>4091.6</v>
      </c>
      <c r="S58" s="95" t="e">
        <f t="shared" si="21"/>
        <v>#N/A</v>
      </c>
      <c r="T58" s="93" t="e">
        <f>VLOOKUP($A58, 'Matriz POA 2024-TRABAJO'!$A$5:$CY$9142,72,FALSE)</f>
        <v>#N/A</v>
      </c>
      <c r="U58" s="93" t="e">
        <f>VLOOKUP($A58, 'Matriz POA 2024-TRABAJO'!$A$5:$CY$9142,29,FALSE)</f>
        <v>#N/A</v>
      </c>
      <c r="V58" s="94" t="str">
        <f t="shared" si="62"/>
        <v>12ar-</v>
      </c>
      <c r="W58" s="97" t="s">
        <v>1155</v>
      </c>
      <c r="X58" s="109">
        <v>45320</v>
      </c>
      <c r="Y58" s="99" t="s">
        <v>1156</v>
      </c>
      <c r="Z58" s="109">
        <v>45320</v>
      </c>
      <c r="AA58" s="98">
        <v>4091.6</v>
      </c>
      <c r="AB58" s="98"/>
      <c r="AC58" s="99">
        <f t="shared" si="63"/>
        <v>0</v>
      </c>
      <c r="AD58" s="110" t="s">
        <v>1157</v>
      </c>
      <c r="AE58" s="97"/>
      <c r="AF58" s="101"/>
      <c r="AG58" s="97"/>
      <c r="AH58" s="101"/>
      <c r="AI58" s="98"/>
      <c r="AJ58" s="98">
        <f>AI58*-1</f>
        <v>0</v>
      </c>
      <c r="AK58" s="99">
        <f t="shared" si="64"/>
        <v>0</v>
      </c>
      <c r="AL58" s="99"/>
      <c r="AM58" s="98"/>
      <c r="AN58" s="96"/>
      <c r="AO58" s="97"/>
      <c r="AP58" s="101"/>
      <c r="AQ58" s="98"/>
      <c r="AR58" s="98"/>
      <c r="AS58" s="99">
        <f t="shared" si="65"/>
        <v>0</v>
      </c>
      <c r="AT58" s="99"/>
      <c r="AU58" s="96"/>
      <c r="AV58" s="96"/>
      <c r="AW58" s="93"/>
      <c r="AX58" s="96"/>
      <c r="AY58" s="98"/>
      <c r="AZ58" s="98"/>
      <c r="BA58" s="99">
        <f t="shared" si="66"/>
        <v>0</v>
      </c>
      <c r="BB58" s="99"/>
      <c r="BC58" s="96"/>
      <c r="BD58" s="96"/>
      <c r="BE58" s="93"/>
      <c r="BF58" s="96"/>
      <c r="BG58" s="102"/>
      <c r="BH58" s="102"/>
      <c r="BI58" s="93">
        <f t="shared" si="67"/>
        <v>0</v>
      </c>
      <c r="BJ58" s="93"/>
      <c r="BK58" s="93"/>
      <c r="BL58" s="103"/>
      <c r="BM58" s="93"/>
      <c r="BN58" s="103"/>
      <c r="BO58" s="94"/>
      <c r="BP58" s="94"/>
      <c r="BQ58" s="93">
        <f t="shared" si="68"/>
        <v>0</v>
      </c>
      <c r="BR58" s="93"/>
      <c r="BS58" s="93"/>
      <c r="BT58" s="103"/>
      <c r="BU58" s="93"/>
      <c r="BV58" s="103"/>
      <c r="BW58" s="94"/>
      <c r="BX58" s="94"/>
      <c r="BY58" s="93">
        <f t="shared" si="69"/>
        <v>0</v>
      </c>
      <c r="BZ58" s="93"/>
      <c r="CA58" s="104"/>
      <c r="CB58" s="105"/>
      <c r="CC58" s="106"/>
      <c r="CD58" s="107"/>
      <c r="CE58" s="94"/>
      <c r="CF58" s="94"/>
      <c r="CG58" s="93">
        <f t="shared" si="70"/>
        <v>0</v>
      </c>
      <c r="CH58" s="93"/>
      <c r="CI58" s="106"/>
      <c r="CJ58" s="105"/>
      <c r="CK58" s="93"/>
      <c r="CL58" s="105"/>
      <c r="CM58" s="108"/>
      <c r="CN58" s="108"/>
      <c r="CO58" s="93">
        <f t="shared" si="71"/>
        <v>0</v>
      </c>
      <c r="CP58" s="93"/>
      <c r="CQ58" s="93"/>
      <c r="CR58" s="93"/>
      <c r="CS58" s="93"/>
      <c r="CT58" s="93"/>
      <c r="CU58" s="93"/>
      <c r="CV58" s="93"/>
      <c r="CW58" s="93">
        <f t="shared" si="72"/>
        <v>0</v>
      </c>
      <c r="CX58" s="93"/>
      <c r="CY58" s="93" t="str">
        <f>TEXT(Z58,"MMMM")</f>
        <v>enero</v>
      </c>
      <c r="CZ58" s="93" t="str">
        <f t="shared" si="73"/>
        <v>enero</v>
      </c>
      <c r="DA58" s="93" t="str">
        <f t="shared" si="74"/>
        <v>enero</v>
      </c>
      <c r="DB58" s="93" t="str">
        <f t="shared" si="75"/>
        <v>enero</v>
      </c>
      <c r="DC58" s="93" t="str">
        <f t="shared" si="76"/>
        <v>enero</v>
      </c>
      <c r="DD58" s="93" t="str">
        <f t="shared" si="77"/>
        <v>enero</v>
      </c>
      <c r="DE58" s="93" t="str">
        <f t="shared" si="78"/>
        <v>enero</v>
      </c>
      <c r="DF58" s="93" t="str">
        <f t="shared" si="79"/>
        <v>enero</v>
      </c>
      <c r="DG58" s="93" t="str">
        <f t="shared" si="80"/>
        <v>enero</v>
      </c>
      <c r="DH58" s="93" t="str">
        <f t="shared" si="81"/>
        <v>enero</v>
      </c>
    </row>
    <row r="59" spans="1:112" s="21" customFormat="1" ht="18.75" hidden="1" customHeight="1">
      <c r="A59" s="93">
        <v>391</v>
      </c>
      <c r="B59" s="93" t="e">
        <f>VLOOKUP($A59,  'Matriz POA 2024-TRABAJO'!$A$5:$CY$9142,29,FALSE)</f>
        <v>#N/A</v>
      </c>
      <c r="C59" s="93" t="e">
        <f>VLOOKUP($A59, 'Matriz POA 2024-TRABAJO'!$A$5:$CY$9142,11,FALSE)</f>
        <v>#N/A</v>
      </c>
      <c r="D59" s="93" t="e">
        <f>VLOOKUP($A59, 'Matriz POA 2024-TRABAJO'!$A$5:$CY$9142,14,FALSE)</f>
        <v>#N/A</v>
      </c>
      <c r="E59" s="93" t="e">
        <f>VLOOKUP($A59, 'Matriz POA 2024-TRABAJO'!$A$5:$CY$9142,15,FALSE)</f>
        <v>#N/A</v>
      </c>
      <c r="F59" s="93" t="e">
        <f>VLOOKUP($A59, 'Matriz POA 2024-TRABAJO'!$A$5:$CY$9142,18,FALSE)</f>
        <v>#N/A</v>
      </c>
      <c r="G59" s="93" t="e">
        <f>VLOOKUP($A59, 'Matriz POA 2024-TRABAJO'!$A$5:$CY$9142,23,FALSE)</f>
        <v>#N/A</v>
      </c>
      <c r="H59" s="93" t="e">
        <f>VLOOKUP($A59, 'Matriz POA 2024-TRABAJO'!$A$5:$CY$9142,24,FALSE)</f>
        <v>#N/A</v>
      </c>
      <c r="I59" s="93" t="e">
        <f>VLOOKUP($A59, 'Matriz POA 2024-TRABAJO'!$A$5:$CY$9142,20,FALSE)</f>
        <v>#N/A</v>
      </c>
      <c r="J59" s="93" t="e">
        <f>VLOOKUP($A59, 'Matriz POA 2024-TRABAJO'!$A$5:$CY$9142,26,FALSE)</f>
        <v>#N/A</v>
      </c>
      <c r="K59" s="93" t="e">
        <f>VLOOKUP($A59, 'Matriz POA 2024-TRABAJO'!$A$5:$CY$9142,27,FALSE)</f>
        <v>#N/A</v>
      </c>
      <c r="L59" s="93" t="e">
        <f>VLOOKUP($A59, 'Matriz POA 2024-TRABAJO'!$A$5:$CY$9142,28,FALSE)</f>
        <v>#N/A</v>
      </c>
      <c r="M59" s="93" t="e">
        <f>VLOOKUP($A59, 'Matriz POA 2024-TRABAJO'!$A$5:$CY$9142,30,FALSE)</f>
        <v>#N/A</v>
      </c>
      <c r="N59" s="93" t="e">
        <f>VLOOKUP($A59, 'Matriz POA 2024-TRABAJO'!$A$5:$CY$9142,31,FALSE)</f>
        <v>#N/A</v>
      </c>
      <c r="O59" s="93" t="e">
        <f>VLOOKUP($A59, 'Matriz POA 2024-TRABAJO'!$A$5:$CY$9142,45,FALSE)</f>
        <v>#N/A</v>
      </c>
      <c r="P59" s="93" t="e">
        <f>VLOOKUP($A59, 'Matriz POA 2024-TRABAJO'!$A$5:$CY$9142,46,FALSE)</f>
        <v>#N/A</v>
      </c>
      <c r="Q59" s="93" t="e">
        <f>VLOOKUP($A59, 'Matriz POA 2024-TRABAJO'!$A$5:$CY$9142,47,FALSE)</f>
        <v>#N/A</v>
      </c>
      <c r="R59" s="94">
        <f t="shared" si="20"/>
        <v>127</v>
      </c>
      <c r="S59" s="95" t="e">
        <f t="shared" si="21"/>
        <v>#N/A</v>
      </c>
      <c r="T59" s="93" t="e">
        <f>VLOOKUP($A59, 'Matriz POA 2024-TRABAJO'!$A$5:$CY$9142,72,FALSE)</f>
        <v>#N/A</v>
      </c>
      <c r="U59" s="93" t="e">
        <f>VLOOKUP($A59, 'Matriz POA 2024-TRABAJO'!$A$5:$CY$9142,29,FALSE)</f>
        <v>#N/A</v>
      </c>
      <c r="V59" s="94" t="str">
        <f t="shared" si="62"/>
        <v>12ar-</v>
      </c>
      <c r="W59" s="97" t="s">
        <v>1155</v>
      </c>
      <c r="X59" s="109">
        <v>45320</v>
      </c>
      <c r="Y59" s="99" t="s">
        <v>1156</v>
      </c>
      <c r="Z59" s="109">
        <v>45320</v>
      </c>
      <c r="AA59" s="98">
        <v>127</v>
      </c>
      <c r="AB59" s="98"/>
      <c r="AC59" s="99">
        <f t="shared" si="63"/>
        <v>0</v>
      </c>
      <c r="AD59" s="110" t="s">
        <v>1157</v>
      </c>
      <c r="AE59" s="97"/>
      <c r="AF59" s="101"/>
      <c r="AG59" s="97"/>
      <c r="AH59" s="101"/>
      <c r="AI59" s="98"/>
      <c r="AJ59" s="98">
        <f>AI59*-1</f>
        <v>0</v>
      </c>
      <c r="AK59" s="99">
        <f t="shared" si="64"/>
        <v>0</v>
      </c>
      <c r="AL59" s="99"/>
      <c r="AM59" s="98"/>
      <c r="AN59" s="96"/>
      <c r="AO59" s="97"/>
      <c r="AP59" s="101"/>
      <c r="AQ59" s="98"/>
      <c r="AR59" s="98"/>
      <c r="AS59" s="99">
        <f t="shared" si="65"/>
        <v>0</v>
      </c>
      <c r="AT59" s="99"/>
      <c r="AU59" s="96"/>
      <c r="AV59" s="96"/>
      <c r="AW59" s="93"/>
      <c r="AX59" s="96"/>
      <c r="AY59" s="98"/>
      <c r="AZ59" s="98"/>
      <c r="BA59" s="99">
        <f t="shared" si="66"/>
        <v>0</v>
      </c>
      <c r="BB59" s="99"/>
      <c r="BC59" s="96"/>
      <c r="BD59" s="96"/>
      <c r="BE59" s="93"/>
      <c r="BF59" s="96"/>
      <c r="BG59" s="102"/>
      <c r="BH59" s="102"/>
      <c r="BI59" s="93">
        <f t="shared" si="67"/>
        <v>0</v>
      </c>
      <c r="BJ59" s="93"/>
      <c r="BK59" s="93"/>
      <c r="BL59" s="103"/>
      <c r="BM59" s="93"/>
      <c r="BN59" s="103"/>
      <c r="BO59" s="94"/>
      <c r="BP59" s="94"/>
      <c r="BQ59" s="93">
        <f t="shared" si="68"/>
        <v>0</v>
      </c>
      <c r="BR59" s="93"/>
      <c r="BS59" s="93"/>
      <c r="BT59" s="103"/>
      <c r="BU59" s="93"/>
      <c r="BV59" s="103"/>
      <c r="BW59" s="94"/>
      <c r="BX59" s="94"/>
      <c r="BY59" s="93">
        <f t="shared" si="69"/>
        <v>0</v>
      </c>
      <c r="BZ59" s="93"/>
      <c r="CA59" s="104"/>
      <c r="CB59" s="105"/>
      <c r="CC59" s="106"/>
      <c r="CD59" s="107"/>
      <c r="CE59" s="94"/>
      <c r="CF59" s="94"/>
      <c r="CG59" s="93">
        <f t="shared" si="70"/>
        <v>0</v>
      </c>
      <c r="CH59" s="93"/>
      <c r="CI59" s="106"/>
      <c r="CJ59" s="105"/>
      <c r="CK59" s="93"/>
      <c r="CL59" s="105"/>
      <c r="CM59" s="108"/>
      <c r="CN59" s="108"/>
      <c r="CO59" s="93">
        <f t="shared" si="71"/>
        <v>0</v>
      </c>
      <c r="CP59" s="93"/>
      <c r="CQ59" s="93"/>
      <c r="CR59" s="93"/>
      <c r="CS59" s="93"/>
      <c r="CT59" s="93"/>
      <c r="CU59" s="93"/>
      <c r="CV59" s="93"/>
      <c r="CW59" s="93">
        <f t="shared" si="72"/>
        <v>0</v>
      </c>
      <c r="CX59" s="93"/>
      <c r="CY59" s="93" t="str">
        <f>TEXT(X59,"MMMM")</f>
        <v>enero</v>
      </c>
      <c r="CZ59" s="93" t="str">
        <f t="shared" si="73"/>
        <v>enero</v>
      </c>
      <c r="DA59" s="93" t="str">
        <f t="shared" si="74"/>
        <v>enero</v>
      </c>
      <c r="DB59" s="93" t="str">
        <f t="shared" si="75"/>
        <v>enero</v>
      </c>
      <c r="DC59" s="93" t="str">
        <f t="shared" si="76"/>
        <v>enero</v>
      </c>
      <c r="DD59" s="93" t="str">
        <f t="shared" si="77"/>
        <v>enero</v>
      </c>
      <c r="DE59" s="93" t="str">
        <f t="shared" si="78"/>
        <v>enero</v>
      </c>
      <c r="DF59" s="93" t="str">
        <f t="shared" si="79"/>
        <v>enero</v>
      </c>
      <c r="DG59" s="93" t="str">
        <f t="shared" si="80"/>
        <v>enero</v>
      </c>
      <c r="DH59" s="93" t="str">
        <f t="shared" si="81"/>
        <v>enero</v>
      </c>
    </row>
    <row r="60" spans="1:112" s="21" customFormat="1" ht="18.75" hidden="1" customHeight="1">
      <c r="A60" s="93">
        <v>392</v>
      </c>
      <c r="B60" s="93" t="e">
        <f>VLOOKUP($A60,  'Matriz POA 2024-TRABAJO'!$A$5:$CY$9142,29,FALSE)</f>
        <v>#N/A</v>
      </c>
      <c r="C60" s="93" t="e">
        <f>VLOOKUP($A60, 'Matriz POA 2024-TRABAJO'!$A$5:$CY$9142,11,FALSE)</f>
        <v>#N/A</v>
      </c>
      <c r="D60" s="93" t="e">
        <f>VLOOKUP($A60, 'Matriz POA 2024-TRABAJO'!$A$5:$CY$9142,14,FALSE)</f>
        <v>#N/A</v>
      </c>
      <c r="E60" s="93" t="e">
        <f>VLOOKUP($A60, 'Matriz POA 2024-TRABAJO'!$A$5:$CY$9142,15,FALSE)</f>
        <v>#N/A</v>
      </c>
      <c r="F60" s="93" t="e">
        <f>VLOOKUP($A60, 'Matriz POA 2024-TRABAJO'!$A$5:$CY$9142,18,FALSE)</f>
        <v>#N/A</v>
      </c>
      <c r="G60" s="93" t="e">
        <f>VLOOKUP($A60, 'Matriz POA 2024-TRABAJO'!$A$5:$CY$9142,23,FALSE)</f>
        <v>#N/A</v>
      </c>
      <c r="H60" s="93" t="e">
        <f>VLOOKUP($A60, 'Matriz POA 2024-TRABAJO'!$A$5:$CY$9142,24,FALSE)</f>
        <v>#N/A</v>
      </c>
      <c r="I60" s="93" t="e">
        <f>VLOOKUP($A60, 'Matriz POA 2024-TRABAJO'!$A$5:$CY$9142,20,FALSE)</f>
        <v>#N/A</v>
      </c>
      <c r="J60" s="93" t="e">
        <f>VLOOKUP($A60, 'Matriz POA 2024-TRABAJO'!$A$5:$CY$9142,26,FALSE)</f>
        <v>#N/A</v>
      </c>
      <c r="K60" s="93" t="e">
        <f>VLOOKUP($A60, 'Matriz POA 2024-TRABAJO'!$A$5:$CY$9142,27,FALSE)</f>
        <v>#N/A</v>
      </c>
      <c r="L60" s="93" t="e">
        <f>VLOOKUP($A60, 'Matriz POA 2024-TRABAJO'!$A$5:$CY$9142,28,FALSE)</f>
        <v>#N/A</v>
      </c>
      <c r="M60" s="93" t="e">
        <f>VLOOKUP($A60, 'Matriz POA 2024-TRABAJO'!$A$5:$CY$9142,30,FALSE)</f>
        <v>#N/A</v>
      </c>
      <c r="N60" s="93" t="e">
        <f>VLOOKUP($A60, 'Matriz POA 2024-TRABAJO'!$A$5:$CY$9142,31,FALSE)</f>
        <v>#N/A</v>
      </c>
      <c r="O60" s="93" t="e">
        <f>VLOOKUP($A60, 'Matriz POA 2024-TRABAJO'!$A$5:$CY$9142,45,FALSE)</f>
        <v>#N/A</v>
      </c>
      <c r="P60" s="93" t="e">
        <f>VLOOKUP($A60, 'Matriz POA 2024-TRABAJO'!$A$5:$CY$9142,46,FALSE)</f>
        <v>#N/A</v>
      </c>
      <c r="Q60" s="93" t="e">
        <f>VLOOKUP($A60, 'Matriz POA 2024-TRABAJO'!$A$5:$CY$9142,47,FALSE)</f>
        <v>#N/A</v>
      </c>
      <c r="R60" s="94">
        <f t="shared" si="20"/>
        <v>889</v>
      </c>
      <c r="S60" s="95" t="e">
        <f t="shared" si="21"/>
        <v>#N/A</v>
      </c>
      <c r="T60" s="93" t="e">
        <f>VLOOKUP($A60, 'Matriz POA 2024-TRABAJO'!$A$5:$CY$9142,72,FALSE)</f>
        <v>#N/A</v>
      </c>
      <c r="U60" s="93" t="e">
        <f>VLOOKUP($A60, 'Matriz POA 2024-TRABAJO'!$A$5:$CY$9142,29,FALSE)</f>
        <v>#N/A</v>
      </c>
      <c r="V60" s="94" t="str">
        <f t="shared" si="62"/>
        <v>12ar-</v>
      </c>
      <c r="W60" s="97" t="s">
        <v>1155</v>
      </c>
      <c r="X60" s="109">
        <v>45320</v>
      </c>
      <c r="Y60" s="99" t="s">
        <v>1156</v>
      </c>
      <c r="Z60" s="109">
        <v>45320</v>
      </c>
      <c r="AA60" s="98">
        <v>889</v>
      </c>
      <c r="AB60" s="98"/>
      <c r="AC60" s="99">
        <f t="shared" si="63"/>
        <v>0</v>
      </c>
      <c r="AD60" s="110" t="s">
        <v>1157</v>
      </c>
      <c r="AE60" s="97"/>
      <c r="AF60" s="101"/>
      <c r="AG60" s="97"/>
      <c r="AH60" s="101"/>
      <c r="AI60" s="98"/>
      <c r="AJ60" s="98">
        <f>AI60*-1</f>
        <v>0</v>
      </c>
      <c r="AK60" s="99">
        <f t="shared" si="64"/>
        <v>0</v>
      </c>
      <c r="AL60" s="99"/>
      <c r="AM60" s="98"/>
      <c r="AN60" s="96"/>
      <c r="AO60" s="97"/>
      <c r="AP60" s="101"/>
      <c r="AQ60" s="98"/>
      <c r="AR60" s="98"/>
      <c r="AS60" s="99">
        <f t="shared" si="65"/>
        <v>0</v>
      </c>
      <c r="AT60" s="99"/>
      <c r="AU60" s="96"/>
      <c r="AV60" s="96"/>
      <c r="AW60" s="93"/>
      <c r="AX60" s="96"/>
      <c r="AY60" s="98"/>
      <c r="AZ60" s="98"/>
      <c r="BA60" s="99">
        <f t="shared" si="66"/>
        <v>0</v>
      </c>
      <c r="BB60" s="99"/>
      <c r="BC60" s="96"/>
      <c r="BD60" s="96"/>
      <c r="BE60" s="93"/>
      <c r="BF60" s="96"/>
      <c r="BG60" s="102"/>
      <c r="BH60" s="102"/>
      <c r="BI60" s="93">
        <f t="shared" si="67"/>
        <v>0</v>
      </c>
      <c r="BJ60" s="93"/>
      <c r="BK60" s="93"/>
      <c r="BL60" s="103"/>
      <c r="BM60" s="93"/>
      <c r="BN60" s="103"/>
      <c r="BO60" s="94"/>
      <c r="BP60" s="94"/>
      <c r="BQ60" s="93">
        <f t="shared" si="68"/>
        <v>0</v>
      </c>
      <c r="BR60" s="93"/>
      <c r="BS60" s="93"/>
      <c r="BT60" s="103"/>
      <c r="BU60" s="93"/>
      <c r="BV60" s="103"/>
      <c r="BW60" s="94"/>
      <c r="BX60" s="94"/>
      <c r="BY60" s="93">
        <f t="shared" si="69"/>
        <v>0</v>
      </c>
      <c r="BZ60" s="93"/>
      <c r="CA60" s="104"/>
      <c r="CB60" s="105"/>
      <c r="CC60" s="106"/>
      <c r="CD60" s="107"/>
      <c r="CE60" s="94"/>
      <c r="CF60" s="94"/>
      <c r="CG60" s="93">
        <f t="shared" si="70"/>
        <v>0</v>
      </c>
      <c r="CH60" s="93"/>
      <c r="CI60" s="106"/>
      <c r="CJ60" s="105"/>
      <c r="CK60" s="93"/>
      <c r="CL60" s="105"/>
      <c r="CM60" s="108"/>
      <c r="CN60" s="108"/>
      <c r="CO60" s="93">
        <f t="shared" si="71"/>
        <v>0</v>
      </c>
      <c r="CP60" s="93"/>
      <c r="CQ60" s="93"/>
      <c r="CR60" s="93"/>
      <c r="CS60" s="93"/>
      <c r="CT60" s="93"/>
      <c r="CU60" s="93"/>
      <c r="CV60" s="93"/>
      <c r="CW60" s="93">
        <f t="shared" si="72"/>
        <v>0</v>
      </c>
      <c r="CX60" s="93"/>
      <c r="CY60" s="93" t="str">
        <f>TEXT(X60,"MMMM")</f>
        <v>enero</v>
      </c>
      <c r="CZ60" s="93" t="str">
        <f t="shared" si="73"/>
        <v>enero</v>
      </c>
      <c r="DA60" s="93" t="str">
        <f t="shared" si="74"/>
        <v>enero</v>
      </c>
      <c r="DB60" s="93" t="str">
        <f t="shared" si="75"/>
        <v>enero</v>
      </c>
      <c r="DC60" s="93" t="str">
        <f t="shared" si="76"/>
        <v>enero</v>
      </c>
      <c r="DD60" s="93" t="str">
        <f t="shared" si="77"/>
        <v>enero</v>
      </c>
      <c r="DE60" s="93" t="str">
        <f t="shared" si="78"/>
        <v>enero</v>
      </c>
      <c r="DF60" s="93" t="str">
        <f t="shared" si="79"/>
        <v>enero</v>
      </c>
      <c r="DG60" s="93" t="str">
        <f t="shared" si="80"/>
        <v>enero</v>
      </c>
      <c r="DH60" s="93" t="str">
        <f t="shared" si="81"/>
        <v>enero</v>
      </c>
    </row>
    <row r="61" spans="1:112" ht="15" hidden="1" customHeight="1">
      <c r="A61" s="93">
        <v>393</v>
      </c>
      <c r="B61" s="93" t="e">
        <f>VLOOKUP($A61,  'Matriz POA 2024-TRABAJO'!$A$5:$CY$9142,29,FALSE)</f>
        <v>#N/A</v>
      </c>
      <c r="C61" s="93" t="e">
        <f>VLOOKUP($A61, 'Matriz POA 2024-TRABAJO'!$A$5:$CY$9142,11,FALSE)</f>
        <v>#N/A</v>
      </c>
      <c r="D61" s="93" t="e">
        <f>VLOOKUP($A61, 'Matriz POA 2024-TRABAJO'!$A$5:$CY$9142,14,FALSE)</f>
        <v>#N/A</v>
      </c>
      <c r="E61" s="93" t="e">
        <f>VLOOKUP($A61, 'Matriz POA 2024-TRABAJO'!$A$5:$CY$9142,15,FALSE)</f>
        <v>#N/A</v>
      </c>
      <c r="F61" s="93" t="e">
        <f>VLOOKUP($A61, 'Matriz POA 2024-TRABAJO'!$A$5:$CY$9142,18,FALSE)</f>
        <v>#N/A</v>
      </c>
      <c r="G61" s="93" t="e">
        <f>VLOOKUP($A61, 'Matriz POA 2024-TRABAJO'!$A$5:$CY$9142,23,FALSE)</f>
        <v>#N/A</v>
      </c>
      <c r="H61" s="93" t="e">
        <f>VLOOKUP($A61, 'Matriz POA 2024-TRABAJO'!$A$5:$CY$9142,24,FALSE)</f>
        <v>#N/A</v>
      </c>
      <c r="I61" s="93" t="e">
        <f>VLOOKUP($A61, 'Matriz POA 2024-TRABAJO'!$A$5:$CY$9142,20,FALSE)</f>
        <v>#N/A</v>
      </c>
      <c r="J61" s="93" t="e">
        <f>VLOOKUP($A61, 'Matriz POA 2024-TRABAJO'!$A$5:$CY$9142,26,FALSE)</f>
        <v>#N/A</v>
      </c>
      <c r="K61" s="93" t="e">
        <f>VLOOKUP($A61, 'Matriz POA 2024-TRABAJO'!$A$5:$CY$9142,27,FALSE)</f>
        <v>#N/A</v>
      </c>
      <c r="L61" s="93" t="e">
        <f>VLOOKUP($A61, 'Matriz POA 2024-TRABAJO'!$A$5:$CY$9142,28,FALSE)</f>
        <v>#N/A</v>
      </c>
      <c r="M61" s="93" t="e">
        <f>VLOOKUP($A61, 'Matriz POA 2024-TRABAJO'!$A$5:$CY$9142,30,FALSE)</f>
        <v>#N/A</v>
      </c>
      <c r="N61" s="93" t="e">
        <f>VLOOKUP($A61, 'Matriz POA 2024-TRABAJO'!$A$5:$CY$9142,31,FALSE)</f>
        <v>#N/A</v>
      </c>
      <c r="O61" s="93" t="e">
        <f>VLOOKUP($A61, 'Matriz POA 2024-TRABAJO'!$A$5:$CY$9142,45,FALSE)</f>
        <v>#N/A</v>
      </c>
      <c r="P61" s="93" t="e">
        <f>VLOOKUP($A61, 'Matriz POA 2024-TRABAJO'!$A$5:$CY$9142,46,FALSE)</f>
        <v>#N/A</v>
      </c>
      <c r="Q61" s="93" t="e">
        <f>VLOOKUP($A61, 'Matriz POA 2024-TRABAJO'!$A$5:$CY$9142,47,FALSE)</f>
        <v>#N/A</v>
      </c>
      <c r="R61" s="94">
        <f t="shared" si="20"/>
        <v>24.19</v>
      </c>
      <c r="S61" s="95" t="e">
        <f t="shared" si="21"/>
        <v>#N/A</v>
      </c>
      <c r="T61" s="93" t="e">
        <f>VLOOKUP($A61, 'Matriz POA 2024-TRABAJO'!$A$5:$CY$9142,72,FALSE)</f>
        <v>#N/A</v>
      </c>
      <c r="U61" s="93" t="e">
        <f>VLOOKUP($A61, 'Matriz POA 2024-TRABAJO'!$A$5:$CY$9142,29,FALSE)</f>
        <v>#N/A</v>
      </c>
      <c r="V61" s="94" t="str">
        <f t="shared" si="62"/>
        <v>12ar-</v>
      </c>
      <c r="W61" s="97" t="s">
        <v>1155</v>
      </c>
      <c r="X61" s="109">
        <v>45320</v>
      </c>
      <c r="Y61" s="99" t="s">
        <v>1156</v>
      </c>
      <c r="Z61" s="109">
        <v>45320</v>
      </c>
      <c r="AA61" s="98">
        <v>24.19</v>
      </c>
      <c r="AB61" s="98"/>
      <c r="AC61" s="99">
        <f t="shared" si="63"/>
        <v>0</v>
      </c>
      <c r="AD61" s="110" t="s">
        <v>1157</v>
      </c>
      <c r="AE61" s="97"/>
      <c r="AF61" s="101"/>
      <c r="AG61" s="97"/>
      <c r="AH61" s="101"/>
      <c r="AI61" s="98"/>
      <c r="AJ61" s="98"/>
      <c r="AK61" s="99">
        <f t="shared" si="64"/>
        <v>0</v>
      </c>
      <c r="AL61" s="99"/>
      <c r="AM61" s="98"/>
      <c r="AN61" s="96"/>
      <c r="AO61" s="97"/>
      <c r="AP61" s="101"/>
      <c r="AQ61" s="98"/>
      <c r="AR61" s="98"/>
      <c r="AS61" s="99">
        <f t="shared" si="65"/>
        <v>0</v>
      </c>
      <c r="AT61" s="99"/>
      <c r="AU61" s="96"/>
      <c r="AV61" s="96"/>
      <c r="AW61" s="93"/>
      <c r="AX61" s="96"/>
      <c r="AY61" s="98"/>
      <c r="AZ61" s="98"/>
      <c r="BA61" s="99">
        <f t="shared" si="66"/>
        <v>0</v>
      </c>
      <c r="BB61" s="99"/>
      <c r="BC61" s="96"/>
      <c r="BD61" s="96"/>
      <c r="BE61" s="93"/>
      <c r="BF61" s="96"/>
      <c r="BG61" s="102"/>
      <c r="BH61" s="102"/>
      <c r="BI61" s="93">
        <f t="shared" si="67"/>
        <v>0</v>
      </c>
      <c r="BJ61" s="93"/>
      <c r="BK61" s="93"/>
      <c r="BL61" s="103"/>
      <c r="BM61" s="93"/>
      <c r="BN61" s="103"/>
      <c r="BO61" s="94"/>
      <c r="BP61" s="94"/>
      <c r="BQ61" s="93">
        <f t="shared" si="68"/>
        <v>0</v>
      </c>
      <c r="BR61" s="93"/>
      <c r="BS61" s="93"/>
      <c r="BT61" s="103"/>
      <c r="BU61" s="93"/>
      <c r="BV61" s="103"/>
      <c r="BW61" s="94"/>
      <c r="BX61" s="94"/>
      <c r="BY61" s="93">
        <f t="shared" si="69"/>
        <v>0</v>
      </c>
      <c r="BZ61" s="93"/>
      <c r="CA61" s="104"/>
      <c r="CB61" s="105"/>
      <c r="CC61" s="106"/>
      <c r="CD61" s="107"/>
      <c r="CE61" s="94"/>
      <c r="CF61" s="94"/>
      <c r="CG61" s="93">
        <f t="shared" si="70"/>
        <v>0</v>
      </c>
      <c r="CH61" s="93"/>
      <c r="CI61" s="106"/>
      <c r="CJ61" s="105"/>
      <c r="CK61" s="93"/>
      <c r="CL61" s="105"/>
      <c r="CM61" s="108"/>
      <c r="CN61" s="108"/>
      <c r="CO61" s="93">
        <f t="shared" si="71"/>
        <v>0</v>
      </c>
      <c r="CP61" s="93"/>
      <c r="CQ61" s="93"/>
      <c r="CR61" s="93"/>
      <c r="CS61" s="93"/>
      <c r="CT61" s="93"/>
      <c r="CU61" s="93"/>
      <c r="CV61" s="93"/>
      <c r="CW61" s="93">
        <f t="shared" si="72"/>
        <v>0</v>
      </c>
      <c r="CX61" s="93"/>
      <c r="CY61" s="93" t="str">
        <f>TEXT(X61,"MMMM")</f>
        <v>enero</v>
      </c>
      <c r="CZ61" s="93" t="str">
        <f t="shared" si="73"/>
        <v>enero</v>
      </c>
      <c r="DA61" s="93" t="str">
        <f t="shared" si="74"/>
        <v>enero</v>
      </c>
      <c r="DB61" s="93" t="str">
        <f t="shared" si="75"/>
        <v>enero</v>
      </c>
      <c r="DC61" s="93" t="str">
        <f t="shared" si="76"/>
        <v>enero</v>
      </c>
      <c r="DD61" s="93" t="str">
        <f t="shared" si="77"/>
        <v>enero</v>
      </c>
      <c r="DE61" s="93" t="str">
        <f t="shared" si="78"/>
        <v>enero</v>
      </c>
      <c r="DF61" s="93" t="str">
        <f t="shared" si="79"/>
        <v>enero</v>
      </c>
      <c r="DG61" s="93" t="str">
        <f t="shared" si="80"/>
        <v>enero</v>
      </c>
      <c r="DH61" s="93" t="str">
        <f t="shared" si="81"/>
        <v>enero</v>
      </c>
    </row>
    <row r="62" spans="1:112" s="21" customFormat="1" ht="26.45" hidden="1" customHeight="1">
      <c r="A62" s="93">
        <v>394</v>
      </c>
      <c r="B62" s="93" t="e">
        <f>VLOOKUP($A62,  'Matriz POA 2024-TRABAJO'!$A$5:$CY$9142,29,FALSE)</f>
        <v>#N/A</v>
      </c>
      <c r="C62" s="93" t="e">
        <f>VLOOKUP($A62, 'Matriz POA 2024-TRABAJO'!$A$5:$CY$9142,11,FALSE)</f>
        <v>#N/A</v>
      </c>
      <c r="D62" s="93" t="e">
        <f>VLOOKUP($A62, 'Matriz POA 2024-TRABAJO'!$A$5:$CY$9142,14,FALSE)</f>
        <v>#N/A</v>
      </c>
      <c r="E62" s="93" t="e">
        <f>VLOOKUP($A62, 'Matriz POA 2024-TRABAJO'!$A$5:$CY$9142,15,FALSE)</f>
        <v>#N/A</v>
      </c>
      <c r="F62" s="93" t="e">
        <f>VLOOKUP($A62, 'Matriz POA 2024-TRABAJO'!$A$5:$CY$9142,18,FALSE)</f>
        <v>#N/A</v>
      </c>
      <c r="G62" s="93" t="e">
        <f>VLOOKUP($A62, 'Matriz POA 2024-TRABAJO'!$A$5:$CY$9142,23,FALSE)</f>
        <v>#N/A</v>
      </c>
      <c r="H62" s="93" t="e">
        <f>VLOOKUP($A62, 'Matriz POA 2024-TRABAJO'!$A$5:$CY$9142,24,FALSE)</f>
        <v>#N/A</v>
      </c>
      <c r="I62" s="93" t="e">
        <f>VLOOKUP($A62, 'Matriz POA 2024-TRABAJO'!$A$5:$CY$9142,20,FALSE)</f>
        <v>#N/A</v>
      </c>
      <c r="J62" s="93" t="e">
        <f>VLOOKUP($A62, 'Matriz POA 2024-TRABAJO'!$A$5:$CY$9142,26,FALSE)</f>
        <v>#N/A</v>
      </c>
      <c r="K62" s="93" t="e">
        <f>VLOOKUP($A62, 'Matriz POA 2024-TRABAJO'!$A$5:$CY$9142,27,FALSE)</f>
        <v>#N/A</v>
      </c>
      <c r="L62" s="93" t="e">
        <f>VLOOKUP($A62, 'Matriz POA 2024-TRABAJO'!$A$5:$CY$9142,28,FALSE)</f>
        <v>#N/A</v>
      </c>
      <c r="M62" s="93" t="e">
        <f>VLOOKUP($A62, 'Matriz POA 2024-TRABAJO'!$A$5:$CY$9142,30,FALSE)</f>
        <v>#N/A</v>
      </c>
      <c r="N62" s="93" t="e">
        <f>VLOOKUP($A62, 'Matriz POA 2024-TRABAJO'!$A$5:$CY$9142,31,FALSE)</f>
        <v>#N/A</v>
      </c>
      <c r="O62" s="93" t="e">
        <f>VLOOKUP($A62, 'Matriz POA 2024-TRABAJO'!$A$5:$CY$9142,45,FALSE)</f>
        <v>#N/A</v>
      </c>
      <c r="P62" s="93" t="e">
        <f>VLOOKUP($A62, 'Matriz POA 2024-TRABAJO'!$A$5:$CY$9142,46,FALSE)</f>
        <v>#N/A</v>
      </c>
      <c r="Q62" s="93" t="e">
        <f>VLOOKUP($A62, 'Matriz POA 2024-TRABAJO'!$A$5:$CY$9142,47,FALSE)</f>
        <v>#N/A</v>
      </c>
      <c r="R62" s="94">
        <f t="shared" si="20"/>
        <v>184.08</v>
      </c>
      <c r="S62" s="95" t="e">
        <f t="shared" si="21"/>
        <v>#N/A</v>
      </c>
      <c r="T62" s="93" t="e">
        <f>VLOOKUP($A62, 'Matriz POA 2024-TRABAJO'!$A$5:$CY$9142,72,FALSE)</f>
        <v>#N/A</v>
      </c>
      <c r="U62" s="93" t="e">
        <f>VLOOKUP($A62, 'Matriz POA 2024-TRABAJO'!$A$5:$CY$9142,29,FALSE)</f>
        <v>#N/A</v>
      </c>
      <c r="V62" s="94" t="str">
        <f t="shared" si="62"/>
        <v>12ar-</v>
      </c>
      <c r="W62" s="97" t="s">
        <v>1155</v>
      </c>
      <c r="X62" s="109">
        <v>45320</v>
      </c>
      <c r="Y62" s="99" t="s">
        <v>1156</v>
      </c>
      <c r="Z62" s="109">
        <v>45320</v>
      </c>
      <c r="AA62" s="98">
        <v>184.08</v>
      </c>
      <c r="AB62" s="98"/>
      <c r="AC62" s="99">
        <f t="shared" si="63"/>
        <v>0</v>
      </c>
      <c r="AD62" s="110" t="s">
        <v>1157</v>
      </c>
      <c r="AE62" s="97"/>
      <c r="AF62" s="101"/>
      <c r="AG62" s="97"/>
      <c r="AH62" s="101"/>
      <c r="AI62" s="98"/>
      <c r="AJ62" s="98">
        <f>AI62*-1</f>
        <v>0</v>
      </c>
      <c r="AK62" s="99">
        <f t="shared" si="64"/>
        <v>0</v>
      </c>
      <c r="AL62" s="99"/>
      <c r="AM62" s="98"/>
      <c r="AN62" s="96"/>
      <c r="AO62" s="97"/>
      <c r="AP62" s="101"/>
      <c r="AQ62" s="98"/>
      <c r="AR62" s="98"/>
      <c r="AS62" s="99">
        <f t="shared" si="65"/>
        <v>0</v>
      </c>
      <c r="AT62" s="99"/>
      <c r="AU62" s="96"/>
      <c r="AV62" s="96"/>
      <c r="AW62" s="93"/>
      <c r="AX62" s="96"/>
      <c r="AY62" s="98"/>
      <c r="AZ62" s="98"/>
      <c r="BA62" s="99">
        <f t="shared" si="66"/>
        <v>0</v>
      </c>
      <c r="BB62" s="99"/>
      <c r="BC62" s="96"/>
      <c r="BD62" s="96"/>
      <c r="BE62" s="93"/>
      <c r="BF62" s="96"/>
      <c r="BG62" s="102"/>
      <c r="BH62" s="102"/>
      <c r="BI62" s="93">
        <f t="shared" si="67"/>
        <v>0</v>
      </c>
      <c r="BJ62" s="93"/>
      <c r="BK62" s="93"/>
      <c r="BL62" s="103"/>
      <c r="BM62" s="93"/>
      <c r="BN62" s="103"/>
      <c r="BO62" s="94"/>
      <c r="BP62" s="94"/>
      <c r="BQ62" s="93">
        <f t="shared" si="68"/>
        <v>0</v>
      </c>
      <c r="BR62" s="93"/>
      <c r="BS62" s="93"/>
      <c r="BT62" s="103"/>
      <c r="BU62" s="93"/>
      <c r="BV62" s="103"/>
      <c r="BW62" s="94"/>
      <c r="BX62" s="94"/>
      <c r="BY62" s="93">
        <f t="shared" si="69"/>
        <v>0</v>
      </c>
      <c r="BZ62" s="93"/>
      <c r="CA62" s="104"/>
      <c r="CB62" s="105"/>
      <c r="CC62" s="106"/>
      <c r="CD62" s="107"/>
      <c r="CE62" s="94"/>
      <c r="CF62" s="94"/>
      <c r="CG62" s="93">
        <f t="shared" si="70"/>
        <v>0</v>
      </c>
      <c r="CH62" s="93"/>
      <c r="CI62" s="106"/>
      <c r="CJ62" s="105"/>
      <c r="CK62" s="93"/>
      <c r="CL62" s="105"/>
      <c r="CM62" s="108"/>
      <c r="CN62" s="108"/>
      <c r="CO62" s="93">
        <f t="shared" si="71"/>
        <v>0</v>
      </c>
      <c r="CP62" s="93"/>
      <c r="CQ62" s="93"/>
      <c r="CR62" s="93"/>
      <c r="CS62" s="93"/>
      <c r="CT62" s="93"/>
      <c r="CU62" s="93"/>
      <c r="CV62" s="93"/>
      <c r="CW62" s="93">
        <f t="shared" si="72"/>
        <v>0</v>
      </c>
      <c r="CX62" s="93"/>
      <c r="CY62" s="93" t="str">
        <f>TEXT(Z62,"MMMM")</f>
        <v>enero</v>
      </c>
      <c r="CZ62" s="93" t="str">
        <f t="shared" si="73"/>
        <v>enero</v>
      </c>
      <c r="DA62" s="93" t="str">
        <f t="shared" si="74"/>
        <v>enero</v>
      </c>
      <c r="DB62" s="93" t="str">
        <f t="shared" si="75"/>
        <v>enero</v>
      </c>
      <c r="DC62" s="93" t="str">
        <f t="shared" si="76"/>
        <v>enero</v>
      </c>
      <c r="DD62" s="93" t="str">
        <f t="shared" si="77"/>
        <v>enero</v>
      </c>
      <c r="DE62" s="93" t="str">
        <f t="shared" si="78"/>
        <v>enero</v>
      </c>
      <c r="DF62" s="93" t="str">
        <f t="shared" si="79"/>
        <v>enero</v>
      </c>
      <c r="DG62" s="93" t="str">
        <f t="shared" si="80"/>
        <v>enero</v>
      </c>
      <c r="DH62" s="93" t="str">
        <f t="shared" si="81"/>
        <v>enero</v>
      </c>
    </row>
    <row r="63" spans="1:112" s="21" customFormat="1" ht="18.75" hidden="1" customHeight="1">
      <c r="A63" s="93">
        <v>395</v>
      </c>
      <c r="B63" s="93" t="e">
        <f>VLOOKUP($A63,  'Matriz POA 2024-TRABAJO'!$A$5:$CY$9142,29,FALSE)</f>
        <v>#N/A</v>
      </c>
      <c r="C63" s="93" t="e">
        <f>VLOOKUP($A63, 'Matriz POA 2024-TRABAJO'!$A$5:$CY$9142,11,FALSE)</f>
        <v>#N/A</v>
      </c>
      <c r="D63" s="93" t="e">
        <f>VLOOKUP($A63, 'Matriz POA 2024-TRABAJO'!$A$5:$CY$9142,14,FALSE)</f>
        <v>#N/A</v>
      </c>
      <c r="E63" s="93" t="e">
        <f>VLOOKUP($A63, 'Matriz POA 2024-TRABAJO'!$A$5:$CY$9142,15,FALSE)</f>
        <v>#N/A</v>
      </c>
      <c r="F63" s="93" t="e">
        <f>VLOOKUP($A63, 'Matriz POA 2024-TRABAJO'!$A$5:$CY$9142,18,FALSE)</f>
        <v>#N/A</v>
      </c>
      <c r="G63" s="93" t="e">
        <f>VLOOKUP($A63, 'Matriz POA 2024-TRABAJO'!$A$5:$CY$9142,23,FALSE)</f>
        <v>#N/A</v>
      </c>
      <c r="H63" s="93" t="e">
        <f>VLOOKUP($A63, 'Matriz POA 2024-TRABAJO'!$A$5:$CY$9142,24,FALSE)</f>
        <v>#N/A</v>
      </c>
      <c r="I63" s="93" t="e">
        <f>VLOOKUP($A63, 'Matriz POA 2024-TRABAJO'!$A$5:$CY$9142,20,FALSE)</f>
        <v>#N/A</v>
      </c>
      <c r="J63" s="93" t="e">
        <f>VLOOKUP($A63, 'Matriz POA 2024-TRABAJO'!$A$5:$CY$9142,26,FALSE)</f>
        <v>#N/A</v>
      </c>
      <c r="K63" s="93" t="e">
        <f>VLOOKUP($A63, 'Matriz POA 2024-TRABAJO'!$A$5:$CY$9142,27,FALSE)</f>
        <v>#N/A</v>
      </c>
      <c r="L63" s="93" t="e">
        <f>VLOOKUP($A63, 'Matriz POA 2024-TRABAJO'!$A$5:$CY$9142,28,FALSE)</f>
        <v>#N/A</v>
      </c>
      <c r="M63" s="93" t="e">
        <f>VLOOKUP($A63, 'Matriz POA 2024-TRABAJO'!$A$5:$CY$9142,30,FALSE)</f>
        <v>#N/A</v>
      </c>
      <c r="N63" s="93" t="e">
        <f>VLOOKUP($A63, 'Matriz POA 2024-TRABAJO'!$A$5:$CY$9142,31,FALSE)</f>
        <v>#N/A</v>
      </c>
      <c r="O63" s="93" t="e">
        <f>VLOOKUP($A63, 'Matriz POA 2024-TRABAJO'!$A$5:$CY$9142,45,FALSE)</f>
        <v>#N/A</v>
      </c>
      <c r="P63" s="93" t="e">
        <f>VLOOKUP($A63, 'Matriz POA 2024-TRABAJO'!$A$5:$CY$9142,46,FALSE)</f>
        <v>#N/A</v>
      </c>
      <c r="Q63" s="93" t="e">
        <f>VLOOKUP($A63, 'Matriz POA 2024-TRABAJO'!$A$5:$CY$9142,47,FALSE)</f>
        <v>#N/A</v>
      </c>
      <c r="R63" s="94">
        <f t="shared" si="20"/>
        <v>269.94</v>
      </c>
      <c r="S63" s="95" t="e">
        <f t="shared" si="21"/>
        <v>#N/A</v>
      </c>
      <c r="T63" s="93" t="e">
        <f>VLOOKUP($A63, 'Matriz POA 2024-TRABAJO'!$A$5:$CY$9142,72,FALSE)</f>
        <v>#N/A</v>
      </c>
      <c r="U63" s="93" t="e">
        <f>VLOOKUP($A63, 'Matriz POA 2024-TRABAJO'!$A$5:$CY$9142,29,FALSE)</f>
        <v>#N/A</v>
      </c>
      <c r="V63" s="94" t="str">
        <f t="shared" si="62"/>
        <v>12ar-</v>
      </c>
      <c r="W63" s="97" t="s">
        <v>1155</v>
      </c>
      <c r="X63" s="109">
        <v>45320</v>
      </c>
      <c r="Y63" s="99" t="s">
        <v>1156</v>
      </c>
      <c r="Z63" s="109">
        <v>45320</v>
      </c>
      <c r="AA63" s="98">
        <v>269.94</v>
      </c>
      <c r="AB63" s="98"/>
      <c r="AC63" s="99">
        <f t="shared" si="63"/>
        <v>0</v>
      </c>
      <c r="AD63" s="110" t="s">
        <v>1157</v>
      </c>
      <c r="AE63" s="97"/>
      <c r="AF63" s="101"/>
      <c r="AG63" s="97"/>
      <c r="AH63" s="101"/>
      <c r="AI63" s="98"/>
      <c r="AJ63" s="98">
        <f>AI63*-1</f>
        <v>0</v>
      </c>
      <c r="AK63" s="99">
        <f t="shared" si="64"/>
        <v>0</v>
      </c>
      <c r="AL63" s="99"/>
      <c r="AM63" s="98"/>
      <c r="AN63" s="96"/>
      <c r="AO63" s="97"/>
      <c r="AP63" s="101"/>
      <c r="AQ63" s="98"/>
      <c r="AR63" s="98"/>
      <c r="AS63" s="99">
        <f t="shared" si="65"/>
        <v>0</v>
      </c>
      <c r="AT63" s="99"/>
      <c r="AU63" s="96"/>
      <c r="AV63" s="96"/>
      <c r="AW63" s="93"/>
      <c r="AX63" s="96"/>
      <c r="AY63" s="98"/>
      <c r="AZ63" s="98"/>
      <c r="BA63" s="99">
        <f t="shared" si="66"/>
        <v>0</v>
      </c>
      <c r="BB63" s="99"/>
      <c r="BC63" s="96"/>
      <c r="BD63" s="96"/>
      <c r="BE63" s="93"/>
      <c r="BF63" s="96"/>
      <c r="BG63" s="102"/>
      <c r="BH63" s="102"/>
      <c r="BI63" s="93">
        <f t="shared" si="67"/>
        <v>0</v>
      </c>
      <c r="BJ63" s="93"/>
      <c r="BK63" s="93"/>
      <c r="BL63" s="103"/>
      <c r="BM63" s="93"/>
      <c r="BN63" s="103"/>
      <c r="BO63" s="94"/>
      <c r="BP63" s="94"/>
      <c r="BQ63" s="93">
        <f t="shared" si="68"/>
        <v>0</v>
      </c>
      <c r="BR63" s="93"/>
      <c r="BS63" s="93"/>
      <c r="BT63" s="103"/>
      <c r="BU63" s="93"/>
      <c r="BV63" s="103"/>
      <c r="BW63" s="94"/>
      <c r="BX63" s="94"/>
      <c r="BY63" s="93">
        <f t="shared" si="69"/>
        <v>0</v>
      </c>
      <c r="BZ63" s="93"/>
      <c r="CA63" s="104"/>
      <c r="CB63" s="105"/>
      <c r="CC63" s="106"/>
      <c r="CD63" s="107"/>
      <c r="CE63" s="94"/>
      <c r="CF63" s="94"/>
      <c r="CG63" s="93">
        <f t="shared" si="70"/>
        <v>0</v>
      </c>
      <c r="CH63" s="93"/>
      <c r="CI63" s="106"/>
      <c r="CJ63" s="105"/>
      <c r="CK63" s="93"/>
      <c r="CL63" s="105"/>
      <c r="CM63" s="108"/>
      <c r="CN63" s="108"/>
      <c r="CO63" s="93">
        <f t="shared" si="71"/>
        <v>0</v>
      </c>
      <c r="CP63" s="93"/>
      <c r="CQ63" s="93"/>
      <c r="CR63" s="93"/>
      <c r="CS63" s="93"/>
      <c r="CT63" s="93"/>
      <c r="CU63" s="93"/>
      <c r="CV63" s="93"/>
      <c r="CW63" s="93">
        <f t="shared" si="72"/>
        <v>0</v>
      </c>
      <c r="CX63" s="93"/>
      <c r="CY63" s="93" t="str">
        <f>TEXT(X63,"MMMM")</f>
        <v>enero</v>
      </c>
      <c r="CZ63" s="93" t="str">
        <f t="shared" si="73"/>
        <v>enero</v>
      </c>
      <c r="DA63" s="93" t="str">
        <f t="shared" si="74"/>
        <v>enero</v>
      </c>
      <c r="DB63" s="93" t="str">
        <f t="shared" si="75"/>
        <v>enero</v>
      </c>
      <c r="DC63" s="93" t="str">
        <f t="shared" si="76"/>
        <v>enero</v>
      </c>
      <c r="DD63" s="93" t="str">
        <f t="shared" si="77"/>
        <v>enero</v>
      </c>
      <c r="DE63" s="93" t="str">
        <f t="shared" si="78"/>
        <v>enero</v>
      </c>
      <c r="DF63" s="93" t="str">
        <f t="shared" si="79"/>
        <v>enero</v>
      </c>
      <c r="DG63" s="93" t="str">
        <f t="shared" si="80"/>
        <v>enero</v>
      </c>
      <c r="DH63" s="93" t="str">
        <f t="shared" si="81"/>
        <v>enero</v>
      </c>
    </row>
    <row r="64" spans="1:112" s="21" customFormat="1" ht="18.75" hidden="1" customHeight="1">
      <c r="A64" s="93">
        <v>396</v>
      </c>
      <c r="B64" s="93" t="e">
        <f>VLOOKUP($A64,  'Matriz POA 2024-TRABAJO'!$A$5:$CY$9142,29,FALSE)</f>
        <v>#N/A</v>
      </c>
      <c r="C64" s="93" t="e">
        <f>VLOOKUP($A64, 'Matriz POA 2024-TRABAJO'!$A$5:$CY$9142,11,FALSE)</f>
        <v>#N/A</v>
      </c>
      <c r="D64" s="93" t="e">
        <f>VLOOKUP($A64, 'Matriz POA 2024-TRABAJO'!$A$5:$CY$9142,14,FALSE)</f>
        <v>#N/A</v>
      </c>
      <c r="E64" s="93" t="e">
        <f>VLOOKUP($A64, 'Matriz POA 2024-TRABAJO'!$A$5:$CY$9142,15,FALSE)</f>
        <v>#N/A</v>
      </c>
      <c r="F64" s="93" t="e">
        <f>VLOOKUP($A64, 'Matriz POA 2024-TRABAJO'!$A$5:$CY$9142,18,FALSE)</f>
        <v>#N/A</v>
      </c>
      <c r="G64" s="93" t="e">
        <f>VLOOKUP($A64, 'Matriz POA 2024-TRABAJO'!$A$5:$CY$9142,23,FALSE)</f>
        <v>#N/A</v>
      </c>
      <c r="H64" s="93" t="e">
        <f>VLOOKUP($A64, 'Matriz POA 2024-TRABAJO'!$A$5:$CY$9142,24,FALSE)</f>
        <v>#N/A</v>
      </c>
      <c r="I64" s="93" t="e">
        <f>VLOOKUP($A64, 'Matriz POA 2024-TRABAJO'!$A$5:$CY$9142,20,FALSE)</f>
        <v>#N/A</v>
      </c>
      <c r="J64" s="93" t="e">
        <f>VLOOKUP($A64, 'Matriz POA 2024-TRABAJO'!$A$5:$CY$9142,26,FALSE)</f>
        <v>#N/A</v>
      </c>
      <c r="K64" s="93" t="e">
        <f>VLOOKUP($A64, 'Matriz POA 2024-TRABAJO'!$A$5:$CY$9142,27,FALSE)</f>
        <v>#N/A</v>
      </c>
      <c r="L64" s="93" t="e">
        <f>VLOOKUP($A64, 'Matriz POA 2024-TRABAJO'!$A$5:$CY$9142,28,FALSE)</f>
        <v>#N/A</v>
      </c>
      <c r="M64" s="93" t="e">
        <f>VLOOKUP($A64, 'Matriz POA 2024-TRABAJO'!$A$5:$CY$9142,30,FALSE)</f>
        <v>#N/A</v>
      </c>
      <c r="N64" s="93" t="e">
        <f>VLOOKUP($A64, 'Matriz POA 2024-TRABAJO'!$A$5:$CY$9142,31,FALSE)</f>
        <v>#N/A</v>
      </c>
      <c r="O64" s="93" t="e">
        <f>VLOOKUP($A64, 'Matriz POA 2024-TRABAJO'!$A$5:$CY$9142,45,FALSE)</f>
        <v>#N/A</v>
      </c>
      <c r="P64" s="93" t="e">
        <f>VLOOKUP($A64, 'Matriz POA 2024-TRABAJO'!$A$5:$CY$9142,46,FALSE)</f>
        <v>#N/A</v>
      </c>
      <c r="Q64" s="93" t="e">
        <f>VLOOKUP($A64, 'Matriz POA 2024-TRABAJO'!$A$5:$CY$9142,47,FALSE)</f>
        <v>#N/A</v>
      </c>
      <c r="R64" s="94">
        <f t="shared" si="20"/>
        <v>83172</v>
      </c>
      <c r="S64" s="95" t="e">
        <f t="shared" si="21"/>
        <v>#N/A</v>
      </c>
      <c r="T64" s="93" t="e">
        <f>VLOOKUP($A64, 'Matriz POA 2024-TRABAJO'!$A$5:$CY$9142,72,FALSE)</f>
        <v>#N/A</v>
      </c>
      <c r="U64" s="93" t="e">
        <f>VLOOKUP($A64, 'Matriz POA 2024-TRABAJO'!$A$5:$CY$9142,29,FALSE)</f>
        <v>#N/A</v>
      </c>
      <c r="V64" s="94" t="str">
        <f t="shared" si="62"/>
        <v>12ar-</v>
      </c>
      <c r="W64" s="97" t="s">
        <v>1155</v>
      </c>
      <c r="X64" s="109">
        <v>45320</v>
      </c>
      <c r="Y64" s="99" t="s">
        <v>1156</v>
      </c>
      <c r="Z64" s="109">
        <v>45320</v>
      </c>
      <c r="AA64" s="98">
        <v>83172</v>
      </c>
      <c r="AB64" s="98"/>
      <c r="AC64" s="99">
        <f t="shared" si="63"/>
        <v>0</v>
      </c>
      <c r="AD64" s="110" t="s">
        <v>1157</v>
      </c>
      <c r="AE64" s="97"/>
      <c r="AF64" s="101"/>
      <c r="AG64" s="97"/>
      <c r="AH64" s="101"/>
      <c r="AI64" s="98"/>
      <c r="AJ64" s="98">
        <f>AI64*-1</f>
        <v>0</v>
      </c>
      <c r="AK64" s="99">
        <f t="shared" si="64"/>
        <v>0</v>
      </c>
      <c r="AL64" s="99"/>
      <c r="AM64" s="98"/>
      <c r="AN64" s="96"/>
      <c r="AO64" s="97"/>
      <c r="AP64" s="101"/>
      <c r="AQ64" s="98"/>
      <c r="AR64" s="98"/>
      <c r="AS64" s="99">
        <f t="shared" si="65"/>
        <v>0</v>
      </c>
      <c r="AT64" s="99"/>
      <c r="AU64" s="96"/>
      <c r="AV64" s="96"/>
      <c r="AW64" s="93"/>
      <c r="AX64" s="96"/>
      <c r="AY64" s="98"/>
      <c r="AZ64" s="98"/>
      <c r="BA64" s="99">
        <f t="shared" si="66"/>
        <v>0</v>
      </c>
      <c r="BB64" s="99"/>
      <c r="BC64" s="96"/>
      <c r="BD64" s="96"/>
      <c r="BE64" s="93"/>
      <c r="BF64" s="96"/>
      <c r="BG64" s="102"/>
      <c r="BH64" s="102"/>
      <c r="BI64" s="93">
        <f t="shared" si="67"/>
        <v>0</v>
      </c>
      <c r="BJ64" s="93"/>
      <c r="BK64" s="93"/>
      <c r="BL64" s="103"/>
      <c r="BM64" s="93"/>
      <c r="BN64" s="103"/>
      <c r="BO64" s="94"/>
      <c r="BP64" s="94"/>
      <c r="BQ64" s="93">
        <f t="shared" si="68"/>
        <v>0</v>
      </c>
      <c r="BR64" s="93"/>
      <c r="BS64" s="93"/>
      <c r="BT64" s="103"/>
      <c r="BU64" s="93"/>
      <c r="BV64" s="103"/>
      <c r="BW64" s="94"/>
      <c r="BX64" s="94"/>
      <c r="BY64" s="93">
        <f t="shared" si="69"/>
        <v>0</v>
      </c>
      <c r="BZ64" s="93"/>
      <c r="CA64" s="104"/>
      <c r="CB64" s="105"/>
      <c r="CC64" s="106"/>
      <c r="CD64" s="107"/>
      <c r="CE64" s="94"/>
      <c r="CF64" s="94"/>
      <c r="CG64" s="93">
        <f t="shared" si="70"/>
        <v>0</v>
      </c>
      <c r="CH64" s="93"/>
      <c r="CI64" s="106"/>
      <c r="CJ64" s="105"/>
      <c r="CK64" s="93"/>
      <c r="CL64" s="105"/>
      <c r="CM64" s="108"/>
      <c r="CN64" s="108"/>
      <c r="CO64" s="93">
        <f t="shared" si="71"/>
        <v>0</v>
      </c>
      <c r="CP64" s="93"/>
      <c r="CQ64" s="93"/>
      <c r="CR64" s="93"/>
      <c r="CS64" s="93"/>
      <c r="CT64" s="93"/>
      <c r="CU64" s="93"/>
      <c r="CV64" s="93"/>
      <c r="CW64" s="93">
        <f t="shared" si="72"/>
        <v>0</v>
      </c>
      <c r="CX64" s="93"/>
      <c r="CY64" s="93" t="str">
        <f>TEXT(X64,"MMMM")</f>
        <v>enero</v>
      </c>
      <c r="CZ64" s="93" t="str">
        <f t="shared" si="73"/>
        <v>enero</v>
      </c>
      <c r="DA64" s="93" t="str">
        <f t="shared" si="74"/>
        <v>enero</v>
      </c>
      <c r="DB64" s="93" t="str">
        <f t="shared" si="75"/>
        <v>enero</v>
      </c>
      <c r="DC64" s="93" t="str">
        <f t="shared" si="76"/>
        <v>enero</v>
      </c>
      <c r="DD64" s="93" t="str">
        <f t="shared" si="77"/>
        <v>enero</v>
      </c>
      <c r="DE64" s="93" t="str">
        <f t="shared" si="78"/>
        <v>enero</v>
      </c>
      <c r="DF64" s="93" t="str">
        <f t="shared" si="79"/>
        <v>enero</v>
      </c>
      <c r="DG64" s="93" t="str">
        <f t="shared" si="80"/>
        <v>enero</v>
      </c>
      <c r="DH64" s="93" t="str">
        <f t="shared" si="81"/>
        <v>enero</v>
      </c>
    </row>
    <row r="65" spans="1:112" ht="15" hidden="1" customHeight="1">
      <c r="A65" s="93">
        <v>397</v>
      </c>
      <c r="B65" s="93" t="e">
        <f>VLOOKUP($A65,  'Matriz POA 2024-TRABAJO'!$A$5:$CY$9142,29,FALSE)</f>
        <v>#N/A</v>
      </c>
      <c r="C65" s="93" t="e">
        <f>VLOOKUP($A65, 'Matriz POA 2024-TRABAJO'!$A$5:$CY$9142,11,FALSE)</f>
        <v>#N/A</v>
      </c>
      <c r="D65" s="93" t="e">
        <f>VLOOKUP($A65, 'Matriz POA 2024-TRABAJO'!$A$5:$CY$9142,14,FALSE)</f>
        <v>#N/A</v>
      </c>
      <c r="E65" s="93" t="e">
        <f>VLOOKUP($A65, 'Matriz POA 2024-TRABAJO'!$A$5:$CY$9142,15,FALSE)</f>
        <v>#N/A</v>
      </c>
      <c r="F65" s="93" t="e">
        <f>VLOOKUP($A65, 'Matriz POA 2024-TRABAJO'!$A$5:$CY$9142,18,FALSE)</f>
        <v>#N/A</v>
      </c>
      <c r="G65" s="93" t="e">
        <f>VLOOKUP($A65, 'Matriz POA 2024-TRABAJO'!$A$5:$CY$9142,23,FALSE)</f>
        <v>#N/A</v>
      </c>
      <c r="H65" s="93" t="e">
        <f>VLOOKUP($A65, 'Matriz POA 2024-TRABAJO'!$A$5:$CY$9142,24,FALSE)</f>
        <v>#N/A</v>
      </c>
      <c r="I65" s="93" t="e">
        <f>VLOOKUP($A65, 'Matriz POA 2024-TRABAJO'!$A$5:$CY$9142,20,FALSE)</f>
        <v>#N/A</v>
      </c>
      <c r="J65" s="93" t="e">
        <f>VLOOKUP($A65, 'Matriz POA 2024-TRABAJO'!$A$5:$CY$9142,26,FALSE)</f>
        <v>#N/A</v>
      </c>
      <c r="K65" s="93" t="e">
        <f>VLOOKUP($A65, 'Matriz POA 2024-TRABAJO'!$A$5:$CY$9142,27,FALSE)</f>
        <v>#N/A</v>
      </c>
      <c r="L65" s="93" t="e">
        <f>VLOOKUP($A65, 'Matriz POA 2024-TRABAJO'!$A$5:$CY$9142,28,FALSE)</f>
        <v>#N/A</v>
      </c>
      <c r="M65" s="93" t="e">
        <f>VLOOKUP($A65, 'Matriz POA 2024-TRABAJO'!$A$5:$CY$9142,30,FALSE)</f>
        <v>#N/A</v>
      </c>
      <c r="N65" s="93" t="e">
        <f>VLOOKUP($A65, 'Matriz POA 2024-TRABAJO'!$A$5:$CY$9142,31,FALSE)</f>
        <v>#N/A</v>
      </c>
      <c r="O65" s="93" t="e">
        <f>VLOOKUP($A65, 'Matriz POA 2024-TRABAJO'!$A$5:$CY$9142,45,FALSE)</f>
        <v>#N/A</v>
      </c>
      <c r="P65" s="93" t="e">
        <f>VLOOKUP($A65, 'Matriz POA 2024-TRABAJO'!$A$5:$CY$9142,46,FALSE)</f>
        <v>#N/A</v>
      </c>
      <c r="Q65" s="93" t="e">
        <f>VLOOKUP($A65, 'Matriz POA 2024-TRABAJO'!$A$5:$CY$9142,47,FALSE)</f>
        <v>#N/A</v>
      </c>
      <c r="R65" s="94">
        <f t="shared" si="20"/>
        <v>14671.5</v>
      </c>
      <c r="S65" s="95" t="e">
        <f t="shared" si="21"/>
        <v>#N/A</v>
      </c>
      <c r="T65" s="93" t="e">
        <f>VLOOKUP($A65, 'Matriz POA 2024-TRABAJO'!$A$5:$CY$9142,72,FALSE)</f>
        <v>#N/A</v>
      </c>
      <c r="U65" s="93" t="e">
        <f>VLOOKUP($A65, 'Matriz POA 2024-TRABAJO'!$A$5:$CY$9142,29,FALSE)</f>
        <v>#N/A</v>
      </c>
      <c r="V65" s="94" t="str">
        <f t="shared" si="62"/>
        <v>12ar-</v>
      </c>
      <c r="W65" s="97" t="s">
        <v>1155</v>
      </c>
      <c r="X65" s="109">
        <v>45320</v>
      </c>
      <c r="Y65" s="99" t="s">
        <v>1156</v>
      </c>
      <c r="Z65" s="109">
        <v>45320</v>
      </c>
      <c r="AA65" s="98">
        <v>14671.5</v>
      </c>
      <c r="AB65" s="98"/>
      <c r="AC65" s="99">
        <f t="shared" si="63"/>
        <v>0</v>
      </c>
      <c r="AD65" s="110" t="s">
        <v>1157</v>
      </c>
      <c r="AE65" s="97"/>
      <c r="AF65" s="101"/>
      <c r="AG65" s="97"/>
      <c r="AH65" s="101"/>
      <c r="AI65" s="98"/>
      <c r="AJ65" s="98"/>
      <c r="AK65" s="99">
        <f t="shared" si="64"/>
        <v>0</v>
      </c>
      <c r="AL65" s="99"/>
      <c r="AM65" s="98"/>
      <c r="AN65" s="96"/>
      <c r="AO65" s="97"/>
      <c r="AP65" s="101"/>
      <c r="AQ65" s="98"/>
      <c r="AR65" s="98"/>
      <c r="AS65" s="99">
        <f t="shared" si="65"/>
        <v>0</v>
      </c>
      <c r="AT65" s="99"/>
      <c r="AU65" s="96"/>
      <c r="AV65" s="96"/>
      <c r="AW65" s="93"/>
      <c r="AX65" s="96"/>
      <c r="AY65" s="98"/>
      <c r="AZ65" s="98"/>
      <c r="BA65" s="99">
        <f t="shared" si="66"/>
        <v>0</v>
      </c>
      <c r="BB65" s="99"/>
      <c r="BC65" s="96"/>
      <c r="BD65" s="96"/>
      <c r="BE65" s="93"/>
      <c r="BF65" s="96"/>
      <c r="BG65" s="102"/>
      <c r="BH65" s="102"/>
      <c r="BI65" s="93">
        <f t="shared" si="67"/>
        <v>0</v>
      </c>
      <c r="BJ65" s="93"/>
      <c r="BK65" s="93"/>
      <c r="BL65" s="103"/>
      <c r="BM65" s="93"/>
      <c r="BN65" s="103"/>
      <c r="BO65" s="94"/>
      <c r="BP65" s="94"/>
      <c r="BQ65" s="93">
        <f t="shared" si="68"/>
        <v>0</v>
      </c>
      <c r="BR65" s="93"/>
      <c r="BS65" s="93"/>
      <c r="BT65" s="103"/>
      <c r="BU65" s="93"/>
      <c r="BV65" s="103"/>
      <c r="BW65" s="94"/>
      <c r="BX65" s="94"/>
      <c r="BY65" s="93">
        <f t="shared" si="69"/>
        <v>0</v>
      </c>
      <c r="BZ65" s="93"/>
      <c r="CA65" s="104"/>
      <c r="CB65" s="105"/>
      <c r="CC65" s="106"/>
      <c r="CD65" s="107"/>
      <c r="CE65" s="94"/>
      <c r="CF65" s="94"/>
      <c r="CG65" s="93">
        <f t="shared" si="70"/>
        <v>0</v>
      </c>
      <c r="CH65" s="93"/>
      <c r="CI65" s="106"/>
      <c r="CJ65" s="105"/>
      <c r="CK65" s="93"/>
      <c r="CL65" s="105"/>
      <c r="CM65" s="108"/>
      <c r="CN65" s="108"/>
      <c r="CO65" s="93">
        <f t="shared" si="71"/>
        <v>0</v>
      </c>
      <c r="CP65" s="93"/>
      <c r="CQ65" s="93"/>
      <c r="CR65" s="93"/>
      <c r="CS65" s="93"/>
      <c r="CT65" s="93"/>
      <c r="CU65" s="93"/>
      <c r="CV65" s="93"/>
      <c r="CW65" s="93">
        <f t="shared" si="72"/>
        <v>0</v>
      </c>
      <c r="CX65" s="93"/>
      <c r="CY65" s="93" t="str">
        <f>TEXT(X65,"MMMM")</f>
        <v>enero</v>
      </c>
      <c r="CZ65" s="93" t="str">
        <f t="shared" si="73"/>
        <v>enero</v>
      </c>
      <c r="DA65" s="93" t="str">
        <f t="shared" si="74"/>
        <v>enero</v>
      </c>
      <c r="DB65" s="93" t="str">
        <f t="shared" si="75"/>
        <v>enero</v>
      </c>
      <c r="DC65" s="93" t="str">
        <f t="shared" si="76"/>
        <v>enero</v>
      </c>
      <c r="DD65" s="93" t="str">
        <f t="shared" si="77"/>
        <v>enero</v>
      </c>
      <c r="DE65" s="93" t="str">
        <f t="shared" si="78"/>
        <v>enero</v>
      </c>
      <c r="DF65" s="93" t="str">
        <f t="shared" si="79"/>
        <v>enero</v>
      </c>
      <c r="DG65" s="93" t="str">
        <f t="shared" si="80"/>
        <v>enero</v>
      </c>
      <c r="DH65" s="93" t="str">
        <f t="shared" si="81"/>
        <v>enero</v>
      </c>
    </row>
    <row r="66" spans="1:112" s="21" customFormat="1" ht="26.45" hidden="1" customHeight="1">
      <c r="A66" s="93">
        <v>398</v>
      </c>
      <c r="B66" s="93" t="e">
        <f>VLOOKUP($A66,  'Matriz POA 2024-TRABAJO'!$A$5:$CY$9142,29,FALSE)</f>
        <v>#N/A</v>
      </c>
      <c r="C66" s="93" t="e">
        <f>VLOOKUP($A66, 'Matriz POA 2024-TRABAJO'!$A$5:$CY$9142,11,FALSE)</f>
        <v>#N/A</v>
      </c>
      <c r="D66" s="93" t="e">
        <f>VLOOKUP($A66, 'Matriz POA 2024-TRABAJO'!$A$5:$CY$9142,14,FALSE)</f>
        <v>#N/A</v>
      </c>
      <c r="E66" s="93" t="e">
        <f>VLOOKUP($A66, 'Matriz POA 2024-TRABAJO'!$A$5:$CY$9142,15,FALSE)</f>
        <v>#N/A</v>
      </c>
      <c r="F66" s="93" t="e">
        <f>VLOOKUP($A66, 'Matriz POA 2024-TRABAJO'!$A$5:$CY$9142,18,FALSE)</f>
        <v>#N/A</v>
      </c>
      <c r="G66" s="93" t="e">
        <f>VLOOKUP($A66, 'Matriz POA 2024-TRABAJO'!$A$5:$CY$9142,23,FALSE)</f>
        <v>#N/A</v>
      </c>
      <c r="H66" s="93" t="e">
        <f>VLOOKUP($A66, 'Matriz POA 2024-TRABAJO'!$A$5:$CY$9142,24,FALSE)</f>
        <v>#N/A</v>
      </c>
      <c r="I66" s="93" t="e">
        <f>VLOOKUP($A66, 'Matriz POA 2024-TRABAJO'!$A$5:$CY$9142,20,FALSE)</f>
        <v>#N/A</v>
      </c>
      <c r="J66" s="93" t="e">
        <f>VLOOKUP($A66, 'Matriz POA 2024-TRABAJO'!$A$5:$CY$9142,26,FALSE)</f>
        <v>#N/A</v>
      </c>
      <c r="K66" s="93" t="e">
        <f>VLOOKUP($A66, 'Matriz POA 2024-TRABAJO'!$A$5:$CY$9142,27,FALSE)</f>
        <v>#N/A</v>
      </c>
      <c r="L66" s="93" t="e">
        <f>VLOOKUP($A66, 'Matriz POA 2024-TRABAJO'!$A$5:$CY$9142,28,FALSE)</f>
        <v>#N/A</v>
      </c>
      <c r="M66" s="93" t="e">
        <f>VLOOKUP($A66, 'Matriz POA 2024-TRABAJO'!$A$5:$CY$9142,30,FALSE)</f>
        <v>#N/A</v>
      </c>
      <c r="N66" s="93" t="e">
        <f>VLOOKUP($A66, 'Matriz POA 2024-TRABAJO'!$A$5:$CY$9142,31,FALSE)</f>
        <v>#N/A</v>
      </c>
      <c r="O66" s="93" t="e">
        <f>VLOOKUP($A66, 'Matriz POA 2024-TRABAJO'!$A$5:$CY$9142,45,FALSE)</f>
        <v>#N/A</v>
      </c>
      <c r="P66" s="93" t="e">
        <f>VLOOKUP($A66, 'Matriz POA 2024-TRABAJO'!$A$5:$CY$9142,46,FALSE)</f>
        <v>#N/A</v>
      </c>
      <c r="Q66" s="93" t="e">
        <f>VLOOKUP($A66, 'Matriz POA 2024-TRABAJO'!$A$5:$CY$9142,47,FALSE)</f>
        <v>#N/A</v>
      </c>
      <c r="R66" s="94">
        <f t="shared" ref="R66:R129" si="82">AA66+AI66+AQ66+AY66+BG66+BO66+BW66+CE66+CM66+CU66+AB66+AJ66+AR66+AZ66+BH66+BP66</f>
        <v>10260.52</v>
      </c>
      <c r="S66" s="95" t="e">
        <f t="shared" ref="S66:S129" si="83">Q66-R66</f>
        <v>#N/A</v>
      </c>
      <c r="T66" s="93" t="e">
        <f>VLOOKUP($A66, 'Matriz POA 2024-TRABAJO'!$A$5:$CY$9142,72,FALSE)</f>
        <v>#N/A</v>
      </c>
      <c r="U66" s="93" t="e">
        <f>VLOOKUP($A66, 'Matriz POA 2024-TRABAJO'!$A$5:$CY$9142,29,FALSE)</f>
        <v>#N/A</v>
      </c>
      <c r="V66" s="94" t="str">
        <f t="shared" si="62"/>
        <v>12ar-</v>
      </c>
      <c r="W66" s="97" t="s">
        <v>1155</v>
      </c>
      <c r="X66" s="109">
        <v>45320</v>
      </c>
      <c r="Y66" s="99" t="s">
        <v>1156</v>
      </c>
      <c r="Z66" s="109">
        <v>45320</v>
      </c>
      <c r="AA66" s="98">
        <v>10260.52</v>
      </c>
      <c r="AB66" s="98"/>
      <c r="AC66" s="99">
        <f t="shared" si="63"/>
        <v>0</v>
      </c>
      <c r="AD66" s="110" t="s">
        <v>1157</v>
      </c>
      <c r="AE66" s="97"/>
      <c r="AF66" s="101"/>
      <c r="AG66" s="97"/>
      <c r="AH66" s="101"/>
      <c r="AI66" s="98"/>
      <c r="AJ66" s="98">
        <f>AI66*-1</f>
        <v>0</v>
      </c>
      <c r="AK66" s="99">
        <f t="shared" si="64"/>
        <v>0</v>
      </c>
      <c r="AL66" s="99"/>
      <c r="AM66" s="98"/>
      <c r="AN66" s="96"/>
      <c r="AO66" s="97"/>
      <c r="AP66" s="101"/>
      <c r="AQ66" s="98"/>
      <c r="AR66" s="98"/>
      <c r="AS66" s="99">
        <f t="shared" si="65"/>
        <v>0</v>
      </c>
      <c r="AT66" s="99"/>
      <c r="AU66" s="96"/>
      <c r="AV66" s="96"/>
      <c r="AW66" s="93"/>
      <c r="AX66" s="96"/>
      <c r="AY66" s="98"/>
      <c r="AZ66" s="98"/>
      <c r="BA66" s="99">
        <f t="shared" si="66"/>
        <v>0</v>
      </c>
      <c r="BB66" s="99"/>
      <c r="BC66" s="96"/>
      <c r="BD66" s="96"/>
      <c r="BE66" s="93"/>
      <c r="BF66" s="96"/>
      <c r="BG66" s="102"/>
      <c r="BH66" s="102"/>
      <c r="BI66" s="93">
        <f t="shared" si="67"/>
        <v>0</v>
      </c>
      <c r="BJ66" s="93"/>
      <c r="BK66" s="93"/>
      <c r="BL66" s="103"/>
      <c r="BM66" s="93"/>
      <c r="BN66" s="103"/>
      <c r="BO66" s="94"/>
      <c r="BP66" s="94"/>
      <c r="BQ66" s="93">
        <f t="shared" si="68"/>
        <v>0</v>
      </c>
      <c r="BR66" s="93"/>
      <c r="BS66" s="93"/>
      <c r="BT66" s="103"/>
      <c r="BU66" s="93"/>
      <c r="BV66" s="103"/>
      <c r="BW66" s="94"/>
      <c r="BX66" s="94"/>
      <c r="BY66" s="93">
        <f t="shared" si="69"/>
        <v>0</v>
      </c>
      <c r="BZ66" s="93"/>
      <c r="CA66" s="104"/>
      <c r="CB66" s="105"/>
      <c r="CC66" s="106"/>
      <c r="CD66" s="107"/>
      <c r="CE66" s="94"/>
      <c r="CF66" s="94"/>
      <c r="CG66" s="93">
        <f t="shared" si="70"/>
        <v>0</v>
      </c>
      <c r="CH66" s="93"/>
      <c r="CI66" s="106"/>
      <c r="CJ66" s="105"/>
      <c r="CK66" s="93"/>
      <c r="CL66" s="105"/>
      <c r="CM66" s="108"/>
      <c r="CN66" s="108"/>
      <c r="CO66" s="93">
        <f t="shared" si="71"/>
        <v>0</v>
      </c>
      <c r="CP66" s="93"/>
      <c r="CQ66" s="93"/>
      <c r="CR66" s="93"/>
      <c r="CS66" s="93"/>
      <c r="CT66" s="93"/>
      <c r="CU66" s="93"/>
      <c r="CV66" s="93"/>
      <c r="CW66" s="93">
        <f t="shared" si="72"/>
        <v>0</v>
      </c>
      <c r="CX66" s="93"/>
      <c r="CY66" s="93" t="str">
        <f>TEXT(Z66,"MMMM")</f>
        <v>enero</v>
      </c>
      <c r="CZ66" s="93" t="str">
        <f t="shared" si="73"/>
        <v>enero</v>
      </c>
      <c r="DA66" s="93" t="str">
        <f t="shared" si="74"/>
        <v>enero</v>
      </c>
      <c r="DB66" s="93" t="str">
        <f t="shared" si="75"/>
        <v>enero</v>
      </c>
      <c r="DC66" s="93" t="str">
        <f t="shared" si="76"/>
        <v>enero</v>
      </c>
      <c r="DD66" s="93" t="str">
        <f t="shared" si="77"/>
        <v>enero</v>
      </c>
      <c r="DE66" s="93" t="str">
        <f t="shared" si="78"/>
        <v>enero</v>
      </c>
      <c r="DF66" s="93" t="str">
        <f t="shared" si="79"/>
        <v>enero</v>
      </c>
      <c r="DG66" s="93" t="str">
        <f t="shared" si="80"/>
        <v>enero</v>
      </c>
      <c r="DH66" s="93" t="str">
        <f t="shared" si="81"/>
        <v>enero</v>
      </c>
    </row>
    <row r="67" spans="1:112" s="21" customFormat="1" ht="18.75" hidden="1" customHeight="1">
      <c r="A67" s="93">
        <v>399</v>
      </c>
      <c r="B67" s="93" t="e">
        <f>VLOOKUP($A67,  'Matriz POA 2024-TRABAJO'!$A$5:$CY$9142,29,FALSE)</f>
        <v>#N/A</v>
      </c>
      <c r="C67" s="93" t="e">
        <f>VLOOKUP($A67, 'Matriz POA 2024-TRABAJO'!$A$5:$CY$9142,11,FALSE)</f>
        <v>#N/A</v>
      </c>
      <c r="D67" s="93" t="e">
        <f>VLOOKUP($A67, 'Matriz POA 2024-TRABAJO'!$A$5:$CY$9142,14,FALSE)</f>
        <v>#N/A</v>
      </c>
      <c r="E67" s="93" t="e">
        <f>VLOOKUP($A67, 'Matriz POA 2024-TRABAJO'!$A$5:$CY$9142,15,FALSE)</f>
        <v>#N/A</v>
      </c>
      <c r="F67" s="93" t="e">
        <f>VLOOKUP($A67, 'Matriz POA 2024-TRABAJO'!$A$5:$CY$9142,18,FALSE)</f>
        <v>#N/A</v>
      </c>
      <c r="G67" s="93" t="e">
        <f>VLOOKUP($A67, 'Matriz POA 2024-TRABAJO'!$A$5:$CY$9142,23,FALSE)</f>
        <v>#N/A</v>
      </c>
      <c r="H67" s="93" t="e">
        <f>VLOOKUP($A67, 'Matriz POA 2024-TRABAJO'!$A$5:$CY$9142,24,FALSE)</f>
        <v>#N/A</v>
      </c>
      <c r="I67" s="93" t="e">
        <f>VLOOKUP($A67, 'Matriz POA 2024-TRABAJO'!$A$5:$CY$9142,20,FALSE)</f>
        <v>#N/A</v>
      </c>
      <c r="J67" s="93" t="e">
        <f>VLOOKUP($A67, 'Matriz POA 2024-TRABAJO'!$A$5:$CY$9142,26,FALSE)</f>
        <v>#N/A</v>
      </c>
      <c r="K67" s="93" t="e">
        <f>VLOOKUP($A67, 'Matriz POA 2024-TRABAJO'!$A$5:$CY$9142,27,FALSE)</f>
        <v>#N/A</v>
      </c>
      <c r="L67" s="93" t="e">
        <f>VLOOKUP($A67, 'Matriz POA 2024-TRABAJO'!$A$5:$CY$9142,28,FALSE)</f>
        <v>#N/A</v>
      </c>
      <c r="M67" s="93" t="e">
        <f>VLOOKUP($A67, 'Matriz POA 2024-TRABAJO'!$A$5:$CY$9142,30,FALSE)</f>
        <v>#N/A</v>
      </c>
      <c r="N67" s="93" t="e">
        <f>VLOOKUP($A67, 'Matriz POA 2024-TRABAJO'!$A$5:$CY$9142,31,FALSE)</f>
        <v>#N/A</v>
      </c>
      <c r="O67" s="93" t="e">
        <f>VLOOKUP($A67, 'Matriz POA 2024-TRABAJO'!$A$5:$CY$9142,45,FALSE)</f>
        <v>#N/A</v>
      </c>
      <c r="P67" s="93" t="e">
        <f>VLOOKUP($A67, 'Matriz POA 2024-TRABAJO'!$A$5:$CY$9142,46,FALSE)</f>
        <v>#N/A</v>
      </c>
      <c r="Q67" s="93" t="e">
        <f>VLOOKUP($A67, 'Matriz POA 2024-TRABAJO'!$A$5:$CY$9142,47,FALSE)</f>
        <v>#N/A</v>
      </c>
      <c r="R67" s="94">
        <f t="shared" si="82"/>
        <v>8711.2199999999993</v>
      </c>
      <c r="S67" s="95" t="e">
        <f t="shared" si="83"/>
        <v>#N/A</v>
      </c>
      <c r="T67" s="93" t="e">
        <f>VLOOKUP($A67, 'Matriz POA 2024-TRABAJO'!$A$5:$CY$9142,72,FALSE)</f>
        <v>#N/A</v>
      </c>
      <c r="U67" s="93" t="e">
        <f>VLOOKUP($A67, 'Matriz POA 2024-TRABAJO'!$A$5:$CY$9142,29,FALSE)</f>
        <v>#N/A</v>
      </c>
      <c r="V67" s="94" t="str">
        <f t="shared" si="62"/>
        <v>12ar-</v>
      </c>
      <c r="W67" s="97" t="s">
        <v>1155</v>
      </c>
      <c r="X67" s="109">
        <v>45320</v>
      </c>
      <c r="Y67" s="99" t="s">
        <v>1156</v>
      </c>
      <c r="Z67" s="109">
        <v>45320</v>
      </c>
      <c r="AA67" s="98">
        <v>8711.2199999999993</v>
      </c>
      <c r="AB67" s="98"/>
      <c r="AC67" s="99">
        <f t="shared" si="63"/>
        <v>0</v>
      </c>
      <c r="AD67" s="110" t="s">
        <v>1157</v>
      </c>
      <c r="AE67" s="97"/>
      <c r="AF67" s="101"/>
      <c r="AG67" s="97"/>
      <c r="AH67" s="101"/>
      <c r="AI67" s="98"/>
      <c r="AJ67" s="98">
        <f>AI67*-1</f>
        <v>0</v>
      </c>
      <c r="AK67" s="99">
        <f t="shared" si="64"/>
        <v>0</v>
      </c>
      <c r="AL67" s="99"/>
      <c r="AM67" s="98"/>
      <c r="AN67" s="96"/>
      <c r="AO67" s="97"/>
      <c r="AP67" s="101"/>
      <c r="AQ67" s="98"/>
      <c r="AR67" s="98"/>
      <c r="AS67" s="99">
        <f t="shared" si="65"/>
        <v>0</v>
      </c>
      <c r="AT67" s="99"/>
      <c r="AU67" s="96"/>
      <c r="AV67" s="96"/>
      <c r="AW67" s="93"/>
      <c r="AX67" s="96"/>
      <c r="AY67" s="98"/>
      <c r="AZ67" s="98"/>
      <c r="BA67" s="99">
        <f t="shared" si="66"/>
        <v>0</v>
      </c>
      <c r="BB67" s="99"/>
      <c r="BC67" s="96"/>
      <c r="BD67" s="96"/>
      <c r="BE67" s="93"/>
      <c r="BF67" s="96"/>
      <c r="BG67" s="102"/>
      <c r="BH67" s="102"/>
      <c r="BI67" s="93">
        <f t="shared" si="67"/>
        <v>0</v>
      </c>
      <c r="BJ67" s="93"/>
      <c r="BK67" s="93"/>
      <c r="BL67" s="103"/>
      <c r="BM67" s="93"/>
      <c r="BN67" s="103"/>
      <c r="BO67" s="94"/>
      <c r="BP67" s="94"/>
      <c r="BQ67" s="93">
        <f t="shared" si="68"/>
        <v>0</v>
      </c>
      <c r="BR67" s="93"/>
      <c r="BS67" s="93"/>
      <c r="BT67" s="103"/>
      <c r="BU67" s="93"/>
      <c r="BV67" s="103"/>
      <c r="BW67" s="94"/>
      <c r="BX67" s="94"/>
      <c r="BY67" s="93">
        <f t="shared" si="69"/>
        <v>0</v>
      </c>
      <c r="BZ67" s="93"/>
      <c r="CA67" s="104"/>
      <c r="CB67" s="105"/>
      <c r="CC67" s="106"/>
      <c r="CD67" s="107"/>
      <c r="CE67" s="94"/>
      <c r="CF67" s="94"/>
      <c r="CG67" s="93">
        <f t="shared" si="70"/>
        <v>0</v>
      </c>
      <c r="CH67" s="93"/>
      <c r="CI67" s="106"/>
      <c r="CJ67" s="105"/>
      <c r="CK67" s="93"/>
      <c r="CL67" s="105"/>
      <c r="CM67" s="108"/>
      <c r="CN67" s="108"/>
      <c r="CO67" s="93">
        <f t="shared" si="71"/>
        <v>0</v>
      </c>
      <c r="CP67" s="93"/>
      <c r="CQ67" s="93"/>
      <c r="CR67" s="93"/>
      <c r="CS67" s="93"/>
      <c r="CT67" s="93"/>
      <c r="CU67" s="93"/>
      <c r="CV67" s="93"/>
      <c r="CW67" s="93">
        <f t="shared" si="72"/>
        <v>0</v>
      </c>
      <c r="CX67" s="93"/>
      <c r="CY67" s="93" t="str">
        <f>TEXT(X67,"MMMM")</f>
        <v>enero</v>
      </c>
      <c r="CZ67" s="93" t="str">
        <f t="shared" si="73"/>
        <v>enero</v>
      </c>
      <c r="DA67" s="93" t="str">
        <f t="shared" si="74"/>
        <v>enero</v>
      </c>
      <c r="DB67" s="93" t="str">
        <f t="shared" si="75"/>
        <v>enero</v>
      </c>
      <c r="DC67" s="93" t="str">
        <f t="shared" si="76"/>
        <v>enero</v>
      </c>
      <c r="DD67" s="93" t="str">
        <f t="shared" si="77"/>
        <v>enero</v>
      </c>
      <c r="DE67" s="93" t="str">
        <f t="shared" si="78"/>
        <v>enero</v>
      </c>
      <c r="DF67" s="93" t="str">
        <f t="shared" si="79"/>
        <v>enero</v>
      </c>
      <c r="DG67" s="93" t="str">
        <f t="shared" si="80"/>
        <v>enero</v>
      </c>
      <c r="DH67" s="93" t="str">
        <f t="shared" si="81"/>
        <v>enero</v>
      </c>
    </row>
    <row r="68" spans="1:112" s="21" customFormat="1" ht="18.75" hidden="1" customHeight="1">
      <c r="A68" s="93">
        <v>88</v>
      </c>
      <c r="B68" s="93" t="e">
        <f>VLOOKUP($A68,  'Matriz POA 2024-TRABAJO'!$A$5:$CY$9142,29,FALSE)</f>
        <v>#N/A</v>
      </c>
      <c r="C68" s="93" t="e">
        <f>VLOOKUP($A68, 'Matriz POA 2024-TRABAJO'!$A$5:$CY$9142,11,FALSE)</f>
        <v>#N/A</v>
      </c>
      <c r="D68" s="93" t="e">
        <f>VLOOKUP($A68, 'Matriz POA 2024-TRABAJO'!$A$5:$CY$9142,14,FALSE)</f>
        <v>#N/A</v>
      </c>
      <c r="E68" s="93" t="e">
        <f>VLOOKUP($A68, 'Matriz POA 2024-TRABAJO'!$A$5:$CY$9142,15,FALSE)</f>
        <v>#N/A</v>
      </c>
      <c r="F68" s="93" t="e">
        <f>VLOOKUP($A68, 'Matriz POA 2024-TRABAJO'!$A$5:$CY$9142,18,FALSE)</f>
        <v>#N/A</v>
      </c>
      <c r="G68" s="93" t="e">
        <f>VLOOKUP($A68, 'Matriz POA 2024-TRABAJO'!$A$5:$CY$9142,23,FALSE)</f>
        <v>#N/A</v>
      </c>
      <c r="H68" s="93" t="e">
        <f>VLOOKUP($A68, 'Matriz POA 2024-TRABAJO'!$A$5:$CY$9142,24,FALSE)</f>
        <v>#N/A</v>
      </c>
      <c r="I68" s="93" t="e">
        <f>VLOOKUP($A68, 'Matriz POA 2024-TRABAJO'!$A$5:$CY$9142,20,FALSE)</f>
        <v>#N/A</v>
      </c>
      <c r="J68" s="93" t="e">
        <f>VLOOKUP($A68, 'Matriz POA 2024-TRABAJO'!$A$5:$CY$9142,26,FALSE)</f>
        <v>#N/A</v>
      </c>
      <c r="K68" s="93" t="e">
        <f>VLOOKUP($A68, 'Matriz POA 2024-TRABAJO'!$A$5:$CY$9142,27,FALSE)</f>
        <v>#N/A</v>
      </c>
      <c r="L68" s="93" t="e">
        <f>VLOOKUP($A68, 'Matriz POA 2024-TRABAJO'!$A$5:$CY$9142,28,FALSE)</f>
        <v>#N/A</v>
      </c>
      <c r="M68" s="93" t="e">
        <f>VLOOKUP($A68, 'Matriz POA 2024-TRABAJO'!$A$5:$CY$9142,30,FALSE)</f>
        <v>#N/A</v>
      </c>
      <c r="N68" s="93" t="e">
        <f>VLOOKUP($A68, 'Matriz POA 2024-TRABAJO'!$A$5:$CY$9142,31,FALSE)</f>
        <v>#N/A</v>
      </c>
      <c r="O68" s="93" t="e">
        <f>VLOOKUP($A68, 'Matriz POA 2024-TRABAJO'!$A$5:$CY$9142,45,FALSE)</f>
        <v>#N/A</v>
      </c>
      <c r="P68" s="93" t="e">
        <f>VLOOKUP($A68, 'Matriz POA 2024-TRABAJO'!$A$5:$CY$9142,46,FALSE)</f>
        <v>#N/A</v>
      </c>
      <c r="Q68" s="93" t="e">
        <f>VLOOKUP($A68, 'Matriz POA 2024-TRABAJO'!$A$5:$CY$9142,47,FALSE)</f>
        <v>#N/A</v>
      </c>
      <c r="R68" s="94">
        <f t="shared" si="82"/>
        <v>1089816.94</v>
      </c>
      <c r="S68" s="95" t="e">
        <f t="shared" si="83"/>
        <v>#N/A</v>
      </c>
      <c r="T68" s="93" t="e">
        <f>VLOOKUP($A68, 'Matriz POA 2024-TRABAJO'!$A$5:$CY$9142,72,FALSE)</f>
        <v>#N/A</v>
      </c>
      <c r="U68" s="93" t="e">
        <f>VLOOKUP($A68, 'Matriz POA 2024-TRABAJO'!$A$5:$CY$9142,29,FALSE)</f>
        <v>#N/A</v>
      </c>
      <c r="V68" s="94" t="str">
        <f t="shared" si="62"/>
        <v>13ar-lp-lt-29ar-74ar-74ar-</v>
      </c>
      <c r="W68" s="97" t="s">
        <v>1158</v>
      </c>
      <c r="X68" s="109">
        <v>45321</v>
      </c>
      <c r="Y68" s="99" t="s">
        <v>1159</v>
      </c>
      <c r="Z68" s="109">
        <v>45321</v>
      </c>
      <c r="AA68" s="98">
        <v>1096404.01</v>
      </c>
      <c r="AB68" s="98"/>
      <c r="AC68" s="99">
        <f t="shared" si="63"/>
        <v>0</v>
      </c>
      <c r="AD68" s="110" t="s">
        <v>1160</v>
      </c>
      <c r="AE68" s="97" t="s">
        <v>983</v>
      </c>
      <c r="AF68" s="101">
        <v>45351</v>
      </c>
      <c r="AG68" s="97" t="s">
        <v>984</v>
      </c>
      <c r="AH68" s="101">
        <v>45351</v>
      </c>
      <c r="AI68" s="98">
        <v>-19995.07</v>
      </c>
      <c r="AJ68" s="98"/>
      <c r="AK68" s="99">
        <f t="shared" si="64"/>
        <v>0</v>
      </c>
      <c r="AL68" s="99" t="s">
        <v>1109</v>
      </c>
      <c r="AM68" s="97" t="s">
        <v>1161</v>
      </c>
      <c r="AN68" s="96">
        <v>45356</v>
      </c>
      <c r="AO68" s="97"/>
      <c r="AP68" s="101">
        <v>45358</v>
      </c>
      <c r="AQ68" s="98">
        <v>-1076408.94</v>
      </c>
      <c r="AR68" s="98"/>
      <c r="AS68" s="99">
        <f t="shared" si="65"/>
        <v>2</v>
      </c>
      <c r="AT68" s="99" t="s">
        <v>1162</v>
      </c>
      <c r="AU68" s="97" t="s">
        <v>1161</v>
      </c>
      <c r="AV68" s="96">
        <v>45356</v>
      </c>
      <c r="AW68" s="93"/>
      <c r="AX68" s="96">
        <v>45358</v>
      </c>
      <c r="AY68" s="98">
        <v>1076408.94</v>
      </c>
      <c r="AZ68" s="98"/>
      <c r="BA68" s="99">
        <f t="shared" si="66"/>
        <v>2</v>
      </c>
      <c r="BB68" s="99" t="s">
        <v>1163</v>
      </c>
      <c r="BC68" s="96" t="s">
        <v>1164</v>
      </c>
      <c r="BD68" s="96">
        <v>45393</v>
      </c>
      <c r="BE68" s="101" t="s">
        <v>1165</v>
      </c>
      <c r="BF68" s="96">
        <v>45393</v>
      </c>
      <c r="BG68" s="102">
        <v>-1076408.94</v>
      </c>
      <c r="BH68" s="102">
        <v>1076408.94</v>
      </c>
      <c r="BI68" s="93">
        <f t="shared" si="67"/>
        <v>0</v>
      </c>
      <c r="BJ68" s="93" t="s">
        <v>1814</v>
      </c>
      <c r="BK68" s="93" t="s">
        <v>1813</v>
      </c>
      <c r="BL68" s="103">
        <v>45426</v>
      </c>
      <c r="BM68" s="101" t="s">
        <v>1815</v>
      </c>
      <c r="BN68" s="103">
        <v>45427</v>
      </c>
      <c r="BO68" s="94">
        <v>-1076408.94</v>
      </c>
      <c r="BP68" s="94">
        <v>1089816.94</v>
      </c>
      <c r="BQ68" s="93">
        <f t="shared" si="68"/>
        <v>1</v>
      </c>
      <c r="BR68" s="93" t="s">
        <v>1814</v>
      </c>
      <c r="BS68" s="93"/>
      <c r="BT68" s="103"/>
      <c r="BU68" s="93"/>
      <c r="BV68" s="103"/>
      <c r="BW68" s="94"/>
      <c r="BX68" s="94"/>
      <c r="BY68" s="93">
        <f t="shared" si="69"/>
        <v>0</v>
      </c>
      <c r="BZ68" s="93"/>
      <c r="CA68" s="104"/>
      <c r="CB68" s="105"/>
      <c r="CC68" s="106"/>
      <c r="CD68" s="107"/>
      <c r="CE68" s="94"/>
      <c r="CF68" s="94"/>
      <c r="CG68" s="93">
        <f t="shared" si="70"/>
        <v>0</v>
      </c>
      <c r="CH68" s="93"/>
      <c r="CI68" s="106"/>
      <c r="CJ68" s="105"/>
      <c r="CK68" s="93"/>
      <c r="CL68" s="105"/>
      <c r="CM68" s="108"/>
      <c r="CN68" s="108"/>
      <c r="CO68" s="93">
        <f t="shared" si="71"/>
        <v>0</v>
      </c>
      <c r="CP68" s="93"/>
      <c r="CQ68" s="93"/>
      <c r="CR68" s="93"/>
      <c r="CS68" s="93"/>
      <c r="CT68" s="93"/>
      <c r="CU68" s="93"/>
      <c r="CV68" s="93"/>
      <c r="CW68" s="93">
        <f t="shared" si="72"/>
        <v>0</v>
      </c>
      <c r="CX68" s="93"/>
      <c r="CY68" s="93" t="str">
        <f>TEXT(X68,"MMMM")</f>
        <v>enero</v>
      </c>
      <c r="CZ68" s="93" t="str">
        <f t="shared" si="73"/>
        <v>febrero</v>
      </c>
      <c r="DA68" s="93" t="str">
        <f t="shared" si="74"/>
        <v>marzo</v>
      </c>
      <c r="DB68" s="93" t="str">
        <f t="shared" si="75"/>
        <v>marzo</v>
      </c>
      <c r="DC68" s="93" t="str">
        <f t="shared" si="76"/>
        <v>abril</v>
      </c>
      <c r="DD68" s="93" t="str">
        <f t="shared" si="77"/>
        <v>mayo</v>
      </c>
      <c r="DE68" s="93" t="str">
        <f t="shared" si="78"/>
        <v>enero</v>
      </c>
      <c r="DF68" s="93" t="str">
        <f t="shared" si="79"/>
        <v>enero</v>
      </c>
      <c r="DG68" s="93" t="str">
        <f t="shared" si="80"/>
        <v>enero</v>
      </c>
      <c r="DH68" s="93" t="str">
        <f t="shared" si="81"/>
        <v>enero</v>
      </c>
    </row>
    <row r="69" spans="1:112" ht="15" hidden="1" customHeight="1">
      <c r="A69" s="93">
        <v>89</v>
      </c>
      <c r="B69" s="93" t="e">
        <f>VLOOKUP($A69,  'Matriz POA 2024-TRABAJO'!$A$5:$CY$9142,29,FALSE)</f>
        <v>#N/A</v>
      </c>
      <c r="C69" s="93" t="e">
        <f>VLOOKUP($A69, 'Matriz POA 2024-TRABAJO'!$A$5:$CY$9142,11,FALSE)</f>
        <v>#N/A</v>
      </c>
      <c r="D69" s="93" t="e">
        <f>VLOOKUP($A69, 'Matriz POA 2024-TRABAJO'!$A$5:$CY$9142,14,FALSE)</f>
        <v>#N/A</v>
      </c>
      <c r="E69" s="93" t="e">
        <f>VLOOKUP($A69, 'Matriz POA 2024-TRABAJO'!$A$5:$CY$9142,15,FALSE)</f>
        <v>#N/A</v>
      </c>
      <c r="F69" s="93" t="e">
        <f>VLOOKUP($A69, 'Matriz POA 2024-TRABAJO'!$A$5:$CY$9142,18,FALSE)</f>
        <v>#N/A</v>
      </c>
      <c r="G69" s="93" t="e">
        <f>VLOOKUP($A69, 'Matriz POA 2024-TRABAJO'!$A$5:$CY$9142,23,FALSE)</f>
        <v>#N/A</v>
      </c>
      <c r="H69" s="93" t="e">
        <f>VLOOKUP($A69, 'Matriz POA 2024-TRABAJO'!$A$5:$CY$9142,24,FALSE)</f>
        <v>#N/A</v>
      </c>
      <c r="I69" s="93" t="e">
        <f>VLOOKUP($A69, 'Matriz POA 2024-TRABAJO'!$A$5:$CY$9142,20,FALSE)</f>
        <v>#N/A</v>
      </c>
      <c r="J69" s="93" t="e">
        <f>VLOOKUP($A69, 'Matriz POA 2024-TRABAJO'!$A$5:$CY$9142,26,FALSE)</f>
        <v>#N/A</v>
      </c>
      <c r="K69" s="93" t="e">
        <f>VLOOKUP($A69, 'Matriz POA 2024-TRABAJO'!$A$5:$CY$9142,27,FALSE)</f>
        <v>#N/A</v>
      </c>
      <c r="L69" s="93" t="e">
        <f>VLOOKUP($A69, 'Matriz POA 2024-TRABAJO'!$A$5:$CY$9142,28,FALSE)</f>
        <v>#N/A</v>
      </c>
      <c r="M69" s="93" t="e">
        <f>VLOOKUP($A69, 'Matriz POA 2024-TRABAJO'!$A$5:$CY$9142,30,FALSE)</f>
        <v>#N/A</v>
      </c>
      <c r="N69" s="93" t="e">
        <f>VLOOKUP($A69, 'Matriz POA 2024-TRABAJO'!$A$5:$CY$9142,31,FALSE)</f>
        <v>#N/A</v>
      </c>
      <c r="O69" s="93" t="e">
        <f>VLOOKUP($A69, 'Matriz POA 2024-TRABAJO'!$A$5:$CY$9142,45,FALSE)</f>
        <v>#N/A</v>
      </c>
      <c r="P69" s="93" t="e">
        <f>VLOOKUP($A69, 'Matriz POA 2024-TRABAJO'!$A$5:$CY$9142,46,FALSE)</f>
        <v>#N/A</v>
      </c>
      <c r="Q69" s="93" t="e">
        <f>VLOOKUP($A69, 'Matriz POA 2024-TRABAJO'!$A$5:$CY$9142,47,FALSE)</f>
        <v>#N/A</v>
      </c>
      <c r="R69" s="94">
        <f t="shared" si="82"/>
        <v>243161.5</v>
      </c>
      <c r="S69" s="95" t="e">
        <f t="shared" si="83"/>
        <v>#N/A</v>
      </c>
      <c r="T69" s="93" t="e">
        <f>VLOOKUP($A69, 'Matriz POA 2024-TRABAJO'!$A$5:$CY$9142,72,FALSE)</f>
        <v>#N/A</v>
      </c>
      <c r="U69" s="93" t="e">
        <f>VLOOKUP($A69, 'Matriz POA 2024-TRABAJO'!$A$5:$CY$9142,29,FALSE)</f>
        <v>#N/A</v>
      </c>
      <c r="V69" s="94" t="str">
        <f t="shared" ref="V69:V110" si="84">AD69&amp;AL69&amp;AT69&amp;BB69&amp;BJ69&amp;BR69&amp;BZ69&amp;CH69&amp;CP69&amp;CX69</f>
        <v>13ar-29ar-74ar-</v>
      </c>
      <c r="W69" s="97" t="s">
        <v>1158</v>
      </c>
      <c r="X69" s="109">
        <v>45321</v>
      </c>
      <c r="Y69" s="99" t="s">
        <v>1159</v>
      </c>
      <c r="Z69" s="109">
        <v>45321</v>
      </c>
      <c r="AA69" s="98">
        <v>243161.5</v>
      </c>
      <c r="AB69" s="98"/>
      <c r="AC69" s="99">
        <f t="shared" si="63"/>
        <v>0</v>
      </c>
      <c r="AD69" s="110" t="s">
        <v>1160</v>
      </c>
      <c r="AE69" s="97" t="s">
        <v>1161</v>
      </c>
      <c r="AF69" s="101">
        <v>45356</v>
      </c>
      <c r="AG69" s="97"/>
      <c r="AH69" s="101">
        <v>45358</v>
      </c>
      <c r="AI69" s="98">
        <v>-243161.5</v>
      </c>
      <c r="AJ69" s="98"/>
      <c r="AK69" s="99">
        <f t="shared" ref="AK69:AK110" si="85">AH69-AF69</f>
        <v>2</v>
      </c>
      <c r="AL69" s="99"/>
      <c r="AM69" s="97" t="s">
        <v>1161</v>
      </c>
      <c r="AN69" s="96">
        <v>45356</v>
      </c>
      <c r="AO69" s="97"/>
      <c r="AP69" s="101">
        <v>45358</v>
      </c>
      <c r="AQ69" s="98">
        <v>243161.5</v>
      </c>
      <c r="AR69" s="98"/>
      <c r="AS69" s="99"/>
      <c r="AT69" s="99" t="s">
        <v>1163</v>
      </c>
      <c r="AU69" s="93" t="s">
        <v>1164</v>
      </c>
      <c r="AV69" s="96">
        <v>45393</v>
      </c>
      <c r="AW69" s="93" t="s">
        <v>1165</v>
      </c>
      <c r="AX69" s="96">
        <v>45394</v>
      </c>
      <c r="AY69" s="355">
        <v>-243161.5</v>
      </c>
      <c r="AZ69" s="98">
        <v>243161.5</v>
      </c>
      <c r="BA69" s="99">
        <f t="shared" ref="BA69:BA110" si="86">AX69-AV69</f>
        <v>1</v>
      </c>
      <c r="BB69" s="99"/>
      <c r="BC69" s="93" t="s">
        <v>1813</v>
      </c>
      <c r="BD69" s="103">
        <v>45426</v>
      </c>
      <c r="BE69" s="101" t="s">
        <v>1815</v>
      </c>
      <c r="BF69" s="103">
        <v>45427</v>
      </c>
      <c r="BG69" s="98">
        <v>-243161.5</v>
      </c>
      <c r="BH69" s="102">
        <v>243161.5</v>
      </c>
      <c r="BI69" s="93">
        <f t="shared" si="67"/>
        <v>1</v>
      </c>
      <c r="BJ69" s="93" t="s">
        <v>1814</v>
      </c>
      <c r="BK69" s="93"/>
      <c r="BL69" s="103"/>
      <c r="BM69" s="93"/>
      <c r="BN69" s="103"/>
      <c r="BO69" s="94"/>
      <c r="BP69" s="94"/>
      <c r="BQ69" s="93">
        <f t="shared" si="68"/>
        <v>0</v>
      </c>
      <c r="BR69" s="93"/>
      <c r="BS69" s="93"/>
      <c r="BT69" s="103"/>
      <c r="BU69" s="93"/>
      <c r="BV69" s="103"/>
      <c r="BW69" s="94"/>
      <c r="BX69" s="94"/>
      <c r="BY69" s="93">
        <f t="shared" si="69"/>
        <v>0</v>
      </c>
      <c r="BZ69" s="93"/>
      <c r="CA69" s="104"/>
      <c r="CB69" s="105"/>
      <c r="CC69" s="106"/>
      <c r="CD69" s="107"/>
      <c r="CE69" s="94"/>
      <c r="CF69" s="94"/>
      <c r="CG69" s="93">
        <f t="shared" si="70"/>
        <v>0</v>
      </c>
      <c r="CH69" s="93"/>
      <c r="CI69" s="106"/>
      <c r="CJ69" s="105"/>
      <c r="CK69" s="93"/>
      <c r="CL69" s="105"/>
      <c r="CM69" s="108"/>
      <c r="CN69" s="108"/>
      <c r="CO69" s="93">
        <f t="shared" si="71"/>
        <v>0</v>
      </c>
      <c r="CP69" s="93"/>
      <c r="CQ69" s="93"/>
      <c r="CR69" s="93"/>
      <c r="CS69" s="93"/>
      <c r="CT69" s="93"/>
      <c r="CU69" s="93"/>
      <c r="CV69" s="93"/>
      <c r="CW69" s="93">
        <f t="shared" si="72"/>
        <v>0</v>
      </c>
      <c r="CX69" s="93"/>
      <c r="CY69" s="93" t="str">
        <f>TEXT(X69,"MMMM")</f>
        <v>enero</v>
      </c>
      <c r="CZ69" s="93" t="str">
        <f t="shared" ref="CZ69:CZ110" si="87">TEXT(AF69,"MMMM")</f>
        <v>marzo</v>
      </c>
      <c r="DA69" s="93" t="str">
        <f t="shared" ref="DA69:DA110" si="88">TEXT(AN69,"MMMM")</f>
        <v>marzo</v>
      </c>
      <c r="DB69" s="93" t="str">
        <f t="shared" ref="DB69:DB110" si="89">TEXT(AV69,"MMMM")</f>
        <v>abril</v>
      </c>
      <c r="DC69" s="93" t="str">
        <f t="shared" si="76"/>
        <v>mayo</v>
      </c>
      <c r="DD69" s="93" t="str">
        <f t="shared" si="77"/>
        <v>enero</v>
      </c>
      <c r="DE69" s="93" t="str">
        <f t="shared" si="78"/>
        <v>enero</v>
      </c>
      <c r="DF69" s="93" t="str">
        <f t="shared" si="79"/>
        <v>enero</v>
      </c>
      <c r="DG69" s="93" t="str">
        <f t="shared" si="80"/>
        <v>enero</v>
      </c>
      <c r="DH69" s="93" t="str">
        <f t="shared" si="81"/>
        <v>enero</v>
      </c>
    </row>
    <row r="70" spans="1:112" s="21" customFormat="1" ht="26.45" hidden="1" customHeight="1">
      <c r="A70" s="93">
        <v>90</v>
      </c>
      <c r="B70" s="93" t="e">
        <f>VLOOKUP($A70,  'Matriz POA 2024-TRABAJO'!$A$5:$CY$9142,29,FALSE)</f>
        <v>#N/A</v>
      </c>
      <c r="C70" s="93" t="e">
        <f>VLOOKUP($A70, 'Matriz POA 2024-TRABAJO'!$A$5:$CY$9142,11,FALSE)</f>
        <v>#N/A</v>
      </c>
      <c r="D70" s="93" t="e">
        <f>VLOOKUP($A70, 'Matriz POA 2024-TRABAJO'!$A$5:$CY$9142,14,FALSE)</f>
        <v>#N/A</v>
      </c>
      <c r="E70" s="93" t="e">
        <f>VLOOKUP($A70, 'Matriz POA 2024-TRABAJO'!$A$5:$CY$9142,15,FALSE)</f>
        <v>#N/A</v>
      </c>
      <c r="F70" s="93" t="e">
        <f>VLOOKUP($A70, 'Matriz POA 2024-TRABAJO'!$A$5:$CY$9142,18,FALSE)</f>
        <v>#N/A</v>
      </c>
      <c r="G70" s="93" t="e">
        <f>VLOOKUP($A70, 'Matriz POA 2024-TRABAJO'!$A$5:$CY$9142,23,FALSE)</f>
        <v>#N/A</v>
      </c>
      <c r="H70" s="93" t="e">
        <f>VLOOKUP($A70, 'Matriz POA 2024-TRABAJO'!$A$5:$CY$9142,24,FALSE)</f>
        <v>#N/A</v>
      </c>
      <c r="I70" s="93" t="e">
        <f>VLOOKUP($A70, 'Matriz POA 2024-TRABAJO'!$A$5:$CY$9142,20,FALSE)</f>
        <v>#N/A</v>
      </c>
      <c r="J70" s="93" t="e">
        <f>VLOOKUP($A70, 'Matriz POA 2024-TRABAJO'!$A$5:$CY$9142,26,FALSE)</f>
        <v>#N/A</v>
      </c>
      <c r="K70" s="93" t="e">
        <f>VLOOKUP($A70, 'Matriz POA 2024-TRABAJO'!$A$5:$CY$9142,27,FALSE)</f>
        <v>#N/A</v>
      </c>
      <c r="L70" s="93" t="e">
        <f>VLOOKUP($A70, 'Matriz POA 2024-TRABAJO'!$A$5:$CY$9142,28,FALSE)</f>
        <v>#N/A</v>
      </c>
      <c r="M70" s="93" t="e">
        <f>VLOOKUP($A70, 'Matriz POA 2024-TRABAJO'!$A$5:$CY$9142,30,FALSE)</f>
        <v>#N/A</v>
      </c>
      <c r="N70" s="93" t="e">
        <f>VLOOKUP($A70, 'Matriz POA 2024-TRABAJO'!$A$5:$CY$9142,31,FALSE)</f>
        <v>#N/A</v>
      </c>
      <c r="O70" s="93" t="e">
        <f>VLOOKUP($A70, 'Matriz POA 2024-TRABAJO'!$A$5:$CY$9142,45,FALSE)</f>
        <v>#N/A</v>
      </c>
      <c r="P70" s="93" t="e">
        <f>VLOOKUP($A70, 'Matriz POA 2024-TRABAJO'!$A$5:$CY$9142,46,FALSE)</f>
        <v>#N/A</v>
      </c>
      <c r="Q70" s="93" t="e">
        <f>VLOOKUP($A70, 'Matriz POA 2024-TRABAJO'!$A$5:$CY$9142,47,FALSE)</f>
        <v>#N/A</v>
      </c>
      <c r="R70" s="94">
        <f t="shared" si="82"/>
        <v>373592.44</v>
      </c>
      <c r="S70" s="95" t="e">
        <f t="shared" si="83"/>
        <v>#N/A</v>
      </c>
      <c r="T70" s="93" t="e">
        <f>VLOOKUP($A70, 'Matriz POA 2024-TRABAJO'!$A$5:$CY$9142,72,FALSE)</f>
        <v>#N/A</v>
      </c>
      <c r="U70" s="93" t="e">
        <f>VLOOKUP($A70, 'Matriz POA 2024-TRABAJO'!$A$5:$CY$9142,29,FALSE)</f>
        <v>#N/A</v>
      </c>
      <c r="V70" s="94" t="str">
        <f t="shared" si="84"/>
        <v>13ar-29ar-74ar-</v>
      </c>
      <c r="W70" s="97" t="s">
        <v>1158</v>
      </c>
      <c r="X70" s="109">
        <v>45321</v>
      </c>
      <c r="Y70" s="99" t="s">
        <v>1159</v>
      </c>
      <c r="Z70" s="109">
        <v>45321</v>
      </c>
      <c r="AA70" s="98">
        <v>358491.19</v>
      </c>
      <c r="AB70" s="98"/>
      <c r="AC70" s="99">
        <f t="shared" si="63"/>
        <v>0</v>
      </c>
      <c r="AD70" s="110" t="s">
        <v>1160</v>
      </c>
      <c r="AE70" s="97" t="s">
        <v>1161</v>
      </c>
      <c r="AF70" s="101">
        <v>45356</v>
      </c>
      <c r="AG70" s="97"/>
      <c r="AH70" s="101">
        <v>45358</v>
      </c>
      <c r="AI70" s="98">
        <v>-358491.19</v>
      </c>
      <c r="AJ70" s="98"/>
      <c r="AK70" s="99">
        <f t="shared" si="85"/>
        <v>2</v>
      </c>
      <c r="AL70" s="99"/>
      <c r="AM70" s="97" t="s">
        <v>1161</v>
      </c>
      <c r="AN70" s="96">
        <v>45356</v>
      </c>
      <c r="AO70" s="97"/>
      <c r="AP70" s="101">
        <v>45358</v>
      </c>
      <c r="AQ70" s="98">
        <v>373592.44</v>
      </c>
      <c r="AR70" s="98"/>
      <c r="AS70" s="99"/>
      <c r="AT70" s="99" t="s">
        <v>1163</v>
      </c>
      <c r="AU70" s="93" t="s">
        <v>1164</v>
      </c>
      <c r="AV70" s="96">
        <v>45393</v>
      </c>
      <c r="AW70" s="93" t="s">
        <v>1165</v>
      </c>
      <c r="AX70" s="96">
        <v>45394</v>
      </c>
      <c r="AY70" s="355">
        <v>-373592.44</v>
      </c>
      <c r="AZ70" s="373">
        <v>373592.44</v>
      </c>
      <c r="BA70" s="99">
        <f t="shared" si="86"/>
        <v>1</v>
      </c>
      <c r="BB70" s="99"/>
      <c r="BC70" s="93" t="s">
        <v>1813</v>
      </c>
      <c r="BD70" s="103">
        <v>45426</v>
      </c>
      <c r="BE70" s="101" t="s">
        <v>1815</v>
      </c>
      <c r="BF70" s="103">
        <v>45427</v>
      </c>
      <c r="BG70" s="373">
        <v>-373592.44</v>
      </c>
      <c r="BH70" s="102">
        <v>373592.44</v>
      </c>
      <c r="BI70" s="93">
        <f t="shared" si="67"/>
        <v>1</v>
      </c>
      <c r="BJ70" s="93" t="s">
        <v>1814</v>
      </c>
      <c r="BK70" s="93"/>
      <c r="BL70" s="103"/>
      <c r="BM70" s="93"/>
      <c r="BN70" s="103"/>
      <c r="BO70" s="94"/>
      <c r="BP70" s="94"/>
      <c r="BQ70" s="93">
        <f t="shared" si="68"/>
        <v>0</v>
      </c>
      <c r="BR70" s="93"/>
      <c r="BS70" s="93"/>
      <c r="BT70" s="103"/>
      <c r="BU70" s="93"/>
      <c r="BV70" s="103"/>
      <c r="BW70" s="94"/>
      <c r="BX70" s="94"/>
      <c r="BY70" s="93">
        <f t="shared" si="69"/>
        <v>0</v>
      </c>
      <c r="BZ70" s="93"/>
      <c r="CA70" s="104"/>
      <c r="CB70" s="105"/>
      <c r="CC70" s="106"/>
      <c r="CD70" s="107"/>
      <c r="CE70" s="94"/>
      <c r="CF70" s="94"/>
      <c r="CG70" s="93">
        <f t="shared" si="70"/>
        <v>0</v>
      </c>
      <c r="CH70" s="93"/>
      <c r="CI70" s="106"/>
      <c r="CJ70" s="105"/>
      <c r="CK70" s="93"/>
      <c r="CL70" s="105"/>
      <c r="CM70" s="108"/>
      <c r="CN70" s="108"/>
      <c r="CO70" s="93">
        <f t="shared" si="71"/>
        <v>0</v>
      </c>
      <c r="CP70" s="93"/>
      <c r="CQ70" s="93"/>
      <c r="CR70" s="93"/>
      <c r="CS70" s="93"/>
      <c r="CT70" s="93"/>
      <c r="CU70" s="93"/>
      <c r="CV70" s="93"/>
      <c r="CW70" s="93">
        <f t="shared" si="72"/>
        <v>0</v>
      </c>
      <c r="CX70" s="93"/>
      <c r="CY70" s="93" t="str">
        <f>TEXT(Z70,"MMMM")</f>
        <v>enero</v>
      </c>
      <c r="CZ70" s="93" t="str">
        <f t="shared" si="87"/>
        <v>marzo</v>
      </c>
      <c r="DA70" s="93" t="str">
        <f t="shared" si="88"/>
        <v>marzo</v>
      </c>
      <c r="DB70" s="93" t="str">
        <f t="shared" si="89"/>
        <v>abril</v>
      </c>
      <c r="DC70" s="93" t="str">
        <f t="shared" si="76"/>
        <v>mayo</v>
      </c>
      <c r="DD70" s="93" t="str">
        <f t="shared" si="77"/>
        <v>enero</v>
      </c>
      <c r="DE70" s="93" t="str">
        <f t="shared" si="78"/>
        <v>enero</v>
      </c>
      <c r="DF70" s="93" t="str">
        <f t="shared" si="79"/>
        <v>enero</v>
      </c>
      <c r="DG70" s="93" t="str">
        <f t="shared" si="80"/>
        <v>enero</v>
      </c>
      <c r="DH70" s="93" t="str">
        <f t="shared" si="81"/>
        <v>enero</v>
      </c>
    </row>
    <row r="71" spans="1:112" s="21" customFormat="1" ht="18.75" hidden="1" customHeight="1">
      <c r="A71" s="93">
        <v>91</v>
      </c>
      <c r="B71" s="93" t="e">
        <f>VLOOKUP($A71,  'Matriz POA 2024-TRABAJO'!$A$5:$CY$9142,29,FALSE)</f>
        <v>#N/A</v>
      </c>
      <c r="C71" s="93" t="e">
        <f>VLOOKUP($A71, 'Matriz POA 2024-TRABAJO'!$A$5:$CY$9142,11,FALSE)</f>
        <v>#N/A</v>
      </c>
      <c r="D71" s="93" t="e">
        <f>VLOOKUP($A71, 'Matriz POA 2024-TRABAJO'!$A$5:$CY$9142,14,FALSE)</f>
        <v>#N/A</v>
      </c>
      <c r="E71" s="93" t="e">
        <f>VLOOKUP($A71, 'Matriz POA 2024-TRABAJO'!$A$5:$CY$9142,15,FALSE)</f>
        <v>#N/A</v>
      </c>
      <c r="F71" s="93" t="e">
        <f>VLOOKUP($A71, 'Matriz POA 2024-TRABAJO'!$A$5:$CY$9142,18,FALSE)</f>
        <v>#N/A</v>
      </c>
      <c r="G71" s="93" t="e">
        <f>VLOOKUP($A71, 'Matriz POA 2024-TRABAJO'!$A$5:$CY$9142,23,FALSE)</f>
        <v>#N/A</v>
      </c>
      <c r="H71" s="93" t="e">
        <f>VLOOKUP($A71, 'Matriz POA 2024-TRABAJO'!$A$5:$CY$9142,24,FALSE)</f>
        <v>#N/A</v>
      </c>
      <c r="I71" s="93" t="e">
        <f>VLOOKUP($A71, 'Matriz POA 2024-TRABAJO'!$A$5:$CY$9142,20,FALSE)</f>
        <v>#N/A</v>
      </c>
      <c r="J71" s="93" t="e">
        <f>VLOOKUP($A71, 'Matriz POA 2024-TRABAJO'!$A$5:$CY$9142,26,FALSE)</f>
        <v>#N/A</v>
      </c>
      <c r="K71" s="93" t="e">
        <f>VLOOKUP($A71, 'Matriz POA 2024-TRABAJO'!$A$5:$CY$9142,27,FALSE)</f>
        <v>#N/A</v>
      </c>
      <c r="L71" s="93" t="e">
        <f>VLOOKUP($A71, 'Matriz POA 2024-TRABAJO'!$A$5:$CY$9142,28,FALSE)</f>
        <v>#N/A</v>
      </c>
      <c r="M71" s="93" t="e">
        <f>VLOOKUP($A71, 'Matriz POA 2024-TRABAJO'!$A$5:$CY$9142,30,FALSE)</f>
        <v>#N/A</v>
      </c>
      <c r="N71" s="93" t="e">
        <f>VLOOKUP($A71, 'Matriz POA 2024-TRABAJO'!$A$5:$CY$9142,31,FALSE)</f>
        <v>#N/A</v>
      </c>
      <c r="O71" s="93" t="e">
        <f>VLOOKUP($A71, 'Matriz POA 2024-TRABAJO'!$A$5:$CY$9142,45,FALSE)</f>
        <v>#N/A</v>
      </c>
      <c r="P71" s="93" t="e">
        <f>VLOOKUP($A71, 'Matriz POA 2024-TRABAJO'!$A$5:$CY$9142,46,FALSE)</f>
        <v>#N/A</v>
      </c>
      <c r="Q71" s="93" t="e">
        <f>VLOOKUP($A71, 'Matriz POA 2024-TRABAJO'!$A$5:$CY$9142,47,FALSE)</f>
        <v>#N/A</v>
      </c>
      <c r="R71" s="94">
        <f t="shared" si="82"/>
        <v>145223.04999999999</v>
      </c>
      <c r="S71" s="95" t="e">
        <f t="shared" si="83"/>
        <v>#N/A</v>
      </c>
      <c r="T71" s="93" t="e">
        <f>VLOOKUP($A71, 'Matriz POA 2024-TRABAJO'!$A$5:$CY$9142,72,FALSE)</f>
        <v>#N/A</v>
      </c>
      <c r="U71" s="93" t="e">
        <f>VLOOKUP($A71, 'Matriz POA 2024-TRABAJO'!$A$5:$CY$9142,29,FALSE)</f>
        <v>#N/A</v>
      </c>
      <c r="V71" s="94" t="str">
        <f t="shared" si="84"/>
        <v>13ar-29ar-74ar-</v>
      </c>
      <c r="W71" s="97" t="s">
        <v>1158</v>
      </c>
      <c r="X71" s="109">
        <v>45321</v>
      </c>
      <c r="Y71" s="99" t="s">
        <v>1159</v>
      </c>
      <c r="Z71" s="109">
        <v>45321</v>
      </c>
      <c r="AA71" s="98">
        <v>143482.10999999999</v>
      </c>
      <c r="AB71" s="98"/>
      <c r="AC71" s="99">
        <f t="shared" si="63"/>
        <v>0</v>
      </c>
      <c r="AD71" s="110" t="s">
        <v>1160</v>
      </c>
      <c r="AE71" s="97" t="s">
        <v>1161</v>
      </c>
      <c r="AF71" s="101">
        <v>45356</v>
      </c>
      <c r="AG71" s="97"/>
      <c r="AH71" s="101">
        <v>45358</v>
      </c>
      <c r="AI71" s="98">
        <v>-143482.10999999999</v>
      </c>
      <c r="AJ71" s="98"/>
      <c r="AK71" s="99">
        <f t="shared" si="85"/>
        <v>2</v>
      </c>
      <c r="AL71" s="99"/>
      <c r="AM71" s="97" t="s">
        <v>1161</v>
      </c>
      <c r="AN71" s="96">
        <v>45356</v>
      </c>
      <c r="AO71" s="97"/>
      <c r="AP71" s="101">
        <v>45358</v>
      </c>
      <c r="AQ71" s="98">
        <f>143707.05-40.94</f>
        <v>143666.10999999999</v>
      </c>
      <c r="AR71" s="98"/>
      <c r="AS71" s="99"/>
      <c r="AT71" s="99" t="s">
        <v>1163</v>
      </c>
      <c r="AU71" s="93" t="s">
        <v>1164</v>
      </c>
      <c r="AV71" s="96">
        <v>45393</v>
      </c>
      <c r="AW71" s="93" t="s">
        <v>1165</v>
      </c>
      <c r="AX71" s="96">
        <v>45394</v>
      </c>
      <c r="AY71" s="355">
        <v>-143666.10999999999</v>
      </c>
      <c r="AZ71" s="98">
        <v>143707.04999999999</v>
      </c>
      <c r="BA71" s="99">
        <f t="shared" si="86"/>
        <v>1</v>
      </c>
      <c r="BB71" s="99"/>
      <c r="BC71" s="93" t="s">
        <v>1813</v>
      </c>
      <c r="BD71" s="103">
        <v>45426</v>
      </c>
      <c r="BE71" s="101" t="s">
        <v>1815</v>
      </c>
      <c r="BF71" s="103">
        <v>45427</v>
      </c>
      <c r="BG71" s="98">
        <v>-143707.04999999999</v>
      </c>
      <c r="BH71" s="102">
        <v>145223.04999999999</v>
      </c>
      <c r="BI71" s="93">
        <f t="shared" si="67"/>
        <v>1</v>
      </c>
      <c r="BJ71" s="93" t="s">
        <v>1814</v>
      </c>
      <c r="BK71" s="93"/>
      <c r="BL71" s="103"/>
      <c r="BM71" s="93"/>
      <c r="BN71" s="103"/>
      <c r="BO71" s="94"/>
      <c r="BP71" s="94"/>
      <c r="BQ71" s="93">
        <f t="shared" si="68"/>
        <v>0</v>
      </c>
      <c r="BR71" s="93"/>
      <c r="BS71" s="93"/>
      <c r="BT71" s="103"/>
      <c r="BU71" s="93"/>
      <c r="BV71" s="103"/>
      <c r="BW71" s="94"/>
      <c r="BX71" s="94"/>
      <c r="BY71" s="93">
        <f t="shared" si="69"/>
        <v>0</v>
      </c>
      <c r="BZ71" s="93"/>
      <c r="CA71" s="104"/>
      <c r="CB71" s="105"/>
      <c r="CC71" s="106"/>
      <c r="CD71" s="107"/>
      <c r="CE71" s="94"/>
      <c r="CF71" s="94"/>
      <c r="CG71" s="93">
        <f t="shared" si="70"/>
        <v>0</v>
      </c>
      <c r="CH71" s="93"/>
      <c r="CI71" s="106"/>
      <c r="CJ71" s="105"/>
      <c r="CK71" s="93"/>
      <c r="CL71" s="105"/>
      <c r="CM71" s="108"/>
      <c r="CN71" s="108"/>
      <c r="CO71" s="93">
        <f t="shared" si="71"/>
        <v>0</v>
      </c>
      <c r="CP71" s="93"/>
      <c r="CQ71" s="93"/>
      <c r="CR71" s="93"/>
      <c r="CS71" s="93"/>
      <c r="CT71" s="93"/>
      <c r="CU71" s="93"/>
      <c r="CV71" s="93"/>
      <c r="CW71" s="93">
        <f t="shared" si="72"/>
        <v>0</v>
      </c>
      <c r="CX71" s="93"/>
      <c r="CY71" s="93" t="str">
        <f>TEXT(X71,"MMMM")</f>
        <v>enero</v>
      </c>
      <c r="CZ71" s="93" t="str">
        <f t="shared" si="87"/>
        <v>marzo</v>
      </c>
      <c r="DA71" s="93" t="str">
        <f t="shared" si="88"/>
        <v>marzo</v>
      </c>
      <c r="DB71" s="93" t="str">
        <f t="shared" si="89"/>
        <v>abril</v>
      </c>
      <c r="DC71" s="93" t="str">
        <f t="shared" si="76"/>
        <v>mayo</v>
      </c>
      <c r="DD71" s="93" t="str">
        <f t="shared" si="77"/>
        <v>enero</v>
      </c>
      <c r="DE71" s="93" t="str">
        <f t="shared" si="78"/>
        <v>enero</v>
      </c>
      <c r="DF71" s="93" t="str">
        <f t="shared" si="79"/>
        <v>enero</v>
      </c>
      <c r="DG71" s="93" t="str">
        <f t="shared" si="80"/>
        <v>enero</v>
      </c>
      <c r="DH71" s="93" t="str">
        <f t="shared" si="81"/>
        <v>enero</v>
      </c>
    </row>
    <row r="72" spans="1:112" s="21" customFormat="1" ht="18.75" hidden="1" customHeight="1">
      <c r="A72" s="93">
        <v>92</v>
      </c>
      <c r="B72" s="93" t="e">
        <f>VLOOKUP($A72,  'Matriz POA 2024-TRABAJO'!$A$5:$CY$9142,29,FALSE)</f>
        <v>#N/A</v>
      </c>
      <c r="C72" s="93" t="e">
        <f>VLOOKUP($A72, 'Matriz POA 2024-TRABAJO'!$A$5:$CY$9142,11,FALSE)</f>
        <v>#N/A</v>
      </c>
      <c r="D72" s="93" t="e">
        <f>VLOOKUP($A72, 'Matriz POA 2024-TRABAJO'!$A$5:$CY$9142,14,FALSE)</f>
        <v>#N/A</v>
      </c>
      <c r="E72" s="93" t="e">
        <f>VLOOKUP($A72, 'Matriz POA 2024-TRABAJO'!$A$5:$CY$9142,15,FALSE)</f>
        <v>#N/A</v>
      </c>
      <c r="F72" s="93" t="e">
        <f>VLOOKUP($A72, 'Matriz POA 2024-TRABAJO'!$A$5:$CY$9142,18,FALSE)</f>
        <v>#N/A</v>
      </c>
      <c r="G72" s="93" t="e">
        <f>VLOOKUP($A72, 'Matriz POA 2024-TRABAJO'!$A$5:$CY$9142,23,FALSE)</f>
        <v>#N/A</v>
      </c>
      <c r="H72" s="93" t="e">
        <f>VLOOKUP($A72, 'Matriz POA 2024-TRABAJO'!$A$5:$CY$9142,24,FALSE)</f>
        <v>#N/A</v>
      </c>
      <c r="I72" s="93" t="e">
        <f>VLOOKUP($A72, 'Matriz POA 2024-TRABAJO'!$A$5:$CY$9142,20,FALSE)</f>
        <v>#N/A</v>
      </c>
      <c r="J72" s="93" t="e">
        <f>VLOOKUP($A72, 'Matriz POA 2024-TRABAJO'!$A$5:$CY$9142,26,FALSE)</f>
        <v>#N/A</v>
      </c>
      <c r="K72" s="93" t="e">
        <f>VLOOKUP($A72, 'Matriz POA 2024-TRABAJO'!$A$5:$CY$9142,27,FALSE)</f>
        <v>#N/A</v>
      </c>
      <c r="L72" s="93" t="e">
        <f>VLOOKUP($A72, 'Matriz POA 2024-TRABAJO'!$A$5:$CY$9142,28,FALSE)</f>
        <v>#N/A</v>
      </c>
      <c r="M72" s="93" t="e">
        <f>VLOOKUP($A72, 'Matriz POA 2024-TRABAJO'!$A$5:$CY$9142,30,FALSE)</f>
        <v>#N/A</v>
      </c>
      <c r="N72" s="93" t="e">
        <f>VLOOKUP($A72, 'Matriz POA 2024-TRABAJO'!$A$5:$CY$9142,31,FALSE)</f>
        <v>#N/A</v>
      </c>
      <c r="O72" s="93" t="e">
        <f>VLOOKUP($A72, 'Matriz POA 2024-TRABAJO'!$A$5:$CY$9142,45,FALSE)</f>
        <v>#N/A</v>
      </c>
      <c r="P72" s="93" t="e">
        <f>VLOOKUP($A72, 'Matriz POA 2024-TRABAJO'!$A$5:$CY$9142,46,FALSE)</f>
        <v>#N/A</v>
      </c>
      <c r="Q72" s="93" t="e">
        <f>VLOOKUP($A72, 'Matriz POA 2024-TRABAJO'!$A$5:$CY$9142,47,FALSE)</f>
        <v>#N/A</v>
      </c>
      <c r="R72" s="94">
        <f t="shared" si="82"/>
        <v>56879.25</v>
      </c>
      <c r="S72" s="95" t="e">
        <f t="shared" si="83"/>
        <v>#N/A</v>
      </c>
      <c r="T72" s="93" t="e">
        <f>VLOOKUP($A72, 'Matriz POA 2024-TRABAJO'!$A$5:$CY$9142,72,FALSE)</f>
        <v>#N/A</v>
      </c>
      <c r="U72" s="93" t="e">
        <f>VLOOKUP($A72, 'Matriz POA 2024-TRABAJO'!$A$5:$CY$9142,29,FALSE)</f>
        <v>#N/A</v>
      </c>
      <c r="V72" s="94" t="str">
        <f t="shared" si="84"/>
        <v>13ar-29ar-74ar-</v>
      </c>
      <c r="W72" s="97" t="s">
        <v>1158</v>
      </c>
      <c r="X72" s="109">
        <v>45321</v>
      </c>
      <c r="Y72" s="99" t="s">
        <v>1159</v>
      </c>
      <c r="Z72" s="109">
        <v>45321</v>
      </c>
      <c r="AA72" s="98">
        <v>56879.25</v>
      </c>
      <c r="AB72" s="98"/>
      <c r="AC72" s="99">
        <f t="shared" si="63"/>
        <v>0</v>
      </c>
      <c r="AD72" s="110" t="s">
        <v>1160</v>
      </c>
      <c r="AE72" s="97" t="s">
        <v>1161</v>
      </c>
      <c r="AF72" s="101">
        <v>45356</v>
      </c>
      <c r="AG72" s="97"/>
      <c r="AH72" s="101">
        <v>45358</v>
      </c>
      <c r="AI72" s="98">
        <v>-56879.25</v>
      </c>
      <c r="AJ72" s="98"/>
      <c r="AK72" s="99">
        <f t="shared" si="85"/>
        <v>2</v>
      </c>
      <c r="AL72" s="99"/>
      <c r="AM72" s="97" t="s">
        <v>1161</v>
      </c>
      <c r="AN72" s="96">
        <v>45356</v>
      </c>
      <c r="AO72" s="97"/>
      <c r="AP72" s="101">
        <v>45358</v>
      </c>
      <c r="AQ72" s="98">
        <v>56476.75</v>
      </c>
      <c r="AR72" s="98"/>
      <c r="AS72" s="99"/>
      <c r="AT72" s="99" t="s">
        <v>1163</v>
      </c>
      <c r="AU72" s="93" t="s">
        <v>1164</v>
      </c>
      <c r="AV72" s="96">
        <v>45393</v>
      </c>
      <c r="AW72" s="93" t="s">
        <v>1165</v>
      </c>
      <c r="AX72" s="96">
        <v>45394</v>
      </c>
      <c r="AY72" s="355">
        <v>-56476.75</v>
      </c>
      <c r="AZ72" s="98">
        <v>56476.75</v>
      </c>
      <c r="BA72" s="99">
        <f t="shared" si="86"/>
        <v>1</v>
      </c>
      <c r="BB72" s="99"/>
      <c r="BC72" s="93" t="s">
        <v>1813</v>
      </c>
      <c r="BD72" s="103">
        <v>45426</v>
      </c>
      <c r="BE72" s="101" t="s">
        <v>1815</v>
      </c>
      <c r="BF72" s="103">
        <v>45427</v>
      </c>
      <c r="BG72" s="98">
        <v>-56476.75</v>
      </c>
      <c r="BH72" s="102">
        <v>56879.25</v>
      </c>
      <c r="BI72" s="93">
        <f t="shared" si="67"/>
        <v>1</v>
      </c>
      <c r="BJ72" s="93" t="s">
        <v>1814</v>
      </c>
      <c r="BK72" s="93"/>
      <c r="BL72" s="103"/>
      <c r="BM72" s="93"/>
      <c r="BN72" s="103"/>
      <c r="BO72" s="94"/>
      <c r="BP72" s="94"/>
      <c r="BQ72" s="93">
        <f t="shared" si="68"/>
        <v>0</v>
      </c>
      <c r="BR72" s="93"/>
      <c r="BS72" s="93"/>
      <c r="BT72" s="103"/>
      <c r="BU72" s="93"/>
      <c r="BV72" s="103"/>
      <c r="BW72" s="94"/>
      <c r="BX72" s="94"/>
      <c r="BY72" s="93">
        <f t="shared" si="69"/>
        <v>0</v>
      </c>
      <c r="BZ72" s="93"/>
      <c r="CA72" s="104"/>
      <c r="CB72" s="105"/>
      <c r="CC72" s="106"/>
      <c r="CD72" s="107"/>
      <c r="CE72" s="94"/>
      <c r="CF72" s="94"/>
      <c r="CG72" s="93">
        <f t="shared" si="70"/>
        <v>0</v>
      </c>
      <c r="CH72" s="93"/>
      <c r="CI72" s="106"/>
      <c r="CJ72" s="105"/>
      <c r="CK72" s="93"/>
      <c r="CL72" s="105"/>
      <c r="CM72" s="108"/>
      <c r="CN72" s="108"/>
      <c r="CO72" s="93">
        <f t="shared" si="71"/>
        <v>0</v>
      </c>
      <c r="CP72" s="93"/>
      <c r="CQ72" s="93"/>
      <c r="CR72" s="93"/>
      <c r="CS72" s="93"/>
      <c r="CT72" s="93"/>
      <c r="CU72" s="93"/>
      <c r="CV72" s="93"/>
      <c r="CW72" s="93">
        <f t="shared" si="72"/>
        <v>0</v>
      </c>
      <c r="CX72" s="93"/>
      <c r="CY72" s="93" t="str">
        <f>TEXT(X72,"MMMM")</f>
        <v>enero</v>
      </c>
      <c r="CZ72" s="93" t="str">
        <f t="shared" si="87"/>
        <v>marzo</v>
      </c>
      <c r="DA72" s="93" t="str">
        <f t="shared" si="88"/>
        <v>marzo</v>
      </c>
      <c r="DB72" s="93" t="str">
        <f t="shared" si="89"/>
        <v>abril</v>
      </c>
      <c r="DC72" s="93" t="str">
        <f t="shared" si="76"/>
        <v>mayo</v>
      </c>
      <c r="DD72" s="93" t="str">
        <f t="shared" si="77"/>
        <v>enero</v>
      </c>
      <c r="DE72" s="93" t="str">
        <f t="shared" si="78"/>
        <v>enero</v>
      </c>
      <c r="DF72" s="93" t="str">
        <f t="shared" si="79"/>
        <v>enero</v>
      </c>
      <c r="DG72" s="93" t="str">
        <f t="shared" si="80"/>
        <v>enero</v>
      </c>
      <c r="DH72" s="93" t="str">
        <f t="shared" si="81"/>
        <v>enero</v>
      </c>
    </row>
    <row r="73" spans="1:112" ht="15" hidden="1" customHeight="1">
      <c r="A73" s="93">
        <v>93</v>
      </c>
      <c r="B73" s="93" t="e">
        <f>VLOOKUP($A73,  'Matriz POA 2024-TRABAJO'!$A$5:$CY$9142,29,FALSE)</f>
        <v>#N/A</v>
      </c>
      <c r="C73" s="93" t="e">
        <f>VLOOKUP($A73, 'Matriz POA 2024-TRABAJO'!$A$5:$CY$9142,11,FALSE)</f>
        <v>#N/A</v>
      </c>
      <c r="D73" s="93" t="e">
        <f>VLOOKUP($A73, 'Matriz POA 2024-TRABAJO'!$A$5:$CY$9142,14,FALSE)</f>
        <v>#N/A</v>
      </c>
      <c r="E73" s="93" t="e">
        <f>VLOOKUP($A73, 'Matriz POA 2024-TRABAJO'!$A$5:$CY$9142,15,FALSE)</f>
        <v>#N/A</v>
      </c>
      <c r="F73" s="93" t="e">
        <f>VLOOKUP($A73, 'Matriz POA 2024-TRABAJO'!$A$5:$CY$9142,18,FALSE)</f>
        <v>#N/A</v>
      </c>
      <c r="G73" s="93" t="e">
        <f>VLOOKUP($A73, 'Matriz POA 2024-TRABAJO'!$A$5:$CY$9142,23,FALSE)</f>
        <v>#N/A</v>
      </c>
      <c r="H73" s="93" t="e">
        <f>VLOOKUP($A73, 'Matriz POA 2024-TRABAJO'!$A$5:$CY$9142,24,FALSE)</f>
        <v>#N/A</v>
      </c>
      <c r="I73" s="93" t="e">
        <f>VLOOKUP($A73, 'Matriz POA 2024-TRABAJO'!$A$5:$CY$9142,20,FALSE)</f>
        <v>#N/A</v>
      </c>
      <c r="J73" s="93" t="e">
        <f>VLOOKUP($A73, 'Matriz POA 2024-TRABAJO'!$A$5:$CY$9142,26,FALSE)</f>
        <v>#N/A</v>
      </c>
      <c r="K73" s="93" t="e">
        <f>VLOOKUP($A73, 'Matriz POA 2024-TRABAJO'!$A$5:$CY$9142,27,FALSE)</f>
        <v>#N/A</v>
      </c>
      <c r="L73" s="93" t="e">
        <f>VLOOKUP($A73, 'Matriz POA 2024-TRABAJO'!$A$5:$CY$9142,28,FALSE)</f>
        <v>#N/A</v>
      </c>
      <c r="M73" s="93" t="e">
        <f>VLOOKUP($A73, 'Matriz POA 2024-TRABAJO'!$A$5:$CY$9142,30,FALSE)</f>
        <v>#N/A</v>
      </c>
      <c r="N73" s="93" t="e">
        <f>VLOOKUP($A73, 'Matriz POA 2024-TRABAJO'!$A$5:$CY$9142,31,FALSE)</f>
        <v>#N/A</v>
      </c>
      <c r="O73" s="93" t="e">
        <f>VLOOKUP($A73, 'Matriz POA 2024-TRABAJO'!$A$5:$CY$9142,45,FALSE)</f>
        <v>#N/A</v>
      </c>
      <c r="P73" s="93" t="e">
        <f>VLOOKUP($A73, 'Matriz POA 2024-TRABAJO'!$A$5:$CY$9142,46,FALSE)</f>
        <v>#N/A</v>
      </c>
      <c r="Q73" s="93" t="e">
        <f>VLOOKUP($A73, 'Matriz POA 2024-TRABAJO'!$A$5:$CY$9142,47,FALSE)</f>
        <v>#N/A</v>
      </c>
      <c r="R73" s="94">
        <f t="shared" si="82"/>
        <v>3675</v>
      </c>
      <c r="S73" s="95" t="e">
        <f t="shared" si="83"/>
        <v>#N/A</v>
      </c>
      <c r="T73" s="93" t="e">
        <f>VLOOKUP($A73, 'Matriz POA 2024-TRABAJO'!$A$5:$CY$9142,72,FALSE)</f>
        <v>#N/A</v>
      </c>
      <c r="U73" s="93" t="e">
        <f>VLOOKUP($A73, 'Matriz POA 2024-TRABAJO'!$A$5:$CY$9142,29,FALSE)</f>
        <v>#N/A</v>
      </c>
      <c r="V73" s="94" t="str">
        <f t="shared" si="84"/>
        <v>13ar-29ar-74ar-</v>
      </c>
      <c r="W73" s="97" t="s">
        <v>1158</v>
      </c>
      <c r="X73" s="109">
        <v>45321</v>
      </c>
      <c r="Y73" s="99" t="s">
        <v>1159</v>
      </c>
      <c r="Z73" s="109">
        <v>45321</v>
      </c>
      <c r="AA73" s="98">
        <v>3675</v>
      </c>
      <c r="AB73" s="98"/>
      <c r="AC73" s="99">
        <f t="shared" si="63"/>
        <v>0</v>
      </c>
      <c r="AD73" s="110" t="s">
        <v>1160</v>
      </c>
      <c r="AE73" s="97" t="s">
        <v>1161</v>
      </c>
      <c r="AF73" s="101">
        <v>45356</v>
      </c>
      <c r="AG73" s="97"/>
      <c r="AH73" s="101">
        <v>45358</v>
      </c>
      <c r="AI73" s="98">
        <v>-3675</v>
      </c>
      <c r="AJ73" s="98"/>
      <c r="AK73" s="99">
        <f t="shared" si="85"/>
        <v>2</v>
      </c>
      <c r="AL73" s="99"/>
      <c r="AM73" s="97" t="s">
        <v>1161</v>
      </c>
      <c r="AN73" s="96">
        <v>45356</v>
      </c>
      <c r="AO73" s="97"/>
      <c r="AP73" s="101">
        <v>45358</v>
      </c>
      <c r="AQ73" s="98">
        <v>3675</v>
      </c>
      <c r="AR73" s="98"/>
      <c r="AS73" s="99"/>
      <c r="AT73" s="99" t="s">
        <v>1163</v>
      </c>
      <c r="AU73" s="93" t="s">
        <v>1164</v>
      </c>
      <c r="AV73" s="96">
        <v>45393</v>
      </c>
      <c r="AW73" s="93" t="s">
        <v>1165</v>
      </c>
      <c r="AX73" s="96">
        <v>45394</v>
      </c>
      <c r="AY73" s="355">
        <v>-3675</v>
      </c>
      <c r="AZ73" s="98">
        <v>3675</v>
      </c>
      <c r="BA73" s="99">
        <f t="shared" si="86"/>
        <v>1</v>
      </c>
      <c r="BB73" s="99"/>
      <c r="BC73" s="93" t="s">
        <v>1813</v>
      </c>
      <c r="BD73" s="103">
        <v>45426</v>
      </c>
      <c r="BE73" s="101" t="s">
        <v>1815</v>
      </c>
      <c r="BF73" s="103">
        <v>45427</v>
      </c>
      <c r="BG73" s="98">
        <v>-3675</v>
      </c>
      <c r="BH73" s="102">
        <v>3675</v>
      </c>
      <c r="BI73" s="93">
        <f t="shared" si="67"/>
        <v>1</v>
      </c>
      <c r="BJ73" s="93" t="s">
        <v>1814</v>
      </c>
      <c r="BK73" s="93"/>
      <c r="BL73" s="103"/>
      <c r="BM73" s="93"/>
      <c r="BN73" s="103"/>
      <c r="BO73" s="94"/>
      <c r="BP73" s="94"/>
      <c r="BQ73" s="93">
        <f t="shared" si="68"/>
        <v>0</v>
      </c>
      <c r="BR73" s="93"/>
      <c r="BS73" s="93"/>
      <c r="BT73" s="103"/>
      <c r="BU73" s="93"/>
      <c r="BV73" s="103"/>
      <c r="BW73" s="94"/>
      <c r="BX73" s="94"/>
      <c r="BY73" s="93">
        <f t="shared" si="69"/>
        <v>0</v>
      </c>
      <c r="BZ73" s="93"/>
      <c r="CA73" s="104"/>
      <c r="CB73" s="105"/>
      <c r="CC73" s="106"/>
      <c r="CD73" s="107"/>
      <c r="CE73" s="94"/>
      <c r="CF73" s="94"/>
      <c r="CG73" s="93">
        <f t="shared" si="70"/>
        <v>0</v>
      </c>
      <c r="CH73" s="93"/>
      <c r="CI73" s="106"/>
      <c r="CJ73" s="105"/>
      <c r="CK73" s="93"/>
      <c r="CL73" s="105"/>
      <c r="CM73" s="108"/>
      <c r="CN73" s="108"/>
      <c r="CO73" s="93">
        <f t="shared" si="71"/>
        <v>0</v>
      </c>
      <c r="CP73" s="93"/>
      <c r="CQ73" s="93"/>
      <c r="CR73" s="93"/>
      <c r="CS73" s="93"/>
      <c r="CT73" s="93"/>
      <c r="CU73" s="93"/>
      <c r="CV73" s="93"/>
      <c r="CW73" s="93">
        <f t="shared" si="72"/>
        <v>0</v>
      </c>
      <c r="CX73" s="93"/>
      <c r="CY73" s="93" t="str">
        <f>TEXT(X73,"MMMM")</f>
        <v>enero</v>
      </c>
      <c r="CZ73" s="93" t="str">
        <f t="shared" si="87"/>
        <v>marzo</v>
      </c>
      <c r="DA73" s="93" t="str">
        <f t="shared" si="88"/>
        <v>marzo</v>
      </c>
      <c r="DB73" s="93" t="str">
        <f t="shared" si="89"/>
        <v>abril</v>
      </c>
      <c r="DC73" s="93" t="str">
        <f t="shared" si="76"/>
        <v>mayo</v>
      </c>
      <c r="DD73" s="93" t="str">
        <f t="shared" si="77"/>
        <v>enero</v>
      </c>
      <c r="DE73" s="93" t="str">
        <f t="shared" si="78"/>
        <v>enero</v>
      </c>
      <c r="DF73" s="93" t="str">
        <f t="shared" si="79"/>
        <v>enero</v>
      </c>
      <c r="DG73" s="93" t="str">
        <f t="shared" si="80"/>
        <v>enero</v>
      </c>
      <c r="DH73" s="93" t="str">
        <f t="shared" si="81"/>
        <v>enero</v>
      </c>
    </row>
    <row r="74" spans="1:112" s="21" customFormat="1" ht="26.45" hidden="1" customHeight="1">
      <c r="A74" s="93">
        <v>94</v>
      </c>
      <c r="B74" s="93" t="e">
        <f>VLOOKUP($A74,  'Matriz POA 2024-TRABAJO'!$A$5:$CY$9142,29,FALSE)</f>
        <v>#N/A</v>
      </c>
      <c r="C74" s="93" t="e">
        <f>VLOOKUP($A74, 'Matriz POA 2024-TRABAJO'!$A$5:$CY$9142,11,FALSE)</f>
        <v>#N/A</v>
      </c>
      <c r="D74" s="93" t="e">
        <f>VLOOKUP($A74, 'Matriz POA 2024-TRABAJO'!$A$5:$CY$9142,14,FALSE)</f>
        <v>#N/A</v>
      </c>
      <c r="E74" s="93" t="e">
        <f>VLOOKUP($A74, 'Matriz POA 2024-TRABAJO'!$A$5:$CY$9142,15,FALSE)</f>
        <v>#N/A</v>
      </c>
      <c r="F74" s="93" t="e">
        <f>VLOOKUP($A74, 'Matriz POA 2024-TRABAJO'!$A$5:$CY$9142,18,FALSE)</f>
        <v>#N/A</v>
      </c>
      <c r="G74" s="93" t="e">
        <f>VLOOKUP($A74, 'Matriz POA 2024-TRABAJO'!$A$5:$CY$9142,23,FALSE)</f>
        <v>#N/A</v>
      </c>
      <c r="H74" s="93" t="e">
        <f>VLOOKUP($A74, 'Matriz POA 2024-TRABAJO'!$A$5:$CY$9142,24,FALSE)</f>
        <v>#N/A</v>
      </c>
      <c r="I74" s="93" t="e">
        <f>VLOOKUP($A74, 'Matriz POA 2024-TRABAJO'!$A$5:$CY$9142,20,FALSE)</f>
        <v>#N/A</v>
      </c>
      <c r="J74" s="93" t="e">
        <f>VLOOKUP($A74, 'Matriz POA 2024-TRABAJO'!$A$5:$CY$9142,26,FALSE)</f>
        <v>#N/A</v>
      </c>
      <c r="K74" s="93" t="e">
        <f>VLOOKUP($A74, 'Matriz POA 2024-TRABAJO'!$A$5:$CY$9142,27,FALSE)</f>
        <v>#N/A</v>
      </c>
      <c r="L74" s="93" t="e">
        <f>VLOOKUP($A74, 'Matriz POA 2024-TRABAJO'!$A$5:$CY$9142,28,FALSE)</f>
        <v>#N/A</v>
      </c>
      <c r="M74" s="93" t="e">
        <f>VLOOKUP($A74, 'Matriz POA 2024-TRABAJO'!$A$5:$CY$9142,30,FALSE)</f>
        <v>#N/A</v>
      </c>
      <c r="N74" s="93" t="e">
        <f>VLOOKUP($A74, 'Matriz POA 2024-TRABAJO'!$A$5:$CY$9142,31,FALSE)</f>
        <v>#N/A</v>
      </c>
      <c r="O74" s="93" t="e">
        <f>VLOOKUP($A74, 'Matriz POA 2024-TRABAJO'!$A$5:$CY$9142,45,FALSE)</f>
        <v>#N/A</v>
      </c>
      <c r="P74" s="93" t="e">
        <f>VLOOKUP($A74, 'Matriz POA 2024-TRABAJO'!$A$5:$CY$9142,46,FALSE)</f>
        <v>#N/A</v>
      </c>
      <c r="Q74" s="93" t="e">
        <f>VLOOKUP($A74, 'Matriz POA 2024-TRABAJO'!$A$5:$CY$9142,47,FALSE)</f>
        <v>#N/A</v>
      </c>
      <c r="R74" s="94">
        <f t="shared" si="82"/>
        <v>25725</v>
      </c>
      <c r="S74" s="95" t="e">
        <f t="shared" si="83"/>
        <v>#N/A</v>
      </c>
      <c r="T74" s="93" t="e">
        <f>VLOOKUP($A74, 'Matriz POA 2024-TRABAJO'!$A$5:$CY$9142,72,FALSE)</f>
        <v>#N/A</v>
      </c>
      <c r="U74" s="93" t="e">
        <f>VLOOKUP($A74, 'Matriz POA 2024-TRABAJO'!$A$5:$CY$9142,29,FALSE)</f>
        <v>#N/A</v>
      </c>
      <c r="V74" s="94" t="str">
        <f t="shared" si="84"/>
        <v>13ar-29ar-74ar-</v>
      </c>
      <c r="W74" s="97" t="s">
        <v>1158</v>
      </c>
      <c r="X74" s="109">
        <v>45321</v>
      </c>
      <c r="Y74" s="99" t="s">
        <v>1159</v>
      </c>
      <c r="Z74" s="109">
        <v>45321</v>
      </c>
      <c r="AA74" s="98">
        <v>25725</v>
      </c>
      <c r="AB74" s="98"/>
      <c r="AC74" s="99">
        <f t="shared" si="63"/>
        <v>0</v>
      </c>
      <c r="AD74" s="110" t="s">
        <v>1160</v>
      </c>
      <c r="AE74" s="97" t="s">
        <v>1161</v>
      </c>
      <c r="AF74" s="101">
        <v>45356</v>
      </c>
      <c r="AG74" s="97"/>
      <c r="AH74" s="101">
        <v>45358</v>
      </c>
      <c r="AI74" s="98">
        <v>-25725</v>
      </c>
      <c r="AJ74" s="98"/>
      <c r="AK74" s="99">
        <f t="shared" si="85"/>
        <v>2</v>
      </c>
      <c r="AL74" s="99"/>
      <c r="AM74" s="97" t="s">
        <v>1161</v>
      </c>
      <c r="AN74" s="96">
        <v>45356</v>
      </c>
      <c r="AO74" s="97"/>
      <c r="AP74" s="101">
        <v>45358</v>
      </c>
      <c r="AQ74" s="98">
        <v>25725</v>
      </c>
      <c r="AR74" s="98"/>
      <c r="AS74" s="99"/>
      <c r="AT74" s="99" t="s">
        <v>1163</v>
      </c>
      <c r="AU74" s="93" t="s">
        <v>1164</v>
      </c>
      <c r="AV74" s="96">
        <v>45393</v>
      </c>
      <c r="AW74" s="93" t="s">
        <v>1165</v>
      </c>
      <c r="AX74" s="96">
        <v>45394</v>
      </c>
      <c r="AY74" s="355">
        <v>-25725</v>
      </c>
      <c r="AZ74" s="98">
        <v>25725</v>
      </c>
      <c r="BA74" s="99">
        <f t="shared" si="86"/>
        <v>1</v>
      </c>
      <c r="BB74" s="99"/>
      <c r="BC74" s="93" t="s">
        <v>1813</v>
      </c>
      <c r="BD74" s="103">
        <v>45426</v>
      </c>
      <c r="BE74" s="101" t="s">
        <v>1815</v>
      </c>
      <c r="BF74" s="103">
        <v>45427</v>
      </c>
      <c r="BG74" s="98">
        <v>-25725</v>
      </c>
      <c r="BH74" s="102">
        <v>25725</v>
      </c>
      <c r="BI74" s="93">
        <f t="shared" si="67"/>
        <v>1</v>
      </c>
      <c r="BJ74" s="93" t="s">
        <v>1814</v>
      </c>
      <c r="BK74" s="93"/>
      <c r="BL74" s="103"/>
      <c r="BM74" s="93"/>
      <c r="BN74" s="103"/>
      <c r="BO74" s="94"/>
      <c r="BP74" s="94"/>
      <c r="BQ74" s="93">
        <f t="shared" si="68"/>
        <v>0</v>
      </c>
      <c r="BR74" s="93"/>
      <c r="BS74" s="93"/>
      <c r="BT74" s="103"/>
      <c r="BU74" s="93"/>
      <c r="BV74" s="103"/>
      <c r="BW74" s="94"/>
      <c r="BX74" s="94"/>
      <c r="BY74" s="93">
        <f t="shared" si="69"/>
        <v>0</v>
      </c>
      <c r="BZ74" s="93"/>
      <c r="CA74" s="104"/>
      <c r="CB74" s="105"/>
      <c r="CC74" s="106"/>
      <c r="CD74" s="107"/>
      <c r="CE74" s="94"/>
      <c r="CF74" s="94"/>
      <c r="CG74" s="93">
        <f t="shared" si="70"/>
        <v>0</v>
      </c>
      <c r="CH74" s="93"/>
      <c r="CI74" s="106"/>
      <c r="CJ74" s="105"/>
      <c r="CK74" s="93"/>
      <c r="CL74" s="105"/>
      <c r="CM74" s="108"/>
      <c r="CN74" s="108"/>
      <c r="CO74" s="93">
        <f t="shared" si="71"/>
        <v>0</v>
      </c>
      <c r="CP74" s="93"/>
      <c r="CQ74" s="93"/>
      <c r="CR74" s="93"/>
      <c r="CS74" s="93"/>
      <c r="CT74" s="93"/>
      <c r="CU74" s="93"/>
      <c r="CV74" s="93"/>
      <c r="CW74" s="93">
        <f t="shared" si="72"/>
        <v>0</v>
      </c>
      <c r="CX74" s="93"/>
      <c r="CY74" s="93" t="str">
        <f>TEXT(Z74,"MMMM")</f>
        <v>enero</v>
      </c>
      <c r="CZ74" s="93" t="str">
        <f t="shared" si="87"/>
        <v>marzo</v>
      </c>
      <c r="DA74" s="93" t="str">
        <f t="shared" si="88"/>
        <v>marzo</v>
      </c>
      <c r="DB74" s="93" t="str">
        <f t="shared" si="89"/>
        <v>abril</v>
      </c>
      <c r="DC74" s="93" t="str">
        <f t="shared" si="76"/>
        <v>mayo</v>
      </c>
      <c r="DD74" s="93" t="str">
        <f t="shared" si="77"/>
        <v>enero</v>
      </c>
      <c r="DE74" s="93" t="str">
        <f t="shared" si="78"/>
        <v>enero</v>
      </c>
      <c r="DF74" s="93" t="str">
        <f t="shared" si="79"/>
        <v>enero</v>
      </c>
      <c r="DG74" s="93" t="str">
        <f t="shared" si="80"/>
        <v>enero</v>
      </c>
      <c r="DH74" s="93" t="str">
        <f t="shared" si="81"/>
        <v>enero</v>
      </c>
    </row>
    <row r="75" spans="1:112" s="21" customFormat="1" ht="18.75" hidden="1" customHeight="1">
      <c r="A75" s="93">
        <v>95</v>
      </c>
      <c r="B75" s="93" t="e">
        <f>VLOOKUP($A75,  'Matriz POA 2024-TRABAJO'!$A$5:$CY$9142,29,FALSE)</f>
        <v>#N/A</v>
      </c>
      <c r="C75" s="93" t="e">
        <f>VLOOKUP($A75, 'Matriz POA 2024-TRABAJO'!$A$5:$CY$9142,11,FALSE)</f>
        <v>#N/A</v>
      </c>
      <c r="D75" s="93" t="e">
        <f>VLOOKUP($A75, 'Matriz POA 2024-TRABAJO'!$A$5:$CY$9142,14,FALSE)</f>
        <v>#N/A</v>
      </c>
      <c r="E75" s="93" t="e">
        <f>VLOOKUP($A75, 'Matriz POA 2024-TRABAJO'!$A$5:$CY$9142,15,FALSE)</f>
        <v>#N/A</v>
      </c>
      <c r="F75" s="93" t="e">
        <f>VLOOKUP($A75, 'Matriz POA 2024-TRABAJO'!$A$5:$CY$9142,18,FALSE)</f>
        <v>#N/A</v>
      </c>
      <c r="G75" s="93" t="e">
        <f>VLOOKUP($A75, 'Matriz POA 2024-TRABAJO'!$A$5:$CY$9142,23,FALSE)</f>
        <v>#N/A</v>
      </c>
      <c r="H75" s="93" t="e">
        <f>VLOOKUP($A75, 'Matriz POA 2024-TRABAJO'!$A$5:$CY$9142,24,FALSE)</f>
        <v>#N/A</v>
      </c>
      <c r="I75" s="93" t="e">
        <f>VLOOKUP($A75, 'Matriz POA 2024-TRABAJO'!$A$5:$CY$9142,20,FALSE)</f>
        <v>#N/A</v>
      </c>
      <c r="J75" s="93" t="e">
        <f>VLOOKUP($A75, 'Matriz POA 2024-TRABAJO'!$A$5:$CY$9142,26,FALSE)</f>
        <v>#N/A</v>
      </c>
      <c r="K75" s="93" t="e">
        <f>VLOOKUP($A75, 'Matriz POA 2024-TRABAJO'!$A$5:$CY$9142,27,FALSE)</f>
        <v>#N/A</v>
      </c>
      <c r="L75" s="93" t="e">
        <f>VLOOKUP($A75, 'Matriz POA 2024-TRABAJO'!$A$5:$CY$9142,28,FALSE)</f>
        <v>#N/A</v>
      </c>
      <c r="M75" s="93" t="e">
        <f>VLOOKUP($A75, 'Matriz POA 2024-TRABAJO'!$A$5:$CY$9142,30,FALSE)</f>
        <v>#N/A</v>
      </c>
      <c r="N75" s="93" t="e">
        <f>VLOOKUP($A75, 'Matriz POA 2024-TRABAJO'!$A$5:$CY$9142,31,FALSE)</f>
        <v>#N/A</v>
      </c>
      <c r="O75" s="93" t="e">
        <f>VLOOKUP($A75, 'Matriz POA 2024-TRABAJO'!$A$5:$CY$9142,45,FALSE)</f>
        <v>#N/A</v>
      </c>
      <c r="P75" s="93" t="e">
        <f>VLOOKUP($A75, 'Matriz POA 2024-TRABAJO'!$A$5:$CY$9142,46,FALSE)</f>
        <v>#N/A</v>
      </c>
      <c r="Q75" s="93" t="e">
        <f>VLOOKUP($A75, 'Matriz POA 2024-TRABAJO'!$A$5:$CY$9142,47,FALSE)</f>
        <v>#N/A</v>
      </c>
      <c r="R75" s="94">
        <f t="shared" si="82"/>
        <v>1210.27</v>
      </c>
      <c r="S75" s="95" t="e">
        <f t="shared" si="83"/>
        <v>#N/A</v>
      </c>
      <c r="T75" s="93" t="e">
        <f>VLOOKUP($A75, 'Matriz POA 2024-TRABAJO'!$A$5:$CY$9142,72,FALSE)</f>
        <v>#N/A</v>
      </c>
      <c r="U75" s="93" t="e">
        <f>VLOOKUP($A75, 'Matriz POA 2024-TRABAJO'!$A$5:$CY$9142,29,FALSE)</f>
        <v>#N/A</v>
      </c>
      <c r="V75" s="94" t="str">
        <f t="shared" si="84"/>
        <v>13ar-29ar-74ar-</v>
      </c>
      <c r="W75" s="97" t="s">
        <v>1158</v>
      </c>
      <c r="X75" s="109">
        <v>45321</v>
      </c>
      <c r="Y75" s="99" t="s">
        <v>1159</v>
      </c>
      <c r="Z75" s="109">
        <v>45321</v>
      </c>
      <c r="AA75" s="98">
        <v>1210.27</v>
      </c>
      <c r="AB75" s="98"/>
      <c r="AC75" s="99">
        <f t="shared" si="63"/>
        <v>0</v>
      </c>
      <c r="AD75" s="110" t="s">
        <v>1160</v>
      </c>
      <c r="AE75" s="97" t="s">
        <v>1161</v>
      </c>
      <c r="AF75" s="101">
        <v>45356</v>
      </c>
      <c r="AG75" s="97"/>
      <c r="AH75" s="101">
        <v>45358</v>
      </c>
      <c r="AI75" s="98">
        <v>-1210.27</v>
      </c>
      <c r="AJ75" s="98"/>
      <c r="AK75" s="99">
        <f t="shared" si="85"/>
        <v>2</v>
      </c>
      <c r="AL75" s="99"/>
      <c r="AM75" s="97" t="s">
        <v>1161</v>
      </c>
      <c r="AN75" s="96">
        <v>45356</v>
      </c>
      <c r="AO75" s="97"/>
      <c r="AP75" s="101">
        <v>45358</v>
      </c>
      <c r="AQ75" s="98">
        <v>1210.27</v>
      </c>
      <c r="AR75" s="98"/>
      <c r="AS75" s="99"/>
      <c r="AT75" s="99" t="s">
        <v>1163</v>
      </c>
      <c r="AU75" s="93" t="s">
        <v>1164</v>
      </c>
      <c r="AV75" s="96">
        <v>45393</v>
      </c>
      <c r="AW75" s="93" t="s">
        <v>1165</v>
      </c>
      <c r="AX75" s="96">
        <v>45394</v>
      </c>
      <c r="AY75" s="355">
        <v>-1210.27</v>
      </c>
      <c r="AZ75" s="98">
        <v>1210.27</v>
      </c>
      <c r="BA75" s="99">
        <f t="shared" si="86"/>
        <v>1</v>
      </c>
      <c r="BB75" s="99"/>
      <c r="BC75" s="93" t="s">
        <v>1813</v>
      </c>
      <c r="BD75" s="103">
        <v>45426</v>
      </c>
      <c r="BE75" s="101" t="s">
        <v>1815</v>
      </c>
      <c r="BF75" s="103">
        <v>45427</v>
      </c>
      <c r="BG75" s="98">
        <v>-1210.27</v>
      </c>
      <c r="BH75" s="102">
        <v>1210.27</v>
      </c>
      <c r="BI75" s="93">
        <f t="shared" si="67"/>
        <v>1</v>
      </c>
      <c r="BJ75" s="93" t="s">
        <v>1814</v>
      </c>
      <c r="BK75" s="93"/>
      <c r="BL75" s="103"/>
      <c r="BM75" s="93"/>
      <c r="BN75" s="103"/>
      <c r="BO75" s="94"/>
      <c r="BP75" s="94"/>
      <c r="BQ75" s="93">
        <f t="shared" si="68"/>
        <v>0</v>
      </c>
      <c r="BR75" s="93"/>
      <c r="BS75" s="93"/>
      <c r="BT75" s="103"/>
      <c r="BU75" s="93"/>
      <c r="BV75" s="103"/>
      <c r="BW75" s="94"/>
      <c r="BX75" s="94"/>
      <c r="BY75" s="93">
        <f t="shared" si="69"/>
        <v>0</v>
      </c>
      <c r="BZ75" s="93"/>
      <c r="CA75" s="104"/>
      <c r="CB75" s="105"/>
      <c r="CC75" s="106"/>
      <c r="CD75" s="107"/>
      <c r="CE75" s="94"/>
      <c r="CF75" s="94"/>
      <c r="CG75" s="93">
        <f t="shared" si="70"/>
        <v>0</v>
      </c>
      <c r="CH75" s="93"/>
      <c r="CI75" s="106"/>
      <c r="CJ75" s="105"/>
      <c r="CK75" s="93"/>
      <c r="CL75" s="105"/>
      <c r="CM75" s="108"/>
      <c r="CN75" s="108"/>
      <c r="CO75" s="93">
        <f t="shared" si="71"/>
        <v>0</v>
      </c>
      <c r="CP75" s="93"/>
      <c r="CQ75" s="93"/>
      <c r="CR75" s="93"/>
      <c r="CS75" s="93"/>
      <c r="CT75" s="93"/>
      <c r="CU75" s="93"/>
      <c r="CV75" s="93"/>
      <c r="CW75" s="93">
        <f t="shared" si="72"/>
        <v>0</v>
      </c>
      <c r="CX75" s="93"/>
      <c r="CY75" s="93" t="str">
        <f>TEXT(X75,"MMMM")</f>
        <v>enero</v>
      </c>
      <c r="CZ75" s="93" t="str">
        <f t="shared" si="87"/>
        <v>marzo</v>
      </c>
      <c r="DA75" s="93" t="str">
        <f t="shared" si="88"/>
        <v>marzo</v>
      </c>
      <c r="DB75" s="93" t="str">
        <f t="shared" si="89"/>
        <v>abril</v>
      </c>
      <c r="DC75" s="93" t="str">
        <f t="shared" si="76"/>
        <v>mayo</v>
      </c>
      <c r="DD75" s="93" t="str">
        <f t="shared" si="77"/>
        <v>enero</v>
      </c>
      <c r="DE75" s="93" t="str">
        <f t="shared" si="78"/>
        <v>enero</v>
      </c>
      <c r="DF75" s="93" t="str">
        <f t="shared" si="79"/>
        <v>enero</v>
      </c>
      <c r="DG75" s="93" t="str">
        <f t="shared" si="80"/>
        <v>enero</v>
      </c>
      <c r="DH75" s="93" t="str">
        <f t="shared" si="81"/>
        <v>enero</v>
      </c>
    </row>
    <row r="76" spans="1:112" s="21" customFormat="1" ht="18.75" hidden="1" customHeight="1">
      <c r="A76" s="93">
        <v>96</v>
      </c>
      <c r="B76" s="93" t="e">
        <f>VLOOKUP($A76,  'Matriz POA 2024-TRABAJO'!$A$5:$CY$9142,29,FALSE)</f>
        <v>#N/A</v>
      </c>
      <c r="C76" s="93" t="e">
        <f>VLOOKUP($A76, 'Matriz POA 2024-TRABAJO'!$A$5:$CY$9142,11,FALSE)</f>
        <v>#N/A</v>
      </c>
      <c r="D76" s="93" t="e">
        <f>VLOOKUP($A76, 'Matriz POA 2024-TRABAJO'!$A$5:$CY$9142,14,FALSE)</f>
        <v>#N/A</v>
      </c>
      <c r="E76" s="93" t="e">
        <f>VLOOKUP($A76, 'Matriz POA 2024-TRABAJO'!$A$5:$CY$9142,15,FALSE)</f>
        <v>#N/A</v>
      </c>
      <c r="F76" s="93" t="e">
        <f>VLOOKUP($A76, 'Matriz POA 2024-TRABAJO'!$A$5:$CY$9142,18,FALSE)</f>
        <v>#N/A</v>
      </c>
      <c r="G76" s="93" t="e">
        <f>VLOOKUP($A76, 'Matriz POA 2024-TRABAJO'!$A$5:$CY$9142,23,FALSE)</f>
        <v>#N/A</v>
      </c>
      <c r="H76" s="93" t="e">
        <f>VLOOKUP($A76, 'Matriz POA 2024-TRABAJO'!$A$5:$CY$9142,24,FALSE)</f>
        <v>#N/A</v>
      </c>
      <c r="I76" s="93" t="e">
        <f>VLOOKUP($A76, 'Matriz POA 2024-TRABAJO'!$A$5:$CY$9142,20,FALSE)</f>
        <v>#N/A</v>
      </c>
      <c r="J76" s="93" t="e">
        <f>VLOOKUP($A76, 'Matriz POA 2024-TRABAJO'!$A$5:$CY$9142,26,FALSE)</f>
        <v>#N/A</v>
      </c>
      <c r="K76" s="93" t="e">
        <f>VLOOKUP($A76, 'Matriz POA 2024-TRABAJO'!$A$5:$CY$9142,27,FALSE)</f>
        <v>#N/A</v>
      </c>
      <c r="L76" s="93" t="e">
        <f>VLOOKUP($A76, 'Matriz POA 2024-TRABAJO'!$A$5:$CY$9142,28,FALSE)</f>
        <v>#N/A</v>
      </c>
      <c r="M76" s="93" t="e">
        <f>VLOOKUP($A76, 'Matriz POA 2024-TRABAJO'!$A$5:$CY$9142,30,FALSE)</f>
        <v>#N/A</v>
      </c>
      <c r="N76" s="93" t="e">
        <f>VLOOKUP($A76, 'Matriz POA 2024-TRABAJO'!$A$5:$CY$9142,31,FALSE)</f>
        <v>#N/A</v>
      </c>
      <c r="O76" s="93" t="e">
        <f>VLOOKUP($A76, 'Matriz POA 2024-TRABAJO'!$A$5:$CY$9142,45,FALSE)</f>
        <v>#N/A</v>
      </c>
      <c r="P76" s="93" t="e">
        <f>VLOOKUP($A76, 'Matriz POA 2024-TRABAJO'!$A$5:$CY$9142,46,FALSE)</f>
        <v>#N/A</v>
      </c>
      <c r="Q76" s="93" t="e">
        <f>VLOOKUP($A76, 'Matriz POA 2024-TRABAJO'!$A$5:$CY$9142,47,FALSE)</f>
        <v>#N/A</v>
      </c>
      <c r="R76" s="94">
        <f t="shared" si="82"/>
        <v>1235.46</v>
      </c>
      <c r="S76" s="95" t="e">
        <f t="shared" si="83"/>
        <v>#N/A</v>
      </c>
      <c r="T76" s="93" t="e">
        <f>VLOOKUP($A76, 'Matriz POA 2024-TRABAJO'!$A$5:$CY$9142,72,FALSE)</f>
        <v>#N/A</v>
      </c>
      <c r="U76" s="93" t="e">
        <f>VLOOKUP($A76, 'Matriz POA 2024-TRABAJO'!$A$5:$CY$9142,29,FALSE)</f>
        <v>#N/A</v>
      </c>
      <c r="V76" s="94" t="str">
        <f t="shared" si="84"/>
        <v>13ar-29ar-74ar-</v>
      </c>
      <c r="W76" s="97" t="s">
        <v>1158</v>
      </c>
      <c r="X76" s="109">
        <v>45321</v>
      </c>
      <c r="Y76" s="99" t="s">
        <v>1159</v>
      </c>
      <c r="Z76" s="109">
        <v>45321</v>
      </c>
      <c r="AA76" s="98">
        <v>1235.46</v>
      </c>
      <c r="AB76" s="98"/>
      <c r="AC76" s="99">
        <f t="shared" si="63"/>
        <v>0</v>
      </c>
      <c r="AD76" s="110" t="s">
        <v>1160</v>
      </c>
      <c r="AE76" s="97" t="s">
        <v>1161</v>
      </c>
      <c r="AF76" s="101">
        <v>45356</v>
      </c>
      <c r="AG76" s="97"/>
      <c r="AH76" s="101">
        <v>45358</v>
      </c>
      <c r="AI76" s="98">
        <v>-1235.46</v>
      </c>
      <c r="AJ76" s="98"/>
      <c r="AK76" s="99">
        <f t="shared" si="85"/>
        <v>2</v>
      </c>
      <c r="AL76" s="99"/>
      <c r="AM76" s="97" t="s">
        <v>1161</v>
      </c>
      <c r="AN76" s="96">
        <v>45356</v>
      </c>
      <c r="AO76" s="97"/>
      <c r="AP76" s="101">
        <v>45358</v>
      </c>
      <c r="AQ76" s="98">
        <v>1235.46</v>
      </c>
      <c r="AR76" s="98"/>
      <c r="AS76" s="99"/>
      <c r="AT76" s="99" t="s">
        <v>1163</v>
      </c>
      <c r="AU76" s="93" t="s">
        <v>1164</v>
      </c>
      <c r="AV76" s="96">
        <v>45393</v>
      </c>
      <c r="AW76" s="93" t="s">
        <v>1165</v>
      </c>
      <c r="AX76" s="96">
        <v>45394</v>
      </c>
      <c r="AY76" s="355">
        <v>-1235.46</v>
      </c>
      <c r="AZ76" s="98">
        <v>1235.46</v>
      </c>
      <c r="BA76" s="99">
        <f t="shared" si="86"/>
        <v>1</v>
      </c>
      <c r="BB76" s="99"/>
      <c r="BC76" s="93" t="s">
        <v>1813</v>
      </c>
      <c r="BD76" s="103">
        <v>45426</v>
      </c>
      <c r="BE76" s="101" t="s">
        <v>1815</v>
      </c>
      <c r="BF76" s="103">
        <v>45427</v>
      </c>
      <c r="BG76" s="98">
        <v>-1235.46</v>
      </c>
      <c r="BH76" s="102">
        <v>1235.46</v>
      </c>
      <c r="BI76" s="93">
        <f t="shared" si="67"/>
        <v>1</v>
      </c>
      <c r="BJ76" s="93" t="s">
        <v>1814</v>
      </c>
      <c r="BK76" s="93"/>
      <c r="BL76" s="103"/>
      <c r="BM76" s="93"/>
      <c r="BN76" s="103"/>
      <c r="BO76" s="94"/>
      <c r="BP76" s="94"/>
      <c r="BQ76" s="93">
        <f t="shared" si="68"/>
        <v>0</v>
      </c>
      <c r="BR76" s="93"/>
      <c r="BS76" s="93"/>
      <c r="BT76" s="103"/>
      <c r="BU76" s="93"/>
      <c r="BV76" s="103"/>
      <c r="BW76" s="94"/>
      <c r="BX76" s="94"/>
      <c r="BY76" s="93">
        <f t="shared" si="69"/>
        <v>0</v>
      </c>
      <c r="BZ76" s="93"/>
      <c r="CA76" s="104"/>
      <c r="CB76" s="105"/>
      <c r="CC76" s="106"/>
      <c r="CD76" s="107"/>
      <c r="CE76" s="94"/>
      <c r="CF76" s="94"/>
      <c r="CG76" s="93">
        <f t="shared" si="70"/>
        <v>0</v>
      </c>
      <c r="CH76" s="93"/>
      <c r="CI76" s="106"/>
      <c r="CJ76" s="105"/>
      <c r="CK76" s="93"/>
      <c r="CL76" s="105"/>
      <c r="CM76" s="108"/>
      <c r="CN76" s="108"/>
      <c r="CO76" s="93">
        <f t="shared" si="71"/>
        <v>0</v>
      </c>
      <c r="CP76" s="93"/>
      <c r="CQ76" s="93"/>
      <c r="CR76" s="93"/>
      <c r="CS76" s="93"/>
      <c r="CT76" s="93"/>
      <c r="CU76" s="93"/>
      <c r="CV76" s="93"/>
      <c r="CW76" s="93">
        <f t="shared" si="72"/>
        <v>0</v>
      </c>
      <c r="CX76" s="93"/>
      <c r="CY76" s="93" t="str">
        <f>TEXT(X76,"MMMM")</f>
        <v>enero</v>
      </c>
      <c r="CZ76" s="93" t="str">
        <f t="shared" si="87"/>
        <v>marzo</v>
      </c>
      <c r="DA76" s="93" t="str">
        <f t="shared" si="88"/>
        <v>marzo</v>
      </c>
      <c r="DB76" s="93" t="str">
        <f t="shared" si="89"/>
        <v>abril</v>
      </c>
      <c r="DC76" s="93" t="str">
        <f t="shared" si="76"/>
        <v>mayo</v>
      </c>
      <c r="DD76" s="93" t="str">
        <f t="shared" si="77"/>
        <v>enero</v>
      </c>
      <c r="DE76" s="93" t="str">
        <f t="shared" si="78"/>
        <v>enero</v>
      </c>
      <c r="DF76" s="93" t="str">
        <f t="shared" si="79"/>
        <v>enero</v>
      </c>
      <c r="DG76" s="93" t="str">
        <f t="shared" si="80"/>
        <v>enero</v>
      </c>
      <c r="DH76" s="93" t="str">
        <f t="shared" si="81"/>
        <v>enero</v>
      </c>
    </row>
    <row r="77" spans="1:112" ht="15" hidden="1" customHeight="1">
      <c r="A77" s="93">
        <v>97</v>
      </c>
      <c r="B77" s="93" t="e">
        <f>VLOOKUP($A77,  'Matriz POA 2024-TRABAJO'!$A$5:$CY$9142,29,FALSE)</f>
        <v>#N/A</v>
      </c>
      <c r="C77" s="93" t="e">
        <f>VLOOKUP($A77, 'Matriz POA 2024-TRABAJO'!$A$5:$CY$9142,11,FALSE)</f>
        <v>#N/A</v>
      </c>
      <c r="D77" s="93" t="e">
        <f>VLOOKUP($A77, 'Matriz POA 2024-TRABAJO'!$A$5:$CY$9142,14,FALSE)</f>
        <v>#N/A</v>
      </c>
      <c r="E77" s="93" t="e">
        <f>VLOOKUP($A77, 'Matriz POA 2024-TRABAJO'!$A$5:$CY$9142,15,FALSE)</f>
        <v>#N/A</v>
      </c>
      <c r="F77" s="93" t="e">
        <f>VLOOKUP($A77, 'Matriz POA 2024-TRABAJO'!$A$5:$CY$9142,18,FALSE)</f>
        <v>#N/A</v>
      </c>
      <c r="G77" s="93" t="e">
        <f>VLOOKUP($A77, 'Matriz POA 2024-TRABAJO'!$A$5:$CY$9142,23,FALSE)</f>
        <v>#N/A</v>
      </c>
      <c r="H77" s="93" t="e">
        <f>VLOOKUP($A77, 'Matriz POA 2024-TRABAJO'!$A$5:$CY$9142,24,FALSE)</f>
        <v>#N/A</v>
      </c>
      <c r="I77" s="93" t="e">
        <f>VLOOKUP($A77, 'Matriz POA 2024-TRABAJO'!$A$5:$CY$9142,20,FALSE)</f>
        <v>#N/A</v>
      </c>
      <c r="J77" s="93" t="e">
        <f>VLOOKUP($A77, 'Matriz POA 2024-TRABAJO'!$A$5:$CY$9142,26,FALSE)</f>
        <v>#N/A</v>
      </c>
      <c r="K77" s="93" t="e">
        <f>VLOOKUP($A77, 'Matriz POA 2024-TRABAJO'!$A$5:$CY$9142,27,FALSE)</f>
        <v>#N/A</v>
      </c>
      <c r="L77" s="93" t="e">
        <f>VLOOKUP($A77, 'Matriz POA 2024-TRABAJO'!$A$5:$CY$9142,28,FALSE)</f>
        <v>#N/A</v>
      </c>
      <c r="M77" s="93" t="e">
        <f>VLOOKUP($A77, 'Matriz POA 2024-TRABAJO'!$A$5:$CY$9142,30,FALSE)</f>
        <v>#N/A</v>
      </c>
      <c r="N77" s="93" t="e">
        <f>VLOOKUP($A77, 'Matriz POA 2024-TRABAJO'!$A$5:$CY$9142,31,FALSE)</f>
        <v>#N/A</v>
      </c>
      <c r="O77" s="93" t="e">
        <f>VLOOKUP($A77, 'Matriz POA 2024-TRABAJO'!$A$5:$CY$9142,45,FALSE)</f>
        <v>#N/A</v>
      </c>
      <c r="P77" s="93" t="e">
        <f>VLOOKUP($A77, 'Matriz POA 2024-TRABAJO'!$A$5:$CY$9142,46,FALSE)</f>
        <v>#N/A</v>
      </c>
      <c r="Q77" s="93" t="e">
        <f>VLOOKUP($A77, 'Matriz POA 2024-TRABAJO'!$A$5:$CY$9142,47,FALSE)</f>
        <v>#N/A</v>
      </c>
      <c r="R77" s="94">
        <f t="shared" si="82"/>
        <v>5699.04</v>
      </c>
      <c r="S77" s="95" t="e">
        <f t="shared" si="83"/>
        <v>#N/A</v>
      </c>
      <c r="T77" s="93" t="e">
        <f>VLOOKUP($A77, 'Matriz POA 2024-TRABAJO'!$A$5:$CY$9142,72,FALSE)</f>
        <v>#N/A</v>
      </c>
      <c r="U77" s="93" t="e">
        <f>VLOOKUP($A77, 'Matriz POA 2024-TRABAJO'!$A$5:$CY$9142,29,FALSE)</f>
        <v>#N/A</v>
      </c>
      <c r="V77" s="94" t="str">
        <f t="shared" si="84"/>
        <v>13ar-29ar-74ar-</v>
      </c>
      <c r="W77" s="97" t="s">
        <v>1158</v>
      </c>
      <c r="X77" s="109">
        <v>45321</v>
      </c>
      <c r="Y77" s="99" t="s">
        <v>1159</v>
      </c>
      <c r="Z77" s="109">
        <v>45321</v>
      </c>
      <c r="AA77" s="98">
        <v>5699.04</v>
      </c>
      <c r="AB77" s="98"/>
      <c r="AC77" s="99">
        <f t="shared" si="63"/>
        <v>0</v>
      </c>
      <c r="AD77" s="110" t="s">
        <v>1160</v>
      </c>
      <c r="AE77" s="97" t="s">
        <v>1161</v>
      </c>
      <c r="AF77" s="101">
        <v>45356</v>
      </c>
      <c r="AG77" s="97"/>
      <c r="AH77" s="101">
        <v>45358</v>
      </c>
      <c r="AI77" s="98">
        <v>-5699.04</v>
      </c>
      <c r="AJ77" s="98"/>
      <c r="AK77" s="99">
        <f t="shared" si="85"/>
        <v>2</v>
      </c>
      <c r="AL77" s="99"/>
      <c r="AM77" s="97" t="s">
        <v>1161</v>
      </c>
      <c r="AN77" s="96">
        <v>45356</v>
      </c>
      <c r="AO77" s="97"/>
      <c r="AP77" s="101">
        <v>45358</v>
      </c>
      <c r="AQ77" s="98">
        <v>5699.04</v>
      </c>
      <c r="AR77" s="98"/>
      <c r="AS77" s="99"/>
      <c r="AT77" s="99" t="s">
        <v>1163</v>
      </c>
      <c r="AU77" s="93" t="s">
        <v>1164</v>
      </c>
      <c r="AV77" s="96">
        <v>45393</v>
      </c>
      <c r="AW77" s="93" t="s">
        <v>1165</v>
      </c>
      <c r="AX77" s="96">
        <v>45394</v>
      </c>
      <c r="AY77" s="355">
        <v>-5699.04</v>
      </c>
      <c r="AZ77" s="98">
        <v>5699.04</v>
      </c>
      <c r="BA77" s="99">
        <f t="shared" si="86"/>
        <v>1</v>
      </c>
      <c r="BB77" s="99"/>
      <c r="BC77" s="93" t="s">
        <v>1813</v>
      </c>
      <c r="BD77" s="103">
        <v>45426</v>
      </c>
      <c r="BE77" s="101" t="s">
        <v>1815</v>
      </c>
      <c r="BF77" s="103">
        <v>45427</v>
      </c>
      <c r="BG77" s="98">
        <v>-5699.04</v>
      </c>
      <c r="BH77" s="102">
        <v>5699.04</v>
      </c>
      <c r="BI77" s="93">
        <f t="shared" si="67"/>
        <v>1</v>
      </c>
      <c r="BJ77" s="93" t="s">
        <v>1814</v>
      </c>
      <c r="BK77" s="93"/>
      <c r="BL77" s="103"/>
      <c r="BM77" s="93"/>
      <c r="BN77" s="103"/>
      <c r="BO77" s="94"/>
      <c r="BP77" s="94"/>
      <c r="BQ77" s="93">
        <f t="shared" si="68"/>
        <v>0</v>
      </c>
      <c r="BR77" s="93"/>
      <c r="BS77" s="93"/>
      <c r="BT77" s="103"/>
      <c r="BU77" s="93"/>
      <c r="BV77" s="103"/>
      <c r="BW77" s="94"/>
      <c r="BX77" s="94"/>
      <c r="BY77" s="93">
        <f t="shared" si="69"/>
        <v>0</v>
      </c>
      <c r="BZ77" s="93"/>
      <c r="CA77" s="104"/>
      <c r="CB77" s="105"/>
      <c r="CC77" s="106"/>
      <c r="CD77" s="107"/>
      <c r="CE77" s="94"/>
      <c r="CF77" s="94"/>
      <c r="CG77" s="93">
        <f t="shared" si="70"/>
        <v>0</v>
      </c>
      <c r="CH77" s="93"/>
      <c r="CI77" s="106"/>
      <c r="CJ77" s="105"/>
      <c r="CK77" s="93"/>
      <c r="CL77" s="105"/>
      <c r="CM77" s="108"/>
      <c r="CN77" s="108"/>
      <c r="CO77" s="93">
        <f t="shared" si="71"/>
        <v>0</v>
      </c>
      <c r="CP77" s="93"/>
      <c r="CQ77" s="93"/>
      <c r="CR77" s="93"/>
      <c r="CS77" s="93"/>
      <c r="CT77" s="93"/>
      <c r="CU77" s="93"/>
      <c r="CV77" s="93"/>
      <c r="CW77" s="93">
        <f t="shared" si="72"/>
        <v>0</v>
      </c>
      <c r="CX77" s="93"/>
      <c r="CY77" s="93" t="str">
        <f>TEXT(X77,"MMMM")</f>
        <v>enero</v>
      </c>
      <c r="CZ77" s="93" t="str">
        <f t="shared" si="87"/>
        <v>marzo</v>
      </c>
      <c r="DA77" s="93" t="str">
        <f t="shared" si="88"/>
        <v>marzo</v>
      </c>
      <c r="DB77" s="93" t="str">
        <f t="shared" si="89"/>
        <v>abril</v>
      </c>
      <c r="DC77" s="93" t="str">
        <f t="shared" si="76"/>
        <v>mayo</v>
      </c>
      <c r="DD77" s="93" t="str">
        <f t="shared" si="77"/>
        <v>enero</v>
      </c>
      <c r="DE77" s="93" t="str">
        <f t="shared" si="78"/>
        <v>enero</v>
      </c>
      <c r="DF77" s="93" t="str">
        <f t="shared" si="79"/>
        <v>enero</v>
      </c>
      <c r="DG77" s="93" t="str">
        <f t="shared" si="80"/>
        <v>enero</v>
      </c>
      <c r="DH77" s="93" t="str">
        <f t="shared" si="81"/>
        <v>enero</v>
      </c>
    </row>
    <row r="78" spans="1:112" s="21" customFormat="1" ht="26.45" hidden="1" customHeight="1">
      <c r="A78" s="93">
        <v>98</v>
      </c>
      <c r="B78" s="93" t="e">
        <f>VLOOKUP($A78,  'Matriz POA 2024-TRABAJO'!$A$5:$CY$9142,29,FALSE)</f>
        <v>#N/A</v>
      </c>
      <c r="C78" s="93" t="e">
        <f>VLOOKUP($A78, 'Matriz POA 2024-TRABAJO'!$A$5:$CY$9142,11,FALSE)</f>
        <v>#N/A</v>
      </c>
      <c r="D78" s="93" t="e">
        <f>VLOOKUP($A78, 'Matriz POA 2024-TRABAJO'!$A$5:$CY$9142,14,FALSE)</f>
        <v>#N/A</v>
      </c>
      <c r="E78" s="93" t="e">
        <f>VLOOKUP($A78, 'Matriz POA 2024-TRABAJO'!$A$5:$CY$9142,15,FALSE)</f>
        <v>#N/A</v>
      </c>
      <c r="F78" s="93" t="e">
        <f>VLOOKUP($A78, 'Matriz POA 2024-TRABAJO'!$A$5:$CY$9142,18,FALSE)</f>
        <v>#N/A</v>
      </c>
      <c r="G78" s="93" t="e">
        <f>VLOOKUP($A78, 'Matriz POA 2024-TRABAJO'!$A$5:$CY$9142,23,FALSE)</f>
        <v>#N/A</v>
      </c>
      <c r="H78" s="93" t="e">
        <f>VLOOKUP($A78, 'Matriz POA 2024-TRABAJO'!$A$5:$CY$9142,24,FALSE)</f>
        <v>#N/A</v>
      </c>
      <c r="I78" s="93" t="e">
        <f>VLOOKUP($A78, 'Matriz POA 2024-TRABAJO'!$A$5:$CY$9142,20,FALSE)</f>
        <v>#N/A</v>
      </c>
      <c r="J78" s="93" t="e">
        <f>VLOOKUP($A78, 'Matriz POA 2024-TRABAJO'!$A$5:$CY$9142,26,FALSE)</f>
        <v>#N/A</v>
      </c>
      <c r="K78" s="93" t="e">
        <f>VLOOKUP($A78, 'Matriz POA 2024-TRABAJO'!$A$5:$CY$9142,27,FALSE)</f>
        <v>#N/A</v>
      </c>
      <c r="L78" s="93" t="e">
        <f>VLOOKUP($A78, 'Matriz POA 2024-TRABAJO'!$A$5:$CY$9142,28,FALSE)</f>
        <v>#N/A</v>
      </c>
      <c r="M78" s="93" t="e">
        <f>VLOOKUP($A78, 'Matriz POA 2024-TRABAJO'!$A$5:$CY$9142,30,FALSE)</f>
        <v>#N/A</v>
      </c>
      <c r="N78" s="93" t="e">
        <f>VLOOKUP($A78, 'Matriz POA 2024-TRABAJO'!$A$5:$CY$9142,31,FALSE)</f>
        <v>#N/A</v>
      </c>
      <c r="O78" s="93" t="e">
        <f>VLOOKUP($A78, 'Matriz POA 2024-TRABAJO'!$A$5:$CY$9142,45,FALSE)</f>
        <v>#N/A</v>
      </c>
      <c r="P78" s="93" t="e">
        <f>VLOOKUP($A78, 'Matriz POA 2024-TRABAJO'!$A$5:$CY$9142,46,FALSE)</f>
        <v>#N/A</v>
      </c>
      <c r="Q78" s="93" t="e">
        <f>VLOOKUP($A78, 'Matriz POA 2024-TRABAJO'!$A$5:$CY$9142,47,FALSE)</f>
        <v>#N/A</v>
      </c>
      <c r="R78" s="94">
        <f t="shared" si="82"/>
        <v>7534.07</v>
      </c>
      <c r="S78" s="95" t="e">
        <f t="shared" si="83"/>
        <v>#N/A</v>
      </c>
      <c r="T78" s="93" t="e">
        <f>VLOOKUP($A78, 'Matriz POA 2024-TRABAJO'!$A$5:$CY$9142,72,FALSE)</f>
        <v>#N/A</v>
      </c>
      <c r="U78" s="93" t="e">
        <f>VLOOKUP($A78, 'Matriz POA 2024-TRABAJO'!$A$5:$CY$9142,29,FALSE)</f>
        <v>#N/A</v>
      </c>
      <c r="V78" s="94" t="str">
        <f t="shared" si="84"/>
        <v>13ar-29ar-74ar-</v>
      </c>
      <c r="W78" s="97" t="s">
        <v>1158</v>
      </c>
      <c r="X78" s="109">
        <v>45321</v>
      </c>
      <c r="Y78" s="99" t="s">
        <v>1159</v>
      </c>
      <c r="Z78" s="109">
        <v>45321</v>
      </c>
      <c r="AA78" s="355">
        <v>7042.87</v>
      </c>
      <c r="AB78" s="98"/>
      <c r="AC78" s="99">
        <f t="shared" si="63"/>
        <v>0</v>
      </c>
      <c r="AD78" s="110" t="s">
        <v>1160</v>
      </c>
      <c r="AE78" s="97" t="s">
        <v>1161</v>
      </c>
      <c r="AF78" s="101">
        <v>45356</v>
      </c>
      <c r="AG78" s="97"/>
      <c r="AH78" s="101">
        <v>45358</v>
      </c>
      <c r="AI78" s="355">
        <v>-7042.87</v>
      </c>
      <c r="AJ78" s="98"/>
      <c r="AK78" s="99">
        <f t="shared" si="85"/>
        <v>2</v>
      </c>
      <c r="AL78" s="99"/>
      <c r="AM78" s="97" t="s">
        <v>1161</v>
      </c>
      <c r="AN78" s="96">
        <v>45356</v>
      </c>
      <c r="AO78" s="97"/>
      <c r="AP78" s="101">
        <v>45358</v>
      </c>
      <c r="AQ78" s="355">
        <f>7534.07-491.2</f>
        <v>7042.87</v>
      </c>
      <c r="AR78" s="98"/>
      <c r="AS78" s="99"/>
      <c r="AT78" s="99" t="s">
        <v>1163</v>
      </c>
      <c r="AU78" s="93" t="s">
        <v>1164</v>
      </c>
      <c r="AV78" s="96">
        <v>45393</v>
      </c>
      <c r="AW78" s="93" t="s">
        <v>1165</v>
      </c>
      <c r="AX78" s="96">
        <v>45394</v>
      </c>
      <c r="AY78" s="355">
        <v>-7042.87</v>
      </c>
      <c r="AZ78" s="98">
        <v>7534.07</v>
      </c>
      <c r="BA78" s="99">
        <f t="shared" si="86"/>
        <v>1</v>
      </c>
      <c r="BB78" s="99"/>
      <c r="BC78" s="93" t="s">
        <v>1813</v>
      </c>
      <c r="BD78" s="103">
        <v>45426</v>
      </c>
      <c r="BE78" s="101" t="s">
        <v>1815</v>
      </c>
      <c r="BF78" s="103">
        <v>45427</v>
      </c>
      <c r="BG78" s="98">
        <v>-7534.07</v>
      </c>
      <c r="BH78" s="102">
        <v>7534.07</v>
      </c>
      <c r="BI78" s="93">
        <f t="shared" si="67"/>
        <v>1</v>
      </c>
      <c r="BJ78" s="93" t="s">
        <v>1814</v>
      </c>
      <c r="BK78" s="93"/>
      <c r="BL78" s="103"/>
      <c r="BM78" s="93"/>
      <c r="BN78" s="103"/>
      <c r="BO78" s="94"/>
      <c r="BP78" s="94"/>
      <c r="BQ78" s="93">
        <f t="shared" si="68"/>
        <v>0</v>
      </c>
      <c r="BR78" s="93"/>
      <c r="BS78" s="93"/>
      <c r="BT78" s="103"/>
      <c r="BU78" s="93"/>
      <c r="BV78" s="103"/>
      <c r="BW78" s="94"/>
      <c r="BX78" s="94"/>
      <c r="BY78" s="93">
        <f t="shared" si="69"/>
        <v>0</v>
      </c>
      <c r="BZ78" s="93"/>
      <c r="CA78" s="104"/>
      <c r="CB78" s="105"/>
      <c r="CC78" s="106"/>
      <c r="CD78" s="107"/>
      <c r="CE78" s="94"/>
      <c r="CF78" s="94"/>
      <c r="CG78" s="93">
        <f t="shared" si="70"/>
        <v>0</v>
      </c>
      <c r="CH78" s="93"/>
      <c r="CI78" s="106"/>
      <c r="CJ78" s="105"/>
      <c r="CK78" s="93"/>
      <c r="CL78" s="105"/>
      <c r="CM78" s="108"/>
      <c r="CN78" s="108"/>
      <c r="CO78" s="93">
        <f t="shared" si="71"/>
        <v>0</v>
      </c>
      <c r="CP78" s="93"/>
      <c r="CQ78" s="93"/>
      <c r="CR78" s="93"/>
      <c r="CS78" s="93"/>
      <c r="CT78" s="93"/>
      <c r="CU78" s="93"/>
      <c r="CV78" s="93"/>
      <c r="CW78" s="93">
        <f t="shared" si="72"/>
        <v>0</v>
      </c>
      <c r="CX78" s="93"/>
      <c r="CY78" s="93" t="str">
        <f>TEXT(Z78,"MMMM")</f>
        <v>enero</v>
      </c>
      <c r="CZ78" s="93" t="str">
        <f t="shared" si="87"/>
        <v>marzo</v>
      </c>
      <c r="DA78" s="93" t="str">
        <f t="shared" si="88"/>
        <v>marzo</v>
      </c>
      <c r="DB78" s="93" t="str">
        <f t="shared" si="89"/>
        <v>abril</v>
      </c>
      <c r="DC78" s="93" t="str">
        <f t="shared" si="76"/>
        <v>mayo</v>
      </c>
      <c r="DD78" s="93" t="str">
        <f t="shared" si="77"/>
        <v>enero</v>
      </c>
      <c r="DE78" s="93" t="str">
        <f t="shared" si="78"/>
        <v>enero</v>
      </c>
      <c r="DF78" s="93" t="str">
        <f t="shared" si="79"/>
        <v>enero</v>
      </c>
      <c r="DG78" s="93" t="str">
        <f t="shared" si="80"/>
        <v>enero</v>
      </c>
      <c r="DH78" s="93" t="str">
        <f t="shared" si="81"/>
        <v>enero</v>
      </c>
    </row>
    <row r="79" spans="1:112" s="21" customFormat="1" ht="18.75" hidden="1" customHeight="1">
      <c r="A79" s="93">
        <v>99</v>
      </c>
      <c r="B79" s="93" t="e">
        <f>VLOOKUP($A79,  'Matriz POA 2024-TRABAJO'!$A$5:$CY$9142,29,FALSE)</f>
        <v>#N/A</v>
      </c>
      <c r="C79" s="93" t="e">
        <f>VLOOKUP($A79, 'Matriz POA 2024-TRABAJO'!$A$5:$CY$9142,11,FALSE)</f>
        <v>#N/A</v>
      </c>
      <c r="D79" s="93" t="e">
        <f>VLOOKUP($A79, 'Matriz POA 2024-TRABAJO'!$A$5:$CY$9142,14,FALSE)</f>
        <v>#N/A</v>
      </c>
      <c r="E79" s="93" t="e">
        <f>VLOOKUP($A79, 'Matriz POA 2024-TRABAJO'!$A$5:$CY$9142,15,FALSE)</f>
        <v>#N/A</v>
      </c>
      <c r="F79" s="93" t="e">
        <f>VLOOKUP($A79, 'Matriz POA 2024-TRABAJO'!$A$5:$CY$9142,18,FALSE)</f>
        <v>#N/A</v>
      </c>
      <c r="G79" s="93" t="e">
        <f>VLOOKUP($A79, 'Matriz POA 2024-TRABAJO'!$A$5:$CY$9142,23,FALSE)</f>
        <v>#N/A</v>
      </c>
      <c r="H79" s="93" t="e">
        <f>VLOOKUP($A79, 'Matriz POA 2024-TRABAJO'!$A$5:$CY$9142,24,FALSE)</f>
        <v>#N/A</v>
      </c>
      <c r="I79" s="93" t="e">
        <f>VLOOKUP($A79, 'Matriz POA 2024-TRABAJO'!$A$5:$CY$9142,20,FALSE)</f>
        <v>#N/A</v>
      </c>
      <c r="J79" s="93" t="e">
        <f>VLOOKUP($A79, 'Matriz POA 2024-TRABAJO'!$A$5:$CY$9142,26,FALSE)</f>
        <v>#N/A</v>
      </c>
      <c r="K79" s="93" t="e">
        <f>VLOOKUP($A79, 'Matriz POA 2024-TRABAJO'!$A$5:$CY$9142,27,FALSE)</f>
        <v>#N/A</v>
      </c>
      <c r="L79" s="93" t="e">
        <f>VLOOKUP($A79, 'Matriz POA 2024-TRABAJO'!$A$5:$CY$9142,28,FALSE)</f>
        <v>#N/A</v>
      </c>
      <c r="M79" s="93" t="e">
        <f>VLOOKUP($A79, 'Matriz POA 2024-TRABAJO'!$A$5:$CY$9142,30,FALSE)</f>
        <v>#N/A</v>
      </c>
      <c r="N79" s="93" t="e">
        <f>VLOOKUP($A79, 'Matriz POA 2024-TRABAJO'!$A$5:$CY$9142,31,FALSE)</f>
        <v>#N/A</v>
      </c>
      <c r="O79" s="93" t="e">
        <f>VLOOKUP($A79, 'Matriz POA 2024-TRABAJO'!$A$5:$CY$9142,45,FALSE)</f>
        <v>#N/A</v>
      </c>
      <c r="P79" s="93" t="e">
        <f>VLOOKUP($A79, 'Matriz POA 2024-TRABAJO'!$A$5:$CY$9142,46,FALSE)</f>
        <v>#N/A</v>
      </c>
      <c r="Q79" s="93" t="e">
        <f>VLOOKUP($A79, 'Matriz POA 2024-TRABAJO'!$A$5:$CY$9142,47,FALSE)</f>
        <v>#N/A</v>
      </c>
      <c r="R79" s="94">
        <f t="shared" si="82"/>
        <v>2561</v>
      </c>
      <c r="S79" s="95" t="e">
        <f t="shared" si="83"/>
        <v>#N/A</v>
      </c>
      <c r="T79" s="93" t="e">
        <f>VLOOKUP($A79, 'Matriz POA 2024-TRABAJO'!$A$5:$CY$9142,72,FALSE)</f>
        <v>#N/A</v>
      </c>
      <c r="U79" s="93" t="e">
        <f>VLOOKUP($A79, 'Matriz POA 2024-TRABAJO'!$A$5:$CY$9142,29,FALSE)</f>
        <v>#N/A</v>
      </c>
      <c r="V79" s="94" t="str">
        <f t="shared" si="84"/>
        <v>13ar-29ar-74ar-</v>
      </c>
      <c r="W79" s="97" t="s">
        <v>1158</v>
      </c>
      <c r="X79" s="109">
        <v>45321</v>
      </c>
      <c r="Y79" s="99" t="s">
        <v>1159</v>
      </c>
      <c r="Z79" s="109">
        <v>45321</v>
      </c>
      <c r="AA79" s="98">
        <v>2561</v>
      </c>
      <c r="AB79" s="98"/>
      <c r="AC79" s="99">
        <f t="shared" si="63"/>
        <v>0</v>
      </c>
      <c r="AD79" s="110" t="s">
        <v>1160</v>
      </c>
      <c r="AE79" s="97" t="s">
        <v>1161</v>
      </c>
      <c r="AF79" s="101">
        <v>45356</v>
      </c>
      <c r="AG79" s="97"/>
      <c r="AH79" s="101">
        <v>45358</v>
      </c>
      <c r="AI79" s="98">
        <v>-2561</v>
      </c>
      <c r="AJ79" s="98"/>
      <c r="AK79" s="99">
        <f t="shared" si="85"/>
        <v>2</v>
      </c>
      <c r="AL79" s="99"/>
      <c r="AM79" s="97" t="s">
        <v>1161</v>
      </c>
      <c r="AN79" s="96">
        <v>45356</v>
      </c>
      <c r="AO79" s="97"/>
      <c r="AP79" s="101">
        <v>45358</v>
      </c>
      <c r="AQ79" s="98">
        <v>2561</v>
      </c>
      <c r="AR79" s="98"/>
      <c r="AS79" s="99"/>
      <c r="AT79" s="99" t="s">
        <v>1163</v>
      </c>
      <c r="AU79" s="93" t="s">
        <v>1164</v>
      </c>
      <c r="AV79" s="96">
        <v>45393</v>
      </c>
      <c r="AW79" s="93" t="s">
        <v>1165</v>
      </c>
      <c r="AX79" s="96">
        <v>45394</v>
      </c>
      <c r="AY79" s="355">
        <v>-2561</v>
      </c>
      <c r="AZ79" s="98">
        <v>2561</v>
      </c>
      <c r="BA79" s="99">
        <f t="shared" si="86"/>
        <v>1</v>
      </c>
      <c r="BB79" s="99"/>
      <c r="BC79" s="93" t="s">
        <v>1813</v>
      </c>
      <c r="BD79" s="103">
        <v>45426</v>
      </c>
      <c r="BE79" s="101" t="s">
        <v>1815</v>
      </c>
      <c r="BF79" s="103">
        <v>45427</v>
      </c>
      <c r="BG79" s="98">
        <v>-2561</v>
      </c>
      <c r="BH79" s="102">
        <v>2561</v>
      </c>
      <c r="BI79" s="93">
        <f t="shared" si="67"/>
        <v>1</v>
      </c>
      <c r="BJ79" s="93" t="s">
        <v>1814</v>
      </c>
      <c r="BK79" s="93"/>
      <c r="BL79" s="103"/>
      <c r="BM79" s="93"/>
      <c r="BN79" s="103"/>
      <c r="BO79" s="94"/>
      <c r="BP79" s="94"/>
      <c r="BQ79" s="93">
        <f t="shared" si="68"/>
        <v>0</v>
      </c>
      <c r="BR79" s="93"/>
      <c r="BS79" s="93"/>
      <c r="BT79" s="103"/>
      <c r="BU79" s="93"/>
      <c r="BV79" s="103"/>
      <c r="BW79" s="94"/>
      <c r="BX79" s="94"/>
      <c r="BY79" s="93">
        <f t="shared" si="69"/>
        <v>0</v>
      </c>
      <c r="BZ79" s="93"/>
      <c r="CA79" s="104"/>
      <c r="CB79" s="105"/>
      <c r="CC79" s="106"/>
      <c r="CD79" s="107"/>
      <c r="CE79" s="94"/>
      <c r="CF79" s="94"/>
      <c r="CG79" s="93">
        <f t="shared" si="70"/>
        <v>0</v>
      </c>
      <c r="CH79" s="93"/>
      <c r="CI79" s="106"/>
      <c r="CJ79" s="105"/>
      <c r="CK79" s="93"/>
      <c r="CL79" s="105"/>
      <c r="CM79" s="108"/>
      <c r="CN79" s="108"/>
      <c r="CO79" s="93">
        <f t="shared" si="71"/>
        <v>0</v>
      </c>
      <c r="CP79" s="93"/>
      <c r="CQ79" s="93"/>
      <c r="CR79" s="93"/>
      <c r="CS79" s="93"/>
      <c r="CT79" s="93"/>
      <c r="CU79" s="93"/>
      <c r="CV79" s="93"/>
      <c r="CW79" s="93">
        <f t="shared" si="72"/>
        <v>0</v>
      </c>
      <c r="CX79" s="93"/>
      <c r="CY79" s="93" t="str">
        <f>TEXT(X79,"MMMM")</f>
        <v>enero</v>
      </c>
      <c r="CZ79" s="93" t="str">
        <f t="shared" si="87"/>
        <v>marzo</v>
      </c>
      <c r="DA79" s="93" t="str">
        <f t="shared" si="88"/>
        <v>marzo</v>
      </c>
      <c r="DB79" s="93" t="str">
        <f t="shared" si="89"/>
        <v>abril</v>
      </c>
      <c r="DC79" s="93" t="str">
        <f t="shared" si="76"/>
        <v>mayo</v>
      </c>
      <c r="DD79" s="93" t="str">
        <f t="shared" si="77"/>
        <v>enero</v>
      </c>
      <c r="DE79" s="93" t="str">
        <f t="shared" si="78"/>
        <v>enero</v>
      </c>
      <c r="DF79" s="93" t="str">
        <f t="shared" si="79"/>
        <v>enero</v>
      </c>
      <c r="DG79" s="93" t="str">
        <f t="shared" si="80"/>
        <v>enero</v>
      </c>
      <c r="DH79" s="93" t="str">
        <f t="shared" si="81"/>
        <v>enero</v>
      </c>
    </row>
    <row r="80" spans="1:112" s="21" customFormat="1" ht="18.75" hidden="1" customHeight="1">
      <c r="A80" s="93">
        <v>100</v>
      </c>
      <c r="B80" s="93" t="e">
        <f>VLOOKUP($A80,  'Matriz POA 2024-TRABAJO'!$A$5:$CY$9142,29,FALSE)</f>
        <v>#N/A</v>
      </c>
      <c r="C80" s="93" t="e">
        <f>VLOOKUP($A80, 'Matriz POA 2024-TRABAJO'!$A$5:$CY$9142,11,FALSE)</f>
        <v>#N/A</v>
      </c>
      <c r="D80" s="93" t="e">
        <f>VLOOKUP($A80, 'Matriz POA 2024-TRABAJO'!$A$5:$CY$9142,14,FALSE)</f>
        <v>#N/A</v>
      </c>
      <c r="E80" s="93" t="e">
        <f>VLOOKUP($A80, 'Matriz POA 2024-TRABAJO'!$A$5:$CY$9142,15,FALSE)</f>
        <v>#N/A</v>
      </c>
      <c r="F80" s="93" t="e">
        <f>VLOOKUP($A80, 'Matriz POA 2024-TRABAJO'!$A$5:$CY$9142,18,FALSE)</f>
        <v>#N/A</v>
      </c>
      <c r="G80" s="93" t="e">
        <f>VLOOKUP($A80, 'Matriz POA 2024-TRABAJO'!$A$5:$CY$9142,23,FALSE)</f>
        <v>#N/A</v>
      </c>
      <c r="H80" s="93" t="e">
        <f>VLOOKUP($A80, 'Matriz POA 2024-TRABAJO'!$A$5:$CY$9142,24,FALSE)</f>
        <v>#N/A</v>
      </c>
      <c r="I80" s="93" t="e">
        <f>VLOOKUP($A80, 'Matriz POA 2024-TRABAJO'!$A$5:$CY$9142,20,FALSE)</f>
        <v>#N/A</v>
      </c>
      <c r="J80" s="93" t="e">
        <f>VLOOKUP($A80, 'Matriz POA 2024-TRABAJO'!$A$5:$CY$9142,26,FALSE)</f>
        <v>#N/A</v>
      </c>
      <c r="K80" s="93" t="e">
        <f>VLOOKUP($A80, 'Matriz POA 2024-TRABAJO'!$A$5:$CY$9142,27,FALSE)</f>
        <v>#N/A</v>
      </c>
      <c r="L80" s="93" t="e">
        <f>VLOOKUP($A80, 'Matriz POA 2024-TRABAJO'!$A$5:$CY$9142,28,FALSE)</f>
        <v>#N/A</v>
      </c>
      <c r="M80" s="93" t="e">
        <f>VLOOKUP($A80, 'Matriz POA 2024-TRABAJO'!$A$5:$CY$9142,30,FALSE)</f>
        <v>#N/A</v>
      </c>
      <c r="N80" s="93" t="e">
        <f>VLOOKUP($A80, 'Matriz POA 2024-TRABAJO'!$A$5:$CY$9142,31,FALSE)</f>
        <v>#N/A</v>
      </c>
      <c r="O80" s="93" t="e">
        <f>VLOOKUP($A80, 'Matriz POA 2024-TRABAJO'!$A$5:$CY$9142,45,FALSE)</f>
        <v>#N/A</v>
      </c>
      <c r="P80" s="93" t="e">
        <f>VLOOKUP($A80, 'Matriz POA 2024-TRABAJO'!$A$5:$CY$9142,46,FALSE)</f>
        <v>#N/A</v>
      </c>
      <c r="Q80" s="93" t="e">
        <f>VLOOKUP($A80, 'Matriz POA 2024-TRABAJO'!$A$5:$CY$9142,47,FALSE)</f>
        <v>#N/A</v>
      </c>
      <c r="R80" s="94">
        <f t="shared" si="82"/>
        <v>175128.91</v>
      </c>
      <c r="S80" s="95" t="e">
        <f t="shared" si="83"/>
        <v>#N/A</v>
      </c>
      <c r="T80" s="93" t="e">
        <f>VLOOKUP($A80, 'Matriz POA 2024-TRABAJO'!$A$5:$CY$9142,72,FALSE)</f>
        <v>#N/A</v>
      </c>
      <c r="U80" s="93" t="e">
        <f>VLOOKUP($A80, 'Matriz POA 2024-TRABAJO'!$A$5:$CY$9142,29,FALSE)</f>
        <v>#N/A</v>
      </c>
      <c r="V80" s="94" t="str">
        <f t="shared" si="84"/>
        <v>13ar-29ar-74ar-</v>
      </c>
      <c r="W80" s="97" t="s">
        <v>1158</v>
      </c>
      <c r="X80" s="109">
        <v>45321</v>
      </c>
      <c r="Y80" s="99" t="s">
        <v>1159</v>
      </c>
      <c r="Z80" s="109">
        <v>45321</v>
      </c>
      <c r="AA80" s="98">
        <v>175485.85</v>
      </c>
      <c r="AB80" s="98"/>
      <c r="AC80" s="99">
        <f t="shared" ref="AC80:AC103" si="90">Z80-X80</f>
        <v>0</v>
      </c>
      <c r="AD80" s="110" t="s">
        <v>1160</v>
      </c>
      <c r="AE80" s="97" t="s">
        <v>1161</v>
      </c>
      <c r="AF80" s="101">
        <v>45356</v>
      </c>
      <c r="AG80" s="97"/>
      <c r="AH80" s="101">
        <v>45358</v>
      </c>
      <c r="AI80" s="98">
        <v>-175485.85</v>
      </c>
      <c r="AJ80" s="98"/>
      <c r="AK80" s="99">
        <f t="shared" si="85"/>
        <v>2</v>
      </c>
      <c r="AL80" s="99"/>
      <c r="AM80" s="97" t="s">
        <v>1161</v>
      </c>
      <c r="AN80" s="96">
        <v>45356</v>
      </c>
      <c r="AO80" s="97"/>
      <c r="AP80" s="101">
        <v>45358</v>
      </c>
      <c r="AQ80" s="98">
        <v>173787.64</v>
      </c>
      <c r="AR80" s="98"/>
      <c r="AS80" s="99"/>
      <c r="AT80" s="99" t="s">
        <v>1163</v>
      </c>
      <c r="AU80" s="93" t="s">
        <v>1164</v>
      </c>
      <c r="AV80" s="96">
        <v>45393</v>
      </c>
      <c r="AW80" s="93" t="s">
        <v>1165</v>
      </c>
      <c r="AX80" s="96">
        <v>45394</v>
      </c>
      <c r="AY80" s="355">
        <v>-173787.64</v>
      </c>
      <c r="AZ80" s="98">
        <v>173835.04</v>
      </c>
      <c r="BA80" s="99">
        <f t="shared" si="86"/>
        <v>1</v>
      </c>
      <c r="BB80" s="99"/>
      <c r="BC80" s="93" t="s">
        <v>1813</v>
      </c>
      <c r="BD80" s="103">
        <v>45426</v>
      </c>
      <c r="BE80" s="101" t="s">
        <v>1815</v>
      </c>
      <c r="BF80" s="103">
        <v>45427</v>
      </c>
      <c r="BG80" s="98">
        <v>-173835.04</v>
      </c>
      <c r="BH80" s="102">
        <v>175128.91</v>
      </c>
      <c r="BI80" s="93">
        <f t="shared" ref="BI80:BI103" si="91">BF80-BD80</f>
        <v>1</v>
      </c>
      <c r="BJ80" s="93" t="s">
        <v>1814</v>
      </c>
      <c r="BK80" s="93"/>
      <c r="BL80" s="103"/>
      <c r="BM80" s="93"/>
      <c r="BN80" s="103"/>
      <c r="BO80" s="94"/>
      <c r="BP80" s="94"/>
      <c r="BQ80" s="93">
        <f t="shared" ref="BQ80:BQ103" si="92">BN80-BL80</f>
        <v>0</v>
      </c>
      <c r="BR80" s="93"/>
      <c r="BS80" s="93"/>
      <c r="BT80" s="103"/>
      <c r="BU80" s="93"/>
      <c r="BV80" s="103"/>
      <c r="BW80" s="94"/>
      <c r="BX80" s="94"/>
      <c r="BY80" s="93">
        <f t="shared" ref="BY80:BY103" si="93">BV80-BT80</f>
        <v>0</v>
      </c>
      <c r="BZ80" s="93"/>
      <c r="CA80" s="104"/>
      <c r="CB80" s="105"/>
      <c r="CC80" s="106"/>
      <c r="CD80" s="107"/>
      <c r="CE80" s="94"/>
      <c r="CF80" s="94"/>
      <c r="CG80" s="93">
        <f t="shared" ref="CG80:CG103" si="94">CD80-CB80</f>
        <v>0</v>
      </c>
      <c r="CH80" s="93"/>
      <c r="CI80" s="106"/>
      <c r="CJ80" s="105"/>
      <c r="CK80" s="93"/>
      <c r="CL80" s="105"/>
      <c r="CM80" s="108"/>
      <c r="CN80" s="108"/>
      <c r="CO80" s="93">
        <f t="shared" ref="CO80:CO103" si="95">CL80-CJ80</f>
        <v>0</v>
      </c>
      <c r="CP80" s="93"/>
      <c r="CQ80" s="93"/>
      <c r="CR80" s="93"/>
      <c r="CS80" s="93"/>
      <c r="CT80" s="93"/>
      <c r="CU80" s="93"/>
      <c r="CV80" s="93"/>
      <c r="CW80" s="93">
        <f t="shared" ref="CW80:CW103" si="96">CT80-CR80</f>
        <v>0</v>
      </c>
      <c r="CX80" s="93"/>
      <c r="CY80" s="93" t="str">
        <f>TEXT(X80,"MMMM")</f>
        <v>enero</v>
      </c>
      <c r="CZ80" s="93" t="str">
        <f t="shared" si="87"/>
        <v>marzo</v>
      </c>
      <c r="DA80" s="93" t="str">
        <f t="shared" si="88"/>
        <v>marzo</v>
      </c>
      <c r="DB80" s="93" t="str">
        <f t="shared" si="89"/>
        <v>abril</v>
      </c>
      <c r="DC80" s="93" t="str">
        <f t="shared" ref="DC80:DC103" si="97">TEXT(BD80,"MMMM")</f>
        <v>mayo</v>
      </c>
      <c r="DD80" s="93" t="str">
        <f t="shared" ref="DD80:DD103" si="98">TEXT(BL80,"MMMM")</f>
        <v>enero</v>
      </c>
      <c r="DE80" s="93" t="str">
        <f t="shared" ref="DE80:DE103" si="99">TEXT(BT80,"MMMM")</f>
        <v>enero</v>
      </c>
      <c r="DF80" s="93" t="str">
        <f t="shared" ref="DF80:DF103" si="100">TEXT(BT80,"MMMM")</f>
        <v>enero</v>
      </c>
      <c r="DG80" s="93" t="str">
        <f t="shared" ref="DG80:DG103" si="101">TEXT(BV80,"MMMM")</f>
        <v>enero</v>
      </c>
      <c r="DH80" s="93" t="str">
        <f t="shared" ref="DH80:DH103" si="102">TEXT(BY80,"MMMM")</f>
        <v>enero</v>
      </c>
    </row>
    <row r="81" spans="1:112" ht="15" hidden="1" customHeight="1">
      <c r="A81" s="93">
        <v>101</v>
      </c>
      <c r="B81" s="93" t="e">
        <f>VLOOKUP($A81,  'Matriz POA 2024-TRABAJO'!$A$5:$CY$9142,29,FALSE)</f>
        <v>#N/A</v>
      </c>
      <c r="C81" s="93" t="e">
        <f>VLOOKUP($A81, 'Matriz POA 2024-TRABAJO'!$A$5:$CY$9142,11,FALSE)</f>
        <v>#N/A</v>
      </c>
      <c r="D81" s="93" t="e">
        <f>VLOOKUP($A81, 'Matriz POA 2024-TRABAJO'!$A$5:$CY$9142,14,FALSE)</f>
        <v>#N/A</v>
      </c>
      <c r="E81" s="93" t="e">
        <f>VLOOKUP($A81, 'Matriz POA 2024-TRABAJO'!$A$5:$CY$9142,15,FALSE)</f>
        <v>#N/A</v>
      </c>
      <c r="F81" s="93" t="e">
        <f>VLOOKUP($A81, 'Matriz POA 2024-TRABAJO'!$A$5:$CY$9142,18,FALSE)</f>
        <v>#N/A</v>
      </c>
      <c r="G81" s="93" t="e">
        <f>VLOOKUP($A81, 'Matriz POA 2024-TRABAJO'!$A$5:$CY$9142,23,FALSE)</f>
        <v>#N/A</v>
      </c>
      <c r="H81" s="93" t="e">
        <f>VLOOKUP($A81, 'Matriz POA 2024-TRABAJO'!$A$5:$CY$9142,24,FALSE)</f>
        <v>#N/A</v>
      </c>
      <c r="I81" s="93" t="e">
        <f>VLOOKUP($A81, 'Matriz POA 2024-TRABAJO'!$A$5:$CY$9142,20,FALSE)</f>
        <v>#N/A</v>
      </c>
      <c r="J81" s="93" t="e">
        <f>VLOOKUP($A81, 'Matriz POA 2024-TRABAJO'!$A$5:$CY$9142,26,FALSE)</f>
        <v>#N/A</v>
      </c>
      <c r="K81" s="93" t="e">
        <f>VLOOKUP($A81, 'Matriz POA 2024-TRABAJO'!$A$5:$CY$9142,27,FALSE)</f>
        <v>#N/A</v>
      </c>
      <c r="L81" s="93" t="e">
        <f>VLOOKUP($A81, 'Matriz POA 2024-TRABAJO'!$A$5:$CY$9142,28,FALSE)</f>
        <v>#N/A</v>
      </c>
      <c r="M81" s="93" t="e">
        <f>VLOOKUP($A81, 'Matriz POA 2024-TRABAJO'!$A$5:$CY$9142,30,FALSE)</f>
        <v>#N/A</v>
      </c>
      <c r="N81" s="93" t="e">
        <f>VLOOKUP($A81, 'Matriz POA 2024-TRABAJO'!$A$5:$CY$9142,31,FALSE)</f>
        <v>#N/A</v>
      </c>
      <c r="O81" s="93" t="e">
        <f>VLOOKUP($A81, 'Matriz POA 2024-TRABAJO'!$A$5:$CY$9142,45,FALSE)</f>
        <v>#N/A</v>
      </c>
      <c r="P81" s="93" t="e">
        <f>VLOOKUP($A81, 'Matriz POA 2024-TRABAJO'!$A$5:$CY$9142,46,FALSE)</f>
        <v>#N/A</v>
      </c>
      <c r="Q81" s="93" t="e">
        <f>VLOOKUP($A81, 'Matriz POA 2024-TRABAJO'!$A$5:$CY$9142,47,FALSE)</f>
        <v>#N/A</v>
      </c>
      <c r="R81" s="94">
        <f t="shared" si="82"/>
        <v>125462.9</v>
      </c>
      <c r="S81" s="95" t="e">
        <f t="shared" si="83"/>
        <v>#N/A</v>
      </c>
      <c r="T81" s="93" t="e">
        <f>VLOOKUP($A81, 'Matriz POA 2024-TRABAJO'!$A$5:$CY$9142,72,FALSE)</f>
        <v>#N/A</v>
      </c>
      <c r="U81" s="93" t="e">
        <f>VLOOKUP($A81, 'Matriz POA 2024-TRABAJO'!$A$5:$CY$9142,29,FALSE)</f>
        <v>#N/A</v>
      </c>
      <c r="V81" s="94" t="str">
        <f t="shared" si="84"/>
        <v>13ar-29ar-74ar-</v>
      </c>
      <c r="W81" s="97" t="s">
        <v>1158</v>
      </c>
      <c r="X81" s="109">
        <v>45321</v>
      </c>
      <c r="Y81" s="99" t="s">
        <v>1159</v>
      </c>
      <c r="Z81" s="109">
        <v>45321</v>
      </c>
      <c r="AA81" s="98">
        <v>125771</v>
      </c>
      <c r="AB81" s="98"/>
      <c r="AC81" s="99">
        <f t="shared" si="90"/>
        <v>0</v>
      </c>
      <c r="AD81" s="110" t="s">
        <v>1160</v>
      </c>
      <c r="AE81" s="97" t="s">
        <v>1161</v>
      </c>
      <c r="AF81" s="101">
        <v>45356</v>
      </c>
      <c r="AG81" s="97"/>
      <c r="AH81" s="101">
        <v>45358</v>
      </c>
      <c r="AI81" s="98">
        <v>-125771</v>
      </c>
      <c r="AJ81" s="98"/>
      <c r="AK81" s="99">
        <f t="shared" si="85"/>
        <v>2</v>
      </c>
      <c r="AL81" s="99"/>
      <c r="AM81" s="97" t="s">
        <v>1161</v>
      </c>
      <c r="AN81" s="96">
        <v>45356</v>
      </c>
      <c r="AO81" s="97"/>
      <c r="AP81" s="101">
        <v>45358</v>
      </c>
      <c r="AQ81" s="98">
        <f>124346.01-40.92</f>
        <v>124305.09</v>
      </c>
      <c r="AR81" s="98"/>
      <c r="AS81" s="99"/>
      <c r="AT81" s="99" t="s">
        <v>1163</v>
      </c>
      <c r="AU81" s="93" t="s">
        <v>1164</v>
      </c>
      <c r="AV81" s="96">
        <v>45393</v>
      </c>
      <c r="AW81" s="93" t="s">
        <v>1165</v>
      </c>
      <c r="AX81" s="96">
        <v>45394</v>
      </c>
      <c r="AY81" s="355">
        <v>-124305.09</v>
      </c>
      <c r="AZ81" s="98">
        <v>124346.01</v>
      </c>
      <c r="BA81" s="99">
        <f t="shared" si="86"/>
        <v>1</v>
      </c>
      <c r="BB81" s="99"/>
      <c r="BC81" s="93" t="s">
        <v>1813</v>
      </c>
      <c r="BD81" s="103">
        <v>45426</v>
      </c>
      <c r="BE81" s="101" t="s">
        <v>1815</v>
      </c>
      <c r="BF81" s="103">
        <v>45427</v>
      </c>
      <c r="BG81" s="98">
        <v>-124346.01</v>
      </c>
      <c r="BH81" s="102">
        <v>125462.9</v>
      </c>
      <c r="BI81" s="93">
        <f t="shared" si="91"/>
        <v>1</v>
      </c>
      <c r="BJ81" s="93" t="s">
        <v>1814</v>
      </c>
      <c r="BK81" s="93"/>
      <c r="BL81" s="103"/>
      <c r="BM81" s="93"/>
      <c r="BN81" s="103"/>
      <c r="BO81" s="94"/>
      <c r="BP81" s="94"/>
      <c r="BQ81" s="93">
        <f t="shared" si="92"/>
        <v>0</v>
      </c>
      <c r="BR81" s="93"/>
      <c r="BS81" s="93"/>
      <c r="BT81" s="103"/>
      <c r="BU81" s="93"/>
      <c r="BV81" s="103"/>
      <c r="BW81" s="94"/>
      <c r="BX81" s="94"/>
      <c r="BY81" s="93">
        <f t="shared" si="93"/>
        <v>0</v>
      </c>
      <c r="BZ81" s="93"/>
      <c r="CA81" s="104"/>
      <c r="CB81" s="105"/>
      <c r="CC81" s="106"/>
      <c r="CD81" s="107"/>
      <c r="CE81" s="94"/>
      <c r="CF81" s="94"/>
      <c r="CG81" s="93">
        <f t="shared" si="94"/>
        <v>0</v>
      </c>
      <c r="CH81" s="93"/>
      <c r="CI81" s="106"/>
      <c r="CJ81" s="105"/>
      <c r="CK81" s="93"/>
      <c r="CL81" s="105"/>
      <c r="CM81" s="108"/>
      <c r="CN81" s="108"/>
      <c r="CO81" s="93">
        <f t="shared" si="95"/>
        <v>0</v>
      </c>
      <c r="CP81" s="93"/>
      <c r="CQ81" s="93"/>
      <c r="CR81" s="93"/>
      <c r="CS81" s="93"/>
      <c r="CT81" s="93"/>
      <c r="CU81" s="93"/>
      <c r="CV81" s="93"/>
      <c r="CW81" s="93">
        <f t="shared" si="96"/>
        <v>0</v>
      </c>
      <c r="CX81" s="93"/>
      <c r="CY81" s="93" t="str">
        <f>TEXT(X81,"MMMM")</f>
        <v>enero</v>
      </c>
      <c r="CZ81" s="93" t="str">
        <f t="shared" si="87"/>
        <v>marzo</v>
      </c>
      <c r="DA81" s="93" t="str">
        <f t="shared" si="88"/>
        <v>marzo</v>
      </c>
      <c r="DB81" s="93" t="str">
        <f t="shared" si="89"/>
        <v>abril</v>
      </c>
      <c r="DC81" s="93" t="str">
        <f t="shared" si="97"/>
        <v>mayo</v>
      </c>
      <c r="DD81" s="93" t="str">
        <f t="shared" si="98"/>
        <v>enero</v>
      </c>
      <c r="DE81" s="93" t="str">
        <f t="shared" si="99"/>
        <v>enero</v>
      </c>
      <c r="DF81" s="93" t="str">
        <f t="shared" si="100"/>
        <v>enero</v>
      </c>
      <c r="DG81" s="93" t="str">
        <f t="shared" si="101"/>
        <v>enero</v>
      </c>
      <c r="DH81" s="93" t="str">
        <f t="shared" si="102"/>
        <v>enero</v>
      </c>
    </row>
    <row r="82" spans="1:112" s="21" customFormat="1" ht="26.45" hidden="1" customHeight="1">
      <c r="A82" s="93">
        <v>103</v>
      </c>
      <c r="B82" s="93" t="e">
        <f>VLOOKUP($A82,  'Matriz POA 2024-TRABAJO'!$A$5:$CY$9142,29,FALSE)</f>
        <v>#N/A</v>
      </c>
      <c r="C82" s="93" t="e">
        <f>VLOOKUP($A82, 'Matriz POA 2024-TRABAJO'!$A$5:$CY$9142,11,FALSE)</f>
        <v>#N/A</v>
      </c>
      <c r="D82" s="93" t="e">
        <f>VLOOKUP($A82, 'Matriz POA 2024-TRABAJO'!$A$5:$CY$9142,14,FALSE)</f>
        <v>#N/A</v>
      </c>
      <c r="E82" s="93" t="e">
        <f>VLOOKUP($A82, 'Matriz POA 2024-TRABAJO'!$A$5:$CY$9142,15,FALSE)</f>
        <v>#N/A</v>
      </c>
      <c r="F82" s="93" t="e">
        <f>VLOOKUP($A82, 'Matriz POA 2024-TRABAJO'!$A$5:$CY$9142,18,FALSE)</f>
        <v>#N/A</v>
      </c>
      <c r="G82" s="93" t="e">
        <f>VLOOKUP($A82, 'Matriz POA 2024-TRABAJO'!$A$5:$CY$9142,23,FALSE)</f>
        <v>#N/A</v>
      </c>
      <c r="H82" s="93" t="e">
        <f>VLOOKUP($A82, 'Matriz POA 2024-TRABAJO'!$A$5:$CY$9142,24,FALSE)</f>
        <v>#N/A</v>
      </c>
      <c r="I82" s="93" t="e">
        <f>VLOOKUP($A82, 'Matriz POA 2024-TRABAJO'!$A$5:$CY$9142,20,FALSE)</f>
        <v>#N/A</v>
      </c>
      <c r="J82" s="93" t="e">
        <f>VLOOKUP($A82, 'Matriz POA 2024-TRABAJO'!$A$5:$CY$9142,26,FALSE)</f>
        <v>#N/A</v>
      </c>
      <c r="K82" s="93" t="e">
        <f>VLOOKUP($A82, 'Matriz POA 2024-TRABAJO'!$A$5:$CY$9142,27,FALSE)</f>
        <v>#N/A</v>
      </c>
      <c r="L82" s="93" t="e">
        <f>VLOOKUP($A82, 'Matriz POA 2024-TRABAJO'!$A$5:$CY$9142,28,FALSE)</f>
        <v>#N/A</v>
      </c>
      <c r="M82" s="93" t="e">
        <f>VLOOKUP($A82, 'Matriz POA 2024-TRABAJO'!$A$5:$CY$9142,30,FALSE)</f>
        <v>#N/A</v>
      </c>
      <c r="N82" s="93" t="e">
        <f>VLOOKUP($A82, 'Matriz POA 2024-TRABAJO'!$A$5:$CY$9142,31,FALSE)</f>
        <v>#N/A</v>
      </c>
      <c r="O82" s="93" t="e">
        <f>VLOOKUP($A82, 'Matriz POA 2024-TRABAJO'!$A$5:$CY$9142,45,FALSE)</f>
        <v>#N/A</v>
      </c>
      <c r="P82" s="93" t="e">
        <f>VLOOKUP($A82, 'Matriz POA 2024-TRABAJO'!$A$5:$CY$9142,46,FALSE)</f>
        <v>#N/A</v>
      </c>
      <c r="Q82" s="93" t="e">
        <f>VLOOKUP($A82, 'Matriz POA 2024-TRABAJO'!$A$5:$CY$9142,47,FALSE)</f>
        <v>#N/A</v>
      </c>
      <c r="R82" s="94">
        <f t="shared" si="82"/>
        <v>317287.40000000002</v>
      </c>
      <c r="S82" s="95" t="e">
        <f t="shared" si="83"/>
        <v>#N/A</v>
      </c>
      <c r="T82" s="93" t="e">
        <f>VLOOKUP($A82, 'Matriz POA 2024-TRABAJO'!$A$5:$CY$9142,72,FALSE)</f>
        <v>#N/A</v>
      </c>
      <c r="U82" s="93" t="e">
        <f>VLOOKUP($A82, 'Matriz POA 2024-TRABAJO'!$A$5:$CY$9142,29,FALSE)</f>
        <v>#N/A</v>
      </c>
      <c r="V82" s="94" t="str">
        <f t="shared" si="84"/>
        <v>13ar-29ar-74ar-</v>
      </c>
      <c r="W82" s="97" t="s">
        <v>1158</v>
      </c>
      <c r="X82" s="109">
        <v>45321</v>
      </c>
      <c r="Y82" s="99" t="s">
        <v>1159</v>
      </c>
      <c r="Z82" s="109">
        <v>45321</v>
      </c>
      <c r="AA82" s="98">
        <v>317287.40000000002</v>
      </c>
      <c r="AB82" s="98"/>
      <c r="AC82" s="99">
        <f t="shared" si="90"/>
        <v>0</v>
      </c>
      <c r="AD82" s="110" t="s">
        <v>1160</v>
      </c>
      <c r="AE82" s="97" t="s">
        <v>1161</v>
      </c>
      <c r="AF82" s="101">
        <v>45356</v>
      </c>
      <c r="AG82" s="97"/>
      <c r="AH82" s="101">
        <v>45358</v>
      </c>
      <c r="AI82" s="98">
        <v>-317287.40000000002</v>
      </c>
      <c r="AJ82" s="98"/>
      <c r="AK82" s="99">
        <f t="shared" si="85"/>
        <v>2</v>
      </c>
      <c r="AL82" s="99"/>
      <c r="AM82" s="97" t="s">
        <v>1161</v>
      </c>
      <c r="AN82" s="96">
        <v>45356</v>
      </c>
      <c r="AO82" s="97"/>
      <c r="AP82" s="101">
        <v>45358</v>
      </c>
      <c r="AQ82" s="98">
        <v>317287.40000000002</v>
      </c>
      <c r="AR82" s="98"/>
      <c r="AS82" s="99"/>
      <c r="AT82" s="99" t="s">
        <v>1163</v>
      </c>
      <c r="AU82" s="93" t="s">
        <v>1164</v>
      </c>
      <c r="AV82" s="96">
        <v>45393</v>
      </c>
      <c r="AW82" s="93" t="s">
        <v>1165</v>
      </c>
      <c r="AX82" s="96">
        <v>45394</v>
      </c>
      <c r="AY82" s="355">
        <v>-317287.40000000002</v>
      </c>
      <c r="AZ82" s="98">
        <v>317287.40000000002</v>
      </c>
      <c r="BA82" s="99">
        <f t="shared" si="86"/>
        <v>1</v>
      </c>
      <c r="BB82" s="99"/>
      <c r="BC82" s="93" t="s">
        <v>1813</v>
      </c>
      <c r="BD82" s="103">
        <v>45426</v>
      </c>
      <c r="BE82" s="101" t="s">
        <v>1815</v>
      </c>
      <c r="BF82" s="103">
        <v>45427</v>
      </c>
      <c r="BG82" s="98">
        <v>-317287.40000000002</v>
      </c>
      <c r="BH82" s="102">
        <v>317287.40000000002</v>
      </c>
      <c r="BI82" s="93">
        <f t="shared" si="91"/>
        <v>1</v>
      </c>
      <c r="BJ82" s="93" t="s">
        <v>1814</v>
      </c>
      <c r="BK82" s="93"/>
      <c r="BL82" s="103"/>
      <c r="BM82" s="93"/>
      <c r="BN82" s="103"/>
      <c r="BO82" s="94"/>
      <c r="BP82" s="94"/>
      <c r="BQ82" s="93">
        <f t="shared" si="92"/>
        <v>0</v>
      </c>
      <c r="BR82" s="93"/>
      <c r="BS82" s="93"/>
      <c r="BT82" s="103"/>
      <c r="BU82" s="93"/>
      <c r="BV82" s="103"/>
      <c r="BW82" s="94"/>
      <c r="BX82" s="94"/>
      <c r="BY82" s="93">
        <f t="shared" si="93"/>
        <v>0</v>
      </c>
      <c r="BZ82" s="93"/>
      <c r="CA82" s="104"/>
      <c r="CB82" s="105"/>
      <c r="CC82" s="106"/>
      <c r="CD82" s="107"/>
      <c r="CE82" s="94"/>
      <c r="CF82" s="94"/>
      <c r="CG82" s="93">
        <f t="shared" si="94"/>
        <v>0</v>
      </c>
      <c r="CH82" s="93"/>
      <c r="CI82" s="106"/>
      <c r="CJ82" s="105"/>
      <c r="CK82" s="93"/>
      <c r="CL82" s="105"/>
      <c r="CM82" s="108"/>
      <c r="CN82" s="108"/>
      <c r="CO82" s="93">
        <f t="shared" si="95"/>
        <v>0</v>
      </c>
      <c r="CP82" s="93"/>
      <c r="CQ82" s="93"/>
      <c r="CR82" s="93"/>
      <c r="CS82" s="93"/>
      <c r="CT82" s="93"/>
      <c r="CU82" s="93"/>
      <c r="CV82" s="93"/>
      <c r="CW82" s="93">
        <f t="shared" si="96"/>
        <v>0</v>
      </c>
      <c r="CX82" s="93"/>
      <c r="CY82" s="93" t="str">
        <f>TEXT(Z82,"MMMM")</f>
        <v>enero</v>
      </c>
      <c r="CZ82" s="93" t="str">
        <f t="shared" si="87"/>
        <v>marzo</v>
      </c>
      <c r="DA82" s="93" t="str">
        <f t="shared" si="88"/>
        <v>marzo</v>
      </c>
      <c r="DB82" s="93" t="str">
        <f t="shared" si="89"/>
        <v>abril</v>
      </c>
      <c r="DC82" s="93" t="str">
        <f t="shared" si="97"/>
        <v>mayo</v>
      </c>
      <c r="DD82" s="93" t="str">
        <f t="shared" si="98"/>
        <v>enero</v>
      </c>
      <c r="DE82" s="93" t="str">
        <f t="shared" si="99"/>
        <v>enero</v>
      </c>
      <c r="DF82" s="93" t="str">
        <f t="shared" si="100"/>
        <v>enero</v>
      </c>
      <c r="DG82" s="93" t="str">
        <f t="shared" si="101"/>
        <v>enero</v>
      </c>
      <c r="DH82" s="93" t="str">
        <f t="shared" si="102"/>
        <v>enero</v>
      </c>
    </row>
    <row r="83" spans="1:112" s="21" customFormat="1" ht="18.75" hidden="1" customHeight="1">
      <c r="A83" s="93">
        <v>104</v>
      </c>
      <c r="B83" s="93" t="e">
        <f>VLOOKUP($A83,  'Matriz POA 2024-TRABAJO'!$A$5:$CY$9142,29,FALSE)</f>
        <v>#N/A</v>
      </c>
      <c r="C83" s="93" t="e">
        <f>VLOOKUP($A83, 'Matriz POA 2024-TRABAJO'!$A$5:$CY$9142,11,FALSE)</f>
        <v>#N/A</v>
      </c>
      <c r="D83" s="93" t="e">
        <f>VLOOKUP($A83, 'Matriz POA 2024-TRABAJO'!$A$5:$CY$9142,14,FALSE)</f>
        <v>#N/A</v>
      </c>
      <c r="E83" s="93" t="e">
        <f>VLOOKUP($A83, 'Matriz POA 2024-TRABAJO'!$A$5:$CY$9142,15,FALSE)</f>
        <v>#N/A</v>
      </c>
      <c r="F83" s="93" t="e">
        <f>VLOOKUP($A83, 'Matriz POA 2024-TRABAJO'!$A$5:$CY$9142,18,FALSE)</f>
        <v>#N/A</v>
      </c>
      <c r="G83" s="93" t="e">
        <f>VLOOKUP($A83, 'Matriz POA 2024-TRABAJO'!$A$5:$CY$9142,23,FALSE)</f>
        <v>#N/A</v>
      </c>
      <c r="H83" s="93" t="e">
        <f>VLOOKUP($A83, 'Matriz POA 2024-TRABAJO'!$A$5:$CY$9142,24,FALSE)</f>
        <v>#N/A</v>
      </c>
      <c r="I83" s="93" t="e">
        <f>VLOOKUP($A83, 'Matriz POA 2024-TRABAJO'!$A$5:$CY$9142,20,FALSE)</f>
        <v>#N/A</v>
      </c>
      <c r="J83" s="93" t="e">
        <f>VLOOKUP($A83, 'Matriz POA 2024-TRABAJO'!$A$5:$CY$9142,26,FALSE)</f>
        <v>#N/A</v>
      </c>
      <c r="K83" s="93" t="e">
        <f>VLOOKUP($A83, 'Matriz POA 2024-TRABAJO'!$A$5:$CY$9142,27,FALSE)</f>
        <v>#N/A</v>
      </c>
      <c r="L83" s="93" t="e">
        <f>VLOOKUP($A83, 'Matriz POA 2024-TRABAJO'!$A$5:$CY$9142,28,FALSE)</f>
        <v>#N/A</v>
      </c>
      <c r="M83" s="93" t="e">
        <f>VLOOKUP($A83, 'Matriz POA 2024-TRABAJO'!$A$5:$CY$9142,30,FALSE)</f>
        <v>#N/A</v>
      </c>
      <c r="N83" s="93" t="e">
        <f>VLOOKUP($A83, 'Matriz POA 2024-TRABAJO'!$A$5:$CY$9142,31,FALSE)</f>
        <v>#N/A</v>
      </c>
      <c r="O83" s="93" t="e">
        <f>VLOOKUP($A83, 'Matriz POA 2024-TRABAJO'!$A$5:$CY$9142,45,FALSE)</f>
        <v>#N/A</v>
      </c>
      <c r="P83" s="93" t="e">
        <f>VLOOKUP($A83, 'Matriz POA 2024-TRABAJO'!$A$5:$CY$9142,46,FALSE)</f>
        <v>#N/A</v>
      </c>
      <c r="Q83" s="93" t="e">
        <f>VLOOKUP($A83, 'Matriz POA 2024-TRABAJO'!$A$5:$CY$9142,47,FALSE)</f>
        <v>#N/A</v>
      </c>
      <c r="R83" s="94">
        <f t="shared" si="82"/>
        <v>119842</v>
      </c>
      <c r="S83" s="95" t="e">
        <f t="shared" si="83"/>
        <v>#N/A</v>
      </c>
      <c r="T83" s="93" t="e">
        <f>VLOOKUP($A83, 'Matriz POA 2024-TRABAJO'!$A$5:$CY$9142,72,FALSE)</f>
        <v>#N/A</v>
      </c>
      <c r="U83" s="93" t="e">
        <f>VLOOKUP($A83, 'Matriz POA 2024-TRABAJO'!$A$5:$CY$9142,29,FALSE)</f>
        <v>#N/A</v>
      </c>
      <c r="V83" s="94" t="str">
        <f t="shared" si="84"/>
        <v>13ar-29ar-74ar-</v>
      </c>
      <c r="W83" s="97" t="s">
        <v>1158</v>
      </c>
      <c r="X83" s="109">
        <v>45321</v>
      </c>
      <c r="Y83" s="99" t="s">
        <v>1159</v>
      </c>
      <c r="Z83" s="109">
        <v>45321</v>
      </c>
      <c r="AA83" s="98">
        <v>119842</v>
      </c>
      <c r="AB83" s="98"/>
      <c r="AC83" s="99">
        <f t="shared" si="90"/>
        <v>0</v>
      </c>
      <c r="AD83" s="110" t="s">
        <v>1160</v>
      </c>
      <c r="AE83" s="97" t="s">
        <v>1161</v>
      </c>
      <c r="AF83" s="101">
        <v>45356</v>
      </c>
      <c r="AG83" s="97"/>
      <c r="AH83" s="101">
        <v>45358</v>
      </c>
      <c r="AI83" s="98">
        <v>-119842</v>
      </c>
      <c r="AJ83" s="98"/>
      <c r="AK83" s="99">
        <f t="shared" si="85"/>
        <v>2</v>
      </c>
      <c r="AL83" s="99"/>
      <c r="AM83" s="97" t="s">
        <v>1161</v>
      </c>
      <c r="AN83" s="96">
        <v>45356</v>
      </c>
      <c r="AO83" s="97"/>
      <c r="AP83" s="101">
        <v>45358</v>
      </c>
      <c r="AQ83" s="98">
        <v>119842</v>
      </c>
      <c r="AR83" s="98"/>
      <c r="AS83" s="99"/>
      <c r="AT83" s="99" t="s">
        <v>1163</v>
      </c>
      <c r="AU83" s="93" t="s">
        <v>1164</v>
      </c>
      <c r="AV83" s="96">
        <v>45393</v>
      </c>
      <c r="AW83" s="93" t="s">
        <v>1165</v>
      </c>
      <c r="AX83" s="96">
        <v>45394</v>
      </c>
      <c r="AY83" s="355">
        <v>-119842</v>
      </c>
      <c r="AZ83" s="98">
        <v>119842</v>
      </c>
      <c r="BA83" s="99">
        <f t="shared" si="86"/>
        <v>1</v>
      </c>
      <c r="BB83" s="99"/>
      <c r="BC83" s="93" t="s">
        <v>1813</v>
      </c>
      <c r="BD83" s="103">
        <v>45426</v>
      </c>
      <c r="BE83" s="101" t="s">
        <v>1815</v>
      </c>
      <c r="BF83" s="103">
        <v>45427</v>
      </c>
      <c r="BG83" s="98">
        <v>-119842</v>
      </c>
      <c r="BH83" s="102">
        <v>119842</v>
      </c>
      <c r="BI83" s="93">
        <f t="shared" si="91"/>
        <v>1</v>
      </c>
      <c r="BJ83" s="93" t="s">
        <v>1814</v>
      </c>
      <c r="BK83" s="93"/>
      <c r="BL83" s="103"/>
      <c r="BM83" s="93"/>
      <c r="BN83" s="103"/>
      <c r="BO83" s="94"/>
      <c r="BP83" s="94"/>
      <c r="BQ83" s="93">
        <f t="shared" si="92"/>
        <v>0</v>
      </c>
      <c r="BR83" s="93"/>
      <c r="BS83" s="93"/>
      <c r="BT83" s="103"/>
      <c r="BU83" s="93"/>
      <c r="BV83" s="103"/>
      <c r="BW83" s="94"/>
      <c r="BX83" s="94"/>
      <c r="BY83" s="93">
        <f t="shared" si="93"/>
        <v>0</v>
      </c>
      <c r="BZ83" s="93"/>
      <c r="CA83" s="104"/>
      <c r="CB83" s="105"/>
      <c r="CC83" s="106"/>
      <c r="CD83" s="107"/>
      <c r="CE83" s="94"/>
      <c r="CF83" s="94"/>
      <c r="CG83" s="93">
        <f t="shared" si="94"/>
        <v>0</v>
      </c>
      <c r="CH83" s="93"/>
      <c r="CI83" s="106"/>
      <c r="CJ83" s="105"/>
      <c r="CK83" s="93"/>
      <c r="CL83" s="105"/>
      <c r="CM83" s="108"/>
      <c r="CN83" s="108"/>
      <c r="CO83" s="93">
        <f t="shared" si="95"/>
        <v>0</v>
      </c>
      <c r="CP83" s="93"/>
      <c r="CQ83" s="93"/>
      <c r="CR83" s="93"/>
      <c r="CS83" s="93"/>
      <c r="CT83" s="93"/>
      <c r="CU83" s="93"/>
      <c r="CV83" s="93"/>
      <c r="CW83" s="93">
        <f t="shared" si="96"/>
        <v>0</v>
      </c>
      <c r="CX83" s="93"/>
      <c r="CY83" s="93" t="str">
        <f>TEXT(X83,"MMMM")</f>
        <v>enero</v>
      </c>
      <c r="CZ83" s="93" t="str">
        <f t="shared" si="87"/>
        <v>marzo</v>
      </c>
      <c r="DA83" s="93" t="str">
        <f t="shared" si="88"/>
        <v>marzo</v>
      </c>
      <c r="DB83" s="93" t="str">
        <f t="shared" si="89"/>
        <v>abril</v>
      </c>
      <c r="DC83" s="93" t="str">
        <f t="shared" si="97"/>
        <v>mayo</v>
      </c>
      <c r="DD83" s="93" t="str">
        <f t="shared" si="98"/>
        <v>enero</v>
      </c>
      <c r="DE83" s="93" t="str">
        <f t="shared" si="99"/>
        <v>enero</v>
      </c>
      <c r="DF83" s="93" t="str">
        <f t="shared" si="100"/>
        <v>enero</v>
      </c>
      <c r="DG83" s="93" t="str">
        <f t="shared" si="101"/>
        <v>enero</v>
      </c>
      <c r="DH83" s="93" t="str">
        <f t="shared" si="102"/>
        <v>enero</v>
      </c>
    </row>
    <row r="84" spans="1:112" s="21" customFormat="1" ht="18.75" hidden="1" customHeight="1">
      <c r="A84" s="93">
        <v>105</v>
      </c>
      <c r="B84" s="93" t="e">
        <f>VLOOKUP($A84,  'Matriz POA 2024-TRABAJO'!$A$5:$CY$9142,29,FALSE)</f>
        <v>#N/A</v>
      </c>
      <c r="C84" s="93" t="e">
        <f>VLOOKUP($A84, 'Matriz POA 2024-TRABAJO'!$A$5:$CY$9142,11,FALSE)</f>
        <v>#N/A</v>
      </c>
      <c r="D84" s="93" t="e">
        <f>VLOOKUP($A84, 'Matriz POA 2024-TRABAJO'!$A$5:$CY$9142,14,FALSE)</f>
        <v>#N/A</v>
      </c>
      <c r="E84" s="93" t="e">
        <f>VLOOKUP($A84, 'Matriz POA 2024-TRABAJO'!$A$5:$CY$9142,15,FALSE)</f>
        <v>#N/A</v>
      </c>
      <c r="F84" s="93" t="e">
        <f>VLOOKUP($A84, 'Matriz POA 2024-TRABAJO'!$A$5:$CY$9142,18,FALSE)</f>
        <v>#N/A</v>
      </c>
      <c r="G84" s="93" t="e">
        <f>VLOOKUP($A84, 'Matriz POA 2024-TRABAJO'!$A$5:$CY$9142,23,FALSE)</f>
        <v>#N/A</v>
      </c>
      <c r="H84" s="93" t="e">
        <f>VLOOKUP($A84, 'Matriz POA 2024-TRABAJO'!$A$5:$CY$9142,24,FALSE)</f>
        <v>#N/A</v>
      </c>
      <c r="I84" s="93" t="e">
        <f>VLOOKUP($A84, 'Matriz POA 2024-TRABAJO'!$A$5:$CY$9142,20,FALSE)</f>
        <v>#N/A</v>
      </c>
      <c r="J84" s="93" t="e">
        <f>VLOOKUP($A84, 'Matriz POA 2024-TRABAJO'!$A$5:$CY$9142,26,FALSE)</f>
        <v>#N/A</v>
      </c>
      <c r="K84" s="93" t="e">
        <f>VLOOKUP($A84, 'Matriz POA 2024-TRABAJO'!$A$5:$CY$9142,27,FALSE)</f>
        <v>#N/A</v>
      </c>
      <c r="L84" s="93" t="e">
        <f>VLOOKUP($A84, 'Matriz POA 2024-TRABAJO'!$A$5:$CY$9142,28,FALSE)</f>
        <v>#N/A</v>
      </c>
      <c r="M84" s="93" t="e">
        <f>VLOOKUP($A84, 'Matriz POA 2024-TRABAJO'!$A$5:$CY$9142,30,FALSE)</f>
        <v>#N/A</v>
      </c>
      <c r="N84" s="93" t="e">
        <f>VLOOKUP($A84, 'Matriz POA 2024-TRABAJO'!$A$5:$CY$9142,31,FALSE)</f>
        <v>#N/A</v>
      </c>
      <c r="O84" s="93" t="e">
        <f>VLOOKUP($A84, 'Matriz POA 2024-TRABAJO'!$A$5:$CY$9142,45,FALSE)</f>
        <v>#N/A</v>
      </c>
      <c r="P84" s="93" t="e">
        <f>VLOOKUP($A84, 'Matriz POA 2024-TRABAJO'!$A$5:$CY$9142,46,FALSE)</f>
        <v>#N/A</v>
      </c>
      <c r="Q84" s="93" t="e">
        <f>VLOOKUP($A84, 'Matriz POA 2024-TRABAJO'!$A$5:$CY$9142,47,FALSE)</f>
        <v>#N/A</v>
      </c>
      <c r="R84" s="94">
        <f t="shared" si="82"/>
        <v>35563.97</v>
      </c>
      <c r="S84" s="95" t="e">
        <f t="shared" si="83"/>
        <v>#N/A</v>
      </c>
      <c r="T84" s="93" t="e">
        <f>VLOOKUP($A84, 'Matriz POA 2024-TRABAJO'!$A$5:$CY$9142,72,FALSE)</f>
        <v>#N/A</v>
      </c>
      <c r="U84" s="93" t="e">
        <f>VLOOKUP($A84, 'Matriz POA 2024-TRABAJO'!$A$5:$CY$9142,29,FALSE)</f>
        <v>#N/A</v>
      </c>
      <c r="V84" s="94" t="str">
        <f t="shared" si="84"/>
        <v>13ar-29ar-74ar-</v>
      </c>
      <c r="W84" s="97" t="s">
        <v>1158</v>
      </c>
      <c r="X84" s="109">
        <v>45321</v>
      </c>
      <c r="Y84" s="99" t="s">
        <v>1159</v>
      </c>
      <c r="Z84" s="109">
        <v>45321</v>
      </c>
      <c r="AA84" s="98">
        <v>35563.97</v>
      </c>
      <c r="AB84" s="98"/>
      <c r="AC84" s="99">
        <f t="shared" si="90"/>
        <v>0</v>
      </c>
      <c r="AD84" s="110" t="s">
        <v>1160</v>
      </c>
      <c r="AE84" s="97" t="s">
        <v>1161</v>
      </c>
      <c r="AF84" s="101">
        <v>45356</v>
      </c>
      <c r="AG84" s="97"/>
      <c r="AH84" s="101">
        <v>45358</v>
      </c>
      <c r="AI84" s="98">
        <v>-35563.97</v>
      </c>
      <c r="AJ84" s="98"/>
      <c r="AK84" s="99">
        <f t="shared" si="85"/>
        <v>2</v>
      </c>
      <c r="AL84" s="99"/>
      <c r="AM84" s="97" t="s">
        <v>1161</v>
      </c>
      <c r="AN84" s="96">
        <v>45356</v>
      </c>
      <c r="AO84" s="97"/>
      <c r="AP84" s="101">
        <v>45358</v>
      </c>
      <c r="AQ84" s="98">
        <v>35563.97</v>
      </c>
      <c r="AR84" s="98"/>
      <c r="AS84" s="99"/>
      <c r="AT84" s="99" t="s">
        <v>1163</v>
      </c>
      <c r="AU84" s="93" t="s">
        <v>1164</v>
      </c>
      <c r="AV84" s="96">
        <v>45393</v>
      </c>
      <c r="AW84" s="93" t="s">
        <v>1165</v>
      </c>
      <c r="AX84" s="96">
        <v>45394</v>
      </c>
      <c r="AY84" s="355">
        <v>-35563.97</v>
      </c>
      <c r="AZ84" s="98">
        <v>35563.97</v>
      </c>
      <c r="BA84" s="99">
        <f t="shared" si="86"/>
        <v>1</v>
      </c>
      <c r="BB84" s="99"/>
      <c r="BC84" s="93" t="s">
        <v>1813</v>
      </c>
      <c r="BD84" s="103">
        <v>45426</v>
      </c>
      <c r="BE84" s="101" t="s">
        <v>1815</v>
      </c>
      <c r="BF84" s="103">
        <v>45427</v>
      </c>
      <c r="BG84" s="98">
        <v>-35563.97</v>
      </c>
      <c r="BH84" s="102">
        <v>35563.97</v>
      </c>
      <c r="BI84" s="93">
        <f t="shared" si="91"/>
        <v>1</v>
      </c>
      <c r="BJ84" s="93" t="s">
        <v>1814</v>
      </c>
      <c r="BK84" s="93"/>
      <c r="BL84" s="103"/>
      <c r="BM84" s="93"/>
      <c r="BN84" s="103"/>
      <c r="BO84" s="94"/>
      <c r="BP84" s="94"/>
      <c r="BQ84" s="93">
        <f t="shared" si="92"/>
        <v>0</v>
      </c>
      <c r="BR84" s="93"/>
      <c r="BS84" s="93"/>
      <c r="BT84" s="103"/>
      <c r="BU84" s="93"/>
      <c r="BV84" s="103"/>
      <c r="BW84" s="94"/>
      <c r="BX84" s="94"/>
      <c r="BY84" s="93">
        <f t="shared" si="93"/>
        <v>0</v>
      </c>
      <c r="BZ84" s="93"/>
      <c r="CA84" s="104"/>
      <c r="CB84" s="105"/>
      <c r="CC84" s="106"/>
      <c r="CD84" s="107"/>
      <c r="CE84" s="94"/>
      <c r="CF84" s="94"/>
      <c r="CG84" s="93">
        <f t="shared" si="94"/>
        <v>0</v>
      </c>
      <c r="CH84" s="93"/>
      <c r="CI84" s="106"/>
      <c r="CJ84" s="105"/>
      <c r="CK84" s="93"/>
      <c r="CL84" s="105"/>
      <c r="CM84" s="108"/>
      <c r="CN84" s="108"/>
      <c r="CO84" s="93">
        <f t="shared" si="95"/>
        <v>0</v>
      </c>
      <c r="CP84" s="93"/>
      <c r="CQ84" s="93"/>
      <c r="CR84" s="93"/>
      <c r="CS84" s="93"/>
      <c r="CT84" s="93"/>
      <c r="CU84" s="93"/>
      <c r="CV84" s="93"/>
      <c r="CW84" s="93">
        <f t="shared" si="96"/>
        <v>0</v>
      </c>
      <c r="CX84" s="93"/>
      <c r="CY84" s="93" t="str">
        <f>TEXT(X84,"MMMM")</f>
        <v>enero</v>
      </c>
      <c r="CZ84" s="93" t="str">
        <f t="shared" si="87"/>
        <v>marzo</v>
      </c>
      <c r="DA84" s="93" t="str">
        <f t="shared" si="88"/>
        <v>marzo</v>
      </c>
      <c r="DB84" s="93" t="str">
        <f t="shared" si="89"/>
        <v>abril</v>
      </c>
      <c r="DC84" s="93" t="str">
        <f t="shared" si="97"/>
        <v>mayo</v>
      </c>
      <c r="DD84" s="93" t="str">
        <f t="shared" si="98"/>
        <v>enero</v>
      </c>
      <c r="DE84" s="93" t="str">
        <f t="shared" si="99"/>
        <v>enero</v>
      </c>
      <c r="DF84" s="93" t="str">
        <f t="shared" si="100"/>
        <v>enero</v>
      </c>
      <c r="DG84" s="93" t="str">
        <f t="shared" si="101"/>
        <v>enero</v>
      </c>
      <c r="DH84" s="93" t="str">
        <f t="shared" si="102"/>
        <v>enero</v>
      </c>
    </row>
    <row r="85" spans="1:112" ht="15" hidden="1" customHeight="1">
      <c r="A85" s="93">
        <v>106</v>
      </c>
      <c r="B85" s="93" t="e">
        <f>VLOOKUP($A85,  'Matriz POA 2024-TRABAJO'!$A$5:$CY$9142,29,FALSE)</f>
        <v>#N/A</v>
      </c>
      <c r="C85" s="93" t="e">
        <f>VLOOKUP($A85, 'Matriz POA 2024-TRABAJO'!$A$5:$CY$9142,11,FALSE)</f>
        <v>#N/A</v>
      </c>
      <c r="D85" s="93" t="e">
        <f>VLOOKUP($A85, 'Matriz POA 2024-TRABAJO'!$A$5:$CY$9142,14,FALSE)</f>
        <v>#N/A</v>
      </c>
      <c r="E85" s="93" t="e">
        <f>VLOOKUP($A85, 'Matriz POA 2024-TRABAJO'!$A$5:$CY$9142,15,FALSE)</f>
        <v>#N/A</v>
      </c>
      <c r="F85" s="93" t="e">
        <f>VLOOKUP($A85, 'Matriz POA 2024-TRABAJO'!$A$5:$CY$9142,18,FALSE)</f>
        <v>#N/A</v>
      </c>
      <c r="G85" s="93" t="e">
        <f>VLOOKUP($A85, 'Matriz POA 2024-TRABAJO'!$A$5:$CY$9142,23,FALSE)</f>
        <v>#N/A</v>
      </c>
      <c r="H85" s="93" t="e">
        <f>VLOOKUP($A85, 'Matriz POA 2024-TRABAJO'!$A$5:$CY$9142,24,FALSE)</f>
        <v>#N/A</v>
      </c>
      <c r="I85" s="93" t="e">
        <f>VLOOKUP($A85, 'Matriz POA 2024-TRABAJO'!$A$5:$CY$9142,20,FALSE)</f>
        <v>#N/A</v>
      </c>
      <c r="J85" s="93" t="e">
        <f>VLOOKUP($A85, 'Matriz POA 2024-TRABAJO'!$A$5:$CY$9142,26,FALSE)</f>
        <v>#N/A</v>
      </c>
      <c r="K85" s="93" t="e">
        <f>VLOOKUP($A85, 'Matriz POA 2024-TRABAJO'!$A$5:$CY$9142,27,FALSE)</f>
        <v>#N/A</v>
      </c>
      <c r="L85" s="93" t="e">
        <f>VLOOKUP($A85, 'Matriz POA 2024-TRABAJO'!$A$5:$CY$9142,28,FALSE)</f>
        <v>#N/A</v>
      </c>
      <c r="M85" s="93" t="e">
        <f>VLOOKUP($A85, 'Matriz POA 2024-TRABAJO'!$A$5:$CY$9142,30,FALSE)</f>
        <v>#N/A</v>
      </c>
      <c r="N85" s="93" t="e">
        <f>VLOOKUP($A85, 'Matriz POA 2024-TRABAJO'!$A$5:$CY$9142,31,FALSE)</f>
        <v>#N/A</v>
      </c>
      <c r="O85" s="93" t="e">
        <f>VLOOKUP($A85, 'Matriz POA 2024-TRABAJO'!$A$5:$CY$9142,45,FALSE)</f>
        <v>#N/A</v>
      </c>
      <c r="P85" s="93" t="e">
        <f>VLOOKUP($A85, 'Matriz POA 2024-TRABAJO'!$A$5:$CY$9142,46,FALSE)</f>
        <v>#N/A</v>
      </c>
      <c r="Q85" s="93" t="e">
        <f>VLOOKUP($A85, 'Matriz POA 2024-TRABAJO'!$A$5:$CY$9142,47,FALSE)</f>
        <v>#N/A</v>
      </c>
      <c r="R85" s="94">
        <f t="shared" si="82"/>
        <v>11873.15</v>
      </c>
      <c r="S85" s="95" t="e">
        <f t="shared" si="83"/>
        <v>#N/A</v>
      </c>
      <c r="T85" s="93" t="e">
        <f>VLOOKUP($A85, 'Matriz POA 2024-TRABAJO'!$A$5:$CY$9142,72,FALSE)</f>
        <v>#N/A</v>
      </c>
      <c r="U85" s="93" t="e">
        <f>VLOOKUP($A85, 'Matriz POA 2024-TRABAJO'!$A$5:$CY$9142,29,FALSE)</f>
        <v>#N/A</v>
      </c>
      <c r="V85" s="94" t="str">
        <f t="shared" si="84"/>
        <v>13ar-29ar-74ar-</v>
      </c>
      <c r="W85" s="97" t="s">
        <v>1158</v>
      </c>
      <c r="X85" s="109">
        <v>45321</v>
      </c>
      <c r="Y85" s="99" t="s">
        <v>1159</v>
      </c>
      <c r="Z85" s="109">
        <v>45321</v>
      </c>
      <c r="AA85" s="98">
        <v>11873.15</v>
      </c>
      <c r="AB85" s="98"/>
      <c r="AC85" s="99">
        <f t="shared" si="90"/>
        <v>0</v>
      </c>
      <c r="AD85" s="110" t="s">
        <v>1160</v>
      </c>
      <c r="AE85" s="97" t="s">
        <v>1161</v>
      </c>
      <c r="AF85" s="101">
        <v>45356</v>
      </c>
      <c r="AG85" s="97"/>
      <c r="AH85" s="101">
        <v>45358</v>
      </c>
      <c r="AI85" s="98">
        <v>-11873.15</v>
      </c>
      <c r="AJ85" s="98"/>
      <c r="AK85" s="99">
        <f t="shared" si="85"/>
        <v>2</v>
      </c>
      <c r="AL85" s="99"/>
      <c r="AM85" s="97" t="s">
        <v>1161</v>
      </c>
      <c r="AN85" s="96">
        <v>45356</v>
      </c>
      <c r="AO85" s="97"/>
      <c r="AP85" s="101">
        <v>45358</v>
      </c>
      <c r="AQ85" s="98">
        <v>11873.15</v>
      </c>
      <c r="AR85" s="98"/>
      <c r="AS85" s="99"/>
      <c r="AT85" s="99" t="s">
        <v>1163</v>
      </c>
      <c r="AU85" s="93" t="s">
        <v>1164</v>
      </c>
      <c r="AV85" s="96">
        <v>45393</v>
      </c>
      <c r="AW85" s="93" t="s">
        <v>1165</v>
      </c>
      <c r="AX85" s="96">
        <v>45394</v>
      </c>
      <c r="AY85" s="355">
        <v>-11873.15</v>
      </c>
      <c r="AZ85" s="98">
        <v>11873.15</v>
      </c>
      <c r="BA85" s="99">
        <f t="shared" si="86"/>
        <v>1</v>
      </c>
      <c r="BB85" s="99"/>
      <c r="BC85" s="93" t="s">
        <v>1813</v>
      </c>
      <c r="BD85" s="103">
        <v>45426</v>
      </c>
      <c r="BE85" s="101" t="s">
        <v>1815</v>
      </c>
      <c r="BF85" s="103">
        <v>45427</v>
      </c>
      <c r="BG85" s="98">
        <v>-11873.15</v>
      </c>
      <c r="BH85" s="102">
        <v>11873.15</v>
      </c>
      <c r="BI85" s="93">
        <f t="shared" si="91"/>
        <v>1</v>
      </c>
      <c r="BJ85" s="93" t="s">
        <v>1814</v>
      </c>
      <c r="BK85" s="93"/>
      <c r="BL85" s="103"/>
      <c r="BM85" s="93"/>
      <c r="BN85" s="103"/>
      <c r="BO85" s="94"/>
      <c r="BP85" s="94"/>
      <c r="BQ85" s="93">
        <f t="shared" si="92"/>
        <v>0</v>
      </c>
      <c r="BR85" s="93"/>
      <c r="BS85" s="93"/>
      <c r="BT85" s="103"/>
      <c r="BU85" s="93"/>
      <c r="BV85" s="103"/>
      <c r="BW85" s="94"/>
      <c r="BX85" s="94"/>
      <c r="BY85" s="93">
        <f t="shared" si="93"/>
        <v>0</v>
      </c>
      <c r="BZ85" s="93"/>
      <c r="CA85" s="104"/>
      <c r="CB85" s="105"/>
      <c r="CC85" s="106"/>
      <c r="CD85" s="107"/>
      <c r="CE85" s="94"/>
      <c r="CF85" s="94"/>
      <c r="CG85" s="93">
        <f t="shared" si="94"/>
        <v>0</v>
      </c>
      <c r="CH85" s="93"/>
      <c r="CI85" s="106"/>
      <c r="CJ85" s="105"/>
      <c r="CK85" s="93"/>
      <c r="CL85" s="105"/>
      <c r="CM85" s="108"/>
      <c r="CN85" s="108"/>
      <c r="CO85" s="93">
        <f t="shared" si="95"/>
        <v>0</v>
      </c>
      <c r="CP85" s="93"/>
      <c r="CQ85" s="93"/>
      <c r="CR85" s="93"/>
      <c r="CS85" s="93"/>
      <c r="CT85" s="93"/>
      <c r="CU85" s="93"/>
      <c r="CV85" s="93"/>
      <c r="CW85" s="93">
        <f t="shared" si="96"/>
        <v>0</v>
      </c>
      <c r="CX85" s="93"/>
      <c r="CY85" s="93" t="str">
        <f>TEXT(X85,"MMMM")</f>
        <v>enero</v>
      </c>
      <c r="CZ85" s="93" t="str">
        <f t="shared" si="87"/>
        <v>marzo</v>
      </c>
      <c r="DA85" s="93" t="str">
        <f t="shared" si="88"/>
        <v>marzo</v>
      </c>
      <c r="DB85" s="93" t="str">
        <f t="shared" si="89"/>
        <v>abril</v>
      </c>
      <c r="DC85" s="93" t="str">
        <f t="shared" si="97"/>
        <v>mayo</v>
      </c>
      <c r="DD85" s="93" t="str">
        <f t="shared" si="98"/>
        <v>enero</v>
      </c>
      <c r="DE85" s="93" t="str">
        <f t="shared" si="99"/>
        <v>enero</v>
      </c>
      <c r="DF85" s="93" t="str">
        <f t="shared" si="100"/>
        <v>enero</v>
      </c>
      <c r="DG85" s="93" t="str">
        <f t="shared" si="101"/>
        <v>enero</v>
      </c>
      <c r="DH85" s="93" t="str">
        <f t="shared" si="102"/>
        <v>enero</v>
      </c>
    </row>
    <row r="86" spans="1:112" s="21" customFormat="1" ht="26.45" hidden="1" customHeight="1">
      <c r="A86" s="93">
        <v>107</v>
      </c>
      <c r="B86" s="93" t="e">
        <f>VLOOKUP($A86,  'Matriz POA 2024-TRABAJO'!$A$5:$CY$9142,29,FALSE)</f>
        <v>#N/A</v>
      </c>
      <c r="C86" s="93" t="e">
        <f>VLOOKUP($A86, 'Matriz POA 2024-TRABAJO'!$A$5:$CY$9142,11,FALSE)</f>
        <v>#N/A</v>
      </c>
      <c r="D86" s="93" t="e">
        <f>VLOOKUP($A86, 'Matriz POA 2024-TRABAJO'!$A$5:$CY$9142,14,FALSE)</f>
        <v>#N/A</v>
      </c>
      <c r="E86" s="93" t="e">
        <f>VLOOKUP($A86, 'Matriz POA 2024-TRABAJO'!$A$5:$CY$9142,15,FALSE)</f>
        <v>#N/A</v>
      </c>
      <c r="F86" s="93" t="e">
        <f>VLOOKUP($A86, 'Matriz POA 2024-TRABAJO'!$A$5:$CY$9142,18,FALSE)</f>
        <v>#N/A</v>
      </c>
      <c r="G86" s="93" t="e">
        <f>VLOOKUP($A86, 'Matriz POA 2024-TRABAJO'!$A$5:$CY$9142,23,FALSE)</f>
        <v>#N/A</v>
      </c>
      <c r="H86" s="93" t="e">
        <f>VLOOKUP($A86, 'Matriz POA 2024-TRABAJO'!$A$5:$CY$9142,24,FALSE)</f>
        <v>#N/A</v>
      </c>
      <c r="I86" s="93" t="e">
        <f>VLOOKUP($A86, 'Matriz POA 2024-TRABAJO'!$A$5:$CY$9142,20,FALSE)</f>
        <v>#N/A</v>
      </c>
      <c r="J86" s="93" t="e">
        <f>VLOOKUP($A86, 'Matriz POA 2024-TRABAJO'!$A$5:$CY$9142,26,FALSE)</f>
        <v>#N/A</v>
      </c>
      <c r="K86" s="93" t="e">
        <f>VLOOKUP($A86, 'Matriz POA 2024-TRABAJO'!$A$5:$CY$9142,27,FALSE)</f>
        <v>#N/A</v>
      </c>
      <c r="L86" s="93" t="e">
        <f>VLOOKUP($A86, 'Matriz POA 2024-TRABAJO'!$A$5:$CY$9142,28,FALSE)</f>
        <v>#N/A</v>
      </c>
      <c r="M86" s="93" t="e">
        <f>VLOOKUP($A86, 'Matriz POA 2024-TRABAJO'!$A$5:$CY$9142,30,FALSE)</f>
        <v>#N/A</v>
      </c>
      <c r="N86" s="93" t="e">
        <f>VLOOKUP($A86, 'Matriz POA 2024-TRABAJO'!$A$5:$CY$9142,31,FALSE)</f>
        <v>#N/A</v>
      </c>
      <c r="O86" s="93" t="e">
        <f>VLOOKUP($A86, 'Matriz POA 2024-TRABAJO'!$A$5:$CY$9142,45,FALSE)</f>
        <v>#N/A</v>
      </c>
      <c r="P86" s="93" t="e">
        <f>VLOOKUP($A86, 'Matriz POA 2024-TRABAJO'!$A$5:$CY$9142,46,FALSE)</f>
        <v>#N/A</v>
      </c>
      <c r="Q86" s="93" t="e">
        <f>VLOOKUP($A86, 'Matriz POA 2024-TRABAJO'!$A$5:$CY$9142,47,FALSE)</f>
        <v>#N/A</v>
      </c>
      <c r="R86" s="94">
        <f t="shared" si="82"/>
        <v>3777.08</v>
      </c>
      <c r="S86" s="95" t="e">
        <f t="shared" si="83"/>
        <v>#N/A</v>
      </c>
      <c r="T86" s="93" t="e">
        <f>VLOOKUP($A86, 'Matriz POA 2024-TRABAJO'!$A$5:$CY$9142,72,FALSE)</f>
        <v>#N/A</v>
      </c>
      <c r="U86" s="93" t="e">
        <f>VLOOKUP($A86, 'Matriz POA 2024-TRABAJO'!$A$5:$CY$9142,29,FALSE)</f>
        <v>#N/A</v>
      </c>
      <c r="V86" s="94" t="str">
        <f t="shared" si="84"/>
        <v>13ar-29ar-74ar-</v>
      </c>
      <c r="W86" s="97" t="s">
        <v>1158</v>
      </c>
      <c r="X86" s="109">
        <v>45321</v>
      </c>
      <c r="Y86" s="99" t="s">
        <v>1159</v>
      </c>
      <c r="Z86" s="109">
        <v>45321</v>
      </c>
      <c r="AA86" s="98">
        <v>3777.08</v>
      </c>
      <c r="AB86" s="98"/>
      <c r="AC86" s="99">
        <f t="shared" si="90"/>
        <v>0</v>
      </c>
      <c r="AD86" s="110" t="s">
        <v>1160</v>
      </c>
      <c r="AE86" s="97" t="s">
        <v>1161</v>
      </c>
      <c r="AF86" s="101">
        <v>45356</v>
      </c>
      <c r="AG86" s="97"/>
      <c r="AH86" s="101">
        <v>45358</v>
      </c>
      <c r="AI86" s="98">
        <v>-3777.08</v>
      </c>
      <c r="AJ86" s="98"/>
      <c r="AK86" s="99">
        <f t="shared" si="85"/>
        <v>2</v>
      </c>
      <c r="AL86" s="99"/>
      <c r="AM86" s="97" t="s">
        <v>1161</v>
      </c>
      <c r="AN86" s="96">
        <v>45356</v>
      </c>
      <c r="AO86" s="97"/>
      <c r="AP86" s="101">
        <v>45358</v>
      </c>
      <c r="AQ86" s="98">
        <v>3777.08</v>
      </c>
      <c r="AR86" s="98"/>
      <c r="AS86" s="99"/>
      <c r="AT86" s="99" t="s">
        <v>1163</v>
      </c>
      <c r="AU86" s="93" t="s">
        <v>1164</v>
      </c>
      <c r="AV86" s="96">
        <v>45393</v>
      </c>
      <c r="AW86" s="93" t="s">
        <v>1165</v>
      </c>
      <c r="AX86" s="96">
        <v>45394</v>
      </c>
      <c r="AY86" s="355">
        <v>-3777.08</v>
      </c>
      <c r="AZ86" s="98">
        <v>3777.08</v>
      </c>
      <c r="BA86" s="99">
        <f t="shared" si="86"/>
        <v>1</v>
      </c>
      <c r="BB86" s="99"/>
      <c r="BC86" s="93" t="s">
        <v>1813</v>
      </c>
      <c r="BD86" s="103">
        <v>45426</v>
      </c>
      <c r="BE86" s="101" t="s">
        <v>1815</v>
      </c>
      <c r="BF86" s="103">
        <v>45427</v>
      </c>
      <c r="BG86" s="98">
        <v>-3777.08</v>
      </c>
      <c r="BH86" s="102">
        <v>3777.08</v>
      </c>
      <c r="BI86" s="93">
        <f t="shared" si="91"/>
        <v>1</v>
      </c>
      <c r="BJ86" s="93" t="s">
        <v>1814</v>
      </c>
      <c r="BK86" s="93"/>
      <c r="BL86" s="103"/>
      <c r="BM86" s="93"/>
      <c r="BN86" s="103"/>
      <c r="BO86" s="94"/>
      <c r="BP86" s="94"/>
      <c r="BQ86" s="93">
        <f t="shared" si="92"/>
        <v>0</v>
      </c>
      <c r="BR86" s="93"/>
      <c r="BS86" s="93"/>
      <c r="BT86" s="103"/>
      <c r="BU86" s="93"/>
      <c r="BV86" s="103"/>
      <c r="BW86" s="94"/>
      <c r="BX86" s="94"/>
      <c r="BY86" s="93">
        <f t="shared" si="93"/>
        <v>0</v>
      </c>
      <c r="BZ86" s="93"/>
      <c r="CA86" s="104"/>
      <c r="CB86" s="105"/>
      <c r="CC86" s="106"/>
      <c r="CD86" s="107"/>
      <c r="CE86" s="94"/>
      <c r="CF86" s="94"/>
      <c r="CG86" s="93">
        <f t="shared" si="94"/>
        <v>0</v>
      </c>
      <c r="CH86" s="93"/>
      <c r="CI86" s="106"/>
      <c r="CJ86" s="105"/>
      <c r="CK86" s="93"/>
      <c r="CL86" s="105"/>
      <c r="CM86" s="108"/>
      <c r="CN86" s="108"/>
      <c r="CO86" s="93">
        <f t="shared" si="95"/>
        <v>0</v>
      </c>
      <c r="CP86" s="93"/>
      <c r="CQ86" s="93"/>
      <c r="CR86" s="93"/>
      <c r="CS86" s="93"/>
      <c r="CT86" s="93"/>
      <c r="CU86" s="93"/>
      <c r="CV86" s="93"/>
      <c r="CW86" s="93">
        <f t="shared" si="96"/>
        <v>0</v>
      </c>
      <c r="CX86" s="93"/>
      <c r="CY86" s="93" t="str">
        <f>TEXT(Z86,"MMMM")</f>
        <v>enero</v>
      </c>
      <c r="CZ86" s="93" t="str">
        <f t="shared" si="87"/>
        <v>marzo</v>
      </c>
      <c r="DA86" s="93" t="str">
        <f t="shared" si="88"/>
        <v>marzo</v>
      </c>
      <c r="DB86" s="93" t="str">
        <f t="shared" si="89"/>
        <v>abril</v>
      </c>
      <c r="DC86" s="93" t="str">
        <f t="shared" si="97"/>
        <v>mayo</v>
      </c>
      <c r="DD86" s="93" t="str">
        <f t="shared" si="98"/>
        <v>enero</v>
      </c>
      <c r="DE86" s="93" t="str">
        <f t="shared" si="99"/>
        <v>enero</v>
      </c>
      <c r="DF86" s="93" t="str">
        <f t="shared" si="100"/>
        <v>enero</v>
      </c>
      <c r="DG86" s="93" t="str">
        <f t="shared" si="101"/>
        <v>enero</v>
      </c>
      <c r="DH86" s="93" t="str">
        <f t="shared" si="102"/>
        <v>enero</v>
      </c>
    </row>
    <row r="87" spans="1:112" s="21" customFormat="1" ht="18.75" hidden="1" customHeight="1">
      <c r="A87" s="93">
        <v>108</v>
      </c>
      <c r="B87" s="93" t="e">
        <f>VLOOKUP($A87,  'Matriz POA 2024-TRABAJO'!$A$5:$CY$9142,29,FALSE)</f>
        <v>#N/A</v>
      </c>
      <c r="C87" s="93" t="e">
        <f>VLOOKUP($A87, 'Matriz POA 2024-TRABAJO'!$A$5:$CY$9142,11,FALSE)</f>
        <v>#N/A</v>
      </c>
      <c r="D87" s="93" t="e">
        <f>VLOOKUP($A87, 'Matriz POA 2024-TRABAJO'!$A$5:$CY$9142,14,FALSE)</f>
        <v>#N/A</v>
      </c>
      <c r="E87" s="93" t="e">
        <f>VLOOKUP($A87, 'Matriz POA 2024-TRABAJO'!$A$5:$CY$9142,15,FALSE)</f>
        <v>#N/A</v>
      </c>
      <c r="F87" s="93" t="e">
        <f>VLOOKUP($A87, 'Matriz POA 2024-TRABAJO'!$A$5:$CY$9142,18,FALSE)</f>
        <v>#N/A</v>
      </c>
      <c r="G87" s="93" t="e">
        <f>VLOOKUP($A87, 'Matriz POA 2024-TRABAJO'!$A$5:$CY$9142,23,FALSE)</f>
        <v>#N/A</v>
      </c>
      <c r="H87" s="93" t="e">
        <f>VLOOKUP($A87, 'Matriz POA 2024-TRABAJO'!$A$5:$CY$9142,24,FALSE)</f>
        <v>#N/A</v>
      </c>
      <c r="I87" s="93" t="e">
        <f>VLOOKUP($A87, 'Matriz POA 2024-TRABAJO'!$A$5:$CY$9142,20,FALSE)</f>
        <v>#N/A</v>
      </c>
      <c r="J87" s="93" t="e">
        <f>VLOOKUP($A87, 'Matriz POA 2024-TRABAJO'!$A$5:$CY$9142,26,FALSE)</f>
        <v>#N/A</v>
      </c>
      <c r="K87" s="93" t="e">
        <f>VLOOKUP($A87, 'Matriz POA 2024-TRABAJO'!$A$5:$CY$9142,27,FALSE)</f>
        <v>#N/A</v>
      </c>
      <c r="L87" s="93" t="e">
        <f>VLOOKUP($A87, 'Matriz POA 2024-TRABAJO'!$A$5:$CY$9142,28,FALSE)</f>
        <v>#N/A</v>
      </c>
      <c r="M87" s="93" t="e">
        <f>VLOOKUP($A87, 'Matriz POA 2024-TRABAJO'!$A$5:$CY$9142,30,FALSE)</f>
        <v>#N/A</v>
      </c>
      <c r="N87" s="93" t="e">
        <f>VLOOKUP($A87, 'Matriz POA 2024-TRABAJO'!$A$5:$CY$9142,31,FALSE)</f>
        <v>#N/A</v>
      </c>
      <c r="O87" s="93" t="e">
        <f>VLOOKUP($A87, 'Matriz POA 2024-TRABAJO'!$A$5:$CY$9142,45,FALSE)</f>
        <v>#N/A</v>
      </c>
      <c r="P87" s="93" t="e">
        <f>VLOOKUP($A87, 'Matriz POA 2024-TRABAJO'!$A$5:$CY$9142,46,FALSE)</f>
        <v>#N/A</v>
      </c>
      <c r="Q87" s="93" t="e">
        <f>VLOOKUP($A87, 'Matriz POA 2024-TRABAJO'!$A$5:$CY$9142,47,FALSE)</f>
        <v>#N/A</v>
      </c>
      <c r="R87" s="94">
        <f t="shared" si="82"/>
        <v>5179.53</v>
      </c>
      <c r="S87" s="95" t="e">
        <f t="shared" si="83"/>
        <v>#N/A</v>
      </c>
      <c r="T87" s="93" t="e">
        <f>VLOOKUP($A87, 'Matriz POA 2024-TRABAJO'!$A$5:$CY$9142,72,FALSE)</f>
        <v>#N/A</v>
      </c>
      <c r="U87" s="93" t="e">
        <f>VLOOKUP($A87, 'Matriz POA 2024-TRABAJO'!$A$5:$CY$9142,29,FALSE)</f>
        <v>#N/A</v>
      </c>
      <c r="V87" s="94" t="str">
        <f t="shared" si="84"/>
        <v>13ar-29ar-74ar-</v>
      </c>
      <c r="W87" s="97" t="s">
        <v>1158</v>
      </c>
      <c r="X87" s="109">
        <v>45321</v>
      </c>
      <c r="Y87" s="99" t="s">
        <v>1159</v>
      </c>
      <c r="Z87" s="109">
        <v>45321</v>
      </c>
      <c r="AA87" s="98">
        <v>5179.53</v>
      </c>
      <c r="AB87" s="98"/>
      <c r="AC87" s="99">
        <f t="shared" si="90"/>
        <v>0</v>
      </c>
      <c r="AD87" s="110" t="s">
        <v>1160</v>
      </c>
      <c r="AE87" s="97" t="s">
        <v>1161</v>
      </c>
      <c r="AF87" s="101">
        <v>45356</v>
      </c>
      <c r="AG87" s="97"/>
      <c r="AH87" s="101">
        <v>45358</v>
      </c>
      <c r="AI87" s="98">
        <v>-5179.53</v>
      </c>
      <c r="AJ87" s="98"/>
      <c r="AK87" s="99">
        <f t="shared" si="85"/>
        <v>2</v>
      </c>
      <c r="AL87" s="99"/>
      <c r="AM87" s="97" t="s">
        <v>1161</v>
      </c>
      <c r="AN87" s="96">
        <v>45356</v>
      </c>
      <c r="AO87" s="97"/>
      <c r="AP87" s="101">
        <v>45358</v>
      </c>
      <c r="AQ87" s="98">
        <v>5179.53</v>
      </c>
      <c r="AR87" s="98"/>
      <c r="AS87" s="99"/>
      <c r="AT87" s="99" t="s">
        <v>1163</v>
      </c>
      <c r="AU87" s="93" t="s">
        <v>1164</v>
      </c>
      <c r="AV87" s="96">
        <v>45393</v>
      </c>
      <c r="AW87" s="93" t="s">
        <v>1165</v>
      </c>
      <c r="AX87" s="96">
        <v>45394</v>
      </c>
      <c r="AY87" s="355">
        <v>-5179.53</v>
      </c>
      <c r="AZ87" s="98">
        <v>5179.53</v>
      </c>
      <c r="BA87" s="99">
        <f t="shared" si="86"/>
        <v>1</v>
      </c>
      <c r="BB87" s="99"/>
      <c r="BC87" s="93" t="s">
        <v>1813</v>
      </c>
      <c r="BD87" s="103">
        <v>45426</v>
      </c>
      <c r="BE87" s="101" t="s">
        <v>1815</v>
      </c>
      <c r="BF87" s="103">
        <v>45427</v>
      </c>
      <c r="BG87" s="98">
        <v>-5179.53</v>
      </c>
      <c r="BH87" s="102">
        <v>5179.53</v>
      </c>
      <c r="BI87" s="93">
        <f t="shared" si="91"/>
        <v>1</v>
      </c>
      <c r="BJ87" s="93" t="s">
        <v>1814</v>
      </c>
      <c r="BK87" s="93"/>
      <c r="BL87" s="103"/>
      <c r="BM87" s="93"/>
      <c r="BN87" s="103"/>
      <c r="BO87" s="94"/>
      <c r="BP87" s="94"/>
      <c r="BQ87" s="93">
        <f t="shared" si="92"/>
        <v>0</v>
      </c>
      <c r="BR87" s="93"/>
      <c r="BS87" s="93"/>
      <c r="BT87" s="103"/>
      <c r="BU87" s="93"/>
      <c r="BV87" s="103"/>
      <c r="BW87" s="94"/>
      <c r="BX87" s="94"/>
      <c r="BY87" s="93">
        <f t="shared" si="93"/>
        <v>0</v>
      </c>
      <c r="BZ87" s="93"/>
      <c r="CA87" s="104"/>
      <c r="CB87" s="105"/>
      <c r="CC87" s="106"/>
      <c r="CD87" s="107"/>
      <c r="CE87" s="94"/>
      <c r="CF87" s="94"/>
      <c r="CG87" s="93">
        <f t="shared" si="94"/>
        <v>0</v>
      </c>
      <c r="CH87" s="93"/>
      <c r="CI87" s="106"/>
      <c r="CJ87" s="105"/>
      <c r="CK87" s="93"/>
      <c r="CL87" s="105"/>
      <c r="CM87" s="108"/>
      <c r="CN87" s="108"/>
      <c r="CO87" s="93">
        <f t="shared" si="95"/>
        <v>0</v>
      </c>
      <c r="CP87" s="93"/>
      <c r="CQ87" s="93"/>
      <c r="CR87" s="93"/>
      <c r="CS87" s="93"/>
      <c r="CT87" s="93"/>
      <c r="CU87" s="93"/>
      <c r="CV87" s="93"/>
      <c r="CW87" s="93">
        <f t="shared" si="96"/>
        <v>0</v>
      </c>
      <c r="CX87" s="93"/>
      <c r="CY87" s="93" t="str">
        <f>TEXT(X87,"MMMM")</f>
        <v>enero</v>
      </c>
      <c r="CZ87" s="93" t="str">
        <f t="shared" si="87"/>
        <v>marzo</v>
      </c>
      <c r="DA87" s="93" t="str">
        <f t="shared" si="88"/>
        <v>marzo</v>
      </c>
      <c r="DB87" s="93" t="str">
        <f t="shared" si="89"/>
        <v>abril</v>
      </c>
      <c r="DC87" s="93" t="str">
        <f t="shared" si="97"/>
        <v>mayo</v>
      </c>
      <c r="DD87" s="93" t="str">
        <f t="shared" si="98"/>
        <v>enero</v>
      </c>
      <c r="DE87" s="93" t="str">
        <f t="shared" si="99"/>
        <v>enero</v>
      </c>
      <c r="DF87" s="93" t="str">
        <f t="shared" si="100"/>
        <v>enero</v>
      </c>
      <c r="DG87" s="93" t="str">
        <f t="shared" si="101"/>
        <v>enero</v>
      </c>
      <c r="DH87" s="93" t="str">
        <f t="shared" si="102"/>
        <v>enero</v>
      </c>
    </row>
    <row r="88" spans="1:112" s="21" customFormat="1" ht="18.75" hidden="1" customHeight="1">
      <c r="A88" s="93">
        <v>109</v>
      </c>
      <c r="B88" s="93" t="e">
        <f>VLOOKUP($A88,  'Matriz POA 2024-TRABAJO'!$A$5:$CY$9142,29,FALSE)</f>
        <v>#N/A</v>
      </c>
      <c r="C88" s="93" t="e">
        <f>VLOOKUP($A88, 'Matriz POA 2024-TRABAJO'!$A$5:$CY$9142,11,FALSE)</f>
        <v>#N/A</v>
      </c>
      <c r="D88" s="93" t="e">
        <f>VLOOKUP($A88, 'Matriz POA 2024-TRABAJO'!$A$5:$CY$9142,14,FALSE)</f>
        <v>#N/A</v>
      </c>
      <c r="E88" s="93" t="e">
        <f>VLOOKUP($A88, 'Matriz POA 2024-TRABAJO'!$A$5:$CY$9142,15,FALSE)</f>
        <v>#N/A</v>
      </c>
      <c r="F88" s="93" t="e">
        <f>VLOOKUP($A88, 'Matriz POA 2024-TRABAJO'!$A$5:$CY$9142,18,FALSE)</f>
        <v>#N/A</v>
      </c>
      <c r="G88" s="93" t="e">
        <f>VLOOKUP($A88, 'Matriz POA 2024-TRABAJO'!$A$5:$CY$9142,23,FALSE)</f>
        <v>#N/A</v>
      </c>
      <c r="H88" s="93" t="e">
        <f>VLOOKUP($A88, 'Matriz POA 2024-TRABAJO'!$A$5:$CY$9142,24,FALSE)</f>
        <v>#N/A</v>
      </c>
      <c r="I88" s="93" t="e">
        <f>VLOOKUP($A88, 'Matriz POA 2024-TRABAJO'!$A$5:$CY$9142,20,FALSE)</f>
        <v>#N/A</v>
      </c>
      <c r="J88" s="93" t="e">
        <f>VLOOKUP($A88, 'Matriz POA 2024-TRABAJO'!$A$5:$CY$9142,26,FALSE)</f>
        <v>#N/A</v>
      </c>
      <c r="K88" s="93" t="e">
        <f>VLOOKUP($A88, 'Matriz POA 2024-TRABAJO'!$A$5:$CY$9142,27,FALSE)</f>
        <v>#N/A</v>
      </c>
      <c r="L88" s="93" t="e">
        <f>VLOOKUP($A88, 'Matriz POA 2024-TRABAJO'!$A$5:$CY$9142,28,FALSE)</f>
        <v>#N/A</v>
      </c>
      <c r="M88" s="93" t="e">
        <f>VLOOKUP($A88, 'Matriz POA 2024-TRABAJO'!$A$5:$CY$9142,30,FALSE)</f>
        <v>#N/A</v>
      </c>
      <c r="N88" s="93" t="e">
        <f>VLOOKUP($A88, 'Matriz POA 2024-TRABAJO'!$A$5:$CY$9142,31,FALSE)</f>
        <v>#N/A</v>
      </c>
      <c r="O88" s="93" t="e">
        <f>VLOOKUP($A88, 'Matriz POA 2024-TRABAJO'!$A$5:$CY$9142,45,FALSE)</f>
        <v>#N/A</v>
      </c>
      <c r="P88" s="93" t="e">
        <f>VLOOKUP($A88, 'Matriz POA 2024-TRABAJO'!$A$5:$CY$9142,46,FALSE)</f>
        <v>#N/A</v>
      </c>
      <c r="Q88" s="93" t="e">
        <f>VLOOKUP($A88, 'Matriz POA 2024-TRABAJO'!$A$5:$CY$9142,47,FALSE)</f>
        <v>#N/A</v>
      </c>
      <c r="R88" s="94">
        <f t="shared" si="82"/>
        <v>43047.47</v>
      </c>
      <c r="S88" s="95" t="e">
        <f t="shared" si="83"/>
        <v>#N/A</v>
      </c>
      <c r="T88" s="93" t="e">
        <f>VLOOKUP($A88, 'Matriz POA 2024-TRABAJO'!$A$5:$CY$9142,72,FALSE)</f>
        <v>#N/A</v>
      </c>
      <c r="U88" s="93" t="e">
        <f>VLOOKUP($A88, 'Matriz POA 2024-TRABAJO'!$A$5:$CY$9142,29,FALSE)</f>
        <v>#N/A</v>
      </c>
      <c r="V88" s="94" t="str">
        <f t="shared" si="84"/>
        <v>13ar-29ar-74ar-</v>
      </c>
      <c r="W88" s="97" t="s">
        <v>1158</v>
      </c>
      <c r="X88" s="109">
        <v>45321</v>
      </c>
      <c r="Y88" s="99" t="s">
        <v>1159</v>
      </c>
      <c r="Z88" s="109">
        <v>45321</v>
      </c>
      <c r="AA88" s="98">
        <v>43047.47</v>
      </c>
      <c r="AB88" s="98"/>
      <c r="AC88" s="99">
        <f t="shared" si="90"/>
        <v>0</v>
      </c>
      <c r="AD88" s="110" t="s">
        <v>1160</v>
      </c>
      <c r="AE88" s="97" t="s">
        <v>1161</v>
      </c>
      <c r="AF88" s="101">
        <v>45356</v>
      </c>
      <c r="AG88" s="97"/>
      <c r="AH88" s="101">
        <v>45358</v>
      </c>
      <c r="AI88" s="98">
        <v>-43047.47</v>
      </c>
      <c r="AJ88" s="98"/>
      <c r="AK88" s="99">
        <f t="shared" si="85"/>
        <v>2</v>
      </c>
      <c r="AL88" s="99"/>
      <c r="AM88" s="97" t="s">
        <v>1161</v>
      </c>
      <c r="AN88" s="96">
        <v>45356</v>
      </c>
      <c r="AO88" s="97"/>
      <c r="AP88" s="101">
        <v>45358</v>
      </c>
      <c r="AQ88" s="98">
        <v>43047.47</v>
      </c>
      <c r="AR88" s="98"/>
      <c r="AS88" s="99"/>
      <c r="AT88" s="99" t="s">
        <v>1163</v>
      </c>
      <c r="AU88" s="93" t="s">
        <v>1164</v>
      </c>
      <c r="AV88" s="96">
        <v>45393</v>
      </c>
      <c r="AW88" s="93" t="s">
        <v>1165</v>
      </c>
      <c r="AX88" s="96">
        <v>45394</v>
      </c>
      <c r="AY88" s="355">
        <v>-43047.47</v>
      </c>
      <c r="AZ88" s="98">
        <v>43047.47</v>
      </c>
      <c r="BA88" s="99">
        <f t="shared" si="86"/>
        <v>1</v>
      </c>
      <c r="BB88" s="99"/>
      <c r="BC88" s="93" t="s">
        <v>1813</v>
      </c>
      <c r="BD88" s="103">
        <v>45426</v>
      </c>
      <c r="BE88" s="101" t="s">
        <v>1815</v>
      </c>
      <c r="BF88" s="103">
        <v>45427</v>
      </c>
      <c r="BG88" s="98">
        <v>-43047.47</v>
      </c>
      <c r="BH88" s="102">
        <v>43047.47</v>
      </c>
      <c r="BI88" s="93">
        <f t="shared" si="91"/>
        <v>1</v>
      </c>
      <c r="BJ88" s="93" t="s">
        <v>1814</v>
      </c>
      <c r="BK88" s="93"/>
      <c r="BL88" s="103"/>
      <c r="BM88" s="93"/>
      <c r="BN88" s="103"/>
      <c r="BO88" s="94"/>
      <c r="BP88" s="94"/>
      <c r="BQ88" s="93">
        <f t="shared" si="92"/>
        <v>0</v>
      </c>
      <c r="BR88" s="93"/>
      <c r="BS88" s="93"/>
      <c r="BT88" s="103"/>
      <c r="BU88" s="93"/>
      <c r="BV88" s="103"/>
      <c r="BW88" s="94"/>
      <c r="BX88" s="94"/>
      <c r="BY88" s="93">
        <f t="shared" si="93"/>
        <v>0</v>
      </c>
      <c r="BZ88" s="93"/>
      <c r="CA88" s="104"/>
      <c r="CB88" s="105"/>
      <c r="CC88" s="106"/>
      <c r="CD88" s="107"/>
      <c r="CE88" s="94"/>
      <c r="CF88" s="94"/>
      <c r="CG88" s="93">
        <f t="shared" si="94"/>
        <v>0</v>
      </c>
      <c r="CH88" s="93"/>
      <c r="CI88" s="106"/>
      <c r="CJ88" s="105"/>
      <c r="CK88" s="93"/>
      <c r="CL88" s="105"/>
      <c r="CM88" s="108"/>
      <c r="CN88" s="108"/>
      <c r="CO88" s="93">
        <f t="shared" si="95"/>
        <v>0</v>
      </c>
      <c r="CP88" s="93"/>
      <c r="CQ88" s="93"/>
      <c r="CR88" s="93"/>
      <c r="CS88" s="93"/>
      <c r="CT88" s="93"/>
      <c r="CU88" s="93"/>
      <c r="CV88" s="93"/>
      <c r="CW88" s="93">
        <f t="shared" si="96"/>
        <v>0</v>
      </c>
      <c r="CX88" s="93"/>
      <c r="CY88" s="93" t="str">
        <f>TEXT(X88,"MMMM")</f>
        <v>enero</v>
      </c>
      <c r="CZ88" s="93" t="str">
        <f t="shared" si="87"/>
        <v>marzo</v>
      </c>
      <c r="DA88" s="93" t="str">
        <f t="shared" si="88"/>
        <v>marzo</v>
      </c>
      <c r="DB88" s="93" t="str">
        <f t="shared" si="89"/>
        <v>abril</v>
      </c>
      <c r="DC88" s="93" t="str">
        <f t="shared" si="97"/>
        <v>mayo</v>
      </c>
      <c r="DD88" s="93" t="str">
        <f t="shared" si="98"/>
        <v>enero</v>
      </c>
      <c r="DE88" s="93" t="str">
        <f t="shared" si="99"/>
        <v>enero</v>
      </c>
      <c r="DF88" s="93" t="str">
        <f t="shared" si="100"/>
        <v>enero</v>
      </c>
      <c r="DG88" s="93" t="str">
        <f t="shared" si="101"/>
        <v>enero</v>
      </c>
      <c r="DH88" s="93" t="str">
        <f t="shared" si="102"/>
        <v>enero</v>
      </c>
    </row>
    <row r="89" spans="1:112" ht="15" hidden="1" customHeight="1">
      <c r="A89" s="93">
        <v>110</v>
      </c>
      <c r="B89" s="93" t="e">
        <f>VLOOKUP($A89,  'Matriz POA 2024-TRABAJO'!$A$5:$CY$9142,29,FALSE)</f>
        <v>#N/A</v>
      </c>
      <c r="C89" s="93" t="e">
        <f>VLOOKUP($A89, 'Matriz POA 2024-TRABAJO'!$A$5:$CY$9142,11,FALSE)</f>
        <v>#N/A</v>
      </c>
      <c r="D89" s="93" t="e">
        <f>VLOOKUP($A89, 'Matriz POA 2024-TRABAJO'!$A$5:$CY$9142,14,FALSE)</f>
        <v>#N/A</v>
      </c>
      <c r="E89" s="93" t="e">
        <f>VLOOKUP($A89, 'Matriz POA 2024-TRABAJO'!$A$5:$CY$9142,15,FALSE)</f>
        <v>#N/A</v>
      </c>
      <c r="F89" s="93" t="e">
        <f>VLOOKUP($A89, 'Matriz POA 2024-TRABAJO'!$A$5:$CY$9142,18,FALSE)</f>
        <v>#N/A</v>
      </c>
      <c r="G89" s="93" t="e">
        <f>VLOOKUP($A89, 'Matriz POA 2024-TRABAJO'!$A$5:$CY$9142,23,FALSE)</f>
        <v>#N/A</v>
      </c>
      <c r="H89" s="93" t="e">
        <f>VLOOKUP($A89, 'Matriz POA 2024-TRABAJO'!$A$5:$CY$9142,24,FALSE)</f>
        <v>#N/A</v>
      </c>
      <c r="I89" s="93" t="e">
        <f>VLOOKUP($A89, 'Matriz POA 2024-TRABAJO'!$A$5:$CY$9142,20,FALSE)</f>
        <v>#N/A</v>
      </c>
      <c r="J89" s="93" t="e">
        <f>VLOOKUP($A89, 'Matriz POA 2024-TRABAJO'!$A$5:$CY$9142,26,FALSE)</f>
        <v>#N/A</v>
      </c>
      <c r="K89" s="93" t="e">
        <f>VLOOKUP($A89, 'Matriz POA 2024-TRABAJO'!$A$5:$CY$9142,27,FALSE)</f>
        <v>#N/A</v>
      </c>
      <c r="L89" s="93" t="e">
        <f>VLOOKUP($A89, 'Matriz POA 2024-TRABAJO'!$A$5:$CY$9142,28,FALSE)</f>
        <v>#N/A</v>
      </c>
      <c r="M89" s="93" t="e">
        <f>VLOOKUP($A89, 'Matriz POA 2024-TRABAJO'!$A$5:$CY$9142,30,FALSE)</f>
        <v>#N/A</v>
      </c>
      <c r="N89" s="93" t="e">
        <f>VLOOKUP($A89, 'Matriz POA 2024-TRABAJO'!$A$5:$CY$9142,31,FALSE)</f>
        <v>#N/A</v>
      </c>
      <c r="O89" s="93" t="e">
        <f>VLOOKUP($A89, 'Matriz POA 2024-TRABAJO'!$A$5:$CY$9142,45,FALSE)</f>
        <v>#N/A</v>
      </c>
      <c r="P89" s="93" t="e">
        <f>VLOOKUP($A89, 'Matriz POA 2024-TRABAJO'!$A$5:$CY$9142,46,FALSE)</f>
        <v>#N/A</v>
      </c>
      <c r="Q89" s="93" t="e">
        <f>VLOOKUP($A89, 'Matriz POA 2024-TRABAJO'!$A$5:$CY$9142,47,FALSE)</f>
        <v>#N/A</v>
      </c>
      <c r="R89" s="94">
        <f t="shared" si="82"/>
        <v>29883.42</v>
      </c>
      <c r="S89" s="95" t="e">
        <f t="shared" si="83"/>
        <v>#N/A</v>
      </c>
      <c r="T89" s="93" t="e">
        <f>VLOOKUP($A89, 'Matriz POA 2024-TRABAJO'!$A$5:$CY$9142,72,FALSE)</f>
        <v>#N/A</v>
      </c>
      <c r="U89" s="93" t="e">
        <f>VLOOKUP($A89, 'Matriz POA 2024-TRABAJO'!$A$5:$CY$9142,29,FALSE)</f>
        <v>#N/A</v>
      </c>
      <c r="V89" s="94" t="str">
        <f t="shared" si="84"/>
        <v>13ar-29ar-74ar-</v>
      </c>
      <c r="W89" s="97" t="s">
        <v>1158</v>
      </c>
      <c r="X89" s="109">
        <v>45321</v>
      </c>
      <c r="Y89" s="99" t="s">
        <v>1159</v>
      </c>
      <c r="Z89" s="109">
        <v>45321</v>
      </c>
      <c r="AA89" s="98">
        <v>29883.42</v>
      </c>
      <c r="AB89" s="98"/>
      <c r="AC89" s="99">
        <f t="shared" si="90"/>
        <v>0</v>
      </c>
      <c r="AD89" s="110" t="s">
        <v>1160</v>
      </c>
      <c r="AE89" s="97" t="s">
        <v>1161</v>
      </c>
      <c r="AF89" s="101">
        <v>45356</v>
      </c>
      <c r="AG89" s="97"/>
      <c r="AH89" s="101">
        <v>45358</v>
      </c>
      <c r="AI89" s="98">
        <v>-29883.42</v>
      </c>
      <c r="AJ89" s="98"/>
      <c r="AK89" s="99">
        <f t="shared" si="85"/>
        <v>2</v>
      </c>
      <c r="AL89" s="99"/>
      <c r="AM89" s="97" t="s">
        <v>1161</v>
      </c>
      <c r="AN89" s="96">
        <v>45356</v>
      </c>
      <c r="AO89" s="97"/>
      <c r="AP89" s="101">
        <v>45358</v>
      </c>
      <c r="AQ89" s="98">
        <v>29883.42</v>
      </c>
      <c r="AR89" s="98"/>
      <c r="AS89" s="99"/>
      <c r="AT89" s="99" t="s">
        <v>1163</v>
      </c>
      <c r="AU89" s="93" t="s">
        <v>1164</v>
      </c>
      <c r="AV89" s="96">
        <v>45393</v>
      </c>
      <c r="AW89" s="93" t="s">
        <v>1165</v>
      </c>
      <c r="AX89" s="96">
        <v>45394</v>
      </c>
      <c r="AY89" s="355">
        <v>-29883.42</v>
      </c>
      <c r="AZ89" s="98">
        <v>29883.42</v>
      </c>
      <c r="BA89" s="99">
        <f t="shared" si="86"/>
        <v>1</v>
      </c>
      <c r="BB89" s="99"/>
      <c r="BC89" s="93" t="s">
        <v>1813</v>
      </c>
      <c r="BD89" s="103">
        <v>45426</v>
      </c>
      <c r="BE89" s="101" t="s">
        <v>1815</v>
      </c>
      <c r="BF89" s="103">
        <v>45427</v>
      </c>
      <c r="BG89" s="98">
        <v>-29883.42</v>
      </c>
      <c r="BH89" s="102">
        <v>29883.42</v>
      </c>
      <c r="BI89" s="93">
        <f t="shared" si="91"/>
        <v>1</v>
      </c>
      <c r="BJ89" s="93" t="s">
        <v>1814</v>
      </c>
      <c r="BK89" s="93"/>
      <c r="BL89" s="103"/>
      <c r="BM89" s="93"/>
      <c r="BN89" s="103"/>
      <c r="BO89" s="94"/>
      <c r="BP89" s="94"/>
      <c r="BQ89" s="93">
        <f t="shared" si="92"/>
        <v>0</v>
      </c>
      <c r="BR89" s="93"/>
      <c r="BS89" s="93"/>
      <c r="BT89" s="103"/>
      <c r="BU89" s="93"/>
      <c r="BV89" s="103"/>
      <c r="BW89" s="94"/>
      <c r="BX89" s="94"/>
      <c r="BY89" s="93">
        <f t="shared" si="93"/>
        <v>0</v>
      </c>
      <c r="BZ89" s="93"/>
      <c r="CA89" s="104"/>
      <c r="CB89" s="105"/>
      <c r="CC89" s="106"/>
      <c r="CD89" s="107"/>
      <c r="CE89" s="94"/>
      <c r="CF89" s="94"/>
      <c r="CG89" s="93">
        <f t="shared" si="94"/>
        <v>0</v>
      </c>
      <c r="CH89" s="93"/>
      <c r="CI89" s="106"/>
      <c r="CJ89" s="105"/>
      <c r="CK89" s="93"/>
      <c r="CL89" s="105"/>
      <c r="CM89" s="108"/>
      <c r="CN89" s="108"/>
      <c r="CO89" s="93">
        <f t="shared" si="95"/>
        <v>0</v>
      </c>
      <c r="CP89" s="93"/>
      <c r="CQ89" s="93"/>
      <c r="CR89" s="93"/>
      <c r="CS89" s="93"/>
      <c r="CT89" s="93"/>
      <c r="CU89" s="93"/>
      <c r="CV89" s="93"/>
      <c r="CW89" s="93">
        <f t="shared" si="96"/>
        <v>0</v>
      </c>
      <c r="CX89" s="93"/>
      <c r="CY89" s="93" t="str">
        <f>TEXT(X89,"MMMM")</f>
        <v>enero</v>
      </c>
      <c r="CZ89" s="93" t="str">
        <f t="shared" si="87"/>
        <v>marzo</v>
      </c>
      <c r="DA89" s="93" t="str">
        <f t="shared" si="88"/>
        <v>marzo</v>
      </c>
      <c r="DB89" s="93" t="str">
        <f t="shared" si="89"/>
        <v>abril</v>
      </c>
      <c r="DC89" s="93" t="str">
        <f t="shared" si="97"/>
        <v>mayo</v>
      </c>
      <c r="DD89" s="93" t="str">
        <f t="shared" si="98"/>
        <v>enero</v>
      </c>
      <c r="DE89" s="93" t="str">
        <f t="shared" si="99"/>
        <v>enero</v>
      </c>
      <c r="DF89" s="93" t="str">
        <f t="shared" si="100"/>
        <v>enero</v>
      </c>
      <c r="DG89" s="93" t="str">
        <f t="shared" si="101"/>
        <v>enero</v>
      </c>
      <c r="DH89" s="93" t="str">
        <f t="shared" si="102"/>
        <v>enero</v>
      </c>
    </row>
    <row r="90" spans="1:112" s="21" customFormat="1" ht="26.45" hidden="1" customHeight="1">
      <c r="A90" s="93">
        <v>112</v>
      </c>
      <c r="B90" s="93" t="e">
        <f>VLOOKUP($A90,  'Matriz POA 2024-TRABAJO'!$A$5:$CY$9142,29,FALSE)</f>
        <v>#N/A</v>
      </c>
      <c r="C90" s="93" t="e">
        <f>VLOOKUP($A90, 'Matriz POA 2024-TRABAJO'!$A$5:$CY$9142,11,FALSE)</f>
        <v>#N/A</v>
      </c>
      <c r="D90" s="93" t="e">
        <f>VLOOKUP($A90, 'Matriz POA 2024-TRABAJO'!$A$5:$CY$9142,14,FALSE)</f>
        <v>#N/A</v>
      </c>
      <c r="E90" s="93" t="e">
        <f>VLOOKUP($A90, 'Matriz POA 2024-TRABAJO'!$A$5:$CY$9142,15,FALSE)</f>
        <v>#N/A</v>
      </c>
      <c r="F90" s="93" t="e">
        <f>VLOOKUP($A90, 'Matriz POA 2024-TRABAJO'!$A$5:$CY$9142,18,FALSE)</f>
        <v>#N/A</v>
      </c>
      <c r="G90" s="93" t="e">
        <f>VLOOKUP($A90, 'Matriz POA 2024-TRABAJO'!$A$5:$CY$9142,23,FALSE)</f>
        <v>#N/A</v>
      </c>
      <c r="H90" s="93" t="e">
        <f>VLOOKUP($A90, 'Matriz POA 2024-TRABAJO'!$A$5:$CY$9142,24,FALSE)</f>
        <v>#N/A</v>
      </c>
      <c r="I90" s="93" t="e">
        <f>VLOOKUP($A90, 'Matriz POA 2024-TRABAJO'!$A$5:$CY$9142,20,FALSE)</f>
        <v>#N/A</v>
      </c>
      <c r="J90" s="93" t="e">
        <f>VLOOKUP($A90, 'Matriz POA 2024-TRABAJO'!$A$5:$CY$9142,26,FALSE)</f>
        <v>#N/A</v>
      </c>
      <c r="K90" s="93" t="e">
        <f>VLOOKUP($A90, 'Matriz POA 2024-TRABAJO'!$A$5:$CY$9142,27,FALSE)</f>
        <v>#N/A</v>
      </c>
      <c r="L90" s="93" t="e">
        <f>VLOOKUP($A90, 'Matriz POA 2024-TRABAJO'!$A$5:$CY$9142,28,FALSE)</f>
        <v>#N/A</v>
      </c>
      <c r="M90" s="93" t="e">
        <f>VLOOKUP($A90, 'Matriz POA 2024-TRABAJO'!$A$5:$CY$9142,30,FALSE)</f>
        <v>#N/A</v>
      </c>
      <c r="N90" s="93" t="e">
        <f>VLOOKUP($A90, 'Matriz POA 2024-TRABAJO'!$A$5:$CY$9142,31,FALSE)</f>
        <v>#N/A</v>
      </c>
      <c r="O90" s="93" t="e">
        <f>VLOOKUP($A90, 'Matriz POA 2024-TRABAJO'!$A$5:$CY$9142,45,FALSE)</f>
        <v>#N/A</v>
      </c>
      <c r="P90" s="93" t="e">
        <f>VLOOKUP($A90, 'Matriz POA 2024-TRABAJO'!$A$5:$CY$9142,46,FALSE)</f>
        <v>#N/A</v>
      </c>
      <c r="Q90" s="93" t="e">
        <f>VLOOKUP($A90, 'Matriz POA 2024-TRABAJO'!$A$5:$CY$9142,47,FALSE)</f>
        <v>#N/A</v>
      </c>
      <c r="R90" s="94">
        <f t="shared" si="82"/>
        <v>48303.06</v>
      </c>
      <c r="S90" s="95" t="e">
        <f t="shared" si="83"/>
        <v>#N/A</v>
      </c>
      <c r="T90" s="93" t="e">
        <f>VLOOKUP($A90, 'Matriz POA 2024-TRABAJO'!$A$5:$CY$9142,72,FALSE)</f>
        <v>#N/A</v>
      </c>
      <c r="U90" s="93" t="e">
        <f>VLOOKUP($A90, 'Matriz POA 2024-TRABAJO'!$A$5:$CY$9142,29,FALSE)</f>
        <v>#N/A</v>
      </c>
      <c r="V90" s="94" t="str">
        <f t="shared" si="84"/>
        <v>13ar-29ar-74ar-</v>
      </c>
      <c r="W90" s="97" t="s">
        <v>1158</v>
      </c>
      <c r="X90" s="109">
        <v>45321</v>
      </c>
      <c r="Y90" s="99" t="s">
        <v>1159</v>
      </c>
      <c r="Z90" s="109">
        <v>45321</v>
      </c>
      <c r="AA90" s="98">
        <v>48303.06</v>
      </c>
      <c r="AB90" s="98"/>
      <c r="AC90" s="99">
        <f t="shared" si="90"/>
        <v>0</v>
      </c>
      <c r="AD90" s="110" t="s">
        <v>1160</v>
      </c>
      <c r="AE90" s="97" t="s">
        <v>1161</v>
      </c>
      <c r="AF90" s="101">
        <v>45356</v>
      </c>
      <c r="AG90" s="97"/>
      <c r="AH90" s="101">
        <v>45358</v>
      </c>
      <c r="AI90" s="98">
        <v>-48303.06</v>
      </c>
      <c r="AJ90" s="98"/>
      <c r="AK90" s="99">
        <f t="shared" si="85"/>
        <v>2</v>
      </c>
      <c r="AL90" s="99"/>
      <c r="AM90" s="97" t="s">
        <v>1161</v>
      </c>
      <c r="AN90" s="96">
        <v>45356</v>
      </c>
      <c r="AO90" s="97"/>
      <c r="AP90" s="101">
        <v>45358</v>
      </c>
      <c r="AQ90" s="98">
        <v>48303.06</v>
      </c>
      <c r="AR90" s="98"/>
      <c r="AS90" s="99"/>
      <c r="AT90" s="99" t="s">
        <v>1163</v>
      </c>
      <c r="AU90" s="93" t="s">
        <v>1164</v>
      </c>
      <c r="AV90" s="96">
        <v>45393</v>
      </c>
      <c r="AW90" s="93" t="s">
        <v>1165</v>
      </c>
      <c r="AX90" s="96">
        <v>45394</v>
      </c>
      <c r="AY90" s="355">
        <v>-48303.06</v>
      </c>
      <c r="AZ90" s="98">
        <v>48303.06</v>
      </c>
      <c r="BA90" s="99">
        <f t="shared" si="86"/>
        <v>1</v>
      </c>
      <c r="BB90" s="99"/>
      <c r="BC90" s="93" t="s">
        <v>1813</v>
      </c>
      <c r="BD90" s="103">
        <v>45426</v>
      </c>
      <c r="BE90" s="101" t="s">
        <v>1815</v>
      </c>
      <c r="BF90" s="103">
        <v>45427</v>
      </c>
      <c r="BG90" s="98">
        <v>-48303.06</v>
      </c>
      <c r="BH90" s="102">
        <v>48303.06</v>
      </c>
      <c r="BI90" s="93">
        <f t="shared" si="91"/>
        <v>1</v>
      </c>
      <c r="BJ90" s="93" t="s">
        <v>1814</v>
      </c>
      <c r="BK90" s="93"/>
      <c r="BL90" s="103"/>
      <c r="BM90" s="93"/>
      <c r="BN90" s="103"/>
      <c r="BO90" s="94"/>
      <c r="BP90" s="94"/>
      <c r="BQ90" s="93">
        <f t="shared" si="92"/>
        <v>0</v>
      </c>
      <c r="BR90" s="93"/>
      <c r="BS90" s="93"/>
      <c r="BT90" s="103"/>
      <c r="BU90" s="93"/>
      <c r="BV90" s="103"/>
      <c r="BW90" s="94"/>
      <c r="BX90" s="94"/>
      <c r="BY90" s="93">
        <f t="shared" si="93"/>
        <v>0</v>
      </c>
      <c r="BZ90" s="93"/>
      <c r="CA90" s="104"/>
      <c r="CB90" s="105"/>
      <c r="CC90" s="106"/>
      <c r="CD90" s="107"/>
      <c r="CE90" s="94"/>
      <c r="CF90" s="94"/>
      <c r="CG90" s="93">
        <f t="shared" si="94"/>
        <v>0</v>
      </c>
      <c r="CH90" s="93"/>
      <c r="CI90" s="106"/>
      <c r="CJ90" s="105"/>
      <c r="CK90" s="93"/>
      <c r="CL90" s="105"/>
      <c r="CM90" s="108"/>
      <c r="CN90" s="108"/>
      <c r="CO90" s="93">
        <f t="shared" si="95"/>
        <v>0</v>
      </c>
      <c r="CP90" s="93"/>
      <c r="CQ90" s="93"/>
      <c r="CR90" s="93"/>
      <c r="CS90" s="93"/>
      <c r="CT90" s="93"/>
      <c r="CU90" s="93"/>
      <c r="CV90" s="93"/>
      <c r="CW90" s="93">
        <f t="shared" si="96"/>
        <v>0</v>
      </c>
      <c r="CX90" s="93"/>
      <c r="CY90" s="93" t="str">
        <f>TEXT(Z90,"MMMM")</f>
        <v>enero</v>
      </c>
      <c r="CZ90" s="93" t="str">
        <f t="shared" si="87"/>
        <v>marzo</v>
      </c>
      <c r="DA90" s="93" t="str">
        <f t="shared" si="88"/>
        <v>marzo</v>
      </c>
      <c r="DB90" s="93" t="str">
        <f t="shared" si="89"/>
        <v>abril</v>
      </c>
      <c r="DC90" s="93" t="str">
        <f t="shared" si="97"/>
        <v>mayo</v>
      </c>
      <c r="DD90" s="93" t="str">
        <f t="shared" si="98"/>
        <v>enero</v>
      </c>
      <c r="DE90" s="93" t="str">
        <f t="shared" si="99"/>
        <v>enero</v>
      </c>
      <c r="DF90" s="93" t="str">
        <f t="shared" si="100"/>
        <v>enero</v>
      </c>
      <c r="DG90" s="93" t="str">
        <f t="shared" si="101"/>
        <v>enero</v>
      </c>
      <c r="DH90" s="93" t="str">
        <f t="shared" si="102"/>
        <v>enero</v>
      </c>
    </row>
    <row r="91" spans="1:112" s="21" customFormat="1" ht="18.75" hidden="1" customHeight="1">
      <c r="A91" s="93">
        <v>113</v>
      </c>
      <c r="B91" s="93" t="e">
        <f>VLOOKUP($A91,  'Matriz POA 2024-TRABAJO'!$A$5:$CY$9142,29,FALSE)</f>
        <v>#N/A</v>
      </c>
      <c r="C91" s="93" t="e">
        <f>VLOOKUP($A91, 'Matriz POA 2024-TRABAJO'!$A$5:$CY$9142,11,FALSE)</f>
        <v>#N/A</v>
      </c>
      <c r="D91" s="93" t="e">
        <f>VLOOKUP($A91, 'Matriz POA 2024-TRABAJO'!$A$5:$CY$9142,14,FALSE)</f>
        <v>#N/A</v>
      </c>
      <c r="E91" s="93" t="e">
        <f>VLOOKUP($A91, 'Matriz POA 2024-TRABAJO'!$A$5:$CY$9142,15,FALSE)</f>
        <v>#N/A</v>
      </c>
      <c r="F91" s="93" t="e">
        <f>VLOOKUP($A91, 'Matriz POA 2024-TRABAJO'!$A$5:$CY$9142,18,FALSE)</f>
        <v>#N/A</v>
      </c>
      <c r="G91" s="93" t="e">
        <f>VLOOKUP($A91, 'Matriz POA 2024-TRABAJO'!$A$5:$CY$9142,23,FALSE)</f>
        <v>#N/A</v>
      </c>
      <c r="H91" s="93" t="e">
        <f>VLOOKUP($A91, 'Matriz POA 2024-TRABAJO'!$A$5:$CY$9142,24,FALSE)</f>
        <v>#N/A</v>
      </c>
      <c r="I91" s="93" t="e">
        <f>VLOOKUP($A91, 'Matriz POA 2024-TRABAJO'!$A$5:$CY$9142,20,FALSE)</f>
        <v>#N/A</v>
      </c>
      <c r="J91" s="93" t="e">
        <f>VLOOKUP($A91, 'Matriz POA 2024-TRABAJO'!$A$5:$CY$9142,26,FALSE)</f>
        <v>#N/A</v>
      </c>
      <c r="K91" s="93" t="e">
        <f>VLOOKUP($A91, 'Matriz POA 2024-TRABAJO'!$A$5:$CY$9142,27,FALSE)</f>
        <v>#N/A</v>
      </c>
      <c r="L91" s="93" t="e">
        <f>VLOOKUP($A91, 'Matriz POA 2024-TRABAJO'!$A$5:$CY$9142,28,FALSE)</f>
        <v>#N/A</v>
      </c>
      <c r="M91" s="93" t="e">
        <f>VLOOKUP($A91, 'Matriz POA 2024-TRABAJO'!$A$5:$CY$9142,30,FALSE)</f>
        <v>#N/A</v>
      </c>
      <c r="N91" s="93" t="e">
        <f>VLOOKUP($A91, 'Matriz POA 2024-TRABAJO'!$A$5:$CY$9142,31,FALSE)</f>
        <v>#N/A</v>
      </c>
      <c r="O91" s="93" t="e">
        <f>VLOOKUP($A91, 'Matriz POA 2024-TRABAJO'!$A$5:$CY$9142,45,FALSE)</f>
        <v>#N/A</v>
      </c>
      <c r="P91" s="93" t="e">
        <f>VLOOKUP($A91, 'Matriz POA 2024-TRABAJO'!$A$5:$CY$9142,46,FALSE)</f>
        <v>#N/A</v>
      </c>
      <c r="Q91" s="93" t="e">
        <f>VLOOKUP($A91, 'Matriz POA 2024-TRABAJO'!$A$5:$CY$9142,47,FALSE)</f>
        <v>#N/A</v>
      </c>
      <c r="R91" s="94">
        <f t="shared" si="82"/>
        <v>49200</v>
      </c>
      <c r="S91" s="95" t="e">
        <f t="shared" si="83"/>
        <v>#N/A</v>
      </c>
      <c r="T91" s="93" t="e">
        <f>VLOOKUP($A91, 'Matriz POA 2024-TRABAJO'!$A$5:$CY$9142,72,FALSE)</f>
        <v>#N/A</v>
      </c>
      <c r="U91" s="93" t="e">
        <f>VLOOKUP($A91, 'Matriz POA 2024-TRABAJO'!$A$5:$CY$9142,29,FALSE)</f>
        <v>#N/A</v>
      </c>
      <c r="V91" s="94" t="str">
        <f t="shared" si="84"/>
        <v>13ar-29ar-74ar-</v>
      </c>
      <c r="W91" s="97" t="s">
        <v>1158</v>
      </c>
      <c r="X91" s="109">
        <v>45321</v>
      </c>
      <c r="Y91" s="99" t="s">
        <v>1159</v>
      </c>
      <c r="Z91" s="109">
        <v>45321</v>
      </c>
      <c r="AA91" s="98">
        <v>49200</v>
      </c>
      <c r="AB91" s="98"/>
      <c r="AC91" s="99">
        <f t="shared" si="90"/>
        <v>0</v>
      </c>
      <c r="AD91" s="110" t="s">
        <v>1160</v>
      </c>
      <c r="AE91" s="97" t="s">
        <v>1161</v>
      </c>
      <c r="AF91" s="101">
        <v>45356</v>
      </c>
      <c r="AG91" s="97"/>
      <c r="AH91" s="101">
        <v>45358</v>
      </c>
      <c r="AI91" s="98">
        <v>-49200</v>
      </c>
      <c r="AJ91" s="98"/>
      <c r="AK91" s="99">
        <f t="shared" si="85"/>
        <v>2</v>
      </c>
      <c r="AL91" s="99"/>
      <c r="AM91" s="97" t="s">
        <v>1161</v>
      </c>
      <c r="AN91" s="96">
        <v>45356</v>
      </c>
      <c r="AO91" s="97"/>
      <c r="AP91" s="101">
        <v>45358</v>
      </c>
      <c r="AQ91" s="98">
        <v>49200</v>
      </c>
      <c r="AR91" s="98"/>
      <c r="AS91" s="99"/>
      <c r="AT91" s="99" t="s">
        <v>1163</v>
      </c>
      <c r="AU91" s="93" t="s">
        <v>1164</v>
      </c>
      <c r="AV91" s="96">
        <v>45393</v>
      </c>
      <c r="AW91" s="93" t="s">
        <v>1165</v>
      </c>
      <c r="AX91" s="96">
        <v>45394</v>
      </c>
      <c r="AY91" s="355">
        <v>-49200</v>
      </c>
      <c r="AZ91" s="98">
        <v>49200</v>
      </c>
      <c r="BA91" s="99">
        <f t="shared" si="86"/>
        <v>1</v>
      </c>
      <c r="BB91" s="99"/>
      <c r="BC91" s="93" t="s">
        <v>1813</v>
      </c>
      <c r="BD91" s="103">
        <v>45426</v>
      </c>
      <c r="BE91" s="101" t="s">
        <v>1815</v>
      </c>
      <c r="BF91" s="103">
        <v>45427</v>
      </c>
      <c r="BG91" s="98">
        <v>-49200</v>
      </c>
      <c r="BH91" s="102">
        <v>49200</v>
      </c>
      <c r="BI91" s="93">
        <f t="shared" si="91"/>
        <v>1</v>
      </c>
      <c r="BJ91" s="93" t="s">
        <v>1814</v>
      </c>
      <c r="BK91" s="93"/>
      <c r="BL91" s="103"/>
      <c r="BM91" s="93"/>
      <c r="BN91" s="103"/>
      <c r="BO91" s="94"/>
      <c r="BP91" s="94"/>
      <c r="BQ91" s="93">
        <f t="shared" si="92"/>
        <v>0</v>
      </c>
      <c r="BR91" s="93"/>
      <c r="BS91" s="93"/>
      <c r="BT91" s="103"/>
      <c r="BU91" s="93"/>
      <c r="BV91" s="103"/>
      <c r="BW91" s="94"/>
      <c r="BX91" s="94"/>
      <c r="BY91" s="93">
        <f t="shared" si="93"/>
        <v>0</v>
      </c>
      <c r="BZ91" s="93"/>
      <c r="CA91" s="104"/>
      <c r="CB91" s="105"/>
      <c r="CC91" s="106"/>
      <c r="CD91" s="107"/>
      <c r="CE91" s="94"/>
      <c r="CF91" s="94"/>
      <c r="CG91" s="93">
        <f t="shared" si="94"/>
        <v>0</v>
      </c>
      <c r="CH91" s="93"/>
      <c r="CI91" s="106"/>
      <c r="CJ91" s="105"/>
      <c r="CK91" s="93"/>
      <c r="CL91" s="105"/>
      <c r="CM91" s="108"/>
      <c r="CN91" s="108"/>
      <c r="CO91" s="93">
        <f t="shared" si="95"/>
        <v>0</v>
      </c>
      <c r="CP91" s="93"/>
      <c r="CQ91" s="93"/>
      <c r="CR91" s="93"/>
      <c r="CS91" s="93"/>
      <c r="CT91" s="93"/>
      <c r="CU91" s="93"/>
      <c r="CV91" s="93"/>
      <c r="CW91" s="93">
        <f t="shared" si="96"/>
        <v>0</v>
      </c>
      <c r="CX91" s="93"/>
      <c r="CY91" s="93" t="str">
        <f>TEXT(X91,"MMMM")</f>
        <v>enero</v>
      </c>
      <c r="CZ91" s="93" t="str">
        <f t="shared" si="87"/>
        <v>marzo</v>
      </c>
      <c r="DA91" s="93" t="str">
        <f t="shared" si="88"/>
        <v>marzo</v>
      </c>
      <c r="DB91" s="93" t="str">
        <f t="shared" si="89"/>
        <v>abril</v>
      </c>
      <c r="DC91" s="93" t="str">
        <f t="shared" si="97"/>
        <v>mayo</v>
      </c>
      <c r="DD91" s="93" t="str">
        <f t="shared" si="98"/>
        <v>enero</v>
      </c>
      <c r="DE91" s="93" t="str">
        <f t="shared" si="99"/>
        <v>enero</v>
      </c>
      <c r="DF91" s="93" t="str">
        <f t="shared" si="100"/>
        <v>enero</v>
      </c>
      <c r="DG91" s="93" t="str">
        <f t="shared" si="101"/>
        <v>enero</v>
      </c>
      <c r="DH91" s="93" t="str">
        <f t="shared" si="102"/>
        <v>enero</v>
      </c>
    </row>
    <row r="92" spans="1:112" s="21" customFormat="1" ht="18.75" hidden="1" customHeight="1">
      <c r="A92" s="93">
        <v>114</v>
      </c>
      <c r="B92" s="93" t="e">
        <f>VLOOKUP($A92,  'Matriz POA 2024-TRABAJO'!$A$5:$CY$9142,29,FALSE)</f>
        <v>#N/A</v>
      </c>
      <c r="C92" s="93" t="e">
        <f>VLOOKUP($A92, 'Matriz POA 2024-TRABAJO'!$A$5:$CY$9142,11,FALSE)</f>
        <v>#N/A</v>
      </c>
      <c r="D92" s="93" t="e">
        <f>VLOOKUP($A92, 'Matriz POA 2024-TRABAJO'!$A$5:$CY$9142,14,FALSE)</f>
        <v>#N/A</v>
      </c>
      <c r="E92" s="93" t="e">
        <f>VLOOKUP($A92, 'Matriz POA 2024-TRABAJO'!$A$5:$CY$9142,15,FALSE)</f>
        <v>#N/A</v>
      </c>
      <c r="F92" s="93" t="e">
        <f>VLOOKUP($A92, 'Matriz POA 2024-TRABAJO'!$A$5:$CY$9142,18,FALSE)</f>
        <v>#N/A</v>
      </c>
      <c r="G92" s="93" t="e">
        <f>VLOOKUP($A92, 'Matriz POA 2024-TRABAJO'!$A$5:$CY$9142,23,FALSE)</f>
        <v>#N/A</v>
      </c>
      <c r="H92" s="93" t="e">
        <f>VLOOKUP($A92, 'Matriz POA 2024-TRABAJO'!$A$5:$CY$9142,24,FALSE)</f>
        <v>#N/A</v>
      </c>
      <c r="I92" s="93" t="e">
        <f>VLOOKUP($A92, 'Matriz POA 2024-TRABAJO'!$A$5:$CY$9142,20,FALSE)</f>
        <v>#N/A</v>
      </c>
      <c r="J92" s="93" t="e">
        <f>VLOOKUP($A92, 'Matriz POA 2024-TRABAJO'!$A$5:$CY$9142,26,FALSE)</f>
        <v>#N/A</v>
      </c>
      <c r="K92" s="93" t="e">
        <f>VLOOKUP($A92, 'Matriz POA 2024-TRABAJO'!$A$5:$CY$9142,27,FALSE)</f>
        <v>#N/A</v>
      </c>
      <c r="L92" s="93" t="e">
        <f>VLOOKUP($A92, 'Matriz POA 2024-TRABAJO'!$A$5:$CY$9142,28,FALSE)</f>
        <v>#N/A</v>
      </c>
      <c r="M92" s="93" t="e">
        <f>VLOOKUP($A92, 'Matriz POA 2024-TRABAJO'!$A$5:$CY$9142,30,FALSE)</f>
        <v>#N/A</v>
      </c>
      <c r="N92" s="93" t="e">
        <f>VLOOKUP($A92, 'Matriz POA 2024-TRABAJO'!$A$5:$CY$9142,31,FALSE)</f>
        <v>#N/A</v>
      </c>
      <c r="O92" s="93" t="e">
        <f>VLOOKUP($A92, 'Matriz POA 2024-TRABAJO'!$A$5:$CY$9142,45,FALSE)</f>
        <v>#N/A</v>
      </c>
      <c r="P92" s="93" t="e">
        <f>VLOOKUP($A92, 'Matriz POA 2024-TRABAJO'!$A$5:$CY$9142,46,FALSE)</f>
        <v>#N/A</v>
      </c>
      <c r="Q92" s="93" t="e">
        <f>VLOOKUP($A92, 'Matriz POA 2024-TRABAJO'!$A$5:$CY$9142,47,FALSE)</f>
        <v>#N/A</v>
      </c>
      <c r="R92" s="94">
        <f t="shared" si="82"/>
        <v>8219.08</v>
      </c>
      <c r="S92" s="95" t="e">
        <f t="shared" si="83"/>
        <v>#N/A</v>
      </c>
      <c r="T92" s="93" t="e">
        <f>VLOOKUP($A92, 'Matriz POA 2024-TRABAJO'!$A$5:$CY$9142,72,FALSE)</f>
        <v>#N/A</v>
      </c>
      <c r="U92" s="93" t="e">
        <f>VLOOKUP($A92, 'Matriz POA 2024-TRABAJO'!$A$5:$CY$9142,29,FALSE)</f>
        <v>#N/A</v>
      </c>
      <c r="V92" s="94" t="str">
        <f t="shared" si="84"/>
        <v>13ar-29ar-74ar-</v>
      </c>
      <c r="W92" s="97" t="s">
        <v>1158</v>
      </c>
      <c r="X92" s="109">
        <v>45321</v>
      </c>
      <c r="Y92" s="99" t="s">
        <v>1159</v>
      </c>
      <c r="Z92" s="109">
        <v>45321</v>
      </c>
      <c r="AA92" s="98">
        <v>8219.08</v>
      </c>
      <c r="AB92" s="98"/>
      <c r="AC92" s="99">
        <f t="shared" si="90"/>
        <v>0</v>
      </c>
      <c r="AD92" s="110" t="s">
        <v>1160</v>
      </c>
      <c r="AE92" s="97" t="s">
        <v>1161</v>
      </c>
      <c r="AF92" s="101">
        <v>45356</v>
      </c>
      <c r="AG92" s="97"/>
      <c r="AH92" s="101">
        <v>45358</v>
      </c>
      <c r="AI92" s="98">
        <v>-8219.08</v>
      </c>
      <c r="AJ92" s="98"/>
      <c r="AK92" s="99">
        <f t="shared" si="85"/>
        <v>2</v>
      </c>
      <c r="AL92" s="99"/>
      <c r="AM92" s="97" t="s">
        <v>1161</v>
      </c>
      <c r="AN92" s="96">
        <v>45356</v>
      </c>
      <c r="AO92" s="97"/>
      <c r="AP92" s="101">
        <v>45358</v>
      </c>
      <c r="AQ92" s="98">
        <v>8219.08</v>
      </c>
      <c r="AR92" s="98"/>
      <c r="AS92" s="99"/>
      <c r="AT92" s="99" t="s">
        <v>1163</v>
      </c>
      <c r="AU92" s="93" t="s">
        <v>1164</v>
      </c>
      <c r="AV92" s="96">
        <v>45393</v>
      </c>
      <c r="AW92" s="93" t="s">
        <v>1165</v>
      </c>
      <c r="AX92" s="96">
        <v>45394</v>
      </c>
      <c r="AY92" s="355">
        <v>-8219.08</v>
      </c>
      <c r="AZ92" s="98">
        <v>8219.08</v>
      </c>
      <c r="BA92" s="99">
        <f t="shared" si="86"/>
        <v>1</v>
      </c>
      <c r="BB92" s="99"/>
      <c r="BC92" s="93" t="s">
        <v>1813</v>
      </c>
      <c r="BD92" s="103">
        <v>45426</v>
      </c>
      <c r="BE92" s="101" t="s">
        <v>1815</v>
      </c>
      <c r="BF92" s="103">
        <v>45427</v>
      </c>
      <c r="BG92" s="98">
        <v>-8219.08</v>
      </c>
      <c r="BH92" s="102">
        <v>8219.08</v>
      </c>
      <c r="BI92" s="93">
        <f t="shared" si="91"/>
        <v>1</v>
      </c>
      <c r="BJ92" s="93" t="s">
        <v>1814</v>
      </c>
      <c r="BK92" s="93"/>
      <c r="BL92" s="103"/>
      <c r="BM92" s="93"/>
      <c r="BN92" s="103"/>
      <c r="BO92" s="94"/>
      <c r="BP92" s="94"/>
      <c r="BQ92" s="93">
        <f t="shared" si="92"/>
        <v>0</v>
      </c>
      <c r="BR92" s="93"/>
      <c r="BS92" s="93"/>
      <c r="BT92" s="103"/>
      <c r="BU92" s="93"/>
      <c r="BV92" s="103"/>
      <c r="BW92" s="94"/>
      <c r="BX92" s="94"/>
      <c r="BY92" s="93">
        <f t="shared" si="93"/>
        <v>0</v>
      </c>
      <c r="BZ92" s="93"/>
      <c r="CA92" s="104"/>
      <c r="CB92" s="105"/>
      <c r="CC92" s="106"/>
      <c r="CD92" s="107"/>
      <c r="CE92" s="94"/>
      <c r="CF92" s="94"/>
      <c r="CG92" s="93">
        <f t="shared" si="94"/>
        <v>0</v>
      </c>
      <c r="CH92" s="93"/>
      <c r="CI92" s="106"/>
      <c r="CJ92" s="105"/>
      <c r="CK92" s="93"/>
      <c r="CL92" s="105"/>
      <c r="CM92" s="108"/>
      <c r="CN92" s="108"/>
      <c r="CO92" s="93">
        <f t="shared" si="95"/>
        <v>0</v>
      </c>
      <c r="CP92" s="93"/>
      <c r="CQ92" s="93"/>
      <c r="CR92" s="93"/>
      <c r="CS92" s="93"/>
      <c r="CT92" s="93"/>
      <c r="CU92" s="93"/>
      <c r="CV92" s="93"/>
      <c r="CW92" s="93">
        <f t="shared" si="96"/>
        <v>0</v>
      </c>
      <c r="CX92" s="93"/>
      <c r="CY92" s="93" t="str">
        <f>TEXT(X92,"MMMM")</f>
        <v>enero</v>
      </c>
      <c r="CZ92" s="93" t="str">
        <f t="shared" si="87"/>
        <v>marzo</v>
      </c>
      <c r="DA92" s="93" t="str">
        <f t="shared" si="88"/>
        <v>marzo</v>
      </c>
      <c r="DB92" s="93" t="str">
        <f t="shared" si="89"/>
        <v>abril</v>
      </c>
      <c r="DC92" s="93" t="str">
        <f t="shared" si="97"/>
        <v>mayo</v>
      </c>
      <c r="DD92" s="93" t="str">
        <f t="shared" si="98"/>
        <v>enero</v>
      </c>
      <c r="DE92" s="93" t="str">
        <f t="shared" si="99"/>
        <v>enero</v>
      </c>
      <c r="DF92" s="93" t="str">
        <f t="shared" si="100"/>
        <v>enero</v>
      </c>
      <c r="DG92" s="93" t="str">
        <f t="shared" si="101"/>
        <v>enero</v>
      </c>
      <c r="DH92" s="93" t="str">
        <f t="shared" si="102"/>
        <v>enero</v>
      </c>
    </row>
    <row r="93" spans="1:112" ht="15" hidden="1" customHeight="1">
      <c r="A93" s="93">
        <v>115</v>
      </c>
      <c r="B93" s="93" t="e">
        <f>VLOOKUP($A93,  'Matriz POA 2024-TRABAJO'!$A$5:$CY$9142,29,FALSE)</f>
        <v>#N/A</v>
      </c>
      <c r="C93" s="93" t="e">
        <f>VLOOKUP($A93, 'Matriz POA 2024-TRABAJO'!$A$5:$CY$9142,11,FALSE)</f>
        <v>#N/A</v>
      </c>
      <c r="D93" s="93" t="e">
        <f>VLOOKUP($A93, 'Matriz POA 2024-TRABAJO'!$A$5:$CY$9142,14,FALSE)</f>
        <v>#N/A</v>
      </c>
      <c r="E93" s="93" t="e">
        <f>VLOOKUP($A93, 'Matriz POA 2024-TRABAJO'!$A$5:$CY$9142,15,FALSE)</f>
        <v>#N/A</v>
      </c>
      <c r="F93" s="93" t="e">
        <f>VLOOKUP($A93, 'Matriz POA 2024-TRABAJO'!$A$5:$CY$9142,18,FALSE)</f>
        <v>#N/A</v>
      </c>
      <c r="G93" s="93" t="e">
        <f>VLOOKUP($A93, 'Matriz POA 2024-TRABAJO'!$A$5:$CY$9142,23,FALSE)</f>
        <v>#N/A</v>
      </c>
      <c r="H93" s="93" t="e">
        <f>VLOOKUP($A93, 'Matriz POA 2024-TRABAJO'!$A$5:$CY$9142,24,FALSE)</f>
        <v>#N/A</v>
      </c>
      <c r="I93" s="93" t="e">
        <f>VLOOKUP($A93, 'Matriz POA 2024-TRABAJO'!$A$5:$CY$9142,20,FALSE)</f>
        <v>#N/A</v>
      </c>
      <c r="J93" s="93" t="e">
        <f>VLOOKUP($A93, 'Matriz POA 2024-TRABAJO'!$A$5:$CY$9142,26,FALSE)</f>
        <v>#N/A</v>
      </c>
      <c r="K93" s="93" t="e">
        <f>VLOOKUP($A93, 'Matriz POA 2024-TRABAJO'!$A$5:$CY$9142,27,FALSE)</f>
        <v>#N/A</v>
      </c>
      <c r="L93" s="93" t="e">
        <f>VLOOKUP($A93, 'Matriz POA 2024-TRABAJO'!$A$5:$CY$9142,28,FALSE)</f>
        <v>#N/A</v>
      </c>
      <c r="M93" s="93" t="e">
        <f>VLOOKUP($A93, 'Matriz POA 2024-TRABAJO'!$A$5:$CY$9142,30,FALSE)</f>
        <v>#N/A</v>
      </c>
      <c r="N93" s="93" t="e">
        <f>VLOOKUP($A93, 'Matriz POA 2024-TRABAJO'!$A$5:$CY$9142,31,FALSE)</f>
        <v>#N/A</v>
      </c>
      <c r="O93" s="93" t="e">
        <f>VLOOKUP($A93, 'Matriz POA 2024-TRABAJO'!$A$5:$CY$9142,45,FALSE)</f>
        <v>#N/A</v>
      </c>
      <c r="P93" s="93" t="e">
        <f>VLOOKUP($A93, 'Matriz POA 2024-TRABAJO'!$A$5:$CY$9142,46,FALSE)</f>
        <v>#N/A</v>
      </c>
      <c r="Q93" s="93" t="e">
        <f>VLOOKUP($A93, 'Matriz POA 2024-TRABAJO'!$A$5:$CY$9142,47,FALSE)</f>
        <v>#N/A</v>
      </c>
      <c r="R93" s="94">
        <f t="shared" si="82"/>
        <v>2668.71</v>
      </c>
      <c r="S93" s="95" t="e">
        <f t="shared" si="83"/>
        <v>#N/A</v>
      </c>
      <c r="T93" s="93" t="e">
        <f>VLOOKUP($A93, 'Matriz POA 2024-TRABAJO'!$A$5:$CY$9142,72,FALSE)</f>
        <v>#N/A</v>
      </c>
      <c r="U93" s="93" t="e">
        <f>VLOOKUP($A93, 'Matriz POA 2024-TRABAJO'!$A$5:$CY$9142,29,FALSE)</f>
        <v>#N/A</v>
      </c>
      <c r="V93" s="94" t="str">
        <f t="shared" si="84"/>
        <v>13ar-29ar-74ar-</v>
      </c>
      <c r="W93" s="97" t="s">
        <v>1158</v>
      </c>
      <c r="X93" s="109">
        <v>45321</v>
      </c>
      <c r="Y93" s="99" t="s">
        <v>1159</v>
      </c>
      <c r="Z93" s="109">
        <v>45321</v>
      </c>
      <c r="AA93" s="98">
        <v>2668.71</v>
      </c>
      <c r="AB93" s="98"/>
      <c r="AC93" s="99">
        <f t="shared" si="90"/>
        <v>0</v>
      </c>
      <c r="AD93" s="110" t="s">
        <v>1160</v>
      </c>
      <c r="AE93" s="97" t="s">
        <v>1161</v>
      </c>
      <c r="AF93" s="101">
        <v>45356</v>
      </c>
      <c r="AG93" s="97"/>
      <c r="AH93" s="101">
        <v>45358</v>
      </c>
      <c r="AI93" s="98">
        <v>-2668.71</v>
      </c>
      <c r="AJ93" s="98"/>
      <c r="AK93" s="99">
        <f t="shared" si="85"/>
        <v>2</v>
      </c>
      <c r="AL93" s="99"/>
      <c r="AM93" s="97" t="s">
        <v>1161</v>
      </c>
      <c r="AN93" s="96">
        <v>45356</v>
      </c>
      <c r="AO93" s="97"/>
      <c r="AP93" s="101">
        <v>45358</v>
      </c>
      <c r="AQ93" s="98">
        <v>2668.71</v>
      </c>
      <c r="AR93" s="98"/>
      <c r="AS93" s="99"/>
      <c r="AT93" s="99" t="s">
        <v>1163</v>
      </c>
      <c r="AU93" s="93" t="s">
        <v>1164</v>
      </c>
      <c r="AV93" s="96">
        <v>45393</v>
      </c>
      <c r="AW93" s="93" t="s">
        <v>1165</v>
      </c>
      <c r="AX93" s="96">
        <v>45394</v>
      </c>
      <c r="AY93" s="355">
        <v>-2668.71</v>
      </c>
      <c r="AZ93" s="98">
        <v>2668.71</v>
      </c>
      <c r="BA93" s="99">
        <f t="shared" si="86"/>
        <v>1</v>
      </c>
      <c r="BB93" s="99"/>
      <c r="BC93" s="93" t="s">
        <v>1813</v>
      </c>
      <c r="BD93" s="103">
        <v>45426</v>
      </c>
      <c r="BE93" s="101" t="s">
        <v>1815</v>
      </c>
      <c r="BF93" s="103">
        <v>45427</v>
      </c>
      <c r="BG93" s="98">
        <v>-2668.71</v>
      </c>
      <c r="BH93" s="102">
        <v>2668.71</v>
      </c>
      <c r="BI93" s="93">
        <f t="shared" si="91"/>
        <v>1</v>
      </c>
      <c r="BJ93" s="93" t="s">
        <v>1814</v>
      </c>
      <c r="BK93" s="93"/>
      <c r="BL93" s="103"/>
      <c r="BM93" s="93"/>
      <c r="BN93" s="103"/>
      <c r="BO93" s="94"/>
      <c r="BP93" s="94"/>
      <c r="BQ93" s="93">
        <f t="shared" si="92"/>
        <v>0</v>
      </c>
      <c r="BR93" s="93"/>
      <c r="BS93" s="93"/>
      <c r="BT93" s="103"/>
      <c r="BU93" s="93"/>
      <c r="BV93" s="103"/>
      <c r="BW93" s="94"/>
      <c r="BX93" s="94"/>
      <c r="BY93" s="93">
        <f t="shared" si="93"/>
        <v>0</v>
      </c>
      <c r="BZ93" s="93"/>
      <c r="CA93" s="104"/>
      <c r="CB93" s="105"/>
      <c r="CC93" s="106"/>
      <c r="CD93" s="107"/>
      <c r="CE93" s="94"/>
      <c r="CF93" s="94"/>
      <c r="CG93" s="93">
        <f t="shared" si="94"/>
        <v>0</v>
      </c>
      <c r="CH93" s="93"/>
      <c r="CI93" s="106"/>
      <c r="CJ93" s="105"/>
      <c r="CK93" s="93"/>
      <c r="CL93" s="105"/>
      <c r="CM93" s="108"/>
      <c r="CN93" s="108"/>
      <c r="CO93" s="93">
        <f t="shared" si="95"/>
        <v>0</v>
      </c>
      <c r="CP93" s="93"/>
      <c r="CQ93" s="93"/>
      <c r="CR93" s="93"/>
      <c r="CS93" s="93"/>
      <c r="CT93" s="93"/>
      <c r="CU93" s="93"/>
      <c r="CV93" s="93"/>
      <c r="CW93" s="93">
        <f t="shared" si="96"/>
        <v>0</v>
      </c>
      <c r="CX93" s="93"/>
      <c r="CY93" s="93" t="str">
        <f>TEXT(X93,"MMMM")</f>
        <v>enero</v>
      </c>
      <c r="CZ93" s="93" t="str">
        <f t="shared" si="87"/>
        <v>marzo</v>
      </c>
      <c r="DA93" s="93" t="str">
        <f t="shared" si="88"/>
        <v>marzo</v>
      </c>
      <c r="DB93" s="93" t="str">
        <f t="shared" si="89"/>
        <v>abril</v>
      </c>
      <c r="DC93" s="93" t="str">
        <f t="shared" si="97"/>
        <v>mayo</v>
      </c>
      <c r="DD93" s="93" t="str">
        <f t="shared" si="98"/>
        <v>enero</v>
      </c>
      <c r="DE93" s="93" t="str">
        <f t="shared" si="99"/>
        <v>enero</v>
      </c>
      <c r="DF93" s="93" t="str">
        <f t="shared" si="100"/>
        <v>enero</v>
      </c>
      <c r="DG93" s="93" t="str">
        <f t="shared" si="101"/>
        <v>enero</v>
      </c>
      <c r="DH93" s="93" t="str">
        <f t="shared" si="102"/>
        <v>enero</v>
      </c>
    </row>
    <row r="94" spans="1:112" s="21" customFormat="1" ht="26.45" hidden="1" customHeight="1">
      <c r="A94" s="93">
        <v>116</v>
      </c>
      <c r="B94" s="93" t="e">
        <f>VLOOKUP($A94,  'Matriz POA 2024-TRABAJO'!$A$5:$CY$9142,29,FALSE)</f>
        <v>#N/A</v>
      </c>
      <c r="C94" s="93" t="e">
        <f>VLOOKUP($A94, 'Matriz POA 2024-TRABAJO'!$A$5:$CY$9142,11,FALSE)</f>
        <v>#N/A</v>
      </c>
      <c r="D94" s="93" t="e">
        <f>VLOOKUP($A94, 'Matriz POA 2024-TRABAJO'!$A$5:$CY$9142,14,FALSE)</f>
        <v>#N/A</v>
      </c>
      <c r="E94" s="93" t="e">
        <f>VLOOKUP($A94, 'Matriz POA 2024-TRABAJO'!$A$5:$CY$9142,15,FALSE)</f>
        <v>#N/A</v>
      </c>
      <c r="F94" s="93" t="e">
        <f>VLOOKUP($A94, 'Matriz POA 2024-TRABAJO'!$A$5:$CY$9142,18,FALSE)</f>
        <v>#N/A</v>
      </c>
      <c r="G94" s="93" t="e">
        <f>VLOOKUP($A94, 'Matriz POA 2024-TRABAJO'!$A$5:$CY$9142,23,FALSE)</f>
        <v>#N/A</v>
      </c>
      <c r="H94" s="93" t="e">
        <f>VLOOKUP($A94, 'Matriz POA 2024-TRABAJO'!$A$5:$CY$9142,24,FALSE)</f>
        <v>#N/A</v>
      </c>
      <c r="I94" s="93" t="e">
        <f>VLOOKUP($A94, 'Matriz POA 2024-TRABAJO'!$A$5:$CY$9142,20,FALSE)</f>
        <v>#N/A</v>
      </c>
      <c r="J94" s="93" t="e">
        <f>VLOOKUP($A94, 'Matriz POA 2024-TRABAJO'!$A$5:$CY$9142,26,FALSE)</f>
        <v>#N/A</v>
      </c>
      <c r="K94" s="93" t="e">
        <f>VLOOKUP($A94, 'Matriz POA 2024-TRABAJO'!$A$5:$CY$9142,27,FALSE)</f>
        <v>#N/A</v>
      </c>
      <c r="L94" s="93" t="e">
        <f>VLOOKUP($A94, 'Matriz POA 2024-TRABAJO'!$A$5:$CY$9142,28,FALSE)</f>
        <v>#N/A</v>
      </c>
      <c r="M94" s="93" t="e">
        <f>VLOOKUP($A94, 'Matriz POA 2024-TRABAJO'!$A$5:$CY$9142,30,FALSE)</f>
        <v>#N/A</v>
      </c>
      <c r="N94" s="93" t="e">
        <f>VLOOKUP($A94, 'Matriz POA 2024-TRABAJO'!$A$5:$CY$9142,31,FALSE)</f>
        <v>#N/A</v>
      </c>
      <c r="O94" s="93" t="e">
        <f>VLOOKUP($A94, 'Matriz POA 2024-TRABAJO'!$A$5:$CY$9142,45,FALSE)</f>
        <v>#N/A</v>
      </c>
      <c r="P94" s="93" t="e">
        <f>VLOOKUP($A94, 'Matriz POA 2024-TRABAJO'!$A$5:$CY$9142,46,FALSE)</f>
        <v>#N/A</v>
      </c>
      <c r="Q94" s="93" t="e">
        <f>VLOOKUP($A94, 'Matriz POA 2024-TRABAJO'!$A$5:$CY$9142,47,FALSE)</f>
        <v>#N/A</v>
      </c>
      <c r="R94" s="94">
        <f t="shared" si="82"/>
        <v>69.200000000000045</v>
      </c>
      <c r="S94" s="95" t="e">
        <f t="shared" si="83"/>
        <v>#N/A</v>
      </c>
      <c r="T94" s="93" t="e">
        <f>VLOOKUP($A94, 'Matriz POA 2024-TRABAJO'!$A$5:$CY$9142,72,FALSE)</f>
        <v>#N/A</v>
      </c>
      <c r="U94" s="93" t="e">
        <f>VLOOKUP($A94, 'Matriz POA 2024-TRABAJO'!$A$5:$CY$9142,29,FALSE)</f>
        <v>#N/A</v>
      </c>
      <c r="V94" s="94" t="str">
        <f t="shared" si="84"/>
        <v>13ar-29ar-74ar-</v>
      </c>
      <c r="W94" s="97" t="s">
        <v>1158</v>
      </c>
      <c r="X94" s="109">
        <v>45321</v>
      </c>
      <c r="Y94" s="99" t="s">
        <v>1159</v>
      </c>
      <c r="Z94" s="109">
        <v>45321</v>
      </c>
      <c r="AA94" s="98">
        <v>69.200000000000045</v>
      </c>
      <c r="AB94" s="98"/>
      <c r="AC94" s="99">
        <f t="shared" si="90"/>
        <v>0</v>
      </c>
      <c r="AD94" s="110" t="s">
        <v>1160</v>
      </c>
      <c r="AE94" s="97" t="s">
        <v>1161</v>
      </c>
      <c r="AF94" s="101">
        <v>45356</v>
      </c>
      <c r="AG94" s="97"/>
      <c r="AH94" s="101">
        <v>45358</v>
      </c>
      <c r="AI94" s="98">
        <v>-69.2</v>
      </c>
      <c r="AJ94" s="98"/>
      <c r="AK94" s="99">
        <f t="shared" si="85"/>
        <v>2</v>
      </c>
      <c r="AL94" s="99"/>
      <c r="AM94" s="97" t="s">
        <v>1161</v>
      </c>
      <c r="AN94" s="96">
        <v>45356</v>
      </c>
      <c r="AO94" s="97"/>
      <c r="AP94" s="101">
        <v>45358</v>
      </c>
      <c r="AQ94" s="98">
        <v>69.2</v>
      </c>
      <c r="AR94" s="98"/>
      <c r="AS94" s="99"/>
      <c r="AT94" s="99" t="s">
        <v>1163</v>
      </c>
      <c r="AU94" s="93" t="s">
        <v>1164</v>
      </c>
      <c r="AV94" s="96">
        <v>45393</v>
      </c>
      <c r="AW94" s="93" t="s">
        <v>1165</v>
      </c>
      <c r="AX94" s="96">
        <v>45394</v>
      </c>
      <c r="AY94" s="355">
        <v>-69.2</v>
      </c>
      <c r="AZ94" s="98">
        <v>69.2</v>
      </c>
      <c r="BA94" s="99">
        <f t="shared" si="86"/>
        <v>1</v>
      </c>
      <c r="BB94" s="99"/>
      <c r="BC94" s="93" t="s">
        <v>1813</v>
      </c>
      <c r="BD94" s="103">
        <v>45426</v>
      </c>
      <c r="BE94" s="101" t="s">
        <v>1815</v>
      </c>
      <c r="BF94" s="103">
        <v>45427</v>
      </c>
      <c r="BG94" s="98">
        <v>-69.2</v>
      </c>
      <c r="BH94" s="102">
        <v>69.2</v>
      </c>
      <c r="BI94" s="93">
        <f t="shared" si="91"/>
        <v>1</v>
      </c>
      <c r="BJ94" s="93" t="s">
        <v>1814</v>
      </c>
      <c r="BK94" s="93"/>
      <c r="BL94" s="103"/>
      <c r="BM94" s="93"/>
      <c r="BN94" s="103"/>
      <c r="BO94" s="94"/>
      <c r="BP94" s="94"/>
      <c r="BQ94" s="93">
        <f t="shared" si="92"/>
        <v>0</v>
      </c>
      <c r="BR94" s="93"/>
      <c r="BS94" s="93"/>
      <c r="BT94" s="103"/>
      <c r="BU94" s="93"/>
      <c r="BV94" s="103"/>
      <c r="BW94" s="94"/>
      <c r="BX94" s="94"/>
      <c r="BY94" s="93">
        <f t="shared" si="93"/>
        <v>0</v>
      </c>
      <c r="BZ94" s="93"/>
      <c r="CA94" s="104"/>
      <c r="CB94" s="105"/>
      <c r="CC94" s="106"/>
      <c r="CD94" s="107"/>
      <c r="CE94" s="94"/>
      <c r="CF94" s="94"/>
      <c r="CG94" s="93">
        <f t="shared" si="94"/>
        <v>0</v>
      </c>
      <c r="CH94" s="93"/>
      <c r="CI94" s="106"/>
      <c r="CJ94" s="105"/>
      <c r="CK94" s="93"/>
      <c r="CL94" s="105"/>
      <c r="CM94" s="108"/>
      <c r="CN94" s="108"/>
      <c r="CO94" s="93">
        <f t="shared" si="95"/>
        <v>0</v>
      </c>
      <c r="CP94" s="93"/>
      <c r="CQ94" s="93"/>
      <c r="CR94" s="93"/>
      <c r="CS94" s="93"/>
      <c r="CT94" s="93"/>
      <c r="CU94" s="93"/>
      <c r="CV94" s="93"/>
      <c r="CW94" s="93">
        <f t="shared" si="96"/>
        <v>0</v>
      </c>
      <c r="CX94" s="93"/>
      <c r="CY94" s="93" t="str">
        <f>TEXT(Z94,"MMMM")</f>
        <v>enero</v>
      </c>
      <c r="CZ94" s="93" t="str">
        <f t="shared" si="87"/>
        <v>marzo</v>
      </c>
      <c r="DA94" s="93" t="str">
        <f t="shared" si="88"/>
        <v>marzo</v>
      </c>
      <c r="DB94" s="93" t="str">
        <f t="shared" si="89"/>
        <v>abril</v>
      </c>
      <c r="DC94" s="93" t="str">
        <f t="shared" si="97"/>
        <v>mayo</v>
      </c>
      <c r="DD94" s="93" t="str">
        <f t="shared" si="98"/>
        <v>enero</v>
      </c>
      <c r="DE94" s="93" t="str">
        <f t="shared" si="99"/>
        <v>enero</v>
      </c>
      <c r="DF94" s="93" t="str">
        <f t="shared" si="100"/>
        <v>enero</v>
      </c>
      <c r="DG94" s="93" t="str">
        <f t="shared" si="101"/>
        <v>enero</v>
      </c>
      <c r="DH94" s="93" t="str">
        <f t="shared" si="102"/>
        <v>enero</v>
      </c>
    </row>
    <row r="95" spans="1:112" s="21" customFormat="1" ht="18.75" hidden="1" customHeight="1">
      <c r="A95" s="93">
        <v>117</v>
      </c>
      <c r="B95" s="93" t="e">
        <f>VLOOKUP($A95,  'Matriz POA 2024-TRABAJO'!$A$5:$CY$9142,29,FALSE)</f>
        <v>#N/A</v>
      </c>
      <c r="C95" s="93" t="e">
        <f>VLOOKUP($A95, 'Matriz POA 2024-TRABAJO'!$A$5:$CY$9142,11,FALSE)</f>
        <v>#N/A</v>
      </c>
      <c r="D95" s="93" t="e">
        <f>VLOOKUP($A95, 'Matriz POA 2024-TRABAJO'!$A$5:$CY$9142,14,FALSE)</f>
        <v>#N/A</v>
      </c>
      <c r="E95" s="93" t="e">
        <f>VLOOKUP($A95, 'Matriz POA 2024-TRABAJO'!$A$5:$CY$9142,15,FALSE)</f>
        <v>#N/A</v>
      </c>
      <c r="F95" s="93" t="e">
        <f>VLOOKUP($A95, 'Matriz POA 2024-TRABAJO'!$A$5:$CY$9142,18,FALSE)</f>
        <v>#N/A</v>
      </c>
      <c r="G95" s="93" t="e">
        <f>VLOOKUP($A95, 'Matriz POA 2024-TRABAJO'!$A$5:$CY$9142,23,FALSE)</f>
        <v>#N/A</v>
      </c>
      <c r="H95" s="93" t="e">
        <f>VLOOKUP($A95, 'Matriz POA 2024-TRABAJO'!$A$5:$CY$9142,24,FALSE)</f>
        <v>#N/A</v>
      </c>
      <c r="I95" s="93" t="e">
        <f>VLOOKUP($A95, 'Matriz POA 2024-TRABAJO'!$A$5:$CY$9142,20,FALSE)</f>
        <v>#N/A</v>
      </c>
      <c r="J95" s="93" t="e">
        <f>VLOOKUP($A95, 'Matriz POA 2024-TRABAJO'!$A$5:$CY$9142,26,FALSE)</f>
        <v>#N/A</v>
      </c>
      <c r="K95" s="93" t="e">
        <f>VLOOKUP($A95, 'Matriz POA 2024-TRABAJO'!$A$5:$CY$9142,27,FALSE)</f>
        <v>#N/A</v>
      </c>
      <c r="L95" s="93" t="e">
        <f>VLOOKUP($A95, 'Matriz POA 2024-TRABAJO'!$A$5:$CY$9142,28,FALSE)</f>
        <v>#N/A</v>
      </c>
      <c r="M95" s="93" t="e">
        <f>VLOOKUP($A95, 'Matriz POA 2024-TRABAJO'!$A$5:$CY$9142,30,FALSE)</f>
        <v>#N/A</v>
      </c>
      <c r="N95" s="93" t="e">
        <f>VLOOKUP($A95, 'Matriz POA 2024-TRABAJO'!$A$5:$CY$9142,31,FALSE)</f>
        <v>#N/A</v>
      </c>
      <c r="O95" s="93" t="e">
        <f>VLOOKUP($A95, 'Matriz POA 2024-TRABAJO'!$A$5:$CY$9142,45,FALSE)</f>
        <v>#N/A</v>
      </c>
      <c r="P95" s="93" t="e">
        <f>VLOOKUP($A95, 'Matriz POA 2024-TRABAJO'!$A$5:$CY$9142,46,FALSE)</f>
        <v>#N/A</v>
      </c>
      <c r="Q95" s="93" t="e">
        <f>VLOOKUP($A95, 'Matriz POA 2024-TRABAJO'!$A$5:$CY$9142,47,FALSE)</f>
        <v>#N/A</v>
      </c>
      <c r="R95" s="94">
        <f t="shared" si="82"/>
        <v>299.87</v>
      </c>
      <c r="S95" s="95" t="e">
        <f t="shared" si="83"/>
        <v>#N/A</v>
      </c>
      <c r="T95" s="93" t="e">
        <f>VLOOKUP($A95, 'Matriz POA 2024-TRABAJO'!$A$5:$CY$9142,72,FALSE)</f>
        <v>#N/A</v>
      </c>
      <c r="U95" s="93" t="e">
        <f>VLOOKUP($A95, 'Matriz POA 2024-TRABAJO'!$A$5:$CY$9142,29,FALSE)</f>
        <v>#N/A</v>
      </c>
      <c r="V95" s="94" t="str">
        <f t="shared" si="84"/>
        <v>13ar-29ar-74ar-</v>
      </c>
      <c r="W95" s="97" t="s">
        <v>1158</v>
      </c>
      <c r="X95" s="109">
        <v>45321</v>
      </c>
      <c r="Y95" s="99" t="s">
        <v>1159</v>
      </c>
      <c r="Z95" s="109">
        <v>45321</v>
      </c>
      <c r="AA95" s="98">
        <v>299.87</v>
      </c>
      <c r="AB95" s="98"/>
      <c r="AC95" s="99">
        <f t="shared" si="90"/>
        <v>0</v>
      </c>
      <c r="AD95" s="110" t="s">
        <v>1160</v>
      </c>
      <c r="AE95" s="97" t="s">
        <v>1161</v>
      </c>
      <c r="AF95" s="101">
        <v>45356</v>
      </c>
      <c r="AG95" s="97"/>
      <c r="AH95" s="101">
        <v>45358</v>
      </c>
      <c r="AI95" s="98">
        <v>-299.87</v>
      </c>
      <c r="AJ95" s="98"/>
      <c r="AK95" s="99">
        <f t="shared" si="85"/>
        <v>2</v>
      </c>
      <c r="AL95" s="99"/>
      <c r="AM95" s="97" t="s">
        <v>1161</v>
      </c>
      <c r="AN95" s="96">
        <v>45356</v>
      </c>
      <c r="AO95" s="97"/>
      <c r="AP95" s="101">
        <v>45358</v>
      </c>
      <c r="AQ95" s="98">
        <v>299.87</v>
      </c>
      <c r="AR95" s="98"/>
      <c r="AS95" s="99"/>
      <c r="AT95" s="99" t="s">
        <v>1163</v>
      </c>
      <c r="AU95" s="93" t="s">
        <v>1164</v>
      </c>
      <c r="AV95" s="96">
        <v>45393</v>
      </c>
      <c r="AW95" s="93" t="s">
        <v>1165</v>
      </c>
      <c r="AX95" s="96">
        <v>45394</v>
      </c>
      <c r="AY95" s="355">
        <v>-299.87</v>
      </c>
      <c r="AZ95" s="98">
        <v>299.87</v>
      </c>
      <c r="BA95" s="99">
        <f t="shared" si="86"/>
        <v>1</v>
      </c>
      <c r="BB95" s="99"/>
      <c r="BC95" s="93" t="s">
        <v>1813</v>
      </c>
      <c r="BD95" s="103">
        <v>45426</v>
      </c>
      <c r="BE95" s="101" t="s">
        <v>1815</v>
      </c>
      <c r="BF95" s="103">
        <v>45427</v>
      </c>
      <c r="BG95" s="98">
        <v>-299.87</v>
      </c>
      <c r="BH95" s="102">
        <v>299.87</v>
      </c>
      <c r="BI95" s="93">
        <f t="shared" si="91"/>
        <v>1</v>
      </c>
      <c r="BJ95" s="93" t="s">
        <v>1814</v>
      </c>
      <c r="BK95" s="93"/>
      <c r="BL95" s="103"/>
      <c r="BM95" s="93"/>
      <c r="BN95" s="103"/>
      <c r="BO95" s="94"/>
      <c r="BP95" s="94"/>
      <c r="BQ95" s="93">
        <f t="shared" si="92"/>
        <v>0</v>
      </c>
      <c r="BR95" s="93"/>
      <c r="BS95" s="93"/>
      <c r="BT95" s="103"/>
      <c r="BU95" s="93"/>
      <c r="BV95" s="103"/>
      <c r="BW95" s="94"/>
      <c r="BX95" s="94"/>
      <c r="BY95" s="93">
        <f t="shared" si="93"/>
        <v>0</v>
      </c>
      <c r="BZ95" s="93"/>
      <c r="CA95" s="104"/>
      <c r="CB95" s="105"/>
      <c r="CC95" s="106"/>
      <c r="CD95" s="107"/>
      <c r="CE95" s="94"/>
      <c r="CF95" s="94"/>
      <c r="CG95" s="93">
        <f t="shared" si="94"/>
        <v>0</v>
      </c>
      <c r="CH95" s="93"/>
      <c r="CI95" s="106"/>
      <c r="CJ95" s="105"/>
      <c r="CK95" s="93"/>
      <c r="CL95" s="105"/>
      <c r="CM95" s="108"/>
      <c r="CN95" s="108"/>
      <c r="CO95" s="93">
        <f t="shared" si="95"/>
        <v>0</v>
      </c>
      <c r="CP95" s="93"/>
      <c r="CQ95" s="93"/>
      <c r="CR95" s="93"/>
      <c r="CS95" s="93"/>
      <c r="CT95" s="93"/>
      <c r="CU95" s="93"/>
      <c r="CV95" s="93"/>
      <c r="CW95" s="93">
        <f t="shared" si="96"/>
        <v>0</v>
      </c>
      <c r="CX95" s="93"/>
      <c r="CY95" s="93" t="str">
        <f>TEXT(X95,"MMMM")</f>
        <v>enero</v>
      </c>
      <c r="CZ95" s="93" t="str">
        <f t="shared" si="87"/>
        <v>marzo</v>
      </c>
      <c r="DA95" s="93" t="str">
        <f t="shared" si="88"/>
        <v>marzo</v>
      </c>
      <c r="DB95" s="93" t="str">
        <f t="shared" si="89"/>
        <v>abril</v>
      </c>
      <c r="DC95" s="93" t="str">
        <f t="shared" si="97"/>
        <v>mayo</v>
      </c>
      <c r="DD95" s="93" t="str">
        <f t="shared" si="98"/>
        <v>enero</v>
      </c>
      <c r="DE95" s="93" t="str">
        <f t="shared" si="99"/>
        <v>enero</v>
      </c>
      <c r="DF95" s="93" t="str">
        <f t="shared" si="100"/>
        <v>enero</v>
      </c>
      <c r="DG95" s="93" t="str">
        <f t="shared" si="101"/>
        <v>enero</v>
      </c>
      <c r="DH95" s="93" t="str">
        <f t="shared" si="102"/>
        <v>enero</v>
      </c>
    </row>
    <row r="96" spans="1:112" s="21" customFormat="1" ht="18.75" hidden="1" customHeight="1">
      <c r="A96" s="93">
        <v>118</v>
      </c>
      <c r="B96" s="93" t="e">
        <f>VLOOKUP($A96,  'Matriz POA 2024-TRABAJO'!$A$5:$CY$9142,29,FALSE)</f>
        <v>#N/A</v>
      </c>
      <c r="C96" s="93" t="e">
        <f>VLOOKUP($A96, 'Matriz POA 2024-TRABAJO'!$A$5:$CY$9142,11,FALSE)</f>
        <v>#N/A</v>
      </c>
      <c r="D96" s="93" t="e">
        <f>VLOOKUP($A96, 'Matriz POA 2024-TRABAJO'!$A$5:$CY$9142,14,FALSE)</f>
        <v>#N/A</v>
      </c>
      <c r="E96" s="93" t="e">
        <f>VLOOKUP($A96, 'Matriz POA 2024-TRABAJO'!$A$5:$CY$9142,15,FALSE)</f>
        <v>#N/A</v>
      </c>
      <c r="F96" s="93" t="e">
        <f>VLOOKUP($A96, 'Matriz POA 2024-TRABAJO'!$A$5:$CY$9142,18,FALSE)</f>
        <v>#N/A</v>
      </c>
      <c r="G96" s="93" t="e">
        <f>VLOOKUP($A96, 'Matriz POA 2024-TRABAJO'!$A$5:$CY$9142,23,FALSE)</f>
        <v>#N/A</v>
      </c>
      <c r="H96" s="93" t="e">
        <f>VLOOKUP($A96, 'Matriz POA 2024-TRABAJO'!$A$5:$CY$9142,24,FALSE)</f>
        <v>#N/A</v>
      </c>
      <c r="I96" s="93" t="e">
        <f>VLOOKUP($A96, 'Matriz POA 2024-TRABAJO'!$A$5:$CY$9142,20,FALSE)</f>
        <v>#N/A</v>
      </c>
      <c r="J96" s="93" t="e">
        <f>VLOOKUP($A96, 'Matriz POA 2024-TRABAJO'!$A$5:$CY$9142,26,FALSE)</f>
        <v>#N/A</v>
      </c>
      <c r="K96" s="93" t="e">
        <f>VLOOKUP($A96, 'Matriz POA 2024-TRABAJO'!$A$5:$CY$9142,27,FALSE)</f>
        <v>#N/A</v>
      </c>
      <c r="L96" s="93" t="e">
        <f>VLOOKUP($A96, 'Matriz POA 2024-TRABAJO'!$A$5:$CY$9142,28,FALSE)</f>
        <v>#N/A</v>
      </c>
      <c r="M96" s="93" t="e">
        <f>VLOOKUP($A96, 'Matriz POA 2024-TRABAJO'!$A$5:$CY$9142,30,FALSE)</f>
        <v>#N/A</v>
      </c>
      <c r="N96" s="93" t="e">
        <f>VLOOKUP($A96, 'Matriz POA 2024-TRABAJO'!$A$5:$CY$9142,31,FALSE)</f>
        <v>#N/A</v>
      </c>
      <c r="O96" s="93" t="e">
        <f>VLOOKUP($A96, 'Matriz POA 2024-TRABAJO'!$A$5:$CY$9142,45,FALSE)</f>
        <v>#N/A</v>
      </c>
      <c r="P96" s="93" t="e">
        <f>VLOOKUP($A96, 'Matriz POA 2024-TRABAJO'!$A$5:$CY$9142,46,FALSE)</f>
        <v>#N/A</v>
      </c>
      <c r="Q96" s="93" t="e">
        <f>VLOOKUP($A96, 'Matriz POA 2024-TRABAJO'!$A$5:$CY$9142,47,FALSE)</f>
        <v>#N/A</v>
      </c>
      <c r="R96" s="94">
        <f t="shared" si="82"/>
        <v>9431.7800000000007</v>
      </c>
      <c r="S96" s="95" t="e">
        <f t="shared" si="83"/>
        <v>#N/A</v>
      </c>
      <c r="T96" s="93" t="e">
        <f>VLOOKUP($A96, 'Matriz POA 2024-TRABAJO'!$A$5:$CY$9142,72,FALSE)</f>
        <v>#N/A</v>
      </c>
      <c r="U96" s="93" t="e">
        <f>VLOOKUP($A96, 'Matriz POA 2024-TRABAJO'!$A$5:$CY$9142,29,FALSE)</f>
        <v>#N/A</v>
      </c>
      <c r="V96" s="94" t="str">
        <f t="shared" si="84"/>
        <v>13ar-29ar-74ar-</v>
      </c>
      <c r="W96" s="97" t="s">
        <v>1158</v>
      </c>
      <c r="X96" s="109">
        <v>45321</v>
      </c>
      <c r="Y96" s="99" t="s">
        <v>1159</v>
      </c>
      <c r="Z96" s="109">
        <v>45321</v>
      </c>
      <c r="AA96" s="98">
        <v>9431.7800000000007</v>
      </c>
      <c r="AB96" s="98"/>
      <c r="AC96" s="99">
        <f t="shared" si="90"/>
        <v>0</v>
      </c>
      <c r="AD96" s="110" t="s">
        <v>1160</v>
      </c>
      <c r="AE96" s="97" t="s">
        <v>1161</v>
      </c>
      <c r="AF96" s="101">
        <v>45356</v>
      </c>
      <c r="AG96" s="97"/>
      <c r="AH96" s="101">
        <v>45358</v>
      </c>
      <c r="AI96" s="98">
        <v>-9431.7800000000007</v>
      </c>
      <c r="AJ96" s="98"/>
      <c r="AK96" s="99">
        <f t="shared" si="85"/>
        <v>2</v>
      </c>
      <c r="AL96" s="99"/>
      <c r="AM96" s="97" t="s">
        <v>1161</v>
      </c>
      <c r="AN96" s="96">
        <v>45356</v>
      </c>
      <c r="AO96" s="97"/>
      <c r="AP96" s="101">
        <v>45358</v>
      </c>
      <c r="AQ96" s="98">
        <v>9431.7800000000007</v>
      </c>
      <c r="AR96" s="98"/>
      <c r="AS96" s="99"/>
      <c r="AT96" s="99" t="s">
        <v>1163</v>
      </c>
      <c r="AU96" s="93" t="s">
        <v>1164</v>
      </c>
      <c r="AV96" s="96">
        <v>45393</v>
      </c>
      <c r="AW96" s="93" t="s">
        <v>1165</v>
      </c>
      <c r="AX96" s="96">
        <v>45394</v>
      </c>
      <c r="AY96" s="355">
        <v>-9431.7800000000007</v>
      </c>
      <c r="AZ96" s="98">
        <v>9431.7800000000007</v>
      </c>
      <c r="BA96" s="99">
        <f t="shared" si="86"/>
        <v>1</v>
      </c>
      <c r="BB96" s="99"/>
      <c r="BC96" s="93" t="s">
        <v>1813</v>
      </c>
      <c r="BD96" s="103">
        <v>45426</v>
      </c>
      <c r="BE96" s="101" t="s">
        <v>1815</v>
      </c>
      <c r="BF96" s="103">
        <v>45427</v>
      </c>
      <c r="BG96" s="98">
        <v>-9431.7800000000007</v>
      </c>
      <c r="BH96" s="102">
        <v>9431.7800000000007</v>
      </c>
      <c r="BI96" s="93">
        <f t="shared" si="91"/>
        <v>1</v>
      </c>
      <c r="BJ96" s="93" t="s">
        <v>1814</v>
      </c>
      <c r="BK96" s="93"/>
      <c r="BL96" s="103"/>
      <c r="BM96" s="93"/>
      <c r="BN96" s="103"/>
      <c r="BO96" s="94"/>
      <c r="BP96" s="94"/>
      <c r="BQ96" s="93">
        <f t="shared" si="92"/>
        <v>0</v>
      </c>
      <c r="BR96" s="93"/>
      <c r="BS96" s="93"/>
      <c r="BT96" s="103"/>
      <c r="BU96" s="93"/>
      <c r="BV96" s="103"/>
      <c r="BW96" s="94"/>
      <c r="BX96" s="94"/>
      <c r="BY96" s="93">
        <f t="shared" si="93"/>
        <v>0</v>
      </c>
      <c r="BZ96" s="93"/>
      <c r="CA96" s="104"/>
      <c r="CB96" s="105"/>
      <c r="CC96" s="106"/>
      <c r="CD96" s="107"/>
      <c r="CE96" s="94"/>
      <c r="CF96" s="94"/>
      <c r="CG96" s="93">
        <f t="shared" si="94"/>
        <v>0</v>
      </c>
      <c r="CH96" s="93"/>
      <c r="CI96" s="106"/>
      <c r="CJ96" s="105"/>
      <c r="CK96" s="93"/>
      <c r="CL96" s="105"/>
      <c r="CM96" s="108"/>
      <c r="CN96" s="108"/>
      <c r="CO96" s="93">
        <f t="shared" si="95"/>
        <v>0</v>
      </c>
      <c r="CP96" s="93"/>
      <c r="CQ96" s="93"/>
      <c r="CR96" s="93"/>
      <c r="CS96" s="93"/>
      <c r="CT96" s="93"/>
      <c r="CU96" s="93"/>
      <c r="CV96" s="93"/>
      <c r="CW96" s="93">
        <f t="shared" si="96"/>
        <v>0</v>
      </c>
      <c r="CX96" s="93"/>
      <c r="CY96" s="93" t="str">
        <f>TEXT(X96,"MMMM")</f>
        <v>enero</v>
      </c>
      <c r="CZ96" s="93" t="str">
        <f t="shared" si="87"/>
        <v>marzo</v>
      </c>
      <c r="DA96" s="93" t="str">
        <f t="shared" si="88"/>
        <v>marzo</v>
      </c>
      <c r="DB96" s="93" t="str">
        <f t="shared" si="89"/>
        <v>abril</v>
      </c>
      <c r="DC96" s="93" t="str">
        <f t="shared" si="97"/>
        <v>mayo</v>
      </c>
      <c r="DD96" s="93" t="str">
        <f t="shared" si="98"/>
        <v>enero</v>
      </c>
      <c r="DE96" s="93" t="str">
        <f t="shared" si="99"/>
        <v>enero</v>
      </c>
      <c r="DF96" s="93" t="str">
        <f t="shared" si="100"/>
        <v>enero</v>
      </c>
      <c r="DG96" s="93" t="str">
        <f t="shared" si="101"/>
        <v>enero</v>
      </c>
      <c r="DH96" s="93" t="str">
        <f t="shared" si="102"/>
        <v>enero</v>
      </c>
    </row>
    <row r="97" spans="1:112" ht="15" hidden="1" customHeight="1">
      <c r="A97" s="93">
        <v>119</v>
      </c>
      <c r="B97" s="93" t="e">
        <f>VLOOKUP($A97,  'Matriz POA 2024-TRABAJO'!$A$5:$CY$9142,29,FALSE)</f>
        <v>#N/A</v>
      </c>
      <c r="C97" s="93" t="e">
        <f>VLOOKUP($A97, 'Matriz POA 2024-TRABAJO'!$A$5:$CY$9142,11,FALSE)</f>
        <v>#N/A</v>
      </c>
      <c r="D97" s="93" t="e">
        <f>VLOOKUP($A97, 'Matriz POA 2024-TRABAJO'!$A$5:$CY$9142,14,FALSE)</f>
        <v>#N/A</v>
      </c>
      <c r="E97" s="93" t="e">
        <f>VLOOKUP($A97, 'Matriz POA 2024-TRABAJO'!$A$5:$CY$9142,15,FALSE)</f>
        <v>#N/A</v>
      </c>
      <c r="F97" s="93" t="e">
        <f>VLOOKUP($A97, 'Matriz POA 2024-TRABAJO'!$A$5:$CY$9142,18,FALSE)</f>
        <v>#N/A</v>
      </c>
      <c r="G97" s="93" t="e">
        <f>VLOOKUP($A97, 'Matriz POA 2024-TRABAJO'!$A$5:$CY$9142,23,FALSE)</f>
        <v>#N/A</v>
      </c>
      <c r="H97" s="93" t="e">
        <f>VLOOKUP($A97, 'Matriz POA 2024-TRABAJO'!$A$5:$CY$9142,24,FALSE)</f>
        <v>#N/A</v>
      </c>
      <c r="I97" s="93" t="e">
        <f>VLOOKUP($A97, 'Matriz POA 2024-TRABAJO'!$A$5:$CY$9142,20,FALSE)</f>
        <v>#N/A</v>
      </c>
      <c r="J97" s="93" t="e">
        <f>VLOOKUP($A97, 'Matriz POA 2024-TRABAJO'!$A$5:$CY$9142,26,FALSE)</f>
        <v>#N/A</v>
      </c>
      <c r="K97" s="93" t="e">
        <f>VLOOKUP($A97, 'Matriz POA 2024-TRABAJO'!$A$5:$CY$9142,27,FALSE)</f>
        <v>#N/A</v>
      </c>
      <c r="L97" s="93" t="e">
        <f>VLOOKUP($A97, 'Matriz POA 2024-TRABAJO'!$A$5:$CY$9142,28,FALSE)</f>
        <v>#N/A</v>
      </c>
      <c r="M97" s="93" t="e">
        <f>VLOOKUP($A97, 'Matriz POA 2024-TRABAJO'!$A$5:$CY$9142,30,FALSE)</f>
        <v>#N/A</v>
      </c>
      <c r="N97" s="93" t="e">
        <f>VLOOKUP($A97, 'Matriz POA 2024-TRABAJO'!$A$5:$CY$9142,31,FALSE)</f>
        <v>#N/A</v>
      </c>
      <c r="O97" s="93" t="e">
        <f>VLOOKUP($A97, 'Matriz POA 2024-TRABAJO'!$A$5:$CY$9142,45,FALSE)</f>
        <v>#N/A</v>
      </c>
      <c r="P97" s="93" t="e">
        <f>VLOOKUP($A97, 'Matriz POA 2024-TRABAJO'!$A$5:$CY$9142,46,FALSE)</f>
        <v>#N/A</v>
      </c>
      <c r="Q97" s="93" t="e">
        <f>VLOOKUP($A97, 'Matriz POA 2024-TRABAJO'!$A$5:$CY$9142,47,FALSE)</f>
        <v>#N/A</v>
      </c>
      <c r="R97" s="94">
        <f t="shared" si="82"/>
        <v>5529.51</v>
      </c>
      <c r="S97" s="95" t="e">
        <f t="shared" si="83"/>
        <v>#N/A</v>
      </c>
      <c r="T97" s="93" t="e">
        <f>VLOOKUP($A97, 'Matriz POA 2024-TRABAJO'!$A$5:$CY$9142,72,FALSE)</f>
        <v>#N/A</v>
      </c>
      <c r="U97" s="93" t="e">
        <f>VLOOKUP($A97, 'Matriz POA 2024-TRABAJO'!$A$5:$CY$9142,29,FALSE)</f>
        <v>#N/A</v>
      </c>
      <c r="V97" s="94" t="str">
        <f t="shared" si="84"/>
        <v>13ar-29ar-74ar-</v>
      </c>
      <c r="W97" s="97" t="s">
        <v>1158</v>
      </c>
      <c r="X97" s="109">
        <v>45321</v>
      </c>
      <c r="Y97" s="99" t="s">
        <v>1159</v>
      </c>
      <c r="Z97" s="109">
        <v>45321</v>
      </c>
      <c r="AA97" s="98">
        <v>5529.51</v>
      </c>
      <c r="AB97" s="98"/>
      <c r="AC97" s="99">
        <f t="shared" si="90"/>
        <v>0</v>
      </c>
      <c r="AD97" s="110" t="s">
        <v>1160</v>
      </c>
      <c r="AE97" s="97" t="s">
        <v>1161</v>
      </c>
      <c r="AF97" s="101">
        <v>45356</v>
      </c>
      <c r="AG97" s="97"/>
      <c r="AH97" s="101">
        <v>45358</v>
      </c>
      <c r="AI97" s="98">
        <v>-5529.51</v>
      </c>
      <c r="AJ97" s="98"/>
      <c r="AK97" s="99">
        <f t="shared" si="85"/>
        <v>2</v>
      </c>
      <c r="AL97" s="99"/>
      <c r="AM97" s="97" t="s">
        <v>1161</v>
      </c>
      <c r="AN97" s="96">
        <v>45356</v>
      </c>
      <c r="AO97" s="97"/>
      <c r="AP97" s="101">
        <v>45358</v>
      </c>
      <c r="AQ97" s="98">
        <v>5529.51</v>
      </c>
      <c r="AR97" s="98"/>
      <c r="AS97" s="99"/>
      <c r="AT97" s="99" t="s">
        <v>1163</v>
      </c>
      <c r="AU97" s="93" t="s">
        <v>1164</v>
      </c>
      <c r="AV97" s="96">
        <v>45393</v>
      </c>
      <c r="AW97" s="93" t="s">
        <v>1165</v>
      </c>
      <c r="AX97" s="96">
        <v>45394</v>
      </c>
      <c r="AY97" s="355">
        <v>-5529.51</v>
      </c>
      <c r="AZ97" s="98">
        <v>5529.51</v>
      </c>
      <c r="BA97" s="99">
        <f t="shared" si="86"/>
        <v>1</v>
      </c>
      <c r="BB97" s="99"/>
      <c r="BC97" s="93" t="s">
        <v>1813</v>
      </c>
      <c r="BD97" s="103">
        <v>45426</v>
      </c>
      <c r="BE97" s="101" t="s">
        <v>1815</v>
      </c>
      <c r="BF97" s="103">
        <v>45427</v>
      </c>
      <c r="BG97" s="98">
        <v>-5529.51</v>
      </c>
      <c r="BH97" s="102">
        <v>5529.51</v>
      </c>
      <c r="BI97" s="93">
        <f t="shared" si="91"/>
        <v>1</v>
      </c>
      <c r="BJ97" s="93" t="s">
        <v>1814</v>
      </c>
      <c r="BK97" s="93"/>
      <c r="BL97" s="103"/>
      <c r="BM97" s="93"/>
      <c r="BN97" s="103"/>
      <c r="BO97" s="94"/>
      <c r="BP97" s="94"/>
      <c r="BQ97" s="93">
        <f t="shared" si="92"/>
        <v>0</v>
      </c>
      <c r="BR97" s="93"/>
      <c r="BS97" s="93"/>
      <c r="BT97" s="103"/>
      <c r="BU97" s="93"/>
      <c r="BV97" s="103"/>
      <c r="BW97" s="94"/>
      <c r="BX97" s="94"/>
      <c r="BY97" s="93">
        <f t="shared" si="93"/>
        <v>0</v>
      </c>
      <c r="BZ97" s="93"/>
      <c r="CA97" s="104"/>
      <c r="CB97" s="105"/>
      <c r="CC97" s="106"/>
      <c r="CD97" s="107"/>
      <c r="CE97" s="94"/>
      <c r="CF97" s="94"/>
      <c r="CG97" s="93">
        <f t="shared" si="94"/>
        <v>0</v>
      </c>
      <c r="CH97" s="93"/>
      <c r="CI97" s="106"/>
      <c r="CJ97" s="105"/>
      <c r="CK97" s="93"/>
      <c r="CL97" s="105"/>
      <c r="CM97" s="108"/>
      <c r="CN97" s="108"/>
      <c r="CO97" s="93">
        <f t="shared" si="95"/>
        <v>0</v>
      </c>
      <c r="CP97" s="93"/>
      <c r="CQ97" s="93"/>
      <c r="CR97" s="93"/>
      <c r="CS97" s="93"/>
      <c r="CT97" s="93"/>
      <c r="CU97" s="93"/>
      <c r="CV97" s="93"/>
      <c r="CW97" s="93">
        <f t="shared" si="96"/>
        <v>0</v>
      </c>
      <c r="CX97" s="93"/>
      <c r="CY97" s="93" t="str">
        <f>TEXT(X97,"MMMM")</f>
        <v>enero</v>
      </c>
      <c r="CZ97" s="93" t="str">
        <f t="shared" si="87"/>
        <v>marzo</v>
      </c>
      <c r="DA97" s="93" t="str">
        <f t="shared" si="88"/>
        <v>marzo</v>
      </c>
      <c r="DB97" s="93" t="str">
        <f t="shared" si="89"/>
        <v>abril</v>
      </c>
      <c r="DC97" s="93" t="str">
        <f t="shared" si="97"/>
        <v>mayo</v>
      </c>
      <c r="DD97" s="93" t="str">
        <f t="shared" si="98"/>
        <v>enero</v>
      </c>
      <c r="DE97" s="93" t="str">
        <f t="shared" si="99"/>
        <v>enero</v>
      </c>
      <c r="DF97" s="93" t="str">
        <f t="shared" si="100"/>
        <v>enero</v>
      </c>
      <c r="DG97" s="93" t="str">
        <f t="shared" si="101"/>
        <v>enero</v>
      </c>
      <c r="DH97" s="93" t="str">
        <f t="shared" si="102"/>
        <v>enero</v>
      </c>
    </row>
    <row r="98" spans="1:112" s="21" customFormat="1" ht="26.45" hidden="1" customHeight="1">
      <c r="A98" s="93">
        <v>121</v>
      </c>
      <c r="B98" s="93" t="e">
        <f>VLOOKUP($A98,  'Matriz POA 2024-TRABAJO'!$A$5:$CY$9142,29,FALSE)</f>
        <v>#N/A</v>
      </c>
      <c r="C98" s="93" t="e">
        <f>VLOOKUP($A98, 'Matriz POA 2024-TRABAJO'!$A$5:$CY$9142,11,FALSE)</f>
        <v>#N/A</v>
      </c>
      <c r="D98" s="93" t="e">
        <f>VLOOKUP($A98, 'Matriz POA 2024-TRABAJO'!$A$5:$CY$9142,14,FALSE)</f>
        <v>#N/A</v>
      </c>
      <c r="E98" s="93" t="e">
        <f>VLOOKUP($A98, 'Matriz POA 2024-TRABAJO'!$A$5:$CY$9142,15,FALSE)</f>
        <v>#N/A</v>
      </c>
      <c r="F98" s="93" t="e">
        <f>VLOOKUP($A98, 'Matriz POA 2024-TRABAJO'!$A$5:$CY$9142,18,FALSE)</f>
        <v>#N/A</v>
      </c>
      <c r="G98" s="93" t="e">
        <f>VLOOKUP($A98, 'Matriz POA 2024-TRABAJO'!$A$5:$CY$9142,23,FALSE)</f>
        <v>#N/A</v>
      </c>
      <c r="H98" s="93" t="e">
        <f>VLOOKUP($A98, 'Matriz POA 2024-TRABAJO'!$A$5:$CY$9142,24,FALSE)</f>
        <v>#N/A</v>
      </c>
      <c r="I98" s="93" t="e">
        <f>VLOOKUP($A98, 'Matriz POA 2024-TRABAJO'!$A$5:$CY$9142,20,FALSE)</f>
        <v>#N/A</v>
      </c>
      <c r="J98" s="93" t="e">
        <f>VLOOKUP($A98, 'Matriz POA 2024-TRABAJO'!$A$5:$CY$9142,26,FALSE)</f>
        <v>#N/A</v>
      </c>
      <c r="K98" s="93" t="e">
        <f>VLOOKUP($A98, 'Matriz POA 2024-TRABAJO'!$A$5:$CY$9142,27,FALSE)</f>
        <v>#N/A</v>
      </c>
      <c r="L98" s="93" t="e">
        <f>VLOOKUP($A98, 'Matriz POA 2024-TRABAJO'!$A$5:$CY$9142,28,FALSE)</f>
        <v>#N/A</v>
      </c>
      <c r="M98" s="93" t="e">
        <f>VLOOKUP($A98, 'Matriz POA 2024-TRABAJO'!$A$5:$CY$9142,30,FALSE)</f>
        <v>#N/A</v>
      </c>
      <c r="N98" s="93" t="e">
        <f>VLOOKUP($A98, 'Matriz POA 2024-TRABAJO'!$A$5:$CY$9142,31,FALSE)</f>
        <v>#N/A</v>
      </c>
      <c r="O98" s="93" t="e">
        <f>VLOOKUP($A98, 'Matriz POA 2024-TRABAJO'!$A$5:$CY$9142,45,FALSE)</f>
        <v>#N/A</v>
      </c>
      <c r="P98" s="93" t="e">
        <f>VLOOKUP($A98, 'Matriz POA 2024-TRABAJO'!$A$5:$CY$9142,46,FALSE)</f>
        <v>#N/A</v>
      </c>
      <c r="Q98" s="93" t="e">
        <f>VLOOKUP($A98, 'Matriz POA 2024-TRABAJO'!$A$5:$CY$9142,47,FALSE)</f>
        <v>#N/A</v>
      </c>
      <c r="R98" s="94">
        <f t="shared" si="82"/>
        <v>210578.39</v>
      </c>
      <c r="S98" s="95" t="e">
        <f t="shared" si="83"/>
        <v>#N/A</v>
      </c>
      <c r="T98" s="93" t="e">
        <f>VLOOKUP($A98, 'Matriz POA 2024-TRABAJO'!$A$5:$CY$9142,72,FALSE)</f>
        <v>#N/A</v>
      </c>
      <c r="U98" s="93" t="e">
        <f>VLOOKUP($A98, 'Matriz POA 2024-TRABAJO'!$A$5:$CY$9142,29,FALSE)</f>
        <v>#N/A</v>
      </c>
      <c r="V98" s="94" t="str">
        <f t="shared" si="84"/>
        <v>13ar-29ar-74ar-</v>
      </c>
      <c r="W98" s="97" t="s">
        <v>1158</v>
      </c>
      <c r="X98" s="109">
        <v>45321</v>
      </c>
      <c r="Y98" s="99" t="s">
        <v>1159</v>
      </c>
      <c r="Z98" s="109">
        <v>45321</v>
      </c>
      <c r="AA98" s="98">
        <v>210578.39</v>
      </c>
      <c r="AB98" s="98"/>
      <c r="AC98" s="99">
        <f t="shared" si="90"/>
        <v>0</v>
      </c>
      <c r="AD98" s="110" t="s">
        <v>1160</v>
      </c>
      <c r="AE98" s="97" t="s">
        <v>1161</v>
      </c>
      <c r="AF98" s="101">
        <v>45356</v>
      </c>
      <c r="AG98" s="97"/>
      <c r="AH98" s="101">
        <v>45358</v>
      </c>
      <c r="AI98" s="98">
        <v>-210578.39</v>
      </c>
      <c r="AJ98" s="98"/>
      <c r="AK98" s="99">
        <f t="shared" si="85"/>
        <v>2</v>
      </c>
      <c r="AL98" s="99"/>
      <c r="AM98" s="97" t="s">
        <v>1161</v>
      </c>
      <c r="AN98" s="96">
        <v>45356</v>
      </c>
      <c r="AO98" s="97"/>
      <c r="AP98" s="101">
        <v>45358</v>
      </c>
      <c r="AQ98" s="98">
        <v>210578.39</v>
      </c>
      <c r="AR98" s="98"/>
      <c r="AS98" s="99"/>
      <c r="AT98" s="99" t="s">
        <v>1163</v>
      </c>
      <c r="AU98" s="93" t="s">
        <v>1164</v>
      </c>
      <c r="AV98" s="96">
        <v>45393</v>
      </c>
      <c r="AW98" s="93" t="s">
        <v>1165</v>
      </c>
      <c r="AX98" s="96">
        <v>45394</v>
      </c>
      <c r="AY98" s="355">
        <v>-210578.39</v>
      </c>
      <c r="AZ98" s="98">
        <v>210578.39</v>
      </c>
      <c r="BA98" s="99">
        <f t="shared" si="86"/>
        <v>1</v>
      </c>
      <c r="BB98" s="99"/>
      <c r="BC98" s="93" t="s">
        <v>1813</v>
      </c>
      <c r="BD98" s="103">
        <v>45426</v>
      </c>
      <c r="BE98" s="101" t="s">
        <v>1815</v>
      </c>
      <c r="BF98" s="103">
        <v>45427</v>
      </c>
      <c r="BG98" s="98">
        <v>-210578.39</v>
      </c>
      <c r="BH98" s="102">
        <v>210578.39</v>
      </c>
      <c r="BI98" s="93">
        <f t="shared" si="91"/>
        <v>1</v>
      </c>
      <c r="BJ98" s="93" t="s">
        <v>1814</v>
      </c>
      <c r="BK98" s="93"/>
      <c r="BL98" s="103"/>
      <c r="BM98" s="93"/>
      <c r="BN98" s="103"/>
      <c r="BO98" s="94"/>
      <c r="BP98" s="94"/>
      <c r="BQ98" s="93">
        <f t="shared" si="92"/>
        <v>0</v>
      </c>
      <c r="BR98" s="93"/>
      <c r="BS98" s="93"/>
      <c r="BT98" s="103"/>
      <c r="BU98" s="93"/>
      <c r="BV98" s="103"/>
      <c r="BW98" s="94"/>
      <c r="BX98" s="94"/>
      <c r="BY98" s="93">
        <f t="shared" si="93"/>
        <v>0</v>
      </c>
      <c r="BZ98" s="93"/>
      <c r="CA98" s="104"/>
      <c r="CB98" s="105"/>
      <c r="CC98" s="106"/>
      <c r="CD98" s="107"/>
      <c r="CE98" s="94"/>
      <c r="CF98" s="94"/>
      <c r="CG98" s="93">
        <f t="shared" si="94"/>
        <v>0</v>
      </c>
      <c r="CH98" s="93"/>
      <c r="CI98" s="106"/>
      <c r="CJ98" s="105"/>
      <c r="CK98" s="93"/>
      <c r="CL98" s="105"/>
      <c r="CM98" s="108"/>
      <c r="CN98" s="108"/>
      <c r="CO98" s="93">
        <f t="shared" si="95"/>
        <v>0</v>
      </c>
      <c r="CP98" s="93"/>
      <c r="CQ98" s="93"/>
      <c r="CR98" s="93"/>
      <c r="CS98" s="93"/>
      <c r="CT98" s="93"/>
      <c r="CU98" s="93"/>
      <c r="CV98" s="93"/>
      <c r="CW98" s="93">
        <f t="shared" si="96"/>
        <v>0</v>
      </c>
      <c r="CX98" s="93"/>
      <c r="CY98" s="93" t="str">
        <f>TEXT(Z98,"MMMM")</f>
        <v>enero</v>
      </c>
      <c r="CZ98" s="93" t="str">
        <f t="shared" si="87"/>
        <v>marzo</v>
      </c>
      <c r="DA98" s="93" t="str">
        <f t="shared" si="88"/>
        <v>marzo</v>
      </c>
      <c r="DB98" s="93" t="str">
        <f t="shared" si="89"/>
        <v>abril</v>
      </c>
      <c r="DC98" s="93" t="str">
        <f t="shared" si="97"/>
        <v>mayo</v>
      </c>
      <c r="DD98" s="93" t="str">
        <f t="shared" si="98"/>
        <v>enero</v>
      </c>
      <c r="DE98" s="93" t="str">
        <f t="shared" si="99"/>
        <v>enero</v>
      </c>
      <c r="DF98" s="93" t="str">
        <f t="shared" si="100"/>
        <v>enero</v>
      </c>
      <c r="DG98" s="93" t="str">
        <f t="shared" si="101"/>
        <v>enero</v>
      </c>
      <c r="DH98" s="93" t="str">
        <f t="shared" si="102"/>
        <v>enero</v>
      </c>
    </row>
    <row r="99" spans="1:112" s="21" customFormat="1" ht="18.75" hidden="1" customHeight="1">
      <c r="A99" s="93">
        <v>122</v>
      </c>
      <c r="B99" s="93" t="e">
        <f>VLOOKUP($A99,  'Matriz POA 2024-TRABAJO'!$A$5:$CY$9142,29,FALSE)</f>
        <v>#N/A</v>
      </c>
      <c r="C99" s="93" t="e">
        <f>VLOOKUP($A99, 'Matriz POA 2024-TRABAJO'!$A$5:$CY$9142,11,FALSE)</f>
        <v>#N/A</v>
      </c>
      <c r="D99" s="93" t="e">
        <f>VLOOKUP($A99, 'Matriz POA 2024-TRABAJO'!$A$5:$CY$9142,14,FALSE)</f>
        <v>#N/A</v>
      </c>
      <c r="E99" s="93" t="e">
        <f>VLOOKUP($A99, 'Matriz POA 2024-TRABAJO'!$A$5:$CY$9142,15,FALSE)</f>
        <v>#N/A</v>
      </c>
      <c r="F99" s="93" t="e">
        <f>VLOOKUP($A99, 'Matriz POA 2024-TRABAJO'!$A$5:$CY$9142,18,FALSE)</f>
        <v>#N/A</v>
      </c>
      <c r="G99" s="93" t="e">
        <f>VLOOKUP($A99, 'Matriz POA 2024-TRABAJO'!$A$5:$CY$9142,23,FALSE)</f>
        <v>#N/A</v>
      </c>
      <c r="H99" s="93" t="e">
        <f>VLOOKUP($A99, 'Matriz POA 2024-TRABAJO'!$A$5:$CY$9142,24,FALSE)</f>
        <v>#N/A</v>
      </c>
      <c r="I99" s="93" t="e">
        <f>VLOOKUP($A99, 'Matriz POA 2024-TRABAJO'!$A$5:$CY$9142,20,FALSE)</f>
        <v>#N/A</v>
      </c>
      <c r="J99" s="93" t="e">
        <f>VLOOKUP($A99, 'Matriz POA 2024-TRABAJO'!$A$5:$CY$9142,26,FALSE)</f>
        <v>#N/A</v>
      </c>
      <c r="K99" s="93" t="e">
        <f>VLOOKUP($A99, 'Matriz POA 2024-TRABAJO'!$A$5:$CY$9142,27,FALSE)</f>
        <v>#N/A</v>
      </c>
      <c r="L99" s="93" t="e">
        <f>VLOOKUP($A99, 'Matriz POA 2024-TRABAJO'!$A$5:$CY$9142,28,FALSE)</f>
        <v>#N/A</v>
      </c>
      <c r="M99" s="93" t="e">
        <f>VLOOKUP($A99, 'Matriz POA 2024-TRABAJO'!$A$5:$CY$9142,30,FALSE)</f>
        <v>#N/A</v>
      </c>
      <c r="N99" s="93" t="e">
        <f>VLOOKUP($A99, 'Matriz POA 2024-TRABAJO'!$A$5:$CY$9142,31,FALSE)</f>
        <v>#N/A</v>
      </c>
      <c r="O99" s="93" t="e">
        <f>VLOOKUP($A99, 'Matriz POA 2024-TRABAJO'!$A$5:$CY$9142,45,FALSE)</f>
        <v>#N/A</v>
      </c>
      <c r="P99" s="93" t="e">
        <f>VLOOKUP($A99, 'Matriz POA 2024-TRABAJO'!$A$5:$CY$9142,46,FALSE)</f>
        <v>#N/A</v>
      </c>
      <c r="Q99" s="93" t="e">
        <f>VLOOKUP($A99, 'Matriz POA 2024-TRABAJO'!$A$5:$CY$9142,47,FALSE)</f>
        <v>#N/A</v>
      </c>
      <c r="R99" s="94">
        <f t="shared" si="82"/>
        <v>20112</v>
      </c>
      <c r="S99" s="95" t="e">
        <f t="shared" si="83"/>
        <v>#N/A</v>
      </c>
      <c r="T99" s="93" t="e">
        <f>VLOOKUP($A99, 'Matriz POA 2024-TRABAJO'!$A$5:$CY$9142,72,FALSE)</f>
        <v>#N/A</v>
      </c>
      <c r="U99" s="93" t="e">
        <f>VLOOKUP($A99, 'Matriz POA 2024-TRABAJO'!$A$5:$CY$9142,29,FALSE)</f>
        <v>#N/A</v>
      </c>
      <c r="V99" s="94" t="str">
        <f t="shared" si="84"/>
        <v>13ar-29ar-74ar-</v>
      </c>
      <c r="W99" s="97" t="s">
        <v>1158</v>
      </c>
      <c r="X99" s="109">
        <v>45321</v>
      </c>
      <c r="Y99" s="99" t="s">
        <v>1159</v>
      </c>
      <c r="Z99" s="109">
        <v>45321</v>
      </c>
      <c r="AA99" s="98">
        <v>20112</v>
      </c>
      <c r="AB99" s="98"/>
      <c r="AC99" s="99">
        <f t="shared" si="90"/>
        <v>0</v>
      </c>
      <c r="AD99" s="110" t="s">
        <v>1160</v>
      </c>
      <c r="AE99" s="97" t="s">
        <v>1161</v>
      </c>
      <c r="AF99" s="101">
        <v>45356</v>
      </c>
      <c r="AG99" s="97"/>
      <c r="AH99" s="101">
        <v>45358</v>
      </c>
      <c r="AI99" s="98">
        <v>-20112</v>
      </c>
      <c r="AJ99" s="98"/>
      <c r="AK99" s="99">
        <f t="shared" si="85"/>
        <v>2</v>
      </c>
      <c r="AL99" s="99"/>
      <c r="AM99" s="97" t="s">
        <v>1161</v>
      </c>
      <c r="AN99" s="96">
        <v>45356</v>
      </c>
      <c r="AO99" s="97"/>
      <c r="AP99" s="101">
        <v>45358</v>
      </c>
      <c r="AQ99" s="98">
        <v>20112</v>
      </c>
      <c r="AR99" s="98"/>
      <c r="AS99" s="99"/>
      <c r="AT99" s="99" t="s">
        <v>1163</v>
      </c>
      <c r="AU99" s="93" t="s">
        <v>1164</v>
      </c>
      <c r="AV99" s="96">
        <v>45393</v>
      </c>
      <c r="AW99" s="93" t="s">
        <v>1165</v>
      </c>
      <c r="AX99" s="96">
        <v>45394</v>
      </c>
      <c r="AY99" s="355">
        <v>-20112</v>
      </c>
      <c r="AZ99" s="98">
        <v>9812</v>
      </c>
      <c r="BA99" s="99">
        <f t="shared" si="86"/>
        <v>1</v>
      </c>
      <c r="BB99" s="99"/>
      <c r="BC99" s="93" t="s">
        <v>1813</v>
      </c>
      <c r="BD99" s="103">
        <v>45426</v>
      </c>
      <c r="BE99" s="101" t="s">
        <v>1815</v>
      </c>
      <c r="BF99" s="103">
        <v>45427</v>
      </c>
      <c r="BG99" s="98">
        <v>-9812</v>
      </c>
      <c r="BH99" s="102">
        <v>20112</v>
      </c>
      <c r="BI99" s="93">
        <f t="shared" si="91"/>
        <v>1</v>
      </c>
      <c r="BJ99" s="93" t="s">
        <v>1814</v>
      </c>
      <c r="BK99" s="93"/>
      <c r="BL99" s="103"/>
      <c r="BM99" s="93"/>
      <c r="BN99" s="103"/>
      <c r="BO99" s="94"/>
      <c r="BP99" s="94"/>
      <c r="BQ99" s="93">
        <f t="shared" si="92"/>
        <v>0</v>
      </c>
      <c r="BR99" s="93"/>
      <c r="BS99" s="93"/>
      <c r="BT99" s="103"/>
      <c r="BU99" s="93"/>
      <c r="BV99" s="103"/>
      <c r="BW99" s="94"/>
      <c r="BX99" s="94"/>
      <c r="BY99" s="93">
        <f t="shared" si="93"/>
        <v>0</v>
      </c>
      <c r="BZ99" s="93"/>
      <c r="CA99" s="104"/>
      <c r="CB99" s="105"/>
      <c r="CC99" s="106"/>
      <c r="CD99" s="107"/>
      <c r="CE99" s="94"/>
      <c r="CF99" s="94"/>
      <c r="CG99" s="93">
        <f t="shared" si="94"/>
        <v>0</v>
      </c>
      <c r="CH99" s="93"/>
      <c r="CI99" s="106"/>
      <c r="CJ99" s="105"/>
      <c r="CK99" s="93"/>
      <c r="CL99" s="105"/>
      <c r="CM99" s="108"/>
      <c r="CN99" s="108"/>
      <c r="CO99" s="93">
        <f t="shared" si="95"/>
        <v>0</v>
      </c>
      <c r="CP99" s="93"/>
      <c r="CQ99" s="93"/>
      <c r="CR99" s="93"/>
      <c r="CS99" s="93"/>
      <c r="CT99" s="93"/>
      <c r="CU99" s="93"/>
      <c r="CV99" s="93"/>
      <c r="CW99" s="93">
        <f t="shared" si="96"/>
        <v>0</v>
      </c>
      <c r="CX99" s="93"/>
      <c r="CY99" s="93" t="str">
        <f>TEXT(X99,"MMMM")</f>
        <v>enero</v>
      </c>
      <c r="CZ99" s="93" t="str">
        <f t="shared" si="87"/>
        <v>marzo</v>
      </c>
      <c r="DA99" s="93" t="str">
        <f t="shared" si="88"/>
        <v>marzo</v>
      </c>
      <c r="DB99" s="93" t="str">
        <f t="shared" si="89"/>
        <v>abril</v>
      </c>
      <c r="DC99" s="93" t="str">
        <f t="shared" si="97"/>
        <v>mayo</v>
      </c>
      <c r="DD99" s="93" t="str">
        <f t="shared" si="98"/>
        <v>enero</v>
      </c>
      <c r="DE99" s="93" t="str">
        <f t="shared" si="99"/>
        <v>enero</v>
      </c>
      <c r="DF99" s="93" t="str">
        <f t="shared" si="100"/>
        <v>enero</v>
      </c>
      <c r="DG99" s="93" t="str">
        <f t="shared" si="101"/>
        <v>enero</v>
      </c>
      <c r="DH99" s="93" t="str">
        <f t="shared" si="102"/>
        <v>enero</v>
      </c>
    </row>
    <row r="100" spans="1:112" s="21" customFormat="1" ht="18.75" hidden="1" customHeight="1">
      <c r="A100" s="93">
        <v>123</v>
      </c>
      <c r="B100" s="93" t="e">
        <f>VLOOKUP($A100,  'Matriz POA 2024-TRABAJO'!$A$5:$CY$9142,29,FALSE)</f>
        <v>#N/A</v>
      </c>
      <c r="C100" s="93" t="e">
        <f>VLOOKUP($A100, 'Matriz POA 2024-TRABAJO'!$A$5:$CY$9142,11,FALSE)</f>
        <v>#N/A</v>
      </c>
      <c r="D100" s="93" t="e">
        <f>VLOOKUP($A100, 'Matriz POA 2024-TRABAJO'!$A$5:$CY$9142,14,FALSE)</f>
        <v>#N/A</v>
      </c>
      <c r="E100" s="93" t="e">
        <f>VLOOKUP($A100, 'Matriz POA 2024-TRABAJO'!$A$5:$CY$9142,15,FALSE)</f>
        <v>#N/A</v>
      </c>
      <c r="F100" s="93" t="e">
        <f>VLOOKUP($A100, 'Matriz POA 2024-TRABAJO'!$A$5:$CY$9142,18,FALSE)</f>
        <v>#N/A</v>
      </c>
      <c r="G100" s="93" t="e">
        <f>VLOOKUP($A100, 'Matriz POA 2024-TRABAJO'!$A$5:$CY$9142,23,FALSE)</f>
        <v>#N/A</v>
      </c>
      <c r="H100" s="93" t="e">
        <f>VLOOKUP($A100, 'Matriz POA 2024-TRABAJO'!$A$5:$CY$9142,24,FALSE)</f>
        <v>#N/A</v>
      </c>
      <c r="I100" s="93" t="e">
        <f>VLOOKUP($A100, 'Matriz POA 2024-TRABAJO'!$A$5:$CY$9142,20,FALSE)</f>
        <v>#N/A</v>
      </c>
      <c r="J100" s="93" t="e">
        <f>VLOOKUP($A100, 'Matriz POA 2024-TRABAJO'!$A$5:$CY$9142,26,FALSE)</f>
        <v>#N/A</v>
      </c>
      <c r="K100" s="93" t="e">
        <f>VLOOKUP($A100, 'Matriz POA 2024-TRABAJO'!$A$5:$CY$9142,27,FALSE)</f>
        <v>#N/A</v>
      </c>
      <c r="L100" s="93" t="e">
        <f>VLOOKUP($A100, 'Matriz POA 2024-TRABAJO'!$A$5:$CY$9142,28,FALSE)</f>
        <v>#N/A</v>
      </c>
      <c r="M100" s="93" t="e">
        <f>VLOOKUP($A100, 'Matriz POA 2024-TRABAJO'!$A$5:$CY$9142,30,FALSE)</f>
        <v>#N/A</v>
      </c>
      <c r="N100" s="93" t="e">
        <f>VLOOKUP($A100, 'Matriz POA 2024-TRABAJO'!$A$5:$CY$9142,31,FALSE)</f>
        <v>#N/A</v>
      </c>
      <c r="O100" s="93" t="e">
        <f>VLOOKUP($A100, 'Matriz POA 2024-TRABAJO'!$A$5:$CY$9142,45,FALSE)</f>
        <v>#N/A</v>
      </c>
      <c r="P100" s="93" t="e">
        <f>VLOOKUP($A100, 'Matriz POA 2024-TRABAJO'!$A$5:$CY$9142,46,FALSE)</f>
        <v>#N/A</v>
      </c>
      <c r="Q100" s="93" t="e">
        <f>VLOOKUP($A100, 'Matriz POA 2024-TRABAJO'!$A$5:$CY$9142,47,FALSE)</f>
        <v>#N/A</v>
      </c>
      <c r="R100" s="94">
        <f t="shared" si="82"/>
        <v>19448.75</v>
      </c>
      <c r="S100" s="95" t="e">
        <f t="shared" si="83"/>
        <v>#N/A</v>
      </c>
      <c r="T100" s="93" t="e">
        <f>VLOOKUP($A100, 'Matriz POA 2024-TRABAJO'!$A$5:$CY$9142,72,FALSE)</f>
        <v>#N/A</v>
      </c>
      <c r="U100" s="93" t="e">
        <f>VLOOKUP($A100, 'Matriz POA 2024-TRABAJO'!$A$5:$CY$9142,29,FALSE)</f>
        <v>#N/A</v>
      </c>
      <c r="V100" s="94" t="str">
        <f t="shared" si="84"/>
        <v>13ar-29ar-74ar-</v>
      </c>
      <c r="W100" s="97" t="s">
        <v>1158</v>
      </c>
      <c r="X100" s="109">
        <v>45321</v>
      </c>
      <c r="Y100" s="99" t="s">
        <v>1159</v>
      </c>
      <c r="Z100" s="109">
        <v>45321</v>
      </c>
      <c r="AA100" s="98">
        <v>19448.75</v>
      </c>
      <c r="AB100" s="98"/>
      <c r="AC100" s="99">
        <f t="shared" si="90"/>
        <v>0</v>
      </c>
      <c r="AD100" s="110" t="s">
        <v>1160</v>
      </c>
      <c r="AE100" s="97" t="s">
        <v>1161</v>
      </c>
      <c r="AF100" s="101">
        <v>45356</v>
      </c>
      <c r="AG100" s="97"/>
      <c r="AH100" s="101">
        <v>45358</v>
      </c>
      <c r="AI100" s="98">
        <v>-19448.75</v>
      </c>
      <c r="AJ100" s="98"/>
      <c r="AK100" s="99">
        <f t="shared" si="85"/>
        <v>2</v>
      </c>
      <c r="AL100" s="99"/>
      <c r="AM100" s="97" t="s">
        <v>1161</v>
      </c>
      <c r="AN100" s="96">
        <v>45356</v>
      </c>
      <c r="AO100" s="97"/>
      <c r="AP100" s="101">
        <v>45358</v>
      </c>
      <c r="AQ100" s="98">
        <v>19448.75</v>
      </c>
      <c r="AR100" s="98"/>
      <c r="AS100" s="99"/>
      <c r="AT100" s="99" t="s">
        <v>1163</v>
      </c>
      <c r="AU100" s="93" t="s">
        <v>1164</v>
      </c>
      <c r="AV100" s="96">
        <v>45393</v>
      </c>
      <c r="AW100" s="93" t="s">
        <v>1165</v>
      </c>
      <c r="AX100" s="96">
        <v>45394</v>
      </c>
      <c r="AY100" s="355">
        <v>-19448.75</v>
      </c>
      <c r="AZ100" s="98">
        <v>19448.75</v>
      </c>
      <c r="BA100" s="99">
        <f t="shared" si="86"/>
        <v>1</v>
      </c>
      <c r="BB100" s="99"/>
      <c r="BC100" s="93" t="s">
        <v>1813</v>
      </c>
      <c r="BD100" s="103">
        <v>45426</v>
      </c>
      <c r="BE100" s="101" t="s">
        <v>1815</v>
      </c>
      <c r="BF100" s="103">
        <v>45427</v>
      </c>
      <c r="BG100" s="98">
        <v>-19448.75</v>
      </c>
      <c r="BH100" s="102">
        <v>19448.75</v>
      </c>
      <c r="BI100" s="93">
        <f t="shared" si="91"/>
        <v>1</v>
      </c>
      <c r="BJ100" s="93" t="s">
        <v>1814</v>
      </c>
      <c r="BK100" s="93"/>
      <c r="BL100" s="103"/>
      <c r="BM100" s="93"/>
      <c r="BN100" s="103"/>
      <c r="BO100" s="94"/>
      <c r="BP100" s="94"/>
      <c r="BQ100" s="93">
        <f t="shared" si="92"/>
        <v>0</v>
      </c>
      <c r="BR100" s="93"/>
      <c r="BS100" s="93"/>
      <c r="BT100" s="103"/>
      <c r="BU100" s="93"/>
      <c r="BV100" s="103"/>
      <c r="BW100" s="94"/>
      <c r="BX100" s="94"/>
      <c r="BY100" s="93">
        <f t="shared" si="93"/>
        <v>0</v>
      </c>
      <c r="BZ100" s="93"/>
      <c r="CA100" s="104"/>
      <c r="CB100" s="105"/>
      <c r="CC100" s="106"/>
      <c r="CD100" s="107"/>
      <c r="CE100" s="94"/>
      <c r="CF100" s="94"/>
      <c r="CG100" s="93">
        <f t="shared" si="94"/>
        <v>0</v>
      </c>
      <c r="CH100" s="93"/>
      <c r="CI100" s="106"/>
      <c r="CJ100" s="105"/>
      <c r="CK100" s="93"/>
      <c r="CL100" s="105"/>
      <c r="CM100" s="108"/>
      <c r="CN100" s="108"/>
      <c r="CO100" s="93">
        <f t="shared" si="95"/>
        <v>0</v>
      </c>
      <c r="CP100" s="93"/>
      <c r="CQ100" s="93"/>
      <c r="CR100" s="93"/>
      <c r="CS100" s="93"/>
      <c r="CT100" s="93"/>
      <c r="CU100" s="93"/>
      <c r="CV100" s="93"/>
      <c r="CW100" s="93">
        <f t="shared" si="96"/>
        <v>0</v>
      </c>
      <c r="CX100" s="93"/>
      <c r="CY100" s="93" t="str">
        <f>TEXT(X100,"MMMM")</f>
        <v>enero</v>
      </c>
      <c r="CZ100" s="93" t="str">
        <f t="shared" si="87"/>
        <v>marzo</v>
      </c>
      <c r="DA100" s="93" t="str">
        <f t="shared" si="88"/>
        <v>marzo</v>
      </c>
      <c r="DB100" s="93" t="str">
        <f t="shared" si="89"/>
        <v>abril</v>
      </c>
      <c r="DC100" s="93" t="str">
        <f t="shared" si="97"/>
        <v>mayo</v>
      </c>
      <c r="DD100" s="93" t="str">
        <f t="shared" si="98"/>
        <v>enero</v>
      </c>
      <c r="DE100" s="93" t="str">
        <f t="shared" si="99"/>
        <v>enero</v>
      </c>
      <c r="DF100" s="93" t="str">
        <f t="shared" si="100"/>
        <v>enero</v>
      </c>
      <c r="DG100" s="93" t="str">
        <f t="shared" si="101"/>
        <v>enero</v>
      </c>
      <c r="DH100" s="93" t="str">
        <f t="shared" si="102"/>
        <v>enero</v>
      </c>
    </row>
    <row r="101" spans="1:112" ht="15" hidden="1" customHeight="1">
      <c r="A101" s="93">
        <v>124</v>
      </c>
      <c r="B101" s="93" t="e">
        <f>VLOOKUP($A101,  'Matriz POA 2024-TRABAJO'!$A$5:$CY$9142,29,FALSE)</f>
        <v>#N/A</v>
      </c>
      <c r="C101" s="93" t="e">
        <f>VLOOKUP($A101, 'Matriz POA 2024-TRABAJO'!$A$5:$CY$9142,11,FALSE)</f>
        <v>#N/A</v>
      </c>
      <c r="D101" s="93" t="e">
        <f>VLOOKUP($A101, 'Matriz POA 2024-TRABAJO'!$A$5:$CY$9142,14,FALSE)</f>
        <v>#N/A</v>
      </c>
      <c r="E101" s="93" t="e">
        <f>VLOOKUP($A101, 'Matriz POA 2024-TRABAJO'!$A$5:$CY$9142,15,FALSE)</f>
        <v>#N/A</v>
      </c>
      <c r="F101" s="93" t="e">
        <f>VLOOKUP($A101, 'Matriz POA 2024-TRABAJO'!$A$5:$CY$9142,18,FALSE)</f>
        <v>#N/A</v>
      </c>
      <c r="G101" s="93" t="e">
        <f>VLOOKUP($A101, 'Matriz POA 2024-TRABAJO'!$A$5:$CY$9142,23,FALSE)</f>
        <v>#N/A</v>
      </c>
      <c r="H101" s="93" t="e">
        <f>VLOOKUP($A101, 'Matriz POA 2024-TRABAJO'!$A$5:$CY$9142,24,FALSE)</f>
        <v>#N/A</v>
      </c>
      <c r="I101" s="93" t="e">
        <f>VLOOKUP($A101, 'Matriz POA 2024-TRABAJO'!$A$5:$CY$9142,20,FALSE)</f>
        <v>#N/A</v>
      </c>
      <c r="J101" s="93" t="e">
        <f>VLOOKUP($A101, 'Matriz POA 2024-TRABAJO'!$A$5:$CY$9142,26,FALSE)</f>
        <v>#N/A</v>
      </c>
      <c r="K101" s="93" t="e">
        <f>VLOOKUP($A101, 'Matriz POA 2024-TRABAJO'!$A$5:$CY$9142,27,FALSE)</f>
        <v>#N/A</v>
      </c>
      <c r="L101" s="93" t="e">
        <f>VLOOKUP($A101, 'Matriz POA 2024-TRABAJO'!$A$5:$CY$9142,28,FALSE)</f>
        <v>#N/A</v>
      </c>
      <c r="M101" s="93" t="e">
        <f>VLOOKUP($A101, 'Matriz POA 2024-TRABAJO'!$A$5:$CY$9142,30,FALSE)</f>
        <v>#N/A</v>
      </c>
      <c r="N101" s="93" t="e">
        <f>VLOOKUP($A101, 'Matriz POA 2024-TRABAJO'!$A$5:$CY$9142,31,FALSE)</f>
        <v>#N/A</v>
      </c>
      <c r="O101" s="93" t="e">
        <f>VLOOKUP($A101, 'Matriz POA 2024-TRABAJO'!$A$5:$CY$9142,45,FALSE)</f>
        <v>#N/A</v>
      </c>
      <c r="P101" s="93" t="e">
        <f>VLOOKUP($A101, 'Matriz POA 2024-TRABAJO'!$A$5:$CY$9142,46,FALSE)</f>
        <v>#N/A</v>
      </c>
      <c r="Q101" s="93" t="e">
        <f>VLOOKUP($A101, 'Matriz POA 2024-TRABAJO'!$A$5:$CY$9142,47,FALSE)</f>
        <v>#N/A</v>
      </c>
      <c r="R101" s="94">
        <f t="shared" si="82"/>
        <v>5175.3500000000004</v>
      </c>
      <c r="S101" s="95" t="e">
        <f t="shared" si="83"/>
        <v>#N/A</v>
      </c>
      <c r="T101" s="93" t="e">
        <f>VLOOKUP($A101, 'Matriz POA 2024-TRABAJO'!$A$5:$CY$9142,72,FALSE)</f>
        <v>#N/A</v>
      </c>
      <c r="U101" s="93" t="e">
        <f>VLOOKUP($A101, 'Matriz POA 2024-TRABAJO'!$A$5:$CY$9142,29,FALSE)</f>
        <v>#N/A</v>
      </c>
      <c r="V101" s="94" t="str">
        <f t="shared" si="84"/>
        <v>13ar-29ar-74ar-</v>
      </c>
      <c r="W101" s="97" t="s">
        <v>1158</v>
      </c>
      <c r="X101" s="109">
        <v>45321</v>
      </c>
      <c r="Y101" s="99" t="s">
        <v>1159</v>
      </c>
      <c r="Z101" s="109">
        <v>45321</v>
      </c>
      <c r="AA101" s="98">
        <v>5175.3500000000004</v>
      </c>
      <c r="AB101" s="98"/>
      <c r="AC101" s="99">
        <f t="shared" si="90"/>
        <v>0</v>
      </c>
      <c r="AD101" s="110" t="s">
        <v>1160</v>
      </c>
      <c r="AE101" s="97" t="s">
        <v>1161</v>
      </c>
      <c r="AF101" s="101">
        <v>45356</v>
      </c>
      <c r="AG101" s="97"/>
      <c r="AH101" s="101">
        <v>45358</v>
      </c>
      <c r="AI101" s="98">
        <v>-5175.3500000000004</v>
      </c>
      <c r="AJ101" s="98"/>
      <c r="AK101" s="99">
        <f t="shared" si="85"/>
        <v>2</v>
      </c>
      <c r="AL101" s="99"/>
      <c r="AM101" s="97" t="s">
        <v>1161</v>
      </c>
      <c r="AN101" s="96">
        <v>45356</v>
      </c>
      <c r="AO101" s="97"/>
      <c r="AP101" s="101">
        <v>45358</v>
      </c>
      <c r="AQ101" s="98">
        <v>5175.3500000000004</v>
      </c>
      <c r="AR101" s="98"/>
      <c r="AS101" s="99"/>
      <c r="AT101" s="99" t="s">
        <v>1163</v>
      </c>
      <c r="AU101" s="93" t="s">
        <v>1164</v>
      </c>
      <c r="AV101" s="96">
        <v>45393</v>
      </c>
      <c r="AW101" s="93" t="s">
        <v>1165</v>
      </c>
      <c r="AX101" s="96">
        <v>45394</v>
      </c>
      <c r="AY101" s="355">
        <v>-5175.3500000000004</v>
      </c>
      <c r="AZ101" s="98">
        <v>5175.3500000000004</v>
      </c>
      <c r="BA101" s="99">
        <f t="shared" si="86"/>
        <v>1</v>
      </c>
      <c r="BB101" s="99"/>
      <c r="BC101" s="93" t="s">
        <v>1813</v>
      </c>
      <c r="BD101" s="103">
        <v>45426</v>
      </c>
      <c r="BE101" s="101" t="s">
        <v>1815</v>
      </c>
      <c r="BF101" s="103">
        <v>45427</v>
      </c>
      <c r="BG101" s="98">
        <v>-5175.3500000000004</v>
      </c>
      <c r="BH101" s="102">
        <v>5175.3500000000004</v>
      </c>
      <c r="BI101" s="93">
        <f t="shared" si="91"/>
        <v>1</v>
      </c>
      <c r="BJ101" s="93" t="s">
        <v>1814</v>
      </c>
      <c r="BK101" s="93"/>
      <c r="BL101" s="103"/>
      <c r="BM101" s="93"/>
      <c r="BN101" s="103"/>
      <c r="BO101" s="94"/>
      <c r="BP101" s="94"/>
      <c r="BQ101" s="93">
        <f t="shared" si="92"/>
        <v>0</v>
      </c>
      <c r="BR101" s="93"/>
      <c r="BS101" s="93"/>
      <c r="BT101" s="103"/>
      <c r="BU101" s="93"/>
      <c r="BV101" s="103"/>
      <c r="BW101" s="94"/>
      <c r="BX101" s="94"/>
      <c r="BY101" s="93">
        <f t="shared" si="93"/>
        <v>0</v>
      </c>
      <c r="BZ101" s="93"/>
      <c r="CA101" s="104"/>
      <c r="CB101" s="105"/>
      <c r="CC101" s="106"/>
      <c r="CD101" s="107"/>
      <c r="CE101" s="94"/>
      <c r="CF101" s="94"/>
      <c r="CG101" s="93">
        <f t="shared" si="94"/>
        <v>0</v>
      </c>
      <c r="CH101" s="93"/>
      <c r="CI101" s="106"/>
      <c r="CJ101" s="105"/>
      <c r="CK101" s="93"/>
      <c r="CL101" s="105"/>
      <c r="CM101" s="108"/>
      <c r="CN101" s="108"/>
      <c r="CO101" s="93">
        <f t="shared" si="95"/>
        <v>0</v>
      </c>
      <c r="CP101" s="93"/>
      <c r="CQ101" s="93"/>
      <c r="CR101" s="93"/>
      <c r="CS101" s="93"/>
      <c r="CT101" s="93"/>
      <c r="CU101" s="93"/>
      <c r="CV101" s="93"/>
      <c r="CW101" s="93">
        <f t="shared" si="96"/>
        <v>0</v>
      </c>
      <c r="CX101" s="93"/>
      <c r="CY101" s="93" t="str">
        <f>TEXT(X101,"MMMM")</f>
        <v>enero</v>
      </c>
      <c r="CZ101" s="93" t="str">
        <f t="shared" si="87"/>
        <v>marzo</v>
      </c>
      <c r="DA101" s="93" t="str">
        <f t="shared" si="88"/>
        <v>marzo</v>
      </c>
      <c r="DB101" s="93" t="str">
        <f t="shared" si="89"/>
        <v>abril</v>
      </c>
      <c r="DC101" s="93" t="str">
        <f t="shared" si="97"/>
        <v>mayo</v>
      </c>
      <c r="DD101" s="93" t="str">
        <f t="shared" si="98"/>
        <v>enero</v>
      </c>
      <c r="DE101" s="93" t="str">
        <f t="shared" si="99"/>
        <v>enero</v>
      </c>
      <c r="DF101" s="93" t="str">
        <f t="shared" si="100"/>
        <v>enero</v>
      </c>
      <c r="DG101" s="93" t="str">
        <f t="shared" si="101"/>
        <v>enero</v>
      </c>
      <c r="DH101" s="93" t="str">
        <f t="shared" si="102"/>
        <v>enero</v>
      </c>
    </row>
    <row r="102" spans="1:112" s="21" customFormat="1" ht="26.45" hidden="1" customHeight="1">
      <c r="A102" s="93">
        <v>125</v>
      </c>
      <c r="B102" s="93" t="e">
        <f>VLOOKUP($A102,  'Matriz POA 2024-TRABAJO'!$A$5:$CY$9142,29,FALSE)</f>
        <v>#N/A</v>
      </c>
      <c r="C102" s="93" t="e">
        <f>VLOOKUP($A102, 'Matriz POA 2024-TRABAJO'!$A$5:$CY$9142,11,FALSE)</f>
        <v>#N/A</v>
      </c>
      <c r="D102" s="93" t="e">
        <f>VLOOKUP($A102, 'Matriz POA 2024-TRABAJO'!$A$5:$CY$9142,14,FALSE)</f>
        <v>#N/A</v>
      </c>
      <c r="E102" s="93" t="e">
        <f>VLOOKUP($A102, 'Matriz POA 2024-TRABAJO'!$A$5:$CY$9142,15,FALSE)</f>
        <v>#N/A</v>
      </c>
      <c r="F102" s="93" t="e">
        <f>VLOOKUP($A102, 'Matriz POA 2024-TRABAJO'!$A$5:$CY$9142,18,FALSE)</f>
        <v>#N/A</v>
      </c>
      <c r="G102" s="93" t="e">
        <f>VLOOKUP($A102, 'Matriz POA 2024-TRABAJO'!$A$5:$CY$9142,23,FALSE)</f>
        <v>#N/A</v>
      </c>
      <c r="H102" s="93" t="e">
        <f>VLOOKUP($A102, 'Matriz POA 2024-TRABAJO'!$A$5:$CY$9142,24,FALSE)</f>
        <v>#N/A</v>
      </c>
      <c r="I102" s="93" t="e">
        <f>VLOOKUP($A102, 'Matriz POA 2024-TRABAJO'!$A$5:$CY$9142,20,FALSE)</f>
        <v>#N/A</v>
      </c>
      <c r="J102" s="93" t="e">
        <f>VLOOKUP($A102, 'Matriz POA 2024-TRABAJO'!$A$5:$CY$9142,26,FALSE)</f>
        <v>#N/A</v>
      </c>
      <c r="K102" s="93" t="e">
        <f>VLOOKUP($A102, 'Matriz POA 2024-TRABAJO'!$A$5:$CY$9142,27,FALSE)</f>
        <v>#N/A</v>
      </c>
      <c r="L102" s="93" t="e">
        <f>VLOOKUP($A102, 'Matriz POA 2024-TRABAJO'!$A$5:$CY$9142,28,FALSE)</f>
        <v>#N/A</v>
      </c>
      <c r="M102" s="93" t="e">
        <f>VLOOKUP($A102, 'Matriz POA 2024-TRABAJO'!$A$5:$CY$9142,30,FALSE)</f>
        <v>#N/A</v>
      </c>
      <c r="N102" s="93" t="e">
        <f>VLOOKUP($A102, 'Matriz POA 2024-TRABAJO'!$A$5:$CY$9142,31,FALSE)</f>
        <v>#N/A</v>
      </c>
      <c r="O102" s="93" t="e">
        <f>VLOOKUP($A102, 'Matriz POA 2024-TRABAJO'!$A$5:$CY$9142,45,FALSE)</f>
        <v>#N/A</v>
      </c>
      <c r="P102" s="93" t="e">
        <f>VLOOKUP($A102, 'Matriz POA 2024-TRABAJO'!$A$5:$CY$9142,46,FALSE)</f>
        <v>#N/A</v>
      </c>
      <c r="Q102" s="93" t="e">
        <f>VLOOKUP($A102, 'Matriz POA 2024-TRABAJO'!$A$5:$CY$9142,47,FALSE)</f>
        <v>#N/A</v>
      </c>
      <c r="R102" s="94">
        <f t="shared" si="82"/>
        <v>2694.29</v>
      </c>
      <c r="S102" s="95" t="e">
        <f t="shared" si="83"/>
        <v>#N/A</v>
      </c>
      <c r="T102" s="93" t="e">
        <f>VLOOKUP($A102, 'Matriz POA 2024-TRABAJO'!$A$5:$CY$9142,72,FALSE)</f>
        <v>#N/A</v>
      </c>
      <c r="U102" s="93" t="e">
        <f>VLOOKUP($A102, 'Matriz POA 2024-TRABAJO'!$A$5:$CY$9142,29,FALSE)</f>
        <v>#N/A</v>
      </c>
      <c r="V102" s="94" t="str">
        <f t="shared" si="84"/>
        <v>13ar-29ar-74ar-</v>
      </c>
      <c r="W102" s="97" t="s">
        <v>1158</v>
      </c>
      <c r="X102" s="109">
        <v>45321</v>
      </c>
      <c r="Y102" s="99" t="s">
        <v>1159</v>
      </c>
      <c r="Z102" s="109">
        <v>45321</v>
      </c>
      <c r="AA102" s="98">
        <v>2694.29</v>
      </c>
      <c r="AB102" s="98"/>
      <c r="AC102" s="99">
        <f t="shared" si="90"/>
        <v>0</v>
      </c>
      <c r="AD102" s="110" t="s">
        <v>1160</v>
      </c>
      <c r="AE102" s="97" t="s">
        <v>1161</v>
      </c>
      <c r="AF102" s="101">
        <v>45356</v>
      </c>
      <c r="AG102" s="97"/>
      <c r="AH102" s="101">
        <v>45358</v>
      </c>
      <c r="AI102" s="98">
        <v>-2694.29</v>
      </c>
      <c r="AJ102" s="98"/>
      <c r="AK102" s="99">
        <f t="shared" si="85"/>
        <v>2</v>
      </c>
      <c r="AL102" s="99"/>
      <c r="AM102" s="97" t="s">
        <v>1161</v>
      </c>
      <c r="AN102" s="96">
        <v>45356</v>
      </c>
      <c r="AO102" s="97"/>
      <c r="AP102" s="101">
        <v>45358</v>
      </c>
      <c r="AQ102" s="98">
        <v>2694.29</v>
      </c>
      <c r="AR102" s="98"/>
      <c r="AS102" s="99"/>
      <c r="AT102" s="99" t="s">
        <v>1163</v>
      </c>
      <c r="AU102" s="93" t="s">
        <v>1164</v>
      </c>
      <c r="AV102" s="96">
        <v>45393</v>
      </c>
      <c r="AW102" s="93" t="s">
        <v>1165</v>
      </c>
      <c r="AX102" s="96">
        <v>45394</v>
      </c>
      <c r="AY102" s="355">
        <v>-2694.29</v>
      </c>
      <c r="AZ102" s="98">
        <v>2694.29</v>
      </c>
      <c r="BA102" s="99">
        <f t="shared" si="86"/>
        <v>1</v>
      </c>
      <c r="BB102" s="99"/>
      <c r="BC102" s="93" t="s">
        <v>1813</v>
      </c>
      <c r="BD102" s="103">
        <v>45426</v>
      </c>
      <c r="BE102" s="101" t="s">
        <v>1815</v>
      </c>
      <c r="BF102" s="103">
        <v>45427</v>
      </c>
      <c r="BG102" s="98">
        <v>-2694.29</v>
      </c>
      <c r="BH102" s="102">
        <v>2694.29</v>
      </c>
      <c r="BI102" s="93">
        <f t="shared" si="91"/>
        <v>1</v>
      </c>
      <c r="BJ102" s="93" t="s">
        <v>1814</v>
      </c>
      <c r="BK102" s="93"/>
      <c r="BL102" s="103"/>
      <c r="BM102" s="93"/>
      <c r="BN102" s="103"/>
      <c r="BO102" s="94"/>
      <c r="BP102" s="94"/>
      <c r="BQ102" s="93">
        <f t="shared" si="92"/>
        <v>0</v>
      </c>
      <c r="BR102" s="93"/>
      <c r="BS102" s="93"/>
      <c r="BT102" s="103"/>
      <c r="BU102" s="93"/>
      <c r="BV102" s="103"/>
      <c r="BW102" s="94"/>
      <c r="BX102" s="94"/>
      <c r="BY102" s="93">
        <f t="shared" si="93"/>
        <v>0</v>
      </c>
      <c r="BZ102" s="93"/>
      <c r="CA102" s="104"/>
      <c r="CB102" s="105"/>
      <c r="CC102" s="106"/>
      <c r="CD102" s="107"/>
      <c r="CE102" s="94"/>
      <c r="CF102" s="94"/>
      <c r="CG102" s="93">
        <f t="shared" si="94"/>
        <v>0</v>
      </c>
      <c r="CH102" s="93"/>
      <c r="CI102" s="106"/>
      <c r="CJ102" s="105"/>
      <c r="CK102" s="93"/>
      <c r="CL102" s="105"/>
      <c r="CM102" s="108"/>
      <c r="CN102" s="108"/>
      <c r="CO102" s="93">
        <f t="shared" si="95"/>
        <v>0</v>
      </c>
      <c r="CP102" s="93"/>
      <c r="CQ102" s="93"/>
      <c r="CR102" s="93"/>
      <c r="CS102" s="93"/>
      <c r="CT102" s="93"/>
      <c r="CU102" s="93"/>
      <c r="CV102" s="93"/>
      <c r="CW102" s="93">
        <f t="shared" si="96"/>
        <v>0</v>
      </c>
      <c r="CX102" s="93"/>
      <c r="CY102" s="93" t="str">
        <f>TEXT(Z102,"MMMM")</f>
        <v>enero</v>
      </c>
      <c r="CZ102" s="93" t="str">
        <f t="shared" si="87"/>
        <v>marzo</v>
      </c>
      <c r="DA102" s="93" t="str">
        <f t="shared" si="88"/>
        <v>marzo</v>
      </c>
      <c r="DB102" s="93" t="str">
        <f t="shared" si="89"/>
        <v>abril</v>
      </c>
      <c r="DC102" s="93" t="str">
        <f t="shared" si="97"/>
        <v>mayo</v>
      </c>
      <c r="DD102" s="93" t="str">
        <f t="shared" si="98"/>
        <v>enero</v>
      </c>
      <c r="DE102" s="93" t="str">
        <f t="shared" si="99"/>
        <v>enero</v>
      </c>
      <c r="DF102" s="93" t="str">
        <f t="shared" si="100"/>
        <v>enero</v>
      </c>
      <c r="DG102" s="93" t="str">
        <f t="shared" si="101"/>
        <v>enero</v>
      </c>
      <c r="DH102" s="93" t="str">
        <f t="shared" si="102"/>
        <v>enero</v>
      </c>
    </row>
    <row r="103" spans="1:112" s="21" customFormat="1" ht="18.75" hidden="1" customHeight="1">
      <c r="A103" s="93">
        <v>127</v>
      </c>
      <c r="B103" s="93" t="e">
        <f>VLOOKUP($A103,  'Matriz POA 2024-TRABAJO'!$A$5:$CY$9142,29,FALSE)</f>
        <v>#N/A</v>
      </c>
      <c r="C103" s="93" t="e">
        <f>VLOOKUP($A103, 'Matriz POA 2024-TRABAJO'!$A$5:$CY$9142,11,FALSE)</f>
        <v>#N/A</v>
      </c>
      <c r="D103" s="93" t="e">
        <f>VLOOKUP($A103, 'Matriz POA 2024-TRABAJO'!$A$5:$CY$9142,14,FALSE)</f>
        <v>#N/A</v>
      </c>
      <c r="E103" s="93" t="e">
        <f>VLOOKUP($A103, 'Matriz POA 2024-TRABAJO'!$A$5:$CY$9142,15,FALSE)</f>
        <v>#N/A</v>
      </c>
      <c r="F103" s="93" t="e">
        <f>VLOOKUP($A103, 'Matriz POA 2024-TRABAJO'!$A$5:$CY$9142,18,FALSE)</f>
        <v>#N/A</v>
      </c>
      <c r="G103" s="93" t="e">
        <f>VLOOKUP($A103, 'Matriz POA 2024-TRABAJO'!$A$5:$CY$9142,23,FALSE)</f>
        <v>#N/A</v>
      </c>
      <c r="H103" s="93" t="e">
        <f>VLOOKUP($A103, 'Matriz POA 2024-TRABAJO'!$A$5:$CY$9142,24,FALSE)</f>
        <v>#N/A</v>
      </c>
      <c r="I103" s="93" t="e">
        <f>VLOOKUP($A103, 'Matriz POA 2024-TRABAJO'!$A$5:$CY$9142,20,FALSE)</f>
        <v>#N/A</v>
      </c>
      <c r="J103" s="93" t="e">
        <f>VLOOKUP($A103, 'Matriz POA 2024-TRABAJO'!$A$5:$CY$9142,26,FALSE)</f>
        <v>#N/A</v>
      </c>
      <c r="K103" s="93" t="e">
        <f>VLOOKUP($A103, 'Matriz POA 2024-TRABAJO'!$A$5:$CY$9142,27,FALSE)</f>
        <v>#N/A</v>
      </c>
      <c r="L103" s="93" t="e">
        <f>VLOOKUP($A103, 'Matriz POA 2024-TRABAJO'!$A$5:$CY$9142,28,FALSE)</f>
        <v>#N/A</v>
      </c>
      <c r="M103" s="93" t="e">
        <f>VLOOKUP($A103, 'Matriz POA 2024-TRABAJO'!$A$5:$CY$9142,30,FALSE)</f>
        <v>#N/A</v>
      </c>
      <c r="N103" s="93" t="e">
        <f>VLOOKUP($A103, 'Matriz POA 2024-TRABAJO'!$A$5:$CY$9142,31,FALSE)</f>
        <v>#N/A</v>
      </c>
      <c r="O103" s="93" t="e">
        <f>VLOOKUP($A103, 'Matriz POA 2024-TRABAJO'!$A$5:$CY$9142,45,FALSE)</f>
        <v>#N/A</v>
      </c>
      <c r="P103" s="93" t="e">
        <f>VLOOKUP($A103, 'Matriz POA 2024-TRABAJO'!$A$5:$CY$9142,46,FALSE)</f>
        <v>#N/A</v>
      </c>
      <c r="Q103" s="93" t="e">
        <f>VLOOKUP($A103, 'Matriz POA 2024-TRABAJO'!$A$5:$CY$9142,47,FALSE)</f>
        <v>#N/A</v>
      </c>
      <c r="R103" s="94">
        <f t="shared" si="82"/>
        <v>22521.53</v>
      </c>
      <c r="S103" s="95" t="e">
        <f t="shared" si="83"/>
        <v>#N/A</v>
      </c>
      <c r="T103" s="93" t="e">
        <f>VLOOKUP($A103, 'Matriz POA 2024-TRABAJO'!$A$5:$CY$9142,72,FALSE)</f>
        <v>#N/A</v>
      </c>
      <c r="U103" s="93" t="e">
        <f>VLOOKUP($A103, 'Matriz POA 2024-TRABAJO'!$A$5:$CY$9142,29,FALSE)</f>
        <v>#N/A</v>
      </c>
      <c r="V103" s="94" t="str">
        <f t="shared" si="84"/>
        <v>13ar-29ar-74ar-</v>
      </c>
      <c r="W103" s="97" t="s">
        <v>1158</v>
      </c>
      <c r="X103" s="109">
        <v>45321</v>
      </c>
      <c r="Y103" s="99" t="s">
        <v>1159</v>
      </c>
      <c r="Z103" s="109">
        <v>45321</v>
      </c>
      <c r="AA103" s="98">
        <v>22521.53</v>
      </c>
      <c r="AB103" s="98"/>
      <c r="AC103" s="99">
        <f t="shared" si="90"/>
        <v>0</v>
      </c>
      <c r="AD103" s="110" t="s">
        <v>1160</v>
      </c>
      <c r="AE103" s="97" t="s">
        <v>1161</v>
      </c>
      <c r="AF103" s="101">
        <v>45356</v>
      </c>
      <c r="AG103" s="97"/>
      <c r="AH103" s="101">
        <v>45358</v>
      </c>
      <c r="AI103" s="98">
        <v>-22521.53</v>
      </c>
      <c r="AJ103" s="98"/>
      <c r="AK103" s="99">
        <f t="shared" si="85"/>
        <v>2</v>
      </c>
      <c r="AL103" s="99"/>
      <c r="AM103" s="97" t="s">
        <v>1161</v>
      </c>
      <c r="AN103" s="96">
        <v>45356</v>
      </c>
      <c r="AO103" s="97"/>
      <c r="AP103" s="101">
        <v>45358</v>
      </c>
      <c r="AQ103" s="98">
        <v>22521.53</v>
      </c>
      <c r="AR103" s="98"/>
      <c r="AS103" s="99"/>
      <c r="AT103" s="99" t="s">
        <v>1163</v>
      </c>
      <c r="AU103" s="93" t="s">
        <v>1164</v>
      </c>
      <c r="AV103" s="96">
        <v>45393</v>
      </c>
      <c r="AW103" s="93" t="s">
        <v>1165</v>
      </c>
      <c r="AX103" s="96">
        <v>45394</v>
      </c>
      <c r="AY103" s="355">
        <v>-22521.53</v>
      </c>
      <c r="AZ103" s="98">
        <v>22521.53</v>
      </c>
      <c r="BA103" s="99">
        <f t="shared" si="86"/>
        <v>1</v>
      </c>
      <c r="BB103" s="99"/>
      <c r="BC103" s="93" t="s">
        <v>1813</v>
      </c>
      <c r="BD103" s="103">
        <v>45426</v>
      </c>
      <c r="BE103" s="101" t="s">
        <v>1815</v>
      </c>
      <c r="BF103" s="103">
        <v>45427</v>
      </c>
      <c r="BG103" s="98">
        <v>-22521.53</v>
      </c>
      <c r="BH103" s="102">
        <v>22521.53</v>
      </c>
      <c r="BI103" s="93">
        <f t="shared" si="91"/>
        <v>1</v>
      </c>
      <c r="BJ103" s="93" t="s">
        <v>1814</v>
      </c>
      <c r="BK103" s="93"/>
      <c r="BL103" s="103"/>
      <c r="BM103" s="93"/>
      <c r="BN103" s="103"/>
      <c r="BO103" s="94"/>
      <c r="BP103" s="94"/>
      <c r="BQ103" s="93">
        <f t="shared" si="92"/>
        <v>0</v>
      </c>
      <c r="BR103" s="93"/>
      <c r="BS103" s="93"/>
      <c r="BT103" s="103"/>
      <c r="BU103" s="93"/>
      <c r="BV103" s="103"/>
      <c r="BW103" s="94"/>
      <c r="BX103" s="94"/>
      <c r="BY103" s="93">
        <f t="shared" si="93"/>
        <v>0</v>
      </c>
      <c r="BZ103" s="93"/>
      <c r="CA103" s="104"/>
      <c r="CB103" s="105"/>
      <c r="CC103" s="106"/>
      <c r="CD103" s="107"/>
      <c r="CE103" s="94"/>
      <c r="CF103" s="94"/>
      <c r="CG103" s="93">
        <f t="shared" si="94"/>
        <v>0</v>
      </c>
      <c r="CH103" s="93"/>
      <c r="CI103" s="106"/>
      <c r="CJ103" s="105"/>
      <c r="CK103" s="93"/>
      <c r="CL103" s="105"/>
      <c r="CM103" s="108"/>
      <c r="CN103" s="108"/>
      <c r="CO103" s="93">
        <f t="shared" si="95"/>
        <v>0</v>
      </c>
      <c r="CP103" s="93"/>
      <c r="CQ103" s="93"/>
      <c r="CR103" s="93"/>
      <c r="CS103" s="93"/>
      <c r="CT103" s="93"/>
      <c r="CU103" s="93"/>
      <c r="CV103" s="93"/>
      <c r="CW103" s="93">
        <f t="shared" si="96"/>
        <v>0</v>
      </c>
      <c r="CX103" s="93"/>
      <c r="CY103" s="93" t="str">
        <f>TEXT(X103,"MMMM")</f>
        <v>enero</v>
      </c>
      <c r="CZ103" s="93" t="str">
        <f t="shared" si="87"/>
        <v>marzo</v>
      </c>
      <c r="DA103" s="93" t="str">
        <f t="shared" si="88"/>
        <v>marzo</v>
      </c>
      <c r="DB103" s="93" t="str">
        <f t="shared" si="89"/>
        <v>abril</v>
      </c>
      <c r="DC103" s="93" t="str">
        <f t="shared" si="97"/>
        <v>mayo</v>
      </c>
      <c r="DD103" s="93" t="str">
        <f t="shared" si="98"/>
        <v>enero</v>
      </c>
      <c r="DE103" s="93" t="str">
        <f t="shared" si="99"/>
        <v>enero</v>
      </c>
      <c r="DF103" s="93" t="str">
        <f t="shared" si="100"/>
        <v>enero</v>
      </c>
      <c r="DG103" s="93" t="str">
        <f t="shared" si="101"/>
        <v>enero</v>
      </c>
      <c r="DH103" s="93" t="str">
        <f t="shared" si="102"/>
        <v>enero</v>
      </c>
    </row>
    <row r="104" spans="1:112" s="21" customFormat="1" ht="26.45" hidden="1" customHeight="1">
      <c r="A104" s="93">
        <v>128</v>
      </c>
      <c r="B104" s="93" t="e">
        <f>VLOOKUP($A104,  'Matriz POA 2024-TRABAJO'!$A$5:$CY$9142,29,FALSE)</f>
        <v>#N/A</v>
      </c>
      <c r="C104" s="93" t="e">
        <f>VLOOKUP($A104, 'Matriz POA 2024-TRABAJO'!$A$5:$CY$9142,11,FALSE)</f>
        <v>#N/A</v>
      </c>
      <c r="D104" s="93" t="e">
        <f>VLOOKUP($A104, 'Matriz POA 2024-TRABAJO'!$A$5:$CY$9142,14,FALSE)</f>
        <v>#N/A</v>
      </c>
      <c r="E104" s="93" t="e">
        <f>VLOOKUP($A104, 'Matriz POA 2024-TRABAJO'!$A$5:$CY$9142,15,FALSE)</f>
        <v>#N/A</v>
      </c>
      <c r="F104" s="93" t="e">
        <f>VLOOKUP($A104, 'Matriz POA 2024-TRABAJO'!$A$5:$CY$9142,18,FALSE)</f>
        <v>#N/A</v>
      </c>
      <c r="G104" s="93" t="e">
        <f>VLOOKUP($A104, 'Matriz POA 2024-TRABAJO'!$A$5:$CY$9142,23,FALSE)</f>
        <v>#N/A</v>
      </c>
      <c r="H104" s="93" t="e">
        <f>VLOOKUP($A104, 'Matriz POA 2024-TRABAJO'!$A$5:$CY$9142,24,FALSE)</f>
        <v>#N/A</v>
      </c>
      <c r="I104" s="93" t="e">
        <f>VLOOKUP($A104, 'Matriz POA 2024-TRABAJO'!$A$5:$CY$9142,20,FALSE)</f>
        <v>#N/A</v>
      </c>
      <c r="J104" s="93" t="e">
        <f>VLOOKUP($A104, 'Matriz POA 2024-TRABAJO'!$A$5:$CY$9142,26,FALSE)</f>
        <v>#N/A</v>
      </c>
      <c r="K104" s="93" t="e">
        <f>VLOOKUP($A104, 'Matriz POA 2024-TRABAJO'!$A$5:$CY$9142,27,FALSE)</f>
        <v>#N/A</v>
      </c>
      <c r="L104" s="93" t="e">
        <f>VLOOKUP($A104, 'Matriz POA 2024-TRABAJO'!$A$5:$CY$9142,28,FALSE)</f>
        <v>#N/A</v>
      </c>
      <c r="M104" s="93" t="e">
        <f>VLOOKUP($A104, 'Matriz POA 2024-TRABAJO'!$A$5:$CY$9142,30,FALSE)</f>
        <v>#N/A</v>
      </c>
      <c r="N104" s="93" t="e">
        <f>VLOOKUP($A104, 'Matriz POA 2024-TRABAJO'!$A$5:$CY$9142,31,FALSE)</f>
        <v>#N/A</v>
      </c>
      <c r="O104" s="93" t="e">
        <f>VLOOKUP($A104, 'Matriz POA 2024-TRABAJO'!$A$5:$CY$9142,45,FALSE)</f>
        <v>#N/A</v>
      </c>
      <c r="P104" s="93" t="e">
        <f>VLOOKUP($A104, 'Matriz POA 2024-TRABAJO'!$A$5:$CY$9142,46,FALSE)</f>
        <v>#N/A</v>
      </c>
      <c r="Q104" s="93" t="e">
        <f>VLOOKUP($A104, 'Matriz POA 2024-TRABAJO'!$A$5:$CY$9142,47,FALSE)</f>
        <v>#N/A</v>
      </c>
      <c r="R104" s="94">
        <f t="shared" si="82"/>
        <v>18726.57</v>
      </c>
      <c r="S104" s="95" t="e">
        <f t="shared" si="83"/>
        <v>#N/A</v>
      </c>
      <c r="T104" s="93" t="e">
        <f>VLOOKUP($A104, 'Matriz POA 2024-TRABAJO'!$A$5:$CY$9142,72,FALSE)</f>
        <v>#N/A</v>
      </c>
      <c r="U104" s="93" t="e">
        <f>VLOOKUP($A104, 'Matriz POA 2024-TRABAJO'!$A$5:$CY$9142,29,FALSE)</f>
        <v>#N/A</v>
      </c>
      <c r="V104" s="94" t="str">
        <f t="shared" si="84"/>
        <v>13ar-29ar-74ar-</v>
      </c>
      <c r="W104" s="97" t="s">
        <v>1158</v>
      </c>
      <c r="X104" s="109">
        <v>45321</v>
      </c>
      <c r="Y104" s="99" t="s">
        <v>1159</v>
      </c>
      <c r="Z104" s="109">
        <v>45321</v>
      </c>
      <c r="AA104" s="98">
        <v>18726.57</v>
      </c>
      <c r="AB104" s="98"/>
      <c r="AC104" s="99">
        <f t="shared" ref="AC104:AC139" si="103">Z104-X104</f>
        <v>0</v>
      </c>
      <c r="AD104" s="110" t="s">
        <v>1160</v>
      </c>
      <c r="AE104" s="97" t="s">
        <v>1161</v>
      </c>
      <c r="AF104" s="101">
        <v>45356</v>
      </c>
      <c r="AG104" s="97"/>
      <c r="AH104" s="101">
        <v>45358</v>
      </c>
      <c r="AI104" s="98">
        <v>-18726.57</v>
      </c>
      <c r="AJ104" s="98"/>
      <c r="AK104" s="99">
        <f t="shared" si="85"/>
        <v>2</v>
      </c>
      <c r="AL104" s="99"/>
      <c r="AM104" s="97" t="s">
        <v>1161</v>
      </c>
      <c r="AN104" s="96">
        <v>45356</v>
      </c>
      <c r="AO104" s="97"/>
      <c r="AP104" s="101">
        <v>45358</v>
      </c>
      <c r="AQ104" s="98">
        <v>18726.57</v>
      </c>
      <c r="AR104" s="98"/>
      <c r="AS104" s="99"/>
      <c r="AT104" s="99" t="s">
        <v>1163</v>
      </c>
      <c r="AU104" s="93" t="s">
        <v>1164</v>
      </c>
      <c r="AV104" s="96">
        <v>45393</v>
      </c>
      <c r="AW104" s="93" t="s">
        <v>1165</v>
      </c>
      <c r="AX104" s="96">
        <v>45394</v>
      </c>
      <c r="AY104" s="355">
        <v>-18726.57</v>
      </c>
      <c r="AZ104" s="98">
        <v>18726.57</v>
      </c>
      <c r="BA104" s="99">
        <f t="shared" si="86"/>
        <v>1</v>
      </c>
      <c r="BB104" s="99"/>
      <c r="BC104" s="93" t="s">
        <v>1813</v>
      </c>
      <c r="BD104" s="103">
        <v>45426</v>
      </c>
      <c r="BE104" s="101" t="s">
        <v>1815</v>
      </c>
      <c r="BF104" s="103">
        <v>45427</v>
      </c>
      <c r="BG104" s="98">
        <v>-18726.57</v>
      </c>
      <c r="BH104" s="102">
        <v>18726.57</v>
      </c>
      <c r="BI104" s="93">
        <f t="shared" ref="BI104:BI139" si="104">BF104-BD104</f>
        <v>1</v>
      </c>
      <c r="BJ104" s="93" t="s">
        <v>1814</v>
      </c>
      <c r="BK104" s="93"/>
      <c r="BL104" s="103"/>
      <c r="BM104" s="93"/>
      <c r="BN104" s="103"/>
      <c r="BO104" s="94"/>
      <c r="BP104" s="94"/>
      <c r="BQ104" s="93">
        <f t="shared" ref="BQ104:BQ139" si="105">BN104-BL104</f>
        <v>0</v>
      </c>
      <c r="BR104" s="93"/>
      <c r="BS104" s="93"/>
      <c r="BT104" s="103"/>
      <c r="BU104" s="93"/>
      <c r="BV104" s="103"/>
      <c r="BW104" s="94"/>
      <c r="BX104" s="94"/>
      <c r="BY104" s="93">
        <f t="shared" ref="BY104:BY139" si="106">BV104-BT104</f>
        <v>0</v>
      </c>
      <c r="BZ104" s="93"/>
      <c r="CA104" s="104"/>
      <c r="CB104" s="105"/>
      <c r="CC104" s="106"/>
      <c r="CD104" s="107"/>
      <c r="CE104" s="94"/>
      <c r="CF104" s="94"/>
      <c r="CG104" s="93">
        <f t="shared" ref="CG104:CG139" si="107">CD104-CB104</f>
        <v>0</v>
      </c>
      <c r="CH104" s="93"/>
      <c r="CI104" s="106"/>
      <c r="CJ104" s="105"/>
      <c r="CK104" s="93"/>
      <c r="CL104" s="105"/>
      <c r="CM104" s="108"/>
      <c r="CN104" s="108"/>
      <c r="CO104" s="93">
        <f t="shared" ref="CO104:CO139" si="108">CL104-CJ104</f>
        <v>0</v>
      </c>
      <c r="CP104" s="93"/>
      <c r="CQ104" s="93"/>
      <c r="CR104" s="93"/>
      <c r="CS104" s="93"/>
      <c r="CT104" s="93"/>
      <c r="CU104" s="93"/>
      <c r="CV104" s="93"/>
      <c r="CW104" s="93">
        <f t="shared" ref="CW104:CW139" si="109">CT104-CR104</f>
        <v>0</v>
      </c>
      <c r="CX104" s="93"/>
      <c r="CY104" s="93" t="str">
        <f>TEXT(Z104,"MMMM")</f>
        <v>enero</v>
      </c>
      <c r="CZ104" s="93" t="str">
        <f t="shared" si="87"/>
        <v>marzo</v>
      </c>
      <c r="DA104" s="93" t="str">
        <f t="shared" si="88"/>
        <v>marzo</v>
      </c>
      <c r="DB104" s="93" t="str">
        <f t="shared" si="89"/>
        <v>abril</v>
      </c>
      <c r="DC104" s="93" t="str">
        <f t="shared" ref="DC104:DC139" si="110">TEXT(BD104,"MMMM")</f>
        <v>mayo</v>
      </c>
      <c r="DD104" s="93" t="str">
        <f t="shared" ref="DD104:DD139" si="111">TEXT(BL104,"MMMM")</f>
        <v>enero</v>
      </c>
      <c r="DE104" s="93" t="str">
        <f t="shared" ref="DE104:DE139" si="112">TEXT(BT104,"MMMM")</f>
        <v>enero</v>
      </c>
      <c r="DF104" s="93" t="str">
        <f t="shared" ref="DF104:DF139" si="113">TEXT(BT104,"MMMM")</f>
        <v>enero</v>
      </c>
      <c r="DG104" s="93" t="str">
        <f t="shared" ref="DG104:DG139" si="114">TEXT(BV104,"MMMM")</f>
        <v>enero</v>
      </c>
      <c r="DH104" s="93" t="str">
        <f t="shared" ref="DH104:DH139" si="115">TEXT(BY104,"MMMM")</f>
        <v>enero</v>
      </c>
    </row>
    <row r="105" spans="1:112" s="21" customFormat="1" ht="18.75" hidden="1" customHeight="1">
      <c r="A105" s="93">
        <v>130</v>
      </c>
      <c r="B105" s="93" t="e">
        <f>VLOOKUP($A105,  'Matriz POA 2024-TRABAJO'!$A$5:$CY$9142,29,FALSE)</f>
        <v>#N/A</v>
      </c>
      <c r="C105" s="93" t="e">
        <f>VLOOKUP($A105, 'Matriz POA 2024-TRABAJO'!$A$5:$CY$9142,11,FALSE)</f>
        <v>#N/A</v>
      </c>
      <c r="D105" s="93" t="e">
        <f>VLOOKUP($A105, 'Matriz POA 2024-TRABAJO'!$A$5:$CY$9142,14,FALSE)</f>
        <v>#N/A</v>
      </c>
      <c r="E105" s="93" t="e">
        <f>VLOOKUP($A105, 'Matriz POA 2024-TRABAJO'!$A$5:$CY$9142,15,FALSE)</f>
        <v>#N/A</v>
      </c>
      <c r="F105" s="93" t="e">
        <f>VLOOKUP($A105, 'Matriz POA 2024-TRABAJO'!$A$5:$CY$9142,18,FALSE)</f>
        <v>#N/A</v>
      </c>
      <c r="G105" s="93" t="e">
        <f>VLOOKUP($A105, 'Matriz POA 2024-TRABAJO'!$A$5:$CY$9142,23,FALSE)</f>
        <v>#N/A</v>
      </c>
      <c r="H105" s="93" t="e">
        <f>VLOOKUP($A105, 'Matriz POA 2024-TRABAJO'!$A$5:$CY$9142,24,FALSE)</f>
        <v>#N/A</v>
      </c>
      <c r="I105" s="93" t="e">
        <f>VLOOKUP($A105, 'Matriz POA 2024-TRABAJO'!$A$5:$CY$9142,20,FALSE)</f>
        <v>#N/A</v>
      </c>
      <c r="J105" s="93" t="e">
        <f>VLOOKUP($A105, 'Matriz POA 2024-TRABAJO'!$A$5:$CY$9142,26,FALSE)</f>
        <v>#N/A</v>
      </c>
      <c r="K105" s="93" t="e">
        <f>VLOOKUP($A105, 'Matriz POA 2024-TRABAJO'!$A$5:$CY$9142,27,FALSE)</f>
        <v>#N/A</v>
      </c>
      <c r="L105" s="93" t="e">
        <f>VLOOKUP($A105, 'Matriz POA 2024-TRABAJO'!$A$5:$CY$9142,28,FALSE)</f>
        <v>#N/A</v>
      </c>
      <c r="M105" s="93" t="e">
        <f>VLOOKUP($A105, 'Matriz POA 2024-TRABAJO'!$A$5:$CY$9142,30,FALSE)</f>
        <v>#N/A</v>
      </c>
      <c r="N105" s="93" t="e">
        <f>VLOOKUP($A105, 'Matriz POA 2024-TRABAJO'!$A$5:$CY$9142,31,FALSE)</f>
        <v>#N/A</v>
      </c>
      <c r="O105" s="93" t="e">
        <f>VLOOKUP($A105, 'Matriz POA 2024-TRABAJO'!$A$5:$CY$9142,45,FALSE)</f>
        <v>#N/A</v>
      </c>
      <c r="P105" s="93" t="e">
        <f>VLOOKUP($A105, 'Matriz POA 2024-TRABAJO'!$A$5:$CY$9142,46,FALSE)</f>
        <v>#N/A</v>
      </c>
      <c r="Q105" s="93" t="e">
        <f>VLOOKUP($A105, 'Matriz POA 2024-TRABAJO'!$A$5:$CY$9142,47,FALSE)</f>
        <v>#N/A</v>
      </c>
      <c r="R105" s="94">
        <f t="shared" si="82"/>
        <v>126702.32</v>
      </c>
      <c r="S105" s="95" t="e">
        <f t="shared" si="83"/>
        <v>#N/A</v>
      </c>
      <c r="T105" s="93" t="e">
        <f>VLOOKUP($A105, 'Matriz POA 2024-TRABAJO'!$A$5:$CY$9142,72,FALSE)</f>
        <v>#N/A</v>
      </c>
      <c r="U105" s="93" t="e">
        <f>VLOOKUP($A105, 'Matriz POA 2024-TRABAJO'!$A$5:$CY$9142,29,FALSE)</f>
        <v>#N/A</v>
      </c>
      <c r="V105" s="94" t="str">
        <f t="shared" si="84"/>
        <v>13ar-29ar-74ar-</v>
      </c>
      <c r="W105" s="97" t="s">
        <v>1158</v>
      </c>
      <c r="X105" s="109">
        <v>45321</v>
      </c>
      <c r="Y105" s="99" t="s">
        <v>1159</v>
      </c>
      <c r="Z105" s="109">
        <v>45321</v>
      </c>
      <c r="AA105" s="98">
        <v>126702.32</v>
      </c>
      <c r="AB105" s="98"/>
      <c r="AC105" s="99">
        <f t="shared" si="103"/>
        <v>0</v>
      </c>
      <c r="AD105" s="110" t="s">
        <v>1160</v>
      </c>
      <c r="AE105" s="97" t="s">
        <v>1161</v>
      </c>
      <c r="AF105" s="101">
        <v>45356</v>
      </c>
      <c r="AG105" s="97"/>
      <c r="AH105" s="101">
        <v>45358</v>
      </c>
      <c r="AI105" s="98">
        <v>-126702.32</v>
      </c>
      <c r="AJ105" s="98"/>
      <c r="AK105" s="99">
        <f t="shared" si="85"/>
        <v>2</v>
      </c>
      <c r="AL105" s="99"/>
      <c r="AM105" s="97" t="s">
        <v>1161</v>
      </c>
      <c r="AN105" s="96">
        <v>45356</v>
      </c>
      <c r="AO105" s="97"/>
      <c r="AP105" s="101">
        <v>45358</v>
      </c>
      <c r="AQ105" s="98">
        <v>126702.32</v>
      </c>
      <c r="AR105" s="98"/>
      <c r="AS105" s="99"/>
      <c r="AT105" s="99" t="s">
        <v>1163</v>
      </c>
      <c r="AU105" s="93" t="s">
        <v>1164</v>
      </c>
      <c r="AV105" s="96">
        <v>45393</v>
      </c>
      <c r="AW105" s="93" t="s">
        <v>1165</v>
      </c>
      <c r="AX105" s="96">
        <v>45394</v>
      </c>
      <c r="AY105" s="355">
        <v>-126702.32</v>
      </c>
      <c r="AZ105" s="98">
        <v>126702.32</v>
      </c>
      <c r="BA105" s="99">
        <f t="shared" si="86"/>
        <v>1</v>
      </c>
      <c r="BB105" s="99"/>
      <c r="BC105" s="93" t="s">
        <v>1813</v>
      </c>
      <c r="BD105" s="103">
        <v>45426</v>
      </c>
      <c r="BE105" s="101" t="s">
        <v>1815</v>
      </c>
      <c r="BF105" s="103">
        <v>45427</v>
      </c>
      <c r="BG105" s="98">
        <v>-126702.32</v>
      </c>
      <c r="BH105" s="102">
        <v>126702.32</v>
      </c>
      <c r="BI105" s="93">
        <f t="shared" si="104"/>
        <v>1</v>
      </c>
      <c r="BJ105" s="93" t="s">
        <v>1814</v>
      </c>
      <c r="BK105" s="93"/>
      <c r="BL105" s="103"/>
      <c r="BM105" s="93"/>
      <c r="BN105" s="103"/>
      <c r="BO105" s="94"/>
      <c r="BP105" s="94"/>
      <c r="BQ105" s="93">
        <f t="shared" si="105"/>
        <v>0</v>
      </c>
      <c r="BR105" s="93"/>
      <c r="BS105" s="93"/>
      <c r="BT105" s="103"/>
      <c r="BU105" s="93"/>
      <c r="BV105" s="103"/>
      <c r="BW105" s="94"/>
      <c r="BX105" s="94"/>
      <c r="BY105" s="93">
        <f t="shared" si="106"/>
        <v>0</v>
      </c>
      <c r="BZ105" s="93"/>
      <c r="CA105" s="104"/>
      <c r="CB105" s="105"/>
      <c r="CC105" s="106"/>
      <c r="CD105" s="107"/>
      <c r="CE105" s="94"/>
      <c r="CF105" s="94"/>
      <c r="CG105" s="93">
        <f t="shared" si="107"/>
        <v>0</v>
      </c>
      <c r="CH105" s="93"/>
      <c r="CI105" s="106"/>
      <c r="CJ105" s="105"/>
      <c r="CK105" s="93"/>
      <c r="CL105" s="105"/>
      <c r="CM105" s="108"/>
      <c r="CN105" s="108"/>
      <c r="CO105" s="93">
        <f t="shared" si="108"/>
        <v>0</v>
      </c>
      <c r="CP105" s="93"/>
      <c r="CQ105" s="93"/>
      <c r="CR105" s="93"/>
      <c r="CS105" s="93"/>
      <c r="CT105" s="93"/>
      <c r="CU105" s="93"/>
      <c r="CV105" s="93"/>
      <c r="CW105" s="93">
        <f t="shared" si="109"/>
        <v>0</v>
      </c>
      <c r="CX105" s="93"/>
      <c r="CY105" s="93" t="str">
        <f>TEXT(X105,"MMMM")</f>
        <v>enero</v>
      </c>
      <c r="CZ105" s="93" t="str">
        <f t="shared" si="87"/>
        <v>marzo</v>
      </c>
      <c r="DA105" s="93" t="str">
        <f t="shared" si="88"/>
        <v>marzo</v>
      </c>
      <c r="DB105" s="93" t="str">
        <f t="shared" si="89"/>
        <v>abril</v>
      </c>
      <c r="DC105" s="93" t="str">
        <f t="shared" si="110"/>
        <v>mayo</v>
      </c>
      <c r="DD105" s="93" t="str">
        <f t="shared" si="111"/>
        <v>enero</v>
      </c>
      <c r="DE105" s="93" t="str">
        <f t="shared" si="112"/>
        <v>enero</v>
      </c>
      <c r="DF105" s="93" t="str">
        <f t="shared" si="113"/>
        <v>enero</v>
      </c>
      <c r="DG105" s="93" t="str">
        <f t="shared" si="114"/>
        <v>enero</v>
      </c>
      <c r="DH105" s="93" t="str">
        <f t="shared" si="115"/>
        <v>enero</v>
      </c>
    </row>
    <row r="106" spans="1:112" s="21" customFormat="1" ht="18.75" hidden="1" customHeight="1">
      <c r="A106" s="93">
        <v>131</v>
      </c>
      <c r="B106" s="93" t="e">
        <f>VLOOKUP($A106,  'Matriz POA 2024-TRABAJO'!$A$5:$CY$9142,29,FALSE)</f>
        <v>#N/A</v>
      </c>
      <c r="C106" s="93" t="e">
        <f>VLOOKUP($A106, 'Matriz POA 2024-TRABAJO'!$A$5:$CY$9142,11,FALSE)</f>
        <v>#N/A</v>
      </c>
      <c r="D106" s="93" t="e">
        <f>VLOOKUP($A106, 'Matriz POA 2024-TRABAJO'!$A$5:$CY$9142,14,FALSE)</f>
        <v>#N/A</v>
      </c>
      <c r="E106" s="93" t="e">
        <f>VLOOKUP($A106, 'Matriz POA 2024-TRABAJO'!$A$5:$CY$9142,15,FALSE)</f>
        <v>#N/A</v>
      </c>
      <c r="F106" s="93" t="e">
        <f>VLOOKUP($A106, 'Matriz POA 2024-TRABAJO'!$A$5:$CY$9142,18,FALSE)</f>
        <v>#N/A</v>
      </c>
      <c r="G106" s="93" t="e">
        <f>VLOOKUP($A106, 'Matriz POA 2024-TRABAJO'!$A$5:$CY$9142,23,FALSE)</f>
        <v>#N/A</v>
      </c>
      <c r="H106" s="93" t="e">
        <f>VLOOKUP($A106, 'Matriz POA 2024-TRABAJO'!$A$5:$CY$9142,24,FALSE)</f>
        <v>#N/A</v>
      </c>
      <c r="I106" s="93" t="e">
        <f>VLOOKUP($A106, 'Matriz POA 2024-TRABAJO'!$A$5:$CY$9142,20,FALSE)</f>
        <v>#N/A</v>
      </c>
      <c r="J106" s="93" t="e">
        <f>VLOOKUP($A106, 'Matriz POA 2024-TRABAJO'!$A$5:$CY$9142,26,FALSE)</f>
        <v>#N/A</v>
      </c>
      <c r="K106" s="93" t="e">
        <f>VLOOKUP($A106, 'Matriz POA 2024-TRABAJO'!$A$5:$CY$9142,27,FALSE)</f>
        <v>#N/A</v>
      </c>
      <c r="L106" s="93" t="e">
        <f>VLOOKUP($A106, 'Matriz POA 2024-TRABAJO'!$A$5:$CY$9142,28,FALSE)</f>
        <v>#N/A</v>
      </c>
      <c r="M106" s="93" t="e">
        <f>VLOOKUP($A106, 'Matriz POA 2024-TRABAJO'!$A$5:$CY$9142,30,FALSE)</f>
        <v>#N/A</v>
      </c>
      <c r="N106" s="93" t="e">
        <f>VLOOKUP($A106, 'Matriz POA 2024-TRABAJO'!$A$5:$CY$9142,31,FALSE)</f>
        <v>#N/A</v>
      </c>
      <c r="O106" s="93" t="e">
        <f>VLOOKUP($A106, 'Matriz POA 2024-TRABAJO'!$A$5:$CY$9142,45,FALSE)</f>
        <v>#N/A</v>
      </c>
      <c r="P106" s="93" t="e">
        <f>VLOOKUP($A106, 'Matriz POA 2024-TRABAJO'!$A$5:$CY$9142,46,FALSE)</f>
        <v>#N/A</v>
      </c>
      <c r="Q106" s="93" t="e">
        <f>VLOOKUP($A106, 'Matriz POA 2024-TRABAJO'!$A$5:$CY$9142,47,FALSE)</f>
        <v>#N/A</v>
      </c>
      <c r="R106" s="94">
        <f t="shared" si="82"/>
        <v>78328.66</v>
      </c>
      <c r="S106" s="95" t="e">
        <f t="shared" si="83"/>
        <v>#N/A</v>
      </c>
      <c r="T106" s="93" t="e">
        <f>VLOOKUP($A106, 'Matriz POA 2024-TRABAJO'!$A$5:$CY$9142,72,FALSE)</f>
        <v>#N/A</v>
      </c>
      <c r="U106" s="93" t="e">
        <f>VLOOKUP($A106, 'Matriz POA 2024-TRABAJO'!$A$5:$CY$9142,29,FALSE)</f>
        <v>#N/A</v>
      </c>
      <c r="V106" s="94" t="str">
        <f t="shared" si="84"/>
        <v>13ar-29ar-74ar-</v>
      </c>
      <c r="W106" s="97" t="s">
        <v>1158</v>
      </c>
      <c r="X106" s="109">
        <v>45321</v>
      </c>
      <c r="Y106" s="99" t="s">
        <v>1159</v>
      </c>
      <c r="Z106" s="109">
        <v>45321</v>
      </c>
      <c r="AA106" s="98">
        <v>78328.66</v>
      </c>
      <c r="AB106" s="98"/>
      <c r="AC106" s="99">
        <f t="shared" si="103"/>
        <v>0</v>
      </c>
      <c r="AD106" s="110" t="s">
        <v>1160</v>
      </c>
      <c r="AE106" s="97" t="s">
        <v>1161</v>
      </c>
      <c r="AF106" s="101">
        <v>45356</v>
      </c>
      <c r="AG106" s="97"/>
      <c r="AH106" s="101">
        <v>45358</v>
      </c>
      <c r="AI106" s="98">
        <v>-78328.66</v>
      </c>
      <c r="AJ106" s="98"/>
      <c r="AK106" s="99">
        <f t="shared" si="85"/>
        <v>2</v>
      </c>
      <c r="AL106" s="99"/>
      <c r="AM106" s="97" t="s">
        <v>1161</v>
      </c>
      <c r="AN106" s="96">
        <v>45356</v>
      </c>
      <c r="AO106" s="97"/>
      <c r="AP106" s="101">
        <v>45358</v>
      </c>
      <c r="AQ106" s="98">
        <v>78328.66</v>
      </c>
      <c r="AR106" s="98"/>
      <c r="AS106" s="99"/>
      <c r="AT106" s="99" t="s">
        <v>1163</v>
      </c>
      <c r="AU106" s="93" t="s">
        <v>1164</v>
      </c>
      <c r="AV106" s="96">
        <v>45393</v>
      </c>
      <c r="AW106" s="93" t="s">
        <v>1165</v>
      </c>
      <c r="AX106" s="96">
        <v>45394</v>
      </c>
      <c r="AY106" s="355">
        <v>-78328.66</v>
      </c>
      <c r="AZ106" s="98">
        <v>78328.66</v>
      </c>
      <c r="BA106" s="99">
        <f t="shared" si="86"/>
        <v>1</v>
      </c>
      <c r="BB106" s="99"/>
      <c r="BC106" s="93" t="s">
        <v>1813</v>
      </c>
      <c r="BD106" s="103">
        <v>45426</v>
      </c>
      <c r="BE106" s="101" t="s">
        <v>1815</v>
      </c>
      <c r="BF106" s="103">
        <v>45427</v>
      </c>
      <c r="BG106" s="98">
        <v>-78328.66</v>
      </c>
      <c r="BH106" s="102">
        <v>78328.66</v>
      </c>
      <c r="BI106" s="93">
        <f t="shared" si="104"/>
        <v>1</v>
      </c>
      <c r="BJ106" s="93" t="s">
        <v>1814</v>
      </c>
      <c r="BK106" s="93"/>
      <c r="BL106" s="103"/>
      <c r="BM106" s="93"/>
      <c r="BN106" s="103"/>
      <c r="BO106" s="94"/>
      <c r="BP106" s="94"/>
      <c r="BQ106" s="93">
        <f t="shared" si="105"/>
        <v>0</v>
      </c>
      <c r="BR106" s="93"/>
      <c r="BS106" s="93"/>
      <c r="BT106" s="103"/>
      <c r="BU106" s="93"/>
      <c r="BV106" s="103"/>
      <c r="BW106" s="94"/>
      <c r="BX106" s="94"/>
      <c r="BY106" s="93">
        <f t="shared" si="106"/>
        <v>0</v>
      </c>
      <c r="BZ106" s="93"/>
      <c r="CA106" s="104"/>
      <c r="CB106" s="105"/>
      <c r="CC106" s="106"/>
      <c r="CD106" s="107"/>
      <c r="CE106" s="94"/>
      <c r="CF106" s="94"/>
      <c r="CG106" s="93">
        <f t="shared" si="107"/>
        <v>0</v>
      </c>
      <c r="CH106" s="93"/>
      <c r="CI106" s="106"/>
      <c r="CJ106" s="105"/>
      <c r="CK106" s="93"/>
      <c r="CL106" s="105"/>
      <c r="CM106" s="108"/>
      <c r="CN106" s="108"/>
      <c r="CO106" s="93">
        <f t="shared" si="108"/>
        <v>0</v>
      </c>
      <c r="CP106" s="93"/>
      <c r="CQ106" s="93"/>
      <c r="CR106" s="93"/>
      <c r="CS106" s="93"/>
      <c r="CT106" s="93"/>
      <c r="CU106" s="93"/>
      <c r="CV106" s="93"/>
      <c r="CW106" s="93">
        <f t="shared" si="109"/>
        <v>0</v>
      </c>
      <c r="CX106" s="93"/>
      <c r="CY106" s="93" t="str">
        <f>TEXT(X106,"MMMM")</f>
        <v>enero</v>
      </c>
      <c r="CZ106" s="93" t="str">
        <f t="shared" si="87"/>
        <v>marzo</v>
      </c>
      <c r="DA106" s="93" t="str">
        <f t="shared" si="88"/>
        <v>marzo</v>
      </c>
      <c r="DB106" s="93" t="str">
        <f t="shared" si="89"/>
        <v>abril</v>
      </c>
      <c r="DC106" s="93" t="str">
        <f t="shared" si="110"/>
        <v>mayo</v>
      </c>
      <c r="DD106" s="93" t="str">
        <f t="shared" si="111"/>
        <v>enero</v>
      </c>
      <c r="DE106" s="93" t="str">
        <f t="shared" si="112"/>
        <v>enero</v>
      </c>
      <c r="DF106" s="93" t="str">
        <f t="shared" si="113"/>
        <v>enero</v>
      </c>
      <c r="DG106" s="93" t="str">
        <f t="shared" si="114"/>
        <v>enero</v>
      </c>
      <c r="DH106" s="93" t="str">
        <f t="shared" si="115"/>
        <v>enero</v>
      </c>
    </row>
    <row r="107" spans="1:112" ht="15" hidden="1" customHeight="1">
      <c r="A107" s="93">
        <v>132</v>
      </c>
      <c r="B107" s="93" t="e">
        <f>VLOOKUP($A107,  'Matriz POA 2024-TRABAJO'!$A$5:$CY$9142,29,FALSE)</f>
        <v>#N/A</v>
      </c>
      <c r="C107" s="93" t="e">
        <f>VLOOKUP($A107, 'Matriz POA 2024-TRABAJO'!$A$5:$CY$9142,11,FALSE)</f>
        <v>#N/A</v>
      </c>
      <c r="D107" s="93" t="e">
        <f>VLOOKUP($A107, 'Matriz POA 2024-TRABAJO'!$A$5:$CY$9142,14,FALSE)</f>
        <v>#N/A</v>
      </c>
      <c r="E107" s="93" t="e">
        <f>VLOOKUP($A107, 'Matriz POA 2024-TRABAJO'!$A$5:$CY$9142,15,FALSE)</f>
        <v>#N/A</v>
      </c>
      <c r="F107" s="93" t="e">
        <f>VLOOKUP($A107, 'Matriz POA 2024-TRABAJO'!$A$5:$CY$9142,18,FALSE)</f>
        <v>#N/A</v>
      </c>
      <c r="G107" s="93" t="e">
        <f>VLOOKUP($A107, 'Matriz POA 2024-TRABAJO'!$A$5:$CY$9142,23,FALSE)</f>
        <v>#N/A</v>
      </c>
      <c r="H107" s="93" t="e">
        <f>VLOOKUP($A107, 'Matriz POA 2024-TRABAJO'!$A$5:$CY$9142,24,FALSE)</f>
        <v>#N/A</v>
      </c>
      <c r="I107" s="93" t="e">
        <f>VLOOKUP($A107, 'Matriz POA 2024-TRABAJO'!$A$5:$CY$9142,20,FALSE)</f>
        <v>#N/A</v>
      </c>
      <c r="J107" s="93" t="e">
        <f>VLOOKUP($A107, 'Matriz POA 2024-TRABAJO'!$A$5:$CY$9142,26,FALSE)</f>
        <v>#N/A</v>
      </c>
      <c r="K107" s="93" t="e">
        <f>VLOOKUP($A107, 'Matriz POA 2024-TRABAJO'!$A$5:$CY$9142,27,FALSE)</f>
        <v>#N/A</v>
      </c>
      <c r="L107" s="93" t="e">
        <f>VLOOKUP($A107, 'Matriz POA 2024-TRABAJO'!$A$5:$CY$9142,28,FALSE)</f>
        <v>#N/A</v>
      </c>
      <c r="M107" s="93" t="e">
        <f>VLOOKUP($A107, 'Matriz POA 2024-TRABAJO'!$A$5:$CY$9142,30,FALSE)</f>
        <v>#N/A</v>
      </c>
      <c r="N107" s="93" t="e">
        <f>VLOOKUP($A107, 'Matriz POA 2024-TRABAJO'!$A$5:$CY$9142,31,FALSE)</f>
        <v>#N/A</v>
      </c>
      <c r="O107" s="93" t="e">
        <f>VLOOKUP($A107, 'Matriz POA 2024-TRABAJO'!$A$5:$CY$9142,45,FALSE)</f>
        <v>#N/A</v>
      </c>
      <c r="P107" s="93" t="e">
        <f>VLOOKUP($A107, 'Matriz POA 2024-TRABAJO'!$A$5:$CY$9142,46,FALSE)</f>
        <v>#N/A</v>
      </c>
      <c r="Q107" s="93" t="e">
        <f>VLOOKUP($A107, 'Matriz POA 2024-TRABAJO'!$A$5:$CY$9142,47,FALSE)</f>
        <v>#N/A</v>
      </c>
      <c r="R107" s="94">
        <f t="shared" si="82"/>
        <v>15356.07</v>
      </c>
      <c r="S107" s="95" t="e">
        <f t="shared" si="83"/>
        <v>#N/A</v>
      </c>
      <c r="T107" s="93" t="e">
        <f>VLOOKUP($A107, 'Matriz POA 2024-TRABAJO'!$A$5:$CY$9142,72,FALSE)</f>
        <v>#N/A</v>
      </c>
      <c r="U107" s="93" t="e">
        <f>VLOOKUP($A107, 'Matriz POA 2024-TRABAJO'!$A$5:$CY$9142,29,FALSE)</f>
        <v>#N/A</v>
      </c>
      <c r="V107" s="94" t="str">
        <f t="shared" si="84"/>
        <v>13ar-29ar-74ar-</v>
      </c>
      <c r="W107" s="97" t="s">
        <v>1158</v>
      </c>
      <c r="X107" s="109">
        <v>45321</v>
      </c>
      <c r="Y107" s="99" t="s">
        <v>1159</v>
      </c>
      <c r="Z107" s="109">
        <v>45321</v>
      </c>
      <c r="AA107" s="98">
        <v>15356.07</v>
      </c>
      <c r="AB107" s="98"/>
      <c r="AC107" s="99">
        <f t="shared" si="103"/>
        <v>0</v>
      </c>
      <c r="AD107" s="110" t="s">
        <v>1160</v>
      </c>
      <c r="AE107" s="97" t="s">
        <v>1161</v>
      </c>
      <c r="AF107" s="101">
        <v>45356</v>
      </c>
      <c r="AG107" s="97"/>
      <c r="AH107" s="101">
        <v>45358</v>
      </c>
      <c r="AI107" s="98">
        <v>-15356.07</v>
      </c>
      <c r="AJ107" s="98"/>
      <c r="AK107" s="99">
        <f t="shared" si="85"/>
        <v>2</v>
      </c>
      <c r="AL107" s="99"/>
      <c r="AM107" s="97" t="s">
        <v>1161</v>
      </c>
      <c r="AN107" s="96">
        <v>45356</v>
      </c>
      <c r="AO107" s="97"/>
      <c r="AP107" s="101">
        <v>45358</v>
      </c>
      <c r="AQ107" s="98">
        <v>15356.07</v>
      </c>
      <c r="AR107" s="98"/>
      <c r="AS107" s="99"/>
      <c r="AT107" s="99" t="s">
        <v>1163</v>
      </c>
      <c r="AU107" s="93" t="s">
        <v>1164</v>
      </c>
      <c r="AV107" s="96">
        <v>45393</v>
      </c>
      <c r="AW107" s="93" t="s">
        <v>1165</v>
      </c>
      <c r="AX107" s="96">
        <v>45394</v>
      </c>
      <c r="AY107" s="355">
        <v>-15356.07</v>
      </c>
      <c r="AZ107" s="98">
        <v>15356.07</v>
      </c>
      <c r="BA107" s="99">
        <f t="shared" si="86"/>
        <v>1</v>
      </c>
      <c r="BB107" s="99"/>
      <c r="BC107" s="93" t="s">
        <v>1813</v>
      </c>
      <c r="BD107" s="103">
        <v>45426</v>
      </c>
      <c r="BE107" s="101" t="s">
        <v>1815</v>
      </c>
      <c r="BF107" s="103">
        <v>45427</v>
      </c>
      <c r="BG107" s="98">
        <v>-15356.07</v>
      </c>
      <c r="BH107" s="102">
        <v>15356.07</v>
      </c>
      <c r="BI107" s="93">
        <f t="shared" si="104"/>
        <v>1</v>
      </c>
      <c r="BJ107" s="93" t="s">
        <v>1814</v>
      </c>
      <c r="BK107" s="93"/>
      <c r="BL107" s="103"/>
      <c r="BM107" s="93"/>
      <c r="BN107" s="103"/>
      <c r="BO107" s="94"/>
      <c r="BP107" s="94"/>
      <c r="BQ107" s="93">
        <f t="shared" si="105"/>
        <v>0</v>
      </c>
      <c r="BR107" s="93"/>
      <c r="BS107" s="93"/>
      <c r="BT107" s="103"/>
      <c r="BU107" s="93"/>
      <c r="BV107" s="103"/>
      <c r="BW107" s="94"/>
      <c r="BX107" s="94"/>
      <c r="BY107" s="93">
        <f t="shared" si="106"/>
        <v>0</v>
      </c>
      <c r="BZ107" s="93"/>
      <c r="CA107" s="104"/>
      <c r="CB107" s="105"/>
      <c r="CC107" s="106"/>
      <c r="CD107" s="107"/>
      <c r="CE107" s="94"/>
      <c r="CF107" s="94"/>
      <c r="CG107" s="93">
        <f t="shared" si="107"/>
        <v>0</v>
      </c>
      <c r="CH107" s="93"/>
      <c r="CI107" s="106"/>
      <c r="CJ107" s="105"/>
      <c r="CK107" s="93"/>
      <c r="CL107" s="105"/>
      <c r="CM107" s="108"/>
      <c r="CN107" s="108"/>
      <c r="CO107" s="93">
        <f t="shared" si="108"/>
        <v>0</v>
      </c>
      <c r="CP107" s="93"/>
      <c r="CQ107" s="93"/>
      <c r="CR107" s="93"/>
      <c r="CS107" s="93"/>
      <c r="CT107" s="93"/>
      <c r="CU107" s="93"/>
      <c r="CV107" s="93"/>
      <c r="CW107" s="93">
        <f t="shared" si="109"/>
        <v>0</v>
      </c>
      <c r="CX107" s="93"/>
      <c r="CY107" s="93" t="str">
        <f>TEXT(X107,"MMMM")</f>
        <v>enero</v>
      </c>
      <c r="CZ107" s="93" t="str">
        <f t="shared" si="87"/>
        <v>marzo</v>
      </c>
      <c r="DA107" s="93" t="str">
        <f t="shared" si="88"/>
        <v>marzo</v>
      </c>
      <c r="DB107" s="93" t="str">
        <f t="shared" si="89"/>
        <v>abril</v>
      </c>
      <c r="DC107" s="93" t="str">
        <f t="shared" si="110"/>
        <v>mayo</v>
      </c>
      <c r="DD107" s="93" t="str">
        <f t="shared" si="111"/>
        <v>enero</v>
      </c>
      <c r="DE107" s="93" t="str">
        <f t="shared" si="112"/>
        <v>enero</v>
      </c>
      <c r="DF107" s="93" t="str">
        <f t="shared" si="113"/>
        <v>enero</v>
      </c>
      <c r="DG107" s="93" t="str">
        <f t="shared" si="114"/>
        <v>enero</v>
      </c>
      <c r="DH107" s="93" t="str">
        <f t="shared" si="115"/>
        <v>enero</v>
      </c>
    </row>
    <row r="108" spans="1:112" s="21" customFormat="1" ht="26.45" hidden="1" customHeight="1">
      <c r="A108" s="93">
        <v>133</v>
      </c>
      <c r="B108" s="93" t="e">
        <f>VLOOKUP($A108,  'Matriz POA 2024-TRABAJO'!$A$5:$CY$9142,29,FALSE)</f>
        <v>#N/A</v>
      </c>
      <c r="C108" s="93" t="e">
        <f>VLOOKUP($A108, 'Matriz POA 2024-TRABAJO'!$A$5:$CY$9142,11,FALSE)</f>
        <v>#N/A</v>
      </c>
      <c r="D108" s="93" t="e">
        <f>VLOOKUP($A108, 'Matriz POA 2024-TRABAJO'!$A$5:$CY$9142,14,FALSE)</f>
        <v>#N/A</v>
      </c>
      <c r="E108" s="93" t="e">
        <f>VLOOKUP($A108, 'Matriz POA 2024-TRABAJO'!$A$5:$CY$9142,15,FALSE)</f>
        <v>#N/A</v>
      </c>
      <c r="F108" s="93" t="e">
        <f>VLOOKUP($A108, 'Matriz POA 2024-TRABAJO'!$A$5:$CY$9142,18,FALSE)</f>
        <v>#N/A</v>
      </c>
      <c r="G108" s="93" t="e">
        <f>VLOOKUP($A108, 'Matriz POA 2024-TRABAJO'!$A$5:$CY$9142,23,FALSE)</f>
        <v>#N/A</v>
      </c>
      <c r="H108" s="93" t="e">
        <f>VLOOKUP($A108, 'Matriz POA 2024-TRABAJO'!$A$5:$CY$9142,24,FALSE)</f>
        <v>#N/A</v>
      </c>
      <c r="I108" s="93" t="e">
        <f>VLOOKUP($A108, 'Matriz POA 2024-TRABAJO'!$A$5:$CY$9142,20,FALSE)</f>
        <v>#N/A</v>
      </c>
      <c r="J108" s="93" t="e">
        <f>VLOOKUP($A108, 'Matriz POA 2024-TRABAJO'!$A$5:$CY$9142,26,FALSE)</f>
        <v>#N/A</v>
      </c>
      <c r="K108" s="93" t="e">
        <f>VLOOKUP($A108, 'Matriz POA 2024-TRABAJO'!$A$5:$CY$9142,27,FALSE)</f>
        <v>#N/A</v>
      </c>
      <c r="L108" s="93" t="e">
        <f>VLOOKUP($A108, 'Matriz POA 2024-TRABAJO'!$A$5:$CY$9142,28,FALSE)</f>
        <v>#N/A</v>
      </c>
      <c r="M108" s="93" t="e">
        <f>VLOOKUP($A108, 'Matriz POA 2024-TRABAJO'!$A$5:$CY$9142,30,FALSE)</f>
        <v>#N/A</v>
      </c>
      <c r="N108" s="93" t="e">
        <f>VLOOKUP($A108, 'Matriz POA 2024-TRABAJO'!$A$5:$CY$9142,31,FALSE)</f>
        <v>#N/A</v>
      </c>
      <c r="O108" s="93" t="e">
        <f>VLOOKUP($A108, 'Matriz POA 2024-TRABAJO'!$A$5:$CY$9142,45,FALSE)</f>
        <v>#N/A</v>
      </c>
      <c r="P108" s="93" t="e">
        <f>VLOOKUP($A108, 'Matriz POA 2024-TRABAJO'!$A$5:$CY$9142,46,FALSE)</f>
        <v>#N/A</v>
      </c>
      <c r="Q108" s="93" t="e">
        <f>VLOOKUP($A108, 'Matriz POA 2024-TRABAJO'!$A$5:$CY$9142,47,FALSE)</f>
        <v>#N/A</v>
      </c>
      <c r="R108" s="94">
        <f t="shared" si="82"/>
        <v>4329.9399999999996</v>
      </c>
      <c r="S108" s="95" t="e">
        <f t="shared" si="83"/>
        <v>#N/A</v>
      </c>
      <c r="T108" s="93" t="e">
        <f>VLOOKUP($A108, 'Matriz POA 2024-TRABAJO'!$A$5:$CY$9142,72,FALSE)</f>
        <v>#N/A</v>
      </c>
      <c r="U108" s="93" t="e">
        <f>VLOOKUP($A108, 'Matriz POA 2024-TRABAJO'!$A$5:$CY$9142,29,FALSE)</f>
        <v>#N/A</v>
      </c>
      <c r="V108" s="94" t="str">
        <f t="shared" si="84"/>
        <v>13ar-29ar-74ar-</v>
      </c>
      <c r="W108" s="97" t="s">
        <v>1158</v>
      </c>
      <c r="X108" s="109">
        <v>45321</v>
      </c>
      <c r="Y108" s="99" t="s">
        <v>1159</v>
      </c>
      <c r="Z108" s="109">
        <v>45321</v>
      </c>
      <c r="AA108" s="98">
        <v>4329.9399999999996</v>
      </c>
      <c r="AB108" s="98"/>
      <c r="AC108" s="99">
        <f t="shared" si="103"/>
        <v>0</v>
      </c>
      <c r="AD108" s="110" t="s">
        <v>1160</v>
      </c>
      <c r="AE108" s="97" t="s">
        <v>1161</v>
      </c>
      <c r="AF108" s="101">
        <v>45356</v>
      </c>
      <c r="AG108" s="97"/>
      <c r="AH108" s="101">
        <v>45358</v>
      </c>
      <c r="AI108" s="98">
        <v>-4329.9399999999996</v>
      </c>
      <c r="AJ108" s="98"/>
      <c r="AK108" s="99">
        <f t="shared" si="85"/>
        <v>2</v>
      </c>
      <c r="AL108" s="99"/>
      <c r="AM108" s="97" t="s">
        <v>1161</v>
      </c>
      <c r="AN108" s="96">
        <v>45356</v>
      </c>
      <c r="AO108" s="97"/>
      <c r="AP108" s="101">
        <v>45358</v>
      </c>
      <c r="AQ108" s="98">
        <v>4329.9399999999996</v>
      </c>
      <c r="AR108" s="98"/>
      <c r="AS108" s="99"/>
      <c r="AT108" s="99" t="s">
        <v>1163</v>
      </c>
      <c r="AU108" s="93" t="s">
        <v>1164</v>
      </c>
      <c r="AV108" s="96">
        <v>45393</v>
      </c>
      <c r="AW108" s="93" t="s">
        <v>1165</v>
      </c>
      <c r="AX108" s="96">
        <v>45394</v>
      </c>
      <c r="AY108" s="355">
        <v>-4329.9399999999996</v>
      </c>
      <c r="AZ108" s="98">
        <v>4329.9399999999996</v>
      </c>
      <c r="BA108" s="99">
        <f t="shared" si="86"/>
        <v>1</v>
      </c>
      <c r="BB108" s="99"/>
      <c r="BC108" s="93" t="s">
        <v>1813</v>
      </c>
      <c r="BD108" s="103">
        <v>45426</v>
      </c>
      <c r="BE108" s="101" t="s">
        <v>1815</v>
      </c>
      <c r="BF108" s="103">
        <v>45427</v>
      </c>
      <c r="BG108" s="98">
        <v>-4329.9399999999996</v>
      </c>
      <c r="BH108" s="102">
        <v>4329.9399999999996</v>
      </c>
      <c r="BI108" s="93">
        <f t="shared" si="104"/>
        <v>1</v>
      </c>
      <c r="BJ108" s="93" t="s">
        <v>1814</v>
      </c>
      <c r="BK108" s="93"/>
      <c r="BL108" s="103"/>
      <c r="BM108" s="93"/>
      <c r="BN108" s="103"/>
      <c r="BO108" s="94"/>
      <c r="BP108" s="94"/>
      <c r="BQ108" s="93">
        <f t="shared" si="105"/>
        <v>0</v>
      </c>
      <c r="BR108" s="93"/>
      <c r="BS108" s="93"/>
      <c r="BT108" s="103"/>
      <c r="BU108" s="93"/>
      <c r="BV108" s="103"/>
      <c r="BW108" s="94"/>
      <c r="BX108" s="94"/>
      <c r="BY108" s="93">
        <f t="shared" si="106"/>
        <v>0</v>
      </c>
      <c r="BZ108" s="93"/>
      <c r="CA108" s="104"/>
      <c r="CB108" s="105"/>
      <c r="CC108" s="106"/>
      <c r="CD108" s="107"/>
      <c r="CE108" s="94"/>
      <c r="CF108" s="94"/>
      <c r="CG108" s="93">
        <f t="shared" si="107"/>
        <v>0</v>
      </c>
      <c r="CH108" s="93"/>
      <c r="CI108" s="106"/>
      <c r="CJ108" s="105"/>
      <c r="CK108" s="93"/>
      <c r="CL108" s="105"/>
      <c r="CM108" s="108"/>
      <c r="CN108" s="108"/>
      <c r="CO108" s="93">
        <f t="shared" si="108"/>
        <v>0</v>
      </c>
      <c r="CP108" s="93"/>
      <c r="CQ108" s="93"/>
      <c r="CR108" s="93"/>
      <c r="CS108" s="93"/>
      <c r="CT108" s="93"/>
      <c r="CU108" s="93"/>
      <c r="CV108" s="93"/>
      <c r="CW108" s="93">
        <f t="shared" si="109"/>
        <v>0</v>
      </c>
      <c r="CX108" s="93"/>
      <c r="CY108" s="93" t="str">
        <f>TEXT(Z108,"MMMM")</f>
        <v>enero</v>
      </c>
      <c r="CZ108" s="93" t="str">
        <f t="shared" si="87"/>
        <v>marzo</v>
      </c>
      <c r="DA108" s="93" t="str">
        <f t="shared" si="88"/>
        <v>marzo</v>
      </c>
      <c r="DB108" s="93" t="str">
        <f t="shared" si="89"/>
        <v>abril</v>
      </c>
      <c r="DC108" s="93" t="str">
        <f t="shared" si="110"/>
        <v>mayo</v>
      </c>
      <c r="DD108" s="93" t="str">
        <f t="shared" si="111"/>
        <v>enero</v>
      </c>
      <c r="DE108" s="93" t="str">
        <f t="shared" si="112"/>
        <v>enero</v>
      </c>
      <c r="DF108" s="93" t="str">
        <f t="shared" si="113"/>
        <v>enero</v>
      </c>
      <c r="DG108" s="93" t="str">
        <f t="shared" si="114"/>
        <v>enero</v>
      </c>
      <c r="DH108" s="93" t="str">
        <f t="shared" si="115"/>
        <v>enero</v>
      </c>
    </row>
    <row r="109" spans="1:112" s="21" customFormat="1" ht="18.75" hidden="1" customHeight="1">
      <c r="A109" s="93">
        <v>134</v>
      </c>
      <c r="B109" s="93" t="e">
        <f>VLOOKUP($A109,  'Matriz POA 2024-TRABAJO'!$A$5:$CY$9142,29,FALSE)</f>
        <v>#N/A</v>
      </c>
      <c r="C109" s="93" t="e">
        <f>VLOOKUP($A109, 'Matriz POA 2024-TRABAJO'!$A$5:$CY$9142,11,FALSE)</f>
        <v>#N/A</v>
      </c>
      <c r="D109" s="93" t="e">
        <f>VLOOKUP($A109, 'Matriz POA 2024-TRABAJO'!$A$5:$CY$9142,14,FALSE)</f>
        <v>#N/A</v>
      </c>
      <c r="E109" s="93" t="e">
        <f>VLOOKUP($A109, 'Matriz POA 2024-TRABAJO'!$A$5:$CY$9142,15,FALSE)</f>
        <v>#N/A</v>
      </c>
      <c r="F109" s="93" t="e">
        <f>VLOOKUP($A109, 'Matriz POA 2024-TRABAJO'!$A$5:$CY$9142,18,FALSE)</f>
        <v>#N/A</v>
      </c>
      <c r="G109" s="93" t="e">
        <f>VLOOKUP($A109, 'Matriz POA 2024-TRABAJO'!$A$5:$CY$9142,23,FALSE)</f>
        <v>#N/A</v>
      </c>
      <c r="H109" s="93" t="e">
        <f>VLOOKUP($A109, 'Matriz POA 2024-TRABAJO'!$A$5:$CY$9142,24,FALSE)</f>
        <v>#N/A</v>
      </c>
      <c r="I109" s="93" t="e">
        <f>VLOOKUP($A109, 'Matriz POA 2024-TRABAJO'!$A$5:$CY$9142,20,FALSE)</f>
        <v>#N/A</v>
      </c>
      <c r="J109" s="93" t="e">
        <f>VLOOKUP($A109, 'Matriz POA 2024-TRABAJO'!$A$5:$CY$9142,26,FALSE)</f>
        <v>#N/A</v>
      </c>
      <c r="K109" s="93" t="e">
        <f>VLOOKUP($A109, 'Matriz POA 2024-TRABAJO'!$A$5:$CY$9142,27,FALSE)</f>
        <v>#N/A</v>
      </c>
      <c r="L109" s="93" t="e">
        <f>VLOOKUP($A109, 'Matriz POA 2024-TRABAJO'!$A$5:$CY$9142,28,FALSE)</f>
        <v>#N/A</v>
      </c>
      <c r="M109" s="93" t="e">
        <f>VLOOKUP($A109, 'Matriz POA 2024-TRABAJO'!$A$5:$CY$9142,30,FALSE)</f>
        <v>#N/A</v>
      </c>
      <c r="N109" s="93" t="e">
        <f>VLOOKUP($A109, 'Matriz POA 2024-TRABAJO'!$A$5:$CY$9142,31,FALSE)</f>
        <v>#N/A</v>
      </c>
      <c r="O109" s="93" t="e">
        <f>VLOOKUP($A109, 'Matriz POA 2024-TRABAJO'!$A$5:$CY$9142,45,FALSE)</f>
        <v>#N/A</v>
      </c>
      <c r="P109" s="93" t="e">
        <f>VLOOKUP($A109, 'Matriz POA 2024-TRABAJO'!$A$5:$CY$9142,46,FALSE)</f>
        <v>#N/A</v>
      </c>
      <c r="Q109" s="93" t="e">
        <f>VLOOKUP($A109, 'Matriz POA 2024-TRABAJO'!$A$5:$CY$9142,47,FALSE)</f>
        <v>#N/A</v>
      </c>
      <c r="R109" s="94">
        <f t="shared" si="82"/>
        <v>346</v>
      </c>
      <c r="S109" s="95" t="e">
        <f t="shared" si="83"/>
        <v>#N/A</v>
      </c>
      <c r="T109" s="93" t="e">
        <f>VLOOKUP($A109, 'Matriz POA 2024-TRABAJO'!$A$5:$CY$9142,72,FALSE)</f>
        <v>#N/A</v>
      </c>
      <c r="U109" s="93" t="e">
        <f>VLOOKUP($A109, 'Matriz POA 2024-TRABAJO'!$A$5:$CY$9142,29,FALSE)</f>
        <v>#N/A</v>
      </c>
      <c r="V109" s="94" t="str">
        <f t="shared" si="84"/>
        <v>13ar-29ar-74ar-</v>
      </c>
      <c r="W109" s="97" t="s">
        <v>1158</v>
      </c>
      <c r="X109" s="109">
        <v>45321</v>
      </c>
      <c r="Y109" s="99" t="s">
        <v>1159</v>
      </c>
      <c r="Z109" s="109">
        <v>45321</v>
      </c>
      <c r="AA109" s="98">
        <v>346</v>
      </c>
      <c r="AB109" s="98"/>
      <c r="AC109" s="99">
        <f t="shared" si="103"/>
        <v>0</v>
      </c>
      <c r="AD109" s="110" t="s">
        <v>1160</v>
      </c>
      <c r="AE109" s="97" t="s">
        <v>1161</v>
      </c>
      <c r="AF109" s="101">
        <v>45356</v>
      </c>
      <c r="AG109" s="97"/>
      <c r="AH109" s="101">
        <v>45358</v>
      </c>
      <c r="AI109" s="98">
        <v>-346</v>
      </c>
      <c r="AJ109" s="98"/>
      <c r="AK109" s="99">
        <f t="shared" si="85"/>
        <v>2</v>
      </c>
      <c r="AL109" s="99"/>
      <c r="AM109" s="97" t="s">
        <v>1161</v>
      </c>
      <c r="AN109" s="96">
        <v>45356</v>
      </c>
      <c r="AO109" s="97"/>
      <c r="AP109" s="101">
        <v>45358</v>
      </c>
      <c r="AQ109" s="98">
        <v>346</v>
      </c>
      <c r="AR109" s="98"/>
      <c r="AS109" s="99"/>
      <c r="AT109" s="99" t="s">
        <v>1163</v>
      </c>
      <c r="AU109" s="93" t="s">
        <v>1164</v>
      </c>
      <c r="AV109" s="96">
        <v>45393</v>
      </c>
      <c r="AW109" s="93" t="s">
        <v>1165</v>
      </c>
      <c r="AX109" s="96">
        <v>45394</v>
      </c>
      <c r="AY109" s="355">
        <v>-346</v>
      </c>
      <c r="AZ109" s="98">
        <v>346</v>
      </c>
      <c r="BA109" s="99">
        <f t="shared" si="86"/>
        <v>1</v>
      </c>
      <c r="BB109" s="99"/>
      <c r="BC109" s="93" t="s">
        <v>1813</v>
      </c>
      <c r="BD109" s="103">
        <v>45426</v>
      </c>
      <c r="BE109" s="101" t="s">
        <v>1815</v>
      </c>
      <c r="BF109" s="103">
        <v>45427</v>
      </c>
      <c r="BG109" s="98">
        <v>-346</v>
      </c>
      <c r="BH109" s="102">
        <v>346</v>
      </c>
      <c r="BI109" s="93">
        <f t="shared" si="104"/>
        <v>1</v>
      </c>
      <c r="BJ109" s="93" t="s">
        <v>1814</v>
      </c>
      <c r="BK109" s="93"/>
      <c r="BL109" s="103"/>
      <c r="BM109" s="93"/>
      <c r="BN109" s="103"/>
      <c r="BO109" s="94"/>
      <c r="BP109" s="94"/>
      <c r="BQ109" s="93">
        <f t="shared" si="105"/>
        <v>0</v>
      </c>
      <c r="BR109" s="93"/>
      <c r="BS109" s="93"/>
      <c r="BT109" s="103"/>
      <c r="BU109" s="93"/>
      <c r="BV109" s="103"/>
      <c r="BW109" s="94"/>
      <c r="BX109" s="94"/>
      <c r="BY109" s="93">
        <f t="shared" si="106"/>
        <v>0</v>
      </c>
      <c r="BZ109" s="93"/>
      <c r="CA109" s="104"/>
      <c r="CB109" s="105"/>
      <c r="CC109" s="106"/>
      <c r="CD109" s="107"/>
      <c r="CE109" s="94"/>
      <c r="CF109" s="94"/>
      <c r="CG109" s="93">
        <f t="shared" si="107"/>
        <v>0</v>
      </c>
      <c r="CH109" s="93"/>
      <c r="CI109" s="106"/>
      <c r="CJ109" s="105"/>
      <c r="CK109" s="93"/>
      <c r="CL109" s="105"/>
      <c r="CM109" s="108"/>
      <c r="CN109" s="108"/>
      <c r="CO109" s="93">
        <f t="shared" si="108"/>
        <v>0</v>
      </c>
      <c r="CP109" s="93"/>
      <c r="CQ109" s="93"/>
      <c r="CR109" s="93"/>
      <c r="CS109" s="93"/>
      <c r="CT109" s="93"/>
      <c r="CU109" s="93"/>
      <c r="CV109" s="93"/>
      <c r="CW109" s="93">
        <f t="shared" si="109"/>
        <v>0</v>
      </c>
      <c r="CX109" s="93"/>
      <c r="CY109" s="93" t="str">
        <f>TEXT(X109,"MMMM")</f>
        <v>enero</v>
      </c>
      <c r="CZ109" s="93" t="str">
        <f t="shared" si="87"/>
        <v>marzo</v>
      </c>
      <c r="DA109" s="93" t="str">
        <f t="shared" si="88"/>
        <v>marzo</v>
      </c>
      <c r="DB109" s="93" t="str">
        <f t="shared" si="89"/>
        <v>abril</v>
      </c>
      <c r="DC109" s="93" t="str">
        <f t="shared" si="110"/>
        <v>mayo</v>
      </c>
      <c r="DD109" s="93" t="str">
        <f t="shared" si="111"/>
        <v>enero</v>
      </c>
      <c r="DE109" s="93" t="str">
        <f t="shared" si="112"/>
        <v>enero</v>
      </c>
      <c r="DF109" s="93" t="str">
        <f t="shared" si="113"/>
        <v>enero</v>
      </c>
      <c r="DG109" s="93" t="str">
        <f t="shared" si="114"/>
        <v>enero</v>
      </c>
      <c r="DH109" s="93" t="str">
        <f t="shared" si="115"/>
        <v>enero</v>
      </c>
    </row>
    <row r="110" spans="1:112" s="21" customFormat="1" ht="26.45" hidden="1" customHeight="1">
      <c r="A110" s="93">
        <v>135</v>
      </c>
      <c r="B110" s="93" t="e">
        <f>VLOOKUP($A110,  'Matriz POA 2024-TRABAJO'!$A$5:$CY$9142,29,FALSE)</f>
        <v>#N/A</v>
      </c>
      <c r="C110" s="93" t="e">
        <f>VLOOKUP($A110, 'Matriz POA 2024-TRABAJO'!$A$5:$CY$9142,11,FALSE)</f>
        <v>#N/A</v>
      </c>
      <c r="D110" s="93" t="e">
        <f>VLOOKUP($A110, 'Matriz POA 2024-TRABAJO'!$A$5:$CY$9142,14,FALSE)</f>
        <v>#N/A</v>
      </c>
      <c r="E110" s="93" t="e">
        <f>VLOOKUP($A110, 'Matriz POA 2024-TRABAJO'!$A$5:$CY$9142,15,FALSE)</f>
        <v>#N/A</v>
      </c>
      <c r="F110" s="93" t="e">
        <f>VLOOKUP($A110, 'Matriz POA 2024-TRABAJO'!$A$5:$CY$9142,18,FALSE)</f>
        <v>#N/A</v>
      </c>
      <c r="G110" s="93" t="e">
        <f>VLOOKUP($A110, 'Matriz POA 2024-TRABAJO'!$A$5:$CY$9142,23,FALSE)</f>
        <v>#N/A</v>
      </c>
      <c r="H110" s="93" t="e">
        <f>VLOOKUP($A110, 'Matriz POA 2024-TRABAJO'!$A$5:$CY$9142,24,FALSE)</f>
        <v>#N/A</v>
      </c>
      <c r="I110" s="93" t="e">
        <f>VLOOKUP($A110, 'Matriz POA 2024-TRABAJO'!$A$5:$CY$9142,20,FALSE)</f>
        <v>#N/A</v>
      </c>
      <c r="J110" s="93" t="e">
        <f>VLOOKUP($A110, 'Matriz POA 2024-TRABAJO'!$A$5:$CY$9142,26,FALSE)</f>
        <v>#N/A</v>
      </c>
      <c r="K110" s="93" t="e">
        <f>VLOOKUP($A110, 'Matriz POA 2024-TRABAJO'!$A$5:$CY$9142,27,FALSE)</f>
        <v>#N/A</v>
      </c>
      <c r="L110" s="93" t="e">
        <f>VLOOKUP($A110, 'Matriz POA 2024-TRABAJO'!$A$5:$CY$9142,28,FALSE)</f>
        <v>#N/A</v>
      </c>
      <c r="M110" s="93" t="e">
        <f>VLOOKUP($A110, 'Matriz POA 2024-TRABAJO'!$A$5:$CY$9142,30,FALSE)</f>
        <v>#N/A</v>
      </c>
      <c r="N110" s="93" t="e">
        <f>VLOOKUP($A110, 'Matriz POA 2024-TRABAJO'!$A$5:$CY$9142,31,FALSE)</f>
        <v>#N/A</v>
      </c>
      <c r="O110" s="93" t="e">
        <f>VLOOKUP($A110, 'Matriz POA 2024-TRABAJO'!$A$5:$CY$9142,45,FALSE)</f>
        <v>#N/A</v>
      </c>
      <c r="P110" s="93" t="e">
        <f>VLOOKUP($A110, 'Matriz POA 2024-TRABAJO'!$A$5:$CY$9142,46,FALSE)</f>
        <v>#N/A</v>
      </c>
      <c r="Q110" s="93" t="e">
        <f>VLOOKUP($A110, 'Matriz POA 2024-TRABAJO'!$A$5:$CY$9142,47,FALSE)</f>
        <v>#N/A</v>
      </c>
      <c r="R110" s="94">
        <f t="shared" si="82"/>
        <v>1003.53</v>
      </c>
      <c r="S110" s="95" t="e">
        <f t="shared" si="83"/>
        <v>#N/A</v>
      </c>
      <c r="T110" s="93" t="e">
        <f>VLOOKUP($A110, 'Matriz POA 2024-TRABAJO'!$A$5:$CY$9142,72,FALSE)</f>
        <v>#N/A</v>
      </c>
      <c r="U110" s="93" t="e">
        <f>VLOOKUP($A110, 'Matriz POA 2024-TRABAJO'!$A$5:$CY$9142,29,FALSE)</f>
        <v>#N/A</v>
      </c>
      <c r="V110" s="94" t="str">
        <f t="shared" si="84"/>
        <v>13ar-29ar-74ar-</v>
      </c>
      <c r="W110" s="97" t="s">
        <v>1158</v>
      </c>
      <c r="X110" s="109">
        <v>45321</v>
      </c>
      <c r="Y110" s="99" t="s">
        <v>1159</v>
      </c>
      <c r="Z110" s="109">
        <v>45321</v>
      </c>
      <c r="AA110" s="98">
        <v>1003.53</v>
      </c>
      <c r="AB110" s="98"/>
      <c r="AC110" s="99">
        <f t="shared" si="103"/>
        <v>0</v>
      </c>
      <c r="AD110" s="110" t="s">
        <v>1160</v>
      </c>
      <c r="AE110" s="97" t="s">
        <v>1161</v>
      </c>
      <c r="AF110" s="101">
        <v>45356</v>
      </c>
      <c r="AG110" s="97"/>
      <c r="AH110" s="101">
        <v>45358</v>
      </c>
      <c r="AI110" s="98">
        <v>-1003.53</v>
      </c>
      <c r="AJ110" s="98"/>
      <c r="AK110" s="99">
        <f t="shared" si="85"/>
        <v>2</v>
      </c>
      <c r="AL110" s="99"/>
      <c r="AM110" s="97" t="s">
        <v>1161</v>
      </c>
      <c r="AN110" s="96">
        <v>45356</v>
      </c>
      <c r="AO110" s="97"/>
      <c r="AP110" s="101">
        <v>45358</v>
      </c>
      <c r="AQ110" s="98">
        <v>1003.53</v>
      </c>
      <c r="AR110" s="98"/>
      <c r="AS110" s="99"/>
      <c r="AT110" s="99" t="s">
        <v>1163</v>
      </c>
      <c r="AU110" s="93" t="s">
        <v>1164</v>
      </c>
      <c r="AV110" s="96">
        <v>45393</v>
      </c>
      <c r="AW110" s="93" t="s">
        <v>1165</v>
      </c>
      <c r="AX110" s="96">
        <v>45394</v>
      </c>
      <c r="AY110" s="355">
        <v>-1003.53</v>
      </c>
      <c r="AZ110" s="98">
        <v>1003.53</v>
      </c>
      <c r="BA110" s="99">
        <f t="shared" si="86"/>
        <v>1</v>
      </c>
      <c r="BB110" s="99"/>
      <c r="BC110" s="93" t="s">
        <v>1813</v>
      </c>
      <c r="BD110" s="103">
        <v>45426</v>
      </c>
      <c r="BE110" s="101" t="s">
        <v>1815</v>
      </c>
      <c r="BF110" s="103">
        <v>45427</v>
      </c>
      <c r="BG110" s="98">
        <v>-1003.53</v>
      </c>
      <c r="BH110" s="102">
        <v>1003.53</v>
      </c>
      <c r="BI110" s="93">
        <f t="shared" si="104"/>
        <v>1</v>
      </c>
      <c r="BJ110" s="93" t="s">
        <v>1814</v>
      </c>
      <c r="BK110" s="93"/>
      <c r="BL110" s="103"/>
      <c r="BM110" s="93"/>
      <c r="BN110" s="103"/>
      <c r="BO110" s="94"/>
      <c r="BP110" s="94"/>
      <c r="BQ110" s="93">
        <f t="shared" si="105"/>
        <v>0</v>
      </c>
      <c r="BR110" s="93"/>
      <c r="BS110" s="93"/>
      <c r="BT110" s="103"/>
      <c r="BU110" s="93"/>
      <c r="BV110" s="103"/>
      <c r="BW110" s="94"/>
      <c r="BX110" s="94"/>
      <c r="BY110" s="93">
        <f t="shared" si="106"/>
        <v>0</v>
      </c>
      <c r="BZ110" s="93"/>
      <c r="CA110" s="104"/>
      <c r="CB110" s="105"/>
      <c r="CC110" s="106"/>
      <c r="CD110" s="107"/>
      <c r="CE110" s="94"/>
      <c r="CF110" s="94"/>
      <c r="CG110" s="93">
        <f t="shared" si="107"/>
        <v>0</v>
      </c>
      <c r="CH110" s="93"/>
      <c r="CI110" s="106"/>
      <c r="CJ110" s="105"/>
      <c r="CK110" s="93"/>
      <c r="CL110" s="105"/>
      <c r="CM110" s="108"/>
      <c r="CN110" s="108"/>
      <c r="CO110" s="93">
        <f t="shared" si="108"/>
        <v>0</v>
      </c>
      <c r="CP110" s="93"/>
      <c r="CQ110" s="93"/>
      <c r="CR110" s="93"/>
      <c r="CS110" s="93"/>
      <c r="CT110" s="93"/>
      <c r="CU110" s="93"/>
      <c r="CV110" s="93"/>
      <c r="CW110" s="93">
        <f t="shared" si="109"/>
        <v>0</v>
      </c>
      <c r="CX110" s="93"/>
      <c r="CY110" s="93" t="str">
        <f>TEXT(Z110,"MMMM")</f>
        <v>enero</v>
      </c>
      <c r="CZ110" s="93" t="str">
        <f t="shared" si="87"/>
        <v>marzo</v>
      </c>
      <c r="DA110" s="93" t="str">
        <f t="shared" si="88"/>
        <v>marzo</v>
      </c>
      <c r="DB110" s="93" t="str">
        <f t="shared" si="89"/>
        <v>abril</v>
      </c>
      <c r="DC110" s="93" t="str">
        <f t="shared" si="110"/>
        <v>mayo</v>
      </c>
      <c r="DD110" s="93" t="str">
        <f t="shared" si="111"/>
        <v>enero</v>
      </c>
      <c r="DE110" s="93" t="str">
        <f t="shared" si="112"/>
        <v>enero</v>
      </c>
      <c r="DF110" s="93" t="str">
        <f t="shared" si="113"/>
        <v>enero</v>
      </c>
      <c r="DG110" s="93" t="str">
        <f t="shared" si="114"/>
        <v>enero</v>
      </c>
      <c r="DH110" s="93" t="str">
        <f t="shared" si="115"/>
        <v>enero</v>
      </c>
    </row>
    <row r="111" spans="1:112" s="21" customFormat="1" ht="18.75" hidden="1" customHeight="1">
      <c r="A111" s="194">
        <v>136</v>
      </c>
      <c r="B111" s="93" t="e">
        <f>VLOOKUP($A111,  'Matriz POA 2024-TRABAJO'!$A$5:$CY$9142,29,FALSE)</f>
        <v>#N/A</v>
      </c>
      <c r="C111" s="93" t="e">
        <f>VLOOKUP($A111, 'Matriz POA 2024-TRABAJO'!$A$5:$CY$9142,11,FALSE)</f>
        <v>#N/A</v>
      </c>
      <c r="D111" s="93" t="e">
        <f>VLOOKUP($A111, 'Matriz POA 2024-TRABAJO'!$A$5:$CY$9142,14,FALSE)</f>
        <v>#N/A</v>
      </c>
      <c r="E111" s="93" t="e">
        <f>VLOOKUP($A111, 'Matriz POA 2024-TRABAJO'!$A$5:$CY$9142,15,FALSE)</f>
        <v>#N/A</v>
      </c>
      <c r="F111" s="93" t="e">
        <f>VLOOKUP($A111, 'Matriz POA 2024-TRABAJO'!$A$5:$CY$9142,18,FALSE)</f>
        <v>#N/A</v>
      </c>
      <c r="G111" s="93" t="e">
        <f>VLOOKUP($A111, 'Matriz POA 2024-TRABAJO'!$A$5:$CY$9142,23,FALSE)</f>
        <v>#N/A</v>
      </c>
      <c r="H111" s="93" t="e">
        <f>VLOOKUP($A111, 'Matriz POA 2024-TRABAJO'!$A$5:$CY$9142,24,FALSE)</f>
        <v>#N/A</v>
      </c>
      <c r="I111" s="93" t="e">
        <f>VLOOKUP($A111, 'Matriz POA 2024-TRABAJO'!$A$5:$CY$9142,20,FALSE)</f>
        <v>#N/A</v>
      </c>
      <c r="J111" s="93" t="e">
        <f>VLOOKUP($A111, 'Matriz POA 2024-TRABAJO'!$A$5:$CY$9142,26,FALSE)</f>
        <v>#N/A</v>
      </c>
      <c r="K111" s="93" t="e">
        <f>VLOOKUP($A111, 'Matriz POA 2024-TRABAJO'!$A$5:$CY$9142,27,FALSE)</f>
        <v>#N/A</v>
      </c>
      <c r="L111" s="93" t="e">
        <f>VLOOKUP($A111, 'Matriz POA 2024-TRABAJO'!$A$5:$CY$9142,28,FALSE)</f>
        <v>#N/A</v>
      </c>
      <c r="M111" s="93" t="e">
        <f>VLOOKUP($A111, 'Matriz POA 2024-TRABAJO'!$A$5:$CY$9142,30,FALSE)</f>
        <v>#N/A</v>
      </c>
      <c r="N111" s="93" t="e">
        <f>VLOOKUP($A111, 'Matriz POA 2024-TRABAJO'!$A$5:$CY$9142,31,FALSE)</f>
        <v>#N/A</v>
      </c>
      <c r="O111" s="93" t="e">
        <f>VLOOKUP($A111, 'Matriz POA 2024-TRABAJO'!$A$5:$CY$9142,45,FALSE)</f>
        <v>#N/A</v>
      </c>
      <c r="P111" s="93" t="e">
        <f>VLOOKUP($A111, 'Matriz POA 2024-TRABAJO'!$A$5:$CY$9142,46,FALSE)</f>
        <v>#N/A</v>
      </c>
      <c r="Q111" s="93" t="e">
        <f>VLOOKUP($A111, 'Matriz POA 2024-TRABAJO'!$A$5:$CY$9142,47,FALSE)</f>
        <v>#N/A</v>
      </c>
      <c r="R111" s="94">
        <f t="shared" si="82"/>
        <v>19915.650000000001</v>
      </c>
      <c r="S111" s="95" t="e">
        <f t="shared" si="83"/>
        <v>#N/A</v>
      </c>
      <c r="T111" s="93" t="e">
        <f>VLOOKUP($A111, 'Matriz POA 2024-TRABAJO'!$A$5:$CY$9142,72,FALSE)</f>
        <v>#N/A</v>
      </c>
      <c r="U111" s="93" t="e">
        <f>VLOOKUP($A111, 'Matriz POA 2024-TRABAJO'!$A$5:$CY$9142,29,FALSE)</f>
        <v>#N/A</v>
      </c>
      <c r="V111" s="94" t="str">
        <f t="shared" ref="V111:V139" si="116">AD111&amp;AL111&amp;AT111&amp;BB111&amp;BJ111&amp;BR111&amp;BZ111&amp;CH111&amp;CP111&amp;CX111</f>
        <v>13ar-29ar-74ar-</v>
      </c>
      <c r="W111" s="97" t="s">
        <v>1158</v>
      </c>
      <c r="X111" s="109">
        <v>45321</v>
      </c>
      <c r="Y111" s="99" t="s">
        <v>1159</v>
      </c>
      <c r="Z111" s="109">
        <v>45321</v>
      </c>
      <c r="AA111" s="98">
        <v>19915.650000000001</v>
      </c>
      <c r="AB111" s="98"/>
      <c r="AC111" s="99">
        <f t="shared" si="103"/>
        <v>0</v>
      </c>
      <c r="AD111" s="110" t="s">
        <v>1160</v>
      </c>
      <c r="AE111" s="97" t="s">
        <v>1161</v>
      </c>
      <c r="AF111" s="101">
        <v>45356</v>
      </c>
      <c r="AG111" s="97"/>
      <c r="AH111" s="101">
        <v>45358</v>
      </c>
      <c r="AI111" s="98">
        <v>-19915.650000000001</v>
      </c>
      <c r="AJ111" s="98"/>
      <c r="AK111" s="99">
        <f t="shared" ref="AK111:AK139" si="117">AH111-AF111</f>
        <v>2</v>
      </c>
      <c r="AL111" s="99"/>
      <c r="AM111" s="97" t="s">
        <v>1161</v>
      </c>
      <c r="AN111" s="96">
        <v>45356</v>
      </c>
      <c r="AO111" s="97"/>
      <c r="AP111" s="101">
        <v>45358</v>
      </c>
      <c r="AQ111" s="98">
        <v>19915.650000000001</v>
      </c>
      <c r="AR111" s="98"/>
      <c r="AS111" s="99">
        <f t="shared" ref="AS111:AS139" si="118">AP111-AN111</f>
        <v>2</v>
      </c>
      <c r="AT111" s="99" t="s">
        <v>1163</v>
      </c>
      <c r="AU111" s="93" t="s">
        <v>1164</v>
      </c>
      <c r="AV111" s="96">
        <v>45393</v>
      </c>
      <c r="AW111" s="93" t="s">
        <v>1165</v>
      </c>
      <c r="AX111" s="96">
        <v>45394</v>
      </c>
      <c r="AY111" s="355">
        <v>-19915.650000000001</v>
      </c>
      <c r="AZ111" s="98">
        <v>19915.650000000001</v>
      </c>
      <c r="BA111" s="99">
        <f t="shared" ref="BA111:BA139" si="119">AX111-AV111</f>
        <v>1</v>
      </c>
      <c r="BB111" s="99"/>
      <c r="BC111" s="93" t="s">
        <v>1813</v>
      </c>
      <c r="BD111" s="103">
        <v>45426</v>
      </c>
      <c r="BE111" s="101" t="s">
        <v>1815</v>
      </c>
      <c r="BF111" s="103">
        <v>45427</v>
      </c>
      <c r="BG111" s="98">
        <v>-19915.650000000001</v>
      </c>
      <c r="BH111" s="102">
        <v>19915.650000000001</v>
      </c>
      <c r="BI111" s="93">
        <f t="shared" si="104"/>
        <v>1</v>
      </c>
      <c r="BJ111" s="93" t="s">
        <v>1814</v>
      </c>
      <c r="BK111" s="93"/>
      <c r="BL111" s="103"/>
      <c r="BM111" s="93"/>
      <c r="BN111" s="103"/>
      <c r="BO111" s="94"/>
      <c r="BP111" s="94"/>
      <c r="BQ111" s="93">
        <f t="shared" si="105"/>
        <v>0</v>
      </c>
      <c r="BR111" s="93"/>
      <c r="BS111" s="93"/>
      <c r="BT111" s="103"/>
      <c r="BU111" s="93"/>
      <c r="BV111" s="103"/>
      <c r="BW111" s="94"/>
      <c r="BX111" s="94"/>
      <c r="BY111" s="93">
        <f t="shared" si="106"/>
        <v>0</v>
      </c>
      <c r="BZ111" s="93"/>
      <c r="CA111" s="104"/>
      <c r="CB111" s="105"/>
      <c r="CC111" s="106"/>
      <c r="CD111" s="107"/>
      <c r="CE111" s="94"/>
      <c r="CF111" s="94"/>
      <c r="CG111" s="93">
        <f t="shared" si="107"/>
        <v>0</v>
      </c>
      <c r="CH111" s="93"/>
      <c r="CI111" s="106"/>
      <c r="CJ111" s="105"/>
      <c r="CK111" s="93"/>
      <c r="CL111" s="105"/>
      <c r="CM111" s="108"/>
      <c r="CN111" s="108"/>
      <c r="CO111" s="93">
        <f t="shared" si="108"/>
        <v>0</v>
      </c>
      <c r="CP111" s="93"/>
      <c r="CQ111" s="93"/>
      <c r="CR111" s="93"/>
      <c r="CS111" s="93"/>
      <c r="CT111" s="93"/>
      <c r="CU111" s="93"/>
      <c r="CV111" s="93"/>
      <c r="CW111" s="93">
        <f t="shared" si="109"/>
        <v>0</v>
      </c>
      <c r="CX111" s="93"/>
      <c r="CY111" s="93" t="str">
        <f>TEXT(X111,"MMMM")</f>
        <v>enero</v>
      </c>
      <c r="CZ111" s="93" t="str">
        <f t="shared" ref="CZ111:CZ139" si="120">TEXT(AF111,"MMMM")</f>
        <v>marzo</v>
      </c>
      <c r="DA111" s="93" t="str">
        <f t="shared" ref="DA111:DA139" si="121">TEXT(AN111,"MMMM")</f>
        <v>marzo</v>
      </c>
      <c r="DB111" s="93" t="str">
        <f t="shared" ref="DB111:DB139" si="122">TEXT(AV111,"MMMM")</f>
        <v>abril</v>
      </c>
      <c r="DC111" s="93" t="str">
        <f t="shared" si="110"/>
        <v>mayo</v>
      </c>
      <c r="DD111" s="93" t="str">
        <f t="shared" si="111"/>
        <v>enero</v>
      </c>
      <c r="DE111" s="93" t="str">
        <f t="shared" si="112"/>
        <v>enero</v>
      </c>
      <c r="DF111" s="93" t="str">
        <f t="shared" si="113"/>
        <v>enero</v>
      </c>
      <c r="DG111" s="93" t="str">
        <f t="shared" si="114"/>
        <v>enero</v>
      </c>
      <c r="DH111" s="93" t="str">
        <f t="shared" si="115"/>
        <v>enero</v>
      </c>
    </row>
    <row r="112" spans="1:112" s="21" customFormat="1" ht="18.75" hidden="1" customHeight="1">
      <c r="A112" s="194">
        <v>137</v>
      </c>
      <c r="B112" s="93" t="e">
        <f>VLOOKUP($A112,  'Matriz POA 2024-TRABAJO'!$A$5:$CY$9142,29,FALSE)</f>
        <v>#N/A</v>
      </c>
      <c r="C112" s="93" t="e">
        <f>VLOOKUP($A112, 'Matriz POA 2024-TRABAJO'!$A$5:$CY$9142,11,FALSE)</f>
        <v>#N/A</v>
      </c>
      <c r="D112" s="93" t="e">
        <f>VLOOKUP($A112, 'Matriz POA 2024-TRABAJO'!$A$5:$CY$9142,14,FALSE)</f>
        <v>#N/A</v>
      </c>
      <c r="E112" s="93" t="e">
        <f>VLOOKUP($A112, 'Matriz POA 2024-TRABAJO'!$A$5:$CY$9142,15,FALSE)</f>
        <v>#N/A</v>
      </c>
      <c r="F112" s="93" t="e">
        <f>VLOOKUP($A112, 'Matriz POA 2024-TRABAJO'!$A$5:$CY$9142,18,FALSE)</f>
        <v>#N/A</v>
      </c>
      <c r="G112" s="93" t="e">
        <f>VLOOKUP($A112, 'Matriz POA 2024-TRABAJO'!$A$5:$CY$9142,23,FALSE)</f>
        <v>#N/A</v>
      </c>
      <c r="H112" s="93" t="e">
        <f>VLOOKUP($A112, 'Matriz POA 2024-TRABAJO'!$A$5:$CY$9142,24,FALSE)</f>
        <v>#N/A</v>
      </c>
      <c r="I112" s="93" t="e">
        <f>VLOOKUP($A112, 'Matriz POA 2024-TRABAJO'!$A$5:$CY$9142,20,FALSE)</f>
        <v>#N/A</v>
      </c>
      <c r="J112" s="93" t="e">
        <f>VLOOKUP($A112, 'Matriz POA 2024-TRABAJO'!$A$5:$CY$9142,26,FALSE)</f>
        <v>#N/A</v>
      </c>
      <c r="K112" s="93" t="e">
        <f>VLOOKUP($A112, 'Matriz POA 2024-TRABAJO'!$A$5:$CY$9142,27,FALSE)</f>
        <v>#N/A</v>
      </c>
      <c r="L112" s="93" t="e">
        <f>VLOOKUP($A112, 'Matriz POA 2024-TRABAJO'!$A$5:$CY$9142,28,FALSE)</f>
        <v>#N/A</v>
      </c>
      <c r="M112" s="93" t="e">
        <f>VLOOKUP($A112, 'Matriz POA 2024-TRABAJO'!$A$5:$CY$9142,30,FALSE)</f>
        <v>#N/A</v>
      </c>
      <c r="N112" s="93" t="e">
        <f>VLOOKUP($A112, 'Matriz POA 2024-TRABAJO'!$A$5:$CY$9142,31,FALSE)</f>
        <v>#N/A</v>
      </c>
      <c r="O112" s="93" t="e">
        <f>VLOOKUP($A112, 'Matriz POA 2024-TRABAJO'!$A$5:$CY$9142,45,FALSE)</f>
        <v>#N/A</v>
      </c>
      <c r="P112" s="93" t="e">
        <f>VLOOKUP($A112, 'Matriz POA 2024-TRABAJO'!$A$5:$CY$9142,46,FALSE)</f>
        <v>#N/A</v>
      </c>
      <c r="Q112" s="93" t="e">
        <f>VLOOKUP($A112, 'Matriz POA 2024-TRABAJO'!$A$5:$CY$9142,47,FALSE)</f>
        <v>#N/A</v>
      </c>
      <c r="R112" s="94">
        <f t="shared" si="82"/>
        <v>10844.97</v>
      </c>
      <c r="S112" s="95" t="e">
        <f t="shared" si="83"/>
        <v>#N/A</v>
      </c>
      <c r="T112" s="93" t="e">
        <f>VLOOKUP($A112, 'Matriz POA 2024-TRABAJO'!$A$5:$CY$9142,72,FALSE)</f>
        <v>#N/A</v>
      </c>
      <c r="U112" s="93" t="e">
        <f>VLOOKUP($A112, 'Matriz POA 2024-TRABAJO'!$A$5:$CY$9142,29,FALSE)</f>
        <v>#N/A</v>
      </c>
      <c r="V112" s="94" t="str">
        <f t="shared" si="116"/>
        <v>13ar-29ar-74ar-</v>
      </c>
      <c r="W112" s="97" t="s">
        <v>1158</v>
      </c>
      <c r="X112" s="109">
        <v>45321</v>
      </c>
      <c r="Y112" s="99" t="s">
        <v>1159</v>
      </c>
      <c r="Z112" s="109">
        <v>45321</v>
      </c>
      <c r="AA112" s="98">
        <v>10844.97</v>
      </c>
      <c r="AB112" s="98"/>
      <c r="AC112" s="99">
        <f t="shared" si="103"/>
        <v>0</v>
      </c>
      <c r="AD112" s="110" t="s">
        <v>1160</v>
      </c>
      <c r="AE112" s="97" t="s">
        <v>1161</v>
      </c>
      <c r="AF112" s="101">
        <v>45356</v>
      </c>
      <c r="AG112" s="97"/>
      <c r="AH112" s="101">
        <v>45358</v>
      </c>
      <c r="AI112" s="98">
        <v>-10844.97</v>
      </c>
      <c r="AJ112" s="98"/>
      <c r="AK112" s="99">
        <f t="shared" si="117"/>
        <v>2</v>
      </c>
      <c r="AL112" s="99"/>
      <c r="AM112" s="97" t="s">
        <v>1161</v>
      </c>
      <c r="AN112" s="96">
        <v>45356</v>
      </c>
      <c r="AO112" s="97"/>
      <c r="AP112" s="101">
        <v>45358</v>
      </c>
      <c r="AQ112" s="98">
        <v>10844.97</v>
      </c>
      <c r="AR112" s="98"/>
      <c r="AS112" s="99">
        <f t="shared" si="118"/>
        <v>2</v>
      </c>
      <c r="AT112" s="99" t="s">
        <v>1163</v>
      </c>
      <c r="AU112" s="93" t="s">
        <v>1164</v>
      </c>
      <c r="AV112" s="96">
        <v>45393</v>
      </c>
      <c r="AW112" s="93" t="s">
        <v>1165</v>
      </c>
      <c r="AX112" s="96">
        <v>45394</v>
      </c>
      <c r="AY112" s="355">
        <v>-10844.97</v>
      </c>
      <c r="AZ112" s="98">
        <v>10844.97</v>
      </c>
      <c r="BA112" s="99">
        <f t="shared" si="119"/>
        <v>1</v>
      </c>
      <c r="BB112" s="99"/>
      <c r="BC112" s="93" t="s">
        <v>1813</v>
      </c>
      <c r="BD112" s="103">
        <v>45426</v>
      </c>
      <c r="BE112" s="101" t="s">
        <v>1815</v>
      </c>
      <c r="BF112" s="103">
        <v>45427</v>
      </c>
      <c r="BG112" s="98">
        <v>-10844.97</v>
      </c>
      <c r="BH112" s="102">
        <v>10844.97</v>
      </c>
      <c r="BI112" s="93">
        <f t="shared" si="104"/>
        <v>1</v>
      </c>
      <c r="BJ112" s="93" t="s">
        <v>1814</v>
      </c>
      <c r="BK112" s="93"/>
      <c r="BL112" s="103"/>
      <c r="BM112" s="93"/>
      <c r="BN112" s="103"/>
      <c r="BO112" s="94"/>
      <c r="BP112" s="94"/>
      <c r="BQ112" s="93">
        <f t="shared" si="105"/>
        <v>0</v>
      </c>
      <c r="BR112" s="93"/>
      <c r="BS112" s="93"/>
      <c r="BT112" s="103"/>
      <c r="BU112" s="93"/>
      <c r="BV112" s="103"/>
      <c r="BW112" s="94"/>
      <c r="BX112" s="94"/>
      <c r="BY112" s="93">
        <f t="shared" si="106"/>
        <v>0</v>
      </c>
      <c r="BZ112" s="93"/>
      <c r="CA112" s="104"/>
      <c r="CB112" s="105"/>
      <c r="CC112" s="106"/>
      <c r="CD112" s="107"/>
      <c r="CE112" s="94"/>
      <c r="CF112" s="94"/>
      <c r="CG112" s="93">
        <f t="shared" si="107"/>
        <v>0</v>
      </c>
      <c r="CH112" s="93"/>
      <c r="CI112" s="106"/>
      <c r="CJ112" s="105"/>
      <c r="CK112" s="93"/>
      <c r="CL112" s="105"/>
      <c r="CM112" s="108"/>
      <c r="CN112" s="108"/>
      <c r="CO112" s="93">
        <f t="shared" si="108"/>
        <v>0</v>
      </c>
      <c r="CP112" s="93"/>
      <c r="CQ112" s="93"/>
      <c r="CR112" s="93"/>
      <c r="CS112" s="93"/>
      <c r="CT112" s="93"/>
      <c r="CU112" s="93"/>
      <c r="CV112" s="93"/>
      <c r="CW112" s="93">
        <f t="shared" si="109"/>
        <v>0</v>
      </c>
      <c r="CX112" s="93"/>
      <c r="CY112" s="93" t="str">
        <f>TEXT(X112,"MMMM")</f>
        <v>enero</v>
      </c>
      <c r="CZ112" s="93" t="str">
        <f t="shared" si="120"/>
        <v>marzo</v>
      </c>
      <c r="DA112" s="93" t="str">
        <f t="shared" si="121"/>
        <v>marzo</v>
      </c>
      <c r="DB112" s="93" t="str">
        <f t="shared" si="122"/>
        <v>abril</v>
      </c>
      <c r="DC112" s="93" t="str">
        <f t="shared" si="110"/>
        <v>mayo</v>
      </c>
      <c r="DD112" s="93" t="str">
        <f t="shared" si="111"/>
        <v>enero</v>
      </c>
      <c r="DE112" s="93" t="str">
        <f t="shared" si="112"/>
        <v>enero</v>
      </c>
      <c r="DF112" s="93" t="str">
        <f t="shared" si="113"/>
        <v>enero</v>
      </c>
      <c r="DG112" s="93" t="str">
        <f t="shared" si="114"/>
        <v>enero</v>
      </c>
      <c r="DH112" s="93" t="str">
        <f t="shared" si="115"/>
        <v>enero</v>
      </c>
    </row>
    <row r="113" spans="1:112" ht="15" hidden="1" customHeight="1">
      <c r="A113" s="93">
        <v>739</v>
      </c>
      <c r="B113" s="93" t="e">
        <f>VLOOKUP($A113,  'Matriz POA 2024-TRABAJO'!$A$5:$CY$9142,29,FALSE)</f>
        <v>#N/A</v>
      </c>
      <c r="C113" s="93" t="e">
        <f>VLOOKUP($A113, 'Matriz POA 2024-TRABAJO'!$A$5:$CY$9142,11,FALSE)</f>
        <v>#N/A</v>
      </c>
      <c r="D113" s="93" t="e">
        <f>VLOOKUP($A113, 'Matriz POA 2024-TRABAJO'!$A$5:$CY$9142,14,FALSE)</f>
        <v>#N/A</v>
      </c>
      <c r="E113" s="93" t="e">
        <f>VLOOKUP($A113, 'Matriz POA 2024-TRABAJO'!$A$5:$CY$9142,15,FALSE)</f>
        <v>#N/A</v>
      </c>
      <c r="F113" s="93" t="e">
        <f>VLOOKUP($A113, 'Matriz POA 2024-TRABAJO'!$A$5:$CY$9142,18,FALSE)</f>
        <v>#N/A</v>
      </c>
      <c r="G113" s="93" t="e">
        <f>VLOOKUP($A113, 'Matriz POA 2024-TRABAJO'!$A$5:$CY$9142,23,FALSE)</f>
        <v>#N/A</v>
      </c>
      <c r="H113" s="93" t="e">
        <f>VLOOKUP($A113, 'Matriz POA 2024-TRABAJO'!$A$5:$CY$9142,24,FALSE)</f>
        <v>#N/A</v>
      </c>
      <c r="I113" s="93" t="e">
        <f>VLOOKUP($A113, 'Matriz POA 2024-TRABAJO'!$A$5:$CY$9142,20,FALSE)</f>
        <v>#N/A</v>
      </c>
      <c r="J113" s="93" t="e">
        <f>VLOOKUP($A113, 'Matriz POA 2024-TRABAJO'!$A$5:$CY$9142,26,FALSE)</f>
        <v>#N/A</v>
      </c>
      <c r="K113" s="93" t="e">
        <f>VLOOKUP($A113, 'Matriz POA 2024-TRABAJO'!$A$5:$CY$9142,27,FALSE)</f>
        <v>#N/A</v>
      </c>
      <c r="L113" s="93" t="e">
        <f>VLOOKUP($A113, 'Matriz POA 2024-TRABAJO'!$A$5:$CY$9142,28,FALSE)</f>
        <v>#N/A</v>
      </c>
      <c r="M113" s="93" t="e">
        <f>VLOOKUP($A113, 'Matriz POA 2024-TRABAJO'!$A$5:$CY$9142,30,FALSE)</f>
        <v>#N/A</v>
      </c>
      <c r="N113" s="93" t="e">
        <f>VLOOKUP($A113, 'Matriz POA 2024-TRABAJO'!$A$5:$CY$9142,31,FALSE)</f>
        <v>#N/A</v>
      </c>
      <c r="O113" s="93" t="e">
        <f>VLOOKUP($A113, 'Matriz POA 2024-TRABAJO'!$A$5:$CY$9142,45,FALSE)</f>
        <v>#N/A</v>
      </c>
      <c r="P113" s="93" t="e">
        <f>VLOOKUP($A113, 'Matriz POA 2024-TRABAJO'!$A$5:$CY$9142,46,FALSE)</f>
        <v>#N/A</v>
      </c>
      <c r="Q113" s="93" t="e">
        <f>VLOOKUP($A113, 'Matriz POA 2024-TRABAJO'!$A$5:$CY$9142,47,FALSE)</f>
        <v>#N/A</v>
      </c>
      <c r="R113" s="94">
        <f t="shared" si="82"/>
        <v>600</v>
      </c>
      <c r="S113" s="95" t="e">
        <f t="shared" si="83"/>
        <v>#N/A</v>
      </c>
      <c r="T113" s="93" t="e">
        <f>VLOOKUP($A113, 'Matriz POA 2024-TRABAJO'!$A$5:$CY$9142,72,FALSE)</f>
        <v>#N/A</v>
      </c>
      <c r="U113" s="93" t="e">
        <f>VLOOKUP($A113, 'Matriz POA 2024-TRABAJO'!$A$5:$CY$9142,29,FALSE)</f>
        <v>#N/A</v>
      </c>
      <c r="V113" s="94" t="str">
        <f t="shared" si="116"/>
        <v>14ar-</v>
      </c>
      <c r="W113" s="97" t="s">
        <v>1115</v>
      </c>
      <c r="X113" s="109">
        <v>45320</v>
      </c>
      <c r="Y113" s="99" t="s">
        <v>1116</v>
      </c>
      <c r="Z113" s="109">
        <v>45323</v>
      </c>
      <c r="AA113" s="98">
        <v>600</v>
      </c>
      <c r="AB113" s="98"/>
      <c r="AC113" s="99">
        <f t="shared" si="103"/>
        <v>3</v>
      </c>
      <c r="AD113" s="99" t="s">
        <v>1117</v>
      </c>
      <c r="AE113" s="98"/>
      <c r="AF113" s="101"/>
      <c r="AG113" s="97"/>
      <c r="AH113" s="101"/>
      <c r="AI113" s="98"/>
      <c r="AJ113" s="98"/>
      <c r="AK113" s="99">
        <f t="shared" si="117"/>
        <v>0</v>
      </c>
      <c r="AL113" s="99"/>
      <c r="AN113" s="96"/>
      <c r="AO113" s="97"/>
      <c r="AP113" s="101"/>
      <c r="AQ113" s="98"/>
      <c r="AR113" s="98"/>
      <c r="AS113" s="99">
        <f t="shared" si="118"/>
        <v>0</v>
      </c>
      <c r="AT113" s="99"/>
      <c r="AU113" s="96"/>
      <c r="AV113" s="96"/>
      <c r="AW113" s="93"/>
      <c r="AX113" s="96"/>
      <c r="AY113" s="98"/>
      <c r="AZ113" s="98"/>
      <c r="BA113" s="99">
        <f t="shared" si="119"/>
        <v>0</v>
      </c>
      <c r="BB113" s="99"/>
      <c r="BC113" s="96"/>
      <c r="BD113" s="96"/>
      <c r="BE113" s="93"/>
      <c r="BF113" s="96"/>
      <c r="BG113" s="102"/>
      <c r="BH113" s="102"/>
      <c r="BI113" s="93">
        <f t="shared" si="104"/>
        <v>0</v>
      </c>
      <c r="BJ113" s="93"/>
      <c r="BK113" s="93"/>
      <c r="BL113" s="103"/>
      <c r="BM113" s="93"/>
      <c r="BN113" s="103"/>
      <c r="BO113" s="94"/>
      <c r="BP113" s="94"/>
      <c r="BQ113" s="93">
        <f t="shared" si="105"/>
        <v>0</v>
      </c>
      <c r="BR113" s="93"/>
      <c r="BS113" s="93"/>
      <c r="BT113" s="103"/>
      <c r="BU113" s="93"/>
      <c r="BV113" s="103"/>
      <c r="BW113" s="94"/>
      <c r="BX113" s="94"/>
      <c r="BY113" s="93">
        <f t="shared" si="106"/>
        <v>0</v>
      </c>
      <c r="BZ113" s="93"/>
      <c r="CA113" s="104"/>
      <c r="CB113" s="105"/>
      <c r="CC113" s="106"/>
      <c r="CD113" s="107"/>
      <c r="CE113" s="94"/>
      <c r="CF113" s="94"/>
      <c r="CG113" s="93">
        <f t="shared" si="107"/>
        <v>0</v>
      </c>
      <c r="CH113" s="93"/>
      <c r="CI113" s="106"/>
      <c r="CJ113" s="105"/>
      <c r="CK113" s="93"/>
      <c r="CL113" s="105"/>
      <c r="CM113" s="108"/>
      <c r="CN113" s="108"/>
      <c r="CO113" s="93">
        <f t="shared" si="108"/>
        <v>0</v>
      </c>
      <c r="CP113" s="93"/>
      <c r="CQ113" s="93"/>
      <c r="CR113" s="93"/>
      <c r="CS113" s="93"/>
      <c r="CT113" s="93"/>
      <c r="CU113" s="93"/>
      <c r="CV113" s="93"/>
      <c r="CW113" s="93">
        <f t="shared" si="109"/>
        <v>0</v>
      </c>
      <c r="CX113" s="93"/>
      <c r="CY113" s="93" t="str">
        <f>TEXT(X113,"MMMM")</f>
        <v>enero</v>
      </c>
      <c r="CZ113" s="93" t="str">
        <f t="shared" si="120"/>
        <v>enero</v>
      </c>
      <c r="DA113" s="93" t="str">
        <f t="shared" si="121"/>
        <v>enero</v>
      </c>
      <c r="DB113" s="93" t="str">
        <f t="shared" si="122"/>
        <v>enero</v>
      </c>
      <c r="DC113" s="93" t="str">
        <f t="shared" si="110"/>
        <v>enero</v>
      </c>
      <c r="DD113" s="93" t="str">
        <f t="shared" si="111"/>
        <v>enero</v>
      </c>
      <c r="DE113" s="93" t="str">
        <f t="shared" si="112"/>
        <v>enero</v>
      </c>
      <c r="DF113" s="93" t="str">
        <f t="shared" si="113"/>
        <v>enero</v>
      </c>
      <c r="DG113" s="93" t="str">
        <f t="shared" si="114"/>
        <v>enero</v>
      </c>
      <c r="DH113" s="93" t="str">
        <f t="shared" si="115"/>
        <v>enero</v>
      </c>
    </row>
    <row r="114" spans="1:112" s="21" customFormat="1" ht="26.45" hidden="1" customHeight="1">
      <c r="A114" s="93">
        <v>740</v>
      </c>
      <c r="B114" s="93" t="e">
        <f>VLOOKUP($A114,  'Matriz POA 2024-TRABAJO'!$A$5:$CY$9142,29,FALSE)</f>
        <v>#N/A</v>
      </c>
      <c r="C114" s="93" t="e">
        <f>VLOOKUP($A114, 'Matriz POA 2024-TRABAJO'!$A$5:$CY$9142,11,FALSE)</f>
        <v>#N/A</v>
      </c>
      <c r="D114" s="93" t="e">
        <f>VLOOKUP($A114, 'Matriz POA 2024-TRABAJO'!$A$5:$CY$9142,14,FALSE)</f>
        <v>#N/A</v>
      </c>
      <c r="E114" s="93" t="e">
        <f>VLOOKUP($A114, 'Matriz POA 2024-TRABAJO'!$A$5:$CY$9142,15,FALSE)</f>
        <v>#N/A</v>
      </c>
      <c r="F114" s="93" t="e">
        <f>VLOOKUP($A114, 'Matriz POA 2024-TRABAJO'!$A$5:$CY$9142,18,FALSE)</f>
        <v>#N/A</v>
      </c>
      <c r="G114" s="93" t="e">
        <f>VLOOKUP($A114, 'Matriz POA 2024-TRABAJO'!$A$5:$CY$9142,23,FALSE)</f>
        <v>#N/A</v>
      </c>
      <c r="H114" s="93" t="e">
        <f>VLOOKUP($A114, 'Matriz POA 2024-TRABAJO'!$A$5:$CY$9142,24,FALSE)</f>
        <v>#N/A</v>
      </c>
      <c r="I114" s="93" t="e">
        <f>VLOOKUP($A114, 'Matriz POA 2024-TRABAJO'!$A$5:$CY$9142,20,FALSE)</f>
        <v>#N/A</v>
      </c>
      <c r="J114" s="93" t="e">
        <f>VLOOKUP($A114, 'Matriz POA 2024-TRABAJO'!$A$5:$CY$9142,26,FALSE)</f>
        <v>#N/A</v>
      </c>
      <c r="K114" s="93" t="e">
        <f>VLOOKUP($A114, 'Matriz POA 2024-TRABAJO'!$A$5:$CY$9142,27,FALSE)</f>
        <v>#N/A</v>
      </c>
      <c r="L114" s="93" t="e">
        <f>VLOOKUP($A114, 'Matriz POA 2024-TRABAJO'!$A$5:$CY$9142,28,FALSE)</f>
        <v>#N/A</v>
      </c>
      <c r="M114" s="93" t="e">
        <f>VLOOKUP($A114, 'Matriz POA 2024-TRABAJO'!$A$5:$CY$9142,30,FALSE)</f>
        <v>#N/A</v>
      </c>
      <c r="N114" s="93" t="e">
        <f>VLOOKUP($A114, 'Matriz POA 2024-TRABAJO'!$A$5:$CY$9142,31,FALSE)</f>
        <v>#N/A</v>
      </c>
      <c r="O114" s="93" t="e">
        <f>VLOOKUP($A114, 'Matriz POA 2024-TRABAJO'!$A$5:$CY$9142,45,FALSE)</f>
        <v>#N/A</v>
      </c>
      <c r="P114" s="93" t="e">
        <f>VLOOKUP($A114, 'Matriz POA 2024-TRABAJO'!$A$5:$CY$9142,46,FALSE)</f>
        <v>#N/A</v>
      </c>
      <c r="Q114" s="93" t="e">
        <f>VLOOKUP($A114, 'Matriz POA 2024-TRABAJO'!$A$5:$CY$9142,47,FALSE)</f>
        <v>#N/A</v>
      </c>
      <c r="R114" s="94">
        <f t="shared" si="82"/>
        <v>500</v>
      </c>
      <c r="S114" s="95" t="e">
        <f t="shared" si="83"/>
        <v>#N/A</v>
      </c>
      <c r="T114" s="93" t="e">
        <f>VLOOKUP($A114, 'Matriz POA 2024-TRABAJO'!$A$5:$CY$9142,72,FALSE)</f>
        <v>#N/A</v>
      </c>
      <c r="U114" s="93" t="e">
        <f>VLOOKUP($A114, 'Matriz POA 2024-TRABAJO'!$A$5:$CY$9142,29,FALSE)</f>
        <v>#N/A</v>
      </c>
      <c r="V114" s="94" t="str">
        <f t="shared" si="116"/>
        <v>14ar-</v>
      </c>
      <c r="W114" s="96" t="s">
        <v>1115</v>
      </c>
      <c r="X114" s="109">
        <v>45320</v>
      </c>
      <c r="Y114" s="97" t="s">
        <v>1116</v>
      </c>
      <c r="Z114" s="109">
        <v>45323</v>
      </c>
      <c r="AA114" s="98">
        <v>500</v>
      </c>
      <c r="AB114" s="98"/>
      <c r="AC114" s="99">
        <f t="shared" si="103"/>
        <v>3</v>
      </c>
      <c r="AD114" s="99" t="s">
        <v>1117</v>
      </c>
      <c r="AE114" s="98"/>
      <c r="AF114" s="101"/>
      <c r="AG114" s="97"/>
      <c r="AH114" s="101"/>
      <c r="AI114" s="98"/>
      <c r="AJ114" s="98">
        <f>AI114*-1</f>
        <v>0</v>
      </c>
      <c r="AK114" s="99">
        <f t="shared" si="117"/>
        <v>0</v>
      </c>
      <c r="AL114" s="99"/>
      <c r="AN114" s="96"/>
      <c r="AO114" s="97"/>
      <c r="AP114" s="101"/>
      <c r="AQ114" s="98"/>
      <c r="AR114" s="98"/>
      <c r="AS114" s="99">
        <f t="shared" si="118"/>
        <v>0</v>
      </c>
      <c r="AT114" s="99"/>
      <c r="AU114" s="96"/>
      <c r="AV114" s="96"/>
      <c r="AW114" s="93"/>
      <c r="AX114" s="96"/>
      <c r="AY114" s="98"/>
      <c r="AZ114" s="98"/>
      <c r="BA114" s="99">
        <f t="shared" si="119"/>
        <v>0</v>
      </c>
      <c r="BB114" s="99"/>
      <c r="BC114" s="96"/>
      <c r="BD114" s="96"/>
      <c r="BE114" s="93"/>
      <c r="BF114" s="96"/>
      <c r="BG114" s="102"/>
      <c r="BH114" s="102"/>
      <c r="BI114" s="93">
        <f t="shared" si="104"/>
        <v>0</v>
      </c>
      <c r="BJ114" s="93"/>
      <c r="BK114" s="93"/>
      <c r="BL114" s="103"/>
      <c r="BM114" s="93"/>
      <c r="BN114" s="103"/>
      <c r="BO114" s="94"/>
      <c r="BP114" s="94"/>
      <c r="BQ114" s="93">
        <f t="shared" si="105"/>
        <v>0</v>
      </c>
      <c r="BR114" s="93"/>
      <c r="BS114" s="93"/>
      <c r="BT114" s="103"/>
      <c r="BU114" s="93"/>
      <c r="BV114" s="103"/>
      <c r="BW114" s="94"/>
      <c r="BX114" s="94"/>
      <c r="BY114" s="93">
        <f t="shared" si="106"/>
        <v>0</v>
      </c>
      <c r="BZ114" s="93"/>
      <c r="CA114" s="104"/>
      <c r="CB114" s="105"/>
      <c r="CC114" s="106"/>
      <c r="CD114" s="107"/>
      <c r="CE114" s="94"/>
      <c r="CF114" s="94"/>
      <c r="CG114" s="93">
        <f t="shared" si="107"/>
        <v>0</v>
      </c>
      <c r="CH114" s="93"/>
      <c r="CI114" s="106"/>
      <c r="CJ114" s="105"/>
      <c r="CK114" s="93"/>
      <c r="CL114" s="105"/>
      <c r="CM114" s="108"/>
      <c r="CN114" s="108"/>
      <c r="CO114" s="93">
        <f t="shared" si="108"/>
        <v>0</v>
      </c>
      <c r="CP114" s="93"/>
      <c r="CQ114" s="93"/>
      <c r="CR114" s="93"/>
      <c r="CS114" s="93"/>
      <c r="CT114" s="93"/>
      <c r="CU114" s="93"/>
      <c r="CV114" s="93"/>
      <c r="CW114" s="93">
        <f t="shared" si="109"/>
        <v>0</v>
      </c>
      <c r="CX114" s="93"/>
      <c r="CY114" s="93" t="str">
        <f>TEXT(Z114,"MMMM")</f>
        <v>febrero</v>
      </c>
      <c r="CZ114" s="93" t="str">
        <f t="shared" si="120"/>
        <v>enero</v>
      </c>
      <c r="DA114" s="93" t="str">
        <f t="shared" si="121"/>
        <v>enero</v>
      </c>
      <c r="DB114" s="93" t="str">
        <f t="shared" si="122"/>
        <v>enero</v>
      </c>
      <c r="DC114" s="93" t="str">
        <f t="shared" si="110"/>
        <v>enero</v>
      </c>
      <c r="DD114" s="93" t="str">
        <f t="shared" si="111"/>
        <v>enero</v>
      </c>
      <c r="DE114" s="93" t="str">
        <f t="shared" si="112"/>
        <v>enero</v>
      </c>
      <c r="DF114" s="93" t="str">
        <f t="shared" si="113"/>
        <v>enero</v>
      </c>
      <c r="DG114" s="93" t="str">
        <f t="shared" si="114"/>
        <v>enero</v>
      </c>
      <c r="DH114" s="93" t="str">
        <f t="shared" si="115"/>
        <v>enero</v>
      </c>
    </row>
    <row r="115" spans="1:112" s="21" customFormat="1" ht="18.75" hidden="1" customHeight="1">
      <c r="A115" s="93">
        <v>53</v>
      </c>
      <c r="B115" s="93" t="e">
        <f>VLOOKUP($A115,  'Matriz POA 2024-TRABAJO'!$A$5:$CY$9142,29,FALSE)</f>
        <v>#N/A</v>
      </c>
      <c r="C115" s="93" t="e">
        <f>VLOOKUP($A115, 'Matriz POA 2024-TRABAJO'!$A$5:$CY$9142,11,FALSE)</f>
        <v>#N/A</v>
      </c>
      <c r="D115" s="93" t="e">
        <f>VLOOKUP($A115, 'Matriz POA 2024-TRABAJO'!$A$5:$CY$9142,14,FALSE)</f>
        <v>#N/A</v>
      </c>
      <c r="E115" s="93" t="e">
        <f>VLOOKUP($A115, 'Matriz POA 2024-TRABAJO'!$A$5:$CY$9142,15,FALSE)</f>
        <v>#N/A</v>
      </c>
      <c r="F115" s="93" t="e">
        <f>VLOOKUP($A115, 'Matriz POA 2024-TRABAJO'!$A$5:$CY$9142,18,FALSE)</f>
        <v>#N/A</v>
      </c>
      <c r="G115" s="93" t="e">
        <f>VLOOKUP($A115, 'Matriz POA 2024-TRABAJO'!$A$5:$CY$9142,23,FALSE)</f>
        <v>#N/A</v>
      </c>
      <c r="H115" s="93" t="e">
        <f>VLOOKUP($A115, 'Matriz POA 2024-TRABAJO'!$A$5:$CY$9142,24,FALSE)</f>
        <v>#N/A</v>
      </c>
      <c r="I115" s="93" t="e">
        <f>VLOOKUP($A115, 'Matriz POA 2024-TRABAJO'!$A$5:$CY$9142,20,FALSE)</f>
        <v>#N/A</v>
      </c>
      <c r="J115" s="93" t="e">
        <f>VLOOKUP($A115, 'Matriz POA 2024-TRABAJO'!$A$5:$CY$9142,26,FALSE)</f>
        <v>#N/A</v>
      </c>
      <c r="K115" s="93" t="e">
        <f>VLOOKUP($A115, 'Matriz POA 2024-TRABAJO'!$A$5:$CY$9142,27,FALSE)</f>
        <v>#N/A</v>
      </c>
      <c r="L115" s="93" t="e">
        <f>VLOOKUP($A115, 'Matriz POA 2024-TRABAJO'!$A$5:$CY$9142,28,FALSE)</f>
        <v>#N/A</v>
      </c>
      <c r="M115" s="93" t="e">
        <f>VLOOKUP($A115, 'Matriz POA 2024-TRABAJO'!$A$5:$CY$9142,30,FALSE)</f>
        <v>#N/A</v>
      </c>
      <c r="N115" s="93" t="e">
        <f>VLOOKUP($A115, 'Matriz POA 2024-TRABAJO'!$A$5:$CY$9142,31,FALSE)</f>
        <v>#N/A</v>
      </c>
      <c r="O115" s="93" t="e">
        <f>VLOOKUP($A115, 'Matriz POA 2024-TRABAJO'!$A$5:$CY$9142,45,FALSE)</f>
        <v>#N/A</v>
      </c>
      <c r="P115" s="93" t="e">
        <f>VLOOKUP($A115, 'Matriz POA 2024-TRABAJO'!$A$5:$CY$9142,46,FALSE)</f>
        <v>#N/A</v>
      </c>
      <c r="Q115" s="93" t="e">
        <f>VLOOKUP($A115, 'Matriz POA 2024-TRABAJO'!$A$5:$CY$9142,47,FALSE)</f>
        <v>#N/A</v>
      </c>
      <c r="R115" s="94">
        <f t="shared" si="82"/>
        <v>0</v>
      </c>
      <c r="S115" s="95" t="e">
        <f t="shared" si="83"/>
        <v>#N/A</v>
      </c>
      <c r="T115" s="93" t="e">
        <f>VLOOKUP($A115, 'Matriz POA 2024-TRABAJO'!$A$5:$CY$9142,72,FALSE)</f>
        <v>#N/A</v>
      </c>
      <c r="U115" s="93" t="e">
        <f>VLOOKUP($A115, 'Matriz POA 2024-TRABAJO'!$A$5:$CY$9142,29,FALSE)</f>
        <v>#N/A</v>
      </c>
      <c r="V115" s="94" t="str">
        <f t="shared" si="116"/>
        <v>15ar-ltar-78ar-</v>
      </c>
      <c r="W115" s="97" t="s">
        <v>1166</v>
      </c>
      <c r="X115" s="109">
        <v>45321</v>
      </c>
      <c r="Y115" s="97" t="s">
        <v>1167</v>
      </c>
      <c r="Z115" s="109">
        <v>45324</v>
      </c>
      <c r="AA115" s="98">
        <v>9000</v>
      </c>
      <c r="AB115" s="98"/>
      <c r="AC115" s="99">
        <f t="shared" si="103"/>
        <v>3</v>
      </c>
      <c r="AD115" s="110" t="s">
        <v>1168</v>
      </c>
      <c r="AE115" s="98"/>
      <c r="AF115" s="101">
        <v>45345</v>
      </c>
      <c r="AG115" s="97" t="s">
        <v>982</v>
      </c>
      <c r="AH115" s="101">
        <v>45348</v>
      </c>
      <c r="AI115" s="98">
        <v>-9000</v>
      </c>
      <c r="AJ115" s="98"/>
      <c r="AK115" s="99">
        <f t="shared" si="117"/>
        <v>3</v>
      </c>
      <c r="AL115" s="99" t="s">
        <v>1113</v>
      </c>
      <c r="AM115" s="21" t="s">
        <v>1843</v>
      </c>
      <c r="AN115" s="96">
        <v>45434</v>
      </c>
      <c r="AO115" s="97"/>
      <c r="AP115" s="101">
        <v>45435</v>
      </c>
      <c r="AQ115" s="98"/>
      <c r="AR115" s="98"/>
      <c r="AS115" s="99">
        <f t="shared" si="118"/>
        <v>1</v>
      </c>
      <c r="AT115" s="99" t="s">
        <v>1844</v>
      </c>
      <c r="AU115" s="96"/>
      <c r="AV115" s="96"/>
      <c r="AW115" s="93"/>
      <c r="AX115" s="96"/>
      <c r="AY115" s="98"/>
      <c r="AZ115" s="98"/>
      <c r="BA115" s="99">
        <f t="shared" si="119"/>
        <v>0</v>
      </c>
      <c r="BB115" s="99"/>
      <c r="BC115" s="96"/>
      <c r="BD115" s="96"/>
      <c r="BE115" s="93"/>
      <c r="BF115" s="96"/>
      <c r="BG115" s="102"/>
      <c r="BH115" s="102"/>
      <c r="BI115" s="93">
        <f t="shared" si="104"/>
        <v>0</v>
      </c>
      <c r="BJ115" s="93"/>
      <c r="BK115" s="93"/>
      <c r="BL115" s="103"/>
      <c r="BM115" s="93"/>
      <c r="BN115" s="103"/>
      <c r="BO115" s="94"/>
      <c r="BP115" s="94"/>
      <c r="BQ115" s="93">
        <f t="shared" si="105"/>
        <v>0</v>
      </c>
      <c r="BR115" s="93"/>
      <c r="BS115" s="93"/>
      <c r="BT115" s="103"/>
      <c r="BU115" s="93"/>
      <c r="BV115" s="103"/>
      <c r="BW115" s="94"/>
      <c r="BX115" s="94"/>
      <c r="BY115" s="93">
        <f t="shared" si="106"/>
        <v>0</v>
      </c>
      <c r="BZ115" s="93"/>
      <c r="CA115" s="104"/>
      <c r="CB115" s="105"/>
      <c r="CC115" s="106"/>
      <c r="CD115" s="107"/>
      <c r="CE115" s="94"/>
      <c r="CF115" s="94"/>
      <c r="CG115" s="93">
        <f t="shared" si="107"/>
        <v>0</v>
      </c>
      <c r="CH115" s="93"/>
      <c r="CI115" s="106"/>
      <c r="CJ115" s="105"/>
      <c r="CK115" s="93"/>
      <c r="CL115" s="105"/>
      <c r="CM115" s="108"/>
      <c r="CN115" s="108"/>
      <c r="CO115" s="93">
        <f t="shared" si="108"/>
        <v>0</v>
      </c>
      <c r="CP115" s="93"/>
      <c r="CQ115" s="93"/>
      <c r="CR115" s="93"/>
      <c r="CS115" s="93"/>
      <c r="CT115" s="93"/>
      <c r="CU115" s="93"/>
      <c r="CV115" s="93"/>
      <c r="CW115" s="93">
        <f t="shared" si="109"/>
        <v>0</v>
      </c>
      <c r="CX115" s="93"/>
      <c r="CY115" s="93" t="str">
        <f>TEXT(X115,"MMMM")</f>
        <v>enero</v>
      </c>
      <c r="CZ115" s="93" t="str">
        <f t="shared" si="120"/>
        <v>febrero</v>
      </c>
      <c r="DA115" s="93" t="str">
        <f t="shared" si="121"/>
        <v>mayo</v>
      </c>
      <c r="DB115" s="93" t="str">
        <f t="shared" si="122"/>
        <v>enero</v>
      </c>
      <c r="DC115" s="93" t="str">
        <f t="shared" si="110"/>
        <v>enero</v>
      </c>
      <c r="DD115" s="93" t="str">
        <f t="shared" si="111"/>
        <v>enero</v>
      </c>
      <c r="DE115" s="93" t="str">
        <f t="shared" si="112"/>
        <v>enero</v>
      </c>
      <c r="DF115" s="93" t="str">
        <f t="shared" si="113"/>
        <v>enero</v>
      </c>
      <c r="DG115" s="93" t="str">
        <f t="shared" si="114"/>
        <v>enero</v>
      </c>
      <c r="DH115" s="93" t="str">
        <f t="shared" si="115"/>
        <v>enero</v>
      </c>
    </row>
    <row r="116" spans="1:112" s="21" customFormat="1" ht="26.45" hidden="1" customHeight="1">
      <c r="A116" s="93">
        <v>139</v>
      </c>
      <c r="B116" s="93" t="e">
        <f>VLOOKUP($A116,  'Matriz POA 2024-TRABAJO'!$A$5:$CY$9142,29,FALSE)</f>
        <v>#N/A</v>
      </c>
      <c r="C116" s="93" t="e">
        <f>VLOOKUP($A116, 'Matriz POA 2024-TRABAJO'!$A$5:$CY$9142,11,FALSE)</f>
        <v>#N/A</v>
      </c>
      <c r="D116" s="93" t="e">
        <f>VLOOKUP($A116, 'Matriz POA 2024-TRABAJO'!$A$5:$CY$9142,14,FALSE)</f>
        <v>#N/A</v>
      </c>
      <c r="E116" s="93" t="e">
        <f>VLOOKUP($A116, 'Matriz POA 2024-TRABAJO'!$A$5:$CY$9142,15,FALSE)</f>
        <v>#N/A</v>
      </c>
      <c r="F116" s="93" t="e">
        <f>VLOOKUP($A116, 'Matriz POA 2024-TRABAJO'!$A$5:$CY$9142,18,FALSE)</f>
        <v>#N/A</v>
      </c>
      <c r="G116" s="93" t="e">
        <f>VLOOKUP($A116, 'Matriz POA 2024-TRABAJO'!$A$5:$CY$9142,23,FALSE)</f>
        <v>#N/A</v>
      </c>
      <c r="H116" s="93" t="e">
        <f>VLOOKUP($A116, 'Matriz POA 2024-TRABAJO'!$A$5:$CY$9142,24,FALSE)</f>
        <v>#N/A</v>
      </c>
      <c r="I116" s="93" t="e">
        <f>VLOOKUP($A116, 'Matriz POA 2024-TRABAJO'!$A$5:$CY$9142,20,FALSE)</f>
        <v>#N/A</v>
      </c>
      <c r="J116" s="93" t="e">
        <f>VLOOKUP($A116, 'Matriz POA 2024-TRABAJO'!$A$5:$CY$9142,26,FALSE)</f>
        <v>#N/A</v>
      </c>
      <c r="K116" s="93" t="e">
        <f>VLOOKUP($A116, 'Matriz POA 2024-TRABAJO'!$A$5:$CY$9142,27,FALSE)</f>
        <v>#N/A</v>
      </c>
      <c r="L116" s="93" t="e">
        <f>VLOOKUP($A116, 'Matriz POA 2024-TRABAJO'!$A$5:$CY$9142,28,FALSE)</f>
        <v>#N/A</v>
      </c>
      <c r="M116" s="93" t="e">
        <f>VLOOKUP($A116, 'Matriz POA 2024-TRABAJO'!$A$5:$CY$9142,30,FALSE)</f>
        <v>#N/A</v>
      </c>
      <c r="N116" s="93" t="e">
        <f>VLOOKUP($A116, 'Matriz POA 2024-TRABAJO'!$A$5:$CY$9142,31,FALSE)</f>
        <v>#N/A</v>
      </c>
      <c r="O116" s="93" t="e">
        <f>VLOOKUP($A116, 'Matriz POA 2024-TRABAJO'!$A$5:$CY$9142,45,FALSE)</f>
        <v>#N/A</v>
      </c>
      <c r="P116" s="93" t="e">
        <f>VLOOKUP($A116, 'Matriz POA 2024-TRABAJO'!$A$5:$CY$9142,46,FALSE)</f>
        <v>#N/A</v>
      </c>
      <c r="Q116" s="93" t="e">
        <f>VLOOKUP($A116, 'Matriz POA 2024-TRABAJO'!$A$5:$CY$9142,47,FALSE)</f>
        <v>#N/A</v>
      </c>
      <c r="R116" s="94">
        <f t="shared" si="82"/>
        <v>7374.65</v>
      </c>
      <c r="S116" s="95" t="e">
        <f t="shared" si="83"/>
        <v>#N/A</v>
      </c>
      <c r="T116" s="93" t="e">
        <f>VLOOKUP($A116, 'Matriz POA 2024-TRABAJO'!$A$5:$CY$9142,72,FALSE)</f>
        <v>#N/A</v>
      </c>
      <c r="U116" s="93" t="e">
        <f>VLOOKUP($A116, 'Matriz POA 2024-TRABAJO'!$A$5:$CY$9142,29,FALSE)</f>
        <v>#N/A</v>
      </c>
      <c r="V116" s="94" t="str">
        <f t="shared" si="116"/>
        <v>16ar-</v>
      </c>
      <c r="W116" s="96" t="s">
        <v>1169</v>
      </c>
      <c r="X116" s="96">
        <v>45322</v>
      </c>
      <c r="Y116" s="97" t="s">
        <v>1170</v>
      </c>
      <c r="Z116" s="96">
        <v>45324</v>
      </c>
      <c r="AA116" s="98">
        <v>7374.65</v>
      </c>
      <c r="AB116" s="98"/>
      <c r="AC116" s="99">
        <f t="shared" si="103"/>
        <v>2</v>
      </c>
      <c r="AD116" s="100" t="s">
        <v>1171</v>
      </c>
      <c r="AE116" s="98"/>
      <c r="AF116" s="101"/>
      <c r="AG116" s="97"/>
      <c r="AH116" s="101"/>
      <c r="AI116" s="98"/>
      <c r="AJ116" s="98">
        <f>AI116*-1</f>
        <v>0</v>
      </c>
      <c r="AK116" s="99">
        <f t="shared" si="117"/>
        <v>0</v>
      </c>
      <c r="AL116" s="99"/>
      <c r="AN116" s="96"/>
      <c r="AO116" s="97"/>
      <c r="AP116" s="101"/>
      <c r="AQ116" s="98"/>
      <c r="AR116" s="98"/>
      <c r="AS116" s="99">
        <f t="shared" si="118"/>
        <v>0</v>
      </c>
      <c r="AT116" s="99"/>
      <c r="AU116" s="96"/>
      <c r="AV116" s="96"/>
      <c r="AW116" s="93"/>
      <c r="AX116" s="96"/>
      <c r="AY116" s="98"/>
      <c r="AZ116" s="98"/>
      <c r="BA116" s="99">
        <f t="shared" si="119"/>
        <v>0</v>
      </c>
      <c r="BB116" s="99"/>
      <c r="BC116" s="96"/>
      <c r="BD116" s="96"/>
      <c r="BE116" s="93"/>
      <c r="BF116" s="96"/>
      <c r="BG116" s="102"/>
      <c r="BH116" s="102"/>
      <c r="BI116" s="93">
        <f t="shared" si="104"/>
        <v>0</v>
      </c>
      <c r="BJ116" s="93"/>
      <c r="BK116" s="93"/>
      <c r="BL116" s="103"/>
      <c r="BM116" s="93"/>
      <c r="BN116" s="103"/>
      <c r="BO116" s="94"/>
      <c r="BP116" s="94"/>
      <c r="BQ116" s="93">
        <f t="shared" si="105"/>
        <v>0</v>
      </c>
      <c r="BR116" s="93"/>
      <c r="BS116" s="93"/>
      <c r="BT116" s="103"/>
      <c r="BU116" s="93"/>
      <c r="BV116" s="103"/>
      <c r="BW116" s="94"/>
      <c r="BX116" s="94"/>
      <c r="BY116" s="93">
        <f t="shared" si="106"/>
        <v>0</v>
      </c>
      <c r="BZ116" s="93"/>
      <c r="CA116" s="104"/>
      <c r="CB116" s="105"/>
      <c r="CC116" s="106"/>
      <c r="CD116" s="107"/>
      <c r="CE116" s="94"/>
      <c r="CF116" s="94"/>
      <c r="CG116" s="93">
        <f t="shared" si="107"/>
        <v>0</v>
      </c>
      <c r="CH116" s="93"/>
      <c r="CI116" s="106"/>
      <c r="CJ116" s="105"/>
      <c r="CK116" s="93"/>
      <c r="CL116" s="105"/>
      <c r="CM116" s="108"/>
      <c r="CN116" s="108"/>
      <c r="CO116" s="93">
        <f t="shared" si="108"/>
        <v>0</v>
      </c>
      <c r="CP116" s="93"/>
      <c r="CQ116" s="93"/>
      <c r="CR116" s="93"/>
      <c r="CS116" s="93"/>
      <c r="CT116" s="93"/>
      <c r="CU116" s="93"/>
      <c r="CV116" s="93"/>
      <c r="CW116" s="93">
        <f t="shared" si="109"/>
        <v>0</v>
      </c>
      <c r="CX116" s="93"/>
      <c r="CY116" s="93" t="str">
        <f>TEXT(Z116,"MMMM")</f>
        <v>febrero</v>
      </c>
      <c r="CZ116" s="93" t="str">
        <f t="shared" si="120"/>
        <v>enero</v>
      </c>
      <c r="DA116" s="93" t="str">
        <f t="shared" si="121"/>
        <v>enero</v>
      </c>
      <c r="DB116" s="93" t="str">
        <f t="shared" si="122"/>
        <v>enero</v>
      </c>
      <c r="DC116" s="93" t="str">
        <f t="shared" si="110"/>
        <v>enero</v>
      </c>
      <c r="DD116" s="93" t="str">
        <f t="shared" si="111"/>
        <v>enero</v>
      </c>
      <c r="DE116" s="93" t="str">
        <f t="shared" si="112"/>
        <v>enero</v>
      </c>
      <c r="DF116" s="93" t="str">
        <f t="shared" si="113"/>
        <v>enero</v>
      </c>
      <c r="DG116" s="93" t="str">
        <f t="shared" si="114"/>
        <v>enero</v>
      </c>
      <c r="DH116" s="93" t="str">
        <f t="shared" si="115"/>
        <v>enero</v>
      </c>
    </row>
    <row r="117" spans="1:112" s="21" customFormat="1" ht="18.75" hidden="1" customHeight="1">
      <c r="A117" s="93">
        <v>150</v>
      </c>
      <c r="B117" s="93" t="e">
        <f>VLOOKUP($A117,  'Matriz POA 2024-TRABAJO'!$A$5:$CY$9142,29,FALSE)</f>
        <v>#N/A</v>
      </c>
      <c r="C117" s="93" t="e">
        <f>VLOOKUP($A117, 'Matriz POA 2024-TRABAJO'!$A$5:$CY$9142,11,FALSE)</f>
        <v>#N/A</v>
      </c>
      <c r="D117" s="93" t="e">
        <f>VLOOKUP($A117, 'Matriz POA 2024-TRABAJO'!$A$5:$CY$9142,14,FALSE)</f>
        <v>#N/A</v>
      </c>
      <c r="E117" s="93" t="e">
        <f>VLOOKUP($A117, 'Matriz POA 2024-TRABAJO'!$A$5:$CY$9142,15,FALSE)</f>
        <v>#N/A</v>
      </c>
      <c r="F117" s="93" t="e">
        <f>VLOOKUP($A117, 'Matriz POA 2024-TRABAJO'!$A$5:$CY$9142,18,FALSE)</f>
        <v>#N/A</v>
      </c>
      <c r="G117" s="93" t="e">
        <f>VLOOKUP($A117, 'Matriz POA 2024-TRABAJO'!$A$5:$CY$9142,23,FALSE)</f>
        <v>#N/A</v>
      </c>
      <c r="H117" s="93" t="e">
        <f>VLOOKUP($A117, 'Matriz POA 2024-TRABAJO'!$A$5:$CY$9142,24,FALSE)</f>
        <v>#N/A</v>
      </c>
      <c r="I117" s="93" t="e">
        <f>VLOOKUP($A117, 'Matriz POA 2024-TRABAJO'!$A$5:$CY$9142,20,FALSE)</f>
        <v>#N/A</v>
      </c>
      <c r="J117" s="93" t="e">
        <f>VLOOKUP($A117, 'Matriz POA 2024-TRABAJO'!$A$5:$CY$9142,26,FALSE)</f>
        <v>#N/A</v>
      </c>
      <c r="K117" s="93" t="e">
        <f>VLOOKUP($A117, 'Matriz POA 2024-TRABAJO'!$A$5:$CY$9142,27,FALSE)</f>
        <v>#N/A</v>
      </c>
      <c r="L117" s="93" t="e">
        <f>VLOOKUP($A117, 'Matriz POA 2024-TRABAJO'!$A$5:$CY$9142,28,FALSE)</f>
        <v>#N/A</v>
      </c>
      <c r="M117" s="93" t="e">
        <f>VLOOKUP($A117, 'Matriz POA 2024-TRABAJO'!$A$5:$CY$9142,30,FALSE)</f>
        <v>#N/A</v>
      </c>
      <c r="N117" s="93" t="e">
        <f>VLOOKUP($A117, 'Matriz POA 2024-TRABAJO'!$A$5:$CY$9142,31,FALSE)</f>
        <v>#N/A</v>
      </c>
      <c r="O117" s="93" t="e">
        <f>VLOOKUP($A117, 'Matriz POA 2024-TRABAJO'!$A$5:$CY$9142,45,FALSE)</f>
        <v>#N/A</v>
      </c>
      <c r="P117" s="93" t="e">
        <f>VLOOKUP($A117, 'Matriz POA 2024-TRABAJO'!$A$5:$CY$9142,46,FALSE)</f>
        <v>#N/A</v>
      </c>
      <c r="Q117" s="93" t="e">
        <f>VLOOKUP($A117, 'Matriz POA 2024-TRABAJO'!$A$5:$CY$9142,47,FALSE)</f>
        <v>#N/A</v>
      </c>
      <c r="R117" s="94">
        <f t="shared" si="82"/>
        <v>1516110</v>
      </c>
      <c r="S117" s="95" t="e">
        <f t="shared" si="83"/>
        <v>#N/A</v>
      </c>
      <c r="T117" s="93" t="e">
        <f>VLOOKUP($A117, 'Matriz POA 2024-TRABAJO'!$A$5:$CY$9142,72,FALSE)</f>
        <v>#N/A</v>
      </c>
      <c r="U117" s="93" t="e">
        <f>VLOOKUP($A117, 'Matriz POA 2024-TRABAJO'!$A$5:$CY$9142,29,FALSE)</f>
        <v>#N/A</v>
      </c>
      <c r="V117" s="94" t="str">
        <f t="shared" si="116"/>
        <v>16ar-</v>
      </c>
      <c r="W117" s="97" t="s">
        <v>1169</v>
      </c>
      <c r="X117" s="96">
        <v>45322</v>
      </c>
      <c r="Y117" s="97" t="s">
        <v>1170</v>
      </c>
      <c r="Z117" s="96">
        <v>45324</v>
      </c>
      <c r="AA117" s="98">
        <v>1516110</v>
      </c>
      <c r="AB117" s="98"/>
      <c r="AC117" s="99">
        <f t="shared" si="103"/>
        <v>2</v>
      </c>
      <c r="AD117" s="100" t="s">
        <v>1171</v>
      </c>
      <c r="AE117" s="98"/>
      <c r="AF117" s="101"/>
      <c r="AG117" s="97"/>
      <c r="AH117" s="101"/>
      <c r="AI117" s="98"/>
      <c r="AJ117" s="98">
        <f>AI117*-1</f>
        <v>0</v>
      </c>
      <c r="AK117" s="99">
        <f t="shared" si="117"/>
        <v>0</v>
      </c>
      <c r="AL117" s="99"/>
      <c r="AN117" s="96"/>
      <c r="AO117" s="97"/>
      <c r="AP117" s="101"/>
      <c r="AQ117" s="98"/>
      <c r="AR117" s="98"/>
      <c r="AS117" s="99">
        <f t="shared" si="118"/>
        <v>0</v>
      </c>
      <c r="AT117" s="99"/>
      <c r="AU117" s="96"/>
      <c r="AV117" s="96"/>
      <c r="AW117" s="93"/>
      <c r="AX117" s="96"/>
      <c r="AY117" s="98"/>
      <c r="AZ117" s="98"/>
      <c r="BA117" s="99">
        <f t="shared" si="119"/>
        <v>0</v>
      </c>
      <c r="BB117" s="99"/>
      <c r="BC117" s="96"/>
      <c r="BD117" s="96"/>
      <c r="BE117" s="93"/>
      <c r="BF117" s="96"/>
      <c r="BG117" s="102"/>
      <c r="BH117" s="102"/>
      <c r="BI117" s="93">
        <f t="shared" si="104"/>
        <v>0</v>
      </c>
      <c r="BJ117" s="93"/>
      <c r="BK117" s="93"/>
      <c r="BL117" s="103"/>
      <c r="BM117" s="93"/>
      <c r="BN117" s="103"/>
      <c r="BO117" s="94"/>
      <c r="BP117" s="94"/>
      <c r="BQ117" s="93">
        <f t="shared" si="105"/>
        <v>0</v>
      </c>
      <c r="BR117" s="93"/>
      <c r="BS117" s="93"/>
      <c r="BT117" s="103"/>
      <c r="BU117" s="93"/>
      <c r="BV117" s="103"/>
      <c r="BW117" s="94"/>
      <c r="BX117" s="94"/>
      <c r="BY117" s="93">
        <f t="shared" si="106"/>
        <v>0</v>
      </c>
      <c r="BZ117" s="93"/>
      <c r="CA117" s="104"/>
      <c r="CB117" s="105"/>
      <c r="CC117" s="106"/>
      <c r="CD117" s="107"/>
      <c r="CE117" s="94"/>
      <c r="CF117" s="94"/>
      <c r="CG117" s="93">
        <f t="shared" si="107"/>
        <v>0</v>
      </c>
      <c r="CH117" s="93"/>
      <c r="CI117" s="106"/>
      <c r="CJ117" s="105"/>
      <c r="CK117" s="93"/>
      <c r="CL117" s="105"/>
      <c r="CM117" s="108"/>
      <c r="CN117" s="108"/>
      <c r="CO117" s="93">
        <f t="shared" si="108"/>
        <v>0</v>
      </c>
      <c r="CP117" s="93"/>
      <c r="CQ117" s="93"/>
      <c r="CR117" s="93"/>
      <c r="CS117" s="93"/>
      <c r="CT117" s="93"/>
      <c r="CU117" s="93"/>
      <c r="CV117" s="93"/>
      <c r="CW117" s="93">
        <f t="shared" si="109"/>
        <v>0</v>
      </c>
      <c r="CX117" s="93"/>
      <c r="CY117" s="93" t="str">
        <f>TEXT(X117,"MMMM")</f>
        <v>enero</v>
      </c>
      <c r="CZ117" s="93" t="str">
        <f t="shared" si="120"/>
        <v>enero</v>
      </c>
      <c r="DA117" s="93" t="str">
        <f t="shared" si="121"/>
        <v>enero</v>
      </c>
      <c r="DB117" s="93" t="str">
        <f t="shared" si="122"/>
        <v>enero</v>
      </c>
      <c r="DC117" s="93" t="str">
        <f t="shared" si="110"/>
        <v>enero</v>
      </c>
      <c r="DD117" s="93" t="str">
        <f t="shared" si="111"/>
        <v>enero</v>
      </c>
      <c r="DE117" s="93" t="str">
        <f t="shared" si="112"/>
        <v>enero</v>
      </c>
      <c r="DF117" s="93" t="str">
        <f t="shared" si="113"/>
        <v>enero</v>
      </c>
      <c r="DG117" s="93" t="str">
        <f t="shared" si="114"/>
        <v>enero</v>
      </c>
      <c r="DH117" s="93" t="str">
        <f t="shared" si="115"/>
        <v>enero</v>
      </c>
    </row>
    <row r="118" spans="1:112" s="21" customFormat="1" ht="18.75" hidden="1" customHeight="1">
      <c r="A118" s="93">
        <v>58</v>
      </c>
      <c r="B118" s="93" t="e">
        <f>VLOOKUP($A118,  'Matriz POA 2024-TRABAJO'!$A$5:$CY$9142,29,FALSE)</f>
        <v>#N/A</v>
      </c>
      <c r="C118" s="93" t="e">
        <f>VLOOKUP($A118, 'Matriz POA 2024-TRABAJO'!$A$5:$CY$9142,11,FALSE)</f>
        <v>#N/A</v>
      </c>
      <c r="D118" s="93" t="e">
        <f>VLOOKUP($A118, 'Matriz POA 2024-TRABAJO'!$A$5:$CY$9142,14,FALSE)</f>
        <v>#N/A</v>
      </c>
      <c r="E118" s="93" t="e">
        <f>VLOOKUP($A118, 'Matriz POA 2024-TRABAJO'!$A$5:$CY$9142,15,FALSE)</f>
        <v>#N/A</v>
      </c>
      <c r="F118" s="93" t="e">
        <f>VLOOKUP($A118, 'Matriz POA 2024-TRABAJO'!$A$5:$CY$9142,18,FALSE)</f>
        <v>#N/A</v>
      </c>
      <c r="G118" s="93" t="e">
        <f>VLOOKUP($A118, 'Matriz POA 2024-TRABAJO'!$A$5:$CY$9142,23,FALSE)</f>
        <v>#N/A</v>
      </c>
      <c r="H118" s="93" t="e">
        <f>VLOOKUP($A118, 'Matriz POA 2024-TRABAJO'!$A$5:$CY$9142,24,FALSE)</f>
        <v>#N/A</v>
      </c>
      <c r="I118" s="93" t="e">
        <f>VLOOKUP($A118, 'Matriz POA 2024-TRABAJO'!$A$5:$CY$9142,20,FALSE)</f>
        <v>#N/A</v>
      </c>
      <c r="J118" s="93" t="e">
        <f>VLOOKUP($A118, 'Matriz POA 2024-TRABAJO'!$A$5:$CY$9142,26,FALSE)</f>
        <v>#N/A</v>
      </c>
      <c r="K118" s="93" t="e">
        <f>VLOOKUP($A118, 'Matriz POA 2024-TRABAJO'!$A$5:$CY$9142,27,FALSE)</f>
        <v>#N/A</v>
      </c>
      <c r="L118" s="93" t="e">
        <f>VLOOKUP($A118, 'Matriz POA 2024-TRABAJO'!$A$5:$CY$9142,28,FALSE)</f>
        <v>#N/A</v>
      </c>
      <c r="M118" s="93" t="e">
        <f>VLOOKUP($A118, 'Matriz POA 2024-TRABAJO'!$A$5:$CY$9142,30,FALSE)</f>
        <v>#N/A</v>
      </c>
      <c r="N118" s="93" t="e">
        <f>VLOOKUP($A118, 'Matriz POA 2024-TRABAJO'!$A$5:$CY$9142,31,FALSE)</f>
        <v>#N/A</v>
      </c>
      <c r="O118" s="93" t="e">
        <f>VLOOKUP($A118, 'Matriz POA 2024-TRABAJO'!$A$5:$CY$9142,45,FALSE)</f>
        <v>#N/A</v>
      </c>
      <c r="P118" s="93" t="e">
        <f>VLOOKUP($A118, 'Matriz POA 2024-TRABAJO'!$A$5:$CY$9142,46,FALSE)</f>
        <v>#N/A</v>
      </c>
      <c r="Q118" s="93" t="e">
        <f>VLOOKUP($A118, 'Matriz POA 2024-TRABAJO'!$A$5:$CY$9142,47,FALSE)</f>
        <v>#N/A</v>
      </c>
      <c r="R118" s="94">
        <f t="shared" si="82"/>
        <v>2827</v>
      </c>
      <c r="S118" s="95" t="e">
        <f t="shared" si="83"/>
        <v>#N/A</v>
      </c>
      <c r="T118" s="93" t="e">
        <f>VLOOKUP($A118, 'Matriz POA 2024-TRABAJO'!$A$5:$CY$9142,72,FALSE)</f>
        <v>#N/A</v>
      </c>
      <c r="U118" s="93" t="e">
        <f>VLOOKUP($A118, 'Matriz POA 2024-TRABAJO'!$A$5:$CY$9142,29,FALSE)</f>
        <v>#N/A</v>
      </c>
      <c r="V118" s="94" t="str">
        <f t="shared" si="116"/>
        <v>17ar-lp-83ar-</v>
      </c>
      <c r="W118" s="97" t="s">
        <v>1172</v>
      </c>
      <c r="X118" s="109">
        <v>45322</v>
      </c>
      <c r="Y118" s="99" t="s">
        <v>1173</v>
      </c>
      <c r="Z118" s="109">
        <v>45324</v>
      </c>
      <c r="AA118" s="98">
        <v>1500</v>
      </c>
      <c r="AB118" s="98"/>
      <c r="AC118" s="99">
        <f t="shared" si="103"/>
        <v>2</v>
      </c>
      <c r="AD118" s="110" t="s">
        <v>1174</v>
      </c>
      <c r="AE118" s="98" t="s">
        <v>1868</v>
      </c>
      <c r="AF118" s="101">
        <v>45450</v>
      </c>
      <c r="AG118" s="97"/>
      <c r="AH118" s="101">
        <v>45454</v>
      </c>
      <c r="AI118" s="98">
        <v>-763.03</v>
      </c>
      <c r="AJ118" s="98"/>
      <c r="AK118" s="99">
        <f t="shared" si="117"/>
        <v>4</v>
      </c>
      <c r="AL118" s="99" t="s">
        <v>1109</v>
      </c>
      <c r="AM118" s="93" t="s">
        <v>1868</v>
      </c>
      <c r="AN118" s="96">
        <v>45450</v>
      </c>
      <c r="AO118" s="97"/>
      <c r="AP118" s="101">
        <v>45454</v>
      </c>
      <c r="AQ118" s="98">
        <v>2090.0300000000002</v>
      </c>
      <c r="AR118" s="98"/>
      <c r="AS118" s="99">
        <f t="shared" si="118"/>
        <v>4</v>
      </c>
      <c r="AT118" s="99" t="s">
        <v>1869</v>
      </c>
      <c r="AU118" s="96"/>
      <c r="AV118" s="96"/>
      <c r="AW118" s="93"/>
      <c r="AX118" s="96"/>
      <c r="AY118" s="98"/>
      <c r="AZ118" s="98"/>
      <c r="BA118" s="99">
        <f t="shared" si="119"/>
        <v>0</v>
      </c>
      <c r="BB118" s="99"/>
      <c r="BC118" s="96"/>
      <c r="BD118" s="96"/>
      <c r="BE118" s="93"/>
      <c r="BF118" s="96"/>
      <c r="BG118" s="102"/>
      <c r="BH118" s="102"/>
      <c r="BI118" s="93">
        <f t="shared" si="104"/>
        <v>0</v>
      </c>
      <c r="BJ118" s="93"/>
      <c r="BK118" s="93"/>
      <c r="BL118" s="103"/>
      <c r="BM118" s="93"/>
      <c r="BN118" s="103"/>
      <c r="BO118" s="94"/>
      <c r="BP118" s="94"/>
      <c r="BQ118" s="93">
        <f t="shared" si="105"/>
        <v>0</v>
      </c>
      <c r="BR118" s="93"/>
      <c r="BS118" s="93"/>
      <c r="BT118" s="103"/>
      <c r="BU118" s="93"/>
      <c r="BV118" s="103"/>
      <c r="BW118" s="94"/>
      <c r="BX118" s="94"/>
      <c r="BY118" s="93">
        <f t="shared" si="106"/>
        <v>0</v>
      </c>
      <c r="BZ118" s="93"/>
      <c r="CA118" s="104"/>
      <c r="CB118" s="105"/>
      <c r="CC118" s="106"/>
      <c r="CD118" s="107"/>
      <c r="CE118" s="94"/>
      <c r="CF118" s="94"/>
      <c r="CG118" s="93">
        <f t="shared" si="107"/>
        <v>0</v>
      </c>
      <c r="CH118" s="93"/>
      <c r="CI118" s="106"/>
      <c r="CJ118" s="105"/>
      <c r="CK118" s="93"/>
      <c r="CL118" s="105"/>
      <c r="CM118" s="108"/>
      <c r="CN118" s="108"/>
      <c r="CO118" s="93">
        <f t="shared" si="108"/>
        <v>0</v>
      </c>
      <c r="CP118" s="93"/>
      <c r="CQ118" s="93"/>
      <c r="CR118" s="93"/>
      <c r="CS118" s="93"/>
      <c r="CT118" s="93"/>
      <c r="CU118" s="93"/>
      <c r="CV118" s="93"/>
      <c r="CW118" s="93">
        <f t="shared" si="109"/>
        <v>0</v>
      </c>
      <c r="CX118" s="93"/>
      <c r="CY118" s="93" t="str">
        <f>TEXT(X118,"MMMM")</f>
        <v>enero</v>
      </c>
      <c r="CZ118" s="93" t="str">
        <f t="shared" si="120"/>
        <v>junio</v>
      </c>
      <c r="DA118" s="93" t="str">
        <f t="shared" si="121"/>
        <v>junio</v>
      </c>
      <c r="DB118" s="93" t="str">
        <f t="shared" si="122"/>
        <v>enero</v>
      </c>
      <c r="DC118" s="93" t="str">
        <f t="shared" si="110"/>
        <v>enero</v>
      </c>
      <c r="DD118" s="93" t="str">
        <f t="shared" si="111"/>
        <v>enero</v>
      </c>
      <c r="DE118" s="93" t="str">
        <f t="shared" si="112"/>
        <v>enero</v>
      </c>
      <c r="DF118" s="93" t="str">
        <f t="shared" si="113"/>
        <v>enero</v>
      </c>
      <c r="DG118" s="93" t="str">
        <f t="shared" si="114"/>
        <v>enero</v>
      </c>
      <c r="DH118" s="93" t="str">
        <f t="shared" si="115"/>
        <v>enero</v>
      </c>
    </row>
    <row r="119" spans="1:112" ht="15" hidden="1" customHeight="1">
      <c r="A119" s="93">
        <v>144</v>
      </c>
      <c r="B119" s="93" t="e">
        <f>VLOOKUP($A119,  'Matriz POA 2024-TRABAJO'!$A$5:$CY$9142,29,FALSE)</f>
        <v>#N/A</v>
      </c>
      <c r="C119" s="93" t="e">
        <f>VLOOKUP($A119, 'Matriz POA 2024-TRABAJO'!$A$5:$CY$9142,11,FALSE)</f>
        <v>#N/A</v>
      </c>
      <c r="D119" s="93" t="e">
        <f>VLOOKUP($A119, 'Matriz POA 2024-TRABAJO'!$A$5:$CY$9142,14,FALSE)</f>
        <v>#N/A</v>
      </c>
      <c r="E119" s="93" t="e">
        <f>VLOOKUP($A119, 'Matriz POA 2024-TRABAJO'!$A$5:$CY$9142,15,FALSE)</f>
        <v>#N/A</v>
      </c>
      <c r="F119" s="93" t="e">
        <f>VLOOKUP($A119, 'Matriz POA 2024-TRABAJO'!$A$5:$CY$9142,18,FALSE)</f>
        <v>#N/A</v>
      </c>
      <c r="G119" s="93" t="e">
        <f>VLOOKUP($A119, 'Matriz POA 2024-TRABAJO'!$A$5:$CY$9142,23,FALSE)</f>
        <v>#N/A</v>
      </c>
      <c r="H119" s="93" t="e">
        <f>VLOOKUP($A119, 'Matriz POA 2024-TRABAJO'!$A$5:$CY$9142,24,FALSE)</f>
        <v>#N/A</v>
      </c>
      <c r="I119" s="93" t="e">
        <f>VLOOKUP($A119, 'Matriz POA 2024-TRABAJO'!$A$5:$CY$9142,20,FALSE)</f>
        <v>#N/A</v>
      </c>
      <c r="J119" s="93" t="e">
        <f>VLOOKUP($A119, 'Matriz POA 2024-TRABAJO'!$A$5:$CY$9142,26,FALSE)</f>
        <v>#N/A</v>
      </c>
      <c r="K119" s="93" t="e">
        <f>VLOOKUP($A119, 'Matriz POA 2024-TRABAJO'!$A$5:$CY$9142,27,FALSE)</f>
        <v>#N/A</v>
      </c>
      <c r="L119" s="93" t="e">
        <f>VLOOKUP($A119, 'Matriz POA 2024-TRABAJO'!$A$5:$CY$9142,28,FALSE)</f>
        <v>#N/A</v>
      </c>
      <c r="M119" s="93" t="e">
        <f>VLOOKUP($A119, 'Matriz POA 2024-TRABAJO'!$A$5:$CY$9142,30,FALSE)</f>
        <v>#N/A</v>
      </c>
      <c r="N119" s="93" t="e">
        <f>VLOOKUP($A119, 'Matriz POA 2024-TRABAJO'!$A$5:$CY$9142,31,FALSE)</f>
        <v>#N/A</v>
      </c>
      <c r="O119" s="93" t="e">
        <f>VLOOKUP($A119, 'Matriz POA 2024-TRABAJO'!$A$5:$CY$9142,45,FALSE)</f>
        <v>#N/A</v>
      </c>
      <c r="P119" s="93" t="e">
        <f>VLOOKUP($A119, 'Matriz POA 2024-TRABAJO'!$A$5:$CY$9142,46,FALSE)</f>
        <v>#N/A</v>
      </c>
      <c r="Q119" s="93" t="e">
        <f>VLOOKUP($A119, 'Matriz POA 2024-TRABAJO'!$A$5:$CY$9142,47,FALSE)</f>
        <v>#N/A</v>
      </c>
      <c r="R119" s="94">
        <f t="shared" si="82"/>
        <v>0</v>
      </c>
      <c r="S119" s="95" t="e">
        <f t="shared" si="83"/>
        <v>#N/A</v>
      </c>
      <c r="T119" s="93" t="e">
        <f>VLOOKUP($A119, 'Matriz POA 2024-TRABAJO'!$A$5:$CY$9142,72,FALSE)</f>
        <v>#N/A</v>
      </c>
      <c r="U119" s="93" t="e">
        <f>VLOOKUP($A119, 'Matriz POA 2024-TRABAJO'!$A$5:$CY$9142,29,FALSE)</f>
        <v>#N/A</v>
      </c>
      <c r="V119" s="94" t="str">
        <f t="shared" si="116"/>
        <v>18ar-ltar-</v>
      </c>
      <c r="W119" s="97" t="s">
        <v>1175</v>
      </c>
      <c r="X119" s="109">
        <v>45323</v>
      </c>
      <c r="Y119" s="99" t="s">
        <v>1176</v>
      </c>
      <c r="Z119" s="109">
        <v>45324</v>
      </c>
      <c r="AA119" s="98">
        <v>11918.71</v>
      </c>
      <c r="AB119" s="98"/>
      <c r="AC119" s="99">
        <f t="shared" si="103"/>
        <v>1</v>
      </c>
      <c r="AD119" s="99" t="s">
        <v>1177</v>
      </c>
      <c r="AE119" s="98"/>
      <c r="AF119" s="101">
        <v>45329</v>
      </c>
      <c r="AG119" s="97" t="s">
        <v>973</v>
      </c>
      <c r="AH119" s="101">
        <v>45329</v>
      </c>
      <c r="AI119" s="98">
        <v>-11918.71</v>
      </c>
      <c r="AJ119" s="98"/>
      <c r="AK119" s="99">
        <f t="shared" si="117"/>
        <v>0</v>
      </c>
      <c r="AL119" s="99" t="s">
        <v>1113</v>
      </c>
      <c r="AN119" s="96"/>
      <c r="AO119" s="97"/>
      <c r="AP119" s="101"/>
      <c r="AQ119" s="98"/>
      <c r="AR119" s="98"/>
      <c r="AS119" s="99">
        <f t="shared" si="118"/>
        <v>0</v>
      </c>
      <c r="AT119" s="99"/>
      <c r="AU119" s="96"/>
      <c r="AV119" s="96"/>
      <c r="AW119" s="93"/>
      <c r="AX119" s="96"/>
      <c r="AY119" s="98"/>
      <c r="AZ119" s="98"/>
      <c r="BA119" s="99">
        <f t="shared" si="119"/>
        <v>0</v>
      </c>
      <c r="BB119" s="99"/>
      <c r="BC119" s="96"/>
      <c r="BD119" s="96"/>
      <c r="BE119" s="93"/>
      <c r="BF119" s="96"/>
      <c r="BG119" s="102"/>
      <c r="BH119" s="102"/>
      <c r="BI119" s="93">
        <f t="shared" si="104"/>
        <v>0</v>
      </c>
      <c r="BJ119" s="93"/>
      <c r="BK119" s="93"/>
      <c r="BL119" s="103"/>
      <c r="BM119" s="93"/>
      <c r="BN119" s="103"/>
      <c r="BO119" s="94"/>
      <c r="BP119" s="94"/>
      <c r="BQ119" s="93">
        <f t="shared" si="105"/>
        <v>0</v>
      </c>
      <c r="BR119" s="93"/>
      <c r="BS119" s="93"/>
      <c r="BT119" s="103"/>
      <c r="BU119" s="93"/>
      <c r="BV119" s="103"/>
      <c r="BW119" s="94"/>
      <c r="BX119" s="94"/>
      <c r="BY119" s="93">
        <f t="shared" si="106"/>
        <v>0</v>
      </c>
      <c r="BZ119" s="93"/>
      <c r="CA119" s="104"/>
      <c r="CB119" s="105"/>
      <c r="CC119" s="106"/>
      <c r="CD119" s="107"/>
      <c r="CE119" s="94"/>
      <c r="CF119" s="94"/>
      <c r="CG119" s="93">
        <f t="shared" si="107"/>
        <v>0</v>
      </c>
      <c r="CH119" s="93"/>
      <c r="CI119" s="106"/>
      <c r="CJ119" s="105"/>
      <c r="CK119" s="93"/>
      <c r="CL119" s="105"/>
      <c r="CM119" s="108"/>
      <c r="CN119" s="108"/>
      <c r="CO119" s="93">
        <f t="shared" si="108"/>
        <v>0</v>
      </c>
      <c r="CP119" s="93"/>
      <c r="CQ119" s="93"/>
      <c r="CR119" s="93"/>
      <c r="CS119" s="93"/>
      <c r="CT119" s="93"/>
      <c r="CU119" s="93"/>
      <c r="CV119" s="93"/>
      <c r="CW119" s="93">
        <f t="shared" si="109"/>
        <v>0</v>
      </c>
      <c r="CX119" s="93"/>
      <c r="CY119" s="93" t="str">
        <f>TEXT(X119,"MMMM")</f>
        <v>febrero</v>
      </c>
      <c r="CZ119" s="93" t="str">
        <f t="shared" si="120"/>
        <v>febrero</v>
      </c>
      <c r="DA119" s="93" t="str">
        <f t="shared" si="121"/>
        <v>enero</v>
      </c>
      <c r="DB119" s="93" t="str">
        <f t="shared" si="122"/>
        <v>enero</v>
      </c>
      <c r="DC119" s="93" t="str">
        <f t="shared" si="110"/>
        <v>enero</v>
      </c>
      <c r="DD119" s="93" t="str">
        <f t="shared" si="111"/>
        <v>enero</v>
      </c>
      <c r="DE119" s="93" t="str">
        <f t="shared" si="112"/>
        <v>enero</v>
      </c>
      <c r="DF119" s="93" t="str">
        <f t="shared" si="113"/>
        <v>enero</v>
      </c>
      <c r="DG119" s="93" t="str">
        <f t="shared" si="114"/>
        <v>enero</v>
      </c>
      <c r="DH119" s="93" t="str">
        <f t="shared" si="115"/>
        <v>enero</v>
      </c>
    </row>
    <row r="120" spans="1:112" s="21" customFormat="1" ht="26.45" hidden="1" customHeight="1">
      <c r="A120" s="93">
        <v>781</v>
      </c>
      <c r="B120" s="93" t="e">
        <f>VLOOKUP($A120,  'Matriz POA 2024-TRABAJO'!$A$5:$CY$9142,29,FALSE)</f>
        <v>#N/A</v>
      </c>
      <c r="C120" s="93" t="e">
        <f>VLOOKUP($A120, 'Matriz POA 2024-TRABAJO'!$A$5:$CY$9142,11,FALSE)</f>
        <v>#N/A</v>
      </c>
      <c r="D120" s="93" t="e">
        <f>VLOOKUP($A120, 'Matriz POA 2024-TRABAJO'!$A$5:$CY$9142,14,FALSE)</f>
        <v>#N/A</v>
      </c>
      <c r="E120" s="93" t="e">
        <f>VLOOKUP($A120, 'Matriz POA 2024-TRABAJO'!$A$5:$CY$9142,15,FALSE)</f>
        <v>#N/A</v>
      </c>
      <c r="F120" s="93" t="e">
        <f>VLOOKUP($A120, 'Matriz POA 2024-TRABAJO'!$A$5:$CY$9142,18,FALSE)</f>
        <v>#N/A</v>
      </c>
      <c r="G120" s="93" t="e">
        <f>VLOOKUP($A120, 'Matriz POA 2024-TRABAJO'!$A$5:$CY$9142,23,FALSE)</f>
        <v>#N/A</v>
      </c>
      <c r="H120" s="93" t="e">
        <f>VLOOKUP($A120, 'Matriz POA 2024-TRABAJO'!$A$5:$CY$9142,24,FALSE)</f>
        <v>#N/A</v>
      </c>
      <c r="I120" s="93" t="e">
        <f>VLOOKUP($A120, 'Matriz POA 2024-TRABAJO'!$A$5:$CY$9142,20,FALSE)</f>
        <v>#N/A</v>
      </c>
      <c r="J120" s="93" t="e">
        <f>VLOOKUP($A120, 'Matriz POA 2024-TRABAJO'!$A$5:$CY$9142,26,FALSE)</f>
        <v>#N/A</v>
      </c>
      <c r="K120" s="93" t="e">
        <f>VLOOKUP($A120, 'Matriz POA 2024-TRABAJO'!$A$5:$CY$9142,27,FALSE)</f>
        <v>#N/A</v>
      </c>
      <c r="L120" s="93" t="e">
        <f>VLOOKUP($A120, 'Matriz POA 2024-TRABAJO'!$A$5:$CY$9142,28,FALSE)</f>
        <v>#N/A</v>
      </c>
      <c r="M120" s="93" t="e">
        <f>VLOOKUP($A120, 'Matriz POA 2024-TRABAJO'!$A$5:$CY$9142,30,FALSE)</f>
        <v>#N/A</v>
      </c>
      <c r="N120" s="93" t="e">
        <f>VLOOKUP($A120, 'Matriz POA 2024-TRABAJO'!$A$5:$CY$9142,31,FALSE)</f>
        <v>#N/A</v>
      </c>
      <c r="O120" s="93" t="e">
        <f>VLOOKUP($A120, 'Matriz POA 2024-TRABAJO'!$A$5:$CY$9142,45,FALSE)</f>
        <v>#N/A</v>
      </c>
      <c r="P120" s="93" t="e">
        <f>VLOOKUP($A120, 'Matriz POA 2024-TRABAJO'!$A$5:$CY$9142,46,FALSE)</f>
        <v>#N/A</v>
      </c>
      <c r="Q120" s="93" t="e">
        <f>VLOOKUP($A120, 'Matriz POA 2024-TRABAJO'!$A$5:$CY$9142,47,FALSE)</f>
        <v>#N/A</v>
      </c>
      <c r="R120" s="94">
        <f t="shared" si="82"/>
        <v>11918.71</v>
      </c>
      <c r="S120" s="95" t="e">
        <f t="shared" si="83"/>
        <v>#N/A</v>
      </c>
      <c r="T120" s="93" t="e">
        <f>VLOOKUP($A120, 'Matriz POA 2024-TRABAJO'!$A$5:$CY$9142,72,FALSE)</f>
        <v>#N/A</v>
      </c>
      <c r="U120" s="93" t="e">
        <f>VLOOKUP($A120, 'Matriz POA 2024-TRABAJO'!$A$5:$CY$9142,29,FALSE)</f>
        <v>#N/A</v>
      </c>
      <c r="V120" s="94" t="str">
        <f t="shared" si="116"/>
        <v>20ar-</v>
      </c>
      <c r="W120" s="96" t="s">
        <v>1178</v>
      </c>
      <c r="X120" s="96">
        <v>45327</v>
      </c>
      <c r="Y120" s="97" t="s">
        <v>1179</v>
      </c>
      <c r="Z120" s="96">
        <v>45328</v>
      </c>
      <c r="AA120" s="146">
        <v>11918.71</v>
      </c>
      <c r="AB120" s="98"/>
      <c r="AC120" s="99">
        <f t="shared" si="103"/>
        <v>1</v>
      </c>
      <c r="AD120" s="100" t="s">
        <v>1180</v>
      </c>
      <c r="AE120" s="98"/>
      <c r="AF120" s="101"/>
      <c r="AG120" s="97"/>
      <c r="AH120" s="101"/>
      <c r="AI120" s="98"/>
      <c r="AJ120" s="98">
        <f>AI120*-1</f>
        <v>0</v>
      </c>
      <c r="AK120" s="99">
        <f t="shared" si="117"/>
        <v>0</v>
      </c>
      <c r="AL120" s="99"/>
      <c r="AN120" s="96"/>
      <c r="AO120" s="97"/>
      <c r="AP120" s="101"/>
      <c r="AQ120" s="98"/>
      <c r="AR120" s="98"/>
      <c r="AS120" s="99">
        <f t="shared" si="118"/>
        <v>0</v>
      </c>
      <c r="AT120" s="99"/>
      <c r="AU120" s="96"/>
      <c r="AV120" s="96"/>
      <c r="AW120" s="93"/>
      <c r="AX120" s="96"/>
      <c r="AY120" s="98"/>
      <c r="AZ120" s="98"/>
      <c r="BA120" s="99">
        <f t="shared" si="119"/>
        <v>0</v>
      </c>
      <c r="BB120" s="99"/>
      <c r="BC120" s="96"/>
      <c r="BD120" s="96"/>
      <c r="BE120" s="93"/>
      <c r="BF120" s="96"/>
      <c r="BG120" s="102"/>
      <c r="BH120" s="102"/>
      <c r="BI120" s="93">
        <f t="shared" si="104"/>
        <v>0</v>
      </c>
      <c r="BJ120" s="93"/>
      <c r="BK120" s="93"/>
      <c r="BL120" s="103"/>
      <c r="BM120" s="93"/>
      <c r="BN120" s="103"/>
      <c r="BO120" s="94"/>
      <c r="BP120" s="94"/>
      <c r="BQ120" s="93">
        <f t="shared" si="105"/>
        <v>0</v>
      </c>
      <c r="BR120" s="93"/>
      <c r="BS120" s="93"/>
      <c r="BT120" s="103"/>
      <c r="BU120" s="93"/>
      <c r="BV120" s="103"/>
      <c r="BW120" s="94"/>
      <c r="BX120" s="94"/>
      <c r="BY120" s="93">
        <f t="shared" si="106"/>
        <v>0</v>
      </c>
      <c r="BZ120" s="93"/>
      <c r="CA120" s="104"/>
      <c r="CB120" s="105"/>
      <c r="CC120" s="106"/>
      <c r="CD120" s="107"/>
      <c r="CE120" s="94"/>
      <c r="CF120" s="94"/>
      <c r="CG120" s="93">
        <f t="shared" si="107"/>
        <v>0</v>
      </c>
      <c r="CH120" s="93"/>
      <c r="CI120" s="106"/>
      <c r="CJ120" s="105"/>
      <c r="CK120" s="93"/>
      <c r="CL120" s="105"/>
      <c r="CM120" s="108"/>
      <c r="CN120" s="108"/>
      <c r="CO120" s="93">
        <f t="shared" si="108"/>
        <v>0</v>
      </c>
      <c r="CP120" s="93"/>
      <c r="CQ120" s="93"/>
      <c r="CR120" s="93"/>
      <c r="CS120" s="93"/>
      <c r="CT120" s="93"/>
      <c r="CU120" s="93"/>
      <c r="CV120" s="93"/>
      <c r="CW120" s="93">
        <f t="shared" si="109"/>
        <v>0</v>
      </c>
      <c r="CX120" s="93"/>
      <c r="CY120" s="93" t="str">
        <f>TEXT(Z120,"MMMM")</f>
        <v>febrero</v>
      </c>
      <c r="CZ120" s="93" t="str">
        <f t="shared" si="120"/>
        <v>enero</v>
      </c>
      <c r="DA120" s="93" t="str">
        <f t="shared" si="121"/>
        <v>enero</v>
      </c>
      <c r="DB120" s="93" t="str">
        <f t="shared" si="122"/>
        <v>enero</v>
      </c>
      <c r="DC120" s="93" t="str">
        <f t="shared" si="110"/>
        <v>enero</v>
      </c>
      <c r="DD120" s="93" t="str">
        <f t="shared" si="111"/>
        <v>enero</v>
      </c>
      <c r="DE120" s="93" t="str">
        <f t="shared" si="112"/>
        <v>enero</v>
      </c>
      <c r="DF120" s="93" t="str">
        <f t="shared" si="113"/>
        <v>enero</v>
      </c>
      <c r="DG120" s="93" t="str">
        <f t="shared" si="114"/>
        <v>enero</v>
      </c>
      <c r="DH120" s="93" t="str">
        <f t="shared" si="115"/>
        <v>enero</v>
      </c>
    </row>
    <row r="121" spans="1:112" s="21" customFormat="1" ht="18.75" hidden="1" customHeight="1">
      <c r="A121" s="93">
        <v>151</v>
      </c>
      <c r="B121" s="93" t="e">
        <f>VLOOKUP($A121,  'Matriz POA 2024-TRABAJO'!$A$5:$CY$9142,29,FALSE)</f>
        <v>#N/A</v>
      </c>
      <c r="C121" s="93" t="e">
        <f>VLOOKUP($A121, 'Matriz POA 2024-TRABAJO'!$A$5:$CY$9142,11,FALSE)</f>
        <v>#N/A</v>
      </c>
      <c r="D121" s="93" t="e">
        <f>VLOOKUP($A121, 'Matriz POA 2024-TRABAJO'!$A$5:$CY$9142,14,FALSE)</f>
        <v>#N/A</v>
      </c>
      <c r="E121" s="93" t="e">
        <f>VLOOKUP($A121, 'Matriz POA 2024-TRABAJO'!$A$5:$CY$9142,15,FALSE)</f>
        <v>#N/A</v>
      </c>
      <c r="F121" s="93" t="e">
        <f>VLOOKUP($A121, 'Matriz POA 2024-TRABAJO'!$A$5:$CY$9142,18,FALSE)</f>
        <v>#N/A</v>
      </c>
      <c r="G121" s="93" t="e">
        <f>VLOOKUP($A121, 'Matriz POA 2024-TRABAJO'!$A$5:$CY$9142,23,FALSE)</f>
        <v>#N/A</v>
      </c>
      <c r="H121" s="93" t="e">
        <f>VLOOKUP($A121, 'Matriz POA 2024-TRABAJO'!$A$5:$CY$9142,24,FALSE)</f>
        <v>#N/A</v>
      </c>
      <c r="I121" s="93" t="e">
        <f>VLOOKUP($A121, 'Matriz POA 2024-TRABAJO'!$A$5:$CY$9142,20,FALSE)</f>
        <v>#N/A</v>
      </c>
      <c r="J121" s="93" t="e">
        <f>VLOOKUP($A121, 'Matriz POA 2024-TRABAJO'!$A$5:$CY$9142,26,FALSE)</f>
        <v>#N/A</v>
      </c>
      <c r="K121" s="93" t="e">
        <f>VLOOKUP($A121, 'Matriz POA 2024-TRABAJO'!$A$5:$CY$9142,27,FALSE)</f>
        <v>#N/A</v>
      </c>
      <c r="L121" s="93" t="e">
        <f>VLOOKUP($A121, 'Matriz POA 2024-TRABAJO'!$A$5:$CY$9142,28,FALSE)</f>
        <v>#N/A</v>
      </c>
      <c r="M121" s="93" t="e">
        <f>VLOOKUP($A121, 'Matriz POA 2024-TRABAJO'!$A$5:$CY$9142,30,FALSE)</f>
        <v>#N/A</v>
      </c>
      <c r="N121" s="93" t="e">
        <f>VLOOKUP($A121, 'Matriz POA 2024-TRABAJO'!$A$5:$CY$9142,31,FALSE)</f>
        <v>#N/A</v>
      </c>
      <c r="O121" s="93" t="e">
        <f>VLOOKUP($A121, 'Matriz POA 2024-TRABAJO'!$A$5:$CY$9142,45,FALSE)</f>
        <v>#N/A</v>
      </c>
      <c r="P121" s="93" t="e">
        <f>VLOOKUP($A121, 'Matriz POA 2024-TRABAJO'!$A$5:$CY$9142,46,FALSE)</f>
        <v>#N/A</v>
      </c>
      <c r="Q121" s="93" t="e">
        <f>VLOOKUP($A121, 'Matriz POA 2024-TRABAJO'!$A$5:$CY$9142,47,FALSE)</f>
        <v>#N/A</v>
      </c>
      <c r="R121" s="94">
        <f t="shared" si="82"/>
        <v>235460</v>
      </c>
      <c r="S121" s="95" t="e">
        <f t="shared" si="83"/>
        <v>#N/A</v>
      </c>
      <c r="T121" s="93" t="e">
        <f>VLOOKUP($A121, 'Matriz POA 2024-TRABAJO'!$A$5:$CY$9142,72,FALSE)</f>
        <v>#N/A</v>
      </c>
      <c r="U121" s="93" t="e">
        <f>VLOOKUP($A121, 'Matriz POA 2024-TRABAJO'!$A$5:$CY$9142,29,FALSE)</f>
        <v>#N/A</v>
      </c>
      <c r="V121" s="94" t="str">
        <f t="shared" si="116"/>
        <v>19ar-</v>
      </c>
      <c r="W121" s="97" t="s">
        <v>1181</v>
      </c>
      <c r="X121" s="109">
        <v>45328</v>
      </c>
      <c r="Y121" s="99" t="s">
        <v>1179</v>
      </c>
      <c r="Z121" s="109">
        <v>45328</v>
      </c>
      <c r="AA121" s="98">
        <v>235460</v>
      </c>
      <c r="AB121" s="98"/>
      <c r="AC121" s="99">
        <f t="shared" si="103"/>
        <v>0</v>
      </c>
      <c r="AD121" s="110" t="s">
        <v>1182</v>
      </c>
      <c r="AE121" s="98"/>
      <c r="AF121" s="101"/>
      <c r="AG121" s="97"/>
      <c r="AH121" s="101"/>
      <c r="AI121" s="98"/>
      <c r="AJ121" s="98">
        <f>AI121*-1</f>
        <v>0</v>
      </c>
      <c r="AK121" s="99">
        <f t="shared" si="117"/>
        <v>0</v>
      </c>
      <c r="AL121" s="99"/>
      <c r="AN121" s="96"/>
      <c r="AO121" s="97"/>
      <c r="AP121" s="101"/>
      <c r="AQ121" s="98"/>
      <c r="AR121" s="98"/>
      <c r="AS121" s="99">
        <f t="shared" si="118"/>
        <v>0</v>
      </c>
      <c r="AT121" s="99"/>
      <c r="AU121" s="96"/>
      <c r="AV121" s="96"/>
      <c r="AW121" s="93"/>
      <c r="AX121" s="96"/>
      <c r="AY121" s="98"/>
      <c r="AZ121" s="98"/>
      <c r="BA121" s="99">
        <f t="shared" si="119"/>
        <v>0</v>
      </c>
      <c r="BB121" s="99"/>
      <c r="BC121" s="96"/>
      <c r="BD121" s="96"/>
      <c r="BE121" s="93"/>
      <c r="BF121" s="96"/>
      <c r="BG121" s="102"/>
      <c r="BH121" s="102"/>
      <c r="BI121" s="93">
        <f t="shared" si="104"/>
        <v>0</v>
      </c>
      <c r="BJ121" s="93"/>
      <c r="BK121" s="93"/>
      <c r="BL121" s="103"/>
      <c r="BM121" s="93"/>
      <c r="BN121" s="103"/>
      <c r="BO121" s="94"/>
      <c r="BP121" s="94"/>
      <c r="BQ121" s="93">
        <f t="shared" si="105"/>
        <v>0</v>
      </c>
      <c r="BR121" s="93"/>
      <c r="BS121" s="93"/>
      <c r="BT121" s="103"/>
      <c r="BU121" s="93"/>
      <c r="BV121" s="103"/>
      <c r="BW121" s="94"/>
      <c r="BX121" s="94"/>
      <c r="BY121" s="93">
        <f t="shared" si="106"/>
        <v>0</v>
      </c>
      <c r="BZ121" s="93"/>
      <c r="CA121" s="104"/>
      <c r="CB121" s="105"/>
      <c r="CC121" s="106"/>
      <c r="CD121" s="107"/>
      <c r="CE121" s="94"/>
      <c r="CF121" s="94"/>
      <c r="CG121" s="93">
        <f t="shared" si="107"/>
        <v>0</v>
      </c>
      <c r="CH121" s="93"/>
      <c r="CI121" s="106"/>
      <c r="CJ121" s="105"/>
      <c r="CK121" s="93"/>
      <c r="CL121" s="105"/>
      <c r="CM121" s="108"/>
      <c r="CN121" s="108"/>
      <c r="CO121" s="93">
        <f t="shared" si="108"/>
        <v>0</v>
      </c>
      <c r="CP121" s="93"/>
      <c r="CQ121" s="93"/>
      <c r="CR121" s="93"/>
      <c r="CS121" s="93"/>
      <c r="CT121" s="93"/>
      <c r="CU121" s="93"/>
      <c r="CV121" s="93"/>
      <c r="CW121" s="93">
        <f t="shared" si="109"/>
        <v>0</v>
      </c>
      <c r="CX121" s="93"/>
      <c r="CY121" s="93" t="str">
        <f>TEXT(X121,"MMMM")</f>
        <v>febrero</v>
      </c>
      <c r="CZ121" s="93" t="str">
        <f t="shared" si="120"/>
        <v>enero</v>
      </c>
      <c r="DA121" s="93" t="str">
        <f t="shared" si="121"/>
        <v>enero</v>
      </c>
      <c r="DB121" s="93" t="str">
        <f t="shared" si="122"/>
        <v>enero</v>
      </c>
      <c r="DC121" s="93" t="str">
        <f t="shared" si="110"/>
        <v>enero</v>
      </c>
      <c r="DD121" s="93" t="str">
        <f t="shared" si="111"/>
        <v>enero</v>
      </c>
      <c r="DE121" s="93" t="str">
        <f t="shared" si="112"/>
        <v>enero</v>
      </c>
      <c r="DF121" s="93" t="str">
        <f t="shared" si="113"/>
        <v>enero</v>
      </c>
      <c r="DG121" s="93" t="str">
        <f t="shared" si="114"/>
        <v>enero</v>
      </c>
      <c r="DH121" s="93" t="str">
        <f t="shared" si="115"/>
        <v>enero</v>
      </c>
    </row>
    <row r="122" spans="1:112" s="21" customFormat="1" ht="26.45" hidden="1" customHeight="1">
      <c r="A122" s="93">
        <v>511</v>
      </c>
      <c r="B122" s="93" t="e">
        <f>VLOOKUP($A122,  'Matriz POA 2024-TRABAJO'!$A$5:$CY$9142,29,FALSE)</f>
        <v>#N/A</v>
      </c>
      <c r="C122" s="93" t="e">
        <f>VLOOKUP($A122, 'Matriz POA 2024-TRABAJO'!$A$5:$CY$9142,11,FALSE)</f>
        <v>#N/A</v>
      </c>
      <c r="D122" s="93" t="e">
        <f>VLOOKUP($A122, 'Matriz POA 2024-TRABAJO'!$A$5:$CY$9142,14,FALSE)</f>
        <v>#N/A</v>
      </c>
      <c r="E122" s="93" t="e">
        <f>VLOOKUP($A122, 'Matriz POA 2024-TRABAJO'!$A$5:$CY$9142,15,FALSE)</f>
        <v>#N/A</v>
      </c>
      <c r="F122" s="93" t="e">
        <f>VLOOKUP($A122, 'Matriz POA 2024-TRABAJO'!$A$5:$CY$9142,18,FALSE)</f>
        <v>#N/A</v>
      </c>
      <c r="G122" s="93" t="e">
        <f>VLOOKUP($A122, 'Matriz POA 2024-TRABAJO'!$A$5:$CY$9142,23,FALSE)</f>
        <v>#N/A</v>
      </c>
      <c r="H122" s="93" t="e">
        <f>VLOOKUP($A122, 'Matriz POA 2024-TRABAJO'!$A$5:$CY$9142,24,FALSE)</f>
        <v>#N/A</v>
      </c>
      <c r="I122" s="93" t="e">
        <f>VLOOKUP($A122, 'Matriz POA 2024-TRABAJO'!$A$5:$CY$9142,20,FALSE)</f>
        <v>#N/A</v>
      </c>
      <c r="J122" s="93" t="e">
        <f>VLOOKUP($A122, 'Matriz POA 2024-TRABAJO'!$A$5:$CY$9142,26,FALSE)</f>
        <v>#N/A</v>
      </c>
      <c r="K122" s="93" t="e">
        <f>VLOOKUP($A122, 'Matriz POA 2024-TRABAJO'!$A$5:$CY$9142,27,FALSE)</f>
        <v>#N/A</v>
      </c>
      <c r="L122" s="93" t="e">
        <f>VLOOKUP($A122, 'Matriz POA 2024-TRABAJO'!$A$5:$CY$9142,28,FALSE)</f>
        <v>#N/A</v>
      </c>
      <c r="M122" s="93" t="e">
        <f>VLOOKUP($A122, 'Matriz POA 2024-TRABAJO'!$A$5:$CY$9142,30,FALSE)</f>
        <v>#N/A</v>
      </c>
      <c r="N122" s="93" t="e">
        <f>VLOOKUP($A122, 'Matriz POA 2024-TRABAJO'!$A$5:$CY$9142,31,FALSE)</f>
        <v>#N/A</v>
      </c>
      <c r="O122" s="93" t="e">
        <f>VLOOKUP($A122, 'Matriz POA 2024-TRABAJO'!$A$5:$CY$9142,45,FALSE)</f>
        <v>#N/A</v>
      </c>
      <c r="P122" s="93" t="e">
        <f>VLOOKUP($A122, 'Matriz POA 2024-TRABAJO'!$A$5:$CY$9142,46,FALSE)</f>
        <v>#N/A</v>
      </c>
      <c r="Q122" s="93" t="e">
        <f>VLOOKUP($A122, 'Matriz POA 2024-TRABAJO'!$A$5:$CY$9142,47,FALSE)</f>
        <v>#N/A</v>
      </c>
      <c r="R122" s="94">
        <f t="shared" si="82"/>
        <v>5000</v>
      </c>
      <c r="S122" s="95" t="e">
        <f t="shared" si="83"/>
        <v>#N/A</v>
      </c>
      <c r="T122" s="93" t="e">
        <f>VLOOKUP($A122, 'Matriz POA 2024-TRABAJO'!$A$5:$CY$9142,72,FALSE)</f>
        <v>#N/A</v>
      </c>
      <c r="U122" s="93" t="e">
        <f>VLOOKUP($A122, 'Matriz POA 2024-TRABAJO'!$A$5:$CY$9142,29,FALSE)</f>
        <v>#N/A</v>
      </c>
      <c r="V122" s="94" t="str">
        <f t="shared" si="116"/>
        <v>21ar-</v>
      </c>
      <c r="W122" s="96" t="s">
        <v>1183</v>
      </c>
      <c r="X122" s="96">
        <v>45336</v>
      </c>
      <c r="Y122" s="97" t="s">
        <v>1184</v>
      </c>
      <c r="Z122" s="96">
        <v>45338</v>
      </c>
      <c r="AA122" s="98">
        <v>5000</v>
      </c>
      <c r="AB122" s="98"/>
      <c r="AC122" s="99">
        <f t="shared" si="103"/>
        <v>2</v>
      </c>
      <c r="AD122" s="100" t="s">
        <v>1185</v>
      </c>
      <c r="AE122" s="98"/>
      <c r="AF122" s="101"/>
      <c r="AG122" s="97"/>
      <c r="AH122" s="101"/>
      <c r="AI122" s="98"/>
      <c r="AJ122" s="98">
        <f>AI122*-1</f>
        <v>0</v>
      </c>
      <c r="AK122" s="99">
        <f t="shared" si="117"/>
        <v>0</v>
      </c>
      <c r="AL122" s="99"/>
      <c r="AN122" s="96"/>
      <c r="AO122" s="97"/>
      <c r="AP122" s="101"/>
      <c r="AQ122" s="98"/>
      <c r="AR122" s="98"/>
      <c r="AS122" s="99">
        <f t="shared" si="118"/>
        <v>0</v>
      </c>
      <c r="AT122" s="99"/>
      <c r="AU122" s="96"/>
      <c r="AV122" s="96"/>
      <c r="AW122" s="93"/>
      <c r="AX122" s="96"/>
      <c r="AY122" s="98"/>
      <c r="AZ122" s="98"/>
      <c r="BA122" s="99">
        <f t="shared" si="119"/>
        <v>0</v>
      </c>
      <c r="BB122" s="99"/>
      <c r="BC122" s="96"/>
      <c r="BD122" s="96"/>
      <c r="BE122" s="93"/>
      <c r="BF122" s="96"/>
      <c r="BG122" s="102"/>
      <c r="BH122" s="102"/>
      <c r="BI122" s="93">
        <f t="shared" si="104"/>
        <v>0</v>
      </c>
      <c r="BJ122" s="93"/>
      <c r="BK122" s="93"/>
      <c r="BL122" s="103"/>
      <c r="BM122" s="93"/>
      <c r="BN122" s="103"/>
      <c r="BO122" s="94"/>
      <c r="BP122" s="94"/>
      <c r="BQ122" s="93">
        <f t="shared" si="105"/>
        <v>0</v>
      </c>
      <c r="BR122" s="93"/>
      <c r="BS122" s="93"/>
      <c r="BT122" s="103"/>
      <c r="BU122" s="93"/>
      <c r="BV122" s="103"/>
      <c r="BW122" s="94"/>
      <c r="BX122" s="94"/>
      <c r="BY122" s="93">
        <f t="shared" si="106"/>
        <v>0</v>
      </c>
      <c r="BZ122" s="93"/>
      <c r="CA122" s="104"/>
      <c r="CB122" s="105"/>
      <c r="CC122" s="106"/>
      <c r="CD122" s="107"/>
      <c r="CE122" s="94"/>
      <c r="CF122" s="94"/>
      <c r="CG122" s="93">
        <f t="shared" si="107"/>
        <v>0</v>
      </c>
      <c r="CH122" s="93"/>
      <c r="CI122" s="106"/>
      <c r="CJ122" s="105"/>
      <c r="CK122" s="93"/>
      <c r="CL122" s="105"/>
      <c r="CM122" s="108"/>
      <c r="CN122" s="108"/>
      <c r="CO122" s="93">
        <f t="shared" si="108"/>
        <v>0</v>
      </c>
      <c r="CP122" s="93"/>
      <c r="CQ122" s="93"/>
      <c r="CR122" s="93"/>
      <c r="CS122" s="93"/>
      <c r="CT122" s="93"/>
      <c r="CU122" s="93"/>
      <c r="CV122" s="93"/>
      <c r="CW122" s="93">
        <f t="shared" si="109"/>
        <v>0</v>
      </c>
      <c r="CX122" s="93"/>
      <c r="CY122" s="93" t="str">
        <f>TEXT(Z122,"MMMM")</f>
        <v>febrero</v>
      </c>
      <c r="CZ122" s="93" t="str">
        <f t="shared" si="120"/>
        <v>enero</v>
      </c>
      <c r="DA122" s="93" t="str">
        <f t="shared" si="121"/>
        <v>enero</v>
      </c>
      <c r="DB122" s="93" t="str">
        <f t="shared" si="122"/>
        <v>enero</v>
      </c>
      <c r="DC122" s="93" t="str">
        <f t="shared" si="110"/>
        <v>enero</v>
      </c>
      <c r="DD122" s="93" t="str">
        <f t="shared" si="111"/>
        <v>enero</v>
      </c>
      <c r="DE122" s="93" t="str">
        <f t="shared" si="112"/>
        <v>enero</v>
      </c>
      <c r="DF122" s="93" t="str">
        <f t="shared" si="113"/>
        <v>enero</v>
      </c>
      <c r="DG122" s="93" t="str">
        <f t="shared" si="114"/>
        <v>enero</v>
      </c>
      <c r="DH122" s="93" t="str">
        <f t="shared" si="115"/>
        <v>enero</v>
      </c>
    </row>
    <row r="123" spans="1:112" s="21" customFormat="1" ht="18.75" hidden="1" customHeight="1">
      <c r="A123" s="93">
        <v>25</v>
      </c>
      <c r="B123" s="93" t="e">
        <f>VLOOKUP($A123,  'Matriz POA 2024-TRABAJO'!$A$5:$CY$9142,29,FALSE)</f>
        <v>#N/A</v>
      </c>
      <c r="C123" s="93" t="e">
        <f>VLOOKUP($A123, 'Matriz POA 2024-TRABAJO'!$A$5:$CY$9142,11,FALSE)</f>
        <v>#N/A</v>
      </c>
      <c r="D123" s="93" t="e">
        <f>VLOOKUP($A123, 'Matriz POA 2024-TRABAJO'!$A$5:$CY$9142,14,FALSE)</f>
        <v>#N/A</v>
      </c>
      <c r="E123" s="93" t="e">
        <f>VLOOKUP($A123, 'Matriz POA 2024-TRABAJO'!$A$5:$CY$9142,15,FALSE)</f>
        <v>#N/A</v>
      </c>
      <c r="F123" s="93" t="e">
        <f>VLOOKUP($A123, 'Matriz POA 2024-TRABAJO'!$A$5:$CY$9142,18,FALSE)</f>
        <v>#N/A</v>
      </c>
      <c r="G123" s="93" t="e">
        <f>VLOOKUP($A123, 'Matriz POA 2024-TRABAJO'!$A$5:$CY$9142,23,FALSE)</f>
        <v>#N/A</v>
      </c>
      <c r="H123" s="93" t="e">
        <f>VLOOKUP($A123, 'Matriz POA 2024-TRABAJO'!$A$5:$CY$9142,24,FALSE)</f>
        <v>#N/A</v>
      </c>
      <c r="I123" s="93" t="e">
        <f>VLOOKUP($A123, 'Matriz POA 2024-TRABAJO'!$A$5:$CY$9142,20,FALSE)</f>
        <v>#N/A</v>
      </c>
      <c r="J123" s="93" t="e">
        <f>VLOOKUP($A123, 'Matriz POA 2024-TRABAJO'!$A$5:$CY$9142,26,FALSE)</f>
        <v>#N/A</v>
      </c>
      <c r="K123" s="93" t="e">
        <f>VLOOKUP($A123, 'Matriz POA 2024-TRABAJO'!$A$5:$CY$9142,27,FALSE)</f>
        <v>#N/A</v>
      </c>
      <c r="L123" s="93" t="e">
        <f>VLOOKUP($A123, 'Matriz POA 2024-TRABAJO'!$A$5:$CY$9142,28,FALSE)</f>
        <v>#N/A</v>
      </c>
      <c r="M123" s="93" t="e">
        <f>VLOOKUP($A123, 'Matriz POA 2024-TRABAJO'!$A$5:$CY$9142,30,FALSE)</f>
        <v>#N/A</v>
      </c>
      <c r="N123" s="93" t="e">
        <f>VLOOKUP($A123, 'Matriz POA 2024-TRABAJO'!$A$5:$CY$9142,31,FALSE)</f>
        <v>#N/A</v>
      </c>
      <c r="O123" s="93" t="e">
        <f>VLOOKUP($A123, 'Matriz POA 2024-TRABAJO'!$A$5:$CY$9142,45,FALSE)</f>
        <v>#N/A</v>
      </c>
      <c r="P123" s="93" t="e">
        <f>VLOOKUP($A123, 'Matriz POA 2024-TRABAJO'!$A$5:$CY$9142,46,FALSE)</f>
        <v>#N/A</v>
      </c>
      <c r="Q123" s="93" t="e">
        <f>VLOOKUP($A123, 'Matriz POA 2024-TRABAJO'!$A$5:$CY$9142,47,FALSE)</f>
        <v>#N/A</v>
      </c>
      <c r="R123" s="94">
        <f t="shared" si="82"/>
        <v>600</v>
      </c>
      <c r="S123" s="95" t="e">
        <f t="shared" si="83"/>
        <v>#N/A</v>
      </c>
      <c r="T123" s="93" t="e">
        <f>VLOOKUP($A123, 'Matriz POA 2024-TRABAJO'!$A$5:$CY$9142,72,FALSE)</f>
        <v>#N/A</v>
      </c>
      <c r="U123" s="93" t="e">
        <f>VLOOKUP($A123, 'Matriz POA 2024-TRABAJO'!$A$5:$CY$9142,29,FALSE)</f>
        <v>#N/A</v>
      </c>
      <c r="V123" s="94" t="str">
        <f t="shared" si="116"/>
        <v>22ar-</v>
      </c>
      <c r="W123" s="97" t="s">
        <v>1186</v>
      </c>
      <c r="X123" s="109">
        <v>45341</v>
      </c>
      <c r="Y123" s="97" t="s">
        <v>1187</v>
      </c>
      <c r="Z123" s="109">
        <v>45343</v>
      </c>
      <c r="AA123" s="98">
        <v>600</v>
      </c>
      <c r="AB123" s="98"/>
      <c r="AC123" s="99">
        <f t="shared" si="103"/>
        <v>2</v>
      </c>
      <c r="AD123" s="110" t="s">
        <v>1188</v>
      </c>
      <c r="AE123" s="98"/>
      <c r="AF123" s="101"/>
      <c r="AG123" s="97"/>
      <c r="AH123" s="101"/>
      <c r="AI123" s="98"/>
      <c r="AJ123" s="98">
        <f>AI123*-1</f>
        <v>0</v>
      </c>
      <c r="AK123" s="99">
        <f t="shared" si="117"/>
        <v>0</v>
      </c>
      <c r="AL123" s="99"/>
      <c r="AN123" s="96"/>
      <c r="AO123" s="97"/>
      <c r="AP123" s="101"/>
      <c r="AQ123" s="98"/>
      <c r="AR123" s="98"/>
      <c r="AS123" s="99">
        <f t="shared" si="118"/>
        <v>0</v>
      </c>
      <c r="AT123" s="99"/>
      <c r="AU123" s="96"/>
      <c r="AV123" s="96"/>
      <c r="AW123" s="93"/>
      <c r="AX123" s="96"/>
      <c r="AY123" s="98"/>
      <c r="AZ123" s="98"/>
      <c r="BA123" s="99">
        <f t="shared" si="119"/>
        <v>0</v>
      </c>
      <c r="BB123" s="99"/>
      <c r="BC123" s="96"/>
      <c r="BD123" s="96"/>
      <c r="BE123" s="93"/>
      <c r="BF123" s="96"/>
      <c r="BG123" s="102"/>
      <c r="BH123" s="102"/>
      <c r="BI123" s="93">
        <f t="shared" si="104"/>
        <v>0</v>
      </c>
      <c r="BJ123" s="93"/>
      <c r="BK123" s="93"/>
      <c r="BL123" s="103"/>
      <c r="BM123" s="93"/>
      <c r="BN123" s="103"/>
      <c r="BO123" s="94"/>
      <c r="BP123" s="94"/>
      <c r="BQ123" s="93">
        <f t="shared" si="105"/>
        <v>0</v>
      </c>
      <c r="BR123" s="93"/>
      <c r="BS123" s="93"/>
      <c r="BT123" s="103"/>
      <c r="BU123" s="93"/>
      <c r="BV123" s="103"/>
      <c r="BW123" s="94"/>
      <c r="BX123" s="94"/>
      <c r="BY123" s="93">
        <f t="shared" si="106"/>
        <v>0</v>
      </c>
      <c r="BZ123" s="93"/>
      <c r="CA123" s="104"/>
      <c r="CB123" s="105"/>
      <c r="CC123" s="106"/>
      <c r="CD123" s="107"/>
      <c r="CE123" s="94"/>
      <c r="CF123" s="94"/>
      <c r="CG123" s="93">
        <f t="shared" si="107"/>
        <v>0</v>
      </c>
      <c r="CH123" s="93"/>
      <c r="CI123" s="106"/>
      <c r="CJ123" s="105"/>
      <c r="CK123" s="93"/>
      <c r="CL123" s="105"/>
      <c r="CM123" s="108"/>
      <c r="CN123" s="108"/>
      <c r="CO123" s="93">
        <f t="shared" si="108"/>
        <v>0</v>
      </c>
      <c r="CP123" s="93"/>
      <c r="CQ123" s="93"/>
      <c r="CR123" s="93"/>
      <c r="CS123" s="93"/>
      <c r="CT123" s="93"/>
      <c r="CU123" s="93"/>
      <c r="CV123" s="93"/>
      <c r="CW123" s="93">
        <f t="shared" si="109"/>
        <v>0</v>
      </c>
      <c r="CX123" s="93"/>
      <c r="CY123" s="93" t="str">
        <f>TEXT(X123,"MMMM")</f>
        <v>febrero</v>
      </c>
      <c r="CZ123" s="93" t="str">
        <f t="shared" si="120"/>
        <v>enero</v>
      </c>
      <c r="DA123" s="93" t="str">
        <f t="shared" si="121"/>
        <v>enero</v>
      </c>
      <c r="DB123" s="93" t="str">
        <f t="shared" si="122"/>
        <v>enero</v>
      </c>
      <c r="DC123" s="93" t="str">
        <f t="shared" si="110"/>
        <v>enero</v>
      </c>
      <c r="DD123" s="93" t="str">
        <f t="shared" si="111"/>
        <v>enero</v>
      </c>
      <c r="DE123" s="93" t="str">
        <f t="shared" si="112"/>
        <v>enero</v>
      </c>
      <c r="DF123" s="93" t="str">
        <f t="shared" si="113"/>
        <v>enero</v>
      </c>
      <c r="DG123" s="93" t="str">
        <f t="shared" si="114"/>
        <v>enero</v>
      </c>
      <c r="DH123" s="93" t="str">
        <f t="shared" si="115"/>
        <v>enero</v>
      </c>
    </row>
    <row r="124" spans="1:112" s="21" customFormat="1" ht="18.75" hidden="1" customHeight="1">
      <c r="A124" s="93">
        <v>26</v>
      </c>
      <c r="B124" s="93" t="e">
        <f>VLOOKUP($A124,  'Matriz POA 2024-TRABAJO'!$A$5:$CY$9142,29,FALSE)</f>
        <v>#N/A</v>
      </c>
      <c r="C124" s="93" t="e">
        <f>VLOOKUP($A124, 'Matriz POA 2024-TRABAJO'!$A$5:$CY$9142,11,FALSE)</f>
        <v>#N/A</v>
      </c>
      <c r="D124" s="93" t="e">
        <f>VLOOKUP($A124, 'Matriz POA 2024-TRABAJO'!$A$5:$CY$9142,14,FALSE)</f>
        <v>#N/A</v>
      </c>
      <c r="E124" s="93" t="e">
        <f>VLOOKUP($A124, 'Matriz POA 2024-TRABAJO'!$A$5:$CY$9142,15,FALSE)</f>
        <v>#N/A</v>
      </c>
      <c r="F124" s="93" t="e">
        <f>VLOOKUP($A124, 'Matriz POA 2024-TRABAJO'!$A$5:$CY$9142,18,FALSE)</f>
        <v>#N/A</v>
      </c>
      <c r="G124" s="93" t="e">
        <f>VLOOKUP($A124, 'Matriz POA 2024-TRABAJO'!$A$5:$CY$9142,23,FALSE)</f>
        <v>#N/A</v>
      </c>
      <c r="H124" s="93" t="e">
        <f>VLOOKUP($A124, 'Matriz POA 2024-TRABAJO'!$A$5:$CY$9142,24,FALSE)</f>
        <v>#N/A</v>
      </c>
      <c r="I124" s="93" t="e">
        <f>VLOOKUP($A124, 'Matriz POA 2024-TRABAJO'!$A$5:$CY$9142,20,FALSE)</f>
        <v>#N/A</v>
      </c>
      <c r="J124" s="93" t="e">
        <f>VLOOKUP($A124, 'Matriz POA 2024-TRABAJO'!$A$5:$CY$9142,26,FALSE)</f>
        <v>#N/A</v>
      </c>
      <c r="K124" s="93" t="e">
        <f>VLOOKUP($A124, 'Matriz POA 2024-TRABAJO'!$A$5:$CY$9142,27,FALSE)</f>
        <v>#N/A</v>
      </c>
      <c r="L124" s="93" t="e">
        <f>VLOOKUP($A124, 'Matriz POA 2024-TRABAJO'!$A$5:$CY$9142,28,FALSE)</f>
        <v>#N/A</v>
      </c>
      <c r="M124" s="93" t="e">
        <f>VLOOKUP($A124, 'Matriz POA 2024-TRABAJO'!$A$5:$CY$9142,30,FALSE)</f>
        <v>#N/A</v>
      </c>
      <c r="N124" s="93" t="e">
        <f>VLOOKUP($A124, 'Matriz POA 2024-TRABAJO'!$A$5:$CY$9142,31,FALSE)</f>
        <v>#N/A</v>
      </c>
      <c r="O124" s="93" t="e">
        <f>VLOOKUP($A124, 'Matriz POA 2024-TRABAJO'!$A$5:$CY$9142,45,FALSE)</f>
        <v>#N/A</v>
      </c>
      <c r="P124" s="93" t="e">
        <f>VLOOKUP($A124, 'Matriz POA 2024-TRABAJO'!$A$5:$CY$9142,46,FALSE)</f>
        <v>#N/A</v>
      </c>
      <c r="Q124" s="93" t="e">
        <f>VLOOKUP($A124, 'Matriz POA 2024-TRABAJO'!$A$5:$CY$9142,47,FALSE)</f>
        <v>#N/A</v>
      </c>
      <c r="R124" s="94">
        <f t="shared" si="82"/>
        <v>1000</v>
      </c>
      <c r="S124" s="95" t="e">
        <f t="shared" si="83"/>
        <v>#N/A</v>
      </c>
      <c r="T124" s="93" t="e">
        <f>VLOOKUP($A124, 'Matriz POA 2024-TRABAJO'!$A$5:$CY$9142,72,FALSE)</f>
        <v>#N/A</v>
      </c>
      <c r="U124" s="93" t="e">
        <f>VLOOKUP($A124, 'Matriz POA 2024-TRABAJO'!$A$5:$CY$9142,29,FALSE)</f>
        <v>#N/A</v>
      </c>
      <c r="V124" s="94" t="str">
        <f t="shared" si="116"/>
        <v>22ar-</v>
      </c>
      <c r="W124" s="97" t="s">
        <v>1186</v>
      </c>
      <c r="X124" s="109">
        <v>45341</v>
      </c>
      <c r="Y124" s="97" t="s">
        <v>1187</v>
      </c>
      <c r="Z124" s="109">
        <v>45343</v>
      </c>
      <c r="AA124" s="98">
        <v>1000</v>
      </c>
      <c r="AB124" s="98"/>
      <c r="AC124" s="99">
        <f t="shared" si="103"/>
        <v>2</v>
      </c>
      <c r="AD124" s="110" t="s">
        <v>1188</v>
      </c>
      <c r="AE124" s="98"/>
      <c r="AF124" s="101"/>
      <c r="AG124" s="97"/>
      <c r="AH124" s="101"/>
      <c r="AI124" s="98"/>
      <c r="AJ124" s="98">
        <f>AI124*-1</f>
        <v>0</v>
      </c>
      <c r="AK124" s="99">
        <f t="shared" si="117"/>
        <v>0</v>
      </c>
      <c r="AL124" s="99"/>
      <c r="AN124" s="96"/>
      <c r="AO124" s="97"/>
      <c r="AP124" s="101"/>
      <c r="AQ124" s="98"/>
      <c r="AR124" s="98"/>
      <c r="AS124" s="99">
        <f t="shared" si="118"/>
        <v>0</v>
      </c>
      <c r="AT124" s="99"/>
      <c r="AU124" s="96"/>
      <c r="AV124" s="96"/>
      <c r="AW124" s="93"/>
      <c r="AX124" s="96"/>
      <c r="AY124" s="98"/>
      <c r="AZ124" s="98"/>
      <c r="BA124" s="99">
        <f t="shared" si="119"/>
        <v>0</v>
      </c>
      <c r="BB124" s="99"/>
      <c r="BC124" s="96"/>
      <c r="BD124" s="96"/>
      <c r="BE124" s="93"/>
      <c r="BF124" s="96"/>
      <c r="BG124" s="102"/>
      <c r="BH124" s="102"/>
      <c r="BI124" s="93">
        <f t="shared" si="104"/>
        <v>0</v>
      </c>
      <c r="BJ124" s="93"/>
      <c r="BK124" s="93"/>
      <c r="BL124" s="103"/>
      <c r="BM124" s="93"/>
      <c r="BN124" s="103"/>
      <c r="BO124" s="94"/>
      <c r="BP124" s="94"/>
      <c r="BQ124" s="93">
        <f t="shared" si="105"/>
        <v>0</v>
      </c>
      <c r="BR124" s="93"/>
      <c r="BS124" s="93"/>
      <c r="BT124" s="103"/>
      <c r="BU124" s="93"/>
      <c r="BV124" s="103"/>
      <c r="BW124" s="94"/>
      <c r="BX124" s="94"/>
      <c r="BY124" s="93">
        <f t="shared" si="106"/>
        <v>0</v>
      </c>
      <c r="BZ124" s="93"/>
      <c r="CA124" s="104"/>
      <c r="CB124" s="105"/>
      <c r="CC124" s="106"/>
      <c r="CD124" s="107"/>
      <c r="CE124" s="94"/>
      <c r="CF124" s="94"/>
      <c r="CG124" s="93">
        <f t="shared" si="107"/>
        <v>0</v>
      </c>
      <c r="CH124" s="93"/>
      <c r="CI124" s="106"/>
      <c r="CJ124" s="105"/>
      <c r="CK124" s="93"/>
      <c r="CL124" s="105"/>
      <c r="CM124" s="108"/>
      <c r="CN124" s="108"/>
      <c r="CO124" s="93">
        <f t="shared" si="108"/>
        <v>0</v>
      </c>
      <c r="CP124" s="93"/>
      <c r="CQ124" s="93"/>
      <c r="CR124" s="93"/>
      <c r="CS124" s="93"/>
      <c r="CT124" s="93"/>
      <c r="CU124" s="93"/>
      <c r="CV124" s="93"/>
      <c r="CW124" s="93">
        <f t="shared" si="109"/>
        <v>0</v>
      </c>
      <c r="CX124" s="93"/>
      <c r="CY124" s="93" t="str">
        <f>TEXT(X124,"MMMM")</f>
        <v>febrero</v>
      </c>
      <c r="CZ124" s="93" t="str">
        <f t="shared" si="120"/>
        <v>enero</v>
      </c>
      <c r="DA124" s="93" t="str">
        <f t="shared" si="121"/>
        <v>enero</v>
      </c>
      <c r="DB124" s="93" t="str">
        <f t="shared" si="122"/>
        <v>enero</v>
      </c>
      <c r="DC124" s="93" t="str">
        <f t="shared" si="110"/>
        <v>enero</v>
      </c>
      <c r="DD124" s="93" t="str">
        <f t="shared" si="111"/>
        <v>enero</v>
      </c>
      <c r="DE124" s="93" t="str">
        <f t="shared" si="112"/>
        <v>enero</v>
      </c>
      <c r="DF124" s="93" t="str">
        <f t="shared" si="113"/>
        <v>enero</v>
      </c>
      <c r="DG124" s="93" t="str">
        <f t="shared" si="114"/>
        <v>enero</v>
      </c>
      <c r="DH124" s="93" t="str">
        <f t="shared" si="115"/>
        <v>enero</v>
      </c>
    </row>
    <row r="125" spans="1:112" s="163" customFormat="1" ht="15" hidden="1" customHeight="1">
      <c r="A125" s="149">
        <v>27</v>
      </c>
      <c r="B125" s="149" t="e">
        <f>VLOOKUP($A125,  'Matriz POA 2024-TRABAJO'!$A$5:$CY$9142,29,FALSE)</f>
        <v>#N/A</v>
      </c>
      <c r="C125" s="149" t="e">
        <f>VLOOKUP($A125, 'Matriz POA 2024-TRABAJO'!$A$5:$CY$9142,11,FALSE)</f>
        <v>#N/A</v>
      </c>
      <c r="D125" s="149" t="e">
        <f>VLOOKUP($A125, 'Matriz POA 2024-TRABAJO'!$A$5:$CY$9142,14,FALSE)</f>
        <v>#N/A</v>
      </c>
      <c r="E125" s="149" t="e">
        <f>VLOOKUP($A125, 'Matriz POA 2024-TRABAJO'!$A$5:$CY$9142,15,FALSE)</f>
        <v>#N/A</v>
      </c>
      <c r="F125" s="149" t="e">
        <f>VLOOKUP($A125, 'Matriz POA 2024-TRABAJO'!$A$5:$CY$9142,18,FALSE)</f>
        <v>#N/A</v>
      </c>
      <c r="G125" s="149" t="e">
        <f>VLOOKUP($A125, 'Matriz POA 2024-TRABAJO'!$A$5:$CY$9142,23,FALSE)</f>
        <v>#N/A</v>
      </c>
      <c r="H125" s="149" t="e">
        <f>VLOOKUP($A125, 'Matriz POA 2024-TRABAJO'!$A$5:$CY$9142,24,FALSE)</f>
        <v>#N/A</v>
      </c>
      <c r="I125" s="149" t="e">
        <f>VLOOKUP($A125, 'Matriz POA 2024-TRABAJO'!$A$5:$CY$9142,20,FALSE)</f>
        <v>#N/A</v>
      </c>
      <c r="J125" s="149" t="e">
        <f>VLOOKUP($A125, 'Matriz POA 2024-TRABAJO'!$A$5:$CY$9142,26,FALSE)</f>
        <v>#N/A</v>
      </c>
      <c r="K125" s="149" t="e">
        <f>VLOOKUP($A125, 'Matriz POA 2024-TRABAJO'!$A$5:$CY$9142,27,FALSE)</f>
        <v>#N/A</v>
      </c>
      <c r="L125" s="149" t="e">
        <f>VLOOKUP($A125, 'Matriz POA 2024-TRABAJO'!$A$5:$CY$9142,28,FALSE)</f>
        <v>#N/A</v>
      </c>
      <c r="M125" s="149" t="e">
        <f>VLOOKUP($A125, 'Matriz POA 2024-TRABAJO'!$A$5:$CY$9142,30,FALSE)</f>
        <v>#N/A</v>
      </c>
      <c r="N125" s="149" t="e">
        <f>VLOOKUP($A125, 'Matriz POA 2024-TRABAJO'!$A$5:$CY$9142,31,FALSE)</f>
        <v>#N/A</v>
      </c>
      <c r="O125" s="149" t="e">
        <f>VLOOKUP($A125, 'Matriz POA 2024-TRABAJO'!$A$5:$CY$9142,45,FALSE)</f>
        <v>#N/A</v>
      </c>
      <c r="P125" s="149" t="e">
        <f>VLOOKUP($A125, 'Matriz POA 2024-TRABAJO'!$A$5:$CY$9142,46,FALSE)</f>
        <v>#N/A</v>
      </c>
      <c r="Q125" s="93" t="e">
        <f>VLOOKUP($A125, 'Matriz POA 2024-TRABAJO'!$A$5:$CY$9142,47,FALSE)</f>
        <v>#N/A</v>
      </c>
      <c r="R125" s="94">
        <f t="shared" si="82"/>
        <v>0</v>
      </c>
      <c r="S125" s="95" t="e">
        <f t="shared" si="83"/>
        <v>#N/A</v>
      </c>
      <c r="T125" s="93" t="e">
        <f>VLOOKUP($A125, 'Matriz POA 2024-TRABAJO'!$A$5:$CY$9142,72,FALSE)</f>
        <v>#N/A</v>
      </c>
      <c r="U125" s="93" t="e">
        <f>VLOOKUP($A125, 'Matriz POA 2024-TRABAJO'!$A$5:$CY$9142,29,FALSE)</f>
        <v>#N/A</v>
      </c>
      <c r="V125" s="150" t="str">
        <f t="shared" si="116"/>
        <v>22ar-</v>
      </c>
      <c r="W125" s="97" t="s">
        <v>1186</v>
      </c>
      <c r="X125" s="109">
        <v>45341</v>
      </c>
      <c r="Y125" s="97" t="s">
        <v>1187</v>
      </c>
      <c r="Z125" s="109">
        <v>45343</v>
      </c>
      <c r="AA125" s="153">
        <v>150</v>
      </c>
      <c r="AB125" s="153"/>
      <c r="AC125" s="152">
        <f t="shared" si="103"/>
        <v>2</v>
      </c>
      <c r="AD125" s="110" t="s">
        <v>1188</v>
      </c>
      <c r="AE125" s="153" t="s">
        <v>987</v>
      </c>
      <c r="AF125" s="154">
        <v>45356</v>
      </c>
      <c r="AG125" s="151" t="s">
        <v>1189</v>
      </c>
      <c r="AH125" s="154">
        <v>45363</v>
      </c>
      <c r="AI125" s="153">
        <v>-150</v>
      </c>
      <c r="AJ125" s="153"/>
      <c r="AK125" s="152">
        <f t="shared" si="117"/>
        <v>7</v>
      </c>
      <c r="AL125" s="152"/>
      <c r="AN125" s="155"/>
      <c r="AO125" s="151"/>
      <c r="AP125" s="154"/>
      <c r="AQ125" s="153"/>
      <c r="AR125" s="153"/>
      <c r="AS125" s="152">
        <f t="shared" si="118"/>
        <v>0</v>
      </c>
      <c r="AT125" s="152"/>
      <c r="AU125" s="155"/>
      <c r="AV125" s="155"/>
      <c r="AW125" s="149"/>
      <c r="AX125" s="155"/>
      <c r="AY125" s="153"/>
      <c r="AZ125" s="153"/>
      <c r="BA125" s="152">
        <f t="shared" si="119"/>
        <v>0</v>
      </c>
      <c r="BB125" s="152"/>
      <c r="BC125" s="155"/>
      <c r="BD125" s="155"/>
      <c r="BE125" s="149"/>
      <c r="BF125" s="155"/>
      <c r="BG125" s="156"/>
      <c r="BH125" s="156"/>
      <c r="BI125" s="149">
        <f t="shared" si="104"/>
        <v>0</v>
      </c>
      <c r="BJ125" s="149"/>
      <c r="BK125" s="149"/>
      <c r="BL125" s="157"/>
      <c r="BM125" s="149"/>
      <c r="BN125" s="157"/>
      <c r="BO125" s="150"/>
      <c r="BP125" s="150"/>
      <c r="BQ125" s="149">
        <f t="shared" si="105"/>
        <v>0</v>
      </c>
      <c r="BR125" s="149"/>
      <c r="BS125" s="149"/>
      <c r="BT125" s="157"/>
      <c r="BU125" s="149"/>
      <c r="BV125" s="157"/>
      <c r="BW125" s="150"/>
      <c r="BX125" s="150"/>
      <c r="BY125" s="149">
        <f t="shared" si="106"/>
        <v>0</v>
      </c>
      <c r="BZ125" s="149"/>
      <c r="CA125" s="158"/>
      <c r="CB125" s="159"/>
      <c r="CC125" s="160"/>
      <c r="CD125" s="161"/>
      <c r="CE125" s="150"/>
      <c r="CF125" s="150"/>
      <c r="CG125" s="149">
        <f t="shared" si="107"/>
        <v>0</v>
      </c>
      <c r="CH125" s="149"/>
      <c r="CI125" s="160"/>
      <c r="CJ125" s="159"/>
      <c r="CK125" s="149"/>
      <c r="CL125" s="159"/>
      <c r="CM125" s="162"/>
      <c r="CN125" s="162"/>
      <c r="CO125" s="149">
        <f t="shared" si="108"/>
        <v>0</v>
      </c>
      <c r="CP125" s="149"/>
      <c r="CQ125" s="149"/>
      <c r="CR125" s="149"/>
      <c r="CS125" s="149"/>
      <c r="CT125" s="149"/>
      <c r="CU125" s="149"/>
      <c r="CV125" s="149"/>
      <c r="CW125" s="149">
        <f t="shared" si="109"/>
        <v>0</v>
      </c>
      <c r="CX125" s="149"/>
      <c r="CY125" s="149" t="str">
        <f>TEXT(X125,"MMMM")</f>
        <v>febrero</v>
      </c>
      <c r="CZ125" s="149" t="str">
        <f t="shared" si="120"/>
        <v>marzo</v>
      </c>
      <c r="DA125" s="149" t="str">
        <f t="shared" si="121"/>
        <v>enero</v>
      </c>
      <c r="DB125" s="149" t="str">
        <f t="shared" si="122"/>
        <v>enero</v>
      </c>
      <c r="DC125" s="149" t="str">
        <f t="shared" si="110"/>
        <v>enero</v>
      </c>
      <c r="DD125" s="149" t="str">
        <f t="shared" si="111"/>
        <v>enero</v>
      </c>
      <c r="DE125" s="149" t="str">
        <f t="shared" si="112"/>
        <v>enero</v>
      </c>
      <c r="DF125" s="149" t="str">
        <f t="shared" si="113"/>
        <v>enero</v>
      </c>
      <c r="DG125" s="149" t="str">
        <f t="shared" si="114"/>
        <v>enero</v>
      </c>
      <c r="DH125" s="149" t="str">
        <f t="shared" si="115"/>
        <v>enero</v>
      </c>
    </row>
    <row r="126" spans="1:112" s="240" customFormat="1" ht="26.45" hidden="1" customHeight="1">
      <c r="A126" s="194">
        <v>28</v>
      </c>
      <c r="B126" s="194" t="e">
        <f>VLOOKUP($A126,  'Matriz POA 2024-TRABAJO'!$A$5:$CY$9142,29,FALSE)</f>
        <v>#N/A</v>
      </c>
      <c r="C126" s="194" t="e">
        <f>VLOOKUP($A126, 'Matriz POA 2024-TRABAJO'!$A$5:$CY$9142,11,FALSE)</f>
        <v>#N/A</v>
      </c>
      <c r="D126" s="194" t="e">
        <f>VLOOKUP($A126, 'Matriz POA 2024-TRABAJO'!$A$5:$CY$9142,14,FALSE)</f>
        <v>#N/A</v>
      </c>
      <c r="E126" s="194" t="e">
        <f>VLOOKUP($A126, 'Matriz POA 2024-TRABAJO'!$A$5:$CY$9142,15,FALSE)</f>
        <v>#N/A</v>
      </c>
      <c r="F126" s="194" t="e">
        <f>VLOOKUP($A126, 'Matriz POA 2024-TRABAJO'!$A$5:$CY$9142,18,FALSE)</f>
        <v>#N/A</v>
      </c>
      <c r="G126" s="194" t="e">
        <f>VLOOKUP($A126, 'Matriz POA 2024-TRABAJO'!$A$5:$CY$9142,23,FALSE)</f>
        <v>#N/A</v>
      </c>
      <c r="H126" s="194" t="e">
        <f>VLOOKUP($A126, 'Matriz POA 2024-TRABAJO'!$A$5:$CY$9142,24,FALSE)</f>
        <v>#N/A</v>
      </c>
      <c r="I126" s="194" t="e">
        <f>VLOOKUP($A126, 'Matriz POA 2024-TRABAJO'!$A$5:$CY$9142,20,FALSE)</f>
        <v>#N/A</v>
      </c>
      <c r="J126" s="194" t="e">
        <f>VLOOKUP($A126, 'Matriz POA 2024-TRABAJO'!$A$5:$CY$9142,26,FALSE)</f>
        <v>#N/A</v>
      </c>
      <c r="K126" s="194" t="e">
        <f>VLOOKUP($A126, 'Matriz POA 2024-TRABAJO'!$A$5:$CY$9142,27,FALSE)</f>
        <v>#N/A</v>
      </c>
      <c r="L126" s="194" t="e">
        <f>VLOOKUP($A126, 'Matriz POA 2024-TRABAJO'!$A$5:$CY$9142,28,FALSE)</f>
        <v>#N/A</v>
      </c>
      <c r="M126" s="194" t="e">
        <f>VLOOKUP($A126, 'Matriz POA 2024-TRABAJO'!$A$5:$CY$9142,30,FALSE)</f>
        <v>#N/A</v>
      </c>
      <c r="N126" s="194" t="e">
        <f>VLOOKUP($A126, 'Matriz POA 2024-TRABAJO'!$A$5:$CY$9142,31,FALSE)</f>
        <v>#N/A</v>
      </c>
      <c r="O126" s="194" t="e">
        <f>VLOOKUP($A126, 'Matriz POA 2024-TRABAJO'!$A$5:$CY$9142,45,FALSE)</f>
        <v>#N/A</v>
      </c>
      <c r="P126" s="194" t="e">
        <f>VLOOKUP($A126, 'Matriz POA 2024-TRABAJO'!$A$5:$CY$9142,46,FALSE)</f>
        <v>#N/A</v>
      </c>
      <c r="Q126" s="93" t="e">
        <f>VLOOKUP($A126, 'Matriz POA 2024-TRABAJO'!$A$5:$CY$9142,47,FALSE)</f>
        <v>#N/A</v>
      </c>
      <c r="R126" s="94">
        <f t="shared" si="82"/>
        <v>300</v>
      </c>
      <c r="S126" s="95" t="e">
        <f t="shared" si="83"/>
        <v>#N/A</v>
      </c>
      <c r="T126" s="93" t="e">
        <f>VLOOKUP($A126, 'Matriz POA 2024-TRABAJO'!$A$5:$CY$9142,72,FALSE)</f>
        <v>#N/A</v>
      </c>
      <c r="U126" s="93" t="e">
        <f>VLOOKUP($A126, 'Matriz POA 2024-TRABAJO'!$A$5:$CY$9142,29,FALSE)</f>
        <v>#N/A</v>
      </c>
      <c r="V126" s="233" t="str">
        <f t="shared" si="116"/>
        <v>22ar-lt-41ar-</v>
      </c>
      <c r="W126" s="234" t="s">
        <v>1186</v>
      </c>
      <c r="X126" s="235">
        <v>45341</v>
      </c>
      <c r="Y126" s="234" t="s">
        <v>1187</v>
      </c>
      <c r="Z126" s="235">
        <v>45343</v>
      </c>
      <c r="AA126" s="236">
        <v>200</v>
      </c>
      <c r="AB126" s="236"/>
      <c r="AC126" s="237">
        <f t="shared" si="103"/>
        <v>2</v>
      </c>
      <c r="AD126" s="238" t="s">
        <v>1188</v>
      </c>
      <c r="AE126" s="236" t="s">
        <v>987</v>
      </c>
      <c r="AF126" s="239">
        <v>45356</v>
      </c>
      <c r="AG126" s="234" t="s">
        <v>1189</v>
      </c>
      <c r="AH126" s="239">
        <v>45363</v>
      </c>
      <c r="AI126" s="236">
        <v>-200</v>
      </c>
      <c r="AJ126" s="236"/>
      <c r="AK126" s="237">
        <f t="shared" si="117"/>
        <v>7</v>
      </c>
      <c r="AL126" s="237" t="s">
        <v>1162</v>
      </c>
      <c r="AM126" s="240" t="s">
        <v>1190</v>
      </c>
      <c r="AN126" s="241">
        <v>45369</v>
      </c>
      <c r="AO126" s="234"/>
      <c r="AP126" s="239">
        <v>45370</v>
      </c>
      <c r="AQ126" s="236">
        <v>300</v>
      </c>
      <c r="AR126" s="236"/>
      <c r="AS126" s="237">
        <f t="shared" si="118"/>
        <v>1</v>
      </c>
      <c r="AT126" s="237" t="s">
        <v>1191</v>
      </c>
      <c r="AU126" s="241"/>
      <c r="AV126" s="241"/>
      <c r="AW126" s="194"/>
      <c r="AX126" s="241"/>
      <c r="AY126" s="236"/>
      <c r="AZ126" s="236"/>
      <c r="BA126" s="237">
        <f t="shared" si="119"/>
        <v>0</v>
      </c>
      <c r="BB126" s="237"/>
      <c r="BC126" s="241"/>
      <c r="BD126" s="241"/>
      <c r="BE126" s="194"/>
      <c r="BF126" s="241"/>
      <c r="BG126" s="242"/>
      <c r="BH126" s="242"/>
      <c r="BI126" s="194">
        <f t="shared" si="104"/>
        <v>0</v>
      </c>
      <c r="BJ126" s="194"/>
      <c r="BK126" s="194"/>
      <c r="BL126" s="243"/>
      <c r="BM126" s="194"/>
      <c r="BN126" s="243"/>
      <c r="BO126" s="233"/>
      <c r="BP126" s="233"/>
      <c r="BQ126" s="194">
        <f t="shared" si="105"/>
        <v>0</v>
      </c>
      <c r="BR126" s="194"/>
      <c r="BS126" s="194"/>
      <c r="BT126" s="243"/>
      <c r="BU126" s="194"/>
      <c r="BV126" s="243"/>
      <c r="BW126" s="233"/>
      <c r="BX126" s="233"/>
      <c r="BY126" s="194">
        <f t="shared" si="106"/>
        <v>0</v>
      </c>
      <c r="BZ126" s="194"/>
      <c r="CA126" s="244"/>
      <c r="CB126" s="245"/>
      <c r="CC126" s="246"/>
      <c r="CD126" s="247"/>
      <c r="CE126" s="233"/>
      <c r="CF126" s="233"/>
      <c r="CG126" s="194">
        <f t="shared" si="107"/>
        <v>0</v>
      </c>
      <c r="CH126" s="194"/>
      <c r="CI126" s="246"/>
      <c r="CJ126" s="245"/>
      <c r="CK126" s="194"/>
      <c r="CL126" s="245"/>
      <c r="CM126" s="248"/>
      <c r="CN126" s="248"/>
      <c r="CO126" s="194">
        <f t="shared" si="108"/>
        <v>0</v>
      </c>
      <c r="CP126" s="194"/>
      <c r="CQ126" s="194"/>
      <c r="CR126" s="194"/>
      <c r="CS126" s="194"/>
      <c r="CT126" s="194"/>
      <c r="CU126" s="194"/>
      <c r="CV126" s="194"/>
      <c r="CW126" s="194">
        <f t="shared" si="109"/>
        <v>0</v>
      </c>
      <c r="CX126" s="194"/>
      <c r="CY126" s="194" t="str">
        <f>TEXT(Z126,"MMMM")</f>
        <v>febrero</v>
      </c>
      <c r="CZ126" s="194" t="str">
        <f t="shared" si="120"/>
        <v>marzo</v>
      </c>
      <c r="DA126" s="194" t="str">
        <f t="shared" si="121"/>
        <v>marzo</v>
      </c>
      <c r="DB126" s="194" t="str">
        <f t="shared" si="122"/>
        <v>enero</v>
      </c>
      <c r="DC126" s="194" t="str">
        <f t="shared" si="110"/>
        <v>enero</v>
      </c>
      <c r="DD126" s="194" t="str">
        <f t="shared" si="111"/>
        <v>enero</v>
      </c>
      <c r="DE126" s="194" t="str">
        <f t="shared" si="112"/>
        <v>enero</v>
      </c>
      <c r="DF126" s="194" t="str">
        <f t="shared" si="113"/>
        <v>enero</v>
      </c>
      <c r="DG126" s="194" t="str">
        <f t="shared" si="114"/>
        <v>enero</v>
      </c>
      <c r="DH126" s="194" t="str">
        <f t="shared" si="115"/>
        <v>enero</v>
      </c>
    </row>
    <row r="127" spans="1:112" s="21" customFormat="1" ht="18.75" hidden="1" customHeight="1">
      <c r="A127" s="93">
        <v>29</v>
      </c>
      <c r="B127" s="93" t="e">
        <f>VLOOKUP($A127,  'Matriz POA 2024-TRABAJO'!$A$5:$CY$9142,29,FALSE)</f>
        <v>#N/A</v>
      </c>
      <c r="C127" s="93" t="e">
        <f>VLOOKUP($A127, 'Matriz POA 2024-TRABAJO'!$A$5:$CY$9142,11,FALSE)</f>
        <v>#N/A</v>
      </c>
      <c r="D127" s="93" t="e">
        <f>VLOOKUP($A127, 'Matriz POA 2024-TRABAJO'!$A$5:$CY$9142,14,FALSE)</f>
        <v>#N/A</v>
      </c>
      <c r="E127" s="93" t="e">
        <f>VLOOKUP($A127, 'Matriz POA 2024-TRABAJO'!$A$5:$CY$9142,15,FALSE)</f>
        <v>#N/A</v>
      </c>
      <c r="F127" s="93" t="e">
        <f>VLOOKUP($A127, 'Matriz POA 2024-TRABAJO'!$A$5:$CY$9142,18,FALSE)</f>
        <v>#N/A</v>
      </c>
      <c r="G127" s="93" t="e">
        <f>VLOOKUP($A127, 'Matriz POA 2024-TRABAJO'!$A$5:$CY$9142,23,FALSE)</f>
        <v>#N/A</v>
      </c>
      <c r="H127" s="93" t="e">
        <f>VLOOKUP($A127, 'Matriz POA 2024-TRABAJO'!$A$5:$CY$9142,24,FALSE)</f>
        <v>#N/A</v>
      </c>
      <c r="I127" s="93" t="e">
        <f>VLOOKUP($A127, 'Matriz POA 2024-TRABAJO'!$A$5:$CY$9142,20,FALSE)</f>
        <v>#N/A</v>
      </c>
      <c r="J127" s="93" t="e">
        <f>VLOOKUP($A127, 'Matriz POA 2024-TRABAJO'!$A$5:$CY$9142,26,FALSE)</f>
        <v>#N/A</v>
      </c>
      <c r="K127" s="93" t="e">
        <f>VLOOKUP($A127, 'Matriz POA 2024-TRABAJO'!$A$5:$CY$9142,27,FALSE)</f>
        <v>#N/A</v>
      </c>
      <c r="L127" s="93" t="e">
        <f>VLOOKUP($A127, 'Matriz POA 2024-TRABAJO'!$A$5:$CY$9142,28,FALSE)</f>
        <v>#N/A</v>
      </c>
      <c r="M127" s="93" t="e">
        <f>VLOOKUP($A127, 'Matriz POA 2024-TRABAJO'!$A$5:$CY$9142,30,FALSE)</f>
        <v>#N/A</v>
      </c>
      <c r="N127" s="93" t="e">
        <f>VLOOKUP($A127, 'Matriz POA 2024-TRABAJO'!$A$5:$CY$9142,31,FALSE)</f>
        <v>#N/A</v>
      </c>
      <c r="O127" s="93" t="e">
        <f>VLOOKUP($A127, 'Matriz POA 2024-TRABAJO'!$A$5:$CY$9142,45,FALSE)</f>
        <v>#N/A</v>
      </c>
      <c r="P127" s="93" t="e">
        <f>VLOOKUP($A127, 'Matriz POA 2024-TRABAJO'!$A$5:$CY$9142,46,FALSE)</f>
        <v>#N/A</v>
      </c>
      <c r="Q127" s="93" t="e">
        <f>VLOOKUP($A127, 'Matriz POA 2024-TRABAJO'!$A$5:$CY$9142,47,FALSE)</f>
        <v>#N/A</v>
      </c>
      <c r="R127" s="94">
        <f t="shared" si="82"/>
        <v>150</v>
      </c>
      <c r="S127" s="95" t="e">
        <f t="shared" si="83"/>
        <v>#N/A</v>
      </c>
      <c r="T127" s="93" t="e">
        <f>VLOOKUP($A127, 'Matriz POA 2024-TRABAJO'!$A$5:$CY$9142,72,FALSE)</f>
        <v>#N/A</v>
      </c>
      <c r="U127" s="93" t="e">
        <f>VLOOKUP($A127, 'Matriz POA 2024-TRABAJO'!$A$5:$CY$9142,29,FALSE)</f>
        <v>#N/A</v>
      </c>
      <c r="V127" s="94" t="str">
        <f t="shared" si="116"/>
        <v>22ar-lt-41ar-</v>
      </c>
      <c r="W127" s="97" t="s">
        <v>1186</v>
      </c>
      <c r="X127" s="109">
        <v>45341</v>
      </c>
      <c r="Y127" s="97" t="s">
        <v>1187</v>
      </c>
      <c r="Z127" s="109">
        <v>45343</v>
      </c>
      <c r="AA127" s="98">
        <v>150</v>
      </c>
      <c r="AB127" s="98"/>
      <c r="AC127" s="99">
        <f t="shared" si="103"/>
        <v>2</v>
      </c>
      <c r="AD127" s="110" t="s">
        <v>1188</v>
      </c>
      <c r="AE127" s="98" t="s">
        <v>1190</v>
      </c>
      <c r="AF127" s="101">
        <v>45370</v>
      </c>
      <c r="AG127" s="97"/>
      <c r="AH127" s="101">
        <v>45370</v>
      </c>
      <c r="AI127" s="98">
        <v>-150</v>
      </c>
      <c r="AJ127" s="98"/>
      <c r="AK127" s="99">
        <f t="shared" si="117"/>
        <v>0</v>
      </c>
      <c r="AL127" s="99" t="s">
        <v>1162</v>
      </c>
      <c r="AM127" s="21" t="s">
        <v>1190</v>
      </c>
      <c r="AN127" s="96">
        <v>45369</v>
      </c>
      <c r="AO127" s="97"/>
      <c r="AP127" s="101">
        <v>45370</v>
      </c>
      <c r="AQ127" s="98">
        <v>150</v>
      </c>
      <c r="AR127" s="98"/>
      <c r="AS127" s="99">
        <f t="shared" si="118"/>
        <v>1</v>
      </c>
      <c r="AT127" s="99" t="s">
        <v>1191</v>
      </c>
      <c r="AU127" s="96"/>
      <c r="AV127" s="96"/>
      <c r="AW127" s="93"/>
      <c r="AX127" s="96"/>
      <c r="AY127" s="98"/>
      <c r="AZ127" s="98"/>
      <c r="BA127" s="99">
        <f t="shared" si="119"/>
        <v>0</v>
      </c>
      <c r="BB127" s="99"/>
      <c r="BC127" s="96"/>
      <c r="BD127" s="96"/>
      <c r="BE127" s="93"/>
      <c r="BF127" s="96"/>
      <c r="BG127" s="102"/>
      <c r="BH127" s="102"/>
      <c r="BI127" s="93">
        <f t="shared" si="104"/>
        <v>0</v>
      </c>
      <c r="BJ127" s="93"/>
      <c r="BK127" s="93"/>
      <c r="BL127" s="103"/>
      <c r="BM127" s="93"/>
      <c r="BN127" s="103"/>
      <c r="BO127" s="94"/>
      <c r="BP127" s="94"/>
      <c r="BQ127" s="93">
        <f t="shared" si="105"/>
        <v>0</v>
      </c>
      <c r="BR127" s="93"/>
      <c r="BS127" s="93"/>
      <c r="BT127" s="103"/>
      <c r="BU127" s="93"/>
      <c r="BV127" s="103"/>
      <c r="BW127" s="94"/>
      <c r="BX127" s="94"/>
      <c r="BY127" s="93">
        <f t="shared" si="106"/>
        <v>0</v>
      </c>
      <c r="BZ127" s="93"/>
      <c r="CA127" s="104"/>
      <c r="CB127" s="105"/>
      <c r="CC127" s="106"/>
      <c r="CD127" s="107"/>
      <c r="CE127" s="94"/>
      <c r="CF127" s="94"/>
      <c r="CG127" s="93">
        <f t="shared" si="107"/>
        <v>0</v>
      </c>
      <c r="CH127" s="93"/>
      <c r="CI127" s="106"/>
      <c r="CJ127" s="105"/>
      <c r="CK127" s="93"/>
      <c r="CL127" s="105"/>
      <c r="CM127" s="108"/>
      <c r="CN127" s="108"/>
      <c r="CO127" s="93">
        <f t="shared" si="108"/>
        <v>0</v>
      </c>
      <c r="CP127" s="93"/>
      <c r="CQ127" s="93"/>
      <c r="CR127" s="93"/>
      <c r="CS127" s="93"/>
      <c r="CT127" s="93"/>
      <c r="CU127" s="93"/>
      <c r="CV127" s="93"/>
      <c r="CW127" s="93">
        <f t="shared" si="109"/>
        <v>0</v>
      </c>
      <c r="CX127" s="93"/>
      <c r="CY127" s="93" t="str">
        <f>TEXT(X127,"MMMM")</f>
        <v>febrero</v>
      </c>
      <c r="CZ127" s="93" t="str">
        <f t="shared" si="120"/>
        <v>marzo</v>
      </c>
      <c r="DA127" s="93" t="str">
        <f t="shared" si="121"/>
        <v>marzo</v>
      </c>
      <c r="DB127" s="93" t="str">
        <f t="shared" si="122"/>
        <v>enero</v>
      </c>
      <c r="DC127" s="93" t="str">
        <f t="shared" si="110"/>
        <v>enero</v>
      </c>
      <c r="DD127" s="93" t="str">
        <f t="shared" si="111"/>
        <v>enero</v>
      </c>
      <c r="DE127" s="93" t="str">
        <f t="shared" si="112"/>
        <v>enero</v>
      </c>
      <c r="DF127" s="93" t="str">
        <f t="shared" si="113"/>
        <v>enero</v>
      </c>
      <c r="DG127" s="93" t="str">
        <f t="shared" si="114"/>
        <v>enero</v>
      </c>
      <c r="DH127" s="93" t="str">
        <f t="shared" si="115"/>
        <v>enero</v>
      </c>
    </row>
    <row r="128" spans="1:112" s="21" customFormat="1" ht="26.45" hidden="1" customHeight="1">
      <c r="A128" s="93">
        <v>30</v>
      </c>
      <c r="B128" s="93" t="e">
        <f>VLOOKUP($A128,  'Matriz POA 2024-TRABAJO'!$A$5:$CY$9142,29,FALSE)</f>
        <v>#N/A</v>
      </c>
      <c r="C128" s="93" t="e">
        <f>VLOOKUP($A128, 'Matriz POA 2024-TRABAJO'!$A$5:$CY$9142,11,FALSE)</f>
        <v>#N/A</v>
      </c>
      <c r="D128" s="93" t="e">
        <f>VLOOKUP($A128, 'Matriz POA 2024-TRABAJO'!$A$5:$CY$9142,14,FALSE)</f>
        <v>#N/A</v>
      </c>
      <c r="E128" s="93" t="e">
        <f>VLOOKUP($A128, 'Matriz POA 2024-TRABAJO'!$A$5:$CY$9142,15,FALSE)</f>
        <v>#N/A</v>
      </c>
      <c r="F128" s="93" t="e">
        <f>VLOOKUP($A128, 'Matriz POA 2024-TRABAJO'!$A$5:$CY$9142,18,FALSE)</f>
        <v>#N/A</v>
      </c>
      <c r="G128" s="93" t="e">
        <f>VLOOKUP($A128, 'Matriz POA 2024-TRABAJO'!$A$5:$CY$9142,23,FALSE)</f>
        <v>#N/A</v>
      </c>
      <c r="H128" s="93" t="e">
        <f>VLOOKUP($A128, 'Matriz POA 2024-TRABAJO'!$A$5:$CY$9142,24,FALSE)</f>
        <v>#N/A</v>
      </c>
      <c r="I128" s="93" t="e">
        <f>VLOOKUP($A128, 'Matriz POA 2024-TRABAJO'!$A$5:$CY$9142,20,FALSE)</f>
        <v>#N/A</v>
      </c>
      <c r="J128" s="93" t="e">
        <f>VLOOKUP($A128, 'Matriz POA 2024-TRABAJO'!$A$5:$CY$9142,26,FALSE)</f>
        <v>#N/A</v>
      </c>
      <c r="K128" s="93" t="e">
        <f>VLOOKUP($A128, 'Matriz POA 2024-TRABAJO'!$A$5:$CY$9142,27,FALSE)</f>
        <v>#N/A</v>
      </c>
      <c r="L128" s="93" t="e">
        <f>VLOOKUP($A128, 'Matriz POA 2024-TRABAJO'!$A$5:$CY$9142,28,FALSE)</f>
        <v>#N/A</v>
      </c>
      <c r="M128" s="93" t="e">
        <f>VLOOKUP($A128, 'Matriz POA 2024-TRABAJO'!$A$5:$CY$9142,30,FALSE)</f>
        <v>#N/A</v>
      </c>
      <c r="N128" s="93" t="e">
        <f>VLOOKUP($A128, 'Matriz POA 2024-TRABAJO'!$A$5:$CY$9142,31,FALSE)</f>
        <v>#N/A</v>
      </c>
      <c r="O128" s="93" t="e">
        <f>VLOOKUP($A128, 'Matriz POA 2024-TRABAJO'!$A$5:$CY$9142,45,FALSE)</f>
        <v>#N/A</v>
      </c>
      <c r="P128" s="93" t="e">
        <f>VLOOKUP($A128, 'Matriz POA 2024-TRABAJO'!$A$5:$CY$9142,46,FALSE)</f>
        <v>#N/A</v>
      </c>
      <c r="Q128" s="93" t="e">
        <f>VLOOKUP($A128, 'Matriz POA 2024-TRABAJO'!$A$5:$CY$9142,47,FALSE)</f>
        <v>#N/A</v>
      </c>
      <c r="R128" s="94">
        <f t="shared" si="82"/>
        <v>75</v>
      </c>
      <c r="S128" s="95" t="e">
        <f t="shared" si="83"/>
        <v>#N/A</v>
      </c>
      <c r="T128" s="93" t="e">
        <f>VLOOKUP($A128, 'Matriz POA 2024-TRABAJO'!$A$5:$CY$9142,72,FALSE)</f>
        <v>#N/A</v>
      </c>
      <c r="U128" s="93" t="e">
        <f>VLOOKUP($A128, 'Matriz POA 2024-TRABAJO'!$A$5:$CY$9142,29,FALSE)</f>
        <v>#N/A</v>
      </c>
      <c r="V128" s="94" t="str">
        <f t="shared" si="116"/>
        <v>22ar-lt-41ar-</v>
      </c>
      <c r="W128" s="97" t="s">
        <v>1186</v>
      </c>
      <c r="X128" s="109">
        <v>45341</v>
      </c>
      <c r="Y128" s="97" t="s">
        <v>1187</v>
      </c>
      <c r="Z128" s="109">
        <v>45343</v>
      </c>
      <c r="AA128" s="98">
        <v>75</v>
      </c>
      <c r="AB128" s="98"/>
      <c r="AC128" s="99">
        <f t="shared" si="103"/>
        <v>2</v>
      </c>
      <c r="AD128" s="110" t="s">
        <v>1188</v>
      </c>
      <c r="AE128" s="98" t="s">
        <v>1190</v>
      </c>
      <c r="AF128" s="101">
        <v>45370</v>
      </c>
      <c r="AG128" s="97"/>
      <c r="AH128" s="101">
        <v>45370</v>
      </c>
      <c r="AI128" s="98">
        <v>-75</v>
      </c>
      <c r="AJ128" s="98"/>
      <c r="AK128" s="99">
        <f t="shared" si="117"/>
        <v>0</v>
      </c>
      <c r="AL128" s="99" t="s">
        <v>1162</v>
      </c>
      <c r="AM128" s="21" t="s">
        <v>1190</v>
      </c>
      <c r="AN128" s="96">
        <v>45369</v>
      </c>
      <c r="AO128" s="97"/>
      <c r="AP128" s="101">
        <v>45370</v>
      </c>
      <c r="AQ128" s="98">
        <v>75</v>
      </c>
      <c r="AR128" s="98"/>
      <c r="AS128" s="99">
        <f t="shared" si="118"/>
        <v>1</v>
      </c>
      <c r="AT128" s="99" t="s">
        <v>1191</v>
      </c>
      <c r="AU128" s="96"/>
      <c r="AV128" s="96"/>
      <c r="AW128" s="93"/>
      <c r="AX128" s="96"/>
      <c r="AY128" s="98"/>
      <c r="AZ128" s="98"/>
      <c r="BA128" s="99">
        <f t="shared" si="119"/>
        <v>0</v>
      </c>
      <c r="BB128" s="99"/>
      <c r="BC128" s="96"/>
      <c r="BD128" s="96"/>
      <c r="BE128" s="93"/>
      <c r="BF128" s="96"/>
      <c r="BG128" s="102"/>
      <c r="BH128" s="102"/>
      <c r="BI128" s="93">
        <f t="shared" si="104"/>
        <v>0</v>
      </c>
      <c r="BJ128" s="93"/>
      <c r="BK128" s="93"/>
      <c r="BL128" s="103"/>
      <c r="BM128" s="93"/>
      <c r="BN128" s="103"/>
      <c r="BO128" s="94"/>
      <c r="BP128" s="94"/>
      <c r="BQ128" s="93">
        <f t="shared" si="105"/>
        <v>0</v>
      </c>
      <c r="BR128" s="93"/>
      <c r="BS128" s="93"/>
      <c r="BT128" s="103"/>
      <c r="BU128" s="93"/>
      <c r="BV128" s="103"/>
      <c r="BW128" s="94"/>
      <c r="BX128" s="94"/>
      <c r="BY128" s="93">
        <f t="shared" si="106"/>
        <v>0</v>
      </c>
      <c r="BZ128" s="93"/>
      <c r="CA128" s="104"/>
      <c r="CB128" s="105"/>
      <c r="CC128" s="106"/>
      <c r="CD128" s="107"/>
      <c r="CE128" s="94"/>
      <c r="CF128" s="94"/>
      <c r="CG128" s="93">
        <f t="shared" si="107"/>
        <v>0</v>
      </c>
      <c r="CH128" s="93"/>
      <c r="CI128" s="106"/>
      <c r="CJ128" s="105"/>
      <c r="CK128" s="93"/>
      <c r="CL128" s="105"/>
      <c r="CM128" s="108"/>
      <c r="CN128" s="108"/>
      <c r="CO128" s="93">
        <f t="shared" si="108"/>
        <v>0</v>
      </c>
      <c r="CP128" s="93"/>
      <c r="CQ128" s="93"/>
      <c r="CR128" s="93"/>
      <c r="CS128" s="93"/>
      <c r="CT128" s="93"/>
      <c r="CU128" s="93"/>
      <c r="CV128" s="93"/>
      <c r="CW128" s="93">
        <f t="shared" si="109"/>
        <v>0</v>
      </c>
      <c r="CX128" s="93"/>
      <c r="CY128" s="93" t="str">
        <f>TEXT(Z128,"MMMM")</f>
        <v>febrero</v>
      </c>
      <c r="CZ128" s="93" t="str">
        <f t="shared" si="120"/>
        <v>marzo</v>
      </c>
      <c r="DA128" s="93" t="str">
        <f t="shared" si="121"/>
        <v>marzo</v>
      </c>
      <c r="DB128" s="93" t="str">
        <f t="shared" si="122"/>
        <v>enero</v>
      </c>
      <c r="DC128" s="93" t="str">
        <f t="shared" si="110"/>
        <v>enero</v>
      </c>
      <c r="DD128" s="93" t="str">
        <f t="shared" si="111"/>
        <v>enero</v>
      </c>
      <c r="DE128" s="93" t="str">
        <f t="shared" si="112"/>
        <v>enero</v>
      </c>
      <c r="DF128" s="93" t="str">
        <f t="shared" si="113"/>
        <v>enero</v>
      </c>
      <c r="DG128" s="93" t="str">
        <f t="shared" si="114"/>
        <v>enero</v>
      </c>
      <c r="DH128" s="93" t="str">
        <f t="shared" si="115"/>
        <v>enero</v>
      </c>
    </row>
    <row r="129" spans="1:112" s="21" customFormat="1" ht="27" hidden="1" customHeight="1">
      <c r="A129" s="93">
        <v>80</v>
      </c>
      <c r="B129" s="93" t="e">
        <f>VLOOKUP($A129,  'Matriz POA 2024-TRABAJO'!$A$5:$CY$9142,29,FALSE)</f>
        <v>#N/A</v>
      </c>
      <c r="C129" s="93" t="e">
        <f>VLOOKUP($A129, 'Matriz POA 2024-TRABAJO'!$A$5:$CY$9142,11,FALSE)</f>
        <v>#N/A</v>
      </c>
      <c r="D129" s="93" t="e">
        <f>VLOOKUP($A129, 'Matriz POA 2024-TRABAJO'!$A$5:$CY$9142,14,FALSE)</f>
        <v>#N/A</v>
      </c>
      <c r="E129" s="93" t="e">
        <f>VLOOKUP($A129, 'Matriz POA 2024-TRABAJO'!$A$5:$CY$9142,15,FALSE)</f>
        <v>#N/A</v>
      </c>
      <c r="F129" s="93" t="e">
        <f>VLOOKUP($A129, 'Matriz POA 2024-TRABAJO'!$A$5:$CY$9142,18,FALSE)</f>
        <v>#N/A</v>
      </c>
      <c r="G129" s="93" t="e">
        <f>VLOOKUP($A129, 'Matriz POA 2024-TRABAJO'!$A$5:$CY$9142,23,FALSE)</f>
        <v>#N/A</v>
      </c>
      <c r="H129" s="93" t="e">
        <f>VLOOKUP($A129, 'Matriz POA 2024-TRABAJO'!$A$5:$CY$9142,24,FALSE)</f>
        <v>#N/A</v>
      </c>
      <c r="I129" s="93" t="e">
        <f>VLOOKUP($A129, 'Matriz POA 2024-TRABAJO'!$A$5:$CY$9142,20,FALSE)</f>
        <v>#N/A</v>
      </c>
      <c r="J129" s="93" t="e">
        <f>VLOOKUP($A129, 'Matriz POA 2024-TRABAJO'!$A$5:$CY$9142,26,FALSE)</f>
        <v>#N/A</v>
      </c>
      <c r="K129" s="93" t="e">
        <f>VLOOKUP($A129, 'Matriz POA 2024-TRABAJO'!$A$5:$CY$9142,27,FALSE)</f>
        <v>#N/A</v>
      </c>
      <c r="L129" s="93" t="e">
        <f>VLOOKUP($A129, 'Matriz POA 2024-TRABAJO'!$A$5:$CY$9142,28,FALSE)</f>
        <v>#N/A</v>
      </c>
      <c r="M129" s="93" t="e">
        <f>VLOOKUP($A129, 'Matriz POA 2024-TRABAJO'!$A$5:$CY$9142,30,FALSE)</f>
        <v>#N/A</v>
      </c>
      <c r="N129" s="93" t="e">
        <f>VLOOKUP($A129, 'Matriz POA 2024-TRABAJO'!$A$5:$CY$9142,31,FALSE)</f>
        <v>#N/A</v>
      </c>
      <c r="O129" s="93" t="e">
        <f>VLOOKUP($A129, 'Matriz POA 2024-TRABAJO'!$A$5:$CY$9142,45,FALSE)</f>
        <v>#N/A</v>
      </c>
      <c r="P129" s="93" t="e">
        <f>VLOOKUP($A129, 'Matriz POA 2024-TRABAJO'!$A$5:$CY$9142,46,FALSE)</f>
        <v>#N/A</v>
      </c>
      <c r="Q129" s="93" t="e">
        <f>VLOOKUP($A129, 'Matriz POA 2024-TRABAJO'!$A$5:$CY$9142,47,FALSE)</f>
        <v>#N/A</v>
      </c>
      <c r="R129" s="94">
        <f t="shared" si="82"/>
        <v>349.99999999999994</v>
      </c>
      <c r="S129" s="95" t="e">
        <f t="shared" si="83"/>
        <v>#N/A</v>
      </c>
      <c r="T129" s="93" t="e">
        <f>VLOOKUP($A129, 'Matriz POA 2024-TRABAJO'!$A$5:$CY$9142,72,FALSE)</f>
        <v>#N/A</v>
      </c>
      <c r="U129" s="93" t="e">
        <f>VLOOKUP($A129, 'Matriz POA 2024-TRABAJO'!$A$5:$CY$9142,29,FALSE)</f>
        <v>#N/A</v>
      </c>
      <c r="V129" s="94" t="str">
        <f t="shared" si="116"/>
        <v>23ar-ltar-32ar-</v>
      </c>
      <c r="W129" s="99" t="s">
        <v>979</v>
      </c>
      <c r="X129" s="109">
        <v>45342</v>
      </c>
      <c r="Y129" s="93" t="s">
        <v>980</v>
      </c>
      <c r="Z129" s="109">
        <v>45345</v>
      </c>
      <c r="AA129" s="95">
        <v>770.67</v>
      </c>
      <c r="AB129" s="98"/>
      <c r="AC129" s="99">
        <f t="shared" si="103"/>
        <v>3</v>
      </c>
      <c r="AD129" s="110" t="s">
        <v>1192</v>
      </c>
      <c r="AE129" s="98" t="s">
        <v>1193</v>
      </c>
      <c r="AF129" s="101">
        <v>45356</v>
      </c>
      <c r="AG129" s="97"/>
      <c r="AH129" s="101">
        <v>45362</v>
      </c>
      <c r="AI129" s="98">
        <v>-770.67</v>
      </c>
      <c r="AJ129" s="98"/>
      <c r="AK129" s="99">
        <f t="shared" si="117"/>
        <v>6</v>
      </c>
      <c r="AL129" s="99" t="s">
        <v>1113</v>
      </c>
      <c r="AM129" s="98" t="s">
        <v>1193</v>
      </c>
      <c r="AN129" s="101">
        <v>45356</v>
      </c>
      <c r="AO129" s="97"/>
      <c r="AP129" s="101"/>
      <c r="AQ129" s="98">
        <v>349.99999999999994</v>
      </c>
      <c r="AR129" s="98"/>
      <c r="AS129" s="99">
        <f t="shared" si="118"/>
        <v>-45356</v>
      </c>
      <c r="AT129" s="99" t="s">
        <v>1194</v>
      </c>
      <c r="AU129" s="96"/>
      <c r="AV129" s="96"/>
      <c r="AW129" s="93"/>
      <c r="AX129" s="96"/>
      <c r="AY129" s="98"/>
      <c r="AZ129" s="98"/>
      <c r="BA129" s="99">
        <f t="shared" si="119"/>
        <v>0</v>
      </c>
      <c r="BB129" s="99"/>
      <c r="BC129" s="96"/>
      <c r="BD129" s="96"/>
      <c r="BE129" s="93"/>
      <c r="BF129" s="96"/>
      <c r="BG129" s="102"/>
      <c r="BH129" s="102"/>
      <c r="BI129" s="93">
        <f t="shared" si="104"/>
        <v>0</v>
      </c>
      <c r="BJ129" s="93"/>
      <c r="BK129" s="93"/>
      <c r="BL129" s="103"/>
      <c r="BM129" s="93"/>
      <c r="BN129" s="103"/>
      <c r="BO129" s="94"/>
      <c r="BP129" s="94"/>
      <c r="BQ129" s="93">
        <f t="shared" si="105"/>
        <v>0</v>
      </c>
      <c r="BR129" s="93"/>
      <c r="BS129" s="93"/>
      <c r="BT129" s="103"/>
      <c r="BU129" s="93"/>
      <c r="BV129" s="103"/>
      <c r="BW129" s="94"/>
      <c r="BX129" s="94"/>
      <c r="BY129" s="93">
        <f t="shared" si="106"/>
        <v>0</v>
      </c>
      <c r="BZ129" s="93"/>
      <c r="CA129" s="104"/>
      <c r="CB129" s="105"/>
      <c r="CC129" s="106"/>
      <c r="CD129" s="107"/>
      <c r="CE129" s="94"/>
      <c r="CF129" s="94"/>
      <c r="CG129" s="93">
        <f t="shared" si="107"/>
        <v>0</v>
      </c>
      <c r="CH129" s="93"/>
      <c r="CI129" s="106"/>
      <c r="CJ129" s="105"/>
      <c r="CK129" s="93"/>
      <c r="CL129" s="105"/>
      <c r="CM129" s="108"/>
      <c r="CN129" s="108"/>
      <c r="CO129" s="93">
        <f t="shared" si="108"/>
        <v>0</v>
      </c>
      <c r="CP129" s="93"/>
      <c r="CQ129" s="93"/>
      <c r="CR129" s="93"/>
      <c r="CS129" s="93"/>
      <c r="CT129" s="93"/>
      <c r="CU129" s="93"/>
      <c r="CV129" s="93"/>
      <c r="CW129" s="93">
        <f t="shared" si="109"/>
        <v>0</v>
      </c>
      <c r="CX129" s="93"/>
      <c r="CY129" s="93" t="str">
        <f>TEXT(X129,"MMMM")</f>
        <v>febrero</v>
      </c>
      <c r="CZ129" s="93" t="str">
        <f t="shared" si="120"/>
        <v>marzo</v>
      </c>
      <c r="DA129" s="93" t="str">
        <f t="shared" si="121"/>
        <v>marzo</v>
      </c>
      <c r="DB129" s="93" t="str">
        <f t="shared" si="122"/>
        <v>enero</v>
      </c>
      <c r="DC129" s="93" t="str">
        <f t="shared" si="110"/>
        <v>enero</v>
      </c>
      <c r="DD129" s="93" t="str">
        <f t="shared" si="111"/>
        <v>enero</v>
      </c>
      <c r="DE129" s="93" t="str">
        <f t="shared" si="112"/>
        <v>enero</v>
      </c>
      <c r="DF129" s="93" t="str">
        <f t="shared" si="113"/>
        <v>enero</v>
      </c>
      <c r="DG129" s="93" t="str">
        <f t="shared" si="114"/>
        <v>enero</v>
      </c>
      <c r="DH129" s="93" t="str">
        <f t="shared" si="115"/>
        <v>enero</v>
      </c>
    </row>
    <row r="130" spans="1:112" s="21" customFormat="1" ht="34.5" hidden="1" customHeight="1">
      <c r="A130" s="93">
        <v>81</v>
      </c>
      <c r="B130" s="93" t="e">
        <f>VLOOKUP($A130,  'Matriz POA 2024-TRABAJO'!$A$5:$CY$9142,29,FALSE)</f>
        <v>#N/A</v>
      </c>
      <c r="C130" s="93" t="e">
        <f>VLOOKUP($A130, 'Matriz POA 2024-TRABAJO'!$A$5:$CY$9142,11,FALSE)</f>
        <v>#N/A</v>
      </c>
      <c r="D130" s="93" t="e">
        <f>VLOOKUP($A130, 'Matriz POA 2024-TRABAJO'!$A$5:$CY$9142,14,FALSE)</f>
        <v>#N/A</v>
      </c>
      <c r="E130" s="93" t="e">
        <f>VLOOKUP($A130, 'Matriz POA 2024-TRABAJO'!$A$5:$CY$9142,15,FALSE)</f>
        <v>#N/A</v>
      </c>
      <c r="F130" s="93" t="e">
        <f>VLOOKUP($A130, 'Matriz POA 2024-TRABAJO'!$A$5:$CY$9142,18,FALSE)</f>
        <v>#N/A</v>
      </c>
      <c r="G130" s="93" t="e">
        <f>VLOOKUP($A130, 'Matriz POA 2024-TRABAJO'!$A$5:$CY$9142,23,FALSE)</f>
        <v>#N/A</v>
      </c>
      <c r="H130" s="93" t="e">
        <f>VLOOKUP($A130, 'Matriz POA 2024-TRABAJO'!$A$5:$CY$9142,24,FALSE)</f>
        <v>#N/A</v>
      </c>
      <c r="I130" s="93" t="e">
        <f>VLOOKUP($A130, 'Matriz POA 2024-TRABAJO'!$A$5:$CY$9142,20,FALSE)</f>
        <v>#N/A</v>
      </c>
      <c r="J130" s="93" t="e">
        <f>VLOOKUP($A130, 'Matriz POA 2024-TRABAJO'!$A$5:$CY$9142,26,FALSE)</f>
        <v>#N/A</v>
      </c>
      <c r="K130" s="93" t="e">
        <f>VLOOKUP($A130, 'Matriz POA 2024-TRABAJO'!$A$5:$CY$9142,27,FALSE)</f>
        <v>#N/A</v>
      </c>
      <c r="L130" s="93" t="e">
        <f>VLOOKUP($A130, 'Matriz POA 2024-TRABAJO'!$A$5:$CY$9142,28,FALSE)</f>
        <v>#N/A</v>
      </c>
      <c r="M130" s="93" t="e">
        <f>VLOOKUP($A130, 'Matriz POA 2024-TRABAJO'!$A$5:$CY$9142,30,FALSE)</f>
        <v>#N/A</v>
      </c>
      <c r="N130" s="93" t="e">
        <f>VLOOKUP($A130, 'Matriz POA 2024-TRABAJO'!$A$5:$CY$9142,31,FALSE)</f>
        <v>#N/A</v>
      </c>
      <c r="O130" s="93" t="e">
        <f>VLOOKUP($A130, 'Matriz POA 2024-TRABAJO'!$A$5:$CY$9142,45,FALSE)</f>
        <v>#N/A</v>
      </c>
      <c r="P130" s="93" t="e">
        <f>VLOOKUP($A130, 'Matriz POA 2024-TRABAJO'!$A$5:$CY$9142,46,FALSE)</f>
        <v>#N/A</v>
      </c>
      <c r="Q130" s="93" t="e">
        <f>VLOOKUP($A130, 'Matriz POA 2024-TRABAJO'!$A$5:$CY$9142,47,FALSE)</f>
        <v>#N/A</v>
      </c>
      <c r="R130" s="94">
        <f t="shared" ref="R130:R193" si="123">AA130+AI130+AQ130+AY130+BG130+BO130+BW130+CE130+CM130+CU130+AB130+AJ130+AR130+AZ130+BH130+BP130</f>
        <v>980.67000000000007</v>
      </c>
      <c r="S130" s="95" t="e">
        <f t="shared" ref="S130:S193" si="124">Q130-R130</f>
        <v>#N/A</v>
      </c>
      <c r="T130" s="93" t="e">
        <f>VLOOKUP($A130, 'Matriz POA 2024-TRABAJO'!$A$5:$CY$9142,72,FALSE)</f>
        <v>#N/A</v>
      </c>
      <c r="U130" s="93" t="e">
        <f>VLOOKUP($A130, 'Matriz POA 2024-TRABAJO'!$A$5:$CY$9142,29,FALSE)</f>
        <v>#N/A</v>
      </c>
      <c r="V130" s="94" t="str">
        <f t="shared" si="116"/>
        <v>23ar-ltar-32ar-</v>
      </c>
      <c r="W130" s="99" t="s">
        <v>979</v>
      </c>
      <c r="X130" s="109">
        <v>45342</v>
      </c>
      <c r="Y130" s="93" t="s">
        <v>980</v>
      </c>
      <c r="Z130" s="109">
        <v>45345</v>
      </c>
      <c r="AA130" s="95">
        <v>560</v>
      </c>
      <c r="AB130" s="98"/>
      <c r="AC130" s="99">
        <f t="shared" si="103"/>
        <v>3</v>
      </c>
      <c r="AD130" s="110" t="s">
        <v>1192</v>
      </c>
      <c r="AE130" s="98" t="s">
        <v>1193</v>
      </c>
      <c r="AF130" s="101">
        <v>45356</v>
      </c>
      <c r="AG130" s="97"/>
      <c r="AH130" s="101">
        <v>45362</v>
      </c>
      <c r="AI130" s="98">
        <v>-560</v>
      </c>
      <c r="AJ130" s="98"/>
      <c r="AK130" s="99">
        <f t="shared" si="117"/>
        <v>6</v>
      </c>
      <c r="AL130" s="99" t="s">
        <v>1113</v>
      </c>
      <c r="AM130" s="98" t="s">
        <v>1193</v>
      </c>
      <c r="AN130" s="101">
        <v>45356</v>
      </c>
      <c r="AO130" s="97"/>
      <c r="AP130" s="101"/>
      <c r="AQ130" s="98">
        <v>980.67000000000007</v>
      </c>
      <c r="AR130" s="98"/>
      <c r="AS130" s="99">
        <f t="shared" si="118"/>
        <v>-45356</v>
      </c>
      <c r="AT130" s="99" t="s">
        <v>1194</v>
      </c>
      <c r="AU130" s="96"/>
      <c r="AV130" s="96"/>
      <c r="AW130" s="93"/>
      <c r="AX130" s="96"/>
      <c r="AY130" s="98"/>
      <c r="AZ130" s="98"/>
      <c r="BA130" s="99">
        <f t="shared" si="119"/>
        <v>0</v>
      </c>
      <c r="BB130" s="99"/>
      <c r="BC130" s="96"/>
      <c r="BD130" s="96"/>
      <c r="BE130" s="93"/>
      <c r="BF130" s="96"/>
      <c r="BG130" s="102"/>
      <c r="BH130" s="102"/>
      <c r="BI130" s="93">
        <f t="shared" si="104"/>
        <v>0</v>
      </c>
      <c r="BJ130" s="93"/>
      <c r="BK130" s="93"/>
      <c r="BL130" s="103"/>
      <c r="BM130" s="93"/>
      <c r="BN130" s="103"/>
      <c r="BO130" s="94"/>
      <c r="BP130" s="94"/>
      <c r="BQ130" s="93">
        <f t="shared" si="105"/>
        <v>0</v>
      </c>
      <c r="BR130" s="93"/>
      <c r="BS130" s="93"/>
      <c r="BT130" s="103"/>
      <c r="BU130" s="93"/>
      <c r="BV130" s="103"/>
      <c r="BW130" s="94"/>
      <c r="BX130" s="94"/>
      <c r="BY130" s="93">
        <f t="shared" si="106"/>
        <v>0</v>
      </c>
      <c r="BZ130" s="93"/>
      <c r="CA130" s="104"/>
      <c r="CB130" s="105"/>
      <c r="CC130" s="106"/>
      <c r="CD130" s="107"/>
      <c r="CE130" s="94"/>
      <c r="CF130" s="94"/>
      <c r="CG130" s="93">
        <f t="shared" si="107"/>
        <v>0</v>
      </c>
      <c r="CH130" s="93"/>
      <c r="CI130" s="106"/>
      <c r="CJ130" s="105"/>
      <c r="CK130" s="93"/>
      <c r="CL130" s="105"/>
      <c r="CM130" s="108"/>
      <c r="CN130" s="108"/>
      <c r="CO130" s="93">
        <f t="shared" si="108"/>
        <v>0</v>
      </c>
      <c r="CP130" s="93"/>
      <c r="CQ130" s="93"/>
      <c r="CR130" s="93"/>
      <c r="CS130" s="93"/>
      <c r="CT130" s="93"/>
      <c r="CU130" s="93"/>
      <c r="CV130" s="93"/>
      <c r="CW130" s="93">
        <f t="shared" si="109"/>
        <v>0</v>
      </c>
      <c r="CX130" s="93"/>
      <c r="CY130" s="93" t="str">
        <f>TEXT(X130,"MMMM")</f>
        <v>febrero</v>
      </c>
      <c r="CZ130" s="93" t="str">
        <f t="shared" si="120"/>
        <v>marzo</v>
      </c>
      <c r="DA130" s="93" t="str">
        <f t="shared" si="121"/>
        <v>marzo</v>
      </c>
      <c r="DB130" s="93" t="str">
        <f t="shared" si="122"/>
        <v>enero</v>
      </c>
      <c r="DC130" s="93" t="str">
        <f t="shared" si="110"/>
        <v>enero</v>
      </c>
      <c r="DD130" s="93" t="str">
        <f t="shared" si="111"/>
        <v>enero</v>
      </c>
      <c r="DE130" s="93" t="str">
        <f t="shared" si="112"/>
        <v>enero</v>
      </c>
      <c r="DF130" s="93" t="str">
        <f t="shared" si="113"/>
        <v>enero</v>
      </c>
      <c r="DG130" s="93" t="str">
        <f t="shared" si="114"/>
        <v>enero</v>
      </c>
      <c r="DH130" s="93" t="str">
        <f t="shared" si="115"/>
        <v>enero</v>
      </c>
    </row>
    <row r="131" spans="1:112" ht="15" hidden="1" customHeight="1">
      <c r="A131" s="93">
        <v>783</v>
      </c>
      <c r="B131" s="93" t="e">
        <f>VLOOKUP($A131,  'Matriz POA 2024-TRABAJO'!$A$5:$CY$9142,29,FALSE)</f>
        <v>#N/A</v>
      </c>
      <c r="C131" s="93" t="e">
        <f>VLOOKUP($A131, 'Matriz POA 2024-TRABAJO'!$A$5:$CY$9142,11,FALSE)</f>
        <v>#N/A</v>
      </c>
      <c r="D131" s="93" t="e">
        <f>VLOOKUP($A131, 'Matriz POA 2024-TRABAJO'!$A$5:$CY$9142,14,FALSE)</f>
        <v>#N/A</v>
      </c>
      <c r="E131" s="93" t="e">
        <f>VLOOKUP($A131, 'Matriz POA 2024-TRABAJO'!$A$5:$CY$9142,15,FALSE)</f>
        <v>#N/A</v>
      </c>
      <c r="F131" s="93" t="e">
        <f>VLOOKUP($A131, 'Matriz POA 2024-TRABAJO'!$A$5:$CY$9142,18,FALSE)</f>
        <v>#N/A</v>
      </c>
      <c r="G131" s="93" t="e">
        <f>VLOOKUP($A131, 'Matriz POA 2024-TRABAJO'!$A$5:$CY$9142,23,FALSE)</f>
        <v>#N/A</v>
      </c>
      <c r="H131" s="93" t="e">
        <f>VLOOKUP($A131, 'Matriz POA 2024-TRABAJO'!$A$5:$CY$9142,24,FALSE)</f>
        <v>#N/A</v>
      </c>
      <c r="I131" s="93" t="e">
        <f>VLOOKUP($A131, 'Matriz POA 2024-TRABAJO'!$A$5:$CY$9142,20,FALSE)</f>
        <v>#N/A</v>
      </c>
      <c r="J131" s="93" t="e">
        <f>VLOOKUP($A131, 'Matriz POA 2024-TRABAJO'!$A$5:$CY$9142,26,FALSE)</f>
        <v>#N/A</v>
      </c>
      <c r="K131" s="93" t="e">
        <f>VLOOKUP($A131, 'Matriz POA 2024-TRABAJO'!$A$5:$CY$9142,27,FALSE)</f>
        <v>#N/A</v>
      </c>
      <c r="L131" s="93" t="e">
        <f>VLOOKUP($A131, 'Matriz POA 2024-TRABAJO'!$A$5:$CY$9142,28,FALSE)</f>
        <v>#N/A</v>
      </c>
      <c r="M131" s="93" t="e">
        <f>VLOOKUP($A131, 'Matriz POA 2024-TRABAJO'!$A$5:$CY$9142,30,FALSE)</f>
        <v>#N/A</v>
      </c>
      <c r="N131" s="93" t="e">
        <f>VLOOKUP($A131, 'Matriz POA 2024-TRABAJO'!$A$5:$CY$9142,31,FALSE)</f>
        <v>#N/A</v>
      </c>
      <c r="O131" s="93" t="e">
        <f>VLOOKUP($A131, 'Matriz POA 2024-TRABAJO'!$A$5:$CY$9142,45,FALSE)</f>
        <v>#N/A</v>
      </c>
      <c r="P131" s="93" t="e">
        <f>VLOOKUP($A131, 'Matriz POA 2024-TRABAJO'!$A$5:$CY$9142,46,FALSE)</f>
        <v>#N/A</v>
      </c>
      <c r="Q131" s="93" t="e">
        <f>VLOOKUP($A131, 'Matriz POA 2024-TRABAJO'!$A$5:$CY$9142,47,FALSE)</f>
        <v>#N/A</v>
      </c>
      <c r="R131" s="94">
        <f t="shared" si="123"/>
        <v>0</v>
      </c>
      <c r="S131" s="95" t="e">
        <f t="shared" si="124"/>
        <v>#N/A</v>
      </c>
      <c r="T131" s="93" t="e">
        <f>VLOOKUP($A131, 'Matriz POA 2024-TRABAJO'!$A$5:$CY$9142,72,FALSE)</f>
        <v>#N/A</v>
      </c>
      <c r="U131" s="93" t="e">
        <f>VLOOKUP($A131, 'Matriz POA 2024-TRABAJO'!$A$5:$CY$9142,29,FALSE)</f>
        <v>#N/A</v>
      </c>
      <c r="V131" s="94" t="str">
        <f t="shared" si="116"/>
        <v>24ar-ltar-</v>
      </c>
      <c r="W131" s="97" t="s">
        <v>1195</v>
      </c>
      <c r="X131" s="109">
        <v>45345</v>
      </c>
      <c r="Y131" s="99" t="s">
        <v>1196</v>
      </c>
      <c r="Z131" s="109">
        <v>45345</v>
      </c>
      <c r="AA131" s="98">
        <v>3100</v>
      </c>
      <c r="AB131" s="98"/>
      <c r="AC131" s="99">
        <f t="shared" si="103"/>
        <v>0</v>
      </c>
      <c r="AD131" s="99" t="s">
        <v>1197</v>
      </c>
      <c r="AE131" s="98"/>
      <c r="AF131" s="101">
        <v>45351</v>
      </c>
      <c r="AG131" s="99" t="s">
        <v>985</v>
      </c>
      <c r="AH131" s="101">
        <v>45351</v>
      </c>
      <c r="AI131" s="98">
        <v>-3100</v>
      </c>
      <c r="AJ131" s="98"/>
      <c r="AK131" s="99">
        <f t="shared" si="117"/>
        <v>0</v>
      </c>
      <c r="AL131" s="99" t="s">
        <v>1113</v>
      </c>
      <c r="AN131" s="96"/>
      <c r="AO131" s="97"/>
      <c r="AP131" s="101"/>
      <c r="AQ131" s="98"/>
      <c r="AR131" s="98"/>
      <c r="AS131" s="99">
        <f t="shared" si="118"/>
        <v>0</v>
      </c>
      <c r="AT131" s="99"/>
      <c r="AU131" s="96"/>
      <c r="AV131" s="96"/>
      <c r="AW131" s="93"/>
      <c r="AX131" s="96"/>
      <c r="AY131" s="98"/>
      <c r="AZ131" s="98"/>
      <c r="BA131" s="99">
        <f t="shared" si="119"/>
        <v>0</v>
      </c>
      <c r="BB131" s="99"/>
      <c r="BC131" s="96"/>
      <c r="BD131" s="96"/>
      <c r="BE131" s="93"/>
      <c r="BF131" s="96"/>
      <c r="BG131" s="102"/>
      <c r="BH131" s="102"/>
      <c r="BI131" s="93">
        <f t="shared" si="104"/>
        <v>0</v>
      </c>
      <c r="BJ131" s="93"/>
      <c r="BK131" s="93"/>
      <c r="BL131" s="103"/>
      <c r="BM131" s="93"/>
      <c r="BN131" s="103"/>
      <c r="BO131" s="94"/>
      <c r="BP131" s="94"/>
      <c r="BQ131" s="93">
        <f t="shared" si="105"/>
        <v>0</v>
      </c>
      <c r="BR131" s="93"/>
      <c r="BS131" s="93"/>
      <c r="BT131" s="103"/>
      <c r="BU131" s="93"/>
      <c r="BV131" s="103"/>
      <c r="BW131" s="94"/>
      <c r="BX131" s="94"/>
      <c r="BY131" s="93">
        <f t="shared" si="106"/>
        <v>0</v>
      </c>
      <c r="BZ131" s="93"/>
      <c r="CA131" s="104"/>
      <c r="CB131" s="105"/>
      <c r="CC131" s="106"/>
      <c r="CD131" s="107"/>
      <c r="CE131" s="94"/>
      <c r="CF131" s="94"/>
      <c r="CG131" s="93">
        <f t="shared" si="107"/>
        <v>0</v>
      </c>
      <c r="CH131" s="93"/>
      <c r="CI131" s="106"/>
      <c r="CJ131" s="105"/>
      <c r="CK131" s="93"/>
      <c r="CL131" s="105"/>
      <c r="CM131" s="108"/>
      <c r="CN131" s="108"/>
      <c r="CO131" s="93">
        <f t="shared" si="108"/>
        <v>0</v>
      </c>
      <c r="CP131" s="93"/>
      <c r="CQ131" s="93"/>
      <c r="CR131" s="93"/>
      <c r="CS131" s="93"/>
      <c r="CT131" s="93"/>
      <c r="CU131" s="93"/>
      <c r="CV131" s="93"/>
      <c r="CW131" s="93">
        <f t="shared" si="109"/>
        <v>0</v>
      </c>
      <c r="CX131" s="93"/>
      <c r="CY131" s="93" t="str">
        <f>TEXT(X131,"MMMM")</f>
        <v>febrero</v>
      </c>
      <c r="CZ131" s="93" t="str">
        <f t="shared" si="120"/>
        <v>febrero</v>
      </c>
      <c r="DA131" s="93" t="str">
        <f t="shared" si="121"/>
        <v>enero</v>
      </c>
      <c r="DB131" s="93" t="str">
        <f t="shared" si="122"/>
        <v>enero</v>
      </c>
      <c r="DC131" s="93" t="str">
        <f t="shared" si="110"/>
        <v>enero</v>
      </c>
      <c r="DD131" s="93" t="str">
        <f t="shared" si="111"/>
        <v>enero</v>
      </c>
      <c r="DE131" s="93" t="str">
        <f t="shared" si="112"/>
        <v>enero</v>
      </c>
      <c r="DF131" s="93" t="str">
        <f t="shared" si="113"/>
        <v>enero</v>
      </c>
      <c r="DG131" s="93" t="str">
        <f t="shared" si="114"/>
        <v>enero</v>
      </c>
      <c r="DH131" s="93" t="str">
        <f t="shared" si="115"/>
        <v>enero</v>
      </c>
    </row>
    <row r="132" spans="1:112" s="21" customFormat="1" ht="26.45" hidden="1" customHeight="1">
      <c r="A132" s="93">
        <v>784</v>
      </c>
      <c r="B132" s="93" t="e">
        <f>VLOOKUP($A132,  'Matriz POA 2024-TRABAJO'!$A$5:$CY$9142,29,FALSE)</f>
        <v>#N/A</v>
      </c>
      <c r="C132" s="93" t="e">
        <f>VLOOKUP($A132, 'Matriz POA 2024-TRABAJO'!$A$5:$CY$9142,11,FALSE)</f>
        <v>#N/A</v>
      </c>
      <c r="D132" s="93" t="e">
        <f>VLOOKUP($A132, 'Matriz POA 2024-TRABAJO'!$A$5:$CY$9142,14,FALSE)</f>
        <v>#N/A</v>
      </c>
      <c r="E132" s="93" t="e">
        <f>VLOOKUP($A132, 'Matriz POA 2024-TRABAJO'!$A$5:$CY$9142,15,FALSE)</f>
        <v>#N/A</v>
      </c>
      <c r="F132" s="93" t="e">
        <f>VLOOKUP($A132, 'Matriz POA 2024-TRABAJO'!$A$5:$CY$9142,18,FALSE)</f>
        <v>#N/A</v>
      </c>
      <c r="G132" s="93" t="e">
        <f>VLOOKUP($A132, 'Matriz POA 2024-TRABAJO'!$A$5:$CY$9142,23,FALSE)</f>
        <v>#N/A</v>
      </c>
      <c r="H132" s="93" t="e">
        <f>VLOOKUP($A132, 'Matriz POA 2024-TRABAJO'!$A$5:$CY$9142,24,FALSE)</f>
        <v>#N/A</v>
      </c>
      <c r="I132" s="93" t="e">
        <f>VLOOKUP($A132, 'Matriz POA 2024-TRABAJO'!$A$5:$CY$9142,20,FALSE)</f>
        <v>#N/A</v>
      </c>
      <c r="J132" s="93" t="e">
        <f>VLOOKUP($A132, 'Matriz POA 2024-TRABAJO'!$A$5:$CY$9142,26,FALSE)</f>
        <v>#N/A</v>
      </c>
      <c r="K132" s="93" t="e">
        <f>VLOOKUP($A132, 'Matriz POA 2024-TRABAJO'!$A$5:$CY$9142,27,FALSE)</f>
        <v>#N/A</v>
      </c>
      <c r="L132" s="93" t="e">
        <f>VLOOKUP($A132, 'Matriz POA 2024-TRABAJO'!$A$5:$CY$9142,28,FALSE)</f>
        <v>#N/A</v>
      </c>
      <c r="M132" s="93" t="e">
        <f>VLOOKUP($A132, 'Matriz POA 2024-TRABAJO'!$A$5:$CY$9142,30,FALSE)</f>
        <v>#N/A</v>
      </c>
      <c r="N132" s="93" t="e">
        <f>VLOOKUP($A132, 'Matriz POA 2024-TRABAJO'!$A$5:$CY$9142,31,FALSE)</f>
        <v>#N/A</v>
      </c>
      <c r="O132" s="93" t="e">
        <f>VLOOKUP($A132, 'Matriz POA 2024-TRABAJO'!$A$5:$CY$9142,45,FALSE)</f>
        <v>#N/A</v>
      </c>
      <c r="P132" s="93" t="e">
        <f>VLOOKUP($A132, 'Matriz POA 2024-TRABAJO'!$A$5:$CY$9142,46,FALSE)</f>
        <v>#N/A</v>
      </c>
      <c r="Q132" s="93" t="e">
        <f>VLOOKUP($A132, 'Matriz POA 2024-TRABAJO'!$A$5:$CY$9142,47,FALSE)</f>
        <v>#N/A</v>
      </c>
      <c r="R132" s="94">
        <f t="shared" si="123"/>
        <v>0</v>
      </c>
      <c r="S132" s="95" t="e">
        <f t="shared" si="124"/>
        <v>#N/A</v>
      </c>
      <c r="T132" s="93" t="e">
        <f>VLOOKUP($A132, 'Matriz POA 2024-TRABAJO'!$A$5:$CY$9142,72,FALSE)</f>
        <v>#N/A</v>
      </c>
      <c r="U132" s="93" t="e">
        <f>VLOOKUP($A132, 'Matriz POA 2024-TRABAJO'!$A$5:$CY$9142,29,FALSE)</f>
        <v>#N/A</v>
      </c>
      <c r="V132" s="94" t="str">
        <f t="shared" si="116"/>
        <v>24ar-ltar-</v>
      </c>
      <c r="W132" s="97" t="s">
        <v>1195</v>
      </c>
      <c r="X132" s="109">
        <v>45345</v>
      </c>
      <c r="Y132" s="99" t="s">
        <v>1196</v>
      </c>
      <c r="Z132" s="109">
        <v>45345</v>
      </c>
      <c r="AA132" s="98">
        <v>10540</v>
      </c>
      <c r="AB132" s="98"/>
      <c r="AC132" s="99">
        <f t="shared" si="103"/>
        <v>0</v>
      </c>
      <c r="AD132" s="99" t="s">
        <v>1197</v>
      </c>
      <c r="AE132" s="98"/>
      <c r="AF132" s="101">
        <v>45351</v>
      </c>
      <c r="AG132" s="99" t="s">
        <v>985</v>
      </c>
      <c r="AH132" s="101">
        <v>45351</v>
      </c>
      <c r="AI132" s="98">
        <v>-10540</v>
      </c>
      <c r="AJ132" s="98"/>
      <c r="AK132" s="99">
        <f t="shared" si="117"/>
        <v>0</v>
      </c>
      <c r="AL132" s="99" t="s">
        <v>1113</v>
      </c>
      <c r="AN132" s="96"/>
      <c r="AO132" s="97"/>
      <c r="AP132" s="101"/>
      <c r="AQ132" s="98"/>
      <c r="AR132" s="98"/>
      <c r="AS132" s="99">
        <f t="shared" si="118"/>
        <v>0</v>
      </c>
      <c r="AT132" s="99"/>
      <c r="AU132" s="96"/>
      <c r="AV132" s="96"/>
      <c r="AW132" s="93"/>
      <c r="AX132" s="96"/>
      <c r="AY132" s="98"/>
      <c r="AZ132" s="98"/>
      <c r="BA132" s="99">
        <f t="shared" si="119"/>
        <v>0</v>
      </c>
      <c r="BB132" s="99"/>
      <c r="BC132" s="96"/>
      <c r="BD132" s="96"/>
      <c r="BE132" s="93"/>
      <c r="BF132" s="96"/>
      <c r="BG132" s="102"/>
      <c r="BH132" s="102"/>
      <c r="BI132" s="93">
        <f t="shared" si="104"/>
        <v>0</v>
      </c>
      <c r="BJ132" s="93"/>
      <c r="BK132" s="93"/>
      <c r="BL132" s="103"/>
      <c r="BM132" s="93"/>
      <c r="BN132" s="103"/>
      <c r="BO132" s="94"/>
      <c r="BP132" s="94"/>
      <c r="BQ132" s="93">
        <f t="shared" si="105"/>
        <v>0</v>
      </c>
      <c r="BR132" s="93"/>
      <c r="BS132" s="93"/>
      <c r="BT132" s="103"/>
      <c r="BU132" s="93"/>
      <c r="BV132" s="103"/>
      <c r="BW132" s="94"/>
      <c r="BX132" s="94"/>
      <c r="BY132" s="93">
        <f t="shared" si="106"/>
        <v>0</v>
      </c>
      <c r="BZ132" s="93"/>
      <c r="CA132" s="104"/>
      <c r="CB132" s="105"/>
      <c r="CC132" s="106"/>
      <c r="CD132" s="107"/>
      <c r="CE132" s="94"/>
      <c r="CF132" s="94"/>
      <c r="CG132" s="93">
        <f t="shared" si="107"/>
        <v>0</v>
      </c>
      <c r="CH132" s="93"/>
      <c r="CI132" s="106"/>
      <c r="CJ132" s="105"/>
      <c r="CK132" s="93"/>
      <c r="CL132" s="105"/>
      <c r="CM132" s="108"/>
      <c r="CN132" s="108"/>
      <c r="CO132" s="93">
        <f t="shared" si="108"/>
        <v>0</v>
      </c>
      <c r="CP132" s="93"/>
      <c r="CQ132" s="93"/>
      <c r="CR132" s="93"/>
      <c r="CS132" s="93"/>
      <c r="CT132" s="93"/>
      <c r="CU132" s="93"/>
      <c r="CV132" s="93"/>
      <c r="CW132" s="93">
        <f t="shared" si="109"/>
        <v>0</v>
      </c>
      <c r="CX132" s="93"/>
      <c r="CY132" s="93" t="str">
        <f>TEXT(Z132,"MMMM")</f>
        <v>febrero</v>
      </c>
      <c r="CZ132" s="93" t="str">
        <f t="shared" si="120"/>
        <v>febrero</v>
      </c>
      <c r="DA132" s="93" t="str">
        <f t="shared" si="121"/>
        <v>enero</v>
      </c>
      <c r="DB132" s="93" t="str">
        <f t="shared" si="122"/>
        <v>enero</v>
      </c>
      <c r="DC132" s="93" t="str">
        <f t="shared" si="110"/>
        <v>enero</v>
      </c>
      <c r="DD132" s="93" t="str">
        <f t="shared" si="111"/>
        <v>enero</v>
      </c>
      <c r="DE132" s="93" t="str">
        <f t="shared" si="112"/>
        <v>enero</v>
      </c>
      <c r="DF132" s="93" t="str">
        <f t="shared" si="113"/>
        <v>enero</v>
      </c>
      <c r="DG132" s="93" t="str">
        <f t="shared" si="114"/>
        <v>enero</v>
      </c>
      <c r="DH132" s="93" t="str">
        <f t="shared" si="115"/>
        <v>enero</v>
      </c>
    </row>
    <row r="133" spans="1:112" s="21" customFormat="1" ht="18.75" hidden="1" customHeight="1">
      <c r="A133" s="93">
        <v>785</v>
      </c>
      <c r="B133" s="93" t="e">
        <f>VLOOKUP($A133,  'Matriz POA 2024-TRABAJO'!$A$5:$CY$9142,29,FALSE)</f>
        <v>#N/A</v>
      </c>
      <c r="C133" s="93" t="e">
        <f>VLOOKUP($A133, 'Matriz POA 2024-TRABAJO'!$A$5:$CY$9142,11,FALSE)</f>
        <v>#N/A</v>
      </c>
      <c r="D133" s="93" t="e">
        <f>VLOOKUP($A133, 'Matriz POA 2024-TRABAJO'!$A$5:$CY$9142,14,FALSE)</f>
        <v>#N/A</v>
      </c>
      <c r="E133" s="93" t="e">
        <f>VLOOKUP($A133, 'Matriz POA 2024-TRABAJO'!$A$5:$CY$9142,15,FALSE)</f>
        <v>#N/A</v>
      </c>
      <c r="F133" s="93" t="e">
        <f>VLOOKUP($A133, 'Matriz POA 2024-TRABAJO'!$A$5:$CY$9142,18,FALSE)</f>
        <v>#N/A</v>
      </c>
      <c r="G133" s="93" t="e">
        <f>VLOOKUP($A133, 'Matriz POA 2024-TRABAJO'!$A$5:$CY$9142,23,FALSE)</f>
        <v>#N/A</v>
      </c>
      <c r="H133" s="93" t="e">
        <f>VLOOKUP($A133, 'Matriz POA 2024-TRABAJO'!$A$5:$CY$9142,24,FALSE)</f>
        <v>#N/A</v>
      </c>
      <c r="I133" s="93" t="e">
        <f>VLOOKUP($A133, 'Matriz POA 2024-TRABAJO'!$A$5:$CY$9142,20,FALSE)</f>
        <v>#N/A</v>
      </c>
      <c r="J133" s="93" t="e">
        <f>VLOOKUP($A133, 'Matriz POA 2024-TRABAJO'!$A$5:$CY$9142,26,FALSE)</f>
        <v>#N/A</v>
      </c>
      <c r="K133" s="93" t="e">
        <f>VLOOKUP($A133, 'Matriz POA 2024-TRABAJO'!$A$5:$CY$9142,27,FALSE)</f>
        <v>#N/A</v>
      </c>
      <c r="L133" s="93" t="e">
        <f>VLOOKUP($A133, 'Matriz POA 2024-TRABAJO'!$A$5:$CY$9142,28,FALSE)</f>
        <v>#N/A</v>
      </c>
      <c r="M133" s="93" t="e">
        <f>VLOOKUP($A133, 'Matriz POA 2024-TRABAJO'!$A$5:$CY$9142,30,FALSE)</f>
        <v>#N/A</v>
      </c>
      <c r="N133" s="93" t="e">
        <f>VLOOKUP($A133, 'Matriz POA 2024-TRABAJO'!$A$5:$CY$9142,31,FALSE)</f>
        <v>#N/A</v>
      </c>
      <c r="O133" s="93" t="e">
        <f>VLOOKUP($A133, 'Matriz POA 2024-TRABAJO'!$A$5:$CY$9142,45,FALSE)</f>
        <v>#N/A</v>
      </c>
      <c r="P133" s="93" t="e">
        <f>VLOOKUP($A133, 'Matriz POA 2024-TRABAJO'!$A$5:$CY$9142,46,FALSE)</f>
        <v>#N/A</v>
      </c>
      <c r="Q133" s="93" t="e">
        <f>VLOOKUP($A133, 'Matriz POA 2024-TRABAJO'!$A$5:$CY$9142,47,FALSE)</f>
        <v>#N/A</v>
      </c>
      <c r="R133" s="94">
        <f t="shared" si="123"/>
        <v>0</v>
      </c>
      <c r="S133" s="95" t="e">
        <f t="shared" si="124"/>
        <v>#N/A</v>
      </c>
      <c r="T133" s="93" t="e">
        <f>VLOOKUP($A133, 'Matriz POA 2024-TRABAJO'!$A$5:$CY$9142,72,FALSE)</f>
        <v>#N/A</v>
      </c>
      <c r="U133" s="93" t="e">
        <f>VLOOKUP($A133, 'Matriz POA 2024-TRABAJO'!$A$5:$CY$9142,29,FALSE)</f>
        <v>#N/A</v>
      </c>
      <c r="V133" s="94" t="str">
        <f t="shared" si="116"/>
        <v>24ar-ltar-</v>
      </c>
      <c r="W133" s="97" t="s">
        <v>1195</v>
      </c>
      <c r="X133" s="109">
        <v>45345</v>
      </c>
      <c r="Y133" s="99" t="s">
        <v>1196</v>
      </c>
      <c r="Z133" s="109">
        <v>45345</v>
      </c>
      <c r="AA133" s="98">
        <v>5200</v>
      </c>
      <c r="AB133" s="98"/>
      <c r="AC133" s="99">
        <f t="shared" si="103"/>
        <v>0</v>
      </c>
      <c r="AD133" s="99" t="s">
        <v>1197</v>
      </c>
      <c r="AE133" s="98"/>
      <c r="AF133" s="101">
        <v>45351</v>
      </c>
      <c r="AG133" s="99" t="s">
        <v>985</v>
      </c>
      <c r="AH133" s="101">
        <v>45351</v>
      </c>
      <c r="AI133" s="98">
        <v>-5200</v>
      </c>
      <c r="AJ133" s="98"/>
      <c r="AK133" s="99">
        <f t="shared" si="117"/>
        <v>0</v>
      </c>
      <c r="AL133" s="99" t="s">
        <v>1113</v>
      </c>
      <c r="AN133" s="96"/>
      <c r="AO133" s="97"/>
      <c r="AP133" s="101"/>
      <c r="AQ133" s="98"/>
      <c r="AR133" s="98"/>
      <c r="AS133" s="99">
        <f t="shared" si="118"/>
        <v>0</v>
      </c>
      <c r="AT133" s="99"/>
      <c r="AU133" s="96"/>
      <c r="AV133" s="96"/>
      <c r="AW133" s="93"/>
      <c r="AX133" s="96"/>
      <c r="AY133" s="98"/>
      <c r="AZ133" s="98"/>
      <c r="BA133" s="99">
        <f t="shared" si="119"/>
        <v>0</v>
      </c>
      <c r="BB133" s="99"/>
      <c r="BC133" s="96"/>
      <c r="BD133" s="96"/>
      <c r="BE133" s="93"/>
      <c r="BF133" s="96"/>
      <c r="BG133" s="102"/>
      <c r="BH133" s="102"/>
      <c r="BI133" s="93">
        <f t="shared" si="104"/>
        <v>0</v>
      </c>
      <c r="BJ133" s="93"/>
      <c r="BK133" s="93"/>
      <c r="BL133" s="103"/>
      <c r="BM133" s="93"/>
      <c r="BN133" s="103"/>
      <c r="BO133" s="94"/>
      <c r="BP133" s="94"/>
      <c r="BQ133" s="93">
        <f t="shared" si="105"/>
        <v>0</v>
      </c>
      <c r="BR133" s="93"/>
      <c r="BS133" s="93"/>
      <c r="BT133" s="103"/>
      <c r="BU133" s="93"/>
      <c r="BV133" s="103"/>
      <c r="BW133" s="94"/>
      <c r="BX133" s="94"/>
      <c r="BY133" s="93">
        <f t="shared" si="106"/>
        <v>0</v>
      </c>
      <c r="BZ133" s="93"/>
      <c r="CA133" s="104"/>
      <c r="CB133" s="105"/>
      <c r="CC133" s="106"/>
      <c r="CD133" s="107"/>
      <c r="CE133" s="94"/>
      <c r="CF133" s="94"/>
      <c r="CG133" s="93">
        <f t="shared" si="107"/>
        <v>0</v>
      </c>
      <c r="CH133" s="93"/>
      <c r="CI133" s="106"/>
      <c r="CJ133" s="105"/>
      <c r="CK133" s="93"/>
      <c r="CL133" s="105"/>
      <c r="CM133" s="108"/>
      <c r="CN133" s="108"/>
      <c r="CO133" s="93">
        <f t="shared" si="108"/>
        <v>0</v>
      </c>
      <c r="CP133" s="93"/>
      <c r="CQ133" s="93"/>
      <c r="CR133" s="93"/>
      <c r="CS133" s="93"/>
      <c r="CT133" s="93"/>
      <c r="CU133" s="93"/>
      <c r="CV133" s="93"/>
      <c r="CW133" s="93">
        <f t="shared" si="109"/>
        <v>0</v>
      </c>
      <c r="CX133" s="93"/>
      <c r="CY133" s="93" t="str">
        <f>TEXT(X133,"MMMM")</f>
        <v>febrero</v>
      </c>
      <c r="CZ133" s="93" t="str">
        <f t="shared" si="120"/>
        <v>febrero</v>
      </c>
      <c r="DA133" s="93" t="str">
        <f t="shared" si="121"/>
        <v>enero</v>
      </c>
      <c r="DB133" s="93" t="str">
        <f t="shared" si="122"/>
        <v>enero</v>
      </c>
      <c r="DC133" s="93" t="str">
        <f t="shared" si="110"/>
        <v>enero</v>
      </c>
      <c r="DD133" s="93" t="str">
        <f t="shared" si="111"/>
        <v>enero</v>
      </c>
      <c r="DE133" s="93" t="str">
        <f t="shared" si="112"/>
        <v>enero</v>
      </c>
      <c r="DF133" s="93" t="str">
        <f t="shared" si="113"/>
        <v>enero</v>
      </c>
      <c r="DG133" s="93" t="str">
        <f t="shared" si="114"/>
        <v>enero</v>
      </c>
      <c r="DH133" s="93" t="str">
        <f t="shared" si="115"/>
        <v>enero</v>
      </c>
    </row>
    <row r="134" spans="1:112" s="21" customFormat="1" ht="26.45" hidden="1" customHeight="1">
      <c r="A134" s="93">
        <v>793</v>
      </c>
      <c r="B134" s="93" t="e">
        <f>VLOOKUP($A134,  'Matriz POA 2024-TRABAJO'!$A$5:$CY$9142,29,FALSE)</f>
        <v>#N/A</v>
      </c>
      <c r="C134" s="93" t="e">
        <f>VLOOKUP($A134, 'Matriz POA 2024-TRABAJO'!$A$5:$CY$9142,11,FALSE)</f>
        <v>#N/A</v>
      </c>
      <c r="D134" s="93" t="e">
        <f>VLOOKUP($A134, 'Matriz POA 2024-TRABAJO'!$A$5:$CY$9142,14,FALSE)</f>
        <v>#N/A</v>
      </c>
      <c r="E134" s="93" t="e">
        <f>VLOOKUP($A134, 'Matriz POA 2024-TRABAJO'!$A$5:$CY$9142,15,FALSE)</f>
        <v>#N/A</v>
      </c>
      <c r="F134" s="93" t="e">
        <f>VLOOKUP($A134, 'Matriz POA 2024-TRABAJO'!$A$5:$CY$9142,18,FALSE)</f>
        <v>#N/A</v>
      </c>
      <c r="G134" s="93" t="e">
        <f>VLOOKUP($A134, 'Matriz POA 2024-TRABAJO'!$A$5:$CY$9142,23,FALSE)</f>
        <v>#N/A</v>
      </c>
      <c r="H134" s="93" t="e">
        <f>VLOOKUP($A134, 'Matriz POA 2024-TRABAJO'!$A$5:$CY$9142,24,FALSE)</f>
        <v>#N/A</v>
      </c>
      <c r="I134" s="93" t="e">
        <f>VLOOKUP($A134, 'Matriz POA 2024-TRABAJO'!$A$5:$CY$9142,20,FALSE)</f>
        <v>#N/A</v>
      </c>
      <c r="J134" s="93" t="e">
        <f>VLOOKUP($A134, 'Matriz POA 2024-TRABAJO'!$A$5:$CY$9142,26,FALSE)</f>
        <v>#N/A</v>
      </c>
      <c r="K134" s="93" t="e">
        <f>VLOOKUP($A134, 'Matriz POA 2024-TRABAJO'!$A$5:$CY$9142,27,FALSE)</f>
        <v>#N/A</v>
      </c>
      <c r="L134" s="93" t="e">
        <f>VLOOKUP($A134, 'Matriz POA 2024-TRABAJO'!$A$5:$CY$9142,28,FALSE)</f>
        <v>#N/A</v>
      </c>
      <c r="M134" s="93" t="e">
        <f>VLOOKUP($A134, 'Matriz POA 2024-TRABAJO'!$A$5:$CY$9142,30,FALSE)</f>
        <v>#N/A</v>
      </c>
      <c r="N134" s="93" t="e">
        <f>VLOOKUP($A134, 'Matriz POA 2024-TRABAJO'!$A$5:$CY$9142,31,FALSE)</f>
        <v>#N/A</v>
      </c>
      <c r="O134" s="93" t="e">
        <f>VLOOKUP($A134, 'Matriz POA 2024-TRABAJO'!$A$5:$CY$9142,45,FALSE)</f>
        <v>#N/A</v>
      </c>
      <c r="P134" s="93" t="e">
        <f>VLOOKUP($A134, 'Matriz POA 2024-TRABAJO'!$A$5:$CY$9142,46,FALSE)</f>
        <v>#N/A</v>
      </c>
      <c r="Q134" s="93" t="e">
        <f>VLOOKUP($A134, 'Matriz POA 2024-TRABAJO'!$A$5:$CY$9142,47,FALSE)</f>
        <v>#N/A</v>
      </c>
      <c r="R134" s="94">
        <f t="shared" si="123"/>
        <v>15191.73</v>
      </c>
      <c r="S134" s="95" t="e">
        <f t="shared" si="124"/>
        <v>#N/A</v>
      </c>
      <c r="T134" s="93" t="e">
        <f>VLOOKUP($A134, 'Matriz POA 2024-TRABAJO'!$A$5:$CY$9142,72,FALSE)</f>
        <v>#N/A</v>
      </c>
      <c r="U134" s="93" t="e">
        <f>VLOOKUP($A134, 'Matriz POA 2024-TRABAJO'!$A$5:$CY$9142,29,FALSE)</f>
        <v>#N/A</v>
      </c>
      <c r="V134" s="94" t="str">
        <f t="shared" si="116"/>
        <v>25-ar</v>
      </c>
      <c r="W134" s="96" t="s">
        <v>981</v>
      </c>
      <c r="X134" s="96">
        <v>45345</v>
      </c>
      <c r="Y134" s="97" t="s">
        <v>982</v>
      </c>
      <c r="Z134" s="96">
        <v>45345</v>
      </c>
      <c r="AA134" s="98">
        <v>15191.73</v>
      </c>
      <c r="AB134" s="98"/>
      <c r="AC134" s="99">
        <f t="shared" si="103"/>
        <v>0</v>
      </c>
      <c r="AD134" s="100" t="s">
        <v>1198</v>
      </c>
      <c r="AE134" s="98"/>
      <c r="AF134" s="101"/>
      <c r="AG134" s="97"/>
      <c r="AH134" s="101"/>
      <c r="AI134" s="98"/>
      <c r="AJ134" s="98">
        <f>AI134*-1</f>
        <v>0</v>
      </c>
      <c r="AK134" s="99">
        <f t="shared" si="117"/>
        <v>0</v>
      </c>
      <c r="AL134" s="362"/>
      <c r="AN134" s="359"/>
      <c r="AO134" s="97"/>
      <c r="AP134" s="101"/>
      <c r="AQ134" s="98"/>
      <c r="AR134" s="98"/>
      <c r="AS134" s="99">
        <f t="shared" si="118"/>
        <v>0</v>
      </c>
      <c r="AT134" s="99"/>
      <c r="AU134" s="96"/>
      <c r="AV134" s="96"/>
      <c r="AW134" s="93"/>
      <c r="AX134" s="96"/>
      <c r="AY134" s="98"/>
      <c r="AZ134" s="98"/>
      <c r="BA134" s="99">
        <f t="shared" si="119"/>
        <v>0</v>
      </c>
      <c r="BB134" s="99"/>
      <c r="BC134" s="96"/>
      <c r="BD134" s="96"/>
      <c r="BE134" s="93"/>
      <c r="BF134" s="96"/>
      <c r="BG134" s="102"/>
      <c r="BH134" s="102"/>
      <c r="BI134" s="93">
        <f t="shared" si="104"/>
        <v>0</v>
      </c>
      <c r="BJ134" s="93"/>
      <c r="BK134" s="93"/>
      <c r="BL134" s="103"/>
      <c r="BM134" s="93"/>
      <c r="BN134" s="103"/>
      <c r="BO134" s="94"/>
      <c r="BP134" s="94"/>
      <c r="BQ134" s="93">
        <f t="shared" si="105"/>
        <v>0</v>
      </c>
      <c r="BR134" s="93"/>
      <c r="BS134" s="93"/>
      <c r="BT134" s="103"/>
      <c r="BU134" s="93"/>
      <c r="BV134" s="103"/>
      <c r="BW134" s="94"/>
      <c r="BX134" s="94"/>
      <c r="BY134" s="93">
        <f t="shared" si="106"/>
        <v>0</v>
      </c>
      <c r="BZ134" s="93"/>
      <c r="CA134" s="104"/>
      <c r="CB134" s="105"/>
      <c r="CC134" s="106"/>
      <c r="CD134" s="107"/>
      <c r="CE134" s="94"/>
      <c r="CF134" s="94"/>
      <c r="CG134" s="93">
        <f t="shared" si="107"/>
        <v>0</v>
      </c>
      <c r="CH134" s="93"/>
      <c r="CI134" s="106"/>
      <c r="CJ134" s="105"/>
      <c r="CK134" s="93"/>
      <c r="CL134" s="105"/>
      <c r="CM134" s="108"/>
      <c r="CN134" s="108"/>
      <c r="CO134" s="93">
        <f t="shared" si="108"/>
        <v>0</v>
      </c>
      <c r="CP134" s="93"/>
      <c r="CQ134" s="93"/>
      <c r="CR134" s="93"/>
      <c r="CS134" s="93"/>
      <c r="CT134" s="93"/>
      <c r="CU134" s="93"/>
      <c r="CV134" s="93"/>
      <c r="CW134" s="93">
        <f t="shared" si="109"/>
        <v>0</v>
      </c>
      <c r="CX134" s="93"/>
      <c r="CY134" s="93" t="str">
        <f>TEXT(Z134,"MMMM")</f>
        <v>febrero</v>
      </c>
      <c r="CZ134" s="93" t="str">
        <f t="shared" si="120"/>
        <v>enero</v>
      </c>
      <c r="DA134" s="93" t="str">
        <f t="shared" si="121"/>
        <v>enero</v>
      </c>
      <c r="DB134" s="93" t="str">
        <f t="shared" si="122"/>
        <v>enero</v>
      </c>
      <c r="DC134" s="93" t="str">
        <f t="shared" si="110"/>
        <v>enero</v>
      </c>
      <c r="DD134" s="93" t="str">
        <f t="shared" si="111"/>
        <v>enero</v>
      </c>
      <c r="DE134" s="93" t="str">
        <f t="shared" si="112"/>
        <v>enero</v>
      </c>
      <c r="DF134" s="93" t="str">
        <f t="shared" si="113"/>
        <v>enero</v>
      </c>
      <c r="DG134" s="93" t="str">
        <f t="shared" si="114"/>
        <v>enero</v>
      </c>
      <c r="DH134" s="93" t="str">
        <f t="shared" si="115"/>
        <v>enero</v>
      </c>
    </row>
    <row r="135" spans="1:112" s="21" customFormat="1" ht="18.75" hidden="1" customHeight="1">
      <c r="A135" s="93">
        <v>545</v>
      </c>
      <c r="B135" s="93" t="e">
        <f>VLOOKUP($A135,  'Matriz POA 2024-TRABAJO'!$A$5:$CY$9142,29,FALSE)</f>
        <v>#N/A</v>
      </c>
      <c r="C135" s="93" t="e">
        <f>VLOOKUP($A135, 'Matriz POA 2024-TRABAJO'!$A$5:$CY$9142,11,FALSE)</f>
        <v>#N/A</v>
      </c>
      <c r="D135" s="93" t="e">
        <f>VLOOKUP($A135, 'Matriz POA 2024-TRABAJO'!$A$5:$CY$9142,14,FALSE)</f>
        <v>#N/A</v>
      </c>
      <c r="E135" s="93" t="e">
        <f>VLOOKUP($A135, 'Matriz POA 2024-TRABAJO'!$A$5:$CY$9142,15,FALSE)</f>
        <v>#N/A</v>
      </c>
      <c r="F135" s="93" t="e">
        <f>VLOOKUP($A135, 'Matriz POA 2024-TRABAJO'!$A$5:$CY$9142,18,FALSE)</f>
        <v>#N/A</v>
      </c>
      <c r="G135" s="93" t="e">
        <f>VLOOKUP($A135, 'Matriz POA 2024-TRABAJO'!$A$5:$CY$9142,23,FALSE)</f>
        <v>#N/A</v>
      </c>
      <c r="H135" s="93" t="e">
        <f>VLOOKUP($A135, 'Matriz POA 2024-TRABAJO'!$A$5:$CY$9142,24,FALSE)</f>
        <v>#N/A</v>
      </c>
      <c r="I135" s="93" t="e">
        <f>VLOOKUP($A135, 'Matriz POA 2024-TRABAJO'!$A$5:$CY$9142,20,FALSE)</f>
        <v>#N/A</v>
      </c>
      <c r="J135" s="93" t="e">
        <f>VLOOKUP($A135, 'Matriz POA 2024-TRABAJO'!$A$5:$CY$9142,26,FALSE)</f>
        <v>#N/A</v>
      </c>
      <c r="K135" s="93" t="e">
        <f>VLOOKUP($A135, 'Matriz POA 2024-TRABAJO'!$A$5:$CY$9142,27,FALSE)</f>
        <v>#N/A</v>
      </c>
      <c r="L135" s="93" t="e">
        <f>VLOOKUP($A135, 'Matriz POA 2024-TRABAJO'!$A$5:$CY$9142,28,FALSE)</f>
        <v>#N/A</v>
      </c>
      <c r="M135" s="93" t="e">
        <f>VLOOKUP($A135, 'Matriz POA 2024-TRABAJO'!$A$5:$CY$9142,30,FALSE)</f>
        <v>#N/A</v>
      </c>
      <c r="N135" s="93" t="e">
        <f>VLOOKUP($A135, 'Matriz POA 2024-TRABAJO'!$A$5:$CY$9142,31,FALSE)</f>
        <v>#N/A</v>
      </c>
      <c r="O135" s="93" t="e">
        <f>VLOOKUP($A135, 'Matriz POA 2024-TRABAJO'!$A$5:$CY$9142,45,FALSE)</f>
        <v>#N/A</v>
      </c>
      <c r="P135" s="93" t="e">
        <f>VLOOKUP($A135, 'Matriz POA 2024-TRABAJO'!$A$5:$CY$9142,46,FALSE)</f>
        <v>#N/A</v>
      </c>
      <c r="Q135" s="93" t="e">
        <f>VLOOKUP($A135, 'Matriz POA 2024-TRABAJO'!$A$5:$CY$9142,47,FALSE)</f>
        <v>#N/A</v>
      </c>
      <c r="R135" s="94">
        <f t="shared" si="123"/>
        <v>382537.51999999996</v>
      </c>
      <c r="S135" s="95" t="e">
        <f t="shared" si="124"/>
        <v>#N/A</v>
      </c>
      <c r="T135" s="93" t="e">
        <f>VLOOKUP($A135, 'Matriz POA 2024-TRABAJO'!$A$5:$CY$9142,72,FALSE)</f>
        <v>#N/A</v>
      </c>
      <c r="U135" s="93" t="e">
        <f>VLOOKUP($A135, 'Matriz POA 2024-TRABAJO'!$A$5:$CY$9142,29,FALSE)</f>
        <v>#N/A</v>
      </c>
      <c r="V135" s="94" t="str">
        <f t="shared" si="116"/>
        <v>26mg77ar-</v>
      </c>
      <c r="W135" s="97" t="s">
        <v>1199</v>
      </c>
      <c r="X135" s="109">
        <v>45348</v>
      </c>
      <c r="Y135" s="99" t="s">
        <v>1200</v>
      </c>
      <c r="Z135" s="109">
        <v>45348</v>
      </c>
      <c r="AA135" s="98">
        <v>191264.49</v>
      </c>
      <c r="AB135" s="98"/>
      <c r="AC135" s="99">
        <f t="shared" si="103"/>
        <v>0</v>
      </c>
      <c r="AD135" s="110" t="s">
        <v>1201</v>
      </c>
      <c r="AE135" s="98" t="s">
        <v>1841</v>
      </c>
      <c r="AF135" s="101">
        <v>45434</v>
      </c>
      <c r="AG135" s="97"/>
      <c r="AH135" s="101"/>
      <c r="AI135" s="98">
        <v>191273.02999999997</v>
      </c>
      <c r="AJ135" s="98"/>
      <c r="AK135" s="99">
        <f t="shared" si="117"/>
        <v>-45434</v>
      </c>
      <c r="AL135" s="99" t="s">
        <v>1842</v>
      </c>
      <c r="AM135" s="93"/>
      <c r="AN135" s="96"/>
      <c r="AO135" s="97"/>
      <c r="AP135" s="105"/>
      <c r="AQ135" s="98"/>
      <c r="AR135" s="98"/>
      <c r="AS135" s="99">
        <f t="shared" si="118"/>
        <v>0</v>
      </c>
      <c r="AT135" s="99"/>
      <c r="AU135" s="96"/>
      <c r="AV135" s="96"/>
      <c r="AW135" s="93"/>
      <c r="AX135" s="96"/>
      <c r="AY135" s="98"/>
      <c r="AZ135" s="98"/>
      <c r="BA135" s="99">
        <f t="shared" si="119"/>
        <v>0</v>
      </c>
      <c r="BB135" s="99"/>
      <c r="BC135" s="96"/>
      <c r="BD135" s="96"/>
      <c r="BE135" s="93"/>
      <c r="BF135" s="96"/>
      <c r="BG135" s="102"/>
      <c r="BH135" s="102"/>
      <c r="BI135" s="93">
        <f t="shared" si="104"/>
        <v>0</v>
      </c>
      <c r="BJ135" s="93"/>
      <c r="BK135" s="93"/>
      <c r="BL135" s="103"/>
      <c r="BM135" s="93"/>
      <c r="BN135" s="103"/>
      <c r="BO135" s="94"/>
      <c r="BP135" s="94"/>
      <c r="BQ135" s="93">
        <f t="shared" si="105"/>
        <v>0</v>
      </c>
      <c r="BR135" s="93"/>
      <c r="BS135" s="93"/>
      <c r="BT135" s="103"/>
      <c r="BU135" s="93"/>
      <c r="BV135" s="103"/>
      <c r="BW135" s="94"/>
      <c r="BX135" s="94"/>
      <c r="BY135" s="93">
        <f t="shared" si="106"/>
        <v>0</v>
      </c>
      <c r="BZ135" s="93"/>
      <c r="CA135" s="104"/>
      <c r="CB135" s="105"/>
      <c r="CC135" s="106"/>
      <c r="CD135" s="107"/>
      <c r="CE135" s="94"/>
      <c r="CF135" s="94"/>
      <c r="CG135" s="93">
        <f t="shared" si="107"/>
        <v>0</v>
      </c>
      <c r="CH135" s="93"/>
      <c r="CI135" s="106"/>
      <c r="CJ135" s="105"/>
      <c r="CK135" s="93"/>
      <c r="CL135" s="105"/>
      <c r="CM135" s="108"/>
      <c r="CN135" s="108"/>
      <c r="CO135" s="93">
        <f t="shared" si="108"/>
        <v>0</v>
      </c>
      <c r="CP135" s="93"/>
      <c r="CQ135" s="93"/>
      <c r="CR135" s="93"/>
      <c r="CS135" s="93"/>
      <c r="CT135" s="93"/>
      <c r="CU135" s="93"/>
      <c r="CV135" s="93"/>
      <c r="CW135" s="93">
        <f t="shared" si="109"/>
        <v>0</v>
      </c>
      <c r="CX135" s="93"/>
      <c r="CY135" s="93" t="str">
        <f>TEXT(X135,"MMMM")</f>
        <v>febrero</v>
      </c>
      <c r="CZ135" s="93" t="str">
        <f t="shared" si="120"/>
        <v>mayo</v>
      </c>
      <c r="DA135" s="93" t="str">
        <f t="shared" si="121"/>
        <v>enero</v>
      </c>
      <c r="DB135" s="93" t="str">
        <f t="shared" si="122"/>
        <v>enero</v>
      </c>
      <c r="DC135" s="93" t="str">
        <f t="shared" si="110"/>
        <v>enero</v>
      </c>
      <c r="DD135" s="93" t="str">
        <f t="shared" si="111"/>
        <v>enero</v>
      </c>
      <c r="DE135" s="93" t="str">
        <f t="shared" si="112"/>
        <v>enero</v>
      </c>
      <c r="DF135" s="93" t="str">
        <f t="shared" si="113"/>
        <v>enero</v>
      </c>
      <c r="DG135" s="93" t="str">
        <f t="shared" si="114"/>
        <v>enero</v>
      </c>
      <c r="DH135" s="93" t="str">
        <f t="shared" si="115"/>
        <v>enero</v>
      </c>
    </row>
    <row r="136" spans="1:112" s="21" customFormat="1" ht="18.75" hidden="1" customHeight="1">
      <c r="A136" s="93">
        <v>33</v>
      </c>
      <c r="B136" s="93" t="e">
        <f>VLOOKUP($A136,  'Matriz POA 2024-TRABAJO'!$A$5:$CY$9142,29,FALSE)</f>
        <v>#N/A</v>
      </c>
      <c r="C136" s="93" t="e">
        <f>VLOOKUP($A136, 'Matriz POA 2024-TRABAJO'!$A$5:$CY$9142,11,FALSE)</f>
        <v>#N/A</v>
      </c>
      <c r="D136" s="93" t="e">
        <f>VLOOKUP($A136, 'Matriz POA 2024-TRABAJO'!$A$5:$CY$9142,14,FALSE)</f>
        <v>#N/A</v>
      </c>
      <c r="E136" s="93" t="e">
        <f>VLOOKUP($A136, 'Matriz POA 2024-TRABAJO'!$A$5:$CY$9142,15,FALSE)</f>
        <v>#N/A</v>
      </c>
      <c r="F136" s="93" t="e">
        <f>VLOOKUP($A136, 'Matriz POA 2024-TRABAJO'!$A$5:$CY$9142,18,FALSE)</f>
        <v>#N/A</v>
      </c>
      <c r="G136" s="93" t="e">
        <f>VLOOKUP($A136, 'Matriz POA 2024-TRABAJO'!$A$5:$CY$9142,23,FALSE)</f>
        <v>#N/A</v>
      </c>
      <c r="H136" s="93" t="e">
        <f>VLOOKUP($A136, 'Matriz POA 2024-TRABAJO'!$A$5:$CY$9142,24,FALSE)</f>
        <v>#N/A</v>
      </c>
      <c r="I136" s="93" t="e">
        <f>VLOOKUP($A136, 'Matriz POA 2024-TRABAJO'!$A$5:$CY$9142,20,FALSE)</f>
        <v>#N/A</v>
      </c>
      <c r="J136" s="93" t="e">
        <f>VLOOKUP($A136, 'Matriz POA 2024-TRABAJO'!$A$5:$CY$9142,26,FALSE)</f>
        <v>#N/A</v>
      </c>
      <c r="K136" s="93" t="e">
        <f>VLOOKUP($A136, 'Matriz POA 2024-TRABAJO'!$A$5:$CY$9142,27,FALSE)</f>
        <v>#N/A</v>
      </c>
      <c r="L136" s="93" t="e">
        <f>VLOOKUP($A136, 'Matriz POA 2024-TRABAJO'!$A$5:$CY$9142,28,FALSE)</f>
        <v>#N/A</v>
      </c>
      <c r="M136" s="93" t="e">
        <f>VLOOKUP($A136, 'Matriz POA 2024-TRABAJO'!$A$5:$CY$9142,30,FALSE)</f>
        <v>#N/A</v>
      </c>
      <c r="N136" s="93" t="e">
        <f>VLOOKUP($A136, 'Matriz POA 2024-TRABAJO'!$A$5:$CY$9142,31,FALSE)</f>
        <v>#N/A</v>
      </c>
      <c r="O136" s="93" t="e">
        <f>VLOOKUP($A136, 'Matriz POA 2024-TRABAJO'!$A$5:$CY$9142,45,FALSE)</f>
        <v>#N/A</v>
      </c>
      <c r="P136" s="93" t="e">
        <f>VLOOKUP($A136, 'Matriz POA 2024-TRABAJO'!$A$5:$CY$9142,46,FALSE)</f>
        <v>#N/A</v>
      </c>
      <c r="Q136" s="93" t="e">
        <f>VLOOKUP($A136, 'Matriz POA 2024-TRABAJO'!$A$5:$CY$9142,47,FALSE)</f>
        <v>#N/A</v>
      </c>
      <c r="R136" s="94">
        <f t="shared" si="123"/>
        <v>45000</v>
      </c>
      <c r="S136" s="95" t="e">
        <f t="shared" si="124"/>
        <v>#N/A</v>
      </c>
      <c r="T136" s="93" t="e">
        <f>VLOOKUP($A136, 'Matriz POA 2024-TRABAJO'!$A$5:$CY$9142,72,FALSE)</f>
        <v>#N/A</v>
      </c>
      <c r="U136" s="93" t="e">
        <f>VLOOKUP($A136, 'Matriz POA 2024-TRABAJO'!$A$5:$CY$9142,29,FALSE)</f>
        <v>#N/A</v>
      </c>
      <c r="V136" s="94" t="str">
        <f t="shared" si="116"/>
        <v>27mg</v>
      </c>
      <c r="W136" s="97" t="s">
        <v>1202</v>
      </c>
      <c r="X136" s="109">
        <v>45349</v>
      </c>
      <c r="Y136" s="99" t="s">
        <v>1203</v>
      </c>
      <c r="Z136" s="109">
        <v>45349</v>
      </c>
      <c r="AA136" s="98">
        <v>45000</v>
      </c>
      <c r="AB136" s="98"/>
      <c r="AC136" s="99">
        <f t="shared" si="103"/>
        <v>0</v>
      </c>
      <c r="AD136" s="110" t="s">
        <v>1204</v>
      </c>
      <c r="AE136" s="98"/>
      <c r="AF136" s="101"/>
      <c r="AG136" s="97"/>
      <c r="AH136" s="101"/>
      <c r="AI136" s="98"/>
      <c r="AJ136" s="98">
        <f>AI136*-1</f>
        <v>0</v>
      </c>
      <c r="AK136" s="99">
        <f t="shared" si="117"/>
        <v>0</v>
      </c>
      <c r="AL136" s="99"/>
      <c r="AM136" s="93"/>
      <c r="AN136" s="96"/>
      <c r="AO136" s="97"/>
      <c r="AP136" s="101"/>
      <c r="AQ136" s="98"/>
      <c r="AR136" s="98"/>
      <c r="AS136" s="99">
        <f t="shared" si="118"/>
        <v>0</v>
      </c>
      <c r="AT136" s="99"/>
      <c r="AU136" s="96"/>
      <c r="AV136" s="96"/>
      <c r="AW136" s="93"/>
      <c r="AX136" s="96"/>
      <c r="AY136" s="98"/>
      <c r="AZ136" s="98"/>
      <c r="BA136" s="99">
        <f t="shared" si="119"/>
        <v>0</v>
      </c>
      <c r="BB136" s="99"/>
      <c r="BC136" s="96"/>
      <c r="BD136" s="96"/>
      <c r="BE136" s="93"/>
      <c r="BF136" s="96"/>
      <c r="BG136" s="102"/>
      <c r="BH136" s="102"/>
      <c r="BI136" s="93">
        <f t="shared" si="104"/>
        <v>0</v>
      </c>
      <c r="BJ136" s="93"/>
      <c r="BK136" s="93"/>
      <c r="BL136" s="103"/>
      <c r="BM136" s="93"/>
      <c r="BN136" s="103"/>
      <c r="BO136" s="94"/>
      <c r="BP136" s="94"/>
      <c r="BQ136" s="93">
        <f t="shared" si="105"/>
        <v>0</v>
      </c>
      <c r="BR136" s="93"/>
      <c r="BS136" s="93"/>
      <c r="BT136" s="103"/>
      <c r="BU136" s="93"/>
      <c r="BV136" s="103"/>
      <c r="BW136" s="94"/>
      <c r="BX136" s="94"/>
      <c r="BY136" s="93">
        <f t="shared" si="106"/>
        <v>0</v>
      </c>
      <c r="BZ136" s="93"/>
      <c r="CA136" s="104"/>
      <c r="CB136" s="105"/>
      <c r="CC136" s="106"/>
      <c r="CD136" s="107"/>
      <c r="CE136" s="94"/>
      <c r="CF136" s="94"/>
      <c r="CG136" s="93">
        <f t="shared" si="107"/>
        <v>0</v>
      </c>
      <c r="CH136" s="93"/>
      <c r="CI136" s="106"/>
      <c r="CJ136" s="105"/>
      <c r="CK136" s="93"/>
      <c r="CL136" s="105"/>
      <c r="CM136" s="108"/>
      <c r="CN136" s="108"/>
      <c r="CO136" s="93">
        <f t="shared" si="108"/>
        <v>0</v>
      </c>
      <c r="CP136" s="93"/>
      <c r="CQ136" s="93"/>
      <c r="CR136" s="93"/>
      <c r="CS136" s="93"/>
      <c r="CT136" s="93"/>
      <c r="CU136" s="93"/>
      <c r="CV136" s="93"/>
      <c r="CW136" s="93">
        <f t="shared" si="109"/>
        <v>0</v>
      </c>
      <c r="CX136" s="93"/>
      <c r="CY136" s="93" t="str">
        <f>TEXT(X136,"MMMM")</f>
        <v>febrero</v>
      </c>
      <c r="CZ136" s="93" t="str">
        <f t="shared" si="120"/>
        <v>enero</v>
      </c>
      <c r="DA136" s="93" t="str">
        <f t="shared" si="121"/>
        <v>enero</v>
      </c>
      <c r="DB136" s="93" t="str">
        <f t="shared" si="122"/>
        <v>enero</v>
      </c>
      <c r="DC136" s="93" t="str">
        <f t="shared" si="110"/>
        <v>enero</v>
      </c>
      <c r="DD136" s="93" t="str">
        <f t="shared" si="111"/>
        <v>enero</v>
      </c>
      <c r="DE136" s="93" t="str">
        <f t="shared" si="112"/>
        <v>enero</v>
      </c>
      <c r="DF136" s="93" t="str">
        <f t="shared" si="113"/>
        <v>enero</v>
      </c>
      <c r="DG136" s="93" t="str">
        <f t="shared" si="114"/>
        <v>enero</v>
      </c>
      <c r="DH136" s="93" t="str">
        <f t="shared" si="115"/>
        <v>enero</v>
      </c>
    </row>
    <row r="137" spans="1:112" ht="15" hidden="1" customHeight="1">
      <c r="A137" s="93">
        <v>34</v>
      </c>
      <c r="B137" s="93" t="e">
        <f>VLOOKUP($A137,  'Matriz POA 2024-TRABAJO'!$A$5:$CY$9142,29,FALSE)</f>
        <v>#N/A</v>
      </c>
      <c r="C137" s="93" t="e">
        <f>VLOOKUP($A137, 'Matriz POA 2024-TRABAJO'!$A$5:$CY$9142,11,FALSE)</f>
        <v>#N/A</v>
      </c>
      <c r="D137" s="93" t="e">
        <f>VLOOKUP($A137, 'Matriz POA 2024-TRABAJO'!$A$5:$CY$9142,14,FALSE)</f>
        <v>#N/A</v>
      </c>
      <c r="E137" s="93" t="e">
        <f>VLOOKUP($A137, 'Matriz POA 2024-TRABAJO'!$A$5:$CY$9142,15,FALSE)</f>
        <v>#N/A</v>
      </c>
      <c r="F137" s="93" t="e">
        <f>VLOOKUP($A137, 'Matriz POA 2024-TRABAJO'!$A$5:$CY$9142,18,FALSE)</f>
        <v>#N/A</v>
      </c>
      <c r="G137" s="93" t="e">
        <f>VLOOKUP($A137, 'Matriz POA 2024-TRABAJO'!$A$5:$CY$9142,23,FALSE)</f>
        <v>#N/A</v>
      </c>
      <c r="H137" s="93" t="e">
        <f>VLOOKUP($A137, 'Matriz POA 2024-TRABAJO'!$A$5:$CY$9142,24,FALSE)</f>
        <v>#N/A</v>
      </c>
      <c r="I137" s="93" t="e">
        <f>VLOOKUP($A137, 'Matriz POA 2024-TRABAJO'!$A$5:$CY$9142,20,FALSE)</f>
        <v>#N/A</v>
      </c>
      <c r="J137" s="93" t="e">
        <f>VLOOKUP($A137, 'Matriz POA 2024-TRABAJO'!$A$5:$CY$9142,26,FALSE)</f>
        <v>#N/A</v>
      </c>
      <c r="K137" s="93" t="e">
        <f>VLOOKUP($A137, 'Matriz POA 2024-TRABAJO'!$A$5:$CY$9142,27,FALSE)</f>
        <v>#N/A</v>
      </c>
      <c r="L137" s="93" t="e">
        <f>VLOOKUP($A137, 'Matriz POA 2024-TRABAJO'!$A$5:$CY$9142,28,FALSE)</f>
        <v>#N/A</v>
      </c>
      <c r="M137" s="93" t="e">
        <f>VLOOKUP($A137, 'Matriz POA 2024-TRABAJO'!$A$5:$CY$9142,30,FALSE)</f>
        <v>#N/A</v>
      </c>
      <c r="N137" s="93" t="e">
        <f>VLOOKUP($A137, 'Matriz POA 2024-TRABAJO'!$A$5:$CY$9142,31,FALSE)</f>
        <v>#N/A</v>
      </c>
      <c r="O137" s="93" t="e">
        <f>VLOOKUP($A137, 'Matriz POA 2024-TRABAJO'!$A$5:$CY$9142,45,FALSE)</f>
        <v>#N/A</v>
      </c>
      <c r="P137" s="93" t="e">
        <f>VLOOKUP($A137, 'Matriz POA 2024-TRABAJO'!$A$5:$CY$9142,46,FALSE)</f>
        <v>#N/A</v>
      </c>
      <c r="Q137" s="93" t="e">
        <f>VLOOKUP($A137, 'Matriz POA 2024-TRABAJO'!$A$5:$CY$9142,47,FALSE)</f>
        <v>#N/A</v>
      </c>
      <c r="R137" s="94">
        <f t="shared" si="123"/>
        <v>30000</v>
      </c>
      <c r="S137" s="95" t="e">
        <f t="shared" si="124"/>
        <v>#N/A</v>
      </c>
      <c r="T137" s="93" t="e">
        <f>VLOOKUP($A137, 'Matriz POA 2024-TRABAJO'!$A$5:$CY$9142,72,FALSE)</f>
        <v>#N/A</v>
      </c>
      <c r="U137" s="93" t="e">
        <f>VLOOKUP($A137, 'Matriz POA 2024-TRABAJO'!$A$5:$CY$9142,29,FALSE)</f>
        <v>#N/A</v>
      </c>
      <c r="V137" s="94" t="str">
        <f t="shared" si="116"/>
        <v>27mg</v>
      </c>
      <c r="W137" s="97" t="s">
        <v>1202</v>
      </c>
      <c r="X137" s="109">
        <v>45349</v>
      </c>
      <c r="Y137" s="99" t="s">
        <v>1203</v>
      </c>
      <c r="Z137" s="109">
        <v>45349</v>
      </c>
      <c r="AA137" s="98">
        <v>30000</v>
      </c>
      <c r="AB137" s="98"/>
      <c r="AC137" s="99">
        <f t="shared" si="103"/>
        <v>0</v>
      </c>
      <c r="AD137" s="110" t="s">
        <v>1204</v>
      </c>
      <c r="AE137" s="98"/>
      <c r="AF137" s="101"/>
      <c r="AG137" s="97"/>
      <c r="AH137" s="101"/>
      <c r="AI137" s="98"/>
      <c r="AJ137" s="98"/>
      <c r="AK137" s="99">
        <f t="shared" si="117"/>
        <v>0</v>
      </c>
      <c r="AL137" s="99"/>
      <c r="AM137" s="93"/>
      <c r="AN137" s="96"/>
      <c r="AO137" s="97"/>
      <c r="AP137" s="101"/>
      <c r="AQ137" s="98"/>
      <c r="AR137" s="105"/>
      <c r="AS137" s="99">
        <f t="shared" si="118"/>
        <v>0</v>
      </c>
      <c r="AT137" s="99"/>
      <c r="AU137" s="96"/>
      <c r="AV137" s="96"/>
      <c r="AW137" s="93"/>
      <c r="AX137" s="96"/>
      <c r="AY137" s="98"/>
      <c r="AZ137" s="98"/>
      <c r="BA137" s="99">
        <f t="shared" si="119"/>
        <v>0</v>
      </c>
      <c r="BB137" s="99"/>
      <c r="BC137" s="96"/>
      <c r="BD137" s="96"/>
      <c r="BE137" s="93"/>
      <c r="BF137" s="96"/>
      <c r="BG137" s="102"/>
      <c r="BH137" s="102"/>
      <c r="BI137" s="93">
        <f t="shared" si="104"/>
        <v>0</v>
      </c>
      <c r="BJ137" s="93"/>
      <c r="BK137" s="93"/>
      <c r="BL137" s="103"/>
      <c r="BM137" s="93"/>
      <c r="BN137" s="103"/>
      <c r="BO137" s="94"/>
      <c r="BP137" s="94"/>
      <c r="BQ137" s="93">
        <f t="shared" si="105"/>
        <v>0</v>
      </c>
      <c r="BR137" s="93"/>
      <c r="BS137" s="93"/>
      <c r="BT137" s="103"/>
      <c r="BU137" s="93"/>
      <c r="BV137" s="103"/>
      <c r="BW137" s="94"/>
      <c r="BX137" s="94"/>
      <c r="BY137" s="93">
        <f t="shared" si="106"/>
        <v>0</v>
      </c>
      <c r="BZ137" s="93"/>
      <c r="CA137" s="104"/>
      <c r="CB137" s="105"/>
      <c r="CC137" s="106"/>
      <c r="CD137" s="107"/>
      <c r="CE137" s="94"/>
      <c r="CF137" s="94"/>
      <c r="CG137" s="93">
        <f t="shared" si="107"/>
        <v>0</v>
      </c>
      <c r="CH137" s="93"/>
      <c r="CI137" s="106"/>
      <c r="CJ137" s="105"/>
      <c r="CK137" s="93"/>
      <c r="CL137" s="105"/>
      <c r="CM137" s="108"/>
      <c r="CN137" s="108"/>
      <c r="CO137" s="93">
        <f t="shared" si="108"/>
        <v>0</v>
      </c>
      <c r="CP137" s="93"/>
      <c r="CQ137" s="93"/>
      <c r="CR137" s="93"/>
      <c r="CS137" s="93"/>
      <c r="CT137" s="93"/>
      <c r="CU137" s="93"/>
      <c r="CV137" s="93"/>
      <c r="CW137" s="93">
        <f t="shared" si="109"/>
        <v>0</v>
      </c>
      <c r="CX137" s="93"/>
      <c r="CY137" s="93" t="str">
        <f>TEXT(X137,"MMMM")</f>
        <v>febrero</v>
      </c>
      <c r="CZ137" s="93" t="str">
        <f t="shared" si="120"/>
        <v>enero</v>
      </c>
      <c r="DA137" s="93" t="str">
        <f t="shared" si="121"/>
        <v>enero</v>
      </c>
      <c r="DB137" s="93" t="str">
        <f t="shared" si="122"/>
        <v>enero</v>
      </c>
      <c r="DC137" s="93" t="str">
        <f t="shared" si="110"/>
        <v>enero</v>
      </c>
      <c r="DD137" s="93" t="str">
        <f t="shared" si="111"/>
        <v>enero</v>
      </c>
      <c r="DE137" s="93" t="str">
        <f t="shared" si="112"/>
        <v>enero</v>
      </c>
      <c r="DF137" s="93" t="str">
        <f t="shared" si="113"/>
        <v>enero</v>
      </c>
      <c r="DG137" s="93" t="str">
        <f t="shared" si="114"/>
        <v>enero</v>
      </c>
      <c r="DH137" s="93" t="str">
        <f t="shared" si="115"/>
        <v>enero</v>
      </c>
    </row>
    <row r="138" spans="1:112" s="21" customFormat="1" ht="19.5" hidden="1" customHeight="1">
      <c r="A138" s="93">
        <v>799</v>
      </c>
      <c r="B138" s="93" t="e">
        <f>VLOOKUP($A138,  'Matriz POA 2024-TRABAJO'!$A$5:$CY$9142,29,FALSE)</f>
        <v>#N/A</v>
      </c>
      <c r="C138" s="93" t="e">
        <f>VLOOKUP($A138, 'Matriz POA 2024-TRABAJO'!$A$5:$CY$9142,11,FALSE)</f>
        <v>#N/A</v>
      </c>
      <c r="D138" s="93" t="e">
        <f>VLOOKUP($A138, 'Matriz POA 2024-TRABAJO'!$A$5:$CY$9142,14,FALSE)</f>
        <v>#N/A</v>
      </c>
      <c r="E138" s="93" t="e">
        <f>VLOOKUP($A138, 'Matriz POA 2024-TRABAJO'!$A$5:$CY$9142,15,FALSE)</f>
        <v>#N/A</v>
      </c>
      <c r="F138" s="93" t="e">
        <f>VLOOKUP($A138, 'Matriz POA 2024-TRABAJO'!$A$5:$CY$9142,18,FALSE)</f>
        <v>#N/A</v>
      </c>
      <c r="G138" s="93" t="e">
        <f>VLOOKUP($A138, 'Matriz POA 2024-TRABAJO'!$A$5:$CY$9142,23,FALSE)</f>
        <v>#N/A</v>
      </c>
      <c r="H138" s="93" t="e">
        <f>VLOOKUP($A138, 'Matriz POA 2024-TRABAJO'!$A$5:$CY$9142,24,FALSE)</f>
        <v>#N/A</v>
      </c>
      <c r="I138" s="93" t="e">
        <f>VLOOKUP($A138, 'Matriz POA 2024-TRABAJO'!$A$5:$CY$9142,20,FALSE)</f>
        <v>#N/A</v>
      </c>
      <c r="J138" s="93" t="e">
        <f>VLOOKUP($A138, 'Matriz POA 2024-TRABAJO'!$A$5:$CY$9142,26,FALSE)</f>
        <v>#N/A</v>
      </c>
      <c r="K138" s="93" t="e">
        <f>VLOOKUP($A138, 'Matriz POA 2024-TRABAJO'!$A$5:$CY$9142,27,FALSE)</f>
        <v>#N/A</v>
      </c>
      <c r="L138" s="93" t="e">
        <f>VLOOKUP($A138, 'Matriz POA 2024-TRABAJO'!$A$5:$CY$9142,28,FALSE)</f>
        <v>#N/A</v>
      </c>
      <c r="M138" s="93" t="e">
        <f>VLOOKUP($A138, 'Matriz POA 2024-TRABAJO'!$A$5:$CY$9142,30,FALSE)</f>
        <v>#N/A</v>
      </c>
      <c r="N138" s="93" t="e">
        <f>VLOOKUP($A138, 'Matriz POA 2024-TRABAJO'!$A$5:$CY$9142,31,FALSE)</f>
        <v>#N/A</v>
      </c>
      <c r="O138" s="93" t="e">
        <f>VLOOKUP($A138, 'Matriz POA 2024-TRABAJO'!$A$5:$CY$9142,45,FALSE)</f>
        <v>#N/A</v>
      </c>
      <c r="P138" s="93" t="e">
        <f>VLOOKUP($A138, 'Matriz POA 2024-TRABAJO'!$A$5:$CY$9142,46,FALSE)</f>
        <v>#N/A</v>
      </c>
      <c r="Q138" s="93" t="e">
        <f>VLOOKUP($A138, 'Matriz POA 2024-TRABAJO'!$A$5:$CY$9142,47,FALSE)</f>
        <v>#N/A</v>
      </c>
      <c r="R138" s="94">
        <f t="shared" si="123"/>
        <v>10731</v>
      </c>
      <c r="S138" s="95" t="e">
        <f t="shared" si="124"/>
        <v>#N/A</v>
      </c>
      <c r="T138" s="93" t="e">
        <f>VLOOKUP($A138, 'Matriz POA 2024-TRABAJO'!$A$5:$CY$9142,72,FALSE)</f>
        <v>#N/A</v>
      </c>
      <c r="U138" s="93" t="e">
        <f>VLOOKUP($A138, 'Matriz POA 2024-TRABAJO'!$A$5:$CY$9142,29,FALSE)</f>
        <v>#N/A</v>
      </c>
      <c r="V138" s="94" t="str">
        <f t="shared" si="116"/>
        <v>28mg-</v>
      </c>
      <c r="W138" s="96" t="s">
        <v>1205</v>
      </c>
      <c r="X138" s="96">
        <v>45352</v>
      </c>
      <c r="Y138" s="97" t="s">
        <v>1206</v>
      </c>
      <c r="Z138" s="96">
        <v>45352</v>
      </c>
      <c r="AA138" s="98">
        <v>10731</v>
      </c>
      <c r="AB138" s="98"/>
      <c r="AC138" s="99">
        <f t="shared" si="103"/>
        <v>0</v>
      </c>
      <c r="AD138" s="100" t="s">
        <v>1207</v>
      </c>
      <c r="AE138" s="98"/>
      <c r="AF138" s="101"/>
      <c r="AG138" s="97"/>
      <c r="AH138" s="101"/>
      <c r="AI138" s="98"/>
      <c r="AJ138" s="98">
        <f t="shared" ref="AJ138:AJ151" si="125">AI138*-1</f>
        <v>0</v>
      </c>
      <c r="AK138" s="99">
        <f t="shared" si="117"/>
        <v>0</v>
      </c>
      <c r="AL138" s="99"/>
      <c r="AM138" s="93"/>
      <c r="AN138" s="96"/>
      <c r="AO138" s="97"/>
      <c r="AP138" s="101"/>
      <c r="AQ138" s="98"/>
      <c r="AR138" s="98"/>
      <c r="AS138" s="99">
        <f t="shared" si="118"/>
        <v>0</v>
      </c>
      <c r="AT138" s="99"/>
      <c r="AU138" s="96"/>
      <c r="AV138" s="96"/>
      <c r="AW138" s="93"/>
      <c r="AX138" s="96"/>
      <c r="AY138" s="98"/>
      <c r="AZ138" s="98"/>
      <c r="BA138" s="99">
        <f t="shared" si="119"/>
        <v>0</v>
      </c>
      <c r="BB138" s="99"/>
      <c r="BC138" s="96"/>
      <c r="BD138" s="96"/>
      <c r="BE138" s="93"/>
      <c r="BF138" s="96"/>
      <c r="BG138" s="102"/>
      <c r="BH138" s="102"/>
      <c r="BI138" s="93">
        <f t="shared" si="104"/>
        <v>0</v>
      </c>
      <c r="BJ138" s="93"/>
      <c r="BK138" s="93"/>
      <c r="BL138" s="103"/>
      <c r="BM138" s="93"/>
      <c r="BN138" s="103"/>
      <c r="BO138" s="94"/>
      <c r="BP138" s="94"/>
      <c r="BQ138" s="93">
        <f t="shared" si="105"/>
        <v>0</v>
      </c>
      <c r="BR138" s="93"/>
      <c r="BS138" s="93"/>
      <c r="BT138" s="103"/>
      <c r="BU138" s="93"/>
      <c r="BV138" s="103"/>
      <c r="BW138" s="94"/>
      <c r="BX138" s="94"/>
      <c r="BY138" s="93">
        <f t="shared" si="106"/>
        <v>0</v>
      </c>
      <c r="BZ138" s="93"/>
      <c r="CA138" s="104"/>
      <c r="CB138" s="105"/>
      <c r="CC138" s="106"/>
      <c r="CD138" s="107"/>
      <c r="CE138" s="94"/>
      <c r="CF138" s="94"/>
      <c r="CG138" s="93">
        <f t="shared" si="107"/>
        <v>0</v>
      </c>
      <c r="CH138" s="93"/>
      <c r="CI138" s="106"/>
      <c r="CJ138" s="105"/>
      <c r="CK138" s="93"/>
      <c r="CL138" s="105"/>
      <c r="CM138" s="108"/>
      <c r="CN138" s="108"/>
      <c r="CO138" s="93">
        <f t="shared" si="108"/>
        <v>0</v>
      </c>
      <c r="CP138" s="93"/>
      <c r="CQ138" s="93"/>
      <c r="CR138" s="93"/>
      <c r="CS138" s="93"/>
      <c r="CT138" s="93"/>
      <c r="CU138" s="93"/>
      <c r="CV138" s="93"/>
      <c r="CW138" s="93">
        <f t="shared" si="109"/>
        <v>0</v>
      </c>
      <c r="CX138" s="93"/>
      <c r="CY138" s="93" t="str">
        <f>TEXT(Z138,"MMMM")</f>
        <v>marzo</v>
      </c>
      <c r="CZ138" s="93" t="str">
        <f t="shared" si="120"/>
        <v>enero</v>
      </c>
      <c r="DA138" s="93" t="str">
        <f t="shared" si="121"/>
        <v>enero</v>
      </c>
      <c r="DB138" s="93" t="str">
        <f t="shared" si="122"/>
        <v>enero</v>
      </c>
      <c r="DC138" s="93" t="str">
        <f t="shared" si="110"/>
        <v>enero</v>
      </c>
      <c r="DD138" s="93" t="str">
        <f t="shared" si="111"/>
        <v>enero</v>
      </c>
      <c r="DE138" s="93" t="str">
        <f t="shared" si="112"/>
        <v>enero</v>
      </c>
      <c r="DF138" s="93" t="str">
        <f t="shared" si="113"/>
        <v>enero</v>
      </c>
      <c r="DG138" s="93" t="str">
        <f t="shared" si="114"/>
        <v>enero</v>
      </c>
      <c r="DH138" s="93" t="str">
        <f t="shared" si="115"/>
        <v>enero</v>
      </c>
    </row>
    <row r="139" spans="1:112" s="21" customFormat="1" ht="19.5" hidden="1" customHeight="1">
      <c r="A139" s="93">
        <v>616</v>
      </c>
      <c r="B139" s="93" t="e">
        <f>VLOOKUP($A139,  'Matriz POA 2024-TRABAJO'!$A$5:$CY$9142,29,FALSE)</f>
        <v>#N/A</v>
      </c>
      <c r="C139" s="93" t="e">
        <f>VLOOKUP($A139, 'Matriz POA 2024-TRABAJO'!$A$5:$CY$9142,11,FALSE)</f>
        <v>#N/A</v>
      </c>
      <c r="D139" s="93" t="e">
        <f>VLOOKUP($A139, 'Matriz POA 2024-TRABAJO'!$A$5:$CY$9142,14,FALSE)</f>
        <v>#N/A</v>
      </c>
      <c r="E139" s="93" t="e">
        <f>VLOOKUP($A139, 'Matriz POA 2024-TRABAJO'!$A$5:$CY$9142,15,FALSE)</f>
        <v>#N/A</v>
      </c>
      <c r="F139" s="93" t="e">
        <f>VLOOKUP($A139, 'Matriz POA 2024-TRABAJO'!$A$5:$CY$9142,18,FALSE)</f>
        <v>#N/A</v>
      </c>
      <c r="G139" s="93" t="e">
        <f>VLOOKUP($A139, 'Matriz POA 2024-TRABAJO'!$A$5:$CY$9142,23,FALSE)</f>
        <v>#N/A</v>
      </c>
      <c r="H139" s="93" t="e">
        <f>VLOOKUP($A139, 'Matriz POA 2024-TRABAJO'!$A$5:$CY$9142,24,FALSE)</f>
        <v>#N/A</v>
      </c>
      <c r="I139" s="93" t="e">
        <f>VLOOKUP($A139, 'Matriz POA 2024-TRABAJO'!$A$5:$CY$9142,20,FALSE)</f>
        <v>#N/A</v>
      </c>
      <c r="J139" s="93" t="e">
        <f>VLOOKUP($A139, 'Matriz POA 2024-TRABAJO'!$A$5:$CY$9142,26,FALSE)</f>
        <v>#N/A</v>
      </c>
      <c r="K139" s="93" t="e">
        <f>VLOOKUP($A139, 'Matriz POA 2024-TRABAJO'!$A$5:$CY$9142,27,FALSE)</f>
        <v>#N/A</v>
      </c>
      <c r="L139" s="93" t="e">
        <f>VLOOKUP($A139, 'Matriz POA 2024-TRABAJO'!$A$5:$CY$9142,28,FALSE)</f>
        <v>#N/A</v>
      </c>
      <c r="M139" s="93" t="e">
        <f>VLOOKUP($A139, 'Matriz POA 2024-TRABAJO'!$A$5:$CY$9142,30,FALSE)</f>
        <v>#N/A</v>
      </c>
      <c r="N139" s="93" t="e">
        <f>VLOOKUP($A139, 'Matriz POA 2024-TRABAJO'!$A$5:$CY$9142,31,FALSE)</f>
        <v>#N/A</v>
      </c>
      <c r="O139" s="93" t="e">
        <f>VLOOKUP($A139, 'Matriz POA 2024-TRABAJO'!$A$5:$CY$9142,45,FALSE)</f>
        <v>#N/A</v>
      </c>
      <c r="P139" s="93" t="e">
        <f>VLOOKUP($A139, 'Matriz POA 2024-TRABAJO'!$A$5:$CY$9142,46,FALSE)</f>
        <v>#N/A</v>
      </c>
      <c r="Q139" s="93" t="e">
        <f>VLOOKUP($A139, 'Matriz POA 2024-TRABAJO'!$A$5:$CY$9142,47,FALSE)</f>
        <v>#N/A</v>
      </c>
      <c r="R139" s="94">
        <f t="shared" si="123"/>
        <v>107483</v>
      </c>
      <c r="S139" s="95" t="e">
        <f t="shared" si="124"/>
        <v>#N/A</v>
      </c>
      <c r="T139" s="93" t="e">
        <f>VLOOKUP($A139, 'Matriz POA 2024-TRABAJO'!$A$5:$CY$9142,72,FALSE)</f>
        <v>#N/A</v>
      </c>
      <c r="U139" s="93" t="e">
        <f>VLOOKUP($A139, 'Matriz POA 2024-TRABAJO'!$A$5:$CY$9142,29,FALSE)</f>
        <v>#N/A</v>
      </c>
      <c r="V139" s="94" t="str">
        <f t="shared" si="116"/>
        <v/>
      </c>
      <c r="W139" s="97" t="s">
        <v>1208</v>
      </c>
      <c r="X139" s="109">
        <v>45356</v>
      </c>
      <c r="Y139" s="99"/>
      <c r="Z139" s="109">
        <v>45358</v>
      </c>
      <c r="AA139" s="98">
        <v>107483</v>
      </c>
      <c r="AB139" s="98"/>
      <c r="AC139" s="99">
        <f t="shared" si="103"/>
        <v>2</v>
      </c>
      <c r="AD139" s="110"/>
      <c r="AE139" s="98"/>
      <c r="AF139" s="101"/>
      <c r="AG139" s="97"/>
      <c r="AH139" s="101"/>
      <c r="AI139" s="98"/>
      <c r="AJ139" s="98">
        <f t="shared" si="125"/>
        <v>0</v>
      </c>
      <c r="AK139" s="99">
        <f t="shared" si="117"/>
        <v>0</v>
      </c>
      <c r="AL139" s="378"/>
      <c r="AN139" s="379"/>
      <c r="AO139" s="97"/>
      <c r="AP139" s="101"/>
      <c r="AQ139" s="98"/>
      <c r="AR139" s="98"/>
      <c r="AS139" s="99">
        <f t="shared" si="118"/>
        <v>0</v>
      </c>
      <c r="AT139" s="99"/>
      <c r="AU139" s="96"/>
      <c r="AV139" s="96"/>
      <c r="AW139" s="93"/>
      <c r="AX139" s="96"/>
      <c r="AY139" s="98"/>
      <c r="AZ139" s="98"/>
      <c r="BA139" s="99">
        <f t="shared" si="119"/>
        <v>0</v>
      </c>
      <c r="BB139" s="99"/>
      <c r="BC139" s="96"/>
      <c r="BD139" s="96"/>
      <c r="BE139" s="93"/>
      <c r="BF139" s="96"/>
      <c r="BG139" s="102"/>
      <c r="BH139" s="102"/>
      <c r="BI139" s="93">
        <f t="shared" si="104"/>
        <v>0</v>
      </c>
      <c r="BJ139" s="93"/>
      <c r="BK139" s="93"/>
      <c r="BL139" s="103"/>
      <c r="BM139" s="93"/>
      <c r="BN139" s="103"/>
      <c r="BO139" s="94"/>
      <c r="BP139" s="94"/>
      <c r="BQ139" s="93">
        <f t="shared" si="105"/>
        <v>0</v>
      </c>
      <c r="BR139" s="93"/>
      <c r="BS139" s="93"/>
      <c r="BT139" s="103"/>
      <c r="BU139" s="93"/>
      <c r="BV139" s="103"/>
      <c r="BW139" s="94"/>
      <c r="BX139" s="94"/>
      <c r="BY139" s="93">
        <f t="shared" si="106"/>
        <v>0</v>
      </c>
      <c r="BZ139" s="93"/>
      <c r="CA139" s="104"/>
      <c r="CB139" s="105"/>
      <c r="CC139" s="106"/>
      <c r="CD139" s="107"/>
      <c r="CE139" s="94"/>
      <c r="CF139" s="94"/>
      <c r="CG139" s="93">
        <f t="shared" si="107"/>
        <v>0</v>
      </c>
      <c r="CH139" s="93"/>
      <c r="CI139" s="106"/>
      <c r="CJ139" s="105"/>
      <c r="CK139" s="93"/>
      <c r="CL139" s="105"/>
      <c r="CM139" s="108"/>
      <c r="CN139" s="108"/>
      <c r="CO139" s="93">
        <f t="shared" si="108"/>
        <v>0</v>
      </c>
      <c r="CP139" s="93"/>
      <c r="CQ139" s="93"/>
      <c r="CR139" s="93"/>
      <c r="CS139" s="93"/>
      <c r="CT139" s="93"/>
      <c r="CU139" s="93"/>
      <c r="CV139" s="93"/>
      <c r="CW139" s="93">
        <f t="shared" si="109"/>
        <v>0</v>
      </c>
      <c r="CX139" s="93"/>
      <c r="CY139" s="93" t="str">
        <f>TEXT(X139,"MMMM")</f>
        <v>marzo</v>
      </c>
      <c r="CZ139" s="93" t="str">
        <f t="shared" si="120"/>
        <v>enero</v>
      </c>
      <c r="DA139" s="93" t="str">
        <f t="shared" si="121"/>
        <v>enero</v>
      </c>
      <c r="DB139" s="93" t="str">
        <f t="shared" si="122"/>
        <v>enero</v>
      </c>
      <c r="DC139" s="93" t="str">
        <f t="shared" si="110"/>
        <v>enero</v>
      </c>
      <c r="DD139" s="93" t="str">
        <f t="shared" si="111"/>
        <v>enero</v>
      </c>
      <c r="DE139" s="93" t="str">
        <f t="shared" si="112"/>
        <v>enero</v>
      </c>
      <c r="DF139" s="93" t="str">
        <f t="shared" si="113"/>
        <v>enero</v>
      </c>
      <c r="DG139" s="93" t="str">
        <f t="shared" si="114"/>
        <v>enero</v>
      </c>
      <c r="DH139" s="93" t="str">
        <f t="shared" si="115"/>
        <v>enero</v>
      </c>
    </row>
    <row r="140" spans="1:112" s="21" customFormat="1" ht="19.5" hidden="1" customHeight="1">
      <c r="A140" s="93">
        <v>86</v>
      </c>
      <c r="B140" s="93" t="e">
        <f>VLOOKUP($A140,  'Matriz POA 2024-TRABAJO'!$A$5:$CY$9142,29,FALSE)</f>
        <v>#N/A</v>
      </c>
      <c r="C140" s="93" t="e">
        <f>VLOOKUP($A140, 'Matriz POA 2024-TRABAJO'!$A$5:$CY$9142,11,FALSE)</f>
        <v>#N/A</v>
      </c>
      <c r="D140" s="93" t="e">
        <f>VLOOKUP($A140, 'Matriz POA 2024-TRABAJO'!$A$5:$CY$9142,14,FALSE)</f>
        <v>#N/A</v>
      </c>
      <c r="E140" s="93" t="e">
        <f>VLOOKUP($A140, 'Matriz POA 2024-TRABAJO'!$A$5:$CY$9142,15,FALSE)</f>
        <v>#N/A</v>
      </c>
      <c r="F140" s="93" t="e">
        <f>VLOOKUP($A140, 'Matriz POA 2024-TRABAJO'!$A$5:$CY$9142,18,FALSE)</f>
        <v>#N/A</v>
      </c>
      <c r="G140" s="93" t="e">
        <f>VLOOKUP($A140, 'Matriz POA 2024-TRABAJO'!$A$5:$CY$9142,23,FALSE)</f>
        <v>#N/A</v>
      </c>
      <c r="H140" s="93" t="e">
        <f>VLOOKUP($A140, 'Matriz POA 2024-TRABAJO'!$A$5:$CY$9142,24,FALSE)</f>
        <v>#N/A</v>
      </c>
      <c r="I140" s="93" t="e">
        <f>VLOOKUP($A140, 'Matriz POA 2024-TRABAJO'!$A$5:$CY$9142,20,FALSE)</f>
        <v>#N/A</v>
      </c>
      <c r="J140" s="93" t="e">
        <f>VLOOKUP($A140, 'Matriz POA 2024-TRABAJO'!$A$5:$CY$9142,26,FALSE)</f>
        <v>#N/A</v>
      </c>
      <c r="K140" s="93" t="e">
        <f>VLOOKUP($A140, 'Matriz POA 2024-TRABAJO'!$A$5:$CY$9142,27,FALSE)</f>
        <v>#N/A</v>
      </c>
      <c r="L140" s="93" t="e">
        <f>VLOOKUP($A140, 'Matriz POA 2024-TRABAJO'!$A$5:$CY$9142,28,FALSE)</f>
        <v>#N/A</v>
      </c>
      <c r="M140" s="93" t="e">
        <f>VLOOKUP($A140, 'Matriz POA 2024-TRABAJO'!$A$5:$CY$9142,30,FALSE)</f>
        <v>#N/A</v>
      </c>
      <c r="N140" s="93" t="e">
        <f>VLOOKUP($A140, 'Matriz POA 2024-TRABAJO'!$A$5:$CY$9142,31,FALSE)</f>
        <v>#N/A</v>
      </c>
      <c r="O140" s="93" t="e">
        <f>VLOOKUP($A140, 'Matriz POA 2024-TRABAJO'!$A$5:$CY$9142,45,FALSE)</f>
        <v>#N/A</v>
      </c>
      <c r="P140" s="93" t="e">
        <f>VLOOKUP($A140, 'Matriz POA 2024-TRABAJO'!$A$5:$CY$9142,46,FALSE)</f>
        <v>#N/A</v>
      </c>
      <c r="Q140" s="93" t="e">
        <f>VLOOKUP($A140, 'Matriz POA 2024-TRABAJO'!$A$5:$CY$9142,47,FALSE)</f>
        <v>#N/A</v>
      </c>
      <c r="R140" s="94">
        <f t="shared" si="123"/>
        <v>2000</v>
      </c>
      <c r="S140" s="95" t="e">
        <f t="shared" si="124"/>
        <v>#N/A</v>
      </c>
      <c r="T140" s="93" t="e">
        <f>VLOOKUP($A140, 'Matriz POA 2024-TRABAJO'!$A$5:$CY$9142,72,FALSE)</f>
        <v>#N/A</v>
      </c>
      <c r="U140" s="93" t="e">
        <f>VLOOKUP($A140, 'Matriz POA 2024-TRABAJO'!$A$5:$CY$9142,29,FALSE)</f>
        <v>#N/A</v>
      </c>
      <c r="V140" s="94" t="str">
        <f t="shared" ref="V140:V145" si="126">AD140&amp;AL140&amp;AT140&amp;BB140&amp;BJ140&amp;BR140&amp;BZ140&amp;CH140&amp;CP140&amp;CX140</f>
        <v>31mg-</v>
      </c>
      <c r="W140" s="96" t="s">
        <v>1209</v>
      </c>
      <c r="X140" s="96">
        <v>45362</v>
      </c>
      <c r="Y140" s="97" t="s">
        <v>1210</v>
      </c>
      <c r="Z140" s="96">
        <v>45362</v>
      </c>
      <c r="AA140" s="98">
        <v>2000</v>
      </c>
      <c r="AB140" s="98"/>
      <c r="AC140" s="99">
        <f t="shared" ref="AC140:AC145" si="127">Z140-X140</f>
        <v>0</v>
      </c>
      <c r="AD140" s="100" t="s">
        <v>1211</v>
      </c>
      <c r="AE140" s="98"/>
      <c r="AF140" s="101"/>
      <c r="AG140" s="97"/>
      <c r="AH140" s="101"/>
      <c r="AI140" s="98"/>
      <c r="AJ140" s="98">
        <f t="shared" si="125"/>
        <v>0</v>
      </c>
      <c r="AK140" s="99">
        <f t="shared" ref="AK140:AK145" si="128">AH140-AF140</f>
        <v>0</v>
      </c>
      <c r="AL140" s="99"/>
      <c r="AM140" s="93"/>
      <c r="AN140" s="96"/>
      <c r="AO140" s="97"/>
      <c r="AP140" s="101"/>
      <c r="AQ140" s="98"/>
      <c r="AR140" s="98"/>
      <c r="AS140" s="99">
        <f t="shared" ref="AS140:AS145" si="129">AP140-AN140</f>
        <v>0</v>
      </c>
      <c r="AT140" s="99"/>
      <c r="AU140" s="96"/>
      <c r="AV140" s="96"/>
      <c r="AW140" s="93"/>
      <c r="AX140" s="96"/>
      <c r="AY140" s="98"/>
      <c r="AZ140" s="98"/>
      <c r="BA140" s="99">
        <f t="shared" ref="BA140:BA145" si="130">AX140-AV140</f>
        <v>0</v>
      </c>
      <c r="BB140" s="99"/>
      <c r="BC140" s="96"/>
      <c r="BD140" s="96"/>
      <c r="BE140" s="93"/>
      <c r="BF140" s="96"/>
      <c r="BG140" s="102"/>
      <c r="BH140" s="102"/>
      <c r="BI140" s="93">
        <f t="shared" ref="BI140:BI145" si="131">BF140-BD140</f>
        <v>0</v>
      </c>
      <c r="BJ140" s="93"/>
      <c r="BK140" s="93"/>
      <c r="BL140" s="103"/>
      <c r="BM140" s="93"/>
      <c r="BN140" s="103"/>
      <c r="BO140" s="94"/>
      <c r="BP140" s="94"/>
      <c r="BQ140" s="93">
        <f t="shared" ref="BQ140:BQ145" si="132">BN140-BL140</f>
        <v>0</v>
      </c>
      <c r="BR140" s="93"/>
      <c r="BS140" s="93"/>
      <c r="BT140" s="103"/>
      <c r="BU140" s="93"/>
      <c r="BV140" s="103"/>
      <c r="BW140" s="94"/>
      <c r="BX140" s="94"/>
      <c r="BY140" s="93">
        <f t="shared" ref="BY140:BY145" si="133">BV140-BT140</f>
        <v>0</v>
      </c>
      <c r="BZ140" s="93"/>
      <c r="CA140" s="104"/>
      <c r="CB140" s="105"/>
      <c r="CC140" s="106"/>
      <c r="CD140" s="107"/>
      <c r="CE140" s="94"/>
      <c r="CF140" s="94"/>
      <c r="CG140" s="93">
        <f t="shared" ref="CG140:CG145" si="134">CD140-CB140</f>
        <v>0</v>
      </c>
      <c r="CH140" s="93"/>
      <c r="CI140" s="106"/>
      <c r="CJ140" s="105"/>
      <c r="CK140" s="93"/>
      <c r="CL140" s="105"/>
      <c r="CM140" s="108"/>
      <c r="CN140" s="108"/>
      <c r="CO140" s="93">
        <f t="shared" ref="CO140:CO145" si="135">CL140-CJ140</f>
        <v>0</v>
      </c>
      <c r="CP140" s="93"/>
      <c r="CQ140" s="93"/>
      <c r="CR140" s="93"/>
      <c r="CS140" s="93"/>
      <c r="CT140" s="93"/>
      <c r="CU140" s="93"/>
      <c r="CV140" s="93"/>
      <c r="CW140" s="93">
        <f t="shared" ref="CW140:CW145" si="136">CT140-CR140</f>
        <v>0</v>
      </c>
      <c r="CX140" s="93"/>
      <c r="CY140" s="93" t="str">
        <f>TEXT(Z140,"MMMM")</f>
        <v>marzo</v>
      </c>
      <c r="CZ140" s="93" t="str">
        <f t="shared" ref="CZ140:CZ145" si="137">TEXT(AF140,"MMMM")</f>
        <v>enero</v>
      </c>
      <c r="DA140" s="93" t="str">
        <f t="shared" ref="DA140:DA145" si="138">TEXT(AN140,"MMMM")</f>
        <v>enero</v>
      </c>
      <c r="DB140" s="93" t="str">
        <f t="shared" ref="DB140:DB145" si="139">TEXT(AV140,"MMMM")</f>
        <v>enero</v>
      </c>
      <c r="DC140" s="93" t="str">
        <f t="shared" ref="DC140:DC145" si="140">TEXT(BD140,"MMMM")</f>
        <v>enero</v>
      </c>
      <c r="DD140" s="93" t="str">
        <f t="shared" ref="DD140:DD145" si="141">TEXT(BL140,"MMMM")</f>
        <v>enero</v>
      </c>
      <c r="DE140" s="93" t="str">
        <f t="shared" ref="DE140:DE145" si="142">TEXT(BT140,"MMMM")</f>
        <v>enero</v>
      </c>
      <c r="DF140" s="93" t="str">
        <f t="shared" ref="DF140:DF145" si="143">TEXT(BT140,"MMMM")</f>
        <v>enero</v>
      </c>
      <c r="DG140" s="93" t="str">
        <f t="shared" ref="DG140:DG145" si="144">TEXT(BV140,"MMMM")</f>
        <v>enero</v>
      </c>
      <c r="DH140" s="93" t="str">
        <f t="shared" ref="DH140:DH145" si="145">TEXT(BY140,"MMMM")</f>
        <v>enero</v>
      </c>
    </row>
    <row r="141" spans="1:112" s="21" customFormat="1" ht="19.5" hidden="1" customHeight="1">
      <c r="A141" s="93">
        <v>87</v>
      </c>
      <c r="B141" s="93" t="e">
        <f>VLOOKUP($A141,  'Matriz POA 2024-TRABAJO'!$A$5:$CY$9142,29,FALSE)</f>
        <v>#N/A</v>
      </c>
      <c r="C141" s="93" t="e">
        <f>VLOOKUP($A141, 'Matriz POA 2024-TRABAJO'!$A$5:$CY$9142,11,FALSE)</f>
        <v>#N/A</v>
      </c>
      <c r="D141" s="93" t="e">
        <f>VLOOKUP($A141, 'Matriz POA 2024-TRABAJO'!$A$5:$CY$9142,14,FALSE)</f>
        <v>#N/A</v>
      </c>
      <c r="E141" s="93" t="e">
        <f>VLOOKUP($A141, 'Matriz POA 2024-TRABAJO'!$A$5:$CY$9142,15,FALSE)</f>
        <v>#N/A</v>
      </c>
      <c r="F141" s="93" t="e">
        <f>VLOOKUP($A141, 'Matriz POA 2024-TRABAJO'!$A$5:$CY$9142,18,FALSE)</f>
        <v>#N/A</v>
      </c>
      <c r="G141" s="93" t="e">
        <f>VLOOKUP($A141, 'Matriz POA 2024-TRABAJO'!$A$5:$CY$9142,23,FALSE)</f>
        <v>#N/A</v>
      </c>
      <c r="H141" s="93" t="e">
        <f>VLOOKUP($A141, 'Matriz POA 2024-TRABAJO'!$A$5:$CY$9142,24,FALSE)</f>
        <v>#N/A</v>
      </c>
      <c r="I141" s="93" t="e">
        <f>VLOOKUP($A141, 'Matriz POA 2024-TRABAJO'!$A$5:$CY$9142,20,FALSE)</f>
        <v>#N/A</v>
      </c>
      <c r="J141" s="93" t="e">
        <f>VLOOKUP($A141, 'Matriz POA 2024-TRABAJO'!$A$5:$CY$9142,26,FALSE)</f>
        <v>#N/A</v>
      </c>
      <c r="K141" s="93" t="e">
        <f>VLOOKUP($A141, 'Matriz POA 2024-TRABAJO'!$A$5:$CY$9142,27,FALSE)</f>
        <v>#N/A</v>
      </c>
      <c r="L141" s="93" t="e">
        <f>VLOOKUP($A141, 'Matriz POA 2024-TRABAJO'!$A$5:$CY$9142,28,FALSE)</f>
        <v>#N/A</v>
      </c>
      <c r="M141" s="93" t="e">
        <f>VLOOKUP($A141, 'Matriz POA 2024-TRABAJO'!$A$5:$CY$9142,30,FALSE)</f>
        <v>#N/A</v>
      </c>
      <c r="N141" s="93" t="e">
        <f>VLOOKUP($A141, 'Matriz POA 2024-TRABAJO'!$A$5:$CY$9142,31,FALSE)</f>
        <v>#N/A</v>
      </c>
      <c r="O141" s="93" t="e">
        <f>VLOOKUP($A141, 'Matriz POA 2024-TRABAJO'!$A$5:$CY$9142,45,FALSE)</f>
        <v>#N/A</v>
      </c>
      <c r="P141" s="93" t="e">
        <f>VLOOKUP($A141, 'Matriz POA 2024-TRABAJO'!$A$5:$CY$9142,46,FALSE)</f>
        <v>#N/A</v>
      </c>
      <c r="Q141" s="93" t="e">
        <f>VLOOKUP($A141, 'Matriz POA 2024-TRABAJO'!$A$5:$CY$9142,47,FALSE)</f>
        <v>#N/A</v>
      </c>
      <c r="R141" s="94">
        <f t="shared" si="123"/>
        <v>2000</v>
      </c>
      <c r="S141" s="95" t="e">
        <f t="shared" si="124"/>
        <v>#N/A</v>
      </c>
      <c r="T141" s="93" t="e">
        <f>VLOOKUP($A141, 'Matriz POA 2024-TRABAJO'!$A$5:$CY$9142,72,FALSE)</f>
        <v>#N/A</v>
      </c>
      <c r="U141" s="93" t="e">
        <f>VLOOKUP($A141, 'Matriz POA 2024-TRABAJO'!$A$5:$CY$9142,29,FALSE)</f>
        <v>#N/A</v>
      </c>
      <c r="V141" s="94" t="str">
        <f t="shared" si="126"/>
        <v>31mg-</v>
      </c>
      <c r="W141" s="96" t="s">
        <v>1209</v>
      </c>
      <c r="X141" s="96">
        <v>45362</v>
      </c>
      <c r="Y141" s="97" t="s">
        <v>1210</v>
      </c>
      <c r="Z141" s="96">
        <v>45362</v>
      </c>
      <c r="AA141" s="98">
        <v>2000</v>
      </c>
      <c r="AB141" s="98"/>
      <c r="AC141" s="99">
        <f t="shared" si="127"/>
        <v>0</v>
      </c>
      <c r="AD141" s="100" t="s">
        <v>1211</v>
      </c>
      <c r="AE141" s="98"/>
      <c r="AF141" s="101"/>
      <c r="AG141" s="97"/>
      <c r="AH141" s="101"/>
      <c r="AI141" s="98"/>
      <c r="AJ141" s="98">
        <f t="shared" si="125"/>
        <v>0</v>
      </c>
      <c r="AK141" s="99">
        <f t="shared" si="128"/>
        <v>0</v>
      </c>
      <c r="AL141" s="99"/>
      <c r="AM141" s="93"/>
      <c r="AN141" s="96"/>
      <c r="AO141" s="97"/>
      <c r="AP141" s="101"/>
      <c r="AQ141" s="98"/>
      <c r="AR141" s="98"/>
      <c r="AS141" s="99">
        <f t="shared" si="129"/>
        <v>0</v>
      </c>
      <c r="AT141" s="99"/>
      <c r="AU141" s="96"/>
      <c r="AV141" s="96"/>
      <c r="AW141" s="93"/>
      <c r="AX141" s="96"/>
      <c r="AY141" s="98"/>
      <c r="AZ141" s="98"/>
      <c r="BA141" s="99">
        <f t="shared" si="130"/>
        <v>0</v>
      </c>
      <c r="BB141" s="99"/>
      <c r="BC141" s="96"/>
      <c r="BD141" s="96"/>
      <c r="BE141" s="93"/>
      <c r="BF141" s="96"/>
      <c r="BG141" s="102"/>
      <c r="BH141" s="102"/>
      <c r="BI141" s="93">
        <f t="shared" si="131"/>
        <v>0</v>
      </c>
      <c r="BJ141" s="93"/>
      <c r="BK141" s="93"/>
      <c r="BL141" s="103"/>
      <c r="BM141" s="93"/>
      <c r="BN141" s="103"/>
      <c r="BO141" s="94"/>
      <c r="BP141" s="94"/>
      <c r="BQ141" s="93">
        <f t="shared" si="132"/>
        <v>0</v>
      </c>
      <c r="BR141" s="93"/>
      <c r="BS141" s="93"/>
      <c r="BT141" s="103"/>
      <c r="BU141" s="93"/>
      <c r="BV141" s="103"/>
      <c r="BW141" s="94"/>
      <c r="BX141" s="94"/>
      <c r="BY141" s="93">
        <f t="shared" si="133"/>
        <v>0</v>
      </c>
      <c r="BZ141" s="93"/>
      <c r="CA141" s="104"/>
      <c r="CB141" s="105"/>
      <c r="CC141" s="106"/>
      <c r="CD141" s="107"/>
      <c r="CE141" s="94"/>
      <c r="CF141" s="94"/>
      <c r="CG141" s="93">
        <f t="shared" si="134"/>
        <v>0</v>
      </c>
      <c r="CH141" s="93"/>
      <c r="CI141" s="106"/>
      <c r="CJ141" s="105"/>
      <c r="CK141" s="93"/>
      <c r="CL141" s="105"/>
      <c r="CM141" s="108"/>
      <c r="CN141" s="108"/>
      <c r="CO141" s="93">
        <f t="shared" si="135"/>
        <v>0</v>
      </c>
      <c r="CP141" s="93"/>
      <c r="CQ141" s="93"/>
      <c r="CR141" s="93"/>
      <c r="CS141" s="93"/>
      <c r="CT141" s="93"/>
      <c r="CU141" s="93"/>
      <c r="CV141" s="93"/>
      <c r="CW141" s="93">
        <f t="shared" si="136"/>
        <v>0</v>
      </c>
      <c r="CX141" s="93"/>
      <c r="CY141" s="93" t="str">
        <f>TEXT(Z141,"MMMM")</f>
        <v>marzo</v>
      </c>
      <c r="CZ141" s="93" t="str">
        <f t="shared" si="137"/>
        <v>enero</v>
      </c>
      <c r="DA141" s="93" t="str">
        <f t="shared" si="138"/>
        <v>enero</v>
      </c>
      <c r="DB141" s="93" t="str">
        <f t="shared" si="139"/>
        <v>enero</v>
      </c>
      <c r="DC141" s="93" t="str">
        <f t="shared" si="140"/>
        <v>enero</v>
      </c>
      <c r="DD141" s="93" t="str">
        <f t="shared" si="141"/>
        <v>enero</v>
      </c>
      <c r="DE141" s="93" t="str">
        <f t="shared" si="142"/>
        <v>enero</v>
      </c>
      <c r="DF141" s="93" t="str">
        <f t="shared" si="143"/>
        <v>enero</v>
      </c>
      <c r="DG141" s="93" t="str">
        <f t="shared" si="144"/>
        <v>enero</v>
      </c>
      <c r="DH141" s="93" t="str">
        <f t="shared" si="145"/>
        <v>enero</v>
      </c>
    </row>
    <row r="142" spans="1:112" s="21" customFormat="1" ht="19.5" hidden="1" customHeight="1">
      <c r="A142" s="254">
        <v>551</v>
      </c>
      <c r="B142" s="93" t="e">
        <f>VLOOKUP($A142,  'Matriz POA 2024-TRABAJO'!$A$5:$CY$9142,29,FALSE)</f>
        <v>#N/A</v>
      </c>
      <c r="C142" s="93" t="e">
        <f>VLOOKUP($A142, 'Matriz POA 2024-TRABAJO'!$A$5:$CY$9142,11,FALSE)</f>
        <v>#N/A</v>
      </c>
      <c r="D142" s="93" t="e">
        <f>VLOOKUP($A142, 'Matriz POA 2024-TRABAJO'!$A$5:$CY$9142,14,FALSE)</f>
        <v>#N/A</v>
      </c>
      <c r="E142" s="93" t="e">
        <f>VLOOKUP($A142, 'Matriz POA 2024-TRABAJO'!$A$5:$CY$9142,15,FALSE)</f>
        <v>#N/A</v>
      </c>
      <c r="F142" s="93" t="e">
        <f>VLOOKUP($A142, 'Matriz POA 2024-TRABAJO'!$A$5:$CY$9142,18,FALSE)</f>
        <v>#N/A</v>
      </c>
      <c r="G142" s="93" t="e">
        <f>VLOOKUP($A142, 'Matriz POA 2024-TRABAJO'!$A$5:$CY$9142,23,FALSE)</f>
        <v>#N/A</v>
      </c>
      <c r="H142" s="93" t="e">
        <f>VLOOKUP($A142, 'Matriz POA 2024-TRABAJO'!$A$5:$CY$9142,24,FALSE)</f>
        <v>#N/A</v>
      </c>
      <c r="I142" s="93" t="e">
        <f>VLOOKUP($A142, 'Matriz POA 2024-TRABAJO'!$A$5:$CY$9142,20,FALSE)</f>
        <v>#N/A</v>
      </c>
      <c r="J142" s="93" t="e">
        <f>VLOOKUP($A142, 'Matriz POA 2024-TRABAJO'!$A$5:$CY$9142,26,FALSE)</f>
        <v>#N/A</v>
      </c>
      <c r="K142" s="93" t="e">
        <f>VLOOKUP($A142, 'Matriz POA 2024-TRABAJO'!$A$5:$CY$9142,27,FALSE)</f>
        <v>#N/A</v>
      </c>
      <c r="L142" s="93" t="e">
        <f>VLOOKUP($A142, 'Matriz POA 2024-TRABAJO'!$A$5:$CY$9142,28,FALSE)</f>
        <v>#N/A</v>
      </c>
      <c r="M142" s="93" t="e">
        <f>VLOOKUP($A142, 'Matriz POA 2024-TRABAJO'!$A$5:$CY$9142,30,FALSE)</f>
        <v>#N/A</v>
      </c>
      <c r="N142" s="93" t="e">
        <f>VLOOKUP($A142, 'Matriz POA 2024-TRABAJO'!$A$5:$CY$9142,31,FALSE)</f>
        <v>#N/A</v>
      </c>
      <c r="O142" s="93" t="e">
        <f>VLOOKUP($A142, 'Matriz POA 2024-TRABAJO'!$A$5:$CY$9142,45,FALSE)</f>
        <v>#N/A</v>
      </c>
      <c r="P142" s="93" t="e">
        <f>VLOOKUP($A142, 'Matriz POA 2024-TRABAJO'!$A$5:$CY$9142,46,FALSE)</f>
        <v>#N/A</v>
      </c>
      <c r="Q142" s="93" t="e">
        <f>VLOOKUP($A142, 'Matriz POA 2024-TRABAJO'!$A$5:$CY$9142,47,FALSE)</f>
        <v>#N/A</v>
      </c>
      <c r="R142" s="94">
        <f t="shared" si="123"/>
        <v>6659</v>
      </c>
      <c r="S142" s="95" t="e">
        <f t="shared" si="124"/>
        <v>#N/A</v>
      </c>
      <c r="T142" s="93" t="e">
        <f>VLOOKUP($A142, 'Matriz POA 2024-TRABAJO'!$A$5:$CY$9142,72,FALSE)</f>
        <v>#N/A</v>
      </c>
      <c r="U142" s="93" t="e">
        <f>VLOOKUP($A142, 'Matriz POA 2024-TRABAJO'!$A$5:$CY$9142,29,FALSE)</f>
        <v>#N/A</v>
      </c>
      <c r="V142" s="94" t="str">
        <f t="shared" si="126"/>
        <v>33ar-</v>
      </c>
      <c r="W142" s="96" t="s">
        <v>1212</v>
      </c>
      <c r="X142" s="96">
        <v>45362</v>
      </c>
      <c r="Y142" s="97"/>
      <c r="Z142" s="96">
        <v>45363</v>
      </c>
      <c r="AA142" s="98">
        <v>6659</v>
      </c>
      <c r="AB142" s="98"/>
      <c r="AC142" s="99">
        <f t="shared" si="127"/>
        <v>1</v>
      </c>
      <c r="AD142" s="100" t="s">
        <v>1213</v>
      </c>
      <c r="AE142" s="98"/>
      <c r="AF142" s="101"/>
      <c r="AG142" s="97"/>
      <c r="AH142" s="101"/>
      <c r="AI142" s="98"/>
      <c r="AJ142" s="98">
        <f t="shared" si="125"/>
        <v>0</v>
      </c>
      <c r="AK142" s="99">
        <f t="shared" si="128"/>
        <v>0</v>
      </c>
      <c r="AL142" s="378"/>
      <c r="AN142" s="379"/>
      <c r="AO142" s="97"/>
      <c r="AP142" s="101"/>
      <c r="AQ142" s="98"/>
      <c r="AR142" s="98"/>
      <c r="AS142" s="99">
        <f t="shared" si="129"/>
        <v>0</v>
      </c>
      <c r="AT142" s="99"/>
      <c r="AU142" s="96"/>
      <c r="AV142" s="96"/>
      <c r="AW142" s="93"/>
      <c r="AX142" s="96"/>
      <c r="AY142" s="98"/>
      <c r="AZ142" s="98"/>
      <c r="BA142" s="99">
        <f t="shared" si="130"/>
        <v>0</v>
      </c>
      <c r="BB142" s="99"/>
      <c r="BC142" s="96"/>
      <c r="BD142" s="96"/>
      <c r="BE142" s="93"/>
      <c r="BF142" s="96"/>
      <c r="BG142" s="102"/>
      <c r="BH142" s="102"/>
      <c r="BI142" s="93">
        <f t="shared" si="131"/>
        <v>0</v>
      </c>
      <c r="BJ142" s="93"/>
      <c r="BK142" s="93"/>
      <c r="BL142" s="103"/>
      <c r="BM142" s="93"/>
      <c r="BN142" s="103"/>
      <c r="BO142" s="94"/>
      <c r="BP142" s="94"/>
      <c r="BQ142" s="93">
        <f t="shared" si="132"/>
        <v>0</v>
      </c>
      <c r="BR142" s="93"/>
      <c r="BS142" s="93"/>
      <c r="BT142" s="103"/>
      <c r="BU142" s="93"/>
      <c r="BV142" s="103"/>
      <c r="BW142" s="94"/>
      <c r="BX142" s="94"/>
      <c r="BY142" s="93">
        <f t="shared" si="133"/>
        <v>0</v>
      </c>
      <c r="BZ142" s="93"/>
      <c r="CA142" s="104"/>
      <c r="CB142" s="105"/>
      <c r="CC142" s="106"/>
      <c r="CD142" s="107"/>
      <c r="CE142" s="94"/>
      <c r="CF142" s="94"/>
      <c r="CG142" s="93">
        <f t="shared" si="134"/>
        <v>0</v>
      </c>
      <c r="CH142" s="93"/>
      <c r="CI142" s="106"/>
      <c r="CJ142" s="105"/>
      <c r="CK142" s="93"/>
      <c r="CL142" s="105"/>
      <c r="CM142" s="108"/>
      <c r="CN142" s="108"/>
      <c r="CO142" s="93">
        <f t="shared" si="135"/>
        <v>0</v>
      </c>
      <c r="CP142" s="93"/>
      <c r="CQ142" s="93"/>
      <c r="CR142" s="93"/>
      <c r="CS142" s="93"/>
      <c r="CT142" s="93"/>
      <c r="CU142" s="93"/>
      <c r="CV142" s="93"/>
      <c r="CW142" s="93">
        <f t="shared" si="136"/>
        <v>0</v>
      </c>
      <c r="CX142" s="93"/>
      <c r="CY142" s="93" t="str">
        <f>TEXT(Z142,"MMMM")</f>
        <v>marzo</v>
      </c>
      <c r="CZ142" s="93" t="str">
        <f t="shared" si="137"/>
        <v>enero</v>
      </c>
      <c r="DA142" s="93" t="str">
        <f t="shared" si="138"/>
        <v>enero</v>
      </c>
      <c r="DB142" s="93" t="str">
        <f t="shared" si="139"/>
        <v>enero</v>
      </c>
      <c r="DC142" s="93" t="str">
        <f t="shared" si="140"/>
        <v>enero</v>
      </c>
      <c r="DD142" s="93" t="str">
        <f t="shared" si="141"/>
        <v>enero</v>
      </c>
      <c r="DE142" s="93" t="str">
        <f t="shared" si="142"/>
        <v>enero</v>
      </c>
      <c r="DF142" s="93" t="str">
        <f t="shared" si="143"/>
        <v>enero</v>
      </c>
      <c r="DG142" s="93" t="str">
        <f t="shared" si="144"/>
        <v>enero</v>
      </c>
      <c r="DH142" s="93" t="str">
        <f t="shared" si="145"/>
        <v>enero</v>
      </c>
    </row>
    <row r="143" spans="1:112" s="21" customFormat="1" ht="19.5" hidden="1" customHeight="1">
      <c r="A143" s="254">
        <v>798</v>
      </c>
      <c r="B143" s="93" t="e">
        <f>VLOOKUP($A143,  'Matriz POA 2024-TRABAJO'!$A$5:$CY$9142,29,FALSE)</f>
        <v>#N/A</v>
      </c>
      <c r="C143" s="93" t="e">
        <f>VLOOKUP($A143, 'Matriz POA 2024-TRABAJO'!$A$5:$CY$9142,11,FALSE)</f>
        <v>#N/A</v>
      </c>
      <c r="D143" s="93" t="e">
        <f>VLOOKUP($A143, 'Matriz POA 2024-TRABAJO'!$A$5:$CY$9142,14,FALSE)</f>
        <v>#N/A</v>
      </c>
      <c r="E143" s="93" t="e">
        <f>VLOOKUP($A143, 'Matriz POA 2024-TRABAJO'!$A$5:$CY$9142,15,FALSE)</f>
        <v>#N/A</v>
      </c>
      <c r="F143" s="93" t="e">
        <f>VLOOKUP($A143, 'Matriz POA 2024-TRABAJO'!$A$5:$CY$9142,18,FALSE)</f>
        <v>#N/A</v>
      </c>
      <c r="G143" s="93" t="e">
        <f>VLOOKUP($A143, 'Matriz POA 2024-TRABAJO'!$A$5:$CY$9142,23,FALSE)</f>
        <v>#N/A</v>
      </c>
      <c r="H143" s="93" t="e">
        <f>VLOOKUP($A143, 'Matriz POA 2024-TRABAJO'!$A$5:$CY$9142,24,FALSE)</f>
        <v>#N/A</v>
      </c>
      <c r="I143" s="93" t="e">
        <f>VLOOKUP($A143, 'Matriz POA 2024-TRABAJO'!$A$5:$CY$9142,20,FALSE)</f>
        <v>#N/A</v>
      </c>
      <c r="J143" s="93" t="e">
        <f>VLOOKUP($A143, 'Matriz POA 2024-TRABAJO'!$A$5:$CY$9142,26,FALSE)</f>
        <v>#N/A</v>
      </c>
      <c r="K143" s="93" t="e">
        <f>VLOOKUP($A143, 'Matriz POA 2024-TRABAJO'!$A$5:$CY$9142,27,FALSE)</f>
        <v>#N/A</v>
      </c>
      <c r="L143" s="93" t="e">
        <f>VLOOKUP($A143, 'Matriz POA 2024-TRABAJO'!$A$5:$CY$9142,28,FALSE)</f>
        <v>#N/A</v>
      </c>
      <c r="M143" s="93" t="e">
        <f>VLOOKUP($A143, 'Matriz POA 2024-TRABAJO'!$A$5:$CY$9142,30,FALSE)</f>
        <v>#N/A</v>
      </c>
      <c r="N143" s="93" t="e">
        <f>VLOOKUP($A143, 'Matriz POA 2024-TRABAJO'!$A$5:$CY$9142,31,FALSE)</f>
        <v>#N/A</v>
      </c>
      <c r="O143" s="93" t="e">
        <f>VLOOKUP($A143, 'Matriz POA 2024-TRABAJO'!$A$5:$CY$9142,45,FALSE)</f>
        <v>#N/A</v>
      </c>
      <c r="P143" s="93" t="e">
        <f>VLOOKUP($A143, 'Matriz POA 2024-TRABAJO'!$A$5:$CY$9142,46,FALSE)</f>
        <v>#N/A</v>
      </c>
      <c r="Q143" s="93" t="e">
        <f>VLOOKUP($A143, 'Matriz POA 2024-TRABAJO'!$A$5:$CY$9142,47,FALSE)</f>
        <v>#N/A</v>
      </c>
      <c r="R143" s="94">
        <f t="shared" si="123"/>
        <v>8109</v>
      </c>
      <c r="S143" s="95" t="e">
        <f t="shared" si="124"/>
        <v>#N/A</v>
      </c>
      <c r="T143" s="93" t="e">
        <f>VLOOKUP($A143, 'Matriz POA 2024-TRABAJO'!$A$5:$CY$9142,72,FALSE)</f>
        <v>#N/A</v>
      </c>
      <c r="U143" s="93" t="e">
        <f>VLOOKUP($A143, 'Matriz POA 2024-TRABAJO'!$A$5:$CY$9142,29,FALSE)</f>
        <v>#N/A</v>
      </c>
      <c r="V143" s="94" t="str">
        <f t="shared" si="126"/>
        <v>34MG-</v>
      </c>
      <c r="W143" s="97" t="s">
        <v>1214</v>
      </c>
      <c r="X143" s="109">
        <v>45359</v>
      </c>
      <c r="Y143" s="99" t="s">
        <v>1215</v>
      </c>
      <c r="Z143" s="109">
        <v>45363</v>
      </c>
      <c r="AA143" s="98">
        <v>8109</v>
      </c>
      <c r="AB143" s="98"/>
      <c r="AC143" s="99">
        <f t="shared" si="127"/>
        <v>4</v>
      </c>
      <c r="AD143" s="110" t="s">
        <v>1216</v>
      </c>
      <c r="AE143" s="98"/>
      <c r="AF143" s="101"/>
      <c r="AG143" s="97"/>
      <c r="AH143" s="101"/>
      <c r="AI143" s="98"/>
      <c r="AJ143" s="98">
        <f t="shared" si="125"/>
        <v>0</v>
      </c>
      <c r="AK143" s="99">
        <f t="shared" si="128"/>
        <v>0</v>
      </c>
      <c r="AL143" s="99"/>
      <c r="AM143" s="93"/>
      <c r="AN143" s="96"/>
      <c r="AO143" s="97"/>
      <c r="AP143" s="101"/>
      <c r="AQ143" s="98"/>
      <c r="AR143" s="98"/>
      <c r="AS143" s="99">
        <f t="shared" si="129"/>
        <v>0</v>
      </c>
      <c r="AT143" s="99"/>
      <c r="AU143" s="96"/>
      <c r="AV143" s="96"/>
      <c r="AW143" s="93"/>
      <c r="AX143" s="96"/>
      <c r="AY143" s="98"/>
      <c r="AZ143" s="98"/>
      <c r="BA143" s="99">
        <f t="shared" si="130"/>
        <v>0</v>
      </c>
      <c r="BB143" s="99"/>
      <c r="BC143" s="96"/>
      <c r="BD143" s="96"/>
      <c r="BE143" s="93"/>
      <c r="BF143" s="96"/>
      <c r="BG143" s="102"/>
      <c r="BH143" s="102"/>
      <c r="BI143" s="93">
        <f t="shared" si="131"/>
        <v>0</v>
      </c>
      <c r="BJ143" s="93"/>
      <c r="BK143" s="93"/>
      <c r="BL143" s="103"/>
      <c r="BM143" s="93"/>
      <c r="BN143" s="103"/>
      <c r="BO143" s="94"/>
      <c r="BP143" s="94"/>
      <c r="BQ143" s="93">
        <f t="shared" si="132"/>
        <v>0</v>
      </c>
      <c r="BR143" s="93"/>
      <c r="BS143" s="93"/>
      <c r="BT143" s="103"/>
      <c r="BU143" s="93"/>
      <c r="BV143" s="103"/>
      <c r="BW143" s="94"/>
      <c r="BX143" s="94"/>
      <c r="BY143" s="93">
        <f t="shared" si="133"/>
        <v>0</v>
      </c>
      <c r="BZ143" s="93"/>
      <c r="CA143" s="104"/>
      <c r="CB143" s="105"/>
      <c r="CC143" s="106"/>
      <c r="CD143" s="107"/>
      <c r="CE143" s="94"/>
      <c r="CF143" s="94"/>
      <c r="CG143" s="93">
        <f t="shared" si="134"/>
        <v>0</v>
      </c>
      <c r="CH143" s="93"/>
      <c r="CI143" s="106"/>
      <c r="CJ143" s="105"/>
      <c r="CK143" s="93"/>
      <c r="CL143" s="105"/>
      <c r="CM143" s="108"/>
      <c r="CN143" s="108"/>
      <c r="CO143" s="93">
        <f t="shared" si="135"/>
        <v>0</v>
      </c>
      <c r="CP143" s="93"/>
      <c r="CQ143" s="93"/>
      <c r="CR143" s="93"/>
      <c r="CS143" s="93"/>
      <c r="CT143" s="93"/>
      <c r="CU143" s="93"/>
      <c r="CV143" s="93"/>
      <c r="CW143" s="93">
        <f t="shared" si="136"/>
        <v>0</v>
      </c>
      <c r="CX143" s="93"/>
      <c r="CY143" s="93" t="str">
        <f>TEXT(X143,"MMMM")</f>
        <v>marzo</v>
      </c>
      <c r="CZ143" s="93" t="str">
        <f t="shared" si="137"/>
        <v>enero</v>
      </c>
      <c r="DA143" s="93" t="str">
        <f t="shared" si="138"/>
        <v>enero</v>
      </c>
      <c r="DB143" s="93" t="str">
        <f t="shared" si="139"/>
        <v>enero</v>
      </c>
      <c r="DC143" s="93" t="str">
        <f t="shared" si="140"/>
        <v>enero</v>
      </c>
      <c r="DD143" s="93" t="str">
        <f t="shared" si="141"/>
        <v>enero</v>
      </c>
      <c r="DE143" s="93" t="str">
        <f t="shared" si="142"/>
        <v>enero</v>
      </c>
      <c r="DF143" s="93" t="str">
        <f t="shared" si="143"/>
        <v>enero</v>
      </c>
      <c r="DG143" s="93" t="str">
        <f t="shared" si="144"/>
        <v>enero</v>
      </c>
      <c r="DH143" s="93" t="str">
        <f t="shared" si="145"/>
        <v>enero</v>
      </c>
    </row>
    <row r="144" spans="1:112" s="21" customFormat="1" ht="19.5" hidden="1" customHeight="1">
      <c r="A144" s="254">
        <v>50</v>
      </c>
      <c r="B144" s="93" t="e">
        <f>VLOOKUP($A144,  'Matriz POA 2024-TRABAJO'!$A$5:$CY$9142,29,FALSE)</f>
        <v>#N/A</v>
      </c>
      <c r="C144" s="93" t="e">
        <f>VLOOKUP($A144, 'Matriz POA 2024-TRABAJO'!$A$5:$CY$9142,11,FALSE)</f>
        <v>#N/A</v>
      </c>
      <c r="D144" s="93" t="e">
        <f>VLOOKUP($A144, 'Matriz POA 2024-TRABAJO'!$A$5:$CY$9142,14,FALSE)</f>
        <v>#N/A</v>
      </c>
      <c r="E144" s="93" t="e">
        <f>VLOOKUP($A144, 'Matriz POA 2024-TRABAJO'!$A$5:$CY$9142,15,FALSE)</f>
        <v>#N/A</v>
      </c>
      <c r="F144" s="93" t="e">
        <f>VLOOKUP($A144, 'Matriz POA 2024-TRABAJO'!$A$5:$CY$9142,18,FALSE)</f>
        <v>#N/A</v>
      </c>
      <c r="G144" s="93" t="e">
        <f>VLOOKUP($A144, 'Matriz POA 2024-TRABAJO'!$A$5:$CY$9142,23,FALSE)</f>
        <v>#N/A</v>
      </c>
      <c r="H144" s="93" t="e">
        <f>VLOOKUP($A144, 'Matriz POA 2024-TRABAJO'!$A$5:$CY$9142,24,FALSE)</f>
        <v>#N/A</v>
      </c>
      <c r="I144" s="93" t="e">
        <f>VLOOKUP($A144, 'Matriz POA 2024-TRABAJO'!$A$5:$CY$9142,20,FALSE)</f>
        <v>#N/A</v>
      </c>
      <c r="J144" s="93" t="e">
        <f>VLOOKUP($A144, 'Matriz POA 2024-TRABAJO'!$A$5:$CY$9142,26,FALSE)</f>
        <v>#N/A</v>
      </c>
      <c r="K144" s="93" t="e">
        <f>VLOOKUP($A144, 'Matriz POA 2024-TRABAJO'!$A$5:$CY$9142,27,FALSE)</f>
        <v>#N/A</v>
      </c>
      <c r="L144" s="93" t="e">
        <f>VLOOKUP($A144, 'Matriz POA 2024-TRABAJO'!$A$5:$CY$9142,28,FALSE)</f>
        <v>#N/A</v>
      </c>
      <c r="M144" s="93" t="e">
        <f>VLOOKUP($A144, 'Matriz POA 2024-TRABAJO'!$A$5:$CY$9142,30,FALSE)</f>
        <v>#N/A</v>
      </c>
      <c r="N144" s="93" t="e">
        <f>VLOOKUP($A144, 'Matriz POA 2024-TRABAJO'!$A$5:$CY$9142,31,FALSE)</f>
        <v>#N/A</v>
      </c>
      <c r="O144" s="93" t="e">
        <f>VLOOKUP($A144, 'Matriz POA 2024-TRABAJO'!$A$5:$CY$9142,45,FALSE)</f>
        <v>#N/A</v>
      </c>
      <c r="P144" s="93" t="e">
        <f>VLOOKUP($A144, 'Matriz POA 2024-TRABAJO'!$A$5:$CY$9142,46,FALSE)</f>
        <v>#N/A</v>
      </c>
      <c r="Q144" s="93" t="e">
        <f>VLOOKUP($A144, 'Matriz POA 2024-TRABAJO'!$A$5:$CY$9142,47,FALSE)</f>
        <v>#N/A</v>
      </c>
      <c r="R144" s="94">
        <f t="shared" si="123"/>
        <v>1857.3600000000001</v>
      </c>
      <c r="S144" s="95" t="e">
        <f t="shared" si="124"/>
        <v>#N/A</v>
      </c>
      <c r="T144" s="93" t="e">
        <f>VLOOKUP($A144, 'Matriz POA 2024-TRABAJO'!$A$5:$CY$9142,72,FALSE)</f>
        <v>#N/A</v>
      </c>
      <c r="U144" s="93" t="e">
        <f>VLOOKUP($A144, 'Matriz POA 2024-TRABAJO'!$A$5:$CY$9142,29,FALSE)</f>
        <v>#N/A</v>
      </c>
      <c r="V144" s="94" t="str">
        <f t="shared" si="126"/>
        <v>35ar-lp-83ar-</v>
      </c>
      <c r="W144" s="96" t="s">
        <v>1217</v>
      </c>
      <c r="X144" s="96">
        <v>45362</v>
      </c>
      <c r="Y144" s="97"/>
      <c r="Z144" s="96">
        <v>45364</v>
      </c>
      <c r="AA144" s="98">
        <v>1500</v>
      </c>
      <c r="AB144" s="98"/>
      <c r="AC144" s="99">
        <f t="shared" si="127"/>
        <v>2</v>
      </c>
      <c r="AD144" s="100" t="s">
        <v>1218</v>
      </c>
      <c r="AE144" s="98" t="s">
        <v>1868</v>
      </c>
      <c r="AF144" s="101">
        <v>45450</v>
      </c>
      <c r="AG144" s="97"/>
      <c r="AH144" s="101">
        <v>45454</v>
      </c>
      <c r="AI144">
        <v>-653.03</v>
      </c>
      <c r="AJ144" s="98"/>
      <c r="AK144" s="99">
        <f t="shared" si="128"/>
        <v>4</v>
      </c>
      <c r="AL144" s="99" t="s">
        <v>1109</v>
      </c>
      <c r="AM144" s="21" t="s">
        <v>1868</v>
      </c>
      <c r="AN144" s="96">
        <v>45450</v>
      </c>
      <c r="AO144" s="97"/>
      <c r="AP144" s="101">
        <v>45454</v>
      </c>
      <c r="AQ144" s="98">
        <v>1010.39</v>
      </c>
      <c r="AR144" s="98"/>
      <c r="AS144" s="99">
        <f t="shared" si="129"/>
        <v>4</v>
      </c>
      <c r="AT144" s="99" t="s">
        <v>1869</v>
      </c>
      <c r="AU144" s="96"/>
      <c r="AV144" s="96"/>
      <c r="AW144" s="93"/>
      <c r="AX144" s="96"/>
      <c r="AY144" s="98"/>
      <c r="AZ144" s="98"/>
      <c r="BA144" s="99">
        <f t="shared" si="130"/>
        <v>0</v>
      </c>
      <c r="BB144" s="99"/>
      <c r="BC144" s="96"/>
      <c r="BD144" s="96"/>
      <c r="BE144" s="93"/>
      <c r="BF144" s="96"/>
      <c r="BG144" s="102"/>
      <c r="BH144" s="102"/>
      <c r="BI144" s="93">
        <f t="shared" si="131"/>
        <v>0</v>
      </c>
      <c r="BJ144" s="93"/>
      <c r="BK144" s="93"/>
      <c r="BL144" s="103"/>
      <c r="BM144" s="93"/>
      <c r="BN144" s="103"/>
      <c r="BO144" s="94"/>
      <c r="BP144" s="94"/>
      <c r="BQ144" s="93">
        <f t="shared" si="132"/>
        <v>0</v>
      </c>
      <c r="BR144" s="93"/>
      <c r="BS144" s="93"/>
      <c r="BT144" s="103"/>
      <c r="BU144" s="93"/>
      <c r="BV144" s="103"/>
      <c r="BW144" s="94"/>
      <c r="BX144" s="94"/>
      <c r="BY144" s="93">
        <f t="shared" si="133"/>
        <v>0</v>
      </c>
      <c r="BZ144" s="93"/>
      <c r="CA144" s="104"/>
      <c r="CB144" s="105"/>
      <c r="CC144" s="106"/>
      <c r="CD144" s="107"/>
      <c r="CE144" s="94"/>
      <c r="CF144" s="94"/>
      <c r="CG144" s="93">
        <f t="shared" si="134"/>
        <v>0</v>
      </c>
      <c r="CH144" s="93"/>
      <c r="CI144" s="106"/>
      <c r="CJ144" s="105"/>
      <c r="CK144" s="93"/>
      <c r="CL144" s="105"/>
      <c r="CM144" s="108"/>
      <c r="CN144" s="108"/>
      <c r="CO144" s="93">
        <f t="shared" si="135"/>
        <v>0</v>
      </c>
      <c r="CP144" s="93"/>
      <c r="CQ144" s="93"/>
      <c r="CR144" s="93"/>
      <c r="CS144" s="93"/>
      <c r="CT144" s="93"/>
      <c r="CU144" s="93"/>
      <c r="CV144" s="93"/>
      <c r="CW144" s="93">
        <f t="shared" si="136"/>
        <v>0</v>
      </c>
      <c r="CX144" s="93"/>
      <c r="CY144" s="93" t="str">
        <f>TEXT(Z144,"MMMM")</f>
        <v>marzo</v>
      </c>
      <c r="CZ144" s="93" t="str">
        <f t="shared" si="137"/>
        <v>junio</v>
      </c>
      <c r="DA144" s="93" t="str">
        <f t="shared" si="138"/>
        <v>junio</v>
      </c>
      <c r="DB144" s="93" t="str">
        <f t="shared" si="139"/>
        <v>enero</v>
      </c>
      <c r="DC144" s="93" t="str">
        <f t="shared" si="140"/>
        <v>enero</v>
      </c>
      <c r="DD144" s="93" t="str">
        <f t="shared" si="141"/>
        <v>enero</v>
      </c>
      <c r="DE144" s="93" t="str">
        <f t="shared" si="142"/>
        <v>enero</v>
      </c>
      <c r="DF144" s="93" t="str">
        <f t="shared" si="143"/>
        <v>enero</v>
      </c>
      <c r="DG144" s="93" t="str">
        <f t="shared" si="144"/>
        <v>enero</v>
      </c>
      <c r="DH144" s="93" t="str">
        <f t="shared" si="145"/>
        <v>enero</v>
      </c>
    </row>
    <row r="145" spans="1:112" s="21" customFormat="1" ht="19.5" hidden="1" customHeight="1">
      <c r="A145" s="255">
        <v>59</v>
      </c>
      <c r="B145" s="218" t="e">
        <f>VLOOKUP($A145,  'Matriz POA 2024-TRABAJO'!$A$5:$CY$9142,29,FALSE)</f>
        <v>#N/A</v>
      </c>
      <c r="C145" s="218" t="e">
        <f>VLOOKUP($A145, 'Matriz POA 2024-TRABAJO'!$A$5:$CY$9142,11,FALSE)</f>
        <v>#N/A</v>
      </c>
      <c r="D145" s="218" t="e">
        <f>VLOOKUP($A145, 'Matriz POA 2024-TRABAJO'!$A$5:$CY$9142,14,FALSE)</f>
        <v>#N/A</v>
      </c>
      <c r="E145" s="218" t="e">
        <f>VLOOKUP($A145, 'Matriz POA 2024-TRABAJO'!$A$5:$CY$9142,15,FALSE)</f>
        <v>#N/A</v>
      </c>
      <c r="F145" s="218" t="e">
        <f>VLOOKUP($A145, 'Matriz POA 2024-TRABAJO'!$A$5:$CY$9142,18,FALSE)</f>
        <v>#N/A</v>
      </c>
      <c r="G145" s="218" t="e">
        <f>VLOOKUP($A145, 'Matriz POA 2024-TRABAJO'!$A$5:$CY$9142,23,FALSE)</f>
        <v>#N/A</v>
      </c>
      <c r="H145" s="218" t="e">
        <f>VLOOKUP($A145, 'Matriz POA 2024-TRABAJO'!$A$5:$CY$9142,24,FALSE)</f>
        <v>#N/A</v>
      </c>
      <c r="I145" s="218" t="e">
        <f>VLOOKUP($A145, 'Matriz POA 2024-TRABAJO'!$A$5:$CY$9142,20,FALSE)</f>
        <v>#N/A</v>
      </c>
      <c r="J145" s="218" t="e">
        <f>VLOOKUP($A145, 'Matriz POA 2024-TRABAJO'!$A$5:$CY$9142,26,FALSE)</f>
        <v>#N/A</v>
      </c>
      <c r="K145" s="218" t="e">
        <f>VLOOKUP($A145, 'Matriz POA 2024-TRABAJO'!$A$5:$CY$9142,27,FALSE)</f>
        <v>#N/A</v>
      </c>
      <c r="L145" s="218" t="e">
        <f>VLOOKUP($A145, 'Matriz POA 2024-TRABAJO'!$A$5:$CY$9142,28,FALSE)</f>
        <v>#N/A</v>
      </c>
      <c r="M145" s="218" t="e">
        <f>VLOOKUP($A145, 'Matriz POA 2024-TRABAJO'!$A$5:$CY$9142,30,FALSE)</f>
        <v>#N/A</v>
      </c>
      <c r="N145" s="218" t="e">
        <f>VLOOKUP($A145, 'Matriz POA 2024-TRABAJO'!$A$5:$CY$9142,31,FALSE)</f>
        <v>#N/A</v>
      </c>
      <c r="O145" s="218" t="e">
        <f>VLOOKUP($A145, 'Matriz POA 2024-TRABAJO'!$A$5:$CY$9142,45,FALSE)</f>
        <v>#N/A</v>
      </c>
      <c r="P145" s="218" t="e">
        <f>VLOOKUP($A145, 'Matriz POA 2024-TRABAJO'!$A$5:$CY$9142,46,FALSE)</f>
        <v>#N/A</v>
      </c>
      <c r="Q145" s="93" t="e">
        <f>VLOOKUP($A145, 'Matriz POA 2024-TRABAJO'!$A$5:$CY$9142,47,FALSE)</f>
        <v>#N/A</v>
      </c>
      <c r="R145" s="94">
        <f t="shared" si="123"/>
        <v>2585</v>
      </c>
      <c r="S145" s="95" t="e">
        <f t="shared" si="124"/>
        <v>#N/A</v>
      </c>
      <c r="T145" s="93" t="e">
        <f>VLOOKUP($A145, 'Matriz POA 2024-TRABAJO'!$A$5:$CY$9142,72,FALSE)</f>
        <v>#N/A</v>
      </c>
      <c r="U145" s="93" t="e">
        <f>VLOOKUP($A145, 'Matriz POA 2024-TRABAJO'!$A$5:$CY$9142,29,FALSE)</f>
        <v>#N/A</v>
      </c>
      <c r="V145" s="219" t="str">
        <f t="shared" si="126"/>
        <v>36MG-lp-83ar-</v>
      </c>
      <c r="W145" s="97" t="s">
        <v>1219</v>
      </c>
      <c r="X145" s="109">
        <v>45364</v>
      </c>
      <c r="Y145" s="99" t="s">
        <v>1220</v>
      </c>
      <c r="Z145" s="109">
        <v>45364</v>
      </c>
      <c r="AA145" s="98">
        <v>1820</v>
      </c>
      <c r="AB145" s="98"/>
      <c r="AC145" s="99">
        <f t="shared" si="127"/>
        <v>0</v>
      </c>
      <c r="AD145" s="110" t="s">
        <v>1221</v>
      </c>
      <c r="AE145" s="98" t="s">
        <v>1868</v>
      </c>
      <c r="AF145" s="101">
        <v>45450</v>
      </c>
      <c r="AG145" s="97"/>
      <c r="AH145" s="101">
        <v>45454</v>
      </c>
      <c r="AI145" s="98">
        <v>-1820</v>
      </c>
      <c r="AJ145" s="98"/>
      <c r="AK145" s="99">
        <f t="shared" si="128"/>
        <v>4</v>
      </c>
      <c r="AL145" s="99" t="s">
        <v>1109</v>
      </c>
      <c r="AM145" s="93" t="s">
        <v>1868</v>
      </c>
      <c r="AN145" s="96">
        <v>45450</v>
      </c>
      <c r="AO145" s="97"/>
      <c r="AP145" s="101">
        <v>45454</v>
      </c>
      <c r="AQ145" s="98">
        <v>2585</v>
      </c>
      <c r="AR145" s="98"/>
      <c r="AS145" s="99">
        <f t="shared" si="129"/>
        <v>4</v>
      </c>
      <c r="AT145" s="99" t="s">
        <v>1869</v>
      </c>
      <c r="AU145" s="96"/>
      <c r="AV145" s="96"/>
      <c r="AW145" s="93"/>
      <c r="AX145" s="96"/>
      <c r="AY145" s="98"/>
      <c r="AZ145" s="98"/>
      <c r="BA145" s="99">
        <f t="shared" si="130"/>
        <v>0</v>
      </c>
      <c r="BB145" s="99"/>
      <c r="BC145" s="96"/>
      <c r="BD145" s="96"/>
      <c r="BE145" s="93"/>
      <c r="BF145" s="96"/>
      <c r="BG145" s="102"/>
      <c r="BH145" s="102"/>
      <c r="BI145" s="93">
        <f t="shared" si="131"/>
        <v>0</v>
      </c>
      <c r="BJ145" s="93"/>
      <c r="BK145" s="93"/>
      <c r="BL145" s="103"/>
      <c r="BM145" s="93"/>
      <c r="BN145" s="103"/>
      <c r="BO145" s="94"/>
      <c r="BP145" s="94"/>
      <c r="BQ145" s="93">
        <f t="shared" si="132"/>
        <v>0</v>
      </c>
      <c r="BR145" s="93"/>
      <c r="BS145" s="93"/>
      <c r="BT145" s="103"/>
      <c r="BU145" s="93"/>
      <c r="BV145" s="103"/>
      <c r="BW145" s="94"/>
      <c r="BX145" s="94"/>
      <c r="BY145" s="93">
        <f t="shared" si="133"/>
        <v>0</v>
      </c>
      <c r="BZ145" s="93"/>
      <c r="CA145" s="104"/>
      <c r="CB145" s="105"/>
      <c r="CC145" s="106"/>
      <c r="CD145" s="107"/>
      <c r="CE145" s="94"/>
      <c r="CF145" s="94"/>
      <c r="CG145" s="93">
        <f t="shared" si="134"/>
        <v>0</v>
      </c>
      <c r="CH145" s="93"/>
      <c r="CI145" s="106"/>
      <c r="CJ145" s="105"/>
      <c r="CK145" s="93"/>
      <c r="CL145" s="105"/>
      <c r="CM145" s="108"/>
      <c r="CN145" s="108"/>
      <c r="CO145" s="93">
        <f t="shared" si="135"/>
        <v>0</v>
      </c>
      <c r="CP145" s="93"/>
      <c r="CQ145" s="93"/>
      <c r="CR145" s="93"/>
      <c r="CS145" s="93"/>
      <c r="CT145" s="93"/>
      <c r="CU145" s="93"/>
      <c r="CV145" s="93"/>
      <c r="CW145" s="93">
        <f t="shared" si="136"/>
        <v>0</v>
      </c>
      <c r="CX145" s="93"/>
      <c r="CY145" s="93" t="str">
        <f>TEXT(X145,"MMMM")</f>
        <v>marzo</v>
      </c>
      <c r="CZ145" s="93" t="str">
        <f t="shared" si="137"/>
        <v>junio</v>
      </c>
      <c r="DA145" s="93" t="str">
        <f t="shared" si="138"/>
        <v>junio</v>
      </c>
      <c r="DB145" s="93" t="str">
        <f t="shared" si="139"/>
        <v>enero</v>
      </c>
      <c r="DC145" s="93" t="str">
        <f t="shared" si="140"/>
        <v>enero</v>
      </c>
      <c r="DD145" s="93" t="str">
        <f t="shared" si="141"/>
        <v>enero</v>
      </c>
      <c r="DE145" s="93" t="str">
        <f t="shared" si="142"/>
        <v>enero</v>
      </c>
      <c r="DF145" s="93" t="str">
        <f t="shared" si="143"/>
        <v>enero</v>
      </c>
      <c r="DG145" s="93" t="str">
        <f t="shared" si="144"/>
        <v>enero</v>
      </c>
      <c r="DH145" s="93" t="str">
        <f t="shared" si="145"/>
        <v>enero</v>
      </c>
    </row>
    <row r="146" spans="1:112" s="21" customFormat="1" ht="19.5" hidden="1" customHeight="1">
      <c r="A146" s="255">
        <v>61</v>
      </c>
      <c r="B146" s="218" t="e">
        <f>VLOOKUP($A146,  'Matriz POA 2024-TRABAJO'!$A$5:$CY$9142,29,FALSE)</f>
        <v>#N/A</v>
      </c>
      <c r="C146" s="218" t="e">
        <f>VLOOKUP($A146, 'Matriz POA 2024-TRABAJO'!$A$5:$CY$9142,11,FALSE)</f>
        <v>#N/A</v>
      </c>
      <c r="D146" s="218" t="e">
        <f>VLOOKUP($A146, 'Matriz POA 2024-TRABAJO'!$A$5:$CY$9142,14,FALSE)</f>
        <v>#N/A</v>
      </c>
      <c r="E146" s="218" t="e">
        <f>VLOOKUP($A146, 'Matriz POA 2024-TRABAJO'!$A$5:$CY$9142,15,FALSE)</f>
        <v>#N/A</v>
      </c>
      <c r="F146" s="218" t="e">
        <f>VLOOKUP($A146, 'Matriz POA 2024-TRABAJO'!$A$5:$CY$9142,18,FALSE)</f>
        <v>#N/A</v>
      </c>
      <c r="G146" s="218" t="e">
        <f>VLOOKUP($A146, 'Matriz POA 2024-TRABAJO'!$A$5:$CY$9142,23,FALSE)</f>
        <v>#N/A</v>
      </c>
      <c r="H146" s="218" t="e">
        <f>VLOOKUP($A146, 'Matriz POA 2024-TRABAJO'!$A$5:$CY$9142,24,FALSE)</f>
        <v>#N/A</v>
      </c>
      <c r="I146" s="218" t="e">
        <f>VLOOKUP($A146, 'Matriz POA 2024-TRABAJO'!$A$5:$CY$9142,20,FALSE)</f>
        <v>#N/A</v>
      </c>
      <c r="J146" s="218" t="e">
        <f>VLOOKUP($A146, 'Matriz POA 2024-TRABAJO'!$A$5:$CY$9142,26,FALSE)</f>
        <v>#N/A</v>
      </c>
      <c r="K146" s="218" t="e">
        <f>VLOOKUP($A146, 'Matriz POA 2024-TRABAJO'!$A$5:$CY$9142,27,FALSE)</f>
        <v>#N/A</v>
      </c>
      <c r="L146" s="218" t="e">
        <f>VLOOKUP($A146, 'Matriz POA 2024-TRABAJO'!$A$5:$CY$9142,28,FALSE)</f>
        <v>#N/A</v>
      </c>
      <c r="M146" s="218" t="e">
        <f>VLOOKUP($A146, 'Matriz POA 2024-TRABAJO'!$A$5:$CY$9142,30,FALSE)</f>
        <v>#N/A</v>
      </c>
      <c r="N146" s="218" t="e">
        <f>VLOOKUP($A146, 'Matriz POA 2024-TRABAJO'!$A$5:$CY$9142,31,FALSE)</f>
        <v>#N/A</v>
      </c>
      <c r="O146" s="218" t="e">
        <f>VLOOKUP($A146, 'Matriz POA 2024-TRABAJO'!$A$5:$CY$9142,45,FALSE)</f>
        <v>#N/A</v>
      </c>
      <c r="P146" s="218" t="e">
        <f>VLOOKUP($A146, 'Matriz POA 2024-TRABAJO'!$A$5:$CY$9142,46,FALSE)</f>
        <v>#N/A</v>
      </c>
      <c r="Q146" s="93" t="e">
        <f>VLOOKUP($A146, 'Matriz POA 2024-TRABAJO'!$A$5:$CY$9142,47,FALSE)</f>
        <v>#N/A</v>
      </c>
      <c r="R146" s="94">
        <f t="shared" si="123"/>
        <v>7500</v>
      </c>
      <c r="S146" s="95" t="e">
        <f t="shared" si="124"/>
        <v>#N/A</v>
      </c>
      <c r="T146" s="93" t="e">
        <f>VLOOKUP($A146, 'Matriz POA 2024-TRABAJO'!$A$5:$CY$9142,72,FALSE)</f>
        <v>#N/A</v>
      </c>
      <c r="U146" s="93" t="e">
        <f>VLOOKUP($A146, 'Matriz POA 2024-TRABAJO'!$A$5:$CY$9142,29,FALSE)</f>
        <v>#N/A</v>
      </c>
      <c r="V146" s="219" t="str">
        <f t="shared" ref="V146:V172" si="146">AD146&amp;AL146&amp;AT146&amp;BB146&amp;BJ146&amp;BR146&amp;BZ146&amp;CH146&amp;CP146&amp;CX146</f>
        <v>36MG-lp36-mg-75mg-lp-83ar-</v>
      </c>
      <c r="W146" s="97" t="s">
        <v>1219</v>
      </c>
      <c r="X146" s="109">
        <v>45364</v>
      </c>
      <c r="Y146" s="99" t="s">
        <v>1220</v>
      </c>
      <c r="Z146" s="109">
        <v>45364</v>
      </c>
      <c r="AA146" s="98">
        <v>5500</v>
      </c>
      <c r="AB146" s="98"/>
      <c r="AC146" s="99">
        <f t="shared" ref="AC146:AC159" si="147">Z146-X146</f>
        <v>0</v>
      </c>
      <c r="AD146" s="110" t="s">
        <v>1221</v>
      </c>
      <c r="AE146" s="98" t="s">
        <v>1834</v>
      </c>
      <c r="AF146" s="101">
        <v>45433</v>
      </c>
      <c r="AG146" s="97" t="s">
        <v>1835</v>
      </c>
      <c r="AH146" s="101">
        <v>45433</v>
      </c>
      <c r="AI146" s="98">
        <v>-5.87</v>
      </c>
      <c r="AJ146" s="98"/>
      <c r="AK146" s="99">
        <f t="shared" ref="AK146:AK159" si="148">AH146-AF146</f>
        <v>0</v>
      </c>
      <c r="AL146" s="99" t="s">
        <v>1837</v>
      </c>
      <c r="AM146" s="98" t="s">
        <v>1834</v>
      </c>
      <c r="AN146" s="101">
        <v>45433</v>
      </c>
      <c r="AO146" s="97" t="s">
        <v>1835</v>
      </c>
      <c r="AP146" s="101">
        <v>45433</v>
      </c>
      <c r="AQ146" s="98">
        <v>1881.64</v>
      </c>
      <c r="AR146" s="98"/>
      <c r="AS146" s="99">
        <f t="shared" ref="AS146:AS159" si="149">AP146-AN146</f>
        <v>0</v>
      </c>
      <c r="AT146" s="99" t="s">
        <v>1836</v>
      </c>
      <c r="AU146" s="98" t="s">
        <v>1868</v>
      </c>
      <c r="AV146" s="101">
        <v>45450</v>
      </c>
      <c r="AW146" s="93"/>
      <c r="AX146" s="96">
        <v>45454</v>
      </c>
      <c r="AY146" s="98">
        <v>-1881.64</v>
      </c>
      <c r="AZ146" s="98"/>
      <c r="BA146" s="99">
        <f t="shared" ref="BA146:BA159" si="150">AX146-AV146</f>
        <v>4</v>
      </c>
      <c r="BB146" s="99" t="s">
        <v>1109</v>
      </c>
      <c r="BC146" s="93" t="s">
        <v>1868</v>
      </c>
      <c r="BD146" s="96">
        <v>45450</v>
      </c>
      <c r="BE146" s="93"/>
      <c r="BF146" s="101">
        <v>45454</v>
      </c>
      <c r="BG146" s="102">
        <v>2005.87</v>
      </c>
      <c r="BH146" s="102"/>
      <c r="BI146" s="93">
        <f t="shared" ref="BI146:BI159" si="151">BF146-BD146</f>
        <v>4</v>
      </c>
      <c r="BJ146" s="99" t="s">
        <v>1869</v>
      </c>
      <c r="BK146" s="93"/>
      <c r="BL146" s="103"/>
      <c r="BM146" s="93"/>
      <c r="BN146" s="103"/>
      <c r="BO146" s="94"/>
      <c r="BP146" s="94"/>
      <c r="BQ146" s="93">
        <f t="shared" ref="BQ146:BQ159" si="152">BN146-BL146</f>
        <v>0</v>
      </c>
      <c r="BR146" s="93"/>
      <c r="BS146" s="93"/>
      <c r="BT146" s="103"/>
      <c r="BU146" s="93"/>
      <c r="BV146" s="103"/>
      <c r="BW146" s="94"/>
      <c r="BX146" s="94"/>
      <c r="BY146" s="93">
        <f t="shared" ref="BY146:BY159" si="153">BV146-BT146</f>
        <v>0</v>
      </c>
      <c r="BZ146" s="93"/>
      <c r="CA146" s="104"/>
      <c r="CB146" s="105"/>
      <c r="CC146" s="106"/>
      <c r="CD146" s="107"/>
      <c r="CE146" s="94"/>
      <c r="CF146" s="94"/>
      <c r="CG146" s="93">
        <f t="shared" ref="CG146:CG159" si="154">CD146-CB146</f>
        <v>0</v>
      </c>
      <c r="CH146" s="93"/>
      <c r="CI146" s="106"/>
      <c r="CJ146" s="105"/>
      <c r="CK146" s="93"/>
      <c r="CL146" s="105"/>
      <c r="CM146" s="108"/>
      <c r="CN146" s="108"/>
      <c r="CO146" s="93">
        <f t="shared" ref="CO146:CO159" si="155">CL146-CJ146</f>
        <v>0</v>
      </c>
      <c r="CP146" s="93"/>
      <c r="CQ146" s="93"/>
      <c r="CR146" s="93"/>
      <c r="CS146" s="93"/>
      <c r="CT146" s="93"/>
      <c r="CU146" s="93"/>
      <c r="CV146" s="93"/>
      <c r="CW146" s="93">
        <f t="shared" ref="CW146:CW159" si="156">CT146-CR146</f>
        <v>0</v>
      </c>
      <c r="CX146" s="93"/>
      <c r="CY146" s="93" t="str">
        <f>TEXT(Z146,"MMMM")</f>
        <v>marzo</v>
      </c>
      <c r="CZ146" s="93" t="str">
        <f t="shared" ref="CZ146:CZ159" si="157">TEXT(AF146,"MMMM")</f>
        <v>mayo</v>
      </c>
      <c r="DA146" s="93" t="str">
        <f t="shared" ref="DA146:DA159" si="158">TEXT(AN146,"MMMM")</f>
        <v>mayo</v>
      </c>
      <c r="DB146" s="93" t="str">
        <f t="shared" ref="DB146:DB159" si="159">TEXT(AV146,"MMMM")</f>
        <v>junio</v>
      </c>
      <c r="DC146" s="93" t="str">
        <f t="shared" ref="DC146:DC159" si="160">TEXT(BD146,"MMMM")</f>
        <v>junio</v>
      </c>
      <c r="DD146" s="93" t="str">
        <f t="shared" ref="DD146:DD159" si="161">TEXT(BL146,"MMMM")</f>
        <v>enero</v>
      </c>
      <c r="DE146" s="93" t="str">
        <f t="shared" ref="DE146:DE159" si="162">TEXT(BT146,"MMMM")</f>
        <v>enero</v>
      </c>
      <c r="DF146" s="93" t="str">
        <f t="shared" ref="DF146:DF159" si="163">TEXT(BT146,"MMMM")</f>
        <v>enero</v>
      </c>
      <c r="DG146" s="93" t="str">
        <f t="shared" ref="DG146:DG159" si="164">TEXT(BV146,"MMMM")</f>
        <v>enero</v>
      </c>
      <c r="DH146" s="93" t="str">
        <f t="shared" ref="DH146:DH159" si="165">TEXT(BY146,"MMMM")</f>
        <v>enero</v>
      </c>
    </row>
    <row r="147" spans="1:112" s="21" customFormat="1" ht="19.5" hidden="1" customHeight="1">
      <c r="A147" s="255">
        <v>805</v>
      </c>
      <c r="B147" s="218" t="e">
        <f>VLOOKUP($A147,  'Matriz POA 2024-TRABAJO'!$A$5:$CY$9142,29,FALSE)</f>
        <v>#N/A</v>
      </c>
      <c r="C147" s="218" t="e">
        <f>VLOOKUP($A147, 'Matriz POA 2024-TRABAJO'!$A$5:$CY$9142,11,FALSE)</f>
        <v>#N/A</v>
      </c>
      <c r="D147" s="218" t="e">
        <f>VLOOKUP($A147, 'Matriz POA 2024-TRABAJO'!$A$5:$CY$9142,14,FALSE)</f>
        <v>#N/A</v>
      </c>
      <c r="E147" s="218" t="e">
        <f>VLOOKUP($A147, 'Matriz POA 2024-TRABAJO'!$A$5:$CY$9142,15,FALSE)</f>
        <v>#N/A</v>
      </c>
      <c r="F147" s="218" t="e">
        <f>VLOOKUP($A147, 'Matriz POA 2024-TRABAJO'!$A$5:$CY$9142,18,FALSE)</f>
        <v>#N/A</v>
      </c>
      <c r="G147" s="218" t="e">
        <f>VLOOKUP($A147, 'Matriz POA 2024-TRABAJO'!$A$5:$CY$9142,23,FALSE)</f>
        <v>#N/A</v>
      </c>
      <c r="H147" s="218" t="e">
        <f>VLOOKUP($A147, 'Matriz POA 2024-TRABAJO'!$A$5:$CY$9142,24,FALSE)</f>
        <v>#N/A</v>
      </c>
      <c r="I147" s="218" t="e">
        <f>VLOOKUP($A147, 'Matriz POA 2024-TRABAJO'!$A$5:$CY$9142,20,FALSE)</f>
        <v>#N/A</v>
      </c>
      <c r="J147" s="218" t="e">
        <f>VLOOKUP($A147, 'Matriz POA 2024-TRABAJO'!$A$5:$CY$9142,26,FALSE)</f>
        <v>#N/A</v>
      </c>
      <c r="K147" s="218" t="e">
        <f>VLOOKUP($A147, 'Matriz POA 2024-TRABAJO'!$A$5:$CY$9142,27,FALSE)</f>
        <v>#N/A</v>
      </c>
      <c r="L147" s="218" t="e">
        <f>VLOOKUP($A147, 'Matriz POA 2024-TRABAJO'!$A$5:$CY$9142,28,FALSE)</f>
        <v>#N/A</v>
      </c>
      <c r="M147" s="218" t="e">
        <f>VLOOKUP($A147, 'Matriz POA 2024-TRABAJO'!$A$5:$CY$9142,30,FALSE)</f>
        <v>#N/A</v>
      </c>
      <c r="N147" s="218" t="e">
        <f>VLOOKUP($A147, 'Matriz POA 2024-TRABAJO'!$A$5:$CY$9142,31,FALSE)</f>
        <v>#N/A</v>
      </c>
      <c r="O147" s="218" t="e">
        <f>VLOOKUP($A147, 'Matriz POA 2024-TRABAJO'!$A$5:$CY$9142,45,FALSE)</f>
        <v>#N/A</v>
      </c>
      <c r="P147" s="218" t="e">
        <f>VLOOKUP($A147, 'Matriz POA 2024-TRABAJO'!$A$5:$CY$9142,46,FALSE)</f>
        <v>#N/A</v>
      </c>
      <c r="Q147" s="93" t="e">
        <f>VLOOKUP($A147, 'Matriz POA 2024-TRABAJO'!$A$5:$CY$9142,47,FALSE)</f>
        <v>#N/A</v>
      </c>
      <c r="R147" s="94">
        <f t="shared" si="123"/>
        <v>1360</v>
      </c>
      <c r="S147" s="95" t="e">
        <f t="shared" si="124"/>
        <v>#N/A</v>
      </c>
      <c r="T147" s="93" t="e">
        <f>VLOOKUP($A147, 'Matriz POA 2024-TRABAJO'!$A$5:$CY$9142,72,FALSE)</f>
        <v>#N/A</v>
      </c>
      <c r="U147" s="93" t="e">
        <f>VLOOKUP($A147, 'Matriz POA 2024-TRABAJO'!$A$5:$CY$9142,29,FALSE)</f>
        <v>#N/A</v>
      </c>
      <c r="V147" s="219" t="str">
        <f t="shared" si="146"/>
        <v>36MG-</v>
      </c>
      <c r="W147" s="97" t="s">
        <v>1219</v>
      </c>
      <c r="X147" s="109">
        <v>45364</v>
      </c>
      <c r="Y147" s="99" t="s">
        <v>1220</v>
      </c>
      <c r="Z147" s="109">
        <v>45364</v>
      </c>
      <c r="AA147" s="98">
        <v>1360</v>
      </c>
      <c r="AB147" s="98"/>
      <c r="AC147" s="99">
        <f t="shared" si="147"/>
        <v>0</v>
      </c>
      <c r="AD147" s="110" t="s">
        <v>1221</v>
      </c>
      <c r="AE147" s="98"/>
      <c r="AF147" s="101"/>
      <c r="AG147" s="97"/>
      <c r="AH147" s="101"/>
      <c r="AI147" s="98"/>
      <c r="AJ147" s="98">
        <f t="shared" si="125"/>
        <v>0</v>
      </c>
      <c r="AK147" s="99">
        <f t="shared" si="148"/>
        <v>0</v>
      </c>
      <c r="AL147" s="99"/>
      <c r="AM147" s="93"/>
      <c r="AN147" s="96"/>
      <c r="AO147" s="97"/>
      <c r="AP147" s="101"/>
      <c r="AQ147" s="98"/>
      <c r="AR147" s="98"/>
      <c r="AS147" s="99">
        <f t="shared" si="149"/>
        <v>0</v>
      </c>
      <c r="AT147" s="99"/>
      <c r="AU147" s="96"/>
      <c r="AV147" s="96"/>
      <c r="AW147" s="93"/>
      <c r="AX147" s="96"/>
      <c r="AY147" s="98"/>
      <c r="AZ147" s="98"/>
      <c r="BA147" s="99">
        <f t="shared" si="150"/>
        <v>0</v>
      </c>
      <c r="BB147" s="99"/>
      <c r="BC147" s="96"/>
      <c r="BD147" s="96"/>
      <c r="BE147" s="93"/>
      <c r="BF147" s="96"/>
      <c r="BG147" s="102"/>
      <c r="BH147" s="102"/>
      <c r="BI147" s="93">
        <f t="shared" si="151"/>
        <v>0</v>
      </c>
      <c r="BJ147" s="93"/>
      <c r="BK147" s="93"/>
      <c r="BL147" s="103"/>
      <c r="BM147" s="93"/>
      <c r="BN147" s="103"/>
      <c r="BO147" s="94"/>
      <c r="BP147" s="94"/>
      <c r="BQ147" s="93">
        <f t="shared" si="152"/>
        <v>0</v>
      </c>
      <c r="BR147" s="93"/>
      <c r="BS147" s="93"/>
      <c r="BT147" s="103"/>
      <c r="BU147" s="93"/>
      <c r="BV147" s="103"/>
      <c r="BW147" s="94"/>
      <c r="BX147" s="94"/>
      <c r="BY147" s="93">
        <f t="shared" si="153"/>
        <v>0</v>
      </c>
      <c r="BZ147" s="93"/>
      <c r="CA147" s="104"/>
      <c r="CB147" s="105"/>
      <c r="CC147" s="106"/>
      <c r="CD147" s="107"/>
      <c r="CE147" s="94"/>
      <c r="CF147" s="94"/>
      <c r="CG147" s="93">
        <f t="shared" si="154"/>
        <v>0</v>
      </c>
      <c r="CH147" s="93"/>
      <c r="CI147" s="106"/>
      <c r="CJ147" s="105"/>
      <c r="CK147" s="93"/>
      <c r="CL147" s="105"/>
      <c r="CM147" s="108"/>
      <c r="CN147" s="108"/>
      <c r="CO147" s="93">
        <f t="shared" si="155"/>
        <v>0</v>
      </c>
      <c r="CP147" s="93"/>
      <c r="CQ147" s="93"/>
      <c r="CR147" s="93"/>
      <c r="CS147" s="93"/>
      <c r="CT147" s="93"/>
      <c r="CU147" s="93"/>
      <c r="CV147" s="93"/>
      <c r="CW147" s="93">
        <f t="shared" si="156"/>
        <v>0</v>
      </c>
      <c r="CX147" s="93"/>
      <c r="CY147" s="93" t="str">
        <f>TEXT(Z147,"MMMM")</f>
        <v>marzo</v>
      </c>
      <c r="CZ147" s="93" t="str">
        <f t="shared" si="157"/>
        <v>enero</v>
      </c>
      <c r="DA147" s="93" t="str">
        <f t="shared" si="158"/>
        <v>enero</v>
      </c>
      <c r="DB147" s="93" t="str">
        <f t="shared" si="159"/>
        <v>enero</v>
      </c>
      <c r="DC147" s="93" t="str">
        <f t="shared" si="160"/>
        <v>enero</v>
      </c>
      <c r="DD147" s="93" t="str">
        <f t="shared" si="161"/>
        <v>enero</v>
      </c>
      <c r="DE147" s="93" t="str">
        <f t="shared" si="162"/>
        <v>enero</v>
      </c>
      <c r="DF147" s="93" t="str">
        <f t="shared" si="163"/>
        <v>enero</v>
      </c>
      <c r="DG147" s="93" t="str">
        <f t="shared" si="164"/>
        <v>enero</v>
      </c>
      <c r="DH147" s="93" t="str">
        <f t="shared" si="165"/>
        <v>enero</v>
      </c>
    </row>
    <row r="148" spans="1:112" s="21" customFormat="1" ht="19.5" hidden="1" customHeight="1">
      <c r="A148" s="255">
        <v>806</v>
      </c>
      <c r="B148" s="218" t="e">
        <f>VLOOKUP($A148,  'Matriz POA 2024-TRABAJO'!$A$5:$CY$9142,29,FALSE)</f>
        <v>#N/A</v>
      </c>
      <c r="C148" s="218" t="e">
        <f>VLOOKUP($A148, 'Matriz POA 2024-TRABAJO'!$A$5:$CY$9142,11,FALSE)</f>
        <v>#N/A</v>
      </c>
      <c r="D148" s="218" t="e">
        <f>VLOOKUP($A148, 'Matriz POA 2024-TRABAJO'!$A$5:$CY$9142,14,FALSE)</f>
        <v>#N/A</v>
      </c>
      <c r="E148" s="218" t="e">
        <f>VLOOKUP($A148, 'Matriz POA 2024-TRABAJO'!$A$5:$CY$9142,15,FALSE)</f>
        <v>#N/A</v>
      </c>
      <c r="F148" s="218" t="e">
        <f>VLOOKUP($A148, 'Matriz POA 2024-TRABAJO'!$A$5:$CY$9142,18,FALSE)</f>
        <v>#N/A</v>
      </c>
      <c r="G148" s="218" t="e">
        <f>VLOOKUP($A148, 'Matriz POA 2024-TRABAJO'!$A$5:$CY$9142,23,FALSE)</f>
        <v>#N/A</v>
      </c>
      <c r="H148" s="218" t="e">
        <f>VLOOKUP($A148, 'Matriz POA 2024-TRABAJO'!$A$5:$CY$9142,24,FALSE)</f>
        <v>#N/A</v>
      </c>
      <c r="I148" s="218" t="e">
        <f>VLOOKUP($A148, 'Matriz POA 2024-TRABAJO'!$A$5:$CY$9142,20,FALSE)</f>
        <v>#N/A</v>
      </c>
      <c r="J148" s="218" t="e">
        <f>VLOOKUP($A148, 'Matriz POA 2024-TRABAJO'!$A$5:$CY$9142,26,FALSE)</f>
        <v>#N/A</v>
      </c>
      <c r="K148" s="218" t="e">
        <f>VLOOKUP($A148, 'Matriz POA 2024-TRABAJO'!$A$5:$CY$9142,27,FALSE)</f>
        <v>#N/A</v>
      </c>
      <c r="L148" s="218" t="e">
        <f>VLOOKUP($A148, 'Matriz POA 2024-TRABAJO'!$A$5:$CY$9142,28,FALSE)</f>
        <v>#N/A</v>
      </c>
      <c r="M148" s="218" t="e">
        <f>VLOOKUP($A148, 'Matriz POA 2024-TRABAJO'!$A$5:$CY$9142,30,FALSE)</f>
        <v>#N/A</v>
      </c>
      <c r="N148" s="218" t="e">
        <f>VLOOKUP($A148, 'Matriz POA 2024-TRABAJO'!$A$5:$CY$9142,31,FALSE)</f>
        <v>#N/A</v>
      </c>
      <c r="O148" s="218" t="e">
        <f>VLOOKUP($A148, 'Matriz POA 2024-TRABAJO'!$A$5:$CY$9142,45,FALSE)</f>
        <v>#N/A</v>
      </c>
      <c r="P148" s="218" t="e">
        <f>VLOOKUP($A148, 'Matriz POA 2024-TRABAJO'!$A$5:$CY$9142,46,FALSE)</f>
        <v>#N/A</v>
      </c>
      <c r="Q148" s="93" t="e">
        <f>VLOOKUP($A148, 'Matriz POA 2024-TRABAJO'!$A$5:$CY$9142,47,FALSE)</f>
        <v>#N/A</v>
      </c>
      <c r="R148" s="94">
        <f t="shared" si="123"/>
        <v>1200</v>
      </c>
      <c r="S148" s="95" t="e">
        <f t="shared" si="124"/>
        <v>#N/A</v>
      </c>
      <c r="T148" s="93" t="e">
        <f>VLOOKUP($A148, 'Matriz POA 2024-TRABAJO'!$A$5:$CY$9142,72,FALSE)</f>
        <v>#N/A</v>
      </c>
      <c r="U148" s="93" t="e">
        <f>VLOOKUP($A148, 'Matriz POA 2024-TRABAJO'!$A$5:$CY$9142,29,FALSE)</f>
        <v>#N/A</v>
      </c>
      <c r="V148" s="219" t="str">
        <f t="shared" si="146"/>
        <v>36MG-</v>
      </c>
      <c r="W148" s="97" t="s">
        <v>1219</v>
      </c>
      <c r="X148" s="109">
        <v>45364</v>
      </c>
      <c r="Y148" s="99" t="s">
        <v>1220</v>
      </c>
      <c r="Z148" s="109">
        <v>45364</v>
      </c>
      <c r="AA148" s="98">
        <v>1200</v>
      </c>
      <c r="AB148" s="98"/>
      <c r="AC148" s="99">
        <f t="shared" si="147"/>
        <v>0</v>
      </c>
      <c r="AD148" s="110" t="s">
        <v>1221</v>
      </c>
      <c r="AE148" s="98"/>
      <c r="AF148" s="101"/>
      <c r="AG148" s="97"/>
      <c r="AH148" s="101"/>
      <c r="AI148" s="98"/>
      <c r="AJ148" s="98">
        <f t="shared" si="125"/>
        <v>0</v>
      </c>
      <c r="AK148" s="99">
        <f t="shared" si="148"/>
        <v>0</v>
      </c>
      <c r="AL148" s="99"/>
      <c r="AM148" s="93"/>
      <c r="AN148" s="96"/>
      <c r="AO148" s="97"/>
      <c r="AP148" s="101"/>
      <c r="AQ148" s="98"/>
      <c r="AR148" s="98"/>
      <c r="AS148" s="99">
        <f t="shared" si="149"/>
        <v>0</v>
      </c>
      <c r="AT148" s="99"/>
      <c r="AU148" s="96"/>
      <c r="AV148" s="96"/>
      <c r="AW148" s="93"/>
      <c r="AX148" s="96"/>
      <c r="AY148" s="98"/>
      <c r="AZ148" s="98"/>
      <c r="BA148" s="99">
        <f t="shared" si="150"/>
        <v>0</v>
      </c>
      <c r="BB148" s="99"/>
      <c r="BC148" s="96"/>
      <c r="BD148" s="96"/>
      <c r="BE148" s="93"/>
      <c r="BF148" s="96"/>
      <c r="BG148" s="102"/>
      <c r="BH148" s="102"/>
      <c r="BI148" s="93">
        <f t="shared" si="151"/>
        <v>0</v>
      </c>
      <c r="BJ148" s="93"/>
      <c r="BK148" s="93"/>
      <c r="BL148" s="103"/>
      <c r="BM148" s="93"/>
      <c r="BN148" s="103"/>
      <c r="BO148" s="94"/>
      <c r="BP148" s="94"/>
      <c r="BQ148" s="93">
        <f t="shared" si="152"/>
        <v>0</v>
      </c>
      <c r="BR148" s="93"/>
      <c r="BS148" s="93"/>
      <c r="BT148" s="103"/>
      <c r="BU148" s="93"/>
      <c r="BV148" s="103"/>
      <c r="BW148" s="94"/>
      <c r="BX148" s="94"/>
      <c r="BY148" s="93">
        <f t="shared" si="153"/>
        <v>0</v>
      </c>
      <c r="BZ148" s="93"/>
      <c r="CA148" s="104"/>
      <c r="CB148" s="105"/>
      <c r="CC148" s="106"/>
      <c r="CD148" s="107"/>
      <c r="CE148" s="94"/>
      <c r="CF148" s="94"/>
      <c r="CG148" s="93">
        <f t="shared" si="154"/>
        <v>0</v>
      </c>
      <c r="CH148" s="93"/>
      <c r="CI148" s="106"/>
      <c r="CJ148" s="105"/>
      <c r="CK148" s="93"/>
      <c r="CL148" s="105"/>
      <c r="CM148" s="108"/>
      <c r="CN148" s="108"/>
      <c r="CO148" s="93">
        <f t="shared" si="155"/>
        <v>0</v>
      </c>
      <c r="CP148" s="93"/>
      <c r="CQ148" s="93"/>
      <c r="CR148" s="93"/>
      <c r="CS148" s="93"/>
      <c r="CT148" s="93"/>
      <c r="CU148" s="93"/>
      <c r="CV148" s="93"/>
      <c r="CW148" s="93">
        <f t="shared" si="156"/>
        <v>0</v>
      </c>
      <c r="CX148" s="93"/>
      <c r="CY148" s="93" t="str">
        <f>TEXT(X148,"MMMM")</f>
        <v>marzo</v>
      </c>
      <c r="CZ148" s="93" t="str">
        <f t="shared" si="157"/>
        <v>enero</v>
      </c>
      <c r="DA148" s="93" t="str">
        <f t="shared" si="158"/>
        <v>enero</v>
      </c>
      <c r="DB148" s="93" t="str">
        <f t="shared" si="159"/>
        <v>enero</v>
      </c>
      <c r="DC148" s="93" t="str">
        <f t="shared" si="160"/>
        <v>enero</v>
      </c>
      <c r="DD148" s="93" t="str">
        <f t="shared" si="161"/>
        <v>enero</v>
      </c>
      <c r="DE148" s="93" t="str">
        <f t="shared" si="162"/>
        <v>enero</v>
      </c>
      <c r="DF148" s="93" t="str">
        <f t="shared" si="163"/>
        <v>enero</v>
      </c>
      <c r="DG148" s="93" t="str">
        <f t="shared" si="164"/>
        <v>enero</v>
      </c>
      <c r="DH148" s="93" t="str">
        <f t="shared" si="165"/>
        <v>enero</v>
      </c>
    </row>
    <row r="149" spans="1:112" s="21" customFormat="1" ht="19.5" hidden="1" customHeight="1">
      <c r="A149" s="255">
        <v>807</v>
      </c>
      <c r="B149" s="218" t="e">
        <f>VLOOKUP($A149,  'Matriz POA 2024-TRABAJO'!$A$5:$CY$9142,29,FALSE)</f>
        <v>#N/A</v>
      </c>
      <c r="C149" s="218" t="e">
        <f>VLOOKUP($A149, 'Matriz POA 2024-TRABAJO'!$A$5:$CY$9142,11,FALSE)</f>
        <v>#N/A</v>
      </c>
      <c r="D149" s="218" t="e">
        <f>VLOOKUP($A149, 'Matriz POA 2024-TRABAJO'!$A$5:$CY$9142,14,FALSE)</f>
        <v>#N/A</v>
      </c>
      <c r="E149" s="218" t="e">
        <f>VLOOKUP($A149, 'Matriz POA 2024-TRABAJO'!$A$5:$CY$9142,15,FALSE)</f>
        <v>#N/A</v>
      </c>
      <c r="F149" s="218" t="e">
        <f>VLOOKUP($A149, 'Matriz POA 2024-TRABAJO'!$A$5:$CY$9142,18,FALSE)</f>
        <v>#N/A</v>
      </c>
      <c r="G149" s="218" t="e">
        <f>VLOOKUP($A149, 'Matriz POA 2024-TRABAJO'!$A$5:$CY$9142,23,FALSE)</f>
        <v>#N/A</v>
      </c>
      <c r="H149" s="218" t="e">
        <f>VLOOKUP($A149, 'Matriz POA 2024-TRABAJO'!$A$5:$CY$9142,24,FALSE)</f>
        <v>#N/A</v>
      </c>
      <c r="I149" s="218" t="e">
        <f>VLOOKUP($A149, 'Matriz POA 2024-TRABAJO'!$A$5:$CY$9142,20,FALSE)</f>
        <v>#N/A</v>
      </c>
      <c r="J149" s="218" t="e">
        <f>VLOOKUP($A149, 'Matriz POA 2024-TRABAJO'!$A$5:$CY$9142,26,FALSE)</f>
        <v>#N/A</v>
      </c>
      <c r="K149" s="218" t="e">
        <f>VLOOKUP($A149, 'Matriz POA 2024-TRABAJO'!$A$5:$CY$9142,27,FALSE)</f>
        <v>#N/A</v>
      </c>
      <c r="L149" s="218" t="e">
        <f>VLOOKUP($A149, 'Matriz POA 2024-TRABAJO'!$A$5:$CY$9142,28,FALSE)</f>
        <v>#N/A</v>
      </c>
      <c r="M149" s="218" t="e">
        <f>VLOOKUP($A149, 'Matriz POA 2024-TRABAJO'!$A$5:$CY$9142,30,FALSE)</f>
        <v>#N/A</v>
      </c>
      <c r="N149" s="218" t="e">
        <f>VLOOKUP($A149, 'Matriz POA 2024-TRABAJO'!$A$5:$CY$9142,31,FALSE)</f>
        <v>#N/A</v>
      </c>
      <c r="O149" s="218" t="e">
        <f>VLOOKUP($A149, 'Matriz POA 2024-TRABAJO'!$A$5:$CY$9142,45,FALSE)</f>
        <v>#N/A</v>
      </c>
      <c r="P149" s="218" t="e">
        <f>VLOOKUP($A149, 'Matriz POA 2024-TRABAJO'!$A$5:$CY$9142,46,FALSE)</f>
        <v>#N/A</v>
      </c>
      <c r="Q149" s="93" t="e">
        <f>VLOOKUP($A149, 'Matriz POA 2024-TRABAJO'!$A$5:$CY$9142,47,FALSE)</f>
        <v>#N/A</v>
      </c>
      <c r="R149" s="94">
        <f t="shared" si="123"/>
        <v>1866.75</v>
      </c>
      <c r="S149" s="95" t="e">
        <f t="shared" si="124"/>
        <v>#N/A</v>
      </c>
      <c r="T149" s="93" t="e">
        <f>VLOOKUP($A149, 'Matriz POA 2024-TRABAJO'!$A$5:$CY$9142,72,FALSE)</f>
        <v>#N/A</v>
      </c>
      <c r="U149" s="93" t="e">
        <f>VLOOKUP($A149, 'Matriz POA 2024-TRABAJO'!$A$5:$CY$9142,29,FALSE)</f>
        <v>#N/A</v>
      </c>
      <c r="V149" s="219" t="str">
        <f t="shared" si="146"/>
        <v>36MG-lp-83ar-</v>
      </c>
      <c r="W149" s="97" t="s">
        <v>1219</v>
      </c>
      <c r="X149" s="109">
        <v>45364</v>
      </c>
      <c r="Y149" s="99" t="s">
        <v>1220</v>
      </c>
      <c r="Z149" s="109">
        <v>45364</v>
      </c>
      <c r="AA149" s="98">
        <v>4000</v>
      </c>
      <c r="AB149" s="98"/>
      <c r="AC149" s="99">
        <f t="shared" si="147"/>
        <v>0</v>
      </c>
      <c r="AD149" s="110" t="s">
        <v>1221</v>
      </c>
      <c r="AE149" s="98" t="s">
        <v>1868</v>
      </c>
      <c r="AF149" s="101">
        <v>45450</v>
      </c>
      <c r="AG149" s="97"/>
      <c r="AH149" s="101">
        <v>45454</v>
      </c>
      <c r="AI149" s="98">
        <v>-2133.25</v>
      </c>
      <c r="AJ149" s="98"/>
      <c r="AK149" s="99">
        <f t="shared" si="148"/>
        <v>4</v>
      </c>
      <c r="AL149" s="99" t="s">
        <v>1109</v>
      </c>
      <c r="AM149" s="93" t="s">
        <v>1868</v>
      </c>
      <c r="AN149" s="96">
        <v>45450</v>
      </c>
      <c r="AO149" s="450">
        <v>4133.25</v>
      </c>
      <c r="AP149" s="101">
        <v>45454</v>
      </c>
      <c r="AQ149" s="98"/>
      <c r="AR149" s="98"/>
      <c r="AS149" s="99">
        <f t="shared" si="149"/>
        <v>4</v>
      </c>
      <c r="AT149" s="99" t="s">
        <v>1869</v>
      </c>
      <c r="AU149" s="96"/>
      <c r="AV149" s="96"/>
      <c r="AW149" s="93"/>
      <c r="AX149" s="96"/>
      <c r="AY149" s="98"/>
      <c r="AZ149" s="98"/>
      <c r="BA149" s="99">
        <f t="shared" si="150"/>
        <v>0</v>
      </c>
      <c r="BB149" s="99"/>
      <c r="BC149" s="96"/>
      <c r="BD149" s="96"/>
      <c r="BE149" s="93"/>
      <c r="BF149" s="96"/>
      <c r="BG149" s="102"/>
      <c r="BH149" s="102"/>
      <c r="BI149" s="93">
        <f t="shared" si="151"/>
        <v>0</v>
      </c>
      <c r="BJ149" s="93"/>
      <c r="BK149" s="93"/>
      <c r="BL149" s="103"/>
      <c r="BM149" s="93"/>
      <c r="BN149" s="103"/>
      <c r="BO149" s="94"/>
      <c r="BP149" s="94"/>
      <c r="BQ149" s="93">
        <f t="shared" si="152"/>
        <v>0</v>
      </c>
      <c r="BR149" s="93"/>
      <c r="BS149" s="93"/>
      <c r="BT149" s="103"/>
      <c r="BU149" s="93"/>
      <c r="BV149" s="103"/>
      <c r="BW149" s="94"/>
      <c r="BX149" s="94"/>
      <c r="BY149" s="93">
        <f t="shared" si="153"/>
        <v>0</v>
      </c>
      <c r="BZ149" s="93"/>
      <c r="CA149" s="104"/>
      <c r="CB149" s="105"/>
      <c r="CC149" s="106"/>
      <c r="CD149" s="107"/>
      <c r="CE149" s="94"/>
      <c r="CF149" s="94"/>
      <c r="CG149" s="93">
        <f t="shared" si="154"/>
        <v>0</v>
      </c>
      <c r="CH149" s="93"/>
      <c r="CI149" s="106"/>
      <c r="CJ149" s="105"/>
      <c r="CK149" s="93"/>
      <c r="CL149" s="105"/>
      <c r="CM149" s="108"/>
      <c r="CN149" s="108"/>
      <c r="CO149" s="93">
        <f t="shared" si="155"/>
        <v>0</v>
      </c>
      <c r="CP149" s="93"/>
      <c r="CQ149" s="93"/>
      <c r="CR149" s="93"/>
      <c r="CS149" s="93"/>
      <c r="CT149" s="93"/>
      <c r="CU149" s="93"/>
      <c r="CV149" s="93"/>
      <c r="CW149" s="93">
        <f t="shared" si="156"/>
        <v>0</v>
      </c>
      <c r="CX149" s="93"/>
      <c r="CY149" s="93" t="str">
        <f>TEXT(Z149,"MMMM")</f>
        <v>marzo</v>
      </c>
      <c r="CZ149" s="93" t="str">
        <f t="shared" si="157"/>
        <v>junio</v>
      </c>
      <c r="DA149" s="93" t="str">
        <f t="shared" si="158"/>
        <v>junio</v>
      </c>
      <c r="DB149" s="93" t="str">
        <f t="shared" si="159"/>
        <v>enero</v>
      </c>
      <c r="DC149" s="93" t="str">
        <f t="shared" si="160"/>
        <v>enero</v>
      </c>
      <c r="DD149" s="93" t="str">
        <f t="shared" si="161"/>
        <v>enero</v>
      </c>
      <c r="DE149" s="93" t="str">
        <f t="shared" si="162"/>
        <v>enero</v>
      </c>
      <c r="DF149" s="93" t="str">
        <f t="shared" si="163"/>
        <v>enero</v>
      </c>
      <c r="DG149" s="93" t="str">
        <f t="shared" si="164"/>
        <v>enero</v>
      </c>
      <c r="DH149" s="93" t="str">
        <f t="shared" si="165"/>
        <v>enero</v>
      </c>
    </row>
    <row r="150" spans="1:112" s="21" customFormat="1" ht="19.5" hidden="1" customHeight="1">
      <c r="A150" s="255">
        <v>808</v>
      </c>
      <c r="B150" s="218" t="e">
        <f>VLOOKUP($A150,  'Matriz POA 2024-TRABAJO'!$A$5:$CY$9142,29,FALSE)</f>
        <v>#N/A</v>
      </c>
      <c r="C150" s="218" t="e">
        <f>VLOOKUP($A150, 'Matriz POA 2024-TRABAJO'!$A$5:$CY$9142,11,FALSE)</f>
        <v>#N/A</v>
      </c>
      <c r="D150" s="218" t="e">
        <f>VLOOKUP($A150, 'Matriz POA 2024-TRABAJO'!$A$5:$CY$9142,14,FALSE)</f>
        <v>#N/A</v>
      </c>
      <c r="E150" s="218" t="e">
        <f>VLOOKUP($A150, 'Matriz POA 2024-TRABAJO'!$A$5:$CY$9142,15,FALSE)</f>
        <v>#N/A</v>
      </c>
      <c r="F150" s="218" t="e">
        <f>VLOOKUP($A150, 'Matriz POA 2024-TRABAJO'!$A$5:$CY$9142,18,FALSE)</f>
        <v>#N/A</v>
      </c>
      <c r="G150" s="218" t="e">
        <f>VLOOKUP($A150, 'Matriz POA 2024-TRABAJO'!$A$5:$CY$9142,23,FALSE)</f>
        <v>#N/A</v>
      </c>
      <c r="H150" s="218" t="e">
        <f>VLOOKUP($A150, 'Matriz POA 2024-TRABAJO'!$A$5:$CY$9142,24,FALSE)</f>
        <v>#N/A</v>
      </c>
      <c r="I150" s="218" t="e">
        <f>VLOOKUP($A150, 'Matriz POA 2024-TRABAJO'!$A$5:$CY$9142,20,FALSE)</f>
        <v>#N/A</v>
      </c>
      <c r="J150" s="218" t="e">
        <f>VLOOKUP($A150, 'Matriz POA 2024-TRABAJO'!$A$5:$CY$9142,26,FALSE)</f>
        <v>#N/A</v>
      </c>
      <c r="K150" s="218" t="e">
        <f>VLOOKUP($A150, 'Matriz POA 2024-TRABAJO'!$A$5:$CY$9142,27,FALSE)</f>
        <v>#N/A</v>
      </c>
      <c r="L150" s="218" t="e">
        <f>VLOOKUP($A150, 'Matriz POA 2024-TRABAJO'!$A$5:$CY$9142,28,FALSE)</f>
        <v>#N/A</v>
      </c>
      <c r="M150" s="218" t="e">
        <f>VLOOKUP($A150, 'Matriz POA 2024-TRABAJO'!$A$5:$CY$9142,30,FALSE)</f>
        <v>#N/A</v>
      </c>
      <c r="N150" s="218" t="e">
        <f>VLOOKUP($A150, 'Matriz POA 2024-TRABAJO'!$A$5:$CY$9142,31,FALSE)</f>
        <v>#N/A</v>
      </c>
      <c r="O150" s="218" t="e">
        <f>VLOOKUP($A150, 'Matriz POA 2024-TRABAJO'!$A$5:$CY$9142,45,FALSE)</f>
        <v>#N/A</v>
      </c>
      <c r="P150" s="218" t="e">
        <f>VLOOKUP($A150, 'Matriz POA 2024-TRABAJO'!$A$5:$CY$9142,46,FALSE)</f>
        <v>#N/A</v>
      </c>
      <c r="Q150" s="93" t="e">
        <f>VLOOKUP($A150, 'Matriz POA 2024-TRABAJO'!$A$5:$CY$9142,47,FALSE)</f>
        <v>#N/A</v>
      </c>
      <c r="R150" s="94">
        <f t="shared" si="123"/>
        <v>2000</v>
      </c>
      <c r="S150" s="95" t="e">
        <f t="shared" si="124"/>
        <v>#N/A</v>
      </c>
      <c r="T150" s="93" t="e">
        <f>VLOOKUP($A150, 'Matriz POA 2024-TRABAJO'!$A$5:$CY$9142,72,FALSE)</f>
        <v>#N/A</v>
      </c>
      <c r="U150" s="93" t="e">
        <f>VLOOKUP($A150, 'Matriz POA 2024-TRABAJO'!$A$5:$CY$9142,29,FALSE)</f>
        <v>#N/A</v>
      </c>
      <c r="V150" s="219" t="str">
        <f t="shared" si="146"/>
        <v>36MG-</v>
      </c>
      <c r="W150" s="97" t="s">
        <v>1219</v>
      </c>
      <c r="X150" s="109">
        <v>45364</v>
      </c>
      <c r="Y150" s="99" t="s">
        <v>1220</v>
      </c>
      <c r="Z150" s="109">
        <v>45364</v>
      </c>
      <c r="AA150" s="98">
        <v>2000</v>
      </c>
      <c r="AB150" s="98"/>
      <c r="AC150" s="99">
        <f t="shared" si="147"/>
        <v>0</v>
      </c>
      <c r="AD150" s="110" t="s">
        <v>1221</v>
      </c>
      <c r="AE150" s="98"/>
      <c r="AF150" s="101"/>
      <c r="AG150" s="97"/>
      <c r="AH150" s="101"/>
      <c r="AI150" s="98"/>
      <c r="AJ150" s="98">
        <f t="shared" si="125"/>
        <v>0</v>
      </c>
      <c r="AK150" s="99">
        <f t="shared" si="148"/>
        <v>0</v>
      </c>
      <c r="AL150" s="99"/>
      <c r="AM150" s="93"/>
      <c r="AN150" s="96"/>
      <c r="AO150" s="97"/>
      <c r="AP150" s="101"/>
      <c r="AQ150" s="98"/>
      <c r="AR150" s="98"/>
      <c r="AS150" s="99">
        <f t="shared" si="149"/>
        <v>0</v>
      </c>
      <c r="AT150" s="99"/>
      <c r="AU150" s="96"/>
      <c r="AV150" s="96"/>
      <c r="AW150" s="93"/>
      <c r="AX150" s="96"/>
      <c r="AY150" s="98"/>
      <c r="AZ150" s="98"/>
      <c r="BA150" s="99">
        <f t="shared" si="150"/>
        <v>0</v>
      </c>
      <c r="BB150" s="99"/>
      <c r="BC150" s="96"/>
      <c r="BD150" s="96"/>
      <c r="BE150" s="93"/>
      <c r="BF150" s="96"/>
      <c r="BG150" s="102"/>
      <c r="BH150" s="102"/>
      <c r="BI150" s="93">
        <f t="shared" si="151"/>
        <v>0</v>
      </c>
      <c r="BJ150" s="93"/>
      <c r="BK150" s="93"/>
      <c r="BL150" s="103"/>
      <c r="BM150" s="93"/>
      <c r="BN150" s="103"/>
      <c r="BO150" s="94"/>
      <c r="BP150" s="94"/>
      <c r="BQ150" s="93">
        <f t="shared" si="152"/>
        <v>0</v>
      </c>
      <c r="BR150" s="93"/>
      <c r="BS150" s="93"/>
      <c r="BT150" s="103"/>
      <c r="BU150" s="93"/>
      <c r="BV150" s="103"/>
      <c r="BW150" s="94"/>
      <c r="BX150" s="94"/>
      <c r="BY150" s="93">
        <f t="shared" si="153"/>
        <v>0</v>
      </c>
      <c r="BZ150" s="93"/>
      <c r="CA150" s="104"/>
      <c r="CB150" s="105"/>
      <c r="CC150" s="106"/>
      <c r="CD150" s="107"/>
      <c r="CE150" s="94"/>
      <c r="CF150" s="94"/>
      <c r="CG150" s="93">
        <f t="shared" si="154"/>
        <v>0</v>
      </c>
      <c r="CH150" s="93"/>
      <c r="CI150" s="106"/>
      <c r="CJ150" s="105"/>
      <c r="CK150" s="93"/>
      <c r="CL150" s="105"/>
      <c r="CM150" s="108"/>
      <c r="CN150" s="108"/>
      <c r="CO150" s="93">
        <f t="shared" si="155"/>
        <v>0</v>
      </c>
      <c r="CP150" s="93"/>
      <c r="CQ150" s="93"/>
      <c r="CR150" s="93"/>
      <c r="CS150" s="93"/>
      <c r="CT150" s="93"/>
      <c r="CU150" s="93"/>
      <c r="CV150" s="93"/>
      <c r="CW150" s="93">
        <f t="shared" si="156"/>
        <v>0</v>
      </c>
      <c r="CX150" s="93"/>
      <c r="CY150" s="93" t="str">
        <f>TEXT(Z150,"MMMM")</f>
        <v>marzo</v>
      </c>
      <c r="CZ150" s="93" t="str">
        <f t="shared" si="157"/>
        <v>enero</v>
      </c>
      <c r="DA150" s="93" t="str">
        <f t="shared" si="158"/>
        <v>enero</v>
      </c>
      <c r="DB150" s="93" t="str">
        <f t="shared" si="159"/>
        <v>enero</v>
      </c>
      <c r="DC150" s="93" t="str">
        <f t="shared" si="160"/>
        <v>enero</v>
      </c>
      <c r="DD150" s="93" t="str">
        <f t="shared" si="161"/>
        <v>enero</v>
      </c>
      <c r="DE150" s="93" t="str">
        <f t="shared" si="162"/>
        <v>enero</v>
      </c>
      <c r="DF150" s="93" t="str">
        <f t="shared" si="163"/>
        <v>enero</v>
      </c>
      <c r="DG150" s="93" t="str">
        <f t="shared" si="164"/>
        <v>enero</v>
      </c>
      <c r="DH150" s="93" t="str">
        <f t="shared" si="165"/>
        <v>enero</v>
      </c>
    </row>
    <row r="151" spans="1:112" s="21" customFormat="1" ht="63.75" hidden="1" customHeight="1">
      <c r="A151" s="254">
        <v>803</v>
      </c>
      <c r="B151" s="93" t="e">
        <f>VLOOKUP($A151,  'Matriz POA 2024-TRABAJO'!$A$5:$CY$9142,29,FALSE)</f>
        <v>#N/A</v>
      </c>
      <c r="C151" s="93" t="e">
        <f>VLOOKUP($A151, 'Matriz POA 2024-TRABAJO'!$A$5:$CY$9142,11,FALSE)</f>
        <v>#N/A</v>
      </c>
      <c r="D151" s="93" t="e">
        <f>VLOOKUP($A151, 'Matriz POA 2024-TRABAJO'!$A$5:$CY$9142,14,FALSE)</f>
        <v>#N/A</v>
      </c>
      <c r="E151" s="93" t="e">
        <f>VLOOKUP($A151, 'Matriz POA 2024-TRABAJO'!$A$5:$CY$9142,15,FALSE)</f>
        <v>#N/A</v>
      </c>
      <c r="F151" s="93" t="e">
        <f>VLOOKUP($A151, 'Matriz POA 2024-TRABAJO'!$A$5:$CY$9142,18,FALSE)</f>
        <v>#N/A</v>
      </c>
      <c r="G151" s="93" t="e">
        <f>VLOOKUP($A151, 'Matriz POA 2024-TRABAJO'!$A$5:$CY$9142,23,FALSE)</f>
        <v>#N/A</v>
      </c>
      <c r="H151" s="93" t="e">
        <f>VLOOKUP($A151, 'Matriz POA 2024-TRABAJO'!$A$5:$CY$9142,24,FALSE)</f>
        <v>#N/A</v>
      </c>
      <c r="I151" s="93" t="e">
        <f>VLOOKUP($A151, 'Matriz POA 2024-TRABAJO'!$A$5:$CY$9142,20,FALSE)</f>
        <v>#N/A</v>
      </c>
      <c r="J151" s="93" t="e">
        <f>VLOOKUP($A151, 'Matriz POA 2024-TRABAJO'!$A$5:$CY$9142,26,FALSE)</f>
        <v>#N/A</v>
      </c>
      <c r="K151" s="93" t="e">
        <f>VLOOKUP($A151, 'Matriz POA 2024-TRABAJO'!$A$5:$CY$9142,27,FALSE)</f>
        <v>#N/A</v>
      </c>
      <c r="L151" s="93" t="e">
        <f>VLOOKUP($A151, 'Matriz POA 2024-TRABAJO'!$A$5:$CY$9142,28,FALSE)</f>
        <v>#N/A</v>
      </c>
      <c r="M151" s="93" t="e">
        <f>VLOOKUP($A151, 'Matriz POA 2024-TRABAJO'!$A$5:$CY$9142,30,FALSE)</f>
        <v>#N/A</v>
      </c>
      <c r="N151" s="93" t="e">
        <f>VLOOKUP($A151, 'Matriz POA 2024-TRABAJO'!$A$5:$CY$9142,31,FALSE)</f>
        <v>#N/A</v>
      </c>
      <c r="O151" s="93" t="e">
        <f>VLOOKUP($A151, 'Matriz POA 2024-TRABAJO'!$A$5:$CY$9142,45,FALSE)</f>
        <v>#N/A</v>
      </c>
      <c r="P151" s="93" t="e">
        <f>VLOOKUP($A151, 'Matriz POA 2024-TRABAJO'!$A$5:$CY$9142,46,FALSE)</f>
        <v>#N/A</v>
      </c>
      <c r="Q151" s="93" t="e">
        <f>VLOOKUP($A151, 'Matriz POA 2024-TRABAJO'!$A$5:$CY$9142,47,FALSE)</f>
        <v>#N/A</v>
      </c>
      <c r="R151" s="94">
        <f t="shared" si="123"/>
        <v>45000</v>
      </c>
      <c r="S151" s="95" t="e">
        <f t="shared" si="124"/>
        <v>#N/A</v>
      </c>
      <c r="T151" s="93" t="e">
        <f>VLOOKUP($A151, 'Matriz POA 2024-TRABAJO'!$A$5:$CY$9142,72,FALSE)</f>
        <v>#N/A</v>
      </c>
      <c r="U151" s="93" t="e">
        <f>VLOOKUP($A151, 'Matriz POA 2024-TRABAJO'!$A$5:$CY$9142,29,FALSE)</f>
        <v>#N/A</v>
      </c>
      <c r="V151" s="94" t="str">
        <f t="shared" si="146"/>
        <v>37mg</v>
      </c>
      <c r="W151" s="97" t="s">
        <v>1222</v>
      </c>
      <c r="X151" s="109">
        <v>45364</v>
      </c>
      <c r="Y151" s="99" t="s">
        <v>1223</v>
      </c>
      <c r="Z151" s="109">
        <v>45365</v>
      </c>
      <c r="AA151" s="98">
        <v>45000</v>
      </c>
      <c r="AB151" s="98"/>
      <c r="AC151" s="99">
        <f t="shared" si="147"/>
        <v>1</v>
      </c>
      <c r="AD151" s="110" t="s">
        <v>1224</v>
      </c>
      <c r="AE151" s="98"/>
      <c r="AF151" s="101"/>
      <c r="AG151" s="97"/>
      <c r="AH151" s="101"/>
      <c r="AI151" s="98"/>
      <c r="AJ151" s="98">
        <f t="shared" si="125"/>
        <v>0</v>
      </c>
      <c r="AK151" s="99">
        <f t="shared" si="148"/>
        <v>0</v>
      </c>
      <c r="AL151" s="99"/>
      <c r="AM151" s="93"/>
      <c r="AN151" s="96"/>
      <c r="AO151" s="97"/>
      <c r="AP151" s="101"/>
      <c r="AQ151" s="98"/>
      <c r="AR151" s="98"/>
      <c r="AS151" s="99">
        <f t="shared" si="149"/>
        <v>0</v>
      </c>
      <c r="AT151" s="99"/>
      <c r="AU151" s="96"/>
      <c r="AV151" s="96"/>
      <c r="AW151" s="93"/>
      <c r="AX151" s="96"/>
      <c r="AY151" s="98"/>
      <c r="AZ151" s="98"/>
      <c r="BA151" s="99">
        <f t="shared" si="150"/>
        <v>0</v>
      </c>
      <c r="BB151" s="99"/>
      <c r="BC151" s="96"/>
      <c r="BD151" s="96"/>
      <c r="BE151" s="93"/>
      <c r="BF151" s="96"/>
      <c r="BG151" s="102"/>
      <c r="BH151" s="102"/>
      <c r="BI151" s="93">
        <f t="shared" si="151"/>
        <v>0</v>
      </c>
      <c r="BJ151" s="93"/>
      <c r="BK151" s="93"/>
      <c r="BL151" s="103"/>
      <c r="BM151" s="93"/>
      <c r="BN151" s="103"/>
      <c r="BO151" s="94"/>
      <c r="BP151" s="94"/>
      <c r="BQ151" s="93">
        <f t="shared" si="152"/>
        <v>0</v>
      </c>
      <c r="BR151" s="93"/>
      <c r="BS151" s="93"/>
      <c r="BT151" s="103"/>
      <c r="BU151" s="93"/>
      <c r="BV151" s="103"/>
      <c r="BW151" s="94"/>
      <c r="BX151" s="94"/>
      <c r="BY151" s="93">
        <f t="shared" si="153"/>
        <v>0</v>
      </c>
      <c r="BZ151" s="93"/>
      <c r="CA151" s="104"/>
      <c r="CB151" s="105"/>
      <c r="CC151" s="106"/>
      <c r="CD151" s="107"/>
      <c r="CE151" s="94"/>
      <c r="CF151" s="94"/>
      <c r="CG151" s="93">
        <f t="shared" si="154"/>
        <v>0</v>
      </c>
      <c r="CH151" s="93"/>
      <c r="CI151" s="106"/>
      <c r="CJ151" s="105"/>
      <c r="CK151" s="93"/>
      <c r="CL151" s="105"/>
      <c r="CM151" s="108"/>
      <c r="CN151" s="108"/>
      <c r="CO151" s="93">
        <f t="shared" si="155"/>
        <v>0</v>
      </c>
      <c r="CP151" s="93"/>
      <c r="CQ151" s="93"/>
      <c r="CR151" s="93"/>
      <c r="CS151" s="93"/>
      <c r="CT151" s="93"/>
      <c r="CU151" s="93"/>
      <c r="CV151" s="93"/>
      <c r="CW151" s="93">
        <f t="shared" si="156"/>
        <v>0</v>
      </c>
      <c r="CX151" s="93"/>
      <c r="CY151" s="93" t="str">
        <f>TEXT(X151,"MMMM")</f>
        <v>marzo</v>
      </c>
      <c r="CZ151" s="93" t="str">
        <f t="shared" si="157"/>
        <v>enero</v>
      </c>
      <c r="DA151" s="93" t="str">
        <f t="shared" si="158"/>
        <v>enero</v>
      </c>
      <c r="DB151" s="93" t="str">
        <f t="shared" si="159"/>
        <v>enero</v>
      </c>
      <c r="DC151" s="93" t="str">
        <f t="shared" si="160"/>
        <v>enero</v>
      </c>
      <c r="DD151" s="93" t="str">
        <f t="shared" si="161"/>
        <v>enero</v>
      </c>
      <c r="DE151" s="93" t="str">
        <f t="shared" si="162"/>
        <v>enero</v>
      </c>
      <c r="DF151" s="93" t="str">
        <f t="shared" si="163"/>
        <v>enero</v>
      </c>
      <c r="DG151" s="93" t="str">
        <f t="shared" si="164"/>
        <v>enero</v>
      </c>
      <c r="DH151" s="93" t="str">
        <f t="shared" si="165"/>
        <v>enero</v>
      </c>
    </row>
    <row r="152" spans="1:112" s="21" customFormat="1" ht="19.5" hidden="1" customHeight="1">
      <c r="A152" s="256">
        <v>567</v>
      </c>
      <c r="B152" s="93" t="e">
        <f>VLOOKUP($A152,  'Matriz POA 2024-TRABAJO'!$A$5:$CY$9142,29,FALSE)</f>
        <v>#N/A</v>
      </c>
      <c r="C152" s="93" t="e">
        <f>VLOOKUP($A152, 'Matriz POA 2024-TRABAJO'!$A$5:$CY$9142,11,FALSE)</f>
        <v>#N/A</v>
      </c>
      <c r="D152" s="93" t="e">
        <f>VLOOKUP($A152, 'Matriz POA 2024-TRABAJO'!$A$5:$CY$9142,14,FALSE)</f>
        <v>#N/A</v>
      </c>
      <c r="E152" s="93" t="e">
        <f>VLOOKUP($A152, 'Matriz POA 2024-TRABAJO'!$A$5:$CY$9142,15,FALSE)</f>
        <v>#N/A</v>
      </c>
      <c r="F152" s="93" t="e">
        <f>VLOOKUP($A152, 'Matriz POA 2024-TRABAJO'!$A$5:$CY$9142,18,FALSE)</f>
        <v>#N/A</v>
      </c>
      <c r="G152" s="93" t="e">
        <f>VLOOKUP($A152, 'Matriz POA 2024-TRABAJO'!$A$5:$CY$9142,23,FALSE)</f>
        <v>#N/A</v>
      </c>
      <c r="H152" s="93" t="e">
        <f>VLOOKUP($A152, 'Matriz POA 2024-TRABAJO'!$A$5:$CY$9142,24,FALSE)</f>
        <v>#N/A</v>
      </c>
      <c r="I152" s="93" t="e">
        <f>VLOOKUP($A152, 'Matriz POA 2024-TRABAJO'!$A$5:$CY$9142,20,FALSE)</f>
        <v>#N/A</v>
      </c>
      <c r="J152" s="93" t="e">
        <f>VLOOKUP($A152, 'Matriz POA 2024-TRABAJO'!$A$5:$CY$9142,26,FALSE)</f>
        <v>#N/A</v>
      </c>
      <c r="K152" s="93" t="e">
        <f>VLOOKUP($A152, 'Matriz POA 2024-TRABAJO'!$A$5:$CY$9142,27,FALSE)</f>
        <v>#N/A</v>
      </c>
      <c r="L152" s="93" t="e">
        <f>VLOOKUP($A152, 'Matriz POA 2024-TRABAJO'!$A$5:$CY$9142,28,FALSE)</f>
        <v>#N/A</v>
      </c>
      <c r="M152" s="93" t="e">
        <f>VLOOKUP($A152, 'Matriz POA 2024-TRABAJO'!$A$5:$CY$9142,30,FALSE)</f>
        <v>#N/A</v>
      </c>
      <c r="N152" s="93" t="e">
        <f>VLOOKUP($A152, 'Matriz POA 2024-TRABAJO'!$A$5:$CY$9142,31,FALSE)</f>
        <v>#N/A</v>
      </c>
      <c r="O152" s="93" t="e">
        <f>VLOOKUP($A152, 'Matriz POA 2024-TRABAJO'!$A$5:$CY$9142,45,FALSE)</f>
        <v>#N/A</v>
      </c>
      <c r="P152" s="93" t="e">
        <f>VLOOKUP($A152, 'Matriz POA 2024-TRABAJO'!$A$5:$CY$9142,46,FALSE)</f>
        <v>#N/A</v>
      </c>
      <c r="Q152" s="93" t="e">
        <f>VLOOKUP($A152, 'Matriz POA 2024-TRABAJO'!$A$5:$CY$9142,47,FALSE)</f>
        <v>#N/A</v>
      </c>
      <c r="R152" s="94">
        <f t="shared" si="123"/>
        <v>0</v>
      </c>
      <c r="S152" s="95" t="e">
        <f t="shared" si="124"/>
        <v>#N/A</v>
      </c>
      <c r="T152" s="93" t="e">
        <f>VLOOKUP($A152, 'Matriz POA 2024-TRABAJO'!$A$5:$CY$9142,72,FALSE)</f>
        <v>#N/A</v>
      </c>
      <c r="U152" s="93" t="e">
        <f>VLOOKUP($A152, 'Matriz POA 2024-TRABAJO'!$A$5:$CY$9142,29,FALSE)</f>
        <v>#N/A</v>
      </c>
      <c r="V152" s="94" t="str">
        <f t="shared" si="146"/>
        <v>38mg-</v>
      </c>
      <c r="W152" s="96" t="s">
        <v>1225</v>
      </c>
      <c r="X152" s="96">
        <v>45366</v>
      </c>
      <c r="Y152" s="97" t="s">
        <v>1226</v>
      </c>
      <c r="Z152" s="96">
        <v>45366</v>
      </c>
      <c r="AA152" s="98">
        <v>113.53</v>
      </c>
      <c r="AB152" s="98"/>
      <c r="AC152" s="99">
        <f t="shared" si="147"/>
        <v>0</v>
      </c>
      <c r="AD152" s="100" t="s">
        <v>1227</v>
      </c>
      <c r="AE152" s="98" t="s">
        <v>994</v>
      </c>
      <c r="AF152" s="101">
        <v>45373</v>
      </c>
      <c r="AG152" s="151"/>
      <c r="AH152" s="101">
        <v>45378</v>
      </c>
      <c r="AI152" s="98">
        <v>-113.53</v>
      </c>
      <c r="AJ152" s="98"/>
      <c r="AK152" s="99">
        <f t="shared" si="148"/>
        <v>5</v>
      </c>
      <c r="AL152" s="99"/>
      <c r="AM152" s="93"/>
      <c r="AN152" s="96"/>
      <c r="AO152" s="97"/>
      <c r="AP152" s="101"/>
      <c r="AQ152" s="98"/>
      <c r="AR152" s="98"/>
      <c r="AS152" s="99">
        <f t="shared" si="149"/>
        <v>0</v>
      </c>
      <c r="AT152" s="99"/>
      <c r="AU152" s="96"/>
      <c r="AV152" s="96"/>
      <c r="AW152" s="93"/>
      <c r="AX152" s="96"/>
      <c r="AY152" s="98"/>
      <c r="AZ152" s="98"/>
      <c r="BA152" s="99">
        <f t="shared" si="150"/>
        <v>0</v>
      </c>
      <c r="BB152" s="99"/>
      <c r="BC152" s="96"/>
      <c r="BD152" s="96"/>
      <c r="BE152" s="93"/>
      <c r="BF152" s="96"/>
      <c r="BG152" s="102"/>
      <c r="BH152" s="102"/>
      <c r="BI152" s="93">
        <f t="shared" si="151"/>
        <v>0</v>
      </c>
      <c r="BJ152" s="93"/>
      <c r="BK152" s="93"/>
      <c r="BL152" s="103"/>
      <c r="BM152" s="93"/>
      <c r="BN152" s="103"/>
      <c r="BO152" s="94"/>
      <c r="BP152" s="94"/>
      <c r="BQ152" s="93">
        <f t="shared" si="152"/>
        <v>0</v>
      </c>
      <c r="BR152" s="93"/>
      <c r="BS152" s="93"/>
      <c r="BT152" s="103"/>
      <c r="BU152" s="93"/>
      <c r="BV152" s="103"/>
      <c r="BW152" s="94"/>
      <c r="BX152" s="94"/>
      <c r="BY152" s="93">
        <f t="shared" si="153"/>
        <v>0</v>
      </c>
      <c r="BZ152" s="93"/>
      <c r="CA152" s="104"/>
      <c r="CB152" s="105"/>
      <c r="CC152" s="106"/>
      <c r="CD152" s="107"/>
      <c r="CE152" s="94"/>
      <c r="CF152" s="94"/>
      <c r="CG152" s="93">
        <f t="shared" si="154"/>
        <v>0</v>
      </c>
      <c r="CH152" s="93"/>
      <c r="CI152" s="106"/>
      <c r="CJ152" s="105"/>
      <c r="CK152" s="93"/>
      <c r="CL152" s="105"/>
      <c r="CM152" s="108"/>
      <c r="CN152" s="108"/>
      <c r="CO152" s="93">
        <f t="shared" si="155"/>
        <v>0</v>
      </c>
      <c r="CP152" s="93"/>
      <c r="CQ152" s="93"/>
      <c r="CR152" s="93"/>
      <c r="CS152" s="93"/>
      <c r="CT152" s="93"/>
      <c r="CU152" s="93"/>
      <c r="CV152" s="93"/>
      <c r="CW152" s="93">
        <f t="shared" si="156"/>
        <v>0</v>
      </c>
      <c r="CX152" s="93"/>
      <c r="CY152" s="93" t="str">
        <f>TEXT(Z152,"MMMM")</f>
        <v>marzo</v>
      </c>
      <c r="CZ152" s="93" t="str">
        <f t="shared" si="157"/>
        <v>marzo</v>
      </c>
      <c r="DA152" s="93" t="str">
        <f t="shared" si="158"/>
        <v>enero</v>
      </c>
      <c r="DB152" s="93" t="str">
        <f t="shared" si="159"/>
        <v>enero</v>
      </c>
      <c r="DC152" s="93" t="str">
        <f t="shared" si="160"/>
        <v>enero</v>
      </c>
      <c r="DD152" s="93" t="str">
        <f t="shared" si="161"/>
        <v>enero</v>
      </c>
      <c r="DE152" s="93" t="str">
        <f t="shared" si="162"/>
        <v>enero</v>
      </c>
      <c r="DF152" s="93" t="str">
        <f t="shared" si="163"/>
        <v>enero</v>
      </c>
      <c r="DG152" s="93" t="str">
        <f t="shared" si="164"/>
        <v>enero</v>
      </c>
      <c r="DH152" s="93" t="str">
        <f t="shared" si="165"/>
        <v>enero</v>
      </c>
    </row>
    <row r="153" spans="1:112" s="21" customFormat="1" ht="19.5" hidden="1" customHeight="1">
      <c r="A153" s="256">
        <v>568</v>
      </c>
      <c r="B153" s="93" t="e">
        <f>VLOOKUP($A153,  'Matriz POA 2024-TRABAJO'!$A$5:$CY$9142,29,FALSE)</f>
        <v>#N/A</v>
      </c>
      <c r="C153" s="93" t="e">
        <f>VLOOKUP($A153, 'Matriz POA 2024-TRABAJO'!$A$5:$CY$9142,11,FALSE)</f>
        <v>#N/A</v>
      </c>
      <c r="D153" s="93" t="e">
        <f>VLOOKUP($A153, 'Matriz POA 2024-TRABAJO'!$A$5:$CY$9142,14,FALSE)</f>
        <v>#N/A</v>
      </c>
      <c r="E153" s="93" t="e">
        <f>VLOOKUP($A153, 'Matriz POA 2024-TRABAJO'!$A$5:$CY$9142,15,FALSE)</f>
        <v>#N/A</v>
      </c>
      <c r="F153" s="93" t="e">
        <f>VLOOKUP($A153, 'Matriz POA 2024-TRABAJO'!$A$5:$CY$9142,18,FALSE)</f>
        <v>#N/A</v>
      </c>
      <c r="G153" s="93" t="e">
        <f>VLOOKUP($A153, 'Matriz POA 2024-TRABAJO'!$A$5:$CY$9142,23,FALSE)</f>
        <v>#N/A</v>
      </c>
      <c r="H153" s="93" t="e">
        <f>VLOOKUP($A153, 'Matriz POA 2024-TRABAJO'!$A$5:$CY$9142,24,FALSE)</f>
        <v>#N/A</v>
      </c>
      <c r="I153" s="93" t="e">
        <f>VLOOKUP($A153, 'Matriz POA 2024-TRABAJO'!$A$5:$CY$9142,20,FALSE)</f>
        <v>#N/A</v>
      </c>
      <c r="J153" s="93" t="e">
        <f>VLOOKUP($A153, 'Matriz POA 2024-TRABAJO'!$A$5:$CY$9142,26,FALSE)</f>
        <v>#N/A</v>
      </c>
      <c r="K153" s="93" t="e">
        <f>VLOOKUP($A153, 'Matriz POA 2024-TRABAJO'!$A$5:$CY$9142,27,FALSE)</f>
        <v>#N/A</v>
      </c>
      <c r="L153" s="93" t="e">
        <f>VLOOKUP($A153, 'Matriz POA 2024-TRABAJO'!$A$5:$CY$9142,28,FALSE)</f>
        <v>#N/A</v>
      </c>
      <c r="M153" s="93" t="e">
        <f>VLOOKUP($A153, 'Matriz POA 2024-TRABAJO'!$A$5:$CY$9142,30,FALSE)</f>
        <v>#N/A</v>
      </c>
      <c r="N153" s="93" t="e">
        <f>VLOOKUP($A153, 'Matriz POA 2024-TRABAJO'!$A$5:$CY$9142,31,FALSE)</f>
        <v>#N/A</v>
      </c>
      <c r="O153" s="93" t="e">
        <f>VLOOKUP($A153, 'Matriz POA 2024-TRABAJO'!$A$5:$CY$9142,45,FALSE)</f>
        <v>#N/A</v>
      </c>
      <c r="P153" s="93" t="e">
        <f>VLOOKUP($A153, 'Matriz POA 2024-TRABAJO'!$A$5:$CY$9142,46,FALSE)</f>
        <v>#N/A</v>
      </c>
      <c r="Q153" s="93" t="e">
        <f>VLOOKUP($A153, 'Matriz POA 2024-TRABAJO'!$A$5:$CY$9142,47,FALSE)</f>
        <v>#N/A</v>
      </c>
      <c r="R153" s="94">
        <f t="shared" si="123"/>
        <v>0</v>
      </c>
      <c r="S153" s="95" t="e">
        <f t="shared" si="124"/>
        <v>#N/A</v>
      </c>
      <c r="T153" s="93" t="e">
        <f>VLOOKUP($A153, 'Matriz POA 2024-TRABAJO'!$A$5:$CY$9142,72,FALSE)</f>
        <v>#N/A</v>
      </c>
      <c r="U153" s="93" t="e">
        <f>VLOOKUP($A153, 'Matriz POA 2024-TRABAJO'!$A$5:$CY$9142,29,FALSE)</f>
        <v>#N/A</v>
      </c>
      <c r="V153" s="94" t="str">
        <f t="shared" si="146"/>
        <v>38mg-</v>
      </c>
      <c r="W153" s="96" t="s">
        <v>1225</v>
      </c>
      <c r="X153" s="96">
        <v>45366</v>
      </c>
      <c r="Y153" s="97" t="s">
        <v>1226</v>
      </c>
      <c r="Z153" s="96">
        <v>45366</v>
      </c>
      <c r="AA153" s="98">
        <v>859.5</v>
      </c>
      <c r="AB153" s="98"/>
      <c r="AC153" s="99">
        <f t="shared" si="147"/>
        <v>0</v>
      </c>
      <c r="AD153" s="100" t="s">
        <v>1227</v>
      </c>
      <c r="AE153" s="98" t="s">
        <v>994</v>
      </c>
      <c r="AF153" s="101">
        <v>45373</v>
      </c>
      <c r="AG153" s="151"/>
      <c r="AH153" s="101">
        <v>45378</v>
      </c>
      <c r="AI153" s="98">
        <v>-859.5</v>
      </c>
      <c r="AJ153" s="98"/>
      <c r="AK153" s="99">
        <f t="shared" si="148"/>
        <v>5</v>
      </c>
      <c r="AL153" s="99"/>
      <c r="AM153" s="93"/>
      <c r="AN153" s="96"/>
      <c r="AO153" s="97"/>
      <c r="AP153" s="101"/>
      <c r="AQ153" s="98"/>
      <c r="AR153" s="98"/>
      <c r="AS153" s="99">
        <f t="shared" si="149"/>
        <v>0</v>
      </c>
      <c r="AT153" s="99"/>
      <c r="AU153" s="96"/>
      <c r="AV153" s="96"/>
      <c r="AW153" s="93"/>
      <c r="AX153" s="96"/>
      <c r="AY153" s="98"/>
      <c r="AZ153" s="98"/>
      <c r="BA153" s="99">
        <f t="shared" si="150"/>
        <v>0</v>
      </c>
      <c r="BB153" s="99"/>
      <c r="BC153" s="96"/>
      <c r="BD153" s="96"/>
      <c r="BE153" s="93"/>
      <c r="BF153" s="96"/>
      <c r="BG153" s="102"/>
      <c r="BH153" s="102"/>
      <c r="BI153" s="93">
        <f t="shared" si="151"/>
        <v>0</v>
      </c>
      <c r="BJ153" s="93"/>
      <c r="BK153" s="93"/>
      <c r="BL153" s="103"/>
      <c r="BM153" s="93"/>
      <c r="BN153" s="103"/>
      <c r="BO153" s="94"/>
      <c r="BP153" s="94"/>
      <c r="BQ153" s="93">
        <f t="shared" si="152"/>
        <v>0</v>
      </c>
      <c r="BR153" s="93"/>
      <c r="BS153" s="93"/>
      <c r="BT153" s="103"/>
      <c r="BU153" s="93"/>
      <c r="BV153" s="103"/>
      <c r="BW153" s="94"/>
      <c r="BX153" s="94"/>
      <c r="BY153" s="93">
        <f t="shared" si="153"/>
        <v>0</v>
      </c>
      <c r="BZ153" s="93"/>
      <c r="CA153" s="104"/>
      <c r="CB153" s="105"/>
      <c r="CC153" s="106"/>
      <c r="CD153" s="107"/>
      <c r="CE153" s="94"/>
      <c r="CF153" s="94"/>
      <c r="CG153" s="93">
        <f t="shared" si="154"/>
        <v>0</v>
      </c>
      <c r="CH153" s="93"/>
      <c r="CI153" s="106"/>
      <c r="CJ153" s="105"/>
      <c r="CK153" s="93"/>
      <c r="CL153" s="105"/>
      <c r="CM153" s="108"/>
      <c r="CN153" s="108"/>
      <c r="CO153" s="93">
        <f t="shared" si="155"/>
        <v>0</v>
      </c>
      <c r="CP153" s="93"/>
      <c r="CQ153" s="93"/>
      <c r="CR153" s="93"/>
      <c r="CS153" s="93"/>
      <c r="CT153" s="93"/>
      <c r="CU153" s="93"/>
      <c r="CV153" s="93"/>
      <c r="CW153" s="93">
        <f t="shared" si="156"/>
        <v>0</v>
      </c>
      <c r="CX153" s="93"/>
      <c r="CY153" s="93" t="str">
        <f>TEXT(Z153,"MMMM")</f>
        <v>marzo</v>
      </c>
      <c r="CZ153" s="93" t="str">
        <f t="shared" si="157"/>
        <v>marzo</v>
      </c>
      <c r="DA153" s="93" t="str">
        <f t="shared" si="158"/>
        <v>enero</v>
      </c>
      <c r="DB153" s="93" t="str">
        <f t="shared" si="159"/>
        <v>enero</v>
      </c>
      <c r="DC153" s="93" t="str">
        <f t="shared" si="160"/>
        <v>enero</v>
      </c>
      <c r="DD153" s="93" t="str">
        <f t="shared" si="161"/>
        <v>enero</v>
      </c>
      <c r="DE153" s="93" t="str">
        <f t="shared" si="162"/>
        <v>enero</v>
      </c>
      <c r="DF153" s="93" t="str">
        <f t="shared" si="163"/>
        <v>enero</v>
      </c>
      <c r="DG153" s="93" t="str">
        <f t="shared" si="164"/>
        <v>enero</v>
      </c>
      <c r="DH153" s="93" t="str">
        <f t="shared" si="165"/>
        <v>enero</v>
      </c>
    </row>
    <row r="154" spans="1:112" s="21" customFormat="1" ht="19.5" hidden="1" customHeight="1">
      <c r="A154" s="256">
        <v>569</v>
      </c>
      <c r="B154" s="93" t="e">
        <f>VLOOKUP($A154,  'Matriz POA 2024-TRABAJO'!$A$5:$CY$9142,29,FALSE)</f>
        <v>#N/A</v>
      </c>
      <c r="C154" s="93" t="e">
        <f>VLOOKUP($A154, 'Matriz POA 2024-TRABAJO'!$A$5:$CY$9142,11,FALSE)</f>
        <v>#N/A</v>
      </c>
      <c r="D154" s="93" t="e">
        <f>VLOOKUP($A154, 'Matriz POA 2024-TRABAJO'!$A$5:$CY$9142,14,FALSE)</f>
        <v>#N/A</v>
      </c>
      <c r="E154" s="93" t="e">
        <f>VLOOKUP($A154, 'Matriz POA 2024-TRABAJO'!$A$5:$CY$9142,15,FALSE)</f>
        <v>#N/A</v>
      </c>
      <c r="F154" s="93" t="e">
        <f>VLOOKUP($A154, 'Matriz POA 2024-TRABAJO'!$A$5:$CY$9142,18,FALSE)</f>
        <v>#N/A</v>
      </c>
      <c r="G154" s="93" t="e">
        <f>VLOOKUP($A154, 'Matriz POA 2024-TRABAJO'!$A$5:$CY$9142,23,FALSE)</f>
        <v>#N/A</v>
      </c>
      <c r="H154" s="93" t="e">
        <f>VLOOKUP($A154, 'Matriz POA 2024-TRABAJO'!$A$5:$CY$9142,24,FALSE)</f>
        <v>#N/A</v>
      </c>
      <c r="I154" s="93" t="e">
        <f>VLOOKUP($A154, 'Matriz POA 2024-TRABAJO'!$A$5:$CY$9142,20,FALSE)</f>
        <v>#N/A</v>
      </c>
      <c r="J154" s="93" t="e">
        <f>VLOOKUP($A154, 'Matriz POA 2024-TRABAJO'!$A$5:$CY$9142,26,FALSE)</f>
        <v>#N/A</v>
      </c>
      <c r="K154" s="93" t="e">
        <f>VLOOKUP($A154, 'Matriz POA 2024-TRABAJO'!$A$5:$CY$9142,27,FALSE)</f>
        <v>#N/A</v>
      </c>
      <c r="L154" s="93" t="e">
        <f>VLOOKUP($A154, 'Matriz POA 2024-TRABAJO'!$A$5:$CY$9142,28,FALSE)</f>
        <v>#N/A</v>
      </c>
      <c r="M154" s="93" t="e">
        <f>VLOOKUP($A154, 'Matriz POA 2024-TRABAJO'!$A$5:$CY$9142,30,FALSE)</f>
        <v>#N/A</v>
      </c>
      <c r="N154" s="93" t="e">
        <f>VLOOKUP($A154, 'Matriz POA 2024-TRABAJO'!$A$5:$CY$9142,31,FALSE)</f>
        <v>#N/A</v>
      </c>
      <c r="O154" s="93" t="e">
        <f>VLOOKUP($A154, 'Matriz POA 2024-TRABAJO'!$A$5:$CY$9142,45,FALSE)</f>
        <v>#N/A</v>
      </c>
      <c r="P154" s="93" t="e">
        <f>VLOOKUP($A154, 'Matriz POA 2024-TRABAJO'!$A$5:$CY$9142,46,FALSE)</f>
        <v>#N/A</v>
      </c>
      <c r="Q154" s="93" t="e">
        <f>VLOOKUP($A154, 'Matriz POA 2024-TRABAJO'!$A$5:$CY$9142,47,FALSE)</f>
        <v>#N/A</v>
      </c>
      <c r="R154" s="94">
        <f t="shared" si="123"/>
        <v>0</v>
      </c>
      <c r="S154" s="95" t="e">
        <f t="shared" si="124"/>
        <v>#N/A</v>
      </c>
      <c r="T154" s="93" t="e">
        <f>VLOOKUP($A154, 'Matriz POA 2024-TRABAJO'!$A$5:$CY$9142,72,FALSE)</f>
        <v>#N/A</v>
      </c>
      <c r="U154" s="93" t="e">
        <f>VLOOKUP($A154, 'Matriz POA 2024-TRABAJO'!$A$5:$CY$9142,29,FALSE)</f>
        <v>#N/A</v>
      </c>
      <c r="V154" s="94" t="str">
        <f t="shared" si="146"/>
        <v>38mg-</v>
      </c>
      <c r="W154" s="96" t="s">
        <v>1225</v>
      </c>
      <c r="X154" s="96">
        <v>45366</v>
      </c>
      <c r="Y154" s="97" t="s">
        <v>1226</v>
      </c>
      <c r="Z154" s="96">
        <v>45366</v>
      </c>
      <c r="AA154" s="98">
        <v>648.67999999999995</v>
      </c>
      <c r="AB154" s="98"/>
      <c r="AC154" s="99">
        <f t="shared" si="147"/>
        <v>0</v>
      </c>
      <c r="AD154" s="100" t="s">
        <v>1227</v>
      </c>
      <c r="AE154" s="98" t="s">
        <v>994</v>
      </c>
      <c r="AF154" s="101">
        <v>45373</v>
      </c>
      <c r="AG154" s="151"/>
      <c r="AH154" s="101">
        <v>45378</v>
      </c>
      <c r="AI154" s="98">
        <v>-648.67999999999995</v>
      </c>
      <c r="AJ154" s="98"/>
      <c r="AK154" s="99">
        <f t="shared" si="148"/>
        <v>5</v>
      </c>
      <c r="AL154" s="99"/>
      <c r="AM154" s="93"/>
      <c r="AN154" s="96"/>
      <c r="AO154" s="97"/>
      <c r="AP154" s="101"/>
      <c r="AQ154" s="98"/>
      <c r="AR154" s="98"/>
      <c r="AS154" s="99">
        <f t="shared" si="149"/>
        <v>0</v>
      </c>
      <c r="AT154" s="99"/>
      <c r="AU154" s="96"/>
      <c r="AV154" s="96"/>
      <c r="AW154" s="93"/>
      <c r="AX154" s="96"/>
      <c r="AY154" s="98"/>
      <c r="AZ154" s="98"/>
      <c r="BA154" s="99">
        <f t="shared" si="150"/>
        <v>0</v>
      </c>
      <c r="BB154" s="99"/>
      <c r="BC154" s="96"/>
      <c r="BD154" s="96"/>
      <c r="BE154" s="93"/>
      <c r="BF154" s="96"/>
      <c r="BG154" s="102"/>
      <c r="BH154" s="102"/>
      <c r="BI154" s="93">
        <f t="shared" si="151"/>
        <v>0</v>
      </c>
      <c r="BJ154" s="93"/>
      <c r="BK154" s="93"/>
      <c r="BL154" s="103"/>
      <c r="BM154" s="93"/>
      <c r="BN154" s="103"/>
      <c r="BO154" s="94"/>
      <c r="BP154" s="94"/>
      <c r="BQ154" s="93">
        <f t="shared" si="152"/>
        <v>0</v>
      </c>
      <c r="BR154" s="93"/>
      <c r="BS154" s="93"/>
      <c r="BT154" s="103"/>
      <c r="BU154" s="93"/>
      <c r="BV154" s="103"/>
      <c r="BW154" s="94"/>
      <c r="BX154" s="94"/>
      <c r="BY154" s="93">
        <f t="shared" si="153"/>
        <v>0</v>
      </c>
      <c r="BZ154" s="93"/>
      <c r="CA154" s="104"/>
      <c r="CB154" s="105"/>
      <c r="CC154" s="106"/>
      <c r="CD154" s="107"/>
      <c r="CE154" s="94"/>
      <c r="CF154" s="94"/>
      <c r="CG154" s="93">
        <f t="shared" si="154"/>
        <v>0</v>
      </c>
      <c r="CH154" s="93"/>
      <c r="CI154" s="106"/>
      <c r="CJ154" s="105"/>
      <c r="CK154" s="93"/>
      <c r="CL154" s="105"/>
      <c r="CM154" s="108"/>
      <c r="CN154" s="108"/>
      <c r="CO154" s="93">
        <f t="shared" si="155"/>
        <v>0</v>
      </c>
      <c r="CP154" s="93"/>
      <c r="CQ154" s="93"/>
      <c r="CR154" s="93"/>
      <c r="CS154" s="93"/>
      <c r="CT154" s="93"/>
      <c r="CU154" s="93"/>
      <c r="CV154" s="93"/>
      <c r="CW154" s="93">
        <f t="shared" si="156"/>
        <v>0</v>
      </c>
      <c r="CX154" s="93"/>
      <c r="CY154" s="93" t="str">
        <f>TEXT(X154,"MMMM")</f>
        <v>marzo</v>
      </c>
      <c r="CZ154" s="93" t="str">
        <f t="shared" si="157"/>
        <v>marzo</v>
      </c>
      <c r="DA154" s="93" t="str">
        <f t="shared" si="158"/>
        <v>enero</v>
      </c>
      <c r="DB154" s="93" t="str">
        <f t="shared" si="159"/>
        <v>enero</v>
      </c>
      <c r="DC154" s="93" t="str">
        <f t="shared" si="160"/>
        <v>enero</v>
      </c>
      <c r="DD154" s="93" t="str">
        <f t="shared" si="161"/>
        <v>enero</v>
      </c>
      <c r="DE154" s="93" t="str">
        <f t="shared" si="162"/>
        <v>enero</v>
      </c>
      <c r="DF154" s="93" t="str">
        <f t="shared" si="163"/>
        <v>enero</v>
      </c>
      <c r="DG154" s="93" t="str">
        <f t="shared" si="164"/>
        <v>enero</v>
      </c>
      <c r="DH154" s="93" t="str">
        <f t="shared" si="165"/>
        <v>enero</v>
      </c>
    </row>
    <row r="155" spans="1:112" s="21" customFormat="1" ht="19.5" hidden="1" customHeight="1">
      <c r="A155" s="254">
        <v>826</v>
      </c>
      <c r="B155" s="93" t="e">
        <f>VLOOKUP($A155,  'Matriz POA 2024-TRABAJO'!$A$5:$CY$9142,29,FALSE)</f>
        <v>#N/A</v>
      </c>
      <c r="C155" s="93" t="e">
        <f>VLOOKUP($A155, 'Matriz POA 2024-TRABAJO'!$A$5:$CY$9142,11,FALSE)</f>
        <v>#N/A</v>
      </c>
      <c r="D155" s="93" t="e">
        <f>VLOOKUP($A155, 'Matriz POA 2024-TRABAJO'!$A$5:$CY$9142,14,FALSE)</f>
        <v>#N/A</v>
      </c>
      <c r="E155" s="93" t="e">
        <f>VLOOKUP($A155, 'Matriz POA 2024-TRABAJO'!$A$5:$CY$9142,15,FALSE)</f>
        <v>#N/A</v>
      </c>
      <c r="F155" s="93" t="e">
        <f>VLOOKUP($A155, 'Matriz POA 2024-TRABAJO'!$A$5:$CY$9142,18,FALSE)</f>
        <v>#N/A</v>
      </c>
      <c r="G155" s="93" t="e">
        <f>VLOOKUP($A155, 'Matriz POA 2024-TRABAJO'!$A$5:$CY$9142,23,FALSE)</f>
        <v>#N/A</v>
      </c>
      <c r="H155" s="93" t="e">
        <f>VLOOKUP($A155, 'Matriz POA 2024-TRABAJO'!$A$5:$CY$9142,24,FALSE)</f>
        <v>#N/A</v>
      </c>
      <c r="I155" s="93" t="e">
        <f>VLOOKUP($A155, 'Matriz POA 2024-TRABAJO'!$A$5:$CY$9142,20,FALSE)</f>
        <v>#N/A</v>
      </c>
      <c r="J155" s="93" t="e">
        <f>VLOOKUP($A155, 'Matriz POA 2024-TRABAJO'!$A$5:$CY$9142,26,FALSE)</f>
        <v>#N/A</v>
      </c>
      <c r="K155" s="93" t="e">
        <f>VLOOKUP($A155, 'Matriz POA 2024-TRABAJO'!$A$5:$CY$9142,27,FALSE)</f>
        <v>#N/A</v>
      </c>
      <c r="L155" s="93" t="e">
        <f>VLOOKUP($A155, 'Matriz POA 2024-TRABAJO'!$A$5:$CY$9142,28,FALSE)</f>
        <v>#N/A</v>
      </c>
      <c r="M155" s="93" t="e">
        <f>VLOOKUP($A155, 'Matriz POA 2024-TRABAJO'!$A$5:$CY$9142,30,FALSE)</f>
        <v>#N/A</v>
      </c>
      <c r="N155" s="93" t="e">
        <f>VLOOKUP($A155, 'Matriz POA 2024-TRABAJO'!$A$5:$CY$9142,31,FALSE)</f>
        <v>#N/A</v>
      </c>
      <c r="O155" s="93" t="e">
        <f>VLOOKUP($A155, 'Matriz POA 2024-TRABAJO'!$A$5:$CY$9142,45,FALSE)</f>
        <v>#N/A</v>
      </c>
      <c r="P155" s="93" t="e">
        <f>VLOOKUP($A155, 'Matriz POA 2024-TRABAJO'!$A$5:$CY$9142,46,FALSE)</f>
        <v>#N/A</v>
      </c>
      <c r="Q155" s="93" t="e">
        <f>VLOOKUP($A155, 'Matriz POA 2024-TRABAJO'!$A$5:$CY$9142,47,FALSE)</f>
        <v>#N/A</v>
      </c>
      <c r="R155" s="94">
        <f t="shared" si="123"/>
        <v>1600</v>
      </c>
      <c r="S155" s="95" t="e">
        <f t="shared" si="124"/>
        <v>#N/A</v>
      </c>
      <c r="T155" s="93" t="e">
        <f>VLOOKUP($A155, 'Matriz POA 2024-TRABAJO'!$A$5:$CY$9142,72,FALSE)</f>
        <v>#N/A</v>
      </c>
      <c r="U155" s="93" t="e">
        <f>VLOOKUP($A155, 'Matriz POA 2024-TRABAJO'!$A$5:$CY$9142,29,FALSE)</f>
        <v>#N/A</v>
      </c>
      <c r="V155" s="94" t="str">
        <f t="shared" si="146"/>
        <v>39ar-</v>
      </c>
      <c r="W155" s="96" t="s">
        <v>1228</v>
      </c>
      <c r="X155" s="96">
        <v>45366</v>
      </c>
      <c r="Y155" s="97"/>
      <c r="Z155" s="96">
        <v>45366</v>
      </c>
      <c r="AA155" s="98">
        <v>1600</v>
      </c>
      <c r="AB155" s="98"/>
      <c r="AC155" s="99">
        <f t="shared" si="147"/>
        <v>0</v>
      </c>
      <c r="AD155" s="100" t="s">
        <v>1229</v>
      </c>
      <c r="AE155" s="98"/>
      <c r="AF155" s="101"/>
      <c r="AG155" s="97"/>
      <c r="AH155" s="101"/>
      <c r="AI155" s="98"/>
      <c r="AJ155" s="98">
        <f>AI155*-1</f>
        <v>0</v>
      </c>
      <c r="AK155" s="99">
        <f t="shared" si="148"/>
        <v>0</v>
      </c>
      <c r="AL155" s="380"/>
      <c r="AN155" s="381"/>
      <c r="AO155" s="97"/>
      <c r="AP155" s="101"/>
      <c r="AQ155" s="98"/>
      <c r="AR155" s="98"/>
      <c r="AS155" s="99">
        <f t="shared" si="149"/>
        <v>0</v>
      </c>
      <c r="AT155" s="99"/>
      <c r="AU155" s="96"/>
      <c r="AV155" s="96"/>
      <c r="AW155" s="93"/>
      <c r="AX155" s="96"/>
      <c r="AY155" s="98"/>
      <c r="AZ155" s="98"/>
      <c r="BA155" s="99">
        <f t="shared" si="150"/>
        <v>0</v>
      </c>
      <c r="BB155" s="99"/>
      <c r="BC155" s="96"/>
      <c r="BD155" s="96"/>
      <c r="BE155" s="93"/>
      <c r="BF155" s="96"/>
      <c r="BG155" s="102"/>
      <c r="BH155" s="102"/>
      <c r="BI155" s="93">
        <f t="shared" si="151"/>
        <v>0</v>
      </c>
      <c r="BJ155" s="93"/>
      <c r="BK155" s="93"/>
      <c r="BL155" s="103"/>
      <c r="BM155" s="93"/>
      <c r="BN155" s="103"/>
      <c r="BO155" s="94"/>
      <c r="BP155" s="94"/>
      <c r="BQ155" s="93">
        <f t="shared" si="152"/>
        <v>0</v>
      </c>
      <c r="BR155" s="93"/>
      <c r="BS155" s="93"/>
      <c r="BT155" s="103"/>
      <c r="BU155" s="93"/>
      <c r="BV155" s="103"/>
      <c r="BW155" s="94"/>
      <c r="BX155" s="94"/>
      <c r="BY155" s="93">
        <f t="shared" si="153"/>
        <v>0</v>
      </c>
      <c r="BZ155" s="93"/>
      <c r="CA155" s="104"/>
      <c r="CB155" s="105"/>
      <c r="CC155" s="106"/>
      <c r="CD155" s="107"/>
      <c r="CE155" s="94"/>
      <c r="CF155" s="94"/>
      <c r="CG155" s="93">
        <f t="shared" si="154"/>
        <v>0</v>
      </c>
      <c r="CH155" s="93"/>
      <c r="CI155" s="106"/>
      <c r="CJ155" s="105"/>
      <c r="CK155" s="93"/>
      <c r="CL155" s="105"/>
      <c r="CM155" s="108"/>
      <c r="CN155" s="108"/>
      <c r="CO155" s="93">
        <f t="shared" si="155"/>
        <v>0</v>
      </c>
      <c r="CP155" s="93"/>
      <c r="CQ155" s="93"/>
      <c r="CR155" s="93"/>
      <c r="CS155" s="93"/>
      <c r="CT155" s="93"/>
      <c r="CU155" s="93"/>
      <c r="CV155" s="93"/>
      <c r="CW155" s="93">
        <f t="shared" si="156"/>
        <v>0</v>
      </c>
      <c r="CX155" s="93"/>
      <c r="CY155" s="93" t="str">
        <f>TEXT(Z155,"MMMM")</f>
        <v>marzo</v>
      </c>
      <c r="CZ155" s="93" t="str">
        <f t="shared" si="157"/>
        <v>enero</v>
      </c>
      <c r="DA155" s="93" t="str">
        <f t="shared" si="158"/>
        <v>enero</v>
      </c>
      <c r="DB155" s="93" t="str">
        <f t="shared" si="159"/>
        <v>enero</v>
      </c>
      <c r="DC155" s="93" t="str">
        <f t="shared" si="160"/>
        <v>enero</v>
      </c>
      <c r="DD155" s="93" t="str">
        <f t="shared" si="161"/>
        <v>enero</v>
      </c>
      <c r="DE155" s="93" t="str">
        <f t="shared" si="162"/>
        <v>enero</v>
      </c>
      <c r="DF155" s="93" t="str">
        <f t="shared" si="163"/>
        <v>enero</v>
      </c>
      <c r="DG155" s="93" t="str">
        <f t="shared" si="164"/>
        <v>enero</v>
      </c>
      <c r="DH155" s="93" t="str">
        <f t="shared" si="165"/>
        <v>enero</v>
      </c>
    </row>
    <row r="156" spans="1:112" s="21" customFormat="1" ht="19.5" hidden="1" customHeight="1">
      <c r="A156" s="254">
        <v>809</v>
      </c>
      <c r="B156" s="93" t="e">
        <f>VLOOKUP($A156,  'Matriz POA 2024-TRABAJO'!$A$5:$CY$9142,29,FALSE)</f>
        <v>#N/A</v>
      </c>
      <c r="C156" s="93" t="e">
        <f>VLOOKUP($A156, 'Matriz POA 2024-TRABAJO'!$A$5:$CY$9142,11,FALSE)</f>
        <v>#N/A</v>
      </c>
      <c r="D156" s="93" t="e">
        <f>VLOOKUP($A156, 'Matriz POA 2024-TRABAJO'!$A$5:$CY$9142,14,FALSE)</f>
        <v>#N/A</v>
      </c>
      <c r="E156" s="93" t="e">
        <f>VLOOKUP($A156, 'Matriz POA 2024-TRABAJO'!$A$5:$CY$9142,15,FALSE)</f>
        <v>#N/A</v>
      </c>
      <c r="F156" s="93" t="e">
        <f>VLOOKUP($A156, 'Matriz POA 2024-TRABAJO'!$A$5:$CY$9142,18,FALSE)</f>
        <v>#N/A</v>
      </c>
      <c r="G156" s="93" t="e">
        <f>VLOOKUP($A156, 'Matriz POA 2024-TRABAJO'!$A$5:$CY$9142,23,FALSE)</f>
        <v>#N/A</v>
      </c>
      <c r="H156" s="93" t="e">
        <f>VLOOKUP($A156, 'Matriz POA 2024-TRABAJO'!$A$5:$CY$9142,24,FALSE)</f>
        <v>#N/A</v>
      </c>
      <c r="I156" s="93" t="e">
        <f>VLOOKUP($A156, 'Matriz POA 2024-TRABAJO'!$A$5:$CY$9142,20,FALSE)</f>
        <v>#N/A</v>
      </c>
      <c r="J156" s="93" t="e">
        <f>VLOOKUP($A156, 'Matriz POA 2024-TRABAJO'!$A$5:$CY$9142,26,FALSE)</f>
        <v>#N/A</v>
      </c>
      <c r="K156" s="93" t="e">
        <f>VLOOKUP($A156, 'Matriz POA 2024-TRABAJO'!$A$5:$CY$9142,27,FALSE)</f>
        <v>#N/A</v>
      </c>
      <c r="L156" s="93" t="e">
        <f>VLOOKUP($A156, 'Matriz POA 2024-TRABAJO'!$A$5:$CY$9142,28,FALSE)</f>
        <v>#N/A</v>
      </c>
      <c r="M156" s="93" t="e">
        <f>VLOOKUP($A156, 'Matriz POA 2024-TRABAJO'!$A$5:$CY$9142,30,FALSE)</f>
        <v>#N/A</v>
      </c>
      <c r="N156" s="93" t="e">
        <f>VLOOKUP($A156, 'Matriz POA 2024-TRABAJO'!$A$5:$CY$9142,31,FALSE)</f>
        <v>#N/A</v>
      </c>
      <c r="O156" s="93" t="e">
        <f>VLOOKUP($A156, 'Matriz POA 2024-TRABAJO'!$A$5:$CY$9142,45,FALSE)</f>
        <v>#N/A</v>
      </c>
      <c r="P156" s="93" t="e">
        <f>VLOOKUP($A156, 'Matriz POA 2024-TRABAJO'!$A$5:$CY$9142,46,FALSE)</f>
        <v>#N/A</v>
      </c>
      <c r="Q156" s="93" t="e">
        <f>VLOOKUP($A156, 'Matriz POA 2024-TRABAJO'!$A$5:$CY$9142,47,FALSE)</f>
        <v>#N/A</v>
      </c>
      <c r="R156" s="94">
        <f t="shared" si="123"/>
        <v>50</v>
      </c>
      <c r="S156" s="95" t="e">
        <f t="shared" si="124"/>
        <v>#N/A</v>
      </c>
      <c r="T156" s="93" t="e">
        <f>VLOOKUP($A156, 'Matriz POA 2024-TRABAJO'!$A$5:$CY$9142,72,FALSE)</f>
        <v>#N/A</v>
      </c>
      <c r="U156" s="93" t="e">
        <f>VLOOKUP($A156, 'Matriz POA 2024-TRABAJO'!$A$5:$CY$9142,29,FALSE)</f>
        <v>#N/A</v>
      </c>
      <c r="V156" s="94" t="str">
        <f t="shared" si="146"/>
        <v>41ar-</v>
      </c>
      <c r="W156" s="98" t="s">
        <v>1190</v>
      </c>
      <c r="X156" s="101">
        <v>45370</v>
      </c>
      <c r="Y156" s="97"/>
      <c r="Z156" s="96">
        <v>45370</v>
      </c>
      <c r="AA156" s="98">
        <v>50</v>
      </c>
      <c r="AB156" s="98"/>
      <c r="AC156" s="99">
        <f t="shared" si="147"/>
        <v>0</v>
      </c>
      <c r="AD156" s="100" t="s">
        <v>1191</v>
      </c>
      <c r="AE156" s="98"/>
      <c r="AF156" s="96"/>
      <c r="AG156" s="97"/>
      <c r="AH156" s="101"/>
      <c r="AI156" s="98"/>
      <c r="AJ156" s="98"/>
      <c r="AK156" s="99">
        <f t="shared" si="148"/>
        <v>0</v>
      </c>
      <c r="AL156" s="99"/>
      <c r="AN156" s="96"/>
      <c r="AO156" s="97"/>
      <c r="AP156" s="101"/>
      <c r="AQ156" s="98"/>
      <c r="AR156" s="98"/>
      <c r="AS156" s="99">
        <f t="shared" si="149"/>
        <v>0</v>
      </c>
      <c r="AT156" s="99"/>
      <c r="AU156" s="96"/>
      <c r="AV156" s="96"/>
      <c r="AW156" s="93"/>
      <c r="AX156" s="96"/>
      <c r="AY156" s="98"/>
      <c r="AZ156" s="98"/>
      <c r="BA156" s="99">
        <f t="shared" si="150"/>
        <v>0</v>
      </c>
      <c r="BB156" s="99"/>
      <c r="BC156" s="96"/>
      <c r="BD156" s="96"/>
      <c r="BE156" s="93"/>
      <c r="BF156" s="96"/>
      <c r="BG156" s="102"/>
      <c r="BH156" s="102"/>
      <c r="BI156" s="93">
        <f t="shared" si="151"/>
        <v>0</v>
      </c>
      <c r="BJ156" s="93"/>
      <c r="BK156" s="93"/>
      <c r="BL156" s="103"/>
      <c r="BM156" s="93"/>
      <c r="BN156" s="103"/>
      <c r="BO156" s="94"/>
      <c r="BP156" s="94"/>
      <c r="BQ156" s="93">
        <f t="shared" si="152"/>
        <v>0</v>
      </c>
      <c r="BR156" s="93"/>
      <c r="BS156" s="93"/>
      <c r="BT156" s="103"/>
      <c r="BU156" s="93"/>
      <c r="BV156" s="103"/>
      <c r="BW156" s="94"/>
      <c r="BX156" s="94"/>
      <c r="BY156" s="93">
        <f t="shared" si="153"/>
        <v>0</v>
      </c>
      <c r="BZ156" s="93"/>
      <c r="CA156" s="104"/>
      <c r="CB156" s="105"/>
      <c r="CC156" s="106"/>
      <c r="CD156" s="107"/>
      <c r="CE156" s="94"/>
      <c r="CF156" s="94"/>
      <c r="CG156" s="93">
        <f t="shared" si="154"/>
        <v>0</v>
      </c>
      <c r="CH156" s="93"/>
      <c r="CI156" s="106"/>
      <c r="CJ156" s="105"/>
      <c r="CK156" s="93"/>
      <c r="CL156" s="105"/>
      <c r="CM156" s="108"/>
      <c r="CN156" s="108"/>
      <c r="CO156" s="93">
        <f t="shared" si="155"/>
        <v>0</v>
      </c>
      <c r="CP156" s="93"/>
      <c r="CQ156" s="93"/>
      <c r="CR156" s="93"/>
      <c r="CS156" s="93"/>
      <c r="CT156" s="93"/>
      <c r="CU156" s="93"/>
      <c r="CV156" s="93"/>
      <c r="CW156" s="93">
        <f t="shared" si="156"/>
        <v>0</v>
      </c>
      <c r="CX156" s="93"/>
      <c r="CY156" s="93" t="str">
        <f>TEXT(Z156,"MMMM")</f>
        <v>marzo</v>
      </c>
      <c r="CZ156" s="93" t="str">
        <f t="shared" si="157"/>
        <v>enero</v>
      </c>
      <c r="DA156" s="93" t="str">
        <f t="shared" si="158"/>
        <v>enero</v>
      </c>
      <c r="DB156" s="93" t="str">
        <f t="shared" si="159"/>
        <v>enero</v>
      </c>
      <c r="DC156" s="93" t="str">
        <f t="shared" si="160"/>
        <v>enero</v>
      </c>
      <c r="DD156" s="93" t="str">
        <f t="shared" si="161"/>
        <v>enero</v>
      </c>
      <c r="DE156" s="93" t="str">
        <f t="shared" si="162"/>
        <v>enero</v>
      </c>
      <c r="DF156" s="93" t="str">
        <f t="shared" si="163"/>
        <v>enero</v>
      </c>
      <c r="DG156" s="93" t="str">
        <f t="shared" si="164"/>
        <v>enero</v>
      </c>
      <c r="DH156" s="93" t="str">
        <f t="shared" si="165"/>
        <v>enero</v>
      </c>
    </row>
    <row r="157" spans="1:112" s="21" customFormat="1" ht="19.5" hidden="1" customHeight="1">
      <c r="A157" s="254">
        <v>804</v>
      </c>
      <c r="B157" s="93" t="e">
        <f>VLOOKUP($A157,  'Matriz POA 2024-TRABAJO'!$A$5:$CY$9142,29,FALSE)</f>
        <v>#N/A</v>
      </c>
      <c r="C157" s="93" t="e">
        <f>VLOOKUP($A157, 'Matriz POA 2024-TRABAJO'!$A$5:$CY$9142,11,FALSE)</f>
        <v>#N/A</v>
      </c>
      <c r="D157" s="93" t="e">
        <f>VLOOKUP($A157, 'Matriz POA 2024-TRABAJO'!$A$5:$CY$9142,14,FALSE)</f>
        <v>#N/A</v>
      </c>
      <c r="E157" s="93" t="e">
        <f>VLOOKUP($A157, 'Matriz POA 2024-TRABAJO'!$A$5:$CY$9142,15,FALSE)</f>
        <v>#N/A</v>
      </c>
      <c r="F157" s="93" t="e">
        <f>VLOOKUP($A157, 'Matriz POA 2024-TRABAJO'!$A$5:$CY$9142,18,FALSE)</f>
        <v>#N/A</v>
      </c>
      <c r="G157" s="93" t="e">
        <f>VLOOKUP($A157, 'Matriz POA 2024-TRABAJO'!$A$5:$CY$9142,23,FALSE)</f>
        <v>#N/A</v>
      </c>
      <c r="H157" s="93" t="e">
        <f>VLOOKUP($A157, 'Matriz POA 2024-TRABAJO'!$A$5:$CY$9142,24,FALSE)</f>
        <v>#N/A</v>
      </c>
      <c r="I157" s="93" t="e">
        <f>VLOOKUP($A157, 'Matriz POA 2024-TRABAJO'!$A$5:$CY$9142,20,FALSE)</f>
        <v>#N/A</v>
      </c>
      <c r="J157" s="93" t="e">
        <f>VLOOKUP($A157, 'Matriz POA 2024-TRABAJO'!$A$5:$CY$9142,26,FALSE)</f>
        <v>#N/A</v>
      </c>
      <c r="K157" s="93" t="e">
        <f>VLOOKUP($A157, 'Matriz POA 2024-TRABAJO'!$A$5:$CY$9142,27,FALSE)</f>
        <v>#N/A</v>
      </c>
      <c r="L157" s="93" t="e">
        <f>VLOOKUP($A157, 'Matriz POA 2024-TRABAJO'!$A$5:$CY$9142,28,FALSE)</f>
        <v>#N/A</v>
      </c>
      <c r="M157" s="93" t="e">
        <f>VLOOKUP($A157, 'Matriz POA 2024-TRABAJO'!$A$5:$CY$9142,30,FALSE)</f>
        <v>#N/A</v>
      </c>
      <c r="N157" s="93" t="e">
        <f>VLOOKUP($A157, 'Matriz POA 2024-TRABAJO'!$A$5:$CY$9142,31,FALSE)</f>
        <v>#N/A</v>
      </c>
      <c r="O157" s="93" t="e">
        <f>VLOOKUP($A157, 'Matriz POA 2024-TRABAJO'!$A$5:$CY$9142,45,FALSE)</f>
        <v>#N/A</v>
      </c>
      <c r="P157" s="93" t="e">
        <f>VLOOKUP($A157, 'Matriz POA 2024-TRABAJO'!$A$5:$CY$9142,46,FALSE)</f>
        <v>#N/A</v>
      </c>
      <c r="Q157" s="93" t="e">
        <f>VLOOKUP($A157, 'Matriz POA 2024-TRABAJO'!$A$5:$CY$9142,47,FALSE)</f>
        <v>#N/A</v>
      </c>
      <c r="R157" s="94">
        <f t="shared" si="123"/>
        <v>0</v>
      </c>
      <c r="S157" s="95" t="e">
        <f t="shared" si="124"/>
        <v>#N/A</v>
      </c>
      <c r="T157" s="93" t="e">
        <f>VLOOKUP($A157, 'Matriz POA 2024-TRABAJO'!$A$5:$CY$9142,72,FALSE)</f>
        <v>#N/A</v>
      </c>
      <c r="U157" s="93" t="e">
        <f>VLOOKUP($A157, 'Matriz POA 2024-TRABAJO'!$A$5:$CY$9142,29,FALSE)</f>
        <v>#N/A</v>
      </c>
      <c r="V157" s="94" t="str">
        <f t="shared" si="146"/>
        <v>42ar-</v>
      </c>
      <c r="W157" s="97" t="s">
        <v>1230</v>
      </c>
      <c r="X157" s="109">
        <v>45370</v>
      </c>
      <c r="Y157" s="257" t="s">
        <v>1231</v>
      </c>
      <c r="Z157" s="109">
        <v>45370</v>
      </c>
      <c r="AA157" s="98">
        <v>11185.2</v>
      </c>
      <c r="AB157" s="98"/>
      <c r="AC157" s="99">
        <f t="shared" si="147"/>
        <v>0</v>
      </c>
      <c r="AD157" s="110" t="s">
        <v>1232</v>
      </c>
      <c r="AE157" s="98" t="s">
        <v>1233</v>
      </c>
      <c r="AF157" s="101">
        <v>45372</v>
      </c>
      <c r="AG157" s="97"/>
      <c r="AH157" s="101">
        <v>45372</v>
      </c>
      <c r="AI157" s="98">
        <v>-11185.2</v>
      </c>
      <c r="AJ157" s="98"/>
      <c r="AK157" s="99">
        <f t="shared" si="148"/>
        <v>0</v>
      </c>
      <c r="AL157" s="99"/>
      <c r="AN157" s="96"/>
      <c r="AO157" s="97"/>
      <c r="AP157" s="101"/>
      <c r="AQ157" s="98"/>
      <c r="AR157" s="98"/>
      <c r="AS157" s="99">
        <f t="shared" si="149"/>
        <v>0</v>
      </c>
      <c r="AT157" s="99"/>
      <c r="AU157" s="96"/>
      <c r="AV157" s="96"/>
      <c r="AW157" s="93"/>
      <c r="AX157" s="96"/>
      <c r="AY157" s="98"/>
      <c r="AZ157" s="98"/>
      <c r="BA157" s="99">
        <f t="shared" si="150"/>
        <v>0</v>
      </c>
      <c r="BB157" s="99"/>
      <c r="BC157" s="96"/>
      <c r="BD157" s="96"/>
      <c r="BE157" s="93"/>
      <c r="BF157" s="96"/>
      <c r="BG157" s="102"/>
      <c r="BH157" s="102"/>
      <c r="BI157" s="93">
        <f t="shared" si="151"/>
        <v>0</v>
      </c>
      <c r="BJ157" s="93"/>
      <c r="BK157" s="93"/>
      <c r="BL157" s="103"/>
      <c r="BM157" s="93"/>
      <c r="BN157" s="103"/>
      <c r="BO157" s="94"/>
      <c r="BP157" s="94"/>
      <c r="BQ157" s="93">
        <f t="shared" si="152"/>
        <v>0</v>
      </c>
      <c r="BR157" s="93"/>
      <c r="BS157" s="93"/>
      <c r="BT157" s="103"/>
      <c r="BU157" s="93"/>
      <c r="BV157" s="103"/>
      <c r="BW157" s="94"/>
      <c r="BX157" s="94"/>
      <c r="BY157" s="93">
        <f t="shared" si="153"/>
        <v>0</v>
      </c>
      <c r="BZ157" s="93"/>
      <c r="CA157" s="104"/>
      <c r="CB157" s="105"/>
      <c r="CC157" s="106"/>
      <c r="CD157" s="107"/>
      <c r="CE157" s="94"/>
      <c r="CF157" s="94"/>
      <c r="CG157" s="93">
        <f t="shared" si="154"/>
        <v>0</v>
      </c>
      <c r="CH157" s="93"/>
      <c r="CI157" s="106"/>
      <c r="CJ157" s="105"/>
      <c r="CK157" s="93"/>
      <c r="CL157" s="105"/>
      <c r="CM157" s="108"/>
      <c r="CN157" s="108"/>
      <c r="CO157" s="93">
        <f t="shared" si="155"/>
        <v>0</v>
      </c>
      <c r="CP157" s="93"/>
      <c r="CQ157" s="93"/>
      <c r="CR157" s="93"/>
      <c r="CS157" s="93"/>
      <c r="CT157" s="93"/>
      <c r="CU157" s="93"/>
      <c r="CV157" s="93"/>
      <c r="CW157" s="93">
        <f t="shared" si="156"/>
        <v>0</v>
      </c>
      <c r="CX157" s="93"/>
      <c r="CY157" s="93" t="str">
        <f>TEXT(X157,"MMMM")</f>
        <v>marzo</v>
      </c>
      <c r="CZ157" s="93" t="str">
        <f t="shared" si="157"/>
        <v>marzo</v>
      </c>
      <c r="DA157" s="93" t="str">
        <f t="shared" si="158"/>
        <v>enero</v>
      </c>
      <c r="DB157" s="93" t="str">
        <f t="shared" si="159"/>
        <v>enero</v>
      </c>
      <c r="DC157" s="93" t="str">
        <f t="shared" si="160"/>
        <v>enero</v>
      </c>
      <c r="DD157" s="93" t="str">
        <f t="shared" si="161"/>
        <v>enero</v>
      </c>
      <c r="DE157" s="93" t="str">
        <f t="shared" si="162"/>
        <v>enero</v>
      </c>
      <c r="DF157" s="93" t="str">
        <f t="shared" si="163"/>
        <v>enero</v>
      </c>
      <c r="DG157" s="93" t="str">
        <f t="shared" si="164"/>
        <v>enero</v>
      </c>
      <c r="DH157" s="93" t="str">
        <f t="shared" si="165"/>
        <v>enero</v>
      </c>
    </row>
    <row r="158" spans="1:112" s="21" customFormat="1" ht="19.5" hidden="1" customHeight="1">
      <c r="A158" s="254">
        <v>831</v>
      </c>
      <c r="B158" s="93" t="e">
        <f>VLOOKUP($A158,  'Matriz POA 2024-TRABAJO'!$A$5:$CY$9142,29,FALSE)</f>
        <v>#N/A</v>
      </c>
      <c r="C158" s="93" t="e">
        <f>VLOOKUP($A158, 'Matriz POA 2024-TRABAJO'!$A$5:$CY$9142,11,FALSE)</f>
        <v>#N/A</v>
      </c>
      <c r="D158" s="93" t="e">
        <f>VLOOKUP($A158, 'Matriz POA 2024-TRABAJO'!$A$5:$CY$9142,14,FALSE)</f>
        <v>#N/A</v>
      </c>
      <c r="E158" s="93" t="e">
        <f>VLOOKUP($A158, 'Matriz POA 2024-TRABAJO'!$A$5:$CY$9142,15,FALSE)</f>
        <v>#N/A</v>
      </c>
      <c r="F158" s="93" t="e">
        <f>VLOOKUP($A158, 'Matriz POA 2024-TRABAJO'!$A$5:$CY$9142,18,FALSE)</f>
        <v>#N/A</v>
      </c>
      <c r="G158" s="93" t="e">
        <f>VLOOKUP($A158, 'Matriz POA 2024-TRABAJO'!$A$5:$CY$9142,23,FALSE)</f>
        <v>#N/A</v>
      </c>
      <c r="H158" s="93" t="e">
        <f>VLOOKUP($A158, 'Matriz POA 2024-TRABAJO'!$A$5:$CY$9142,24,FALSE)</f>
        <v>#N/A</v>
      </c>
      <c r="I158" s="93" t="e">
        <f>VLOOKUP($A158, 'Matriz POA 2024-TRABAJO'!$A$5:$CY$9142,20,FALSE)</f>
        <v>#N/A</v>
      </c>
      <c r="J158" s="93" t="e">
        <f>VLOOKUP($A158, 'Matriz POA 2024-TRABAJO'!$A$5:$CY$9142,26,FALSE)</f>
        <v>#N/A</v>
      </c>
      <c r="K158" s="93" t="e">
        <f>VLOOKUP($A158, 'Matriz POA 2024-TRABAJO'!$A$5:$CY$9142,27,FALSE)</f>
        <v>#N/A</v>
      </c>
      <c r="L158" s="93" t="e">
        <f>VLOOKUP($A158, 'Matriz POA 2024-TRABAJO'!$A$5:$CY$9142,28,FALSE)</f>
        <v>#N/A</v>
      </c>
      <c r="M158" s="93" t="e">
        <f>VLOOKUP($A158, 'Matriz POA 2024-TRABAJO'!$A$5:$CY$9142,30,FALSE)</f>
        <v>#N/A</v>
      </c>
      <c r="N158" s="93" t="e">
        <f>VLOOKUP($A158, 'Matriz POA 2024-TRABAJO'!$A$5:$CY$9142,31,FALSE)</f>
        <v>#N/A</v>
      </c>
      <c r="O158" s="93" t="e">
        <f>VLOOKUP($A158, 'Matriz POA 2024-TRABAJO'!$A$5:$CY$9142,45,FALSE)</f>
        <v>#N/A</v>
      </c>
      <c r="P158" s="93" t="e">
        <f>VLOOKUP($A158, 'Matriz POA 2024-TRABAJO'!$A$5:$CY$9142,46,FALSE)</f>
        <v>#N/A</v>
      </c>
      <c r="Q158" s="93" t="e">
        <f>VLOOKUP($A158, 'Matriz POA 2024-TRABAJO'!$A$5:$CY$9142,47,FALSE)</f>
        <v>#N/A</v>
      </c>
      <c r="R158" s="94">
        <f t="shared" si="123"/>
        <v>0</v>
      </c>
      <c r="S158" s="95" t="e">
        <f t="shared" si="124"/>
        <v>#N/A</v>
      </c>
      <c r="T158" s="93" t="e">
        <f>VLOOKUP($A158, 'Matriz POA 2024-TRABAJO'!$A$5:$CY$9142,72,FALSE)</f>
        <v>#N/A</v>
      </c>
      <c r="U158" s="93" t="e">
        <f>VLOOKUP($A158, 'Matriz POA 2024-TRABAJO'!$A$5:$CY$9142,29,FALSE)</f>
        <v>#N/A</v>
      </c>
      <c r="V158" s="94" t="str">
        <f t="shared" si="146"/>
        <v>43ar-ltar-</v>
      </c>
      <c r="W158" s="96" t="s">
        <v>1234</v>
      </c>
      <c r="X158" s="96">
        <v>45372</v>
      </c>
      <c r="Y158" s="151" t="s">
        <v>1796</v>
      </c>
      <c r="Z158" s="96">
        <v>45372</v>
      </c>
      <c r="AA158" s="98">
        <v>6600</v>
      </c>
      <c r="AB158" s="98"/>
      <c r="AC158" s="99">
        <f t="shared" si="147"/>
        <v>0</v>
      </c>
      <c r="AD158" s="100" t="s">
        <v>1235</v>
      </c>
      <c r="AE158" s="98" t="s">
        <v>1797</v>
      </c>
      <c r="AF158" s="101">
        <v>45425</v>
      </c>
      <c r="AG158" s="97" t="s">
        <v>1798</v>
      </c>
      <c r="AH158" s="101">
        <v>45425</v>
      </c>
      <c r="AI158" s="98">
        <v>-6600</v>
      </c>
      <c r="AJ158" s="98"/>
      <c r="AK158" s="99">
        <f t="shared" si="148"/>
        <v>0</v>
      </c>
      <c r="AL158" s="362" t="s">
        <v>1113</v>
      </c>
      <c r="AN158" s="359"/>
      <c r="AO158" s="97"/>
      <c r="AP158" s="101"/>
      <c r="AQ158" s="98"/>
      <c r="AR158" s="98"/>
      <c r="AS158" s="99">
        <f t="shared" si="149"/>
        <v>0</v>
      </c>
      <c r="AT158" s="99"/>
      <c r="AU158" s="96"/>
      <c r="AV158" s="96"/>
      <c r="AW158" s="93"/>
      <c r="AX158" s="96"/>
      <c r="AY158" s="98"/>
      <c r="AZ158" s="98"/>
      <c r="BA158" s="99">
        <f t="shared" si="150"/>
        <v>0</v>
      </c>
      <c r="BB158" s="99"/>
      <c r="BC158" s="96"/>
      <c r="BD158" s="96"/>
      <c r="BE158" s="93"/>
      <c r="BF158" s="96"/>
      <c r="BG158" s="102"/>
      <c r="BH158" s="102"/>
      <c r="BI158" s="93">
        <f t="shared" si="151"/>
        <v>0</v>
      </c>
      <c r="BJ158" s="93"/>
      <c r="BK158" s="93"/>
      <c r="BL158" s="103"/>
      <c r="BM158" s="93"/>
      <c r="BN158" s="103"/>
      <c r="BO158" s="94"/>
      <c r="BP158" s="94"/>
      <c r="BQ158" s="93">
        <f t="shared" si="152"/>
        <v>0</v>
      </c>
      <c r="BR158" s="93"/>
      <c r="BS158" s="93"/>
      <c r="BT158" s="103"/>
      <c r="BU158" s="93"/>
      <c r="BV158" s="103"/>
      <c r="BW158" s="94"/>
      <c r="BX158" s="94"/>
      <c r="BY158" s="93">
        <f t="shared" si="153"/>
        <v>0</v>
      </c>
      <c r="BZ158" s="93"/>
      <c r="CA158" s="104"/>
      <c r="CB158" s="105"/>
      <c r="CC158" s="106"/>
      <c r="CD158" s="107"/>
      <c r="CE158" s="94"/>
      <c r="CF158" s="94"/>
      <c r="CG158" s="93">
        <f t="shared" si="154"/>
        <v>0</v>
      </c>
      <c r="CH158" s="93"/>
      <c r="CI158" s="106"/>
      <c r="CJ158" s="105"/>
      <c r="CK158" s="93"/>
      <c r="CL158" s="105"/>
      <c r="CM158" s="108"/>
      <c r="CN158" s="108"/>
      <c r="CO158" s="93">
        <f t="shared" si="155"/>
        <v>0</v>
      </c>
      <c r="CP158" s="93"/>
      <c r="CQ158" s="93"/>
      <c r="CR158" s="93"/>
      <c r="CS158" s="93"/>
      <c r="CT158" s="93"/>
      <c r="CU158" s="93"/>
      <c r="CV158" s="93"/>
      <c r="CW158" s="93">
        <f t="shared" si="156"/>
        <v>0</v>
      </c>
      <c r="CX158" s="93"/>
      <c r="CY158" s="93" t="str">
        <f>TEXT(Z158,"MMMM")</f>
        <v>marzo</v>
      </c>
      <c r="CZ158" s="93" t="str">
        <f t="shared" si="157"/>
        <v>mayo</v>
      </c>
      <c r="DA158" s="93" t="str">
        <f t="shared" si="158"/>
        <v>enero</v>
      </c>
      <c r="DB158" s="93" t="str">
        <f t="shared" si="159"/>
        <v>enero</v>
      </c>
      <c r="DC158" s="93" t="str">
        <f t="shared" si="160"/>
        <v>enero</v>
      </c>
      <c r="DD158" s="93" t="str">
        <f t="shared" si="161"/>
        <v>enero</v>
      </c>
      <c r="DE158" s="93" t="str">
        <f t="shared" si="162"/>
        <v>enero</v>
      </c>
      <c r="DF158" s="93" t="str">
        <f t="shared" si="163"/>
        <v>enero</v>
      </c>
      <c r="DG158" s="93" t="str">
        <f t="shared" si="164"/>
        <v>enero</v>
      </c>
      <c r="DH158" s="93" t="str">
        <f t="shared" si="165"/>
        <v>enero</v>
      </c>
    </row>
    <row r="159" spans="1:112" s="21" customFormat="1" ht="19.5" hidden="1" customHeight="1">
      <c r="A159" s="258">
        <v>834</v>
      </c>
      <c r="B159" s="251" t="e">
        <f>VLOOKUP($A159,  'Matriz POA 2024-TRABAJO'!$A$5:$CY$9142,29,FALSE)</f>
        <v>#N/A</v>
      </c>
      <c r="C159" s="251" t="e">
        <f>VLOOKUP($A159, 'Matriz POA 2024-TRABAJO'!$A$5:$CY$9142,11,FALSE)</f>
        <v>#N/A</v>
      </c>
      <c r="D159" s="251" t="e">
        <f>VLOOKUP($A159, 'Matriz POA 2024-TRABAJO'!$A$5:$CY$9142,14,FALSE)</f>
        <v>#N/A</v>
      </c>
      <c r="E159" s="251" t="e">
        <f>VLOOKUP($A159, 'Matriz POA 2024-TRABAJO'!$A$5:$CY$9142,15,FALSE)</f>
        <v>#N/A</v>
      </c>
      <c r="F159" s="251" t="e">
        <f>VLOOKUP($A159, 'Matriz POA 2024-TRABAJO'!$A$5:$CY$9142,18,FALSE)</f>
        <v>#N/A</v>
      </c>
      <c r="G159" s="251" t="e">
        <f>VLOOKUP($A159, 'Matriz POA 2024-TRABAJO'!$A$5:$CY$9142,23,FALSE)</f>
        <v>#N/A</v>
      </c>
      <c r="H159" s="251" t="e">
        <f>VLOOKUP($A159, 'Matriz POA 2024-TRABAJO'!$A$5:$CY$9142,24,FALSE)</f>
        <v>#N/A</v>
      </c>
      <c r="I159" s="251" t="e">
        <f>VLOOKUP($A159, 'Matriz POA 2024-TRABAJO'!$A$5:$CY$9142,20,FALSE)</f>
        <v>#N/A</v>
      </c>
      <c r="J159" s="251" t="e">
        <f>VLOOKUP($A159, 'Matriz POA 2024-TRABAJO'!$A$5:$CY$9142,26,FALSE)</f>
        <v>#N/A</v>
      </c>
      <c r="K159" s="251" t="e">
        <f>VLOOKUP($A159, 'Matriz POA 2024-TRABAJO'!$A$5:$CY$9142,27,FALSE)</f>
        <v>#N/A</v>
      </c>
      <c r="L159" s="251" t="e">
        <f>VLOOKUP($A159, 'Matriz POA 2024-TRABAJO'!$A$5:$CY$9142,28,FALSE)</f>
        <v>#N/A</v>
      </c>
      <c r="M159" s="251" t="e">
        <f>VLOOKUP($A159, 'Matriz POA 2024-TRABAJO'!$A$5:$CY$9142,30,FALSE)</f>
        <v>#N/A</v>
      </c>
      <c r="N159" s="251" t="e">
        <f>VLOOKUP($A159, 'Matriz POA 2024-TRABAJO'!$A$5:$CY$9142,31,FALSE)</f>
        <v>#N/A</v>
      </c>
      <c r="O159" s="251" t="e">
        <f>VLOOKUP($A159, 'Matriz POA 2024-TRABAJO'!$A$5:$CY$9142,45,FALSE)</f>
        <v>#N/A</v>
      </c>
      <c r="P159" s="251" t="e">
        <f>VLOOKUP($A159, 'Matriz POA 2024-TRABAJO'!$A$5:$CY$9142,46,FALSE)</f>
        <v>#N/A</v>
      </c>
      <c r="Q159" s="93" t="e">
        <f>VLOOKUP($A159, 'Matriz POA 2024-TRABAJO'!$A$5:$CY$9142,47,FALSE)</f>
        <v>#N/A</v>
      </c>
      <c r="R159" s="94">
        <f t="shared" si="123"/>
        <v>26406.18</v>
      </c>
      <c r="S159" s="95" t="e">
        <f t="shared" si="124"/>
        <v>#N/A</v>
      </c>
      <c r="T159" s="93" t="e">
        <f>VLOOKUP($A159, 'Matriz POA 2024-TRABAJO'!$A$5:$CY$9142,72,FALSE)</f>
        <v>#N/A</v>
      </c>
      <c r="U159" s="93" t="e">
        <f>VLOOKUP($A159, 'Matriz POA 2024-TRABAJO'!$A$5:$CY$9142,29,FALSE)</f>
        <v>#N/A</v>
      </c>
      <c r="V159" s="94" t="str">
        <f t="shared" si="146"/>
        <v>44mg-</v>
      </c>
      <c r="W159" s="96" t="s">
        <v>1236</v>
      </c>
      <c r="X159" s="96">
        <v>45376</v>
      </c>
      <c r="Y159" s="97" t="s">
        <v>1237</v>
      </c>
      <c r="Z159" s="96">
        <v>45376</v>
      </c>
      <c r="AA159" s="98">
        <v>26406.18</v>
      </c>
      <c r="AB159" s="98"/>
      <c r="AC159" s="99">
        <f t="shared" si="147"/>
        <v>0</v>
      </c>
      <c r="AD159" s="100" t="s">
        <v>1238</v>
      </c>
      <c r="AE159" s="98"/>
      <c r="AF159" s="101"/>
      <c r="AG159" s="97"/>
      <c r="AH159" s="101"/>
      <c r="AI159" s="98"/>
      <c r="AJ159" s="98">
        <f>AI159*-1</f>
        <v>0</v>
      </c>
      <c r="AK159" s="99">
        <f t="shared" si="148"/>
        <v>0</v>
      </c>
      <c r="AL159" s="99"/>
      <c r="AM159" s="93"/>
      <c r="AN159" s="96"/>
      <c r="AO159" s="97"/>
      <c r="AP159" s="101"/>
      <c r="AQ159" s="98"/>
      <c r="AR159" s="98"/>
      <c r="AS159" s="99">
        <f t="shared" si="149"/>
        <v>0</v>
      </c>
      <c r="AT159" s="99"/>
      <c r="AU159" s="96"/>
      <c r="AV159" s="96"/>
      <c r="AW159" s="93"/>
      <c r="AX159" s="96"/>
      <c r="AY159" s="98"/>
      <c r="AZ159" s="98"/>
      <c r="BA159" s="99">
        <f t="shared" si="150"/>
        <v>0</v>
      </c>
      <c r="BB159" s="99"/>
      <c r="BC159" s="96"/>
      <c r="BD159" s="96"/>
      <c r="BE159" s="93"/>
      <c r="BF159" s="96"/>
      <c r="BG159" s="102"/>
      <c r="BH159" s="102"/>
      <c r="BI159" s="93">
        <f t="shared" si="151"/>
        <v>0</v>
      </c>
      <c r="BJ159" s="93"/>
      <c r="BK159" s="93"/>
      <c r="BL159" s="103"/>
      <c r="BM159" s="93"/>
      <c r="BN159" s="103"/>
      <c r="BO159" s="94"/>
      <c r="BP159" s="94"/>
      <c r="BQ159" s="93">
        <f t="shared" si="152"/>
        <v>0</v>
      </c>
      <c r="BR159" s="93"/>
      <c r="BS159" s="93"/>
      <c r="BT159" s="103"/>
      <c r="BU159" s="93"/>
      <c r="BV159" s="103"/>
      <c r="BW159" s="94"/>
      <c r="BX159" s="94"/>
      <c r="BY159" s="93">
        <f t="shared" si="153"/>
        <v>0</v>
      </c>
      <c r="BZ159" s="93"/>
      <c r="CA159" s="104"/>
      <c r="CB159" s="105"/>
      <c r="CC159" s="106"/>
      <c r="CD159" s="107"/>
      <c r="CE159" s="94"/>
      <c r="CF159" s="94"/>
      <c r="CG159" s="93">
        <f t="shared" si="154"/>
        <v>0</v>
      </c>
      <c r="CH159" s="93"/>
      <c r="CI159" s="106"/>
      <c r="CJ159" s="105"/>
      <c r="CK159" s="93"/>
      <c r="CL159" s="105"/>
      <c r="CM159" s="108"/>
      <c r="CN159" s="108"/>
      <c r="CO159" s="93">
        <f t="shared" si="155"/>
        <v>0</v>
      </c>
      <c r="CP159" s="93"/>
      <c r="CQ159" s="93"/>
      <c r="CR159" s="93"/>
      <c r="CS159" s="93"/>
      <c r="CT159" s="93"/>
      <c r="CU159" s="93"/>
      <c r="CV159" s="93"/>
      <c r="CW159" s="93">
        <f t="shared" si="156"/>
        <v>0</v>
      </c>
      <c r="CX159" s="93"/>
      <c r="CY159" s="93" t="str">
        <f>TEXT(Z159,"MMMM")</f>
        <v>marzo</v>
      </c>
      <c r="CZ159" s="93" t="str">
        <f t="shared" si="157"/>
        <v>enero</v>
      </c>
      <c r="DA159" s="93" t="str">
        <f t="shared" si="158"/>
        <v>enero</v>
      </c>
      <c r="DB159" s="93" t="str">
        <f t="shared" si="159"/>
        <v>enero</v>
      </c>
      <c r="DC159" s="93" t="str">
        <f t="shared" si="160"/>
        <v>enero</v>
      </c>
      <c r="DD159" s="93" t="str">
        <f t="shared" si="161"/>
        <v>enero</v>
      </c>
      <c r="DE159" s="93" t="str">
        <f t="shared" si="162"/>
        <v>enero</v>
      </c>
      <c r="DF159" s="93" t="str">
        <f t="shared" si="163"/>
        <v>enero</v>
      </c>
      <c r="DG159" s="93" t="str">
        <f t="shared" si="164"/>
        <v>enero</v>
      </c>
      <c r="DH159" s="93" t="str">
        <f t="shared" si="165"/>
        <v>enero</v>
      </c>
    </row>
    <row r="160" spans="1:112" s="21" customFormat="1" ht="19.5" hidden="1" customHeight="1">
      <c r="A160" s="258">
        <v>835</v>
      </c>
      <c r="B160" s="251" t="e">
        <f>VLOOKUP($A160,  'Matriz POA 2024-TRABAJO'!$A$5:$CY$9142,29,FALSE)</f>
        <v>#N/A</v>
      </c>
      <c r="C160" s="251" t="e">
        <f>VLOOKUP($A160, 'Matriz POA 2024-TRABAJO'!$A$5:$CY$9142,11,FALSE)</f>
        <v>#N/A</v>
      </c>
      <c r="D160" s="251" t="e">
        <f>VLOOKUP($A160, 'Matriz POA 2024-TRABAJO'!$A$5:$CY$9142,14,FALSE)</f>
        <v>#N/A</v>
      </c>
      <c r="E160" s="251" t="e">
        <f>VLOOKUP($A160, 'Matriz POA 2024-TRABAJO'!$A$5:$CY$9142,15,FALSE)</f>
        <v>#N/A</v>
      </c>
      <c r="F160" s="251" t="e">
        <f>VLOOKUP($A160, 'Matriz POA 2024-TRABAJO'!$A$5:$CY$9142,18,FALSE)</f>
        <v>#N/A</v>
      </c>
      <c r="G160" s="251" t="e">
        <f>VLOOKUP($A160, 'Matriz POA 2024-TRABAJO'!$A$5:$CY$9142,23,FALSE)</f>
        <v>#N/A</v>
      </c>
      <c r="H160" s="251" t="e">
        <f>VLOOKUP($A160, 'Matriz POA 2024-TRABAJO'!$A$5:$CY$9142,24,FALSE)</f>
        <v>#N/A</v>
      </c>
      <c r="I160" s="251" t="e">
        <f>VLOOKUP($A160, 'Matriz POA 2024-TRABAJO'!$A$5:$CY$9142,20,FALSE)</f>
        <v>#N/A</v>
      </c>
      <c r="J160" s="251" t="e">
        <f>VLOOKUP($A160, 'Matriz POA 2024-TRABAJO'!$A$5:$CY$9142,26,FALSE)</f>
        <v>#N/A</v>
      </c>
      <c r="K160" s="251" t="e">
        <f>VLOOKUP($A160, 'Matriz POA 2024-TRABAJO'!$A$5:$CY$9142,27,FALSE)</f>
        <v>#N/A</v>
      </c>
      <c r="L160" s="251" t="e">
        <f>VLOOKUP($A160, 'Matriz POA 2024-TRABAJO'!$A$5:$CY$9142,28,FALSE)</f>
        <v>#N/A</v>
      </c>
      <c r="M160" s="251" t="e">
        <f>VLOOKUP($A160, 'Matriz POA 2024-TRABAJO'!$A$5:$CY$9142,30,FALSE)</f>
        <v>#N/A</v>
      </c>
      <c r="N160" s="251" t="e">
        <f>VLOOKUP($A160, 'Matriz POA 2024-TRABAJO'!$A$5:$CY$9142,31,FALSE)</f>
        <v>#N/A</v>
      </c>
      <c r="O160" s="251" t="e">
        <f>VLOOKUP($A160, 'Matriz POA 2024-TRABAJO'!$A$5:$CY$9142,45,FALSE)</f>
        <v>#N/A</v>
      </c>
      <c r="P160" s="251" t="e">
        <f>VLOOKUP($A160, 'Matriz POA 2024-TRABAJO'!$A$5:$CY$9142,46,FALSE)</f>
        <v>#N/A</v>
      </c>
      <c r="Q160" s="93" t="e">
        <f>VLOOKUP($A160, 'Matriz POA 2024-TRABAJO'!$A$5:$CY$9142,47,FALSE)</f>
        <v>#N/A</v>
      </c>
      <c r="R160" s="94">
        <f t="shared" si="123"/>
        <v>225.89</v>
      </c>
      <c r="S160" s="95" t="e">
        <f t="shared" si="124"/>
        <v>#N/A</v>
      </c>
      <c r="T160" s="93" t="e">
        <f>VLOOKUP($A160, 'Matriz POA 2024-TRABAJO'!$A$5:$CY$9142,72,FALSE)</f>
        <v>#N/A</v>
      </c>
      <c r="U160" s="93" t="e">
        <f>VLOOKUP($A160, 'Matriz POA 2024-TRABAJO'!$A$5:$CY$9142,29,FALSE)</f>
        <v>#N/A</v>
      </c>
      <c r="V160" s="94" t="str">
        <f t="shared" si="146"/>
        <v>44mg-</v>
      </c>
      <c r="W160" s="96" t="s">
        <v>1236</v>
      </c>
      <c r="X160" s="96">
        <v>45376</v>
      </c>
      <c r="Y160" s="97" t="s">
        <v>1237</v>
      </c>
      <c r="Z160" s="96">
        <v>45376</v>
      </c>
      <c r="AA160" s="98">
        <v>225.89</v>
      </c>
      <c r="AB160" s="98"/>
      <c r="AC160" s="99">
        <f>Z160-X160</f>
        <v>0</v>
      </c>
      <c r="AD160" s="100" t="s">
        <v>1238</v>
      </c>
      <c r="AE160" s="98"/>
      <c r="AF160" s="101"/>
      <c r="AG160" s="97"/>
      <c r="AH160" s="101"/>
      <c r="AI160" s="98"/>
      <c r="AJ160" s="98">
        <f>AI160*-1</f>
        <v>0</v>
      </c>
      <c r="AK160" s="99">
        <f>AH160-AF160</f>
        <v>0</v>
      </c>
      <c r="AL160" s="99"/>
      <c r="AM160" s="93"/>
      <c r="AN160" s="96"/>
      <c r="AO160" s="97"/>
      <c r="AP160" s="101"/>
      <c r="AQ160" s="98"/>
      <c r="AR160" s="98"/>
      <c r="AS160" s="99">
        <f>AP160-AN160</f>
        <v>0</v>
      </c>
      <c r="AT160" s="99"/>
      <c r="AU160" s="96"/>
      <c r="AV160" s="96"/>
      <c r="AW160" s="93"/>
      <c r="AX160" s="96"/>
      <c r="AY160" s="98"/>
      <c r="AZ160" s="98"/>
      <c r="BA160" s="99">
        <f t="shared" ref="BA160:BA166" si="166">AX160-AV160</f>
        <v>0</v>
      </c>
      <c r="BB160" s="99"/>
      <c r="BC160" s="96"/>
      <c r="BD160" s="96"/>
      <c r="BE160" s="93"/>
      <c r="BF160" s="96"/>
      <c r="BG160" s="102"/>
      <c r="BH160" s="102"/>
      <c r="BI160" s="93">
        <f t="shared" ref="BI160:BI166" si="167">BF160-BD160</f>
        <v>0</v>
      </c>
      <c r="BJ160" s="93"/>
      <c r="BK160" s="93"/>
      <c r="BL160" s="103"/>
      <c r="BM160" s="93"/>
      <c r="BN160" s="103"/>
      <c r="BO160" s="94"/>
      <c r="BP160" s="94"/>
      <c r="BQ160" s="93">
        <f t="shared" ref="BQ160:BQ166" si="168">BN160-BL160</f>
        <v>0</v>
      </c>
      <c r="BR160" s="93"/>
      <c r="BS160" s="93"/>
      <c r="BT160" s="103"/>
      <c r="BU160" s="93"/>
      <c r="BV160" s="103"/>
      <c r="BW160" s="94"/>
      <c r="BX160" s="94"/>
      <c r="BY160" s="93">
        <f t="shared" ref="BY160:BY166" si="169">BV160-BT160</f>
        <v>0</v>
      </c>
      <c r="BZ160" s="93"/>
      <c r="CA160" s="104"/>
      <c r="CB160" s="105"/>
      <c r="CC160" s="106"/>
      <c r="CD160" s="107"/>
      <c r="CE160" s="94"/>
      <c r="CF160" s="94"/>
      <c r="CG160" s="93">
        <f t="shared" ref="CG160:CG166" si="170">CD160-CB160</f>
        <v>0</v>
      </c>
      <c r="CH160" s="93"/>
      <c r="CI160" s="106"/>
      <c r="CJ160" s="105"/>
      <c r="CK160" s="93"/>
      <c r="CL160" s="105"/>
      <c r="CM160" s="108"/>
      <c r="CN160" s="108"/>
      <c r="CO160" s="93">
        <f t="shared" ref="CO160:CO166" si="171">CL160-CJ160</f>
        <v>0</v>
      </c>
      <c r="CP160" s="93"/>
      <c r="CQ160" s="93"/>
      <c r="CR160" s="93"/>
      <c r="CS160" s="93"/>
      <c r="CT160" s="93"/>
      <c r="CU160" s="93"/>
      <c r="CV160" s="93"/>
      <c r="CW160" s="93">
        <f t="shared" ref="CW160:CW166" si="172">CT160-CR160</f>
        <v>0</v>
      </c>
      <c r="CX160" s="93"/>
      <c r="CY160" s="93" t="str">
        <f>TEXT(Z160,"MMMM")</f>
        <v>marzo</v>
      </c>
      <c r="CZ160" s="93" t="str">
        <f t="shared" ref="CZ160:CZ166" si="173">TEXT(AF160,"MMMM")</f>
        <v>enero</v>
      </c>
      <c r="DA160" s="93" t="str">
        <f t="shared" ref="DA160:DA166" si="174">TEXT(AN160,"MMMM")</f>
        <v>enero</v>
      </c>
      <c r="DB160" s="93" t="str">
        <f t="shared" ref="DB160:DB166" si="175">TEXT(AV160,"MMMM")</f>
        <v>enero</v>
      </c>
      <c r="DC160" s="93" t="str">
        <f t="shared" ref="DC160:DC166" si="176">TEXT(BD160,"MMMM")</f>
        <v>enero</v>
      </c>
      <c r="DD160" s="93" t="str">
        <f t="shared" ref="DD160:DD166" si="177">TEXT(BL160,"MMMM")</f>
        <v>enero</v>
      </c>
      <c r="DE160" s="93" t="str">
        <f t="shared" ref="DE160:DE166" si="178">TEXT(BT160,"MMMM")</f>
        <v>enero</v>
      </c>
      <c r="DF160" s="93" t="str">
        <f t="shared" ref="DF160:DF166" si="179">TEXT(BT160,"MMMM")</f>
        <v>enero</v>
      </c>
      <c r="DG160" s="93" t="str">
        <f t="shared" ref="DG160:DG166" si="180">TEXT(BV160,"MMMM")</f>
        <v>enero</v>
      </c>
      <c r="DH160" s="93" t="str">
        <f t="shared" ref="DH160:DH166" si="181">TEXT(BY160,"MMMM")</f>
        <v>enero</v>
      </c>
    </row>
    <row r="161" spans="1:112" s="21" customFormat="1" ht="19.5" hidden="1" customHeight="1">
      <c r="A161" s="254">
        <v>83</v>
      </c>
      <c r="B161" s="93" t="e">
        <f>VLOOKUP($A161,  'Matriz POA 2024-TRABAJO'!$A$5:$CY$9142,29,FALSE)</f>
        <v>#N/A</v>
      </c>
      <c r="C161" s="93" t="e">
        <f>VLOOKUP($A161, 'Matriz POA 2024-TRABAJO'!$A$5:$CY$9142,11,FALSE)</f>
        <v>#N/A</v>
      </c>
      <c r="D161" s="93" t="e">
        <f>VLOOKUP($A161, 'Matriz POA 2024-TRABAJO'!$A$5:$CY$9142,14,FALSE)</f>
        <v>#N/A</v>
      </c>
      <c r="E161" s="93" t="e">
        <f>VLOOKUP($A161, 'Matriz POA 2024-TRABAJO'!$A$5:$CY$9142,15,FALSE)</f>
        <v>#N/A</v>
      </c>
      <c r="F161" s="93" t="e">
        <f>VLOOKUP($A161, 'Matriz POA 2024-TRABAJO'!$A$5:$CY$9142,18,FALSE)</f>
        <v>#N/A</v>
      </c>
      <c r="G161" s="93" t="e">
        <f>VLOOKUP($A161, 'Matriz POA 2024-TRABAJO'!$A$5:$CY$9142,23,FALSE)</f>
        <v>#N/A</v>
      </c>
      <c r="H161" s="93" t="e">
        <f>VLOOKUP($A161, 'Matriz POA 2024-TRABAJO'!$A$5:$CY$9142,24,FALSE)</f>
        <v>#N/A</v>
      </c>
      <c r="I161" s="93" t="e">
        <f>VLOOKUP($A161, 'Matriz POA 2024-TRABAJO'!$A$5:$CY$9142,20,FALSE)</f>
        <v>#N/A</v>
      </c>
      <c r="J161" s="93" t="e">
        <f>VLOOKUP($A161, 'Matriz POA 2024-TRABAJO'!$A$5:$CY$9142,26,FALSE)</f>
        <v>#N/A</v>
      </c>
      <c r="K161" s="93" t="e">
        <f>VLOOKUP($A161, 'Matriz POA 2024-TRABAJO'!$A$5:$CY$9142,27,FALSE)</f>
        <v>#N/A</v>
      </c>
      <c r="L161" s="93" t="e">
        <f>VLOOKUP($A161, 'Matriz POA 2024-TRABAJO'!$A$5:$CY$9142,28,FALSE)</f>
        <v>#N/A</v>
      </c>
      <c r="M161" s="93" t="e">
        <f>VLOOKUP($A161, 'Matriz POA 2024-TRABAJO'!$A$5:$CY$9142,30,FALSE)</f>
        <v>#N/A</v>
      </c>
      <c r="N161" s="93" t="e">
        <f>VLOOKUP($A161, 'Matriz POA 2024-TRABAJO'!$A$5:$CY$9142,31,FALSE)</f>
        <v>#N/A</v>
      </c>
      <c r="O161" s="93" t="e">
        <f>VLOOKUP($A161, 'Matriz POA 2024-TRABAJO'!$A$5:$CY$9142,45,FALSE)</f>
        <v>#N/A</v>
      </c>
      <c r="P161" s="93" t="e">
        <f>VLOOKUP($A161, 'Matriz POA 2024-TRABAJO'!$A$5:$CY$9142,46,FALSE)</f>
        <v>#N/A</v>
      </c>
      <c r="Q161" s="93" t="e">
        <f>VLOOKUP($A161, 'Matriz POA 2024-TRABAJO'!$A$5:$CY$9142,47,FALSE)</f>
        <v>#N/A</v>
      </c>
      <c r="R161" s="94">
        <f t="shared" si="123"/>
        <v>1669.33</v>
      </c>
      <c r="S161" s="95" t="e">
        <f t="shared" si="124"/>
        <v>#N/A</v>
      </c>
      <c r="T161" s="93" t="e">
        <f>VLOOKUP($A161, 'Matriz POA 2024-TRABAJO'!$A$5:$CY$9142,72,FALSE)</f>
        <v>#N/A</v>
      </c>
      <c r="U161" s="93" t="e">
        <f>VLOOKUP($A161, 'Matriz POA 2024-TRABAJO'!$A$5:$CY$9142,29,FALSE)</f>
        <v>#N/A</v>
      </c>
      <c r="V161" s="94" t="str">
        <f t="shared" si="146"/>
        <v>46ar-</v>
      </c>
      <c r="W161" s="96" t="s">
        <v>1239</v>
      </c>
      <c r="X161" s="96">
        <v>45378</v>
      </c>
      <c r="Y161" s="97"/>
      <c r="Z161" s="96">
        <v>45378</v>
      </c>
      <c r="AA161" s="98">
        <v>1669.33</v>
      </c>
      <c r="AB161" s="98"/>
      <c r="AC161" s="99">
        <f>Z161-X161</f>
        <v>0</v>
      </c>
      <c r="AD161" s="100" t="s">
        <v>1240</v>
      </c>
      <c r="AE161" s="98"/>
      <c r="AF161" s="101"/>
      <c r="AG161" s="97"/>
      <c r="AH161" s="101"/>
      <c r="AI161" s="98"/>
      <c r="AJ161" s="98">
        <f t="shared" ref="AJ161:AJ166" si="182">AI161*-1</f>
        <v>0</v>
      </c>
      <c r="AK161" s="99">
        <f>AH161-AF161</f>
        <v>0</v>
      </c>
      <c r="AL161" s="380"/>
      <c r="AN161" s="381"/>
      <c r="AO161" s="97"/>
      <c r="AP161" s="101"/>
      <c r="AQ161" s="98"/>
      <c r="AR161" s="98"/>
      <c r="AS161" s="99">
        <f>AP161-AN161</f>
        <v>0</v>
      </c>
      <c r="AT161" s="99"/>
      <c r="AU161" s="96"/>
      <c r="AV161" s="96"/>
      <c r="AW161" s="93"/>
      <c r="AX161" s="96"/>
      <c r="AY161" s="98"/>
      <c r="AZ161" s="98"/>
      <c r="BA161" s="99">
        <f t="shared" si="166"/>
        <v>0</v>
      </c>
      <c r="BB161" s="99"/>
      <c r="BC161" s="96"/>
      <c r="BD161" s="96"/>
      <c r="BE161" s="93"/>
      <c r="BF161" s="96"/>
      <c r="BG161" s="102"/>
      <c r="BH161" s="102"/>
      <c r="BI161" s="93">
        <f t="shared" si="167"/>
        <v>0</v>
      </c>
      <c r="BJ161" s="93"/>
      <c r="BK161" s="93"/>
      <c r="BL161" s="103"/>
      <c r="BM161" s="93"/>
      <c r="BN161" s="103"/>
      <c r="BO161" s="94"/>
      <c r="BP161" s="94"/>
      <c r="BQ161" s="93">
        <f t="shared" si="168"/>
        <v>0</v>
      </c>
      <c r="BR161" s="93"/>
      <c r="BS161" s="93"/>
      <c r="BT161" s="103"/>
      <c r="BU161" s="93"/>
      <c r="BV161" s="103"/>
      <c r="BW161" s="94"/>
      <c r="BX161" s="94"/>
      <c r="BY161" s="93">
        <f t="shared" si="169"/>
        <v>0</v>
      </c>
      <c r="BZ161" s="93"/>
      <c r="CA161" s="104"/>
      <c r="CB161" s="105"/>
      <c r="CC161" s="106"/>
      <c r="CD161" s="107"/>
      <c r="CE161" s="94"/>
      <c r="CF161" s="94"/>
      <c r="CG161" s="93">
        <f t="shared" si="170"/>
        <v>0</v>
      </c>
      <c r="CH161" s="93"/>
      <c r="CI161" s="106"/>
      <c r="CJ161" s="105"/>
      <c r="CK161" s="93"/>
      <c r="CL161" s="105"/>
      <c r="CM161" s="108"/>
      <c r="CN161" s="108"/>
      <c r="CO161" s="93">
        <f t="shared" si="171"/>
        <v>0</v>
      </c>
      <c r="CP161" s="93"/>
      <c r="CQ161" s="93"/>
      <c r="CR161" s="93"/>
      <c r="CS161" s="93"/>
      <c r="CT161" s="93"/>
      <c r="CU161" s="93"/>
      <c r="CV161" s="93"/>
      <c r="CW161" s="93">
        <f t="shared" si="172"/>
        <v>0</v>
      </c>
      <c r="CX161" s="93"/>
      <c r="CY161" s="93" t="str">
        <f t="shared" ref="CY161:CY167" si="183">TEXT(Z161,"MMMM")</f>
        <v>marzo</v>
      </c>
      <c r="CZ161" s="93" t="str">
        <f t="shared" si="173"/>
        <v>enero</v>
      </c>
      <c r="DA161" s="93" t="str">
        <f t="shared" si="174"/>
        <v>enero</v>
      </c>
      <c r="DB161" s="93" t="str">
        <f t="shared" si="175"/>
        <v>enero</v>
      </c>
      <c r="DC161" s="93" t="str">
        <f t="shared" si="176"/>
        <v>enero</v>
      </c>
      <c r="DD161" s="93" t="str">
        <f t="shared" si="177"/>
        <v>enero</v>
      </c>
      <c r="DE161" s="93" t="str">
        <f t="shared" si="178"/>
        <v>enero</v>
      </c>
      <c r="DF161" s="93" t="str">
        <f t="shared" si="179"/>
        <v>enero</v>
      </c>
      <c r="DG161" s="93" t="str">
        <f t="shared" si="180"/>
        <v>enero</v>
      </c>
      <c r="DH161" s="93" t="str">
        <f t="shared" si="181"/>
        <v>enero</v>
      </c>
    </row>
    <row r="162" spans="1:112" s="21" customFormat="1" ht="19.5" hidden="1" customHeight="1">
      <c r="A162" s="254">
        <v>838</v>
      </c>
      <c r="B162" s="93" t="e">
        <f>VLOOKUP($A162,  'Matriz POA 2024-TRABAJO'!$A$5:$CY$9142,29,FALSE)</f>
        <v>#N/A</v>
      </c>
      <c r="C162" s="93" t="e">
        <f>VLOOKUP($A162, 'Matriz POA 2024-TRABAJO'!$A$5:$CY$9142,11,FALSE)</f>
        <v>#N/A</v>
      </c>
      <c r="D162" s="93" t="e">
        <f>VLOOKUP($A162, 'Matriz POA 2024-TRABAJO'!$A$5:$CY$9142,14,FALSE)</f>
        <v>#N/A</v>
      </c>
      <c r="E162" s="93" t="e">
        <f>VLOOKUP($A162, 'Matriz POA 2024-TRABAJO'!$A$5:$CY$9142,15,FALSE)</f>
        <v>#N/A</v>
      </c>
      <c r="F162" s="93" t="e">
        <f>VLOOKUP($A162, 'Matriz POA 2024-TRABAJO'!$A$5:$CY$9142,18,FALSE)</f>
        <v>#N/A</v>
      </c>
      <c r="G162" s="93" t="e">
        <f>VLOOKUP($A162, 'Matriz POA 2024-TRABAJO'!$A$5:$CY$9142,23,FALSE)</f>
        <v>#N/A</v>
      </c>
      <c r="H162" s="93" t="e">
        <f>VLOOKUP($A162, 'Matriz POA 2024-TRABAJO'!$A$5:$CY$9142,24,FALSE)</f>
        <v>#N/A</v>
      </c>
      <c r="I162" s="93" t="e">
        <f>VLOOKUP($A162, 'Matriz POA 2024-TRABAJO'!$A$5:$CY$9142,20,FALSE)</f>
        <v>#N/A</v>
      </c>
      <c r="J162" s="93" t="e">
        <f>VLOOKUP($A162, 'Matriz POA 2024-TRABAJO'!$A$5:$CY$9142,26,FALSE)</f>
        <v>#N/A</v>
      </c>
      <c r="K162" s="93" t="e">
        <f>VLOOKUP($A162, 'Matriz POA 2024-TRABAJO'!$A$5:$CY$9142,27,FALSE)</f>
        <v>#N/A</v>
      </c>
      <c r="L162" s="93" t="e">
        <f>VLOOKUP($A162, 'Matriz POA 2024-TRABAJO'!$A$5:$CY$9142,28,FALSE)</f>
        <v>#N/A</v>
      </c>
      <c r="M162" s="93" t="e">
        <f>VLOOKUP($A162, 'Matriz POA 2024-TRABAJO'!$A$5:$CY$9142,30,FALSE)</f>
        <v>#N/A</v>
      </c>
      <c r="N162" s="93" t="e">
        <f>VLOOKUP($A162, 'Matriz POA 2024-TRABAJO'!$A$5:$CY$9142,31,FALSE)</f>
        <v>#N/A</v>
      </c>
      <c r="O162" s="93" t="e">
        <f>VLOOKUP($A162, 'Matriz POA 2024-TRABAJO'!$A$5:$CY$9142,45,FALSE)</f>
        <v>#N/A</v>
      </c>
      <c r="P162" s="93" t="e">
        <f>VLOOKUP($A162, 'Matriz POA 2024-TRABAJO'!$A$5:$CY$9142,46,FALSE)</f>
        <v>#N/A</v>
      </c>
      <c r="Q162" s="93" t="e">
        <f>VLOOKUP($A162, 'Matriz POA 2024-TRABAJO'!$A$5:$CY$9142,47,FALSE)</f>
        <v>#N/A</v>
      </c>
      <c r="R162" s="94">
        <f t="shared" si="123"/>
        <v>113.53</v>
      </c>
      <c r="S162" s="95" t="e">
        <f t="shared" si="124"/>
        <v>#N/A</v>
      </c>
      <c r="T162" s="93" t="e">
        <f>VLOOKUP($A162, 'Matriz POA 2024-TRABAJO'!$A$5:$CY$9142,72,FALSE)</f>
        <v>#N/A</v>
      </c>
      <c r="U162" s="93" t="e">
        <f>VLOOKUP($A162, 'Matriz POA 2024-TRABAJO'!$A$5:$CY$9142,29,FALSE)</f>
        <v>#N/A</v>
      </c>
      <c r="V162" s="94" t="str">
        <f t="shared" si="146"/>
        <v>47ar-</v>
      </c>
      <c r="W162" s="96" t="s">
        <v>994</v>
      </c>
      <c r="X162" s="96">
        <v>45373</v>
      </c>
      <c r="Y162" s="97"/>
      <c r="Z162" s="96">
        <v>45378</v>
      </c>
      <c r="AA162" s="98">
        <v>113.53</v>
      </c>
      <c r="AB162" s="98"/>
      <c r="AC162" s="99">
        <f t="shared" ref="AC162:AC167" si="184">Z162-X162</f>
        <v>5</v>
      </c>
      <c r="AD162" s="100" t="s">
        <v>1241</v>
      </c>
      <c r="AE162" s="98"/>
      <c r="AF162" s="101"/>
      <c r="AG162" s="97"/>
      <c r="AH162" s="101"/>
      <c r="AI162" s="98"/>
      <c r="AJ162" s="98">
        <f t="shared" si="182"/>
        <v>0</v>
      </c>
      <c r="AK162" s="99">
        <f t="shared" ref="AK162:AK167" si="185">AH162-AF162</f>
        <v>0</v>
      </c>
      <c r="AL162" s="99"/>
      <c r="AN162" s="96"/>
      <c r="AO162" s="97"/>
      <c r="AP162" s="101"/>
      <c r="AQ162" s="98"/>
      <c r="AR162" s="98"/>
      <c r="AS162" s="99">
        <f t="shared" ref="AS162:AS167" si="186">AP162-AN162</f>
        <v>0</v>
      </c>
      <c r="AT162" s="99"/>
      <c r="AU162" s="96"/>
      <c r="AV162" s="96"/>
      <c r="AW162" s="93"/>
      <c r="AX162" s="96"/>
      <c r="AY162" s="98"/>
      <c r="AZ162" s="98"/>
      <c r="BA162" s="99">
        <f t="shared" si="166"/>
        <v>0</v>
      </c>
      <c r="BB162" s="99"/>
      <c r="BC162" s="96"/>
      <c r="BD162" s="96"/>
      <c r="BE162" s="93"/>
      <c r="BF162" s="96"/>
      <c r="BG162" s="102"/>
      <c r="BH162" s="102"/>
      <c r="BI162" s="93">
        <f t="shared" si="167"/>
        <v>0</v>
      </c>
      <c r="BJ162" s="93"/>
      <c r="BK162" s="93"/>
      <c r="BL162" s="103"/>
      <c r="BM162" s="93"/>
      <c r="BN162" s="103"/>
      <c r="BO162" s="94"/>
      <c r="BP162" s="94"/>
      <c r="BQ162" s="93">
        <f t="shared" si="168"/>
        <v>0</v>
      </c>
      <c r="BR162" s="93"/>
      <c r="BS162" s="93"/>
      <c r="BT162" s="103"/>
      <c r="BU162" s="93"/>
      <c r="BV162" s="103"/>
      <c r="BW162" s="94"/>
      <c r="BX162" s="94"/>
      <c r="BY162" s="93">
        <f t="shared" si="169"/>
        <v>0</v>
      </c>
      <c r="BZ162" s="93"/>
      <c r="CA162" s="104"/>
      <c r="CB162" s="105"/>
      <c r="CC162" s="106"/>
      <c r="CD162" s="107"/>
      <c r="CE162" s="94"/>
      <c r="CF162" s="94"/>
      <c r="CG162" s="93">
        <f t="shared" si="170"/>
        <v>0</v>
      </c>
      <c r="CH162" s="93"/>
      <c r="CI162" s="106"/>
      <c r="CJ162" s="105"/>
      <c r="CK162" s="93"/>
      <c r="CL162" s="105"/>
      <c r="CM162" s="108"/>
      <c r="CN162" s="108"/>
      <c r="CO162" s="93">
        <f t="shared" si="171"/>
        <v>0</v>
      </c>
      <c r="CP162" s="93"/>
      <c r="CQ162" s="93"/>
      <c r="CR162" s="93"/>
      <c r="CS162" s="93"/>
      <c r="CT162" s="93"/>
      <c r="CU162" s="93"/>
      <c r="CV162" s="93"/>
      <c r="CW162" s="93">
        <f t="shared" si="172"/>
        <v>0</v>
      </c>
      <c r="CX162" s="93"/>
      <c r="CY162" s="93" t="str">
        <f t="shared" si="183"/>
        <v>marzo</v>
      </c>
      <c r="CZ162" s="93" t="str">
        <f t="shared" si="173"/>
        <v>enero</v>
      </c>
      <c r="DA162" s="93" t="str">
        <f t="shared" si="174"/>
        <v>enero</v>
      </c>
      <c r="DB162" s="93" t="str">
        <f t="shared" si="175"/>
        <v>enero</v>
      </c>
      <c r="DC162" s="93" t="str">
        <f t="shared" si="176"/>
        <v>enero</v>
      </c>
      <c r="DD162" s="93" t="str">
        <f t="shared" si="177"/>
        <v>enero</v>
      </c>
      <c r="DE162" s="93" t="str">
        <f t="shared" si="178"/>
        <v>enero</v>
      </c>
      <c r="DF162" s="93" t="str">
        <f t="shared" si="179"/>
        <v>enero</v>
      </c>
      <c r="DG162" s="93" t="str">
        <f t="shared" si="180"/>
        <v>enero</v>
      </c>
      <c r="DH162" s="93" t="str">
        <f t="shared" si="181"/>
        <v>enero</v>
      </c>
    </row>
    <row r="163" spans="1:112" s="21" customFormat="1" ht="19.5" hidden="1" customHeight="1">
      <c r="A163" s="254">
        <v>839</v>
      </c>
      <c r="B163" s="93" t="e">
        <f>VLOOKUP($A163,  'Matriz POA 2024-TRABAJO'!$A$5:$CY$9142,29,FALSE)</f>
        <v>#N/A</v>
      </c>
      <c r="C163" s="93" t="e">
        <f>VLOOKUP($A163, 'Matriz POA 2024-TRABAJO'!$A$5:$CY$9142,11,FALSE)</f>
        <v>#N/A</v>
      </c>
      <c r="D163" s="93" t="e">
        <f>VLOOKUP($A163, 'Matriz POA 2024-TRABAJO'!$A$5:$CY$9142,14,FALSE)</f>
        <v>#N/A</v>
      </c>
      <c r="E163" s="93" t="e">
        <f>VLOOKUP($A163, 'Matriz POA 2024-TRABAJO'!$A$5:$CY$9142,15,FALSE)</f>
        <v>#N/A</v>
      </c>
      <c r="F163" s="93" t="e">
        <f>VLOOKUP($A163, 'Matriz POA 2024-TRABAJO'!$A$5:$CY$9142,18,FALSE)</f>
        <v>#N/A</v>
      </c>
      <c r="G163" s="93" t="e">
        <f>VLOOKUP($A163, 'Matriz POA 2024-TRABAJO'!$A$5:$CY$9142,23,FALSE)</f>
        <v>#N/A</v>
      </c>
      <c r="H163" s="93" t="e">
        <f>VLOOKUP($A163, 'Matriz POA 2024-TRABAJO'!$A$5:$CY$9142,24,FALSE)</f>
        <v>#N/A</v>
      </c>
      <c r="I163" s="93" t="e">
        <f>VLOOKUP($A163, 'Matriz POA 2024-TRABAJO'!$A$5:$CY$9142,20,FALSE)</f>
        <v>#N/A</v>
      </c>
      <c r="J163" s="93" t="e">
        <f>VLOOKUP($A163, 'Matriz POA 2024-TRABAJO'!$A$5:$CY$9142,26,FALSE)</f>
        <v>#N/A</v>
      </c>
      <c r="K163" s="93" t="e">
        <f>VLOOKUP($A163, 'Matriz POA 2024-TRABAJO'!$A$5:$CY$9142,27,FALSE)</f>
        <v>#N/A</v>
      </c>
      <c r="L163" s="93" t="e">
        <f>VLOOKUP($A163, 'Matriz POA 2024-TRABAJO'!$A$5:$CY$9142,28,FALSE)</f>
        <v>#N/A</v>
      </c>
      <c r="M163" s="93" t="e">
        <f>VLOOKUP($A163, 'Matriz POA 2024-TRABAJO'!$A$5:$CY$9142,30,FALSE)</f>
        <v>#N/A</v>
      </c>
      <c r="N163" s="93" t="e">
        <f>VLOOKUP($A163, 'Matriz POA 2024-TRABAJO'!$A$5:$CY$9142,31,FALSE)</f>
        <v>#N/A</v>
      </c>
      <c r="O163" s="93" t="e">
        <f>VLOOKUP($A163, 'Matriz POA 2024-TRABAJO'!$A$5:$CY$9142,45,FALSE)</f>
        <v>#N/A</v>
      </c>
      <c r="P163" s="93" t="e">
        <f>VLOOKUP($A163, 'Matriz POA 2024-TRABAJO'!$A$5:$CY$9142,46,FALSE)</f>
        <v>#N/A</v>
      </c>
      <c r="Q163" s="93" t="e">
        <f>VLOOKUP($A163, 'Matriz POA 2024-TRABAJO'!$A$5:$CY$9142,47,FALSE)</f>
        <v>#N/A</v>
      </c>
      <c r="R163" s="94">
        <f t="shared" si="123"/>
        <v>859.5</v>
      </c>
      <c r="S163" s="95" t="e">
        <f t="shared" si="124"/>
        <v>#N/A</v>
      </c>
      <c r="T163" s="93" t="e">
        <f>VLOOKUP($A163, 'Matriz POA 2024-TRABAJO'!$A$5:$CY$9142,72,FALSE)</f>
        <v>#N/A</v>
      </c>
      <c r="U163" s="93" t="e">
        <f>VLOOKUP($A163, 'Matriz POA 2024-TRABAJO'!$A$5:$CY$9142,29,FALSE)</f>
        <v>#N/A</v>
      </c>
      <c r="V163" s="94" t="str">
        <f t="shared" si="146"/>
        <v>47ar-</v>
      </c>
      <c r="W163" s="96" t="s">
        <v>994</v>
      </c>
      <c r="X163" s="96">
        <v>45373</v>
      </c>
      <c r="Y163" s="97"/>
      <c r="Z163" s="96">
        <v>45378</v>
      </c>
      <c r="AA163" s="98">
        <v>859.5</v>
      </c>
      <c r="AB163" s="98"/>
      <c r="AC163" s="99">
        <f t="shared" si="184"/>
        <v>5</v>
      </c>
      <c r="AD163" s="100" t="s">
        <v>1241</v>
      </c>
      <c r="AE163" s="98"/>
      <c r="AF163" s="101"/>
      <c r="AG163" s="97"/>
      <c r="AH163" s="101"/>
      <c r="AI163" s="98"/>
      <c r="AJ163" s="98">
        <f t="shared" si="182"/>
        <v>0</v>
      </c>
      <c r="AK163" s="99">
        <f t="shared" si="185"/>
        <v>0</v>
      </c>
      <c r="AL163" s="99"/>
      <c r="AN163" s="96"/>
      <c r="AO163" s="97"/>
      <c r="AP163" s="101"/>
      <c r="AQ163" s="98"/>
      <c r="AR163" s="98"/>
      <c r="AS163" s="99">
        <f t="shared" si="186"/>
        <v>0</v>
      </c>
      <c r="AT163" s="99"/>
      <c r="AU163" s="96"/>
      <c r="AV163" s="96"/>
      <c r="AW163" s="93"/>
      <c r="AX163" s="96"/>
      <c r="AY163" s="98"/>
      <c r="AZ163" s="98"/>
      <c r="BA163" s="99">
        <f t="shared" si="166"/>
        <v>0</v>
      </c>
      <c r="BB163" s="99"/>
      <c r="BC163" s="96"/>
      <c r="BD163" s="96"/>
      <c r="BE163" s="93"/>
      <c r="BF163" s="96"/>
      <c r="BG163" s="102"/>
      <c r="BH163" s="102"/>
      <c r="BI163" s="93">
        <f t="shared" si="167"/>
        <v>0</v>
      </c>
      <c r="BJ163" s="93"/>
      <c r="BK163" s="93"/>
      <c r="BL163" s="103"/>
      <c r="BM163" s="93"/>
      <c r="BN163" s="103"/>
      <c r="BO163" s="94"/>
      <c r="BP163" s="94"/>
      <c r="BQ163" s="93">
        <f t="shared" si="168"/>
        <v>0</v>
      </c>
      <c r="BR163" s="93"/>
      <c r="BS163" s="93"/>
      <c r="BT163" s="103"/>
      <c r="BU163" s="93"/>
      <c r="BV163" s="103"/>
      <c r="BW163" s="94"/>
      <c r="BX163" s="94"/>
      <c r="BY163" s="93">
        <f t="shared" si="169"/>
        <v>0</v>
      </c>
      <c r="BZ163" s="93"/>
      <c r="CA163" s="104"/>
      <c r="CB163" s="105"/>
      <c r="CC163" s="106"/>
      <c r="CD163" s="107"/>
      <c r="CE163" s="94"/>
      <c r="CF163" s="94"/>
      <c r="CG163" s="93">
        <f t="shared" si="170"/>
        <v>0</v>
      </c>
      <c r="CH163" s="93"/>
      <c r="CI163" s="106"/>
      <c r="CJ163" s="105"/>
      <c r="CK163" s="93"/>
      <c r="CL163" s="105"/>
      <c r="CM163" s="108"/>
      <c r="CN163" s="108"/>
      <c r="CO163" s="93">
        <f t="shared" si="171"/>
        <v>0</v>
      </c>
      <c r="CP163" s="93"/>
      <c r="CQ163" s="93"/>
      <c r="CR163" s="93"/>
      <c r="CS163" s="93"/>
      <c r="CT163" s="93"/>
      <c r="CU163" s="93"/>
      <c r="CV163" s="93"/>
      <c r="CW163" s="93">
        <f t="shared" si="172"/>
        <v>0</v>
      </c>
      <c r="CX163" s="93"/>
      <c r="CY163" s="93" t="str">
        <f t="shared" si="183"/>
        <v>marzo</v>
      </c>
      <c r="CZ163" s="93" t="str">
        <f t="shared" si="173"/>
        <v>enero</v>
      </c>
      <c r="DA163" s="93" t="str">
        <f t="shared" si="174"/>
        <v>enero</v>
      </c>
      <c r="DB163" s="93" t="str">
        <f t="shared" si="175"/>
        <v>enero</v>
      </c>
      <c r="DC163" s="93" t="str">
        <f t="shared" si="176"/>
        <v>enero</v>
      </c>
      <c r="DD163" s="93" t="str">
        <f t="shared" si="177"/>
        <v>enero</v>
      </c>
      <c r="DE163" s="93" t="str">
        <f t="shared" si="178"/>
        <v>enero</v>
      </c>
      <c r="DF163" s="93" t="str">
        <f t="shared" si="179"/>
        <v>enero</v>
      </c>
      <c r="DG163" s="93" t="str">
        <f t="shared" si="180"/>
        <v>enero</v>
      </c>
      <c r="DH163" s="93" t="str">
        <f t="shared" si="181"/>
        <v>enero</v>
      </c>
    </row>
    <row r="164" spans="1:112" s="21" customFormat="1" ht="19.5" hidden="1" customHeight="1">
      <c r="A164" s="254">
        <v>840</v>
      </c>
      <c r="B164" s="93" t="e">
        <f>VLOOKUP($A164,  'Matriz POA 2024-TRABAJO'!$A$5:$CY$9142,29,FALSE)</f>
        <v>#N/A</v>
      </c>
      <c r="C164" s="93" t="e">
        <f>VLOOKUP($A164, 'Matriz POA 2024-TRABAJO'!$A$5:$CY$9142,11,FALSE)</f>
        <v>#N/A</v>
      </c>
      <c r="D164" s="93" t="e">
        <f>VLOOKUP($A164, 'Matriz POA 2024-TRABAJO'!$A$5:$CY$9142,14,FALSE)</f>
        <v>#N/A</v>
      </c>
      <c r="E164" s="93" t="e">
        <f>VLOOKUP($A164, 'Matriz POA 2024-TRABAJO'!$A$5:$CY$9142,15,FALSE)</f>
        <v>#N/A</v>
      </c>
      <c r="F164" s="93" t="e">
        <f>VLOOKUP($A164, 'Matriz POA 2024-TRABAJO'!$A$5:$CY$9142,18,FALSE)</f>
        <v>#N/A</v>
      </c>
      <c r="G164" s="93" t="e">
        <f>VLOOKUP($A164, 'Matriz POA 2024-TRABAJO'!$A$5:$CY$9142,23,FALSE)</f>
        <v>#N/A</v>
      </c>
      <c r="H164" s="93" t="e">
        <f>VLOOKUP($A164, 'Matriz POA 2024-TRABAJO'!$A$5:$CY$9142,24,FALSE)</f>
        <v>#N/A</v>
      </c>
      <c r="I164" s="93" t="e">
        <f>VLOOKUP($A164, 'Matriz POA 2024-TRABAJO'!$A$5:$CY$9142,20,FALSE)</f>
        <v>#N/A</v>
      </c>
      <c r="J164" s="93" t="e">
        <f>VLOOKUP($A164, 'Matriz POA 2024-TRABAJO'!$A$5:$CY$9142,26,FALSE)</f>
        <v>#N/A</v>
      </c>
      <c r="K164" s="93" t="e">
        <f>VLOOKUP($A164, 'Matriz POA 2024-TRABAJO'!$A$5:$CY$9142,27,FALSE)</f>
        <v>#N/A</v>
      </c>
      <c r="L164" s="93" t="e">
        <f>VLOOKUP($A164, 'Matriz POA 2024-TRABAJO'!$A$5:$CY$9142,28,FALSE)</f>
        <v>#N/A</v>
      </c>
      <c r="M164" s="93" t="e">
        <f>VLOOKUP($A164, 'Matriz POA 2024-TRABAJO'!$A$5:$CY$9142,30,FALSE)</f>
        <v>#N/A</v>
      </c>
      <c r="N164" s="93" t="e">
        <f>VLOOKUP($A164, 'Matriz POA 2024-TRABAJO'!$A$5:$CY$9142,31,FALSE)</f>
        <v>#N/A</v>
      </c>
      <c r="O164" s="93" t="e">
        <f>VLOOKUP($A164, 'Matriz POA 2024-TRABAJO'!$A$5:$CY$9142,45,FALSE)</f>
        <v>#N/A</v>
      </c>
      <c r="P164" s="93" t="e">
        <f>VLOOKUP($A164, 'Matriz POA 2024-TRABAJO'!$A$5:$CY$9142,46,FALSE)</f>
        <v>#N/A</v>
      </c>
      <c r="Q164" s="93" t="e">
        <f>VLOOKUP($A164, 'Matriz POA 2024-TRABAJO'!$A$5:$CY$9142,47,FALSE)</f>
        <v>#N/A</v>
      </c>
      <c r="R164" s="94">
        <f t="shared" si="123"/>
        <v>648.67999999999995</v>
      </c>
      <c r="S164" s="95" t="e">
        <f t="shared" si="124"/>
        <v>#N/A</v>
      </c>
      <c r="T164" s="93" t="e">
        <f>VLOOKUP($A164, 'Matriz POA 2024-TRABAJO'!$A$5:$CY$9142,72,FALSE)</f>
        <v>#N/A</v>
      </c>
      <c r="U164" s="93" t="e">
        <f>VLOOKUP($A164, 'Matriz POA 2024-TRABAJO'!$A$5:$CY$9142,29,FALSE)</f>
        <v>#N/A</v>
      </c>
      <c r="V164" s="94" t="str">
        <f t="shared" si="146"/>
        <v>47ar-</v>
      </c>
      <c r="W164" s="96" t="s">
        <v>994</v>
      </c>
      <c r="X164" s="96">
        <v>45373</v>
      </c>
      <c r="Y164" s="97"/>
      <c r="Z164" s="96">
        <v>45378</v>
      </c>
      <c r="AA164" s="98">
        <v>648.67999999999995</v>
      </c>
      <c r="AB164" s="98"/>
      <c r="AC164" s="99">
        <f t="shared" si="184"/>
        <v>5</v>
      </c>
      <c r="AD164" s="100" t="s">
        <v>1241</v>
      </c>
      <c r="AE164" s="98"/>
      <c r="AF164" s="101"/>
      <c r="AG164" s="97"/>
      <c r="AH164" s="101"/>
      <c r="AI164" s="98"/>
      <c r="AJ164" s="98">
        <f t="shared" si="182"/>
        <v>0</v>
      </c>
      <c r="AK164" s="99">
        <f t="shared" si="185"/>
        <v>0</v>
      </c>
      <c r="AL164" s="99"/>
      <c r="AN164" s="96"/>
      <c r="AO164" s="97"/>
      <c r="AP164" s="101"/>
      <c r="AQ164" s="98"/>
      <c r="AR164" s="98"/>
      <c r="AS164" s="99">
        <f t="shared" si="186"/>
        <v>0</v>
      </c>
      <c r="AT164" s="99"/>
      <c r="AU164" s="96"/>
      <c r="AV164" s="96"/>
      <c r="AW164" s="93"/>
      <c r="AX164" s="96"/>
      <c r="AY164" s="98"/>
      <c r="AZ164" s="98"/>
      <c r="BA164" s="99">
        <f t="shared" si="166"/>
        <v>0</v>
      </c>
      <c r="BB164" s="99"/>
      <c r="BC164" s="96"/>
      <c r="BD164" s="96"/>
      <c r="BE164" s="93"/>
      <c r="BF164" s="96"/>
      <c r="BG164" s="102"/>
      <c r="BH164" s="102"/>
      <c r="BI164" s="93">
        <f t="shared" si="167"/>
        <v>0</v>
      </c>
      <c r="BJ164" s="93"/>
      <c r="BK164" s="93"/>
      <c r="BL164" s="103"/>
      <c r="BM164" s="93"/>
      <c r="BN164" s="103"/>
      <c r="BO164" s="94"/>
      <c r="BP164" s="94"/>
      <c r="BQ164" s="93">
        <f t="shared" si="168"/>
        <v>0</v>
      </c>
      <c r="BR164" s="93"/>
      <c r="BS164" s="93"/>
      <c r="BT164" s="103"/>
      <c r="BU164" s="93"/>
      <c r="BV164" s="103"/>
      <c r="BW164" s="94"/>
      <c r="BX164" s="94"/>
      <c r="BY164" s="93">
        <f t="shared" si="169"/>
        <v>0</v>
      </c>
      <c r="BZ164" s="93"/>
      <c r="CA164" s="104"/>
      <c r="CB164" s="105"/>
      <c r="CC164" s="106"/>
      <c r="CD164" s="107"/>
      <c r="CE164" s="94"/>
      <c r="CF164" s="94"/>
      <c r="CG164" s="93">
        <f t="shared" si="170"/>
        <v>0</v>
      </c>
      <c r="CH164" s="93"/>
      <c r="CI164" s="106"/>
      <c r="CJ164" s="105"/>
      <c r="CK164" s="93"/>
      <c r="CL164" s="105"/>
      <c r="CM164" s="108"/>
      <c r="CN164" s="108"/>
      <c r="CO164" s="93">
        <f t="shared" si="171"/>
        <v>0</v>
      </c>
      <c r="CP164" s="93"/>
      <c r="CQ164" s="93"/>
      <c r="CR164" s="93"/>
      <c r="CS164" s="93"/>
      <c r="CT164" s="93"/>
      <c r="CU164" s="93"/>
      <c r="CV164" s="93"/>
      <c r="CW164" s="93">
        <f t="shared" si="172"/>
        <v>0</v>
      </c>
      <c r="CX164" s="93"/>
      <c r="CY164" s="93" t="str">
        <f t="shared" si="183"/>
        <v>marzo</v>
      </c>
      <c r="CZ164" s="93" t="str">
        <f t="shared" si="173"/>
        <v>enero</v>
      </c>
      <c r="DA164" s="93" t="str">
        <f t="shared" si="174"/>
        <v>enero</v>
      </c>
      <c r="DB164" s="93" t="str">
        <f t="shared" si="175"/>
        <v>enero</v>
      </c>
      <c r="DC164" s="93" t="str">
        <f t="shared" si="176"/>
        <v>enero</v>
      </c>
      <c r="DD164" s="93" t="str">
        <f t="shared" si="177"/>
        <v>enero</v>
      </c>
      <c r="DE164" s="93" t="str">
        <f t="shared" si="178"/>
        <v>enero</v>
      </c>
      <c r="DF164" s="93" t="str">
        <f t="shared" si="179"/>
        <v>enero</v>
      </c>
      <c r="DG164" s="93" t="str">
        <f t="shared" si="180"/>
        <v>enero</v>
      </c>
      <c r="DH164" s="93" t="str">
        <f t="shared" si="181"/>
        <v>enero</v>
      </c>
    </row>
    <row r="165" spans="1:112" s="21" customFormat="1" ht="19.5" hidden="1" customHeight="1">
      <c r="A165" s="254">
        <v>68</v>
      </c>
      <c r="B165" s="93" t="e">
        <f>VLOOKUP($A165,  'Matriz POA 2024-TRABAJO'!$A$5:$CY$9142,29,FALSE)</f>
        <v>#N/A</v>
      </c>
      <c r="C165" s="93" t="e">
        <f>VLOOKUP($A165, 'Matriz POA 2024-TRABAJO'!$A$5:$CY$9142,11,FALSE)</f>
        <v>#N/A</v>
      </c>
      <c r="D165" s="93" t="e">
        <f>VLOOKUP($A165, 'Matriz POA 2024-TRABAJO'!$A$5:$CY$9142,14,FALSE)</f>
        <v>#N/A</v>
      </c>
      <c r="E165" s="93" t="e">
        <f>VLOOKUP($A165, 'Matriz POA 2024-TRABAJO'!$A$5:$CY$9142,15,FALSE)</f>
        <v>#N/A</v>
      </c>
      <c r="F165" s="93" t="e">
        <f>VLOOKUP($A165, 'Matriz POA 2024-TRABAJO'!$A$5:$CY$9142,18,FALSE)</f>
        <v>#N/A</v>
      </c>
      <c r="G165" s="93" t="e">
        <f>VLOOKUP($A165, 'Matriz POA 2024-TRABAJO'!$A$5:$CY$9142,23,FALSE)</f>
        <v>#N/A</v>
      </c>
      <c r="H165" s="93" t="e">
        <f>VLOOKUP($A165, 'Matriz POA 2024-TRABAJO'!$A$5:$CY$9142,24,FALSE)</f>
        <v>#N/A</v>
      </c>
      <c r="I165" s="93" t="e">
        <f>VLOOKUP($A165, 'Matriz POA 2024-TRABAJO'!$A$5:$CY$9142,20,FALSE)</f>
        <v>#N/A</v>
      </c>
      <c r="J165" s="93" t="e">
        <f>VLOOKUP($A165, 'Matriz POA 2024-TRABAJO'!$A$5:$CY$9142,26,FALSE)</f>
        <v>#N/A</v>
      </c>
      <c r="K165" s="93" t="e">
        <f>VLOOKUP($A165, 'Matriz POA 2024-TRABAJO'!$A$5:$CY$9142,27,FALSE)</f>
        <v>#N/A</v>
      </c>
      <c r="L165" s="93" t="e">
        <f>VLOOKUP($A165, 'Matriz POA 2024-TRABAJO'!$A$5:$CY$9142,28,FALSE)</f>
        <v>#N/A</v>
      </c>
      <c r="M165" s="93" t="e">
        <f>VLOOKUP($A165, 'Matriz POA 2024-TRABAJO'!$A$5:$CY$9142,30,FALSE)</f>
        <v>#N/A</v>
      </c>
      <c r="N165" s="93" t="e">
        <f>VLOOKUP($A165, 'Matriz POA 2024-TRABAJO'!$A$5:$CY$9142,31,FALSE)</f>
        <v>#N/A</v>
      </c>
      <c r="O165" s="93" t="e">
        <f>VLOOKUP($A165, 'Matriz POA 2024-TRABAJO'!$A$5:$CY$9142,45,FALSE)</f>
        <v>#N/A</v>
      </c>
      <c r="P165" s="93" t="e">
        <f>VLOOKUP($A165, 'Matriz POA 2024-TRABAJO'!$A$5:$CY$9142,46,FALSE)</f>
        <v>#N/A</v>
      </c>
      <c r="Q165" s="93" t="e">
        <f>VLOOKUP($A165, 'Matriz POA 2024-TRABAJO'!$A$5:$CY$9142,47,FALSE)</f>
        <v>#N/A</v>
      </c>
      <c r="R165" s="94">
        <f t="shared" si="123"/>
        <v>6000</v>
      </c>
      <c r="S165" s="95" t="e">
        <f t="shared" si="124"/>
        <v>#N/A</v>
      </c>
      <c r="T165" s="93" t="e">
        <f>VLOOKUP($A165, 'Matriz POA 2024-TRABAJO'!$A$5:$CY$9142,72,FALSE)</f>
        <v>#N/A</v>
      </c>
      <c r="U165" s="93" t="e">
        <f>VLOOKUP($A165, 'Matriz POA 2024-TRABAJO'!$A$5:$CY$9142,29,FALSE)</f>
        <v>#N/A</v>
      </c>
      <c r="V165" s="94" t="str">
        <f t="shared" si="146"/>
        <v>48ar-lpar-</v>
      </c>
      <c r="W165" s="96" t="s">
        <v>996</v>
      </c>
      <c r="X165" s="96">
        <v>45385</v>
      </c>
      <c r="Y165" s="97"/>
      <c r="Z165" s="96">
        <v>45387</v>
      </c>
      <c r="AA165" s="98">
        <v>6000</v>
      </c>
      <c r="AB165" s="98"/>
      <c r="AC165" s="99">
        <f t="shared" si="184"/>
        <v>2</v>
      </c>
      <c r="AD165" s="100" t="s">
        <v>1242</v>
      </c>
      <c r="AE165" s="98" t="s">
        <v>1243</v>
      </c>
      <c r="AF165" s="101">
        <v>45412</v>
      </c>
      <c r="AG165" s="97" t="s">
        <v>1007</v>
      </c>
      <c r="AH165" s="101">
        <v>45412</v>
      </c>
      <c r="AI165" s="98">
        <v>-5028</v>
      </c>
      <c r="AJ165" s="98">
        <f t="shared" si="182"/>
        <v>5028</v>
      </c>
      <c r="AK165" s="99">
        <f t="shared" si="185"/>
        <v>0</v>
      </c>
      <c r="AL165" s="362" t="s">
        <v>1244</v>
      </c>
      <c r="AN165" s="359"/>
      <c r="AO165" s="97"/>
      <c r="AP165" s="101"/>
      <c r="AQ165" s="98"/>
      <c r="AR165" s="98"/>
      <c r="AS165" s="99">
        <f t="shared" si="186"/>
        <v>0</v>
      </c>
      <c r="AT165" s="99"/>
      <c r="AU165" s="96"/>
      <c r="AV165" s="96"/>
      <c r="AW165" s="93"/>
      <c r="AX165" s="96"/>
      <c r="AY165" s="98"/>
      <c r="AZ165" s="98"/>
      <c r="BA165" s="99">
        <f t="shared" si="166"/>
        <v>0</v>
      </c>
      <c r="BB165" s="99"/>
      <c r="BC165" s="96"/>
      <c r="BD165" s="96"/>
      <c r="BE165" s="93"/>
      <c r="BF165" s="96"/>
      <c r="BG165" s="102"/>
      <c r="BH165" s="102"/>
      <c r="BI165" s="93">
        <f t="shared" si="167"/>
        <v>0</v>
      </c>
      <c r="BJ165" s="93"/>
      <c r="BK165" s="93"/>
      <c r="BL165" s="103"/>
      <c r="BM165" s="93"/>
      <c r="BN165" s="103"/>
      <c r="BO165" s="94"/>
      <c r="BP165" s="94"/>
      <c r="BQ165" s="93">
        <f t="shared" si="168"/>
        <v>0</v>
      </c>
      <c r="BR165" s="93"/>
      <c r="BS165" s="93"/>
      <c r="BT165" s="103"/>
      <c r="BU165" s="93"/>
      <c r="BV165" s="103"/>
      <c r="BW165" s="94"/>
      <c r="BX165" s="94"/>
      <c r="BY165" s="93">
        <f t="shared" si="169"/>
        <v>0</v>
      </c>
      <c r="BZ165" s="93"/>
      <c r="CA165" s="104"/>
      <c r="CB165" s="105"/>
      <c r="CC165" s="106"/>
      <c r="CD165" s="107"/>
      <c r="CE165" s="94"/>
      <c r="CF165" s="94"/>
      <c r="CG165" s="93">
        <f t="shared" si="170"/>
        <v>0</v>
      </c>
      <c r="CH165" s="93"/>
      <c r="CI165" s="106"/>
      <c r="CJ165" s="105"/>
      <c r="CK165" s="93"/>
      <c r="CL165" s="105"/>
      <c r="CM165" s="108"/>
      <c r="CN165" s="108"/>
      <c r="CO165" s="93">
        <f t="shared" si="171"/>
        <v>0</v>
      </c>
      <c r="CP165" s="93"/>
      <c r="CQ165" s="93"/>
      <c r="CR165" s="93"/>
      <c r="CS165" s="93"/>
      <c r="CT165" s="93"/>
      <c r="CU165" s="93"/>
      <c r="CV165" s="93"/>
      <c r="CW165" s="93">
        <f t="shared" si="172"/>
        <v>0</v>
      </c>
      <c r="CX165" s="93"/>
      <c r="CY165" s="93" t="str">
        <f t="shared" si="183"/>
        <v>abril</v>
      </c>
      <c r="CZ165" s="93" t="str">
        <f t="shared" si="173"/>
        <v>abril</v>
      </c>
      <c r="DA165" s="93" t="str">
        <f t="shared" si="174"/>
        <v>enero</v>
      </c>
      <c r="DB165" s="93" t="str">
        <f t="shared" si="175"/>
        <v>enero</v>
      </c>
      <c r="DC165" s="93" t="str">
        <f t="shared" si="176"/>
        <v>enero</v>
      </c>
      <c r="DD165" s="93" t="str">
        <f t="shared" si="177"/>
        <v>enero</v>
      </c>
      <c r="DE165" s="93" t="str">
        <f t="shared" si="178"/>
        <v>enero</v>
      </c>
      <c r="DF165" s="93" t="str">
        <f t="shared" si="179"/>
        <v>enero</v>
      </c>
      <c r="DG165" s="93" t="str">
        <f t="shared" si="180"/>
        <v>enero</v>
      </c>
      <c r="DH165" s="93" t="str">
        <f t="shared" si="181"/>
        <v>enero</v>
      </c>
    </row>
    <row r="166" spans="1:112" s="21" customFormat="1" ht="19.5" hidden="1" customHeight="1">
      <c r="A166" s="356">
        <v>67</v>
      </c>
      <c r="B166" s="357" t="e">
        <f>VLOOKUP($A166,  'Matriz POA 2024-TRABAJO'!$A$5:$CY$9142,29,FALSE)</f>
        <v>#N/A</v>
      </c>
      <c r="C166" s="357" t="e">
        <f>VLOOKUP($A166, 'Matriz POA 2024-TRABAJO'!$A$5:$CY$9142,11,FALSE)</f>
        <v>#N/A</v>
      </c>
      <c r="D166" s="357" t="e">
        <f>VLOOKUP($A166, 'Matriz POA 2024-TRABAJO'!$A$5:$CY$9142,14,FALSE)</f>
        <v>#N/A</v>
      </c>
      <c r="E166" s="357" t="e">
        <f>VLOOKUP($A166, 'Matriz POA 2024-TRABAJO'!$A$5:$CY$9142,15,FALSE)</f>
        <v>#N/A</v>
      </c>
      <c r="F166" s="357" t="e">
        <f>VLOOKUP($A166, 'Matriz POA 2024-TRABAJO'!$A$5:$CY$9142,18,FALSE)</f>
        <v>#N/A</v>
      </c>
      <c r="G166" s="357" t="e">
        <f>VLOOKUP($A166, 'Matriz POA 2024-TRABAJO'!$A$5:$CY$9142,23,FALSE)</f>
        <v>#N/A</v>
      </c>
      <c r="H166" s="357" t="e">
        <f>VLOOKUP($A166, 'Matriz POA 2024-TRABAJO'!$A$5:$CY$9142,24,FALSE)</f>
        <v>#N/A</v>
      </c>
      <c r="I166" s="357" t="e">
        <f>VLOOKUP($A166, 'Matriz POA 2024-TRABAJO'!$A$5:$CY$9142,20,FALSE)</f>
        <v>#N/A</v>
      </c>
      <c r="J166" s="357" t="e">
        <f>VLOOKUP($A166, 'Matriz POA 2024-TRABAJO'!$A$5:$CY$9142,26,FALSE)</f>
        <v>#N/A</v>
      </c>
      <c r="K166" s="357" t="e">
        <f>VLOOKUP($A166, 'Matriz POA 2024-TRABAJO'!$A$5:$CY$9142,27,FALSE)</f>
        <v>#N/A</v>
      </c>
      <c r="L166" s="357" t="e">
        <f>VLOOKUP($A166, 'Matriz POA 2024-TRABAJO'!$A$5:$CY$9142,28,FALSE)</f>
        <v>#N/A</v>
      </c>
      <c r="M166" s="357" t="e">
        <f>VLOOKUP($A166, 'Matriz POA 2024-TRABAJO'!$A$5:$CY$9142,30,FALSE)</f>
        <v>#N/A</v>
      </c>
      <c r="N166" s="357" t="e">
        <f>VLOOKUP($A166, 'Matriz POA 2024-TRABAJO'!$A$5:$CY$9142,31,FALSE)</f>
        <v>#N/A</v>
      </c>
      <c r="O166" s="357" t="e">
        <f>VLOOKUP($A166, 'Matriz POA 2024-TRABAJO'!$A$5:$CY$9142,45,FALSE)</f>
        <v>#N/A</v>
      </c>
      <c r="P166" s="357" t="e">
        <f>VLOOKUP($A166, 'Matriz POA 2024-TRABAJO'!$A$5:$CY$9142,46,FALSE)</f>
        <v>#N/A</v>
      </c>
      <c r="Q166" s="93" t="e">
        <f>VLOOKUP($A166, 'Matriz POA 2024-TRABAJO'!$A$5:$CY$9142,47,FALSE)</f>
        <v>#N/A</v>
      </c>
      <c r="R166" s="94">
        <f t="shared" si="123"/>
        <v>6060</v>
      </c>
      <c r="S166" s="95" t="e">
        <f t="shared" si="124"/>
        <v>#N/A</v>
      </c>
      <c r="T166" s="93" t="e">
        <f>VLOOKUP($A166, 'Matriz POA 2024-TRABAJO'!$A$5:$CY$9142,72,FALSE)</f>
        <v>#N/A</v>
      </c>
      <c r="U166" s="93" t="e">
        <f>VLOOKUP($A166, 'Matriz POA 2024-TRABAJO'!$A$5:$CY$9142,29,FALSE)</f>
        <v>#N/A</v>
      </c>
      <c r="V166" s="358" t="str">
        <f t="shared" si="146"/>
        <v>40mg-</v>
      </c>
      <c r="W166" s="359" t="s">
        <v>1245</v>
      </c>
      <c r="X166" s="359">
        <v>45369</v>
      </c>
      <c r="Y166" s="360" t="s">
        <v>993</v>
      </c>
      <c r="Z166" s="359">
        <v>45369</v>
      </c>
      <c r="AA166" s="361">
        <v>6060</v>
      </c>
      <c r="AB166" s="361"/>
      <c r="AC166" s="362">
        <f t="shared" si="184"/>
        <v>0</v>
      </c>
      <c r="AD166" s="363" t="s">
        <v>1246</v>
      </c>
      <c r="AE166" s="361"/>
      <c r="AF166" s="364"/>
      <c r="AG166" s="360"/>
      <c r="AH166" s="364"/>
      <c r="AI166" s="361"/>
      <c r="AJ166" s="361">
        <f t="shared" si="182"/>
        <v>0</v>
      </c>
      <c r="AK166" s="362">
        <f t="shared" si="185"/>
        <v>0</v>
      </c>
      <c r="AL166" s="99"/>
      <c r="AM166" s="93"/>
      <c r="AN166" s="96"/>
      <c r="AO166" s="360"/>
      <c r="AP166" s="364"/>
      <c r="AQ166" s="361"/>
      <c r="AR166" s="361"/>
      <c r="AS166" s="362">
        <f t="shared" si="186"/>
        <v>0</v>
      </c>
      <c r="AT166" s="362"/>
      <c r="AU166" s="359"/>
      <c r="AV166" s="359"/>
      <c r="AW166" s="357"/>
      <c r="AX166" s="359"/>
      <c r="AY166" s="361"/>
      <c r="AZ166" s="361"/>
      <c r="BA166" s="362">
        <f t="shared" si="166"/>
        <v>0</v>
      </c>
      <c r="BB166" s="362"/>
      <c r="BC166" s="359"/>
      <c r="BD166" s="359"/>
      <c r="BE166" s="357"/>
      <c r="BF166" s="359"/>
      <c r="BG166" s="365"/>
      <c r="BH166" s="365"/>
      <c r="BI166" s="357">
        <f t="shared" si="167"/>
        <v>0</v>
      </c>
      <c r="BJ166" s="357"/>
      <c r="BK166" s="357"/>
      <c r="BL166" s="366"/>
      <c r="BM166" s="357"/>
      <c r="BN166" s="366"/>
      <c r="BO166" s="358"/>
      <c r="BP166" s="358"/>
      <c r="BQ166" s="357">
        <f t="shared" si="168"/>
        <v>0</v>
      </c>
      <c r="BR166" s="357"/>
      <c r="BS166" s="357"/>
      <c r="BT166" s="366"/>
      <c r="BU166" s="357"/>
      <c r="BV166" s="366"/>
      <c r="BW166" s="358"/>
      <c r="BX166" s="358"/>
      <c r="BY166" s="357">
        <f t="shared" si="169"/>
        <v>0</v>
      </c>
      <c r="BZ166" s="357"/>
      <c r="CA166" s="367"/>
      <c r="CB166" s="368"/>
      <c r="CC166" s="369"/>
      <c r="CD166" s="370"/>
      <c r="CE166" s="358"/>
      <c r="CF166" s="358"/>
      <c r="CG166" s="357">
        <f t="shared" si="170"/>
        <v>0</v>
      </c>
      <c r="CH166" s="357"/>
      <c r="CI166" s="369"/>
      <c r="CJ166" s="368"/>
      <c r="CK166" s="357"/>
      <c r="CL166" s="368"/>
      <c r="CM166" s="371"/>
      <c r="CN166" s="371"/>
      <c r="CO166" s="357">
        <f t="shared" si="171"/>
        <v>0</v>
      </c>
      <c r="CP166" s="357"/>
      <c r="CQ166" s="357"/>
      <c r="CR166" s="357"/>
      <c r="CS166" s="357"/>
      <c r="CT166" s="357"/>
      <c r="CU166" s="357"/>
      <c r="CV166" s="357"/>
      <c r="CW166" s="357">
        <f t="shared" si="172"/>
        <v>0</v>
      </c>
      <c r="CX166" s="357"/>
      <c r="CY166" s="93" t="str">
        <f t="shared" si="183"/>
        <v>marzo</v>
      </c>
      <c r="CZ166" s="93" t="str">
        <f t="shared" si="173"/>
        <v>enero</v>
      </c>
      <c r="DA166" s="93" t="str">
        <f t="shared" si="174"/>
        <v>enero</v>
      </c>
      <c r="DB166" s="93" t="str">
        <f t="shared" si="175"/>
        <v>enero</v>
      </c>
      <c r="DC166" s="93" t="str">
        <f t="shared" si="176"/>
        <v>enero</v>
      </c>
      <c r="DD166" s="93" t="str">
        <f t="shared" si="177"/>
        <v>enero</v>
      </c>
      <c r="DE166" s="93" t="str">
        <f t="shared" si="178"/>
        <v>enero</v>
      </c>
      <c r="DF166" s="93" t="str">
        <f t="shared" si="179"/>
        <v>enero</v>
      </c>
      <c r="DG166" s="93" t="str">
        <f t="shared" si="180"/>
        <v>enero</v>
      </c>
      <c r="DH166" s="93" t="str">
        <f t="shared" si="181"/>
        <v>enero</v>
      </c>
    </row>
    <row r="167" spans="1:112" ht="15" hidden="1" customHeight="1">
      <c r="A167" s="93">
        <v>782</v>
      </c>
      <c r="B167" s="93" t="e">
        <f>VLOOKUP($A167,  'Matriz POA 2024-TRABAJO'!$A$5:$CY$9142,29,FALSE)</f>
        <v>#N/A</v>
      </c>
      <c r="C167" s="93" t="e">
        <f>VLOOKUP($A167, 'Matriz POA 2024-TRABAJO'!$A$5:$CY$9142,11,FALSE)</f>
        <v>#N/A</v>
      </c>
      <c r="D167" s="93" t="e">
        <f>VLOOKUP($A167, 'Matriz POA 2024-TRABAJO'!$A$5:$CY$9142,14,FALSE)</f>
        <v>#N/A</v>
      </c>
      <c r="E167" s="93" t="e">
        <f>VLOOKUP($A167, 'Matriz POA 2024-TRABAJO'!$A$5:$CY$9142,15,FALSE)</f>
        <v>#N/A</v>
      </c>
      <c r="F167" s="93" t="e">
        <f>VLOOKUP($A167, 'Matriz POA 2024-TRABAJO'!$A$5:$CY$9142,18,FALSE)</f>
        <v>#N/A</v>
      </c>
      <c r="G167" s="93" t="e">
        <f>VLOOKUP($A167, 'Matriz POA 2024-TRABAJO'!$A$5:$CY$9142,23,FALSE)</f>
        <v>#N/A</v>
      </c>
      <c r="H167" s="93" t="e">
        <f>VLOOKUP($A167, 'Matriz POA 2024-TRABAJO'!$A$5:$CY$9142,24,FALSE)</f>
        <v>#N/A</v>
      </c>
      <c r="I167" s="93" t="e">
        <f>VLOOKUP($A167, 'Matriz POA 2024-TRABAJO'!$A$5:$CY$9142,20,FALSE)</f>
        <v>#N/A</v>
      </c>
      <c r="J167" s="93" t="e">
        <f>VLOOKUP($A167, 'Matriz POA 2024-TRABAJO'!$A$5:$CY$9142,26,FALSE)</f>
        <v>#N/A</v>
      </c>
      <c r="K167" s="93" t="e">
        <f>VLOOKUP($A167, 'Matriz POA 2024-TRABAJO'!$A$5:$CY$9142,27,FALSE)</f>
        <v>#N/A</v>
      </c>
      <c r="L167" s="93" t="e">
        <f>VLOOKUP($A167, 'Matriz POA 2024-TRABAJO'!$A$5:$CY$9142,28,FALSE)</f>
        <v>#N/A</v>
      </c>
      <c r="M167" s="93" t="e">
        <f>VLOOKUP($A167, 'Matriz POA 2024-TRABAJO'!$A$5:$CY$9142,30,FALSE)</f>
        <v>#N/A</v>
      </c>
      <c r="N167" s="93" t="e">
        <f>VLOOKUP($A167, 'Matriz POA 2024-TRABAJO'!$A$5:$CY$9142,31,FALSE)</f>
        <v>#N/A</v>
      </c>
      <c r="O167" s="93" t="e">
        <f>VLOOKUP($A167, 'Matriz POA 2024-TRABAJO'!$A$5:$CY$9142,45,FALSE)</f>
        <v>#N/A</v>
      </c>
      <c r="P167" s="93" t="e">
        <f>VLOOKUP($A167, 'Matriz POA 2024-TRABAJO'!$A$5:$CY$9142,46,FALSE)</f>
        <v>#N/A</v>
      </c>
      <c r="Q167" s="93" t="e">
        <f>VLOOKUP($A167, 'Matriz POA 2024-TRABAJO'!$A$5:$CY$9142,47,FALSE)</f>
        <v>#N/A</v>
      </c>
      <c r="R167" s="94">
        <f t="shared" si="123"/>
        <v>55826.96</v>
      </c>
      <c r="S167" s="95" t="e">
        <f t="shared" si="124"/>
        <v>#N/A</v>
      </c>
      <c r="T167" s="93" t="e">
        <f>VLOOKUP($A167, 'Matriz POA 2024-TRABAJO'!$A$5:$CY$9142,72,FALSE)</f>
        <v>#N/A</v>
      </c>
      <c r="U167" s="93" t="e">
        <f>VLOOKUP($A167, 'Matriz POA 2024-TRABAJO'!$A$5:$CY$9142,29,FALSE)</f>
        <v>#N/A</v>
      </c>
      <c r="V167" s="93" t="str">
        <f t="shared" si="146"/>
        <v>49ar-</v>
      </c>
      <c r="W167" s="93" t="s">
        <v>1247</v>
      </c>
      <c r="X167" s="105">
        <v>45390</v>
      </c>
      <c r="Y167" s="93" t="s">
        <v>1120</v>
      </c>
      <c r="Z167" s="105">
        <v>45391</v>
      </c>
      <c r="AA167" s="93">
        <v>55826.96</v>
      </c>
      <c r="AB167" s="93"/>
      <c r="AC167" s="93">
        <f t="shared" si="184"/>
        <v>1</v>
      </c>
      <c r="AD167" s="93" t="s">
        <v>1248</v>
      </c>
      <c r="AE167" s="93"/>
      <c r="AF167" s="93"/>
      <c r="AG167" s="93"/>
      <c r="AH167" s="93"/>
      <c r="AI167" s="93"/>
      <c r="AJ167" s="93"/>
      <c r="AK167" s="93">
        <f t="shared" si="185"/>
        <v>0</v>
      </c>
      <c r="AL167" s="382"/>
      <c r="AM167" s="382"/>
      <c r="AN167" s="382"/>
      <c r="AO167" s="93"/>
      <c r="AP167" s="93"/>
      <c r="AQ167" s="93"/>
      <c r="AR167" s="93"/>
      <c r="AS167" s="93">
        <f t="shared" si="186"/>
        <v>0</v>
      </c>
      <c r="AT167" s="93"/>
      <c r="AU167" s="93"/>
      <c r="AV167" s="93"/>
      <c r="AW167" s="93"/>
      <c r="AX167" s="93"/>
      <c r="AY167" s="93"/>
      <c r="AZ167" s="93"/>
      <c r="BA167" s="93"/>
      <c r="BB167" s="93"/>
      <c r="BC167" s="93"/>
      <c r="BD167" s="93"/>
      <c r="BE167" s="93"/>
      <c r="BF167" s="93"/>
      <c r="BG167" s="93"/>
      <c r="BH167" s="93"/>
      <c r="BI167" s="93"/>
      <c r="BJ167" s="93"/>
      <c r="BK167" s="93"/>
      <c r="BL167" s="93"/>
      <c r="BM167" s="93"/>
      <c r="BN167" s="93"/>
      <c r="BO167" s="93"/>
      <c r="BP167" s="93"/>
      <c r="BQ167" s="93"/>
      <c r="BR167" s="93"/>
      <c r="BS167" s="93"/>
      <c r="BT167" s="93"/>
      <c r="BU167" s="93"/>
      <c r="BV167" s="93"/>
      <c r="BW167" s="93"/>
      <c r="BX167" s="93"/>
      <c r="BY167" s="93"/>
      <c r="BZ167" s="93"/>
      <c r="CA167" s="93"/>
      <c r="CB167" s="93"/>
      <c r="CC167" s="93"/>
      <c r="CD167" s="93"/>
      <c r="CE167" s="93"/>
      <c r="CF167" s="93"/>
      <c r="CG167" s="93"/>
      <c r="CH167" s="93"/>
      <c r="CI167" s="93"/>
      <c r="CJ167" s="93"/>
      <c r="CK167" s="93"/>
      <c r="CL167" s="93"/>
      <c r="CM167" s="93"/>
      <c r="CN167" s="93"/>
      <c r="CO167" s="93"/>
      <c r="CP167" s="93"/>
      <c r="CQ167" s="93"/>
      <c r="CR167" s="93"/>
      <c r="CS167" s="93"/>
      <c r="CT167" s="93"/>
      <c r="CU167" s="93"/>
      <c r="CV167" s="93"/>
      <c r="CW167" s="93"/>
      <c r="CX167" s="93"/>
      <c r="CY167" s="21" t="str">
        <f t="shared" si="183"/>
        <v>abril</v>
      </c>
    </row>
    <row r="168" spans="1:112" ht="15" hidden="1" customHeight="1">
      <c r="A168" s="93">
        <v>824</v>
      </c>
      <c r="B168" s="93" t="e">
        <f>VLOOKUP($A168,  'Matriz POA 2024-TRABAJO'!$A$5:$CY$9142,29,FALSE)</f>
        <v>#N/A</v>
      </c>
      <c r="C168" s="93" t="e">
        <f>VLOOKUP($A168, 'Matriz POA 2024-TRABAJO'!$A$5:$CY$9142,11,FALSE)</f>
        <v>#N/A</v>
      </c>
      <c r="D168" s="93" t="e">
        <f>VLOOKUP($A168, 'Matriz POA 2024-TRABAJO'!$A$5:$CY$9142,14,FALSE)</f>
        <v>#N/A</v>
      </c>
      <c r="E168" s="93" t="e">
        <f>VLOOKUP($A168, 'Matriz POA 2024-TRABAJO'!$A$5:$CY$9142,15,FALSE)</f>
        <v>#N/A</v>
      </c>
      <c r="F168" s="93" t="e">
        <f>VLOOKUP($A168, 'Matriz POA 2024-TRABAJO'!$A$5:$CY$9142,18,FALSE)</f>
        <v>#N/A</v>
      </c>
      <c r="G168" s="93" t="e">
        <f>VLOOKUP($A168, 'Matriz POA 2024-TRABAJO'!$A$5:$CY$9142,23,FALSE)</f>
        <v>#N/A</v>
      </c>
      <c r="H168" s="93" t="e">
        <f>VLOOKUP($A168, 'Matriz POA 2024-TRABAJO'!$A$5:$CY$9142,24,FALSE)</f>
        <v>#N/A</v>
      </c>
      <c r="I168" s="93" t="e">
        <f>VLOOKUP($A168, 'Matriz POA 2024-TRABAJO'!$A$5:$CY$9142,20,FALSE)</f>
        <v>#N/A</v>
      </c>
      <c r="J168" s="93" t="e">
        <f>VLOOKUP($A168, 'Matriz POA 2024-TRABAJO'!$A$5:$CY$9142,26,FALSE)</f>
        <v>#N/A</v>
      </c>
      <c r="K168" s="93" t="e">
        <f>VLOOKUP($A168, 'Matriz POA 2024-TRABAJO'!$A$5:$CY$9142,27,FALSE)</f>
        <v>#N/A</v>
      </c>
      <c r="L168" s="93" t="e">
        <f>VLOOKUP($A168, 'Matriz POA 2024-TRABAJO'!$A$5:$CY$9142,28,FALSE)</f>
        <v>#N/A</v>
      </c>
      <c r="M168" s="93" t="e">
        <f>VLOOKUP($A168, 'Matriz POA 2024-TRABAJO'!$A$5:$CY$9142,30,FALSE)</f>
        <v>#N/A</v>
      </c>
      <c r="N168" s="93" t="e">
        <f>VLOOKUP($A168, 'Matriz POA 2024-TRABAJO'!$A$5:$CY$9142,31,FALSE)</f>
        <v>#N/A</v>
      </c>
      <c r="O168" s="93" t="e">
        <f>VLOOKUP($A168, 'Matriz POA 2024-TRABAJO'!$A$5:$CY$9142,45,FALSE)</f>
        <v>#N/A</v>
      </c>
      <c r="P168" s="93" t="e">
        <f>VLOOKUP($A168, 'Matriz POA 2024-TRABAJO'!$A$5:$CY$9142,46,FALSE)</f>
        <v>#N/A</v>
      </c>
      <c r="Q168" s="93" t="e">
        <f>VLOOKUP($A168, 'Matriz POA 2024-TRABAJO'!$A$5:$CY$9142,47,FALSE)</f>
        <v>#N/A</v>
      </c>
      <c r="R168" s="94">
        <f t="shared" si="123"/>
        <v>19610.73</v>
      </c>
      <c r="S168" s="95" t="e">
        <f t="shared" si="124"/>
        <v>#N/A</v>
      </c>
      <c r="T168" s="93" t="e">
        <f>VLOOKUP($A168, 'Matriz POA 2024-TRABAJO'!$A$5:$CY$9142,72,FALSE)</f>
        <v>#N/A</v>
      </c>
      <c r="U168" s="93" t="e">
        <f>VLOOKUP($A168, 'Matriz POA 2024-TRABAJO'!$A$5:$CY$9142,29,FALSE)</f>
        <v>#N/A</v>
      </c>
      <c r="V168" s="93" t="str">
        <f t="shared" si="146"/>
        <v>49ar-</v>
      </c>
      <c r="W168" s="93" t="s">
        <v>1247</v>
      </c>
      <c r="X168" s="105">
        <v>45390</v>
      </c>
      <c r="Y168" s="93" t="s">
        <v>1120</v>
      </c>
      <c r="Z168" s="105">
        <v>45391</v>
      </c>
      <c r="AA168" s="93">
        <v>19610.73</v>
      </c>
      <c r="AB168" s="93"/>
      <c r="AC168" s="93">
        <f>Z168-X168</f>
        <v>1</v>
      </c>
      <c r="AD168" s="93" t="s">
        <v>1248</v>
      </c>
      <c r="AE168" s="93"/>
      <c r="AF168" s="93"/>
      <c r="AG168" s="93"/>
      <c r="AH168" s="93"/>
      <c r="AI168" s="93"/>
      <c r="AJ168" s="93"/>
      <c r="AK168" s="93">
        <f>AH168-AF168</f>
        <v>0</v>
      </c>
      <c r="AL168" s="93"/>
      <c r="AM168" s="93"/>
      <c r="AN168" s="93"/>
      <c r="AO168" s="93"/>
      <c r="AP168" s="93"/>
      <c r="AQ168" s="93"/>
      <c r="AR168" s="93"/>
      <c r="AS168" s="93">
        <f>AP168-AN168</f>
        <v>0</v>
      </c>
      <c r="AT168" s="93"/>
      <c r="AU168" s="93"/>
      <c r="AV168" s="93"/>
      <c r="AW168" s="93"/>
      <c r="AX168" s="93"/>
      <c r="AY168" s="93"/>
      <c r="AZ168" s="93"/>
      <c r="BA168" s="93"/>
      <c r="BB168" s="93"/>
      <c r="BC168" s="93"/>
      <c r="BD168" s="93"/>
      <c r="BE168" s="93"/>
      <c r="BF168" s="93"/>
      <c r="BG168" s="93"/>
      <c r="BH168" s="93"/>
      <c r="BI168" s="93"/>
      <c r="BJ168" s="93"/>
      <c r="BK168" s="93"/>
      <c r="BL168" s="93"/>
      <c r="BM168" s="93"/>
      <c r="BN168" s="93"/>
      <c r="BO168" s="93"/>
      <c r="BP168" s="93"/>
      <c r="BQ168" s="93"/>
      <c r="BR168" s="93"/>
      <c r="BS168" s="93"/>
      <c r="BT168" s="93"/>
      <c r="BU168" s="93"/>
      <c r="BV168" s="93"/>
      <c r="BW168" s="93"/>
      <c r="BX168" s="93"/>
      <c r="BY168" s="93"/>
      <c r="BZ168" s="93"/>
      <c r="CA168" s="93"/>
      <c r="CB168" s="93"/>
      <c r="CC168" s="93"/>
      <c r="CD168" s="93"/>
      <c r="CE168" s="93"/>
      <c r="CF168" s="93"/>
      <c r="CG168" s="93"/>
      <c r="CH168" s="93"/>
      <c r="CI168" s="93"/>
      <c r="CJ168" s="93"/>
      <c r="CK168" s="93"/>
      <c r="CL168" s="93"/>
      <c r="CM168" s="93"/>
      <c r="CN168" s="93"/>
      <c r="CO168" s="93"/>
      <c r="CP168" s="93"/>
      <c r="CQ168" s="93"/>
      <c r="CR168" s="93"/>
      <c r="CS168" s="93"/>
      <c r="CT168" s="93"/>
      <c r="CU168" s="93"/>
      <c r="CV168" s="93"/>
      <c r="CW168" s="93"/>
      <c r="CX168" s="93"/>
    </row>
    <row r="169" spans="1:112" ht="15" hidden="1" customHeight="1">
      <c r="A169" s="93">
        <v>827</v>
      </c>
      <c r="B169" s="93" t="e">
        <f>VLOOKUP($A169,  'Matriz POA 2024-TRABAJO'!$A$5:$CY$9142,29,FALSE)</f>
        <v>#N/A</v>
      </c>
      <c r="C169" s="93" t="e">
        <f>VLOOKUP($A169, 'Matriz POA 2024-TRABAJO'!$A$5:$CY$9142,11,FALSE)</f>
        <v>#N/A</v>
      </c>
      <c r="D169" s="93" t="e">
        <f>VLOOKUP($A169, 'Matriz POA 2024-TRABAJO'!$A$5:$CY$9142,14,FALSE)</f>
        <v>#N/A</v>
      </c>
      <c r="E169" s="93" t="e">
        <f>VLOOKUP($A169, 'Matriz POA 2024-TRABAJO'!$A$5:$CY$9142,15,FALSE)</f>
        <v>#N/A</v>
      </c>
      <c r="F169" s="93" t="e">
        <f>VLOOKUP($A169, 'Matriz POA 2024-TRABAJO'!$A$5:$CY$9142,18,FALSE)</f>
        <v>#N/A</v>
      </c>
      <c r="G169" s="93" t="e">
        <f>VLOOKUP($A169, 'Matriz POA 2024-TRABAJO'!$A$5:$CY$9142,23,FALSE)</f>
        <v>#N/A</v>
      </c>
      <c r="H169" s="93" t="e">
        <f>VLOOKUP($A169, 'Matriz POA 2024-TRABAJO'!$A$5:$CY$9142,24,FALSE)</f>
        <v>#N/A</v>
      </c>
      <c r="I169" s="93" t="e">
        <f>VLOOKUP($A169, 'Matriz POA 2024-TRABAJO'!$A$5:$CY$9142,20,FALSE)</f>
        <v>#N/A</v>
      </c>
      <c r="J169" s="93" t="e">
        <f>VLOOKUP($A169, 'Matriz POA 2024-TRABAJO'!$A$5:$CY$9142,26,FALSE)</f>
        <v>#N/A</v>
      </c>
      <c r="K169" s="93" t="e">
        <f>VLOOKUP($A169, 'Matriz POA 2024-TRABAJO'!$A$5:$CY$9142,27,FALSE)</f>
        <v>#N/A</v>
      </c>
      <c r="L169" s="93" t="e">
        <f>VLOOKUP($A169, 'Matriz POA 2024-TRABAJO'!$A$5:$CY$9142,28,FALSE)</f>
        <v>#N/A</v>
      </c>
      <c r="M169" s="93" t="e">
        <f>VLOOKUP($A169, 'Matriz POA 2024-TRABAJO'!$A$5:$CY$9142,30,FALSE)</f>
        <v>#N/A</v>
      </c>
      <c r="N169" s="93" t="e">
        <f>VLOOKUP($A169, 'Matriz POA 2024-TRABAJO'!$A$5:$CY$9142,31,FALSE)</f>
        <v>#N/A</v>
      </c>
      <c r="O169" s="93" t="e">
        <f>VLOOKUP($A169, 'Matriz POA 2024-TRABAJO'!$A$5:$CY$9142,45,FALSE)</f>
        <v>#N/A</v>
      </c>
      <c r="P169" s="93" t="e">
        <f>VLOOKUP($A169, 'Matriz POA 2024-TRABAJO'!$A$5:$CY$9142,46,FALSE)</f>
        <v>#N/A</v>
      </c>
      <c r="Q169" s="93" t="e">
        <f>VLOOKUP($A169, 'Matriz POA 2024-TRABAJO'!$A$5:$CY$9142,47,FALSE)</f>
        <v>#N/A</v>
      </c>
      <c r="R169" s="94">
        <f t="shared" si="123"/>
        <v>0</v>
      </c>
      <c r="S169" s="95" t="e">
        <f t="shared" si="124"/>
        <v>#N/A</v>
      </c>
      <c r="T169" s="93" t="e">
        <f>VLOOKUP($A169, 'Matriz POA 2024-TRABAJO'!$A$5:$CY$9142,72,FALSE)</f>
        <v>#N/A</v>
      </c>
      <c r="U169" s="93" t="e">
        <f>VLOOKUP($A169, 'Matriz POA 2024-TRABAJO'!$A$5:$CY$9142,29,FALSE)</f>
        <v>#N/A</v>
      </c>
      <c r="V169" s="93" t="str">
        <f t="shared" si="146"/>
        <v>49ar-ltar-</v>
      </c>
      <c r="W169" s="93" t="s">
        <v>1247</v>
      </c>
      <c r="X169" s="105">
        <v>45390</v>
      </c>
      <c r="Y169" s="93" t="s">
        <v>1120</v>
      </c>
      <c r="Z169" s="105">
        <v>45391</v>
      </c>
      <c r="AA169" s="93">
        <v>37152</v>
      </c>
      <c r="AB169" s="93"/>
      <c r="AC169" s="93">
        <f>Z169-X169</f>
        <v>1</v>
      </c>
      <c r="AD169" s="93" t="s">
        <v>1248</v>
      </c>
      <c r="AE169" s="93" t="s">
        <v>1002</v>
      </c>
      <c r="AF169" s="105">
        <v>45392</v>
      </c>
      <c r="AG169" s="93" t="s">
        <v>1003</v>
      </c>
      <c r="AH169" s="105">
        <v>45393</v>
      </c>
      <c r="AI169" s="93">
        <v>-37152</v>
      </c>
      <c r="AJ169" s="93"/>
      <c r="AK169" s="93">
        <f>AH169-AF169</f>
        <v>1</v>
      </c>
      <c r="AL169" s="93" t="s">
        <v>1113</v>
      </c>
      <c r="AM169" s="93"/>
      <c r="AN169" s="93"/>
      <c r="AO169" s="93"/>
      <c r="AP169" s="93"/>
      <c r="AQ169" s="93"/>
      <c r="AR169" s="93"/>
      <c r="AS169" s="93">
        <f>AP169-AN169</f>
        <v>0</v>
      </c>
      <c r="AT169" s="93"/>
      <c r="AU169" s="93"/>
      <c r="AV169" s="93"/>
      <c r="AW169" s="93"/>
      <c r="AX169" s="93"/>
      <c r="AY169" s="93"/>
      <c r="AZ169" s="93"/>
      <c r="BA169" s="93"/>
      <c r="BB169" s="93"/>
      <c r="BC169" s="93"/>
      <c r="BD169" s="93"/>
      <c r="BE169" s="93"/>
      <c r="BF169" s="93"/>
      <c r="BG169" s="93"/>
      <c r="BH169" s="93"/>
      <c r="BI169" s="93"/>
      <c r="BJ169" s="93"/>
      <c r="BK169" s="93"/>
      <c r="BL169" s="93"/>
      <c r="BM169" s="93"/>
      <c r="BN169" s="93"/>
      <c r="BO169" s="93"/>
      <c r="BP169" s="93"/>
      <c r="BQ169" s="93"/>
      <c r="BR169" s="93"/>
      <c r="BS169" s="93"/>
      <c r="BT169" s="93"/>
      <c r="BU169" s="93"/>
      <c r="BV169" s="93"/>
      <c r="BW169" s="93"/>
      <c r="BX169" s="93"/>
      <c r="BY169" s="93"/>
      <c r="BZ169" s="93"/>
      <c r="CA169" s="93"/>
      <c r="CB169" s="93"/>
      <c r="CC169" s="93"/>
      <c r="CD169" s="93"/>
      <c r="CE169" s="93"/>
      <c r="CF169" s="93"/>
      <c r="CG169" s="93"/>
      <c r="CH169" s="93"/>
      <c r="CI169" s="93"/>
      <c r="CJ169" s="93"/>
      <c r="CK169" s="93"/>
      <c r="CL169" s="93"/>
      <c r="CM169" s="93"/>
      <c r="CN169" s="93"/>
      <c r="CO169" s="93"/>
      <c r="CP169" s="93"/>
      <c r="CQ169" s="93"/>
      <c r="CR169" s="93"/>
      <c r="CS169" s="93"/>
      <c r="CT169" s="93"/>
      <c r="CU169" s="93"/>
      <c r="CV169" s="93"/>
      <c r="CW169" s="93"/>
      <c r="CX169" s="93"/>
    </row>
    <row r="170" spans="1:112" ht="15" hidden="1" customHeight="1">
      <c r="A170" s="93">
        <v>542</v>
      </c>
      <c r="B170" s="93" t="e">
        <f>VLOOKUP($A170,  'Matriz POA 2024-TRABAJO'!$A$5:$CY$9142,29,FALSE)</f>
        <v>#N/A</v>
      </c>
      <c r="C170" s="93" t="e">
        <f>VLOOKUP($A170, 'Matriz POA 2024-TRABAJO'!$A$5:$CY$9142,11,FALSE)</f>
        <v>#N/A</v>
      </c>
      <c r="D170" s="93" t="e">
        <f>VLOOKUP($A170, 'Matriz POA 2024-TRABAJO'!$A$5:$CY$9142,14,FALSE)</f>
        <v>#N/A</v>
      </c>
      <c r="E170" s="93" t="e">
        <f>VLOOKUP($A170, 'Matriz POA 2024-TRABAJO'!$A$5:$CY$9142,15,FALSE)</f>
        <v>#N/A</v>
      </c>
      <c r="F170" s="93" t="e">
        <f>VLOOKUP($A170, 'Matriz POA 2024-TRABAJO'!$A$5:$CY$9142,18,FALSE)</f>
        <v>#N/A</v>
      </c>
      <c r="G170" s="93" t="e">
        <f>VLOOKUP($A170, 'Matriz POA 2024-TRABAJO'!$A$5:$CY$9142,23,FALSE)</f>
        <v>#N/A</v>
      </c>
      <c r="H170" s="93" t="e">
        <f>VLOOKUP($A170, 'Matriz POA 2024-TRABAJO'!$A$5:$CY$9142,24,FALSE)</f>
        <v>#N/A</v>
      </c>
      <c r="I170" s="93" t="e">
        <f>VLOOKUP($A170, 'Matriz POA 2024-TRABAJO'!$A$5:$CY$9142,20,FALSE)</f>
        <v>#N/A</v>
      </c>
      <c r="J170" s="93" t="e">
        <f>VLOOKUP($A170, 'Matriz POA 2024-TRABAJO'!$A$5:$CY$9142,26,FALSE)</f>
        <v>#N/A</v>
      </c>
      <c r="K170" s="93" t="e">
        <f>VLOOKUP($A170, 'Matriz POA 2024-TRABAJO'!$A$5:$CY$9142,27,FALSE)</f>
        <v>#N/A</v>
      </c>
      <c r="L170" s="93" t="e">
        <f>VLOOKUP($A170, 'Matriz POA 2024-TRABAJO'!$A$5:$CY$9142,28,FALSE)</f>
        <v>#N/A</v>
      </c>
      <c r="M170" s="93" t="e">
        <f>VLOOKUP($A170, 'Matriz POA 2024-TRABAJO'!$A$5:$CY$9142,30,FALSE)</f>
        <v>#N/A</v>
      </c>
      <c r="N170" s="93" t="e">
        <f>VLOOKUP($A170, 'Matriz POA 2024-TRABAJO'!$A$5:$CY$9142,31,FALSE)</f>
        <v>#N/A</v>
      </c>
      <c r="O170" s="93" t="e">
        <f>VLOOKUP($A170, 'Matriz POA 2024-TRABAJO'!$A$5:$CY$9142,45,FALSE)</f>
        <v>#N/A</v>
      </c>
      <c r="P170" s="93" t="e">
        <f>VLOOKUP($A170, 'Matriz POA 2024-TRABAJO'!$A$5:$CY$9142,46,FALSE)</f>
        <v>#N/A</v>
      </c>
      <c r="Q170" s="93" t="e">
        <f>VLOOKUP($A170, 'Matriz POA 2024-TRABAJO'!$A$5:$CY$9142,47,FALSE)</f>
        <v>#N/A</v>
      </c>
      <c r="R170" s="94">
        <f t="shared" si="123"/>
        <v>100</v>
      </c>
      <c r="S170" s="95" t="e">
        <f t="shared" si="124"/>
        <v>#N/A</v>
      </c>
      <c r="T170" s="93" t="e">
        <f>VLOOKUP($A170, 'Matriz POA 2024-TRABAJO'!$A$5:$CY$9142,72,FALSE)</f>
        <v>#N/A</v>
      </c>
      <c r="U170" s="93" t="e">
        <f>VLOOKUP($A170, 'Matriz POA 2024-TRABAJO'!$A$5:$CY$9142,29,FALSE)</f>
        <v>#N/A</v>
      </c>
      <c r="V170" s="93" t="str">
        <f t="shared" si="146"/>
        <v>50ar-</v>
      </c>
      <c r="W170" s="93" t="s">
        <v>1119</v>
      </c>
      <c r="X170" s="105">
        <v>45392</v>
      </c>
      <c r="Y170" s="93" t="s">
        <v>1120</v>
      </c>
      <c r="Z170" s="105">
        <v>45392</v>
      </c>
      <c r="AA170" s="93">
        <v>100</v>
      </c>
      <c r="AB170" s="93"/>
      <c r="AC170" s="93">
        <f>Z170-X170</f>
        <v>0</v>
      </c>
      <c r="AD170" s="93" t="s">
        <v>1249</v>
      </c>
      <c r="AE170" s="93"/>
      <c r="AF170" s="105"/>
      <c r="AG170" s="93"/>
      <c r="AH170" s="93"/>
      <c r="AI170" s="93"/>
      <c r="AJ170" s="93"/>
      <c r="AK170" s="93">
        <f>AH170-AF170</f>
        <v>0</v>
      </c>
      <c r="AL170" s="93"/>
      <c r="AM170" s="93"/>
      <c r="AN170" s="93"/>
      <c r="AO170" s="93"/>
      <c r="AP170" s="93"/>
      <c r="AQ170" s="93"/>
      <c r="AR170" s="93"/>
      <c r="AS170" s="93">
        <f>AP170-AN170</f>
        <v>0</v>
      </c>
      <c r="AT170" s="93"/>
      <c r="AU170" s="93"/>
      <c r="AV170" s="93"/>
      <c r="AW170" s="93"/>
      <c r="AX170" s="93"/>
      <c r="AY170" s="93"/>
      <c r="AZ170" s="93"/>
      <c r="BA170" s="93"/>
      <c r="BB170" s="93"/>
      <c r="BC170" s="93"/>
      <c r="BD170" s="93"/>
      <c r="BE170" s="93"/>
      <c r="BF170" s="93"/>
      <c r="BG170" s="93"/>
      <c r="BH170" s="93"/>
      <c r="BI170" s="93"/>
      <c r="BJ170" s="93"/>
      <c r="BK170" s="93"/>
      <c r="BL170" s="93"/>
      <c r="BM170" s="93"/>
      <c r="BN170" s="93"/>
      <c r="BO170" s="93"/>
      <c r="BP170" s="93"/>
      <c r="BQ170" s="93"/>
      <c r="BR170" s="93"/>
      <c r="BS170" s="93"/>
      <c r="BT170" s="93"/>
      <c r="BU170" s="93"/>
      <c r="BV170" s="93"/>
      <c r="BW170" s="93"/>
      <c r="BX170" s="93"/>
      <c r="BY170" s="93"/>
      <c r="BZ170" s="93"/>
      <c r="CA170" s="93"/>
      <c r="CB170" s="93"/>
      <c r="CC170" s="93"/>
      <c r="CD170" s="93"/>
      <c r="CE170" s="93"/>
      <c r="CF170" s="93"/>
      <c r="CG170" s="93"/>
      <c r="CH170" s="93"/>
      <c r="CI170" s="93"/>
      <c r="CJ170" s="93"/>
      <c r="CK170" s="93"/>
      <c r="CL170" s="93"/>
      <c r="CM170" s="93"/>
      <c r="CN170" s="93"/>
      <c r="CO170" s="93"/>
      <c r="CP170" s="93"/>
      <c r="CQ170" s="93"/>
      <c r="CR170" s="93"/>
      <c r="CS170" s="93"/>
      <c r="CT170" s="93"/>
      <c r="CU170" s="93"/>
      <c r="CV170" s="93"/>
      <c r="CW170" s="93"/>
      <c r="CX170" s="93"/>
    </row>
    <row r="171" spans="1:112" ht="15" hidden="1" customHeight="1">
      <c r="A171" s="93">
        <v>543</v>
      </c>
      <c r="B171" s="93" t="e">
        <f>VLOOKUP($A171,  'Matriz POA 2024-TRABAJO'!$A$5:$CY$9142,29,FALSE)</f>
        <v>#N/A</v>
      </c>
      <c r="C171" s="93" t="e">
        <f>VLOOKUP($A171, 'Matriz POA 2024-TRABAJO'!$A$5:$CY$9142,11,FALSE)</f>
        <v>#N/A</v>
      </c>
      <c r="D171" s="93" t="e">
        <f>VLOOKUP($A171, 'Matriz POA 2024-TRABAJO'!$A$5:$CY$9142,14,FALSE)</f>
        <v>#N/A</v>
      </c>
      <c r="E171" s="93" t="e">
        <f>VLOOKUP($A171, 'Matriz POA 2024-TRABAJO'!$A$5:$CY$9142,15,FALSE)</f>
        <v>#N/A</v>
      </c>
      <c r="F171" s="93" t="e">
        <f>VLOOKUP($A171, 'Matriz POA 2024-TRABAJO'!$A$5:$CY$9142,18,FALSE)</f>
        <v>#N/A</v>
      </c>
      <c r="G171" s="93" t="e">
        <f>VLOOKUP($A171, 'Matriz POA 2024-TRABAJO'!$A$5:$CY$9142,23,FALSE)</f>
        <v>#N/A</v>
      </c>
      <c r="H171" s="93" t="e">
        <f>VLOOKUP($A171, 'Matriz POA 2024-TRABAJO'!$A$5:$CY$9142,24,FALSE)</f>
        <v>#N/A</v>
      </c>
      <c r="I171" s="93" t="e">
        <f>VLOOKUP($A171, 'Matriz POA 2024-TRABAJO'!$A$5:$CY$9142,20,FALSE)</f>
        <v>#N/A</v>
      </c>
      <c r="J171" s="93" t="e">
        <f>VLOOKUP($A171, 'Matriz POA 2024-TRABAJO'!$A$5:$CY$9142,26,FALSE)</f>
        <v>#N/A</v>
      </c>
      <c r="K171" s="93" t="e">
        <f>VLOOKUP($A171, 'Matriz POA 2024-TRABAJO'!$A$5:$CY$9142,27,FALSE)</f>
        <v>#N/A</v>
      </c>
      <c r="L171" s="93" t="e">
        <f>VLOOKUP($A171, 'Matriz POA 2024-TRABAJO'!$A$5:$CY$9142,28,FALSE)</f>
        <v>#N/A</v>
      </c>
      <c r="M171" s="93" t="e">
        <f>VLOOKUP($A171, 'Matriz POA 2024-TRABAJO'!$A$5:$CY$9142,30,FALSE)</f>
        <v>#N/A</v>
      </c>
      <c r="N171" s="93" t="e">
        <f>VLOOKUP($A171, 'Matriz POA 2024-TRABAJO'!$A$5:$CY$9142,31,FALSE)</f>
        <v>#N/A</v>
      </c>
      <c r="O171" s="93" t="e">
        <f>VLOOKUP($A171, 'Matriz POA 2024-TRABAJO'!$A$5:$CY$9142,45,FALSE)</f>
        <v>#N/A</v>
      </c>
      <c r="P171" s="93" t="e">
        <f>VLOOKUP($A171, 'Matriz POA 2024-TRABAJO'!$A$5:$CY$9142,46,FALSE)</f>
        <v>#N/A</v>
      </c>
      <c r="Q171" s="93" t="e">
        <f>VLOOKUP($A171, 'Matriz POA 2024-TRABAJO'!$A$5:$CY$9142,47,FALSE)</f>
        <v>#N/A</v>
      </c>
      <c r="R171" s="94">
        <f t="shared" si="123"/>
        <v>100</v>
      </c>
      <c r="S171" s="95" t="e">
        <f t="shared" si="124"/>
        <v>#N/A</v>
      </c>
      <c r="T171" s="93" t="e">
        <f>VLOOKUP($A171, 'Matriz POA 2024-TRABAJO'!$A$5:$CY$9142,72,FALSE)</f>
        <v>#N/A</v>
      </c>
      <c r="U171" s="93" t="e">
        <f>VLOOKUP($A171, 'Matriz POA 2024-TRABAJO'!$A$5:$CY$9142,29,FALSE)</f>
        <v>#N/A</v>
      </c>
      <c r="V171" s="93" t="str">
        <f t="shared" si="146"/>
        <v>50ar-</v>
      </c>
      <c r="W171" s="93" t="s">
        <v>1119</v>
      </c>
      <c r="X171" s="105">
        <v>45392</v>
      </c>
      <c r="Y171" s="93" t="s">
        <v>1120</v>
      </c>
      <c r="Z171" s="105">
        <v>45392</v>
      </c>
      <c r="AA171" s="93">
        <v>100</v>
      </c>
      <c r="AB171" s="93"/>
      <c r="AC171" s="93">
        <f t="shared" ref="AC171:AC179" si="187">Z171-X171</f>
        <v>0</v>
      </c>
      <c r="AD171" s="93" t="s">
        <v>1249</v>
      </c>
      <c r="AE171" s="93"/>
      <c r="AF171" s="105"/>
      <c r="AG171" s="93"/>
      <c r="AH171" s="93"/>
      <c r="AI171" s="93"/>
      <c r="AJ171" s="93"/>
      <c r="AK171" s="93">
        <f t="shared" ref="AK171:AK179" si="188">AH171-AF171</f>
        <v>0</v>
      </c>
      <c r="AL171" s="93"/>
      <c r="AM171" s="93"/>
      <c r="AN171" s="93"/>
      <c r="AO171" s="93"/>
      <c r="AP171" s="93"/>
      <c r="AQ171" s="93"/>
      <c r="AR171" s="93"/>
      <c r="AS171" s="93">
        <f t="shared" ref="AS171:AS179" si="189">AP171-AN171</f>
        <v>0</v>
      </c>
      <c r="AT171" s="93"/>
      <c r="AU171" s="93"/>
      <c r="AV171" s="93"/>
      <c r="AW171" s="93"/>
      <c r="AX171" s="93"/>
      <c r="AY171" s="93"/>
      <c r="AZ171" s="93"/>
      <c r="BA171" s="93"/>
      <c r="BB171" s="93"/>
      <c r="BC171" s="93"/>
      <c r="BD171" s="93"/>
      <c r="BE171" s="93"/>
      <c r="BF171" s="93"/>
      <c r="BG171" s="93"/>
      <c r="BH171" s="93"/>
      <c r="BI171" s="93"/>
      <c r="BJ171" s="93"/>
      <c r="BK171" s="93"/>
      <c r="BL171" s="93"/>
      <c r="BM171" s="93"/>
      <c r="BN171" s="93"/>
      <c r="BO171" s="93"/>
      <c r="BP171" s="93"/>
      <c r="BQ171" s="93"/>
      <c r="BR171" s="93"/>
      <c r="BS171" s="93"/>
      <c r="BT171" s="93"/>
      <c r="BU171" s="93"/>
      <c r="BV171" s="93"/>
      <c r="BW171" s="93"/>
      <c r="BX171" s="93"/>
      <c r="BY171" s="93"/>
      <c r="BZ171" s="93"/>
      <c r="CA171" s="93"/>
      <c r="CB171" s="93"/>
      <c r="CC171" s="93"/>
      <c r="CD171" s="93"/>
      <c r="CE171" s="93"/>
      <c r="CF171" s="93"/>
      <c r="CG171" s="93"/>
      <c r="CH171" s="93"/>
      <c r="CI171" s="93"/>
      <c r="CJ171" s="93"/>
      <c r="CK171" s="93"/>
      <c r="CL171" s="93"/>
      <c r="CM171" s="93"/>
      <c r="CN171" s="93"/>
      <c r="CO171" s="93"/>
      <c r="CP171" s="93"/>
      <c r="CQ171" s="93"/>
      <c r="CR171" s="93"/>
      <c r="CS171" s="93"/>
      <c r="CT171" s="93"/>
      <c r="CU171" s="93"/>
      <c r="CV171" s="93"/>
      <c r="CW171" s="93"/>
      <c r="CX171" s="93"/>
    </row>
    <row r="172" spans="1:112" ht="15" hidden="1" customHeight="1">
      <c r="A172" s="93">
        <v>825</v>
      </c>
      <c r="B172" s="93" t="e">
        <f>VLOOKUP($A172,  'Matriz POA 2024-TRABAJO'!$A$5:$CY$9142,29,FALSE)</f>
        <v>#N/A</v>
      </c>
      <c r="C172" s="93" t="e">
        <f>VLOOKUP($A172, 'Matriz POA 2024-TRABAJO'!$A$5:$CY$9142,11,FALSE)</f>
        <v>#N/A</v>
      </c>
      <c r="D172" s="93" t="e">
        <f>VLOOKUP($A172, 'Matriz POA 2024-TRABAJO'!$A$5:$CY$9142,14,FALSE)</f>
        <v>#N/A</v>
      </c>
      <c r="E172" s="93" t="e">
        <f>VLOOKUP($A172, 'Matriz POA 2024-TRABAJO'!$A$5:$CY$9142,15,FALSE)</f>
        <v>#N/A</v>
      </c>
      <c r="F172" s="93" t="e">
        <f>VLOOKUP($A172, 'Matriz POA 2024-TRABAJO'!$A$5:$CY$9142,18,FALSE)</f>
        <v>#N/A</v>
      </c>
      <c r="G172" s="93" t="e">
        <f>VLOOKUP($A172, 'Matriz POA 2024-TRABAJO'!$A$5:$CY$9142,23,FALSE)</f>
        <v>#N/A</v>
      </c>
      <c r="H172" s="93" t="e">
        <f>VLOOKUP($A172, 'Matriz POA 2024-TRABAJO'!$A$5:$CY$9142,24,FALSE)</f>
        <v>#N/A</v>
      </c>
      <c r="I172" s="93" t="e">
        <f>VLOOKUP($A172, 'Matriz POA 2024-TRABAJO'!$A$5:$CY$9142,20,FALSE)</f>
        <v>#N/A</v>
      </c>
      <c r="J172" s="93" t="e">
        <f>VLOOKUP($A172, 'Matriz POA 2024-TRABAJO'!$A$5:$CY$9142,26,FALSE)</f>
        <v>#N/A</v>
      </c>
      <c r="K172" s="93" t="e">
        <f>VLOOKUP($A172, 'Matriz POA 2024-TRABAJO'!$A$5:$CY$9142,27,FALSE)</f>
        <v>#N/A</v>
      </c>
      <c r="L172" s="93" t="e">
        <f>VLOOKUP($A172, 'Matriz POA 2024-TRABAJO'!$A$5:$CY$9142,28,FALSE)</f>
        <v>#N/A</v>
      </c>
      <c r="M172" s="93" t="e">
        <f>VLOOKUP($A172, 'Matriz POA 2024-TRABAJO'!$A$5:$CY$9142,30,FALSE)</f>
        <v>#N/A</v>
      </c>
      <c r="N172" s="93" t="e">
        <f>VLOOKUP($A172, 'Matriz POA 2024-TRABAJO'!$A$5:$CY$9142,31,FALSE)</f>
        <v>#N/A</v>
      </c>
      <c r="O172" s="93" t="e">
        <f>VLOOKUP($A172, 'Matriz POA 2024-TRABAJO'!$A$5:$CY$9142,45,FALSE)</f>
        <v>#N/A</v>
      </c>
      <c r="P172" s="93" t="e">
        <f>VLOOKUP($A172, 'Matriz POA 2024-TRABAJO'!$A$5:$CY$9142,46,FALSE)</f>
        <v>#N/A</v>
      </c>
      <c r="Q172" s="93" t="e">
        <f>VLOOKUP($A172, 'Matriz POA 2024-TRABAJO'!$A$5:$CY$9142,47,FALSE)</f>
        <v>#N/A</v>
      </c>
      <c r="R172" s="94">
        <f t="shared" si="123"/>
        <v>5203.3</v>
      </c>
      <c r="S172" s="95" t="e">
        <f t="shared" si="124"/>
        <v>#N/A</v>
      </c>
      <c r="T172" s="93" t="e">
        <f>VLOOKUP($A172, 'Matriz POA 2024-TRABAJO'!$A$5:$CY$9142,72,FALSE)</f>
        <v>#N/A</v>
      </c>
      <c r="U172" s="93" t="e">
        <f>VLOOKUP($A172, 'Matriz POA 2024-TRABAJO'!$A$5:$CY$9142,29,FALSE)</f>
        <v>#N/A</v>
      </c>
      <c r="V172" s="93" t="str">
        <f t="shared" si="146"/>
        <v>50ar-</v>
      </c>
      <c r="W172" s="93" t="s">
        <v>1119</v>
      </c>
      <c r="X172" s="105">
        <v>45392</v>
      </c>
      <c r="Y172" s="93" t="s">
        <v>1120</v>
      </c>
      <c r="Z172" s="105">
        <v>45392</v>
      </c>
      <c r="AA172" s="93">
        <v>5203.3</v>
      </c>
      <c r="AB172" s="93"/>
      <c r="AC172" s="93">
        <f t="shared" si="187"/>
        <v>0</v>
      </c>
      <c r="AD172" s="93" t="s">
        <v>1249</v>
      </c>
      <c r="AE172" s="93"/>
      <c r="AF172" s="105"/>
      <c r="AG172" s="93"/>
      <c r="AH172" s="93"/>
      <c r="AI172" s="93"/>
      <c r="AJ172" s="93"/>
      <c r="AK172" s="93">
        <f t="shared" si="188"/>
        <v>0</v>
      </c>
      <c r="AL172" s="93"/>
      <c r="AM172" s="93"/>
      <c r="AN172" s="93"/>
      <c r="AO172" s="93"/>
      <c r="AP172" s="93"/>
      <c r="AQ172" s="93"/>
      <c r="AR172" s="93"/>
      <c r="AS172" s="93">
        <f t="shared" si="189"/>
        <v>0</v>
      </c>
      <c r="AT172" s="93"/>
      <c r="AU172" s="93"/>
      <c r="AV172" s="93"/>
      <c r="AW172" s="93"/>
      <c r="AX172" s="93"/>
      <c r="AY172" s="93"/>
      <c r="AZ172" s="93"/>
      <c r="BA172" s="93"/>
      <c r="BB172" s="93"/>
      <c r="BC172" s="93"/>
      <c r="BD172" s="93"/>
      <c r="BE172" s="93"/>
      <c r="BF172" s="93"/>
      <c r="BG172" s="93"/>
      <c r="BH172" s="93"/>
      <c r="BI172" s="93"/>
      <c r="BJ172" s="93"/>
      <c r="BK172" s="93"/>
      <c r="BL172" s="93"/>
      <c r="BM172" s="93"/>
      <c r="BN172" s="93"/>
      <c r="BO172" s="93"/>
      <c r="BP172" s="93"/>
      <c r="BQ172" s="93"/>
      <c r="BR172" s="93"/>
      <c r="BS172" s="93"/>
      <c r="BT172" s="93"/>
      <c r="BU172" s="93"/>
      <c r="BV172" s="93"/>
      <c r="BW172" s="93"/>
      <c r="BX172" s="93"/>
      <c r="BY172" s="93"/>
      <c r="BZ172" s="93"/>
      <c r="CA172" s="93"/>
      <c r="CB172" s="93"/>
      <c r="CC172" s="93"/>
      <c r="CD172" s="93"/>
      <c r="CE172" s="93"/>
      <c r="CF172" s="93"/>
      <c r="CG172" s="93"/>
      <c r="CH172" s="93"/>
      <c r="CI172" s="93"/>
      <c r="CJ172" s="93"/>
      <c r="CK172" s="93"/>
      <c r="CL172" s="93"/>
      <c r="CM172" s="93"/>
      <c r="CN172" s="93"/>
      <c r="CO172" s="93"/>
      <c r="CP172" s="93"/>
      <c r="CQ172" s="93"/>
      <c r="CR172" s="93"/>
      <c r="CS172" s="93"/>
      <c r="CT172" s="93"/>
      <c r="CU172" s="93"/>
      <c r="CV172" s="93"/>
      <c r="CW172" s="93"/>
      <c r="CX172" s="93"/>
    </row>
    <row r="173" spans="1:112" ht="15" hidden="1" customHeight="1">
      <c r="A173" s="93">
        <v>848</v>
      </c>
      <c r="B173" s="93" t="e">
        <f>VLOOKUP($A173,  'Matriz POA 2024-TRABAJO'!$A$5:$CY$9142,29,FALSE)</f>
        <v>#N/A</v>
      </c>
      <c r="C173" s="93" t="e">
        <f>VLOOKUP($A173, 'Matriz POA 2024-TRABAJO'!$A$5:$CY$9142,11,FALSE)</f>
        <v>#N/A</v>
      </c>
      <c r="D173" s="93" t="e">
        <f>VLOOKUP($A173, 'Matriz POA 2024-TRABAJO'!$A$5:$CY$9142,14,FALSE)</f>
        <v>#N/A</v>
      </c>
      <c r="E173" s="93" t="e">
        <f>VLOOKUP($A173, 'Matriz POA 2024-TRABAJO'!$A$5:$CY$9142,15,FALSE)</f>
        <v>#N/A</v>
      </c>
      <c r="F173" s="93" t="e">
        <f>VLOOKUP($A173, 'Matriz POA 2024-TRABAJO'!$A$5:$CY$9142,18,FALSE)</f>
        <v>#N/A</v>
      </c>
      <c r="G173" s="93" t="e">
        <f>VLOOKUP($A173, 'Matriz POA 2024-TRABAJO'!$A$5:$CY$9142,23,FALSE)</f>
        <v>#N/A</v>
      </c>
      <c r="H173" s="93" t="e">
        <f>VLOOKUP($A173, 'Matriz POA 2024-TRABAJO'!$A$5:$CY$9142,24,FALSE)</f>
        <v>#N/A</v>
      </c>
      <c r="I173" s="93" t="e">
        <f>VLOOKUP($A173, 'Matriz POA 2024-TRABAJO'!$A$5:$CY$9142,20,FALSE)</f>
        <v>#N/A</v>
      </c>
      <c r="J173" s="93" t="e">
        <f>VLOOKUP($A173, 'Matriz POA 2024-TRABAJO'!$A$5:$CY$9142,26,FALSE)</f>
        <v>#N/A</v>
      </c>
      <c r="K173" s="93" t="e">
        <f>VLOOKUP($A173, 'Matriz POA 2024-TRABAJO'!$A$5:$CY$9142,27,FALSE)</f>
        <v>#N/A</v>
      </c>
      <c r="L173" s="93" t="e">
        <f>VLOOKUP($A173, 'Matriz POA 2024-TRABAJO'!$A$5:$CY$9142,28,FALSE)</f>
        <v>#N/A</v>
      </c>
      <c r="M173" s="93" t="e">
        <f>VLOOKUP($A173, 'Matriz POA 2024-TRABAJO'!$A$5:$CY$9142,30,FALSE)</f>
        <v>#N/A</v>
      </c>
      <c r="N173" s="93" t="e">
        <f>VLOOKUP($A173, 'Matriz POA 2024-TRABAJO'!$A$5:$CY$9142,31,FALSE)</f>
        <v>#N/A</v>
      </c>
      <c r="O173" s="93" t="e">
        <f>VLOOKUP($A173, 'Matriz POA 2024-TRABAJO'!$A$5:$CY$9142,45,FALSE)</f>
        <v>#N/A</v>
      </c>
      <c r="P173" s="93" t="e">
        <f>VLOOKUP($A173, 'Matriz POA 2024-TRABAJO'!$A$5:$CY$9142,46,FALSE)</f>
        <v>#N/A</v>
      </c>
      <c r="Q173" s="93" t="e">
        <f>VLOOKUP($A173, 'Matriz POA 2024-TRABAJO'!$A$5:$CY$9142,47,FALSE)</f>
        <v>#N/A</v>
      </c>
      <c r="R173" s="94">
        <f t="shared" si="123"/>
        <v>1250</v>
      </c>
      <c r="S173" s="95" t="e">
        <f t="shared" si="124"/>
        <v>#N/A</v>
      </c>
      <c r="T173" s="93" t="e">
        <f>VLOOKUP($A173, 'Matriz POA 2024-TRABAJO'!$A$5:$CY$9142,72,FALSE)</f>
        <v>#N/A</v>
      </c>
      <c r="U173" s="93" t="e">
        <f>VLOOKUP($A173, 'Matriz POA 2024-TRABAJO'!$A$5:$CY$9142,29,FALSE)</f>
        <v>#N/A</v>
      </c>
      <c r="V173" s="93" t="str">
        <f t="shared" ref="V173:V213" si="190">AD173&amp;AL173&amp;AT173&amp;BB173&amp;BJ173&amp;BR173&amp;BZ173&amp;CH173&amp;CP173&amp;CX173</f>
        <v>51ar-</v>
      </c>
      <c r="W173" s="93" t="s">
        <v>1250</v>
      </c>
      <c r="X173" s="105">
        <v>45392</v>
      </c>
      <c r="Y173" s="93" t="s">
        <v>1251</v>
      </c>
      <c r="Z173" s="105">
        <v>45392</v>
      </c>
      <c r="AA173" s="93">
        <v>1250</v>
      </c>
      <c r="AB173" s="93"/>
      <c r="AC173" s="93">
        <f t="shared" si="187"/>
        <v>0</v>
      </c>
      <c r="AD173" s="93" t="s">
        <v>1252</v>
      </c>
      <c r="AE173" s="93"/>
      <c r="AF173" s="93"/>
      <c r="AG173" s="93"/>
      <c r="AH173" s="93"/>
      <c r="AI173" s="93"/>
      <c r="AJ173" s="93"/>
      <c r="AK173" s="93">
        <f t="shared" si="188"/>
        <v>0</v>
      </c>
      <c r="AL173" s="93"/>
      <c r="AM173" s="93"/>
      <c r="AN173" s="93"/>
      <c r="AO173" s="93"/>
      <c r="AP173" s="93"/>
      <c r="AQ173" s="93"/>
      <c r="AR173" s="93"/>
      <c r="AS173" s="93">
        <f t="shared" si="189"/>
        <v>0</v>
      </c>
      <c r="AT173" s="93"/>
      <c r="AU173" s="93"/>
      <c r="AV173" s="93"/>
      <c r="AW173" s="93"/>
      <c r="AX173" s="93"/>
      <c r="AY173" s="93"/>
      <c r="AZ173" s="93"/>
      <c r="BA173" s="93"/>
      <c r="BB173" s="93"/>
      <c r="BC173" s="93"/>
      <c r="BD173" s="93"/>
      <c r="BE173" s="93"/>
      <c r="BF173" s="93"/>
      <c r="BG173" s="93"/>
      <c r="BH173" s="93"/>
      <c r="BI173" s="93"/>
      <c r="BJ173" s="93"/>
      <c r="BK173" s="93"/>
      <c r="BL173" s="93"/>
      <c r="BM173" s="93"/>
      <c r="BN173" s="93"/>
      <c r="BO173" s="93"/>
      <c r="BP173" s="93"/>
      <c r="BQ173" s="93"/>
      <c r="BR173" s="93"/>
      <c r="BS173" s="93"/>
      <c r="BT173" s="93"/>
      <c r="BU173" s="93"/>
      <c r="BV173" s="93"/>
      <c r="BW173" s="93"/>
      <c r="BX173" s="93"/>
      <c r="BY173" s="93"/>
      <c r="BZ173" s="93"/>
      <c r="CA173" s="93"/>
      <c r="CB173" s="93"/>
      <c r="CC173" s="93"/>
      <c r="CD173" s="93"/>
      <c r="CE173" s="93"/>
      <c r="CF173" s="93"/>
      <c r="CG173" s="93"/>
      <c r="CH173" s="93"/>
      <c r="CI173" s="93"/>
      <c r="CJ173" s="93"/>
      <c r="CK173" s="93"/>
      <c r="CL173" s="93"/>
      <c r="CM173" s="93"/>
      <c r="CN173" s="93"/>
      <c r="CO173" s="93"/>
      <c r="CP173" s="93"/>
      <c r="CQ173" s="93"/>
      <c r="CR173" s="93"/>
      <c r="CS173" s="93"/>
      <c r="CT173" s="93"/>
      <c r="CU173" s="93"/>
      <c r="CV173" s="93"/>
      <c r="CW173" s="93"/>
      <c r="CX173" s="93"/>
    </row>
    <row r="174" spans="1:112" ht="15" hidden="1" customHeight="1">
      <c r="A174" s="93">
        <v>842</v>
      </c>
      <c r="B174" s="93" t="e">
        <f>VLOOKUP($A174,  'Matriz POA 2024-TRABAJO'!$A$5:$CY$9142,29,FALSE)</f>
        <v>#N/A</v>
      </c>
      <c r="C174" s="93" t="e">
        <f>VLOOKUP($A174, 'Matriz POA 2024-TRABAJO'!$A$5:$CY$9142,11,FALSE)</f>
        <v>#N/A</v>
      </c>
      <c r="D174" s="93" t="e">
        <f>VLOOKUP($A174, 'Matriz POA 2024-TRABAJO'!$A$5:$CY$9142,14,FALSE)</f>
        <v>#N/A</v>
      </c>
      <c r="E174" s="93" t="e">
        <f>VLOOKUP($A174, 'Matriz POA 2024-TRABAJO'!$A$5:$CY$9142,15,FALSE)</f>
        <v>#N/A</v>
      </c>
      <c r="F174" s="93" t="e">
        <f>VLOOKUP($A174, 'Matriz POA 2024-TRABAJO'!$A$5:$CY$9142,18,FALSE)</f>
        <v>#N/A</v>
      </c>
      <c r="G174" s="93" t="e">
        <f>VLOOKUP($A174, 'Matriz POA 2024-TRABAJO'!$A$5:$CY$9142,23,FALSE)</f>
        <v>#N/A</v>
      </c>
      <c r="H174" s="93" t="e">
        <f>VLOOKUP($A174, 'Matriz POA 2024-TRABAJO'!$A$5:$CY$9142,24,FALSE)</f>
        <v>#N/A</v>
      </c>
      <c r="I174" s="93" t="e">
        <f>VLOOKUP($A174, 'Matriz POA 2024-TRABAJO'!$A$5:$CY$9142,20,FALSE)</f>
        <v>#N/A</v>
      </c>
      <c r="J174" s="93" t="e">
        <f>VLOOKUP($A174, 'Matriz POA 2024-TRABAJO'!$A$5:$CY$9142,26,FALSE)</f>
        <v>#N/A</v>
      </c>
      <c r="K174" s="93" t="e">
        <f>VLOOKUP($A174, 'Matriz POA 2024-TRABAJO'!$A$5:$CY$9142,27,FALSE)</f>
        <v>#N/A</v>
      </c>
      <c r="L174" s="93" t="e">
        <f>VLOOKUP($A174, 'Matriz POA 2024-TRABAJO'!$A$5:$CY$9142,28,FALSE)</f>
        <v>#N/A</v>
      </c>
      <c r="M174" s="93" t="e">
        <f>VLOOKUP($A174, 'Matriz POA 2024-TRABAJO'!$A$5:$CY$9142,30,FALSE)</f>
        <v>#N/A</v>
      </c>
      <c r="N174" s="93" t="e">
        <f>VLOOKUP($A174, 'Matriz POA 2024-TRABAJO'!$A$5:$CY$9142,31,FALSE)</f>
        <v>#N/A</v>
      </c>
      <c r="O174" s="93" t="e">
        <f>VLOOKUP($A174, 'Matriz POA 2024-TRABAJO'!$A$5:$CY$9142,45,FALSE)</f>
        <v>#N/A</v>
      </c>
      <c r="P174" s="93" t="e">
        <f>VLOOKUP($A174, 'Matriz POA 2024-TRABAJO'!$A$5:$CY$9142,46,FALSE)</f>
        <v>#N/A</v>
      </c>
      <c r="Q174" s="93" t="e">
        <f>VLOOKUP($A174, 'Matriz POA 2024-TRABAJO'!$A$5:$CY$9142,47,FALSE)</f>
        <v>#N/A</v>
      </c>
      <c r="R174" s="94">
        <f t="shared" si="123"/>
        <v>1000</v>
      </c>
      <c r="S174" s="95" t="e">
        <f t="shared" si="124"/>
        <v>#N/A</v>
      </c>
      <c r="T174" s="93" t="e">
        <f>VLOOKUP($A174, 'Matriz POA 2024-TRABAJO'!$A$5:$CY$9142,72,FALSE)</f>
        <v>#N/A</v>
      </c>
      <c r="U174" s="93" t="e">
        <f>VLOOKUP($A174, 'Matriz POA 2024-TRABAJO'!$A$5:$CY$9142,29,FALSE)</f>
        <v>#N/A</v>
      </c>
      <c r="V174" s="93" t="str">
        <f t="shared" si="190"/>
        <v>53ar-</v>
      </c>
      <c r="W174" s="93" t="s">
        <v>1253</v>
      </c>
      <c r="X174" s="105">
        <v>45392</v>
      </c>
      <c r="Y174" s="93" t="s">
        <v>1254</v>
      </c>
      <c r="Z174" s="105">
        <v>45393</v>
      </c>
      <c r="AA174" s="93">
        <v>1000</v>
      </c>
      <c r="AB174" s="93"/>
      <c r="AC174" s="93">
        <f t="shared" si="187"/>
        <v>1</v>
      </c>
      <c r="AD174" s="93" t="s">
        <v>1255</v>
      </c>
      <c r="AE174" s="93"/>
      <c r="AF174" s="93"/>
      <c r="AG174" s="93"/>
      <c r="AH174" s="93"/>
      <c r="AI174" s="93"/>
      <c r="AJ174" s="93"/>
      <c r="AK174" s="93">
        <f t="shared" si="188"/>
        <v>0</v>
      </c>
      <c r="AL174" s="93"/>
      <c r="AM174" s="93"/>
      <c r="AN174" s="93"/>
      <c r="AO174" s="93"/>
      <c r="AP174" s="93"/>
      <c r="AQ174" s="93"/>
      <c r="AR174" s="93"/>
      <c r="AS174" s="93">
        <f t="shared" si="189"/>
        <v>0</v>
      </c>
      <c r="AT174" s="93"/>
      <c r="AU174" s="93"/>
      <c r="AV174" s="93"/>
      <c r="AW174" s="93"/>
      <c r="AX174" s="93"/>
      <c r="AY174" s="93"/>
      <c r="AZ174" s="93"/>
      <c r="BA174" s="93"/>
      <c r="BB174" s="93"/>
      <c r="BC174" s="93"/>
      <c r="BD174" s="93"/>
      <c r="BE174" s="93"/>
      <c r="BF174" s="93"/>
      <c r="BG174" s="93"/>
      <c r="BH174" s="93"/>
      <c r="BI174" s="93"/>
      <c r="BJ174" s="93"/>
      <c r="BK174" s="93"/>
      <c r="BL174" s="93"/>
      <c r="BM174" s="93"/>
      <c r="BN174" s="93"/>
      <c r="BO174" s="93"/>
      <c r="BP174" s="93"/>
      <c r="BQ174" s="93"/>
      <c r="BR174" s="93"/>
      <c r="BS174" s="93"/>
      <c r="BT174" s="93"/>
      <c r="BU174" s="93"/>
      <c r="BV174" s="93"/>
      <c r="BW174" s="93"/>
      <c r="BX174" s="93"/>
      <c r="BY174" s="93"/>
      <c r="BZ174" s="93"/>
      <c r="CA174" s="93"/>
      <c r="CB174" s="93"/>
      <c r="CC174" s="93"/>
      <c r="CD174" s="93"/>
      <c r="CE174" s="93"/>
      <c r="CF174" s="93"/>
      <c r="CG174" s="93"/>
      <c r="CH174" s="93"/>
      <c r="CI174" s="93"/>
      <c r="CJ174" s="93"/>
      <c r="CK174" s="93"/>
      <c r="CL174" s="93"/>
      <c r="CM174" s="93"/>
      <c r="CN174" s="93"/>
      <c r="CO174" s="93"/>
      <c r="CP174" s="93"/>
      <c r="CQ174" s="93"/>
      <c r="CR174" s="93"/>
      <c r="CS174" s="93"/>
      <c r="CT174" s="93"/>
      <c r="CU174" s="93"/>
      <c r="CV174" s="93"/>
      <c r="CW174" s="93"/>
      <c r="CX174" s="93"/>
    </row>
    <row r="175" spans="1:112" ht="15" hidden="1" customHeight="1">
      <c r="A175" s="93">
        <v>843</v>
      </c>
      <c r="B175" s="93" t="e">
        <f>VLOOKUP($A175,  'Matriz POA 2024-TRABAJO'!$A$5:$CY$9142,29,FALSE)</f>
        <v>#N/A</v>
      </c>
      <c r="C175" s="93" t="e">
        <f>VLOOKUP($A175, 'Matriz POA 2024-TRABAJO'!$A$5:$CY$9142,11,FALSE)</f>
        <v>#N/A</v>
      </c>
      <c r="D175" s="93" t="e">
        <f>VLOOKUP($A175, 'Matriz POA 2024-TRABAJO'!$A$5:$CY$9142,14,FALSE)</f>
        <v>#N/A</v>
      </c>
      <c r="E175" s="93" t="e">
        <f>VLOOKUP($A175, 'Matriz POA 2024-TRABAJO'!$A$5:$CY$9142,15,FALSE)</f>
        <v>#N/A</v>
      </c>
      <c r="F175" s="93" t="e">
        <f>VLOOKUP($A175, 'Matriz POA 2024-TRABAJO'!$A$5:$CY$9142,18,FALSE)</f>
        <v>#N/A</v>
      </c>
      <c r="G175" s="93" t="e">
        <f>VLOOKUP($A175, 'Matriz POA 2024-TRABAJO'!$A$5:$CY$9142,23,FALSE)</f>
        <v>#N/A</v>
      </c>
      <c r="H175" s="93" t="e">
        <f>VLOOKUP($A175, 'Matriz POA 2024-TRABAJO'!$A$5:$CY$9142,24,FALSE)</f>
        <v>#N/A</v>
      </c>
      <c r="I175" s="93" t="e">
        <f>VLOOKUP($A175, 'Matriz POA 2024-TRABAJO'!$A$5:$CY$9142,20,FALSE)</f>
        <v>#N/A</v>
      </c>
      <c r="J175" s="93" t="e">
        <f>VLOOKUP($A175, 'Matriz POA 2024-TRABAJO'!$A$5:$CY$9142,26,FALSE)</f>
        <v>#N/A</v>
      </c>
      <c r="K175" s="93" t="e">
        <f>VLOOKUP($A175, 'Matriz POA 2024-TRABAJO'!$A$5:$CY$9142,27,FALSE)</f>
        <v>#N/A</v>
      </c>
      <c r="L175" s="93" t="e">
        <f>VLOOKUP($A175, 'Matriz POA 2024-TRABAJO'!$A$5:$CY$9142,28,FALSE)</f>
        <v>#N/A</v>
      </c>
      <c r="M175" s="93" t="e">
        <f>VLOOKUP($A175, 'Matriz POA 2024-TRABAJO'!$A$5:$CY$9142,30,FALSE)</f>
        <v>#N/A</v>
      </c>
      <c r="N175" s="93" t="e">
        <f>VLOOKUP($A175, 'Matriz POA 2024-TRABAJO'!$A$5:$CY$9142,31,FALSE)</f>
        <v>#N/A</v>
      </c>
      <c r="O175" s="93" t="e">
        <f>VLOOKUP($A175, 'Matriz POA 2024-TRABAJO'!$A$5:$CY$9142,45,FALSE)</f>
        <v>#N/A</v>
      </c>
      <c r="P175" s="93" t="e">
        <f>VLOOKUP($A175, 'Matriz POA 2024-TRABAJO'!$A$5:$CY$9142,46,FALSE)</f>
        <v>#N/A</v>
      </c>
      <c r="Q175" s="93" t="e">
        <f>VLOOKUP($A175, 'Matriz POA 2024-TRABAJO'!$A$5:$CY$9142,47,FALSE)</f>
        <v>#N/A</v>
      </c>
      <c r="R175" s="94">
        <f t="shared" si="123"/>
        <v>2000</v>
      </c>
      <c r="S175" s="95" t="e">
        <f t="shared" si="124"/>
        <v>#N/A</v>
      </c>
      <c r="T175" s="93" t="e">
        <f>VLOOKUP($A175, 'Matriz POA 2024-TRABAJO'!$A$5:$CY$9142,72,FALSE)</f>
        <v>#N/A</v>
      </c>
      <c r="U175" s="93" t="e">
        <f>VLOOKUP($A175, 'Matriz POA 2024-TRABAJO'!$A$5:$CY$9142,29,FALSE)</f>
        <v>#N/A</v>
      </c>
      <c r="V175" s="93" t="str">
        <f t="shared" si="190"/>
        <v>53ar-</v>
      </c>
      <c r="W175" s="93" t="s">
        <v>1253</v>
      </c>
      <c r="X175" s="105">
        <v>45392</v>
      </c>
      <c r="Y175" s="93" t="s">
        <v>1254</v>
      </c>
      <c r="Z175" s="105">
        <v>45393</v>
      </c>
      <c r="AA175" s="93">
        <v>2000</v>
      </c>
      <c r="AB175" s="93"/>
      <c r="AC175" s="93">
        <f t="shared" si="187"/>
        <v>1</v>
      </c>
      <c r="AD175" s="93" t="s">
        <v>1255</v>
      </c>
      <c r="AE175" s="93"/>
      <c r="AF175" s="93"/>
      <c r="AG175" s="93"/>
      <c r="AH175" s="93"/>
      <c r="AI175" s="93"/>
      <c r="AJ175" s="93"/>
      <c r="AK175" s="93">
        <f t="shared" si="188"/>
        <v>0</v>
      </c>
      <c r="AL175" s="93"/>
      <c r="AM175" s="93"/>
      <c r="AN175" s="93"/>
      <c r="AO175" s="93"/>
      <c r="AP175" s="93"/>
      <c r="AQ175" s="93"/>
      <c r="AR175" s="93"/>
      <c r="AS175" s="93">
        <f t="shared" si="189"/>
        <v>0</v>
      </c>
      <c r="AT175" s="93"/>
      <c r="AU175" s="93"/>
      <c r="AV175" s="93"/>
      <c r="AW175" s="93"/>
      <c r="AX175" s="93"/>
      <c r="AY175" s="93"/>
      <c r="AZ175" s="93"/>
      <c r="BA175" s="93"/>
      <c r="BB175" s="93"/>
      <c r="BC175" s="93"/>
      <c r="BD175" s="93"/>
      <c r="BE175" s="93"/>
      <c r="BF175" s="93"/>
      <c r="BG175" s="93"/>
      <c r="BH175" s="93"/>
      <c r="BI175" s="93"/>
      <c r="BJ175" s="93"/>
      <c r="BK175" s="93"/>
      <c r="BL175" s="93"/>
      <c r="BM175" s="93"/>
      <c r="BN175" s="93"/>
      <c r="BO175" s="93"/>
      <c r="BP175" s="93"/>
      <c r="BQ175" s="93"/>
      <c r="BR175" s="93"/>
      <c r="BS175" s="93"/>
      <c r="BT175" s="93"/>
      <c r="BU175" s="93"/>
      <c r="BV175" s="93"/>
      <c r="BW175" s="93"/>
      <c r="BX175" s="93"/>
      <c r="BY175" s="93"/>
      <c r="BZ175" s="93"/>
      <c r="CA175" s="93"/>
      <c r="CB175" s="93"/>
      <c r="CC175" s="93"/>
      <c r="CD175" s="93"/>
      <c r="CE175" s="93"/>
      <c r="CF175" s="93"/>
      <c r="CG175" s="93"/>
      <c r="CH175" s="93"/>
      <c r="CI175" s="93"/>
      <c r="CJ175" s="93"/>
      <c r="CK175" s="93"/>
      <c r="CL175" s="93"/>
      <c r="CM175" s="93"/>
      <c r="CN175" s="93"/>
      <c r="CO175" s="93"/>
      <c r="CP175" s="93"/>
      <c r="CQ175" s="93"/>
      <c r="CR175" s="93"/>
      <c r="CS175" s="93"/>
      <c r="CT175" s="93"/>
      <c r="CU175" s="93"/>
      <c r="CV175" s="93"/>
      <c r="CW175" s="93"/>
      <c r="CX175" s="93"/>
    </row>
    <row r="176" spans="1:112" ht="15" hidden="1" customHeight="1">
      <c r="A176" s="93">
        <v>837</v>
      </c>
      <c r="B176" s="93" t="e">
        <f>VLOOKUP($A176,  'Matriz POA 2024-TRABAJO'!$A$5:$CY$9142,29,FALSE)</f>
        <v>#N/A</v>
      </c>
      <c r="C176" s="93" t="e">
        <f>VLOOKUP($A176, 'Matriz POA 2024-TRABAJO'!$A$5:$CY$9142,11,FALSE)</f>
        <v>#N/A</v>
      </c>
      <c r="D176" s="93" t="e">
        <f>VLOOKUP($A176, 'Matriz POA 2024-TRABAJO'!$A$5:$CY$9142,14,FALSE)</f>
        <v>#N/A</v>
      </c>
      <c r="E176" s="93" t="e">
        <f>VLOOKUP($A176, 'Matriz POA 2024-TRABAJO'!$A$5:$CY$9142,15,FALSE)</f>
        <v>#N/A</v>
      </c>
      <c r="F176" s="93" t="e">
        <f>VLOOKUP($A176, 'Matriz POA 2024-TRABAJO'!$A$5:$CY$9142,18,FALSE)</f>
        <v>#N/A</v>
      </c>
      <c r="G176" s="93" t="e">
        <f>VLOOKUP($A176, 'Matriz POA 2024-TRABAJO'!$A$5:$CY$9142,23,FALSE)</f>
        <v>#N/A</v>
      </c>
      <c r="H176" s="93" t="e">
        <f>VLOOKUP($A176, 'Matriz POA 2024-TRABAJO'!$A$5:$CY$9142,24,FALSE)</f>
        <v>#N/A</v>
      </c>
      <c r="I176" s="93" t="e">
        <f>VLOOKUP($A176, 'Matriz POA 2024-TRABAJO'!$A$5:$CY$9142,20,FALSE)</f>
        <v>#N/A</v>
      </c>
      <c r="J176" s="93" t="e">
        <f>VLOOKUP($A176, 'Matriz POA 2024-TRABAJO'!$A$5:$CY$9142,26,FALSE)</f>
        <v>#N/A</v>
      </c>
      <c r="K176" s="93" t="e">
        <f>VLOOKUP($A176, 'Matriz POA 2024-TRABAJO'!$A$5:$CY$9142,27,FALSE)</f>
        <v>#N/A</v>
      </c>
      <c r="L176" s="93" t="e">
        <f>VLOOKUP($A176, 'Matriz POA 2024-TRABAJO'!$A$5:$CY$9142,28,FALSE)</f>
        <v>#N/A</v>
      </c>
      <c r="M176" s="93" t="e">
        <f>VLOOKUP($A176, 'Matriz POA 2024-TRABAJO'!$A$5:$CY$9142,30,FALSE)</f>
        <v>#N/A</v>
      </c>
      <c r="N176" s="93" t="e">
        <f>VLOOKUP($A176, 'Matriz POA 2024-TRABAJO'!$A$5:$CY$9142,31,FALSE)</f>
        <v>#N/A</v>
      </c>
      <c r="O176" s="93" t="e">
        <f>VLOOKUP($A176, 'Matriz POA 2024-TRABAJO'!$A$5:$CY$9142,45,FALSE)</f>
        <v>#N/A</v>
      </c>
      <c r="P176" s="93" t="e">
        <f>VLOOKUP($A176, 'Matriz POA 2024-TRABAJO'!$A$5:$CY$9142,46,FALSE)</f>
        <v>#N/A</v>
      </c>
      <c r="Q176" s="93" t="e">
        <f>VLOOKUP($A176, 'Matriz POA 2024-TRABAJO'!$A$5:$CY$9142,47,FALSE)</f>
        <v>#N/A</v>
      </c>
      <c r="R176" s="94">
        <f t="shared" si="123"/>
        <v>21518.400000000001</v>
      </c>
      <c r="S176" s="95" t="e">
        <f t="shared" si="124"/>
        <v>#N/A</v>
      </c>
      <c r="T176" s="93" t="e">
        <f>VLOOKUP($A176, 'Matriz POA 2024-TRABAJO'!$A$5:$CY$9142,72,FALSE)</f>
        <v>#N/A</v>
      </c>
      <c r="U176" s="93" t="e">
        <f>VLOOKUP($A176, 'Matriz POA 2024-TRABAJO'!$A$5:$CY$9142,29,FALSE)</f>
        <v>#N/A</v>
      </c>
      <c r="V176" s="93" t="str">
        <f t="shared" si="190"/>
        <v>54ar-</v>
      </c>
      <c r="W176" s="93" t="s">
        <v>1256</v>
      </c>
      <c r="X176" s="105">
        <v>45391</v>
      </c>
      <c r="Y176" s="93" t="s">
        <v>1257</v>
      </c>
      <c r="Z176" s="105">
        <v>45393</v>
      </c>
      <c r="AA176" s="93">
        <v>21518.400000000001</v>
      </c>
      <c r="AB176" s="93"/>
      <c r="AC176" s="93">
        <f t="shared" si="187"/>
        <v>2</v>
      </c>
      <c r="AD176" s="93" t="s">
        <v>1258</v>
      </c>
      <c r="AE176" s="93"/>
      <c r="AF176" s="93"/>
      <c r="AG176" s="93"/>
      <c r="AH176" s="93"/>
      <c r="AI176" s="93"/>
      <c r="AJ176" s="93"/>
      <c r="AK176" s="93">
        <f t="shared" si="188"/>
        <v>0</v>
      </c>
      <c r="AL176" s="93"/>
      <c r="AM176" s="93"/>
      <c r="AN176" s="93"/>
      <c r="AO176" s="93"/>
      <c r="AP176" s="93"/>
      <c r="AQ176" s="93"/>
      <c r="AR176" s="93"/>
      <c r="AS176" s="93">
        <f t="shared" si="189"/>
        <v>0</v>
      </c>
      <c r="AT176" s="93"/>
      <c r="AU176" s="93"/>
      <c r="AV176" s="93"/>
      <c r="AW176" s="93"/>
      <c r="AX176" s="93"/>
      <c r="AY176" s="93"/>
      <c r="AZ176" s="93"/>
      <c r="BA176" s="93"/>
      <c r="BB176" s="93"/>
      <c r="BC176" s="93"/>
      <c r="BD176" s="93"/>
      <c r="BE176" s="93"/>
      <c r="BF176" s="93"/>
      <c r="BG176" s="93"/>
      <c r="BH176" s="93"/>
      <c r="BI176" s="93"/>
      <c r="BJ176" s="93"/>
      <c r="BK176" s="93"/>
      <c r="BL176" s="93"/>
      <c r="BM176" s="93"/>
      <c r="BN176" s="93"/>
      <c r="BO176" s="93"/>
      <c r="BP176" s="93"/>
      <c r="BQ176" s="93"/>
      <c r="BR176" s="93"/>
      <c r="BS176" s="93"/>
      <c r="BT176" s="93"/>
      <c r="BU176" s="93"/>
      <c r="BV176" s="93"/>
      <c r="BW176" s="93"/>
      <c r="BX176" s="93"/>
      <c r="BY176" s="93"/>
      <c r="BZ176" s="93"/>
      <c r="CA176" s="93"/>
      <c r="CB176" s="93"/>
      <c r="CC176" s="93"/>
      <c r="CD176" s="93"/>
      <c r="CE176" s="93"/>
      <c r="CF176" s="93"/>
      <c r="CG176" s="93"/>
      <c r="CH176" s="93"/>
      <c r="CI176" s="93"/>
      <c r="CJ176" s="93"/>
      <c r="CK176" s="93"/>
      <c r="CL176" s="93"/>
      <c r="CM176" s="93"/>
      <c r="CN176" s="93"/>
      <c r="CO176" s="93"/>
      <c r="CP176" s="93"/>
      <c r="CQ176" s="93"/>
      <c r="CR176" s="93"/>
      <c r="CS176" s="93"/>
      <c r="CT176" s="93"/>
      <c r="CU176" s="93"/>
      <c r="CV176" s="93"/>
      <c r="CW176" s="93"/>
      <c r="CX176" s="93"/>
    </row>
    <row r="177" spans="1:102" ht="33.75" hidden="1" customHeight="1">
      <c r="A177" s="93">
        <v>850</v>
      </c>
      <c r="B177" s="93" t="e">
        <f>VLOOKUP($A177,  'Matriz POA 2024-TRABAJO'!$A$5:$CY$9142,29,FALSE)</f>
        <v>#N/A</v>
      </c>
      <c r="C177" s="93" t="e">
        <f>VLOOKUP($A177, 'Matriz POA 2024-TRABAJO'!$A$5:$CY$9142,11,FALSE)</f>
        <v>#N/A</v>
      </c>
      <c r="D177" s="93" t="e">
        <f>VLOOKUP($A177, 'Matriz POA 2024-TRABAJO'!$A$5:$CY$9142,14,FALSE)</f>
        <v>#N/A</v>
      </c>
      <c r="E177" s="93" t="e">
        <f>VLOOKUP($A177, 'Matriz POA 2024-TRABAJO'!$A$5:$CY$9142,15,FALSE)</f>
        <v>#N/A</v>
      </c>
      <c r="F177" s="93" t="e">
        <f>VLOOKUP($A177, 'Matriz POA 2024-TRABAJO'!$A$5:$CY$9142,18,FALSE)</f>
        <v>#N/A</v>
      </c>
      <c r="G177" s="93" t="e">
        <f>VLOOKUP($A177, 'Matriz POA 2024-TRABAJO'!$A$5:$CY$9142,23,FALSE)</f>
        <v>#N/A</v>
      </c>
      <c r="H177" s="93" t="e">
        <f>VLOOKUP($A177, 'Matriz POA 2024-TRABAJO'!$A$5:$CY$9142,24,FALSE)</f>
        <v>#N/A</v>
      </c>
      <c r="I177" s="93" t="e">
        <f>VLOOKUP($A177, 'Matriz POA 2024-TRABAJO'!$A$5:$CY$9142,20,FALSE)</f>
        <v>#N/A</v>
      </c>
      <c r="J177" s="93" t="e">
        <f>VLOOKUP($A177, 'Matriz POA 2024-TRABAJO'!$A$5:$CY$9142,26,FALSE)</f>
        <v>#N/A</v>
      </c>
      <c r="K177" s="93" t="e">
        <f>VLOOKUP($A177, 'Matriz POA 2024-TRABAJO'!$A$5:$CY$9142,27,FALSE)</f>
        <v>#N/A</v>
      </c>
      <c r="L177" s="93" t="e">
        <f>VLOOKUP($A177, 'Matriz POA 2024-TRABAJO'!$A$5:$CY$9142,28,FALSE)</f>
        <v>#N/A</v>
      </c>
      <c r="M177" s="93" t="e">
        <f>VLOOKUP($A177, 'Matriz POA 2024-TRABAJO'!$A$5:$CY$9142,30,FALSE)</f>
        <v>#N/A</v>
      </c>
      <c r="N177" s="93" t="e">
        <f>VLOOKUP($A177, 'Matriz POA 2024-TRABAJO'!$A$5:$CY$9142,31,FALSE)</f>
        <v>#N/A</v>
      </c>
      <c r="O177" s="93" t="e">
        <f>VLOOKUP($A177, 'Matriz POA 2024-TRABAJO'!$A$5:$CY$9142,45,FALSE)</f>
        <v>#N/A</v>
      </c>
      <c r="P177" s="93" t="e">
        <f>VLOOKUP($A177, 'Matriz POA 2024-TRABAJO'!$A$5:$CY$9142,46,FALSE)</f>
        <v>#N/A</v>
      </c>
      <c r="Q177" s="93" t="e">
        <f>VLOOKUP($A177, 'Matriz POA 2024-TRABAJO'!$A$5:$CY$9142,47,FALSE)</f>
        <v>#N/A</v>
      </c>
      <c r="R177" s="94">
        <f t="shared" si="123"/>
        <v>62838.479999999996</v>
      </c>
      <c r="S177" s="95" t="e">
        <f t="shared" si="124"/>
        <v>#N/A</v>
      </c>
      <c r="T177" s="93" t="e">
        <f>VLOOKUP($A177, 'Matriz POA 2024-TRABAJO'!$A$5:$CY$9142,72,FALSE)</f>
        <v>#N/A</v>
      </c>
      <c r="U177" s="93" t="e">
        <f>VLOOKUP($A177, 'Matriz POA 2024-TRABAJO'!$A$5:$CY$9142,29,FALSE)</f>
        <v>#N/A</v>
      </c>
      <c r="V177" s="93" t="str">
        <f t="shared" si="190"/>
        <v>56ar-81ar-</v>
      </c>
      <c r="W177" s="93" t="s">
        <v>1002</v>
      </c>
      <c r="X177" s="105">
        <v>45392</v>
      </c>
      <c r="Y177" s="93" t="s">
        <v>1851</v>
      </c>
      <c r="Z177" s="105">
        <v>45393</v>
      </c>
      <c r="AA177" s="93">
        <v>37152</v>
      </c>
      <c r="AB177" s="93"/>
      <c r="AC177" s="93">
        <f t="shared" si="187"/>
        <v>1</v>
      </c>
      <c r="AD177" s="93" t="s">
        <v>1259</v>
      </c>
      <c r="AE177" s="93" t="s">
        <v>1852</v>
      </c>
      <c r="AF177" s="105">
        <v>45439</v>
      </c>
      <c r="AG177" s="93"/>
      <c r="AH177" s="105">
        <v>45440</v>
      </c>
      <c r="AI177" s="93">
        <v>25686.479999999996</v>
      </c>
      <c r="AJ177" s="93"/>
      <c r="AK177" s="93">
        <f t="shared" si="188"/>
        <v>1</v>
      </c>
      <c r="AL177" s="357" t="s">
        <v>1853</v>
      </c>
      <c r="AM177" s="357"/>
      <c r="AN177" s="357"/>
      <c r="AO177" s="93"/>
      <c r="AP177" s="93"/>
      <c r="AQ177" s="93"/>
      <c r="AR177" s="93"/>
      <c r="AS177" s="93">
        <f t="shared" si="189"/>
        <v>0</v>
      </c>
      <c r="AT177" s="93"/>
      <c r="AU177" s="93"/>
      <c r="AV177" s="93"/>
      <c r="AW177" s="93"/>
      <c r="AX177" s="93"/>
      <c r="AY177" s="93"/>
      <c r="AZ177" s="93"/>
      <c r="BA177" s="93"/>
      <c r="BB177" s="93"/>
      <c r="BC177" s="93"/>
      <c r="BD177" s="93"/>
      <c r="BE177" s="93"/>
      <c r="BF177" s="93"/>
      <c r="BG177" s="93"/>
      <c r="BH177" s="93"/>
      <c r="BI177" s="93"/>
      <c r="BJ177" s="93"/>
      <c r="BK177" s="93"/>
      <c r="BL177" s="93"/>
      <c r="BM177" s="93"/>
      <c r="BN177" s="93"/>
      <c r="BO177" s="93"/>
      <c r="BP177" s="93"/>
      <c r="BQ177" s="93"/>
      <c r="BR177" s="93"/>
      <c r="BS177" s="93"/>
      <c r="BT177" s="93"/>
      <c r="BU177" s="93"/>
      <c r="BV177" s="93"/>
      <c r="BW177" s="93"/>
      <c r="BX177" s="93"/>
      <c r="BY177" s="93"/>
      <c r="BZ177" s="93"/>
      <c r="CA177" s="93"/>
      <c r="CB177" s="93"/>
      <c r="CC177" s="93"/>
      <c r="CD177" s="93"/>
      <c r="CE177" s="93"/>
      <c r="CF177" s="93"/>
      <c r="CG177" s="93"/>
      <c r="CH177" s="93"/>
      <c r="CI177" s="93"/>
      <c r="CJ177" s="93"/>
      <c r="CK177" s="93"/>
      <c r="CL177" s="93"/>
      <c r="CM177" s="93"/>
      <c r="CN177" s="93"/>
      <c r="CO177" s="93"/>
      <c r="CP177" s="93"/>
      <c r="CQ177" s="93"/>
      <c r="CR177" s="93"/>
      <c r="CS177" s="93"/>
      <c r="CT177" s="93"/>
      <c r="CU177" s="93"/>
      <c r="CV177" s="93"/>
      <c r="CW177" s="93"/>
      <c r="CX177" s="93"/>
    </row>
    <row r="178" spans="1:102" ht="15" hidden="1" customHeight="1">
      <c r="A178" s="93">
        <v>846</v>
      </c>
      <c r="B178" s="93" t="e">
        <f>VLOOKUP($A178,  'Matriz POA 2024-TRABAJO'!$A$5:$CY$9142,29,FALSE)</f>
        <v>#N/A</v>
      </c>
      <c r="C178" s="93" t="e">
        <f>VLOOKUP($A178, 'Matriz POA 2024-TRABAJO'!$A$5:$CY$9142,11,FALSE)</f>
        <v>#N/A</v>
      </c>
      <c r="D178" s="93" t="e">
        <f>VLOOKUP($A178, 'Matriz POA 2024-TRABAJO'!$A$5:$CY$9142,14,FALSE)</f>
        <v>#N/A</v>
      </c>
      <c r="E178" s="93" t="e">
        <f>VLOOKUP($A178, 'Matriz POA 2024-TRABAJO'!$A$5:$CY$9142,15,FALSE)</f>
        <v>#N/A</v>
      </c>
      <c r="F178" s="93" t="e">
        <f>VLOOKUP($A178, 'Matriz POA 2024-TRABAJO'!$A$5:$CY$9142,18,FALSE)</f>
        <v>#N/A</v>
      </c>
      <c r="G178" s="93" t="e">
        <f>VLOOKUP($A178, 'Matriz POA 2024-TRABAJO'!$A$5:$CY$9142,23,FALSE)</f>
        <v>#N/A</v>
      </c>
      <c r="H178" s="93" t="e">
        <f>VLOOKUP($A178, 'Matriz POA 2024-TRABAJO'!$A$5:$CY$9142,24,FALSE)</f>
        <v>#N/A</v>
      </c>
      <c r="I178" s="93" t="e">
        <f>VLOOKUP($A178, 'Matriz POA 2024-TRABAJO'!$A$5:$CY$9142,20,FALSE)</f>
        <v>#N/A</v>
      </c>
      <c r="J178" s="93" t="e">
        <f>VLOOKUP($A178, 'Matriz POA 2024-TRABAJO'!$A$5:$CY$9142,26,FALSE)</f>
        <v>#N/A</v>
      </c>
      <c r="K178" s="93" t="e">
        <f>VLOOKUP($A178, 'Matriz POA 2024-TRABAJO'!$A$5:$CY$9142,27,FALSE)</f>
        <v>#N/A</v>
      </c>
      <c r="L178" s="93" t="e">
        <f>VLOOKUP($A178, 'Matriz POA 2024-TRABAJO'!$A$5:$CY$9142,28,FALSE)</f>
        <v>#N/A</v>
      </c>
      <c r="M178" s="93" t="e">
        <f>VLOOKUP($A178, 'Matriz POA 2024-TRABAJO'!$A$5:$CY$9142,30,FALSE)</f>
        <v>#N/A</v>
      </c>
      <c r="N178" s="93" t="e">
        <f>VLOOKUP($A178, 'Matriz POA 2024-TRABAJO'!$A$5:$CY$9142,31,FALSE)</f>
        <v>#N/A</v>
      </c>
      <c r="O178" s="93" t="e">
        <f>VLOOKUP($A178, 'Matriz POA 2024-TRABAJO'!$A$5:$CY$9142,45,FALSE)</f>
        <v>#N/A</v>
      </c>
      <c r="P178" s="93" t="e">
        <f>VLOOKUP($A178, 'Matriz POA 2024-TRABAJO'!$A$5:$CY$9142,46,FALSE)</f>
        <v>#N/A</v>
      </c>
      <c r="Q178" s="93" t="e">
        <f>VLOOKUP($A178, 'Matriz POA 2024-TRABAJO'!$A$5:$CY$9142,47,FALSE)</f>
        <v>#N/A</v>
      </c>
      <c r="R178" s="94">
        <f t="shared" si="123"/>
        <v>160</v>
      </c>
      <c r="S178" s="95" t="e">
        <f t="shared" si="124"/>
        <v>#N/A</v>
      </c>
      <c r="T178" s="93" t="e">
        <f>VLOOKUP($A178, 'Matriz POA 2024-TRABAJO'!$A$5:$CY$9142,72,FALSE)</f>
        <v>#N/A</v>
      </c>
      <c r="U178" s="93" t="e">
        <f>VLOOKUP($A178, 'Matriz POA 2024-TRABAJO'!$A$5:$CY$9142,29,FALSE)</f>
        <v>#N/A</v>
      </c>
      <c r="V178" s="93" t="str">
        <f t="shared" si="190"/>
        <v>57MG-</v>
      </c>
      <c r="W178" s="93" t="s">
        <v>1260</v>
      </c>
      <c r="X178" s="105">
        <v>45393</v>
      </c>
      <c r="Y178" s="93" t="s">
        <v>1261</v>
      </c>
      <c r="Z178" s="105">
        <v>45394</v>
      </c>
      <c r="AA178" s="93">
        <v>160</v>
      </c>
      <c r="AB178" s="93"/>
      <c r="AC178" s="93">
        <f t="shared" si="187"/>
        <v>1</v>
      </c>
      <c r="AD178" s="93" t="s">
        <v>1262</v>
      </c>
      <c r="AE178" s="93"/>
      <c r="AF178" s="93"/>
      <c r="AG178" s="93"/>
      <c r="AH178" s="93"/>
      <c r="AI178" s="93"/>
      <c r="AJ178" s="93"/>
      <c r="AK178" s="93">
        <f t="shared" si="188"/>
        <v>0</v>
      </c>
      <c r="AL178" s="93"/>
      <c r="AM178" s="93"/>
      <c r="AN178" s="93"/>
      <c r="AO178" s="93"/>
      <c r="AP178" s="93"/>
      <c r="AQ178" s="93"/>
      <c r="AR178" s="93"/>
      <c r="AS178" s="93">
        <f t="shared" si="189"/>
        <v>0</v>
      </c>
      <c r="AT178" s="93"/>
      <c r="AU178" s="93"/>
      <c r="AV178" s="93"/>
      <c r="AW178" s="93"/>
      <c r="AX178" s="93"/>
      <c r="AY178" s="93"/>
      <c r="AZ178" s="93"/>
      <c r="BA178" s="93"/>
      <c r="BB178" s="93"/>
      <c r="BC178" s="93"/>
      <c r="BD178" s="93"/>
      <c r="BE178" s="93"/>
      <c r="BF178" s="93"/>
      <c r="BG178" s="93"/>
      <c r="BH178" s="93"/>
      <c r="BI178" s="93"/>
      <c r="BJ178" s="93"/>
      <c r="BK178" s="93"/>
      <c r="BL178" s="93"/>
      <c r="BM178" s="93"/>
      <c r="BN178" s="93"/>
      <c r="BO178" s="93"/>
      <c r="BP178" s="93"/>
      <c r="BQ178" s="93"/>
      <c r="BR178" s="93"/>
      <c r="BS178" s="93"/>
      <c r="BT178" s="93"/>
      <c r="BU178" s="93"/>
      <c r="BV178" s="93"/>
      <c r="BW178" s="93"/>
      <c r="BX178" s="93"/>
      <c r="BY178" s="93"/>
      <c r="BZ178" s="93"/>
      <c r="CA178" s="93"/>
      <c r="CB178" s="93"/>
      <c r="CC178" s="93"/>
      <c r="CD178" s="93"/>
      <c r="CE178" s="93"/>
      <c r="CF178" s="93"/>
      <c r="CG178" s="93"/>
      <c r="CH178" s="93"/>
      <c r="CI178" s="93"/>
      <c r="CJ178" s="93"/>
      <c r="CK178" s="93"/>
      <c r="CL178" s="93"/>
      <c r="CM178" s="93"/>
      <c r="CN178" s="93"/>
      <c r="CO178" s="93"/>
      <c r="CP178" s="93"/>
      <c r="CQ178" s="93"/>
      <c r="CR178" s="93"/>
      <c r="CS178" s="93"/>
      <c r="CT178" s="93"/>
      <c r="CU178" s="93"/>
      <c r="CV178" s="93"/>
      <c r="CW178" s="93"/>
      <c r="CX178" s="93"/>
    </row>
    <row r="179" spans="1:102" ht="51.75" hidden="1" customHeight="1">
      <c r="A179" s="4">
        <v>853</v>
      </c>
      <c r="B179" s="93" t="e">
        <f>VLOOKUP($A179,  'Matriz POA 2024-TRABAJO'!$A$5:$CY$9142,29,FALSE)</f>
        <v>#N/A</v>
      </c>
      <c r="C179" s="93" t="e">
        <f>VLOOKUP($A179, 'Matriz POA 2024-TRABAJO'!$A$5:$CY$9142,11,FALSE)</f>
        <v>#N/A</v>
      </c>
      <c r="D179" s="93" t="e">
        <f>VLOOKUP($A179, 'Matriz POA 2024-TRABAJO'!$A$5:$CY$9142,14,FALSE)</f>
        <v>#N/A</v>
      </c>
      <c r="E179" s="93" t="e">
        <f>VLOOKUP($A179, 'Matriz POA 2024-TRABAJO'!$A$5:$CY$9142,15,FALSE)</f>
        <v>#N/A</v>
      </c>
      <c r="F179" s="93" t="e">
        <f>VLOOKUP($A179, 'Matriz POA 2024-TRABAJO'!$A$5:$CY$9142,18,FALSE)</f>
        <v>#N/A</v>
      </c>
      <c r="G179" s="93" t="e">
        <f>VLOOKUP($A179, 'Matriz POA 2024-TRABAJO'!$A$5:$CY$9142,23,FALSE)</f>
        <v>#N/A</v>
      </c>
      <c r="H179" s="93" t="e">
        <f>VLOOKUP($A179, 'Matriz POA 2024-TRABAJO'!$A$5:$CY$9142,24,FALSE)</f>
        <v>#N/A</v>
      </c>
      <c r="I179" s="93" t="e">
        <f>VLOOKUP($A179, 'Matriz POA 2024-TRABAJO'!$A$5:$CY$9142,20,FALSE)</f>
        <v>#N/A</v>
      </c>
      <c r="J179" s="93" t="e">
        <f>VLOOKUP($A179, 'Matriz POA 2024-TRABAJO'!$A$5:$CY$9142,26,FALSE)</f>
        <v>#N/A</v>
      </c>
      <c r="K179" s="93" t="e">
        <f>VLOOKUP($A179, 'Matriz POA 2024-TRABAJO'!$A$5:$CY$9142,27,FALSE)</f>
        <v>#N/A</v>
      </c>
      <c r="L179" s="93" t="e">
        <f>VLOOKUP($A179, 'Matriz POA 2024-TRABAJO'!$A$5:$CY$9142,28,FALSE)</f>
        <v>#N/A</v>
      </c>
      <c r="M179" s="93" t="e">
        <f>VLOOKUP($A179, 'Matriz POA 2024-TRABAJO'!$A$5:$CY$9142,30,FALSE)</f>
        <v>#N/A</v>
      </c>
      <c r="N179" s="93" t="e">
        <f>VLOOKUP($A179, 'Matriz POA 2024-TRABAJO'!$A$5:$CY$9142,31,FALSE)</f>
        <v>#N/A</v>
      </c>
      <c r="O179" s="93" t="e">
        <f>VLOOKUP($A179, 'Matriz POA 2024-TRABAJO'!$A$5:$CY$9142,45,FALSE)</f>
        <v>#N/A</v>
      </c>
      <c r="P179" s="93" t="e">
        <f>VLOOKUP($A179, 'Matriz POA 2024-TRABAJO'!$A$5:$CY$9142,46,FALSE)</f>
        <v>#N/A</v>
      </c>
      <c r="Q179" s="93" t="e">
        <f>VLOOKUP($A179, 'Matriz POA 2024-TRABAJO'!$A$5:$CY$9142,47,FALSE)</f>
        <v>#N/A</v>
      </c>
      <c r="R179" s="94">
        <f t="shared" si="123"/>
        <v>5000</v>
      </c>
      <c r="S179" s="95" t="e">
        <f t="shared" si="124"/>
        <v>#N/A</v>
      </c>
      <c r="T179" s="93" t="e">
        <f>VLOOKUP($A179, 'Matriz POA 2024-TRABAJO'!$A$5:$CY$9142,72,FALSE)</f>
        <v>#N/A</v>
      </c>
      <c r="U179" s="93" t="e">
        <f>VLOOKUP($A179, 'Matriz POA 2024-TRABAJO'!$A$5:$CY$9142,29,FALSE)</f>
        <v>#N/A</v>
      </c>
      <c r="V179" s="93" t="str">
        <f t="shared" si="190"/>
        <v>58mg-</v>
      </c>
      <c r="W179" s="93" t="s">
        <v>1263</v>
      </c>
      <c r="X179" s="103">
        <v>45399</v>
      </c>
      <c r="Y179" s="93" t="s">
        <v>1800</v>
      </c>
      <c r="Z179" s="426">
        <v>45399</v>
      </c>
      <c r="AA179" s="93">
        <v>5000</v>
      </c>
      <c r="AB179" s="93"/>
      <c r="AC179" s="93">
        <f t="shared" si="187"/>
        <v>0</v>
      </c>
      <c r="AD179" s="93" t="s">
        <v>1264</v>
      </c>
      <c r="AE179" s="93"/>
      <c r="AF179" s="93"/>
      <c r="AG179" s="93"/>
      <c r="AH179" s="93"/>
      <c r="AI179" s="93"/>
      <c r="AJ179" s="93"/>
      <c r="AK179" s="93">
        <f t="shared" si="188"/>
        <v>0</v>
      </c>
      <c r="AL179" s="382"/>
      <c r="AM179" s="382"/>
      <c r="AN179" s="382"/>
      <c r="AO179" s="93"/>
      <c r="AP179" s="93"/>
      <c r="AQ179" s="93"/>
      <c r="AR179" s="93"/>
      <c r="AS179" s="93">
        <f t="shared" si="189"/>
        <v>0</v>
      </c>
      <c r="AT179" s="93"/>
      <c r="AU179" s="93"/>
      <c r="AV179" s="93"/>
      <c r="AW179" s="93"/>
      <c r="AX179" s="93"/>
      <c r="AY179" s="93"/>
      <c r="AZ179" s="93"/>
      <c r="BA179" s="93"/>
      <c r="BB179" s="93"/>
      <c r="BC179" s="93"/>
      <c r="BD179" s="93"/>
      <c r="BE179" s="93"/>
      <c r="BF179" s="93"/>
      <c r="BG179" s="93"/>
      <c r="BH179" s="93"/>
      <c r="BI179" s="93"/>
      <c r="BJ179" s="93"/>
      <c r="BK179" s="93"/>
      <c r="BL179" s="93"/>
      <c r="BM179" s="93"/>
      <c r="BN179" s="93"/>
      <c r="BO179" s="93"/>
      <c r="BP179" s="93"/>
      <c r="BQ179" s="93"/>
      <c r="BR179" s="93"/>
      <c r="BS179" s="93"/>
      <c r="BT179" s="93"/>
      <c r="BU179" s="93"/>
      <c r="BV179" s="93"/>
      <c r="BW179" s="93"/>
      <c r="BX179" s="93"/>
      <c r="BY179" s="93"/>
      <c r="BZ179" s="93"/>
      <c r="CA179" s="93"/>
      <c r="CB179" s="93"/>
      <c r="CC179" s="93"/>
      <c r="CD179" s="93"/>
      <c r="CE179" s="93"/>
      <c r="CF179" s="93"/>
      <c r="CG179" s="93"/>
      <c r="CH179" s="93"/>
      <c r="CI179" s="93"/>
      <c r="CJ179" s="93"/>
      <c r="CK179" s="93"/>
      <c r="CL179" s="93"/>
      <c r="CM179" s="93"/>
      <c r="CN179" s="93"/>
      <c r="CO179" s="93"/>
      <c r="CP179" s="93"/>
      <c r="CQ179" s="93"/>
      <c r="CR179" s="93"/>
      <c r="CS179" s="93"/>
      <c r="CT179" s="93"/>
      <c r="CU179" s="93"/>
      <c r="CV179" s="93"/>
      <c r="CW179" s="93"/>
      <c r="CX179" s="93"/>
    </row>
    <row r="180" spans="1:102" ht="81.75" hidden="1" customHeight="1">
      <c r="A180" s="4">
        <v>854</v>
      </c>
      <c r="B180" s="93" t="e">
        <f>VLOOKUP($A180,  'Matriz POA 2024-TRABAJO'!$A$5:$CY$9142,29,FALSE)</f>
        <v>#N/A</v>
      </c>
      <c r="C180" s="93" t="e">
        <f>VLOOKUP($A180, 'Matriz POA 2024-TRABAJO'!$A$5:$CY$9142,11,FALSE)</f>
        <v>#N/A</v>
      </c>
      <c r="D180" s="93" t="e">
        <f>VLOOKUP($A180, 'Matriz POA 2024-TRABAJO'!$A$5:$CY$9142,14,FALSE)</f>
        <v>#N/A</v>
      </c>
      <c r="E180" s="93" t="e">
        <f>VLOOKUP($A180, 'Matriz POA 2024-TRABAJO'!$A$5:$CY$9142,15,FALSE)</f>
        <v>#N/A</v>
      </c>
      <c r="F180" s="93" t="e">
        <f>VLOOKUP($A180, 'Matriz POA 2024-TRABAJO'!$A$5:$CY$9142,18,FALSE)</f>
        <v>#N/A</v>
      </c>
      <c r="G180" s="93" t="e">
        <f>VLOOKUP($A180, 'Matriz POA 2024-TRABAJO'!$A$5:$CY$9142,23,FALSE)</f>
        <v>#N/A</v>
      </c>
      <c r="H180" s="93" t="e">
        <f>VLOOKUP($A180, 'Matriz POA 2024-TRABAJO'!$A$5:$CY$9142,24,FALSE)</f>
        <v>#N/A</v>
      </c>
      <c r="I180" s="93" t="e">
        <f>VLOOKUP($A180, 'Matriz POA 2024-TRABAJO'!$A$5:$CY$9142,20,FALSE)</f>
        <v>#N/A</v>
      </c>
      <c r="J180" s="93" t="e">
        <f>VLOOKUP($A180, 'Matriz POA 2024-TRABAJO'!$A$5:$CY$9142,26,FALSE)</f>
        <v>#N/A</v>
      </c>
      <c r="K180" s="93" t="e">
        <f>VLOOKUP($A180, 'Matriz POA 2024-TRABAJO'!$A$5:$CY$9142,27,FALSE)</f>
        <v>#N/A</v>
      </c>
      <c r="L180" s="93" t="e">
        <f>VLOOKUP($A180, 'Matriz POA 2024-TRABAJO'!$A$5:$CY$9142,28,FALSE)</f>
        <v>#N/A</v>
      </c>
      <c r="M180" s="93" t="e">
        <f>VLOOKUP($A180, 'Matriz POA 2024-TRABAJO'!$A$5:$CY$9142,30,FALSE)</f>
        <v>#N/A</v>
      </c>
      <c r="N180" s="93" t="e">
        <f>VLOOKUP($A180, 'Matriz POA 2024-TRABAJO'!$A$5:$CY$9142,31,FALSE)</f>
        <v>#N/A</v>
      </c>
      <c r="O180" s="384" t="e">
        <f>VLOOKUP($A180, 'Matriz POA 2024-TRABAJO'!$A$5:$CY$9142,45,FALSE)</f>
        <v>#N/A</v>
      </c>
      <c r="P180" s="384" t="e">
        <f>VLOOKUP($A180, 'Matriz POA 2024-TRABAJO'!$A$5:$CY$9142,46,FALSE)</f>
        <v>#N/A</v>
      </c>
      <c r="Q180" s="93" t="e">
        <f>VLOOKUP($A180, 'Matriz POA 2024-TRABAJO'!$A$5:$CY$9142,47,FALSE)</f>
        <v>#N/A</v>
      </c>
      <c r="R180" s="94">
        <f t="shared" si="123"/>
        <v>0</v>
      </c>
      <c r="S180" s="95" t="e">
        <f t="shared" si="124"/>
        <v>#N/A</v>
      </c>
      <c r="T180" s="93" t="e">
        <f>VLOOKUP($A180, 'Matriz POA 2024-TRABAJO'!$A$5:$CY$9142,72,FALSE)</f>
        <v>#N/A</v>
      </c>
      <c r="U180" s="93" t="e">
        <f>VLOOKUP($A180, 'Matriz POA 2024-TRABAJO'!$A$5:$CY$9142,29,FALSE)</f>
        <v>#N/A</v>
      </c>
      <c r="V180" s="93" t="str">
        <f t="shared" si="190"/>
        <v>59mg-lt59mg-</v>
      </c>
      <c r="W180" s="15" t="s">
        <v>1005</v>
      </c>
      <c r="X180" s="16">
        <v>45404</v>
      </c>
      <c r="Y180" s="15" t="s">
        <v>1006</v>
      </c>
      <c r="Z180" s="16">
        <v>45404</v>
      </c>
      <c r="AA180" s="383">
        <v>6659.36</v>
      </c>
      <c r="AB180" s="93"/>
      <c r="AC180" s="93">
        <f t="shared" ref="AC180:AC187" si="191">Z180-X180</f>
        <v>0</v>
      </c>
      <c r="AD180" s="93" t="s">
        <v>1265</v>
      </c>
      <c r="AE180" s="93" t="s">
        <v>1795</v>
      </c>
      <c r="AF180" s="103">
        <v>45421</v>
      </c>
      <c r="AG180" s="93" t="s">
        <v>1809</v>
      </c>
      <c r="AH180" s="103">
        <v>45425</v>
      </c>
      <c r="AI180" s="383">
        <v>-6659.36</v>
      </c>
      <c r="AJ180" s="93"/>
      <c r="AK180" s="93">
        <f t="shared" ref="AK180:AK187" si="192">AH180-AF180</f>
        <v>4</v>
      </c>
      <c r="AL180" s="93" t="s">
        <v>1803</v>
      </c>
      <c r="AM180" s="93"/>
      <c r="AN180" s="93"/>
      <c r="AO180" s="93"/>
      <c r="AP180" s="93"/>
      <c r="AQ180" s="93"/>
      <c r="AR180" s="93"/>
      <c r="AS180" s="93">
        <f t="shared" ref="AS180:AS187" si="193">AP180-AN180</f>
        <v>0</v>
      </c>
      <c r="AT180" s="93"/>
      <c r="AU180" s="93"/>
      <c r="AV180" s="93"/>
      <c r="AW180" s="93"/>
      <c r="AX180" s="93"/>
      <c r="AY180" s="93"/>
      <c r="AZ180" s="93"/>
      <c r="BA180" s="93"/>
      <c r="BB180" s="93"/>
      <c r="BC180" s="93"/>
      <c r="BD180" s="93"/>
      <c r="BE180" s="93"/>
      <c r="BF180" s="93"/>
      <c r="BG180" s="93"/>
      <c r="BH180" s="93"/>
      <c r="BI180" s="93"/>
      <c r="BJ180" s="93"/>
      <c r="BK180" s="93"/>
      <c r="BL180" s="93"/>
      <c r="BM180" s="93"/>
      <c r="BN180" s="93"/>
      <c r="BO180" s="93"/>
      <c r="BP180" s="93"/>
      <c r="BQ180" s="93"/>
      <c r="BR180" s="93"/>
      <c r="BS180" s="93"/>
      <c r="BT180" s="93"/>
      <c r="BU180" s="93"/>
      <c r="BV180" s="93"/>
      <c r="BW180" s="93"/>
      <c r="BX180" s="93"/>
      <c r="BY180" s="93"/>
      <c r="BZ180" s="93"/>
      <c r="CA180" s="93"/>
      <c r="CB180" s="93"/>
      <c r="CC180" s="93"/>
      <c r="CD180" s="93"/>
      <c r="CE180" s="93"/>
      <c r="CF180" s="93"/>
      <c r="CG180" s="93"/>
      <c r="CH180" s="93"/>
      <c r="CI180" s="93"/>
      <c r="CJ180" s="93"/>
      <c r="CK180" s="93"/>
      <c r="CL180" s="93"/>
      <c r="CM180" s="93"/>
      <c r="CN180" s="93"/>
      <c r="CO180" s="93"/>
      <c r="CP180" s="93"/>
      <c r="CQ180" s="93"/>
      <c r="CR180" s="93"/>
      <c r="CS180" s="93"/>
      <c r="CT180" s="93"/>
      <c r="CU180" s="93"/>
      <c r="CV180" s="93"/>
      <c r="CW180" s="93"/>
      <c r="CX180" s="93"/>
    </row>
    <row r="181" spans="1:102" ht="15" hidden="1" customHeight="1">
      <c r="A181" s="93">
        <v>35</v>
      </c>
      <c r="B181" s="93" t="e">
        <f>VLOOKUP($A181,  'Matriz POA 2024-TRABAJO'!$A$5:$CY$9142,29,FALSE)</f>
        <v>#N/A</v>
      </c>
      <c r="C181" s="93" t="e">
        <f>VLOOKUP($A181, 'Matriz POA 2024-TRABAJO'!$A$5:$CY$9142,11,FALSE)</f>
        <v>#N/A</v>
      </c>
      <c r="D181" s="93" t="e">
        <f>VLOOKUP($A181, 'Matriz POA 2024-TRABAJO'!$A$5:$CY$9142,14,FALSE)</f>
        <v>#N/A</v>
      </c>
      <c r="E181" s="93" t="e">
        <f>VLOOKUP($A181, 'Matriz POA 2024-TRABAJO'!$A$5:$CY$9142,15,FALSE)</f>
        <v>#N/A</v>
      </c>
      <c r="F181" s="93" t="e">
        <f>VLOOKUP($A181, 'Matriz POA 2024-TRABAJO'!$A$5:$CY$9142,18,FALSE)</f>
        <v>#N/A</v>
      </c>
      <c r="G181" s="93" t="e">
        <f>VLOOKUP($A181, 'Matriz POA 2024-TRABAJO'!$A$5:$CY$9142,23,FALSE)</f>
        <v>#N/A</v>
      </c>
      <c r="H181" s="93" t="e">
        <f>VLOOKUP($A181, 'Matriz POA 2024-TRABAJO'!$A$5:$CY$9142,24,FALSE)</f>
        <v>#N/A</v>
      </c>
      <c r="I181" s="93" t="e">
        <f>VLOOKUP($A181, 'Matriz POA 2024-TRABAJO'!$A$5:$CY$9142,20,FALSE)</f>
        <v>#N/A</v>
      </c>
      <c r="J181" s="93" t="e">
        <f>VLOOKUP($A181, 'Matriz POA 2024-TRABAJO'!$A$5:$CY$9142,26,FALSE)</f>
        <v>#N/A</v>
      </c>
      <c r="K181" s="93" t="e">
        <f>VLOOKUP($A181, 'Matriz POA 2024-TRABAJO'!$A$5:$CY$9142,27,FALSE)</f>
        <v>#N/A</v>
      </c>
      <c r="L181" s="93" t="e">
        <f>VLOOKUP($A181, 'Matriz POA 2024-TRABAJO'!$A$5:$CY$9142,28,FALSE)</f>
        <v>#N/A</v>
      </c>
      <c r="M181" s="93" t="e">
        <f>VLOOKUP($A181, 'Matriz POA 2024-TRABAJO'!$A$5:$CY$9142,30,FALSE)</f>
        <v>#N/A</v>
      </c>
      <c r="N181" s="93" t="e">
        <f>VLOOKUP($A181, 'Matriz POA 2024-TRABAJO'!$A$5:$CY$9142,31,FALSE)</f>
        <v>#N/A</v>
      </c>
      <c r="O181" s="93" t="e">
        <f>VLOOKUP($A181, 'Matriz POA 2024-TRABAJO'!$A$5:$CY$9142,45,FALSE)</f>
        <v>#N/A</v>
      </c>
      <c r="P181" s="93" t="e">
        <f>VLOOKUP($A181, 'Matriz POA 2024-TRABAJO'!$A$5:$CY$9142,46,FALSE)</f>
        <v>#N/A</v>
      </c>
      <c r="Q181" s="93" t="e">
        <f>VLOOKUP($A181, 'Matriz POA 2024-TRABAJO'!$A$5:$CY$9142,47,FALSE)</f>
        <v>#N/A</v>
      </c>
      <c r="R181" s="94">
        <f t="shared" si="123"/>
        <v>15000</v>
      </c>
      <c r="S181" s="95" t="e">
        <f t="shared" si="124"/>
        <v>#N/A</v>
      </c>
      <c r="T181" s="93" t="e">
        <f>VLOOKUP($A181, 'Matriz POA 2024-TRABAJO'!$A$5:$CY$9142,72,FALSE)</f>
        <v>#N/A</v>
      </c>
      <c r="U181" s="93" t="e">
        <f>VLOOKUP($A181, 'Matriz POA 2024-TRABAJO'!$A$5:$CY$9142,29,FALSE)</f>
        <v>#N/A</v>
      </c>
      <c r="V181" s="93" t="str">
        <f t="shared" si="190"/>
        <v>60ar-</v>
      </c>
      <c r="W181" s="385" t="s">
        <v>1266</v>
      </c>
      <c r="X181" s="159">
        <v>45404</v>
      </c>
      <c r="Y181" s="149" t="s">
        <v>1267</v>
      </c>
      <c r="Z181" s="159">
        <v>45405</v>
      </c>
      <c r="AA181" s="93">
        <v>15000</v>
      </c>
      <c r="AB181" s="93"/>
      <c r="AC181" s="93">
        <f t="shared" si="191"/>
        <v>1</v>
      </c>
      <c r="AD181" s="93" t="s">
        <v>1268</v>
      </c>
      <c r="AE181" s="93"/>
      <c r="AF181" s="93"/>
      <c r="AG181" s="93"/>
      <c r="AH181" s="93"/>
      <c r="AI181" s="93"/>
      <c r="AJ181" s="93"/>
      <c r="AK181" s="93">
        <f t="shared" si="192"/>
        <v>0</v>
      </c>
      <c r="AL181" s="93"/>
      <c r="AM181" s="93"/>
      <c r="AN181" s="93"/>
      <c r="AO181" s="93"/>
      <c r="AP181" s="93"/>
      <c r="AQ181" s="93"/>
      <c r="AR181" s="93"/>
      <c r="AS181" s="93">
        <f t="shared" si="193"/>
        <v>0</v>
      </c>
      <c r="AT181" s="93"/>
      <c r="AU181" s="93"/>
      <c r="AV181" s="93"/>
      <c r="AW181" s="93"/>
      <c r="AX181" s="93"/>
      <c r="AY181" s="93"/>
      <c r="AZ181" s="93"/>
      <c r="BA181" s="93"/>
      <c r="BB181" s="93"/>
      <c r="BC181" s="93"/>
      <c r="BD181" s="93"/>
      <c r="BE181" s="93"/>
      <c r="BF181" s="93"/>
      <c r="BG181" s="93"/>
      <c r="BH181" s="93"/>
      <c r="BI181" s="93"/>
      <c r="BJ181" s="93"/>
      <c r="BK181" s="93"/>
      <c r="BL181" s="93"/>
      <c r="BM181" s="93"/>
      <c r="BN181" s="93"/>
      <c r="BO181" s="93"/>
      <c r="BP181" s="93"/>
      <c r="BQ181" s="93"/>
      <c r="BR181" s="93"/>
      <c r="BS181" s="93"/>
      <c r="BT181" s="93"/>
      <c r="BU181" s="93"/>
      <c r="BV181" s="93"/>
      <c r="BW181" s="93"/>
      <c r="BX181" s="93"/>
      <c r="BY181" s="93"/>
      <c r="BZ181" s="93"/>
      <c r="CA181" s="93"/>
      <c r="CB181" s="93"/>
      <c r="CC181" s="93"/>
      <c r="CD181" s="93"/>
      <c r="CE181" s="93"/>
      <c r="CF181" s="93"/>
      <c r="CG181" s="93"/>
      <c r="CH181" s="93"/>
      <c r="CI181" s="93"/>
      <c r="CJ181" s="93"/>
      <c r="CK181" s="93"/>
      <c r="CL181" s="93"/>
      <c r="CM181" s="93"/>
      <c r="CN181" s="93"/>
      <c r="CO181" s="93"/>
      <c r="CP181" s="93"/>
      <c r="CQ181" s="93"/>
      <c r="CR181" s="93"/>
      <c r="CS181" s="93"/>
      <c r="CT181" s="93"/>
      <c r="CU181" s="93"/>
      <c r="CV181" s="93"/>
      <c r="CW181" s="93"/>
      <c r="CX181" s="93"/>
    </row>
    <row r="182" spans="1:102" ht="15" hidden="1" customHeight="1">
      <c r="A182" s="93">
        <v>836</v>
      </c>
      <c r="B182" s="93" t="e">
        <f>VLOOKUP($A182,  'Matriz POA 2024-TRABAJO'!$A$5:$CY$9142,29,FALSE)</f>
        <v>#N/A</v>
      </c>
      <c r="C182" s="93" t="e">
        <f>VLOOKUP($A182, 'Matriz POA 2024-TRABAJO'!$A$5:$CY$9142,11,FALSE)</f>
        <v>#N/A</v>
      </c>
      <c r="D182" s="93" t="e">
        <f>VLOOKUP($A182, 'Matriz POA 2024-TRABAJO'!$A$5:$CY$9142,14,FALSE)</f>
        <v>#N/A</v>
      </c>
      <c r="E182" s="93" t="e">
        <f>VLOOKUP($A182, 'Matriz POA 2024-TRABAJO'!$A$5:$CY$9142,15,FALSE)</f>
        <v>#N/A</v>
      </c>
      <c r="F182" s="93" t="e">
        <f>VLOOKUP($A182, 'Matriz POA 2024-TRABAJO'!$A$5:$CY$9142,18,FALSE)</f>
        <v>#N/A</v>
      </c>
      <c r="G182" s="93" t="e">
        <f>VLOOKUP($A182, 'Matriz POA 2024-TRABAJO'!$A$5:$CY$9142,23,FALSE)</f>
        <v>#N/A</v>
      </c>
      <c r="H182" s="93" t="e">
        <f>VLOOKUP($A182, 'Matriz POA 2024-TRABAJO'!$A$5:$CY$9142,24,FALSE)</f>
        <v>#N/A</v>
      </c>
      <c r="I182" s="93" t="e">
        <f>VLOOKUP($A182, 'Matriz POA 2024-TRABAJO'!$A$5:$CY$9142,20,FALSE)</f>
        <v>#N/A</v>
      </c>
      <c r="J182" s="93" t="e">
        <f>VLOOKUP($A182, 'Matriz POA 2024-TRABAJO'!$A$5:$CY$9142,26,FALSE)</f>
        <v>#N/A</v>
      </c>
      <c r="K182" s="93" t="e">
        <f>VLOOKUP($A182, 'Matriz POA 2024-TRABAJO'!$A$5:$CY$9142,27,FALSE)</f>
        <v>#N/A</v>
      </c>
      <c r="L182" s="93" t="e">
        <f>VLOOKUP($A182, 'Matriz POA 2024-TRABAJO'!$A$5:$CY$9142,28,FALSE)</f>
        <v>#N/A</v>
      </c>
      <c r="M182" s="93" t="e">
        <f>VLOOKUP($A182, 'Matriz POA 2024-TRABAJO'!$A$5:$CY$9142,30,FALSE)</f>
        <v>#N/A</v>
      </c>
      <c r="N182" s="93" t="e">
        <f>VLOOKUP($A182, 'Matriz POA 2024-TRABAJO'!$A$5:$CY$9142,31,FALSE)</f>
        <v>#N/A</v>
      </c>
      <c r="O182" s="93" t="e">
        <f>VLOOKUP($A182, 'Matriz POA 2024-TRABAJO'!$A$5:$CY$9142,45,FALSE)</f>
        <v>#N/A</v>
      </c>
      <c r="P182" s="93" t="e">
        <f>VLOOKUP($A182, 'Matriz POA 2024-TRABAJO'!$A$5:$CY$9142,46,FALSE)</f>
        <v>#N/A</v>
      </c>
      <c r="Q182" s="93" t="e">
        <f>VLOOKUP($A182, 'Matriz POA 2024-TRABAJO'!$A$5:$CY$9142,47,FALSE)</f>
        <v>#N/A</v>
      </c>
      <c r="R182" s="94">
        <f t="shared" si="123"/>
        <v>1521.35</v>
      </c>
      <c r="S182" s="95" t="e">
        <f t="shared" si="124"/>
        <v>#N/A</v>
      </c>
      <c r="T182" s="93" t="e">
        <f>VLOOKUP($A182, 'Matriz POA 2024-TRABAJO'!$A$5:$CY$9142,72,FALSE)</f>
        <v>#N/A</v>
      </c>
      <c r="U182" s="93" t="e">
        <f>VLOOKUP($A182, 'Matriz POA 2024-TRABAJO'!$A$5:$CY$9142,29,FALSE)</f>
        <v>#N/A</v>
      </c>
      <c r="V182" s="93" t="str">
        <f t="shared" si="190"/>
        <v>61ar-</v>
      </c>
      <c r="W182" s="93" t="s">
        <v>1269</v>
      </c>
      <c r="X182" s="105">
        <v>45406</v>
      </c>
      <c r="Y182" s="93" t="s">
        <v>1270</v>
      </c>
      <c r="Z182" s="105">
        <v>45406</v>
      </c>
      <c r="AA182" s="93">
        <v>1521.35</v>
      </c>
      <c r="AB182" s="93"/>
      <c r="AC182" s="93">
        <f t="shared" si="191"/>
        <v>0</v>
      </c>
      <c r="AD182" s="93" t="s">
        <v>1271</v>
      </c>
      <c r="AE182" s="93"/>
      <c r="AF182" s="93"/>
      <c r="AG182" s="93"/>
      <c r="AH182" s="93"/>
      <c r="AI182" s="93"/>
      <c r="AJ182" s="93"/>
      <c r="AK182" s="93">
        <f t="shared" si="192"/>
        <v>0</v>
      </c>
      <c r="AL182" s="93"/>
      <c r="AM182" s="93"/>
      <c r="AN182" s="93"/>
      <c r="AO182" s="93"/>
      <c r="AP182" s="93"/>
      <c r="AQ182" s="93"/>
      <c r="AR182" s="93"/>
      <c r="AS182" s="93">
        <f t="shared" si="193"/>
        <v>0</v>
      </c>
      <c r="AT182" s="93"/>
      <c r="AU182" s="93"/>
      <c r="AV182" s="93"/>
      <c r="AW182" s="93"/>
      <c r="AX182" s="93"/>
      <c r="AY182" s="93"/>
      <c r="AZ182" s="93"/>
      <c r="BA182" s="93"/>
      <c r="BB182" s="93"/>
      <c r="BC182" s="93"/>
      <c r="BD182" s="93"/>
      <c r="BE182" s="93"/>
      <c r="BF182" s="93"/>
      <c r="BG182" s="93"/>
      <c r="BH182" s="93"/>
      <c r="BI182" s="93"/>
      <c r="BJ182" s="93"/>
      <c r="BK182" s="93"/>
      <c r="BL182" s="93"/>
      <c r="BM182" s="93"/>
      <c r="BN182" s="93"/>
      <c r="BO182" s="93"/>
      <c r="BP182" s="93"/>
      <c r="BQ182" s="93"/>
      <c r="BR182" s="93"/>
      <c r="BS182" s="93"/>
      <c r="BT182" s="93"/>
      <c r="BU182" s="93"/>
      <c r="BV182" s="93"/>
      <c r="BW182" s="93"/>
      <c r="BX182" s="93"/>
      <c r="BY182" s="93"/>
      <c r="BZ182" s="93"/>
      <c r="CA182" s="93"/>
      <c r="CB182" s="93"/>
      <c r="CC182" s="93"/>
      <c r="CD182" s="93"/>
      <c r="CE182" s="93"/>
      <c r="CF182" s="93"/>
      <c r="CG182" s="93"/>
      <c r="CH182" s="93"/>
      <c r="CI182" s="93"/>
      <c r="CJ182" s="93"/>
      <c r="CK182" s="93"/>
      <c r="CL182" s="93"/>
      <c r="CM182" s="93"/>
      <c r="CN182" s="93"/>
      <c r="CO182" s="93"/>
      <c r="CP182" s="93"/>
      <c r="CQ182" s="93"/>
      <c r="CR182" s="93"/>
      <c r="CS182" s="93"/>
      <c r="CT182" s="93"/>
      <c r="CU182" s="93"/>
      <c r="CV182" s="93"/>
      <c r="CW182" s="93"/>
      <c r="CX182" s="93"/>
    </row>
    <row r="183" spans="1:102" ht="15" hidden="1" customHeight="1">
      <c r="A183" s="93">
        <v>9</v>
      </c>
      <c r="B183" s="93" t="e">
        <f>VLOOKUP($A183,  'Matriz POA 2024-TRABAJO'!$A$5:$CY$9142,29,FALSE)</f>
        <v>#N/A</v>
      </c>
      <c r="C183" s="93" t="e">
        <f>VLOOKUP($A183, 'Matriz POA 2024-TRABAJO'!$A$5:$CY$9142,11,FALSE)</f>
        <v>#N/A</v>
      </c>
      <c r="D183" s="93" t="e">
        <f>VLOOKUP($A183, 'Matriz POA 2024-TRABAJO'!$A$5:$CY$9142,14,FALSE)</f>
        <v>#N/A</v>
      </c>
      <c r="E183" s="93" t="e">
        <f>VLOOKUP($A183, 'Matriz POA 2024-TRABAJO'!$A$5:$CY$9142,15,FALSE)</f>
        <v>#N/A</v>
      </c>
      <c r="F183" s="93" t="e">
        <f>VLOOKUP($A183, 'Matriz POA 2024-TRABAJO'!$A$5:$CY$9142,18,FALSE)</f>
        <v>#N/A</v>
      </c>
      <c r="G183" s="93" t="e">
        <f>VLOOKUP($A183, 'Matriz POA 2024-TRABAJO'!$A$5:$CY$9142,23,FALSE)</f>
        <v>#N/A</v>
      </c>
      <c r="H183" s="93" t="e">
        <f>VLOOKUP($A183, 'Matriz POA 2024-TRABAJO'!$A$5:$CY$9142,24,FALSE)</f>
        <v>#N/A</v>
      </c>
      <c r="I183" s="93" t="e">
        <f>VLOOKUP($A183, 'Matriz POA 2024-TRABAJO'!$A$5:$CY$9142,20,FALSE)</f>
        <v>#N/A</v>
      </c>
      <c r="J183" s="93" t="e">
        <f>VLOOKUP($A183, 'Matriz POA 2024-TRABAJO'!$A$5:$CY$9142,26,FALSE)</f>
        <v>#N/A</v>
      </c>
      <c r="K183" s="93" t="e">
        <f>VLOOKUP($A183, 'Matriz POA 2024-TRABAJO'!$A$5:$CY$9142,27,FALSE)</f>
        <v>#N/A</v>
      </c>
      <c r="L183" s="93" t="e">
        <f>VLOOKUP($A183, 'Matriz POA 2024-TRABAJO'!$A$5:$CY$9142,28,FALSE)</f>
        <v>#N/A</v>
      </c>
      <c r="M183" s="93" t="e">
        <f>VLOOKUP($A183, 'Matriz POA 2024-TRABAJO'!$A$5:$CY$9142,30,FALSE)</f>
        <v>#N/A</v>
      </c>
      <c r="N183" s="93" t="e">
        <f>VLOOKUP($A183, 'Matriz POA 2024-TRABAJO'!$A$5:$CY$9142,31,FALSE)</f>
        <v>#N/A</v>
      </c>
      <c r="O183" s="93" t="e">
        <f>VLOOKUP($A183, 'Matriz POA 2024-TRABAJO'!$A$5:$CY$9142,45,FALSE)</f>
        <v>#N/A</v>
      </c>
      <c r="P183" s="93" t="e">
        <f>VLOOKUP($A183, 'Matriz POA 2024-TRABAJO'!$A$5:$CY$9142,46,FALSE)</f>
        <v>#N/A</v>
      </c>
      <c r="Q183" s="93" t="e">
        <f>VLOOKUP($A183, 'Matriz POA 2024-TRABAJO'!$A$5:$CY$9142,47,FALSE)</f>
        <v>#N/A</v>
      </c>
      <c r="R183" s="94">
        <f t="shared" si="123"/>
        <v>3931.2</v>
      </c>
      <c r="S183" s="95" t="e">
        <f t="shared" si="124"/>
        <v>#N/A</v>
      </c>
      <c r="T183" s="93" t="e">
        <f>VLOOKUP($A183, 'Matriz POA 2024-TRABAJO'!$A$5:$CY$9142,72,FALSE)</f>
        <v>#N/A</v>
      </c>
      <c r="U183" s="93" t="e">
        <f>VLOOKUP($A183, 'Matriz POA 2024-TRABAJO'!$A$5:$CY$9142,29,FALSE)</f>
        <v>#N/A</v>
      </c>
      <c r="V183" s="93" t="str">
        <f t="shared" si="190"/>
        <v>61ar-</v>
      </c>
      <c r="W183" s="93" t="s">
        <v>1269</v>
      </c>
      <c r="X183" s="105">
        <v>45406</v>
      </c>
      <c r="Y183" s="93" t="s">
        <v>1270</v>
      </c>
      <c r="Z183" s="105">
        <v>45406</v>
      </c>
      <c r="AA183" s="93">
        <v>3931.2</v>
      </c>
      <c r="AB183" s="93"/>
      <c r="AC183" s="93">
        <f t="shared" si="191"/>
        <v>0</v>
      </c>
      <c r="AD183" s="93" t="s">
        <v>1271</v>
      </c>
      <c r="AE183" s="93"/>
      <c r="AF183" s="93"/>
      <c r="AG183" s="93"/>
      <c r="AH183" s="93"/>
      <c r="AI183" s="93"/>
      <c r="AJ183" s="93"/>
      <c r="AK183" s="93">
        <f t="shared" si="192"/>
        <v>0</v>
      </c>
      <c r="AL183" s="93"/>
      <c r="AM183" s="93"/>
      <c r="AN183" s="93"/>
      <c r="AO183" s="93"/>
      <c r="AP183" s="93"/>
      <c r="AQ183" s="93"/>
      <c r="AR183" s="93"/>
      <c r="AS183" s="93">
        <f t="shared" si="193"/>
        <v>0</v>
      </c>
      <c r="AT183" s="93"/>
      <c r="AU183" s="93"/>
      <c r="AV183" s="93"/>
      <c r="AW183" s="93"/>
      <c r="AX183" s="93"/>
      <c r="AY183" s="93"/>
      <c r="AZ183" s="93"/>
      <c r="BA183" s="93"/>
      <c r="BB183" s="93"/>
      <c r="BC183" s="93"/>
      <c r="BD183" s="93"/>
      <c r="BE183" s="93"/>
      <c r="BF183" s="93"/>
      <c r="BG183" s="93"/>
      <c r="BH183" s="93"/>
      <c r="BI183" s="93"/>
      <c r="BJ183" s="93"/>
      <c r="BK183" s="93"/>
      <c r="BL183" s="93"/>
      <c r="BM183" s="93"/>
      <c r="BN183" s="93"/>
      <c r="BO183" s="93"/>
      <c r="BP183" s="93"/>
      <c r="BQ183" s="93"/>
      <c r="BR183" s="93"/>
      <c r="BS183" s="93"/>
      <c r="BT183" s="93"/>
      <c r="BU183" s="93"/>
      <c r="BV183" s="93"/>
      <c r="BW183" s="93"/>
      <c r="BX183" s="93"/>
      <c r="BY183" s="93"/>
      <c r="BZ183" s="93"/>
      <c r="CA183" s="93"/>
      <c r="CB183" s="93"/>
      <c r="CC183" s="93"/>
      <c r="CD183" s="93"/>
      <c r="CE183" s="93"/>
      <c r="CF183" s="93"/>
      <c r="CG183" s="93"/>
      <c r="CH183" s="93"/>
      <c r="CI183" s="93"/>
      <c r="CJ183" s="93"/>
      <c r="CK183" s="93"/>
      <c r="CL183" s="93"/>
      <c r="CM183" s="93"/>
      <c r="CN183" s="93"/>
      <c r="CO183" s="93"/>
      <c r="CP183" s="93"/>
      <c r="CQ183" s="93"/>
      <c r="CR183" s="93"/>
      <c r="CS183" s="93"/>
      <c r="CT183" s="93"/>
      <c r="CU183" s="93"/>
      <c r="CV183" s="93"/>
      <c r="CW183" s="93"/>
      <c r="CX183" s="93"/>
    </row>
    <row r="184" spans="1:102" ht="15" hidden="1" customHeight="1">
      <c r="A184" s="93">
        <v>6</v>
      </c>
      <c r="B184" s="93" t="e">
        <f>VLOOKUP($A184,  'Matriz POA 2024-TRABAJO'!$A$5:$CY$9142,29,FALSE)</f>
        <v>#N/A</v>
      </c>
      <c r="C184" s="93" t="e">
        <f>VLOOKUP($A184, 'Matriz POA 2024-TRABAJO'!$A$5:$CY$9142,11,FALSE)</f>
        <v>#N/A</v>
      </c>
      <c r="D184" s="93" t="e">
        <f>VLOOKUP($A184, 'Matriz POA 2024-TRABAJO'!$A$5:$CY$9142,14,FALSE)</f>
        <v>#N/A</v>
      </c>
      <c r="E184" s="93" t="e">
        <f>VLOOKUP($A184, 'Matriz POA 2024-TRABAJO'!$A$5:$CY$9142,15,FALSE)</f>
        <v>#N/A</v>
      </c>
      <c r="F184" s="93" t="e">
        <f>VLOOKUP($A184, 'Matriz POA 2024-TRABAJO'!$A$5:$CY$9142,18,FALSE)</f>
        <v>#N/A</v>
      </c>
      <c r="G184" s="93" t="e">
        <f>VLOOKUP($A184, 'Matriz POA 2024-TRABAJO'!$A$5:$CY$9142,23,FALSE)</f>
        <v>#N/A</v>
      </c>
      <c r="H184" s="93" t="e">
        <f>VLOOKUP($A184, 'Matriz POA 2024-TRABAJO'!$A$5:$CY$9142,24,FALSE)</f>
        <v>#N/A</v>
      </c>
      <c r="I184" s="93" t="e">
        <f>VLOOKUP($A184, 'Matriz POA 2024-TRABAJO'!$A$5:$CY$9142,20,FALSE)</f>
        <v>#N/A</v>
      </c>
      <c r="J184" s="93" t="e">
        <f>VLOOKUP($A184, 'Matriz POA 2024-TRABAJO'!$A$5:$CY$9142,26,FALSE)</f>
        <v>#N/A</v>
      </c>
      <c r="K184" s="93" t="e">
        <f>VLOOKUP($A184, 'Matriz POA 2024-TRABAJO'!$A$5:$CY$9142,27,FALSE)</f>
        <v>#N/A</v>
      </c>
      <c r="L184" s="93" t="e">
        <f>VLOOKUP($A184, 'Matriz POA 2024-TRABAJO'!$A$5:$CY$9142,28,FALSE)</f>
        <v>#N/A</v>
      </c>
      <c r="M184" s="93" t="e">
        <f>VLOOKUP($A184, 'Matriz POA 2024-TRABAJO'!$A$5:$CY$9142,30,FALSE)</f>
        <v>#N/A</v>
      </c>
      <c r="N184" s="93" t="e">
        <f>VLOOKUP($A184, 'Matriz POA 2024-TRABAJO'!$A$5:$CY$9142,31,FALSE)</f>
        <v>#N/A</v>
      </c>
      <c r="O184" s="93" t="e">
        <f>VLOOKUP($A184, 'Matriz POA 2024-TRABAJO'!$A$5:$CY$9142,45,FALSE)</f>
        <v>#N/A</v>
      </c>
      <c r="P184" s="93" t="e">
        <f>VLOOKUP($A184, 'Matriz POA 2024-TRABAJO'!$A$5:$CY$9142,46,FALSE)</f>
        <v>#N/A</v>
      </c>
      <c r="Q184" s="93" t="e">
        <f>VLOOKUP($A184, 'Matriz POA 2024-TRABAJO'!$A$5:$CY$9142,47,FALSE)</f>
        <v>#N/A</v>
      </c>
      <c r="R184" s="94">
        <f t="shared" si="123"/>
        <v>5915.11</v>
      </c>
      <c r="S184" s="95" t="e">
        <f t="shared" si="124"/>
        <v>#N/A</v>
      </c>
      <c r="T184" s="93" t="e">
        <f>VLOOKUP($A184, 'Matriz POA 2024-TRABAJO'!$A$5:$CY$9142,72,FALSE)</f>
        <v>#N/A</v>
      </c>
      <c r="U184" s="93" t="e">
        <f>VLOOKUP($A184, 'Matriz POA 2024-TRABAJO'!$A$5:$CY$9142,29,FALSE)</f>
        <v>#N/A</v>
      </c>
      <c r="V184" s="93" t="str">
        <f t="shared" si="190"/>
        <v>62ar-</v>
      </c>
      <c r="W184" s="93" t="s">
        <v>1272</v>
      </c>
      <c r="X184" s="105">
        <v>45406</v>
      </c>
      <c r="Y184" s="93" t="s">
        <v>1273</v>
      </c>
      <c r="Z184" s="105">
        <v>45406</v>
      </c>
      <c r="AA184" s="93">
        <v>5915.11</v>
      </c>
      <c r="AB184" s="93"/>
      <c r="AC184" s="93">
        <f t="shared" si="191"/>
        <v>0</v>
      </c>
      <c r="AD184" s="93" t="s">
        <v>1274</v>
      </c>
      <c r="AE184" s="93"/>
      <c r="AF184" s="93"/>
      <c r="AG184" s="93"/>
      <c r="AH184" s="93"/>
      <c r="AI184" s="93"/>
      <c r="AJ184" s="93"/>
      <c r="AK184" s="93">
        <f t="shared" si="192"/>
        <v>0</v>
      </c>
      <c r="AL184" s="93"/>
      <c r="AM184" s="93"/>
      <c r="AN184" s="93"/>
      <c r="AO184" s="93"/>
      <c r="AP184" s="93"/>
      <c r="AQ184" s="93"/>
      <c r="AR184" s="93"/>
      <c r="AS184" s="93">
        <f t="shared" si="193"/>
        <v>0</v>
      </c>
      <c r="AT184" s="93"/>
      <c r="AU184" s="93"/>
      <c r="AV184" s="93"/>
      <c r="AW184" s="93"/>
      <c r="AX184" s="93"/>
      <c r="AY184" s="93"/>
      <c r="AZ184" s="93"/>
      <c r="BA184" s="93"/>
      <c r="BB184" s="93"/>
      <c r="BC184" s="93"/>
      <c r="BD184" s="93"/>
      <c r="BE184" s="93"/>
      <c r="BF184" s="93"/>
      <c r="BG184" s="93"/>
      <c r="BH184" s="93"/>
      <c r="BI184" s="93"/>
      <c r="BJ184" s="93"/>
      <c r="BK184" s="93"/>
      <c r="BL184" s="93"/>
      <c r="BM184" s="93"/>
      <c r="BN184" s="93"/>
      <c r="BO184" s="93"/>
      <c r="BP184" s="93"/>
      <c r="BQ184" s="93"/>
      <c r="BR184" s="93"/>
      <c r="BS184" s="93"/>
      <c r="BT184" s="93"/>
      <c r="BU184" s="93"/>
      <c r="BV184" s="93"/>
      <c r="BW184" s="93"/>
      <c r="BX184" s="93"/>
      <c r="BY184" s="93"/>
      <c r="BZ184" s="93"/>
      <c r="CA184" s="93"/>
      <c r="CB184" s="93"/>
      <c r="CC184" s="93"/>
      <c r="CD184" s="93"/>
      <c r="CE184" s="93"/>
      <c r="CF184" s="93"/>
      <c r="CG184" s="93"/>
      <c r="CH184" s="93"/>
      <c r="CI184" s="93"/>
      <c r="CJ184" s="93"/>
      <c r="CK184" s="93"/>
      <c r="CL184" s="93"/>
      <c r="CM184" s="93"/>
      <c r="CN184" s="93"/>
      <c r="CO184" s="93"/>
      <c r="CP184" s="93"/>
      <c r="CQ184" s="93"/>
      <c r="CR184" s="93"/>
      <c r="CS184" s="93"/>
      <c r="CT184" s="93"/>
      <c r="CU184" s="93"/>
      <c r="CV184" s="93"/>
      <c r="CW184" s="93"/>
      <c r="CX184" s="93"/>
    </row>
    <row r="185" spans="1:102" ht="60" hidden="1" customHeight="1">
      <c r="A185" s="93">
        <v>141</v>
      </c>
      <c r="B185" s="93" t="e">
        <f>VLOOKUP($A185,  'Matriz POA 2024-TRABAJO'!$A$5:$CY$9142,29,FALSE)</f>
        <v>#N/A</v>
      </c>
      <c r="C185" s="93" t="e">
        <f>VLOOKUP($A185, 'Matriz POA 2024-TRABAJO'!$A$5:$CY$9142,11,FALSE)</f>
        <v>#N/A</v>
      </c>
      <c r="D185" s="93" t="e">
        <f>VLOOKUP($A185, 'Matriz POA 2024-TRABAJO'!$A$5:$CY$9142,14,FALSE)</f>
        <v>#N/A</v>
      </c>
      <c r="E185" s="93" t="e">
        <f>VLOOKUP($A185, 'Matriz POA 2024-TRABAJO'!$A$5:$CY$9142,15,FALSE)</f>
        <v>#N/A</v>
      </c>
      <c r="F185" s="93" t="e">
        <f>VLOOKUP($A185, 'Matriz POA 2024-TRABAJO'!$A$5:$CY$9142,18,FALSE)</f>
        <v>#N/A</v>
      </c>
      <c r="G185" s="93" t="e">
        <f>VLOOKUP($A185, 'Matriz POA 2024-TRABAJO'!$A$5:$CY$9142,23,FALSE)</f>
        <v>#N/A</v>
      </c>
      <c r="H185" s="93" t="e">
        <f>VLOOKUP($A185, 'Matriz POA 2024-TRABAJO'!$A$5:$CY$9142,24,FALSE)</f>
        <v>#N/A</v>
      </c>
      <c r="I185" s="93" t="e">
        <f>VLOOKUP($A185, 'Matriz POA 2024-TRABAJO'!$A$5:$CY$9142,20,FALSE)</f>
        <v>#N/A</v>
      </c>
      <c r="J185" s="93" t="e">
        <f>VLOOKUP($A185, 'Matriz POA 2024-TRABAJO'!$A$5:$CY$9142,26,FALSE)</f>
        <v>#N/A</v>
      </c>
      <c r="K185" s="93" t="e">
        <f>VLOOKUP($A185, 'Matriz POA 2024-TRABAJO'!$A$5:$CY$9142,27,FALSE)</f>
        <v>#N/A</v>
      </c>
      <c r="L185" s="93" t="e">
        <f>VLOOKUP($A185, 'Matriz POA 2024-TRABAJO'!$A$5:$CY$9142,28,FALSE)</f>
        <v>#N/A</v>
      </c>
      <c r="M185" s="93" t="e">
        <f>VLOOKUP($A185, 'Matriz POA 2024-TRABAJO'!$A$5:$CY$9142,30,FALSE)</f>
        <v>#N/A</v>
      </c>
      <c r="N185" s="93" t="e">
        <f>VLOOKUP($A185, 'Matriz POA 2024-TRABAJO'!$A$5:$CY$9142,31,FALSE)</f>
        <v>#N/A</v>
      </c>
      <c r="O185" s="93" t="e">
        <f>VLOOKUP($A185, 'Matriz POA 2024-TRABAJO'!$A$5:$CY$9142,45,FALSE)</f>
        <v>#N/A</v>
      </c>
      <c r="P185" s="93" t="e">
        <f>VLOOKUP($A185, 'Matriz POA 2024-TRABAJO'!$A$5:$CY$9142,46,FALSE)</f>
        <v>#N/A</v>
      </c>
      <c r="Q185" s="93" t="e">
        <f>VLOOKUP($A185, 'Matriz POA 2024-TRABAJO'!$A$5:$CY$9142,47,FALSE)</f>
        <v>#N/A</v>
      </c>
      <c r="R185" s="94">
        <f t="shared" si="123"/>
        <v>70000</v>
      </c>
      <c r="S185" s="95" t="e">
        <f t="shared" si="124"/>
        <v>#N/A</v>
      </c>
      <c r="T185" s="93" t="e">
        <f>VLOOKUP($A185, 'Matriz POA 2024-TRABAJO'!$A$5:$CY$9142,72,FALSE)</f>
        <v>#N/A</v>
      </c>
      <c r="U185" s="93" t="e">
        <f>VLOOKUP($A185, 'Matriz POA 2024-TRABAJO'!$A$5:$CY$9142,29,FALSE)</f>
        <v>#N/A</v>
      </c>
      <c r="V185" s="93" t="str">
        <f t="shared" si="190"/>
        <v>63ar-</v>
      </c>
      <c r="W185" s="93" t="s">
        <v>1275</v>
      </c>
      <c r="X185" s="105">
        <v>45406</v>
      </c>
      <c r="Y185" s="93" t="s">
        <v>1276</v>
      </c>
      <c r="Z185" s="105">
        <v>45406</v>
      </c>
      <c r="AA185" s="93">
        <v>70000</v>
      </c>
      <c r="AB185" s="93"/>
      <c r="AC185" s="93">
        <f t="shared" si="191"/>
        <v>0</v>
      </c>
      <c r="AD185" s="93" t="s">
        <v>1277</v>
      </c>
      <c r="AE185" s="93"/>
      <c r="AF185" s="93"/>
      <c r="AG185" s="93"/>
      <c r="AH185" s="93"/>
      <c r="AI185" s="93"/>
      <c r="AJ185" s="93"/>
      <c r="AK185" s="93">
        <f t="shared" si="192"/>
        <v>0</v>
      </c>
      <c r="AL185" s="93"/>
      <c r="AM185" s="93"/>
      <c r="AN185" s="93"/>
      <c r="AO185" s="93"/>
      <c r="AP185" s="93"/>
      <c r="AQ185" s="93"/>
      <c r="AR185" s="93"/>
      <c r="AS185" s="93">
        <f t="shared" si="193"/>
        <v>0</v>
      </c>
      <c r="AT185" s="93"/>
      <c r="AU185" s="93"/>
      <c r="AV185" s="93"/>
      <c r="AW185" s="93"/>
      <c r="AX185" s="93"/>
      <c r="AY185" s="93"/>
      <c r="AZ185" s="93"/>
      <c r="BA185" s="93"/>
      <c r="BB185" s="93"/>
      <c r="BC185" s="93"/>
      <c r="BD185" s="93"/>
      <c r="BE185" s="93"/>
      <c r="BF185" s="93"/>
      <c r="BG185" s="93"/>
      <c r="BH185" s="93"/>
      <c r="BI185" s="93"/>
      <c r="BJ185" s="93"/>
      <c r="BK185" s="93"/>
      <c r="BL185" s="93"/>
      <c r="BM185" s="93"/>
      <c r="BN185" s="93"/>
      <c r="BO185" s="93"/>
      <c r="BP185" s="93"/>
      <c r="BQ185" s="93"/>
      <c r="BR185" s="93"/>
      <c r="BS185" s="93"/>
      <c r="BT185" s="93"/>
      <c r="BU185" s="93"/>
      <c r="BV185" s="93"/>
      <c r="BW185" s="93"/>
      <c r="BX185" s="93"/>
      <c r="BY185" s="93"/>
      <c r="BZ185" s="93"/>
      <c r="CA185" s="93"/>
      <c r="CB185" s="93"/>
      <c r="CC185" s="93"/>
      <c r="CD185" s="93"/>
      <c r="CE185" s="93"/>
      <c r="CF185" s="93"/>
      <c r="CG185" s="93"/>
      <c r="CH185" s="93"/>
      <c r="CI185" s="93"/>
      <c r="CJ185" s="93"/>
      <c r="CK185" s="93"/>
      <c r="CL185" s="93"/>
      <c r="CM185" s="93"/>
      <c r="CN185" s="93"/>
      <c r="CO185" s="93"/>
      <c r="CP185" s="93"/>
      <c r="CQ185" s="93"/>
      <c r="CR185" s="93"/>
      <c r="CS185" s="93"/>
      <c r="CT185" s="93"/>
      <c r="CU185" s="93"/>
      <c r="CV185" s="93"/>
      <c r="CW185" s="93"/>
      <c r="CX185" s="93"/>
    </row>
    <row r="186" spans="1:102" ht="15" hidden="1" customHeight="1">
      <c r="A186" s="415">
        <v>851</v>
      </c>
      <c r="B186" s="93" t="e">
        <f>VLOOKUP($A186,  'Matriz POA 2024-TRABAJO'!$A$5:$CY$9142,29,FALSE)</f>
        <v>#N/A</v>
      </c>
      <c r="C186" s="93" t="e">
        <f>VLOOKUP($A186, 'Matriz POA 2024-TRABAJO'!$A$5:$CY$9142,11,FALSE)</f>
        <v>#N/A</v>
      </c>
      <c r="D186" s="93" t="e">
        <f>VLOOKUP($A186, 'Matriz POA 2024-TRABAJO'!$A$5:$CY$9142,14,FALSE)</f>
        <v>#N/A</v>
      </c>
      <c r="E186" s="93" t="e">
        <f>VLOOKUP($A186, 'Matriz POA 2024-TRABAJO'!$A$5:$CY$9142,15,FALSE)</f>
        <v>#N/A</v>
      </c>
      <c r="F186" s="93" t="e">
        <f>VLOOKUP($A186, 'Matriz POA 2024-TRABAJO'!$A$5:$CY$9142,18,FALSE)</f>
        <v>#N/A</v>
      </c>
      <c r="G186" s="93" t="e">
        <f>VLOOKUP($A186, 'Matriz POA 2024-TRABAJO'!$A$5:$CY$9142,23,FALSE)</f>
        <v>#N/A</v>
      </c>
      <c r="H186" s="93" t="e">
        <f>VLOOKUP($A186, 'Matriz POA 2024-TRABAJO'!$A$5:$CY$9142,24,FALSE)</f>
        <v>#N/A</v>
      </c>
      <c r="I186" s="93" t="e">
        <f>VLOOKUP($A186, 'Matriz POA 2024-TRABAJO'!$A$5:$CY$9142,20,FALSE)</f>
        <v>#N/A</v>
      </c>
      <c r="J186" s="93" t="e">
        <f>VLOOKUP($A186, 'Matriz POA 2024-TRABAJO'!$A$5:$CY$9142,26,FALSE)</f>
        <v>#N/A</v>
      </c>
      <c r="K186" s="93" t="e">
        <f>VLOOKUP($A186, 'Matriz POA 2024-TRABAJO'!$A$5:$CY$9142,27,FALSE)</f>
        <v>#N/A</v>
      </c>
      <c r="L186" s="93" t="e">
        <f>VLOOKUP($A186, 'Matriz POA 2024-TRABAJO'!$A$5:$CY$9142,28,FALSE)</f>
        <v>#N/A</v>
      </c>
      <c r="M186" s="93" t="e">
        <f>VLOOKUP($A186, 'Matriz POA 2024-TRABAJO'!$A$5:$CY$9142,30,FALSE)</f>
        <v>#N/A</v>
      </c>
      <c r="N186" s="93" t="e">
        <f>VLOOKUP($A186, 'Matriz POA 2024-TRABAJO'!$A$5:$CY$9142,31,FALSE)</f>
        <v>#N/A</v>
      </c>
      <c r="O186" s="93" t="e">
        <f>VLOOKUP($A186, 'Matriz POA 2024-TRABAJO'!$A$5:$CY$9142,45,FALSE)</f>
        <v>#N/A</v>
      </c>
      <c r="P186" s="93" t="e">
        <f>VLOOKUP($A186, 'Matriz POA 2024-TRABAJO'!$A$5:$CY$9142,46,FALSE)</f>
        <v>#N/A</v>
      </c>
      <c r="Q186" s="93" t="e">
        <f>VLOOKUP($A186, 'Matriz POA 2024-TRABAJO'!$A$5:$CY$9142,47,FALSE)</f>
        <v>#N/A</v>
      </c>
      <c r="R186" s="94">
        <f t="shared" si="123"/>
        <v>848</v>
      </c>
      <c r="S186" s="95" t="e">
        <f t="shared" si="124"/>
        <v>#N/A</v>
      </c>
      <c r="T186" s="93" t="e">
        <f>VLOOKUP($A186, 'Matriz POA 2024-TRABAJO'!$A$5:$CY$9142,72,FALSE)</f>
        <v>#N/A</v>
      </c>
      <c r="U186" s="93" t="e">
        <f>VLOOKUP($A186, 'Matriz POA 2024-TRABAJO'!$A$5:$CY$9142,29,FALSE)</f>
        <v>#N/A</v>
      </c>
      <c r="V186" s="93" t="str">
        <f t="shared" si="190"/>
        <v>66mg-</v>
      </c>
      <c r="W186" s="93" t="s">
        <v>1775</v>
      </c>
      <c r="X186" s="103">
        <v>45783</v>
      </c>
      <c r="Y186" s="93" t="s">
        <v>1783</v>
      </c>
      <c r="Z186" s="103">
        <v>45784</v>
      </c>
      <c r="AA186" s="93">
        <v>848</v>
      </c>
      <c r="AB186" s="93"/>
      <c r="AC186" s="93">
        <f t="shared" si="191"/>
        <v>1</v>
      </c>
      <c r="AD186" s="93" t="s">
        <v>1776</v>
      </c>
      <c r="AE186" s="93"/>
      <c r="AF186" s="93"/>
      <c r="AG186" s="93"/>
      <c r="AH186" s="93"/>
      <c r="AI186" s="93"/>
      <c r="AJ186" s="93"/>
      <c r="AK186" s="93">
        <f t="shared" si="192"/>
        <v>0</v>
      </c>
      <c r="AL186" s="93"/>
      <c r="AM186" s="93"/>
      <c r="AN186" s="93"/>
      <c r="AO186" s="93"/>
      <c r="AP186" s="93"/>
      <c r="AQ186" s="93"/>
      <c r="AR186" s="93"/>
      <c r="AS186" s="93">
        <f t="shared" si="193"/>
        <v>0</v>
      </c>
      <c r="AT186" s="93"/>
      <c r="AU186" s="93"/>
      <c r="AV186" s="93"/>
      <c r="AW186" s="93"/>
      <c r="AX186" s="93"/>
      <c r="AY186" s="93"/>
      <c r="AZ186" s="93"/>
      <c r="BA186" s="93"/>
      <c r="BB186" s="93"/>
      <c r="BC186" s="93"/>
      <c r="BD186" s="93"/>
      <c r="BE186" s="93"/>
      <c r="BF186" s="93"/>
      <c r="BG186" s="93"/>
      <c r="BH186" s="93"/>
      <c r="BI186" s="93"/>
      <c r="BJ186" s="93"/>
      <c r="BK186" s="93"/>
      <c r="BL186" s="93"/>
      <c r="BM186" s="93"/>
      <c r="BN186" s="93"/>
      <c r="BO186" s="93"/>
      <c r="BP186" s="93"/>
      <c r="BQ186" s="93"/>
      <c r="BR186" s="93"/>
      <c r="BS186" s="93"/>
      <c r="BT186" s="93"/>
      <c r="BU186" s="93"/>
      <c r="BV186" s="93"/>
      <c r="BW186" s="93"/>
      <c r="BX186" s="93"/>
      <c r="BY186" s="93"/>
      <c r="BZ186" s="93"/>
      <c r="CA186" s="93"/>
      <c r="CB186" s="93"/>
      <c r="CC186" s="93"/>
      <c r="CD186" s="93"/>
      <c r="CE186" s="93"/>
      <c r="CF186" s="93"/>
      <c r="CG186" s="93"/>
      <c r="CH186" s="93"/>
      <c r="CI186" s="93"/>
      <c r="CJ186" s="93"/>
      <c r="CK186" s="93"/>
      <c r="CL186" s="93"/>
      <c r="CM186" s="93"/>
      <c r="CN186" s="93"/>
      <c r="CO186" s="93"/>
      <c r="CP186" s="93"/>
      <c r="CQ186" s="93"/>
      <c r="CR186" s="93"/>
      <c r="CS186" s="93"/>
      <c r="CT186" s="93"/>
      <c r="CU186" s="93"/>
      <c r="CV186" s="93"/>
      <c r="CW186" s="93"/>
      <c r="CX186" s="93"/>
    </row>
    <row r="187" spans="1:102" ht="52.5" hidden="1" customHeight="1">
      <c r="A187" s="415">
        <v>858</v>
      </c>
      <c r="B187" s="93" t="e">
        <f>VLOOKUP($A187,  'Matriz POA 2024-TRABAJO'!$A$5:$CY$9142,29,FALSE)</f>
        <v>#N/A</v>
      </c>
      <c r="C187" s="93" t="e">
        <f>VLOOKUP($A187, 'Matriz POA 2024-TRABAJO'!$A$5:$CY$9142,11,FALSE)</f>
        <v>#N/A</v>
      </c>
      <c r="D187" s="93" t="e">
        <f>VLOOKUP($A187, 'Matriz POA 2024-TRABAJO'!$A$5:$CY$9142,14,FALSE)</f>
        <v>#N/A</v>
      </c>
      <c r="E187" s="93" t="e">
        <f>VLOOKUP($A187, 'Matriz POA 2024-TRABAJO'!$A$5:$CY$9142,15,FALSE)</f>
        <v>#N/A</v>
      </c>
      <c r="F187" s="93" t="e">
        <f>VLOOKUP($A187, 'Matriz POA 2024-TRABAJO'!$A$5:$CY$9142,18,FALSE)</f>
        <v>#N/A</v>
      </c>
      <c r="G187" s="93" t="e">
        <f>VLOOKUP($A187, 'Matriz POA 2024-TRABAJO'!$A$5:$CY$9142,23,FALSE)</f>
        <v>#N/A</v>
      </c>
      <c r="H187" s="93" t="e">
        <f>VLOOKUP($A187, 'Matriz POA 2024-TRABAJO'!$A$5:$CY$9142,24,FALSE)</f>
        <v>#N/A</v>
      </c>
      <c r="I187" s="93" t="e">
        <f>VLOOKUP($A187, 'Matriz POA 2024-TRABAJO'!$A$5:$CY$9142,20,FALSE)</f>
        <v>#N/A</v>
      </c>
      <c r="J187" s="93" t="e">
        <f>VLOOKUP($A187, 'Matriz POA 2024-TRABAJO'!$A$5:$CY$9142,26,FALSE)</f>
        <v>#N/A</v>
      </c>
      <c r="K187" s="93" t="e">
        <f>VLOOKUP($A187, 'Matriz POA 2024-TRABAJO'!$A$5:$CY$9142,27,FALSE)</f>
        <v>#N/A</v>
      </c>
      <c r="L187" s="93" t="e">
        <f>VLOOKUP($A187, 'Matriz POA 2024-TRABAJO'!$A$5:$CY$9142,28,FALSE)</f>
        <v>#N/A</v>
      </c>
      <c r="M187" s="93" t="e">
        <f>VLOOKUP($A187, 'Matriz POA 2024-TRABAJO'!$A$5:$CY$9142,30,FALSE)</f>
        <v>#N/A</v>
      </c>
      <c r="N187" s="93" t="e">
        <f>VLOOKUP($A187, 'Matriz POA 2024-TRABAJO'!$A$5:$CY$9142,31,FALSE)</f>
        <v>#N/A</v>
      </c>
      <c r="O187" s="93" t="e">
        <f>VLOOKUP($A187, 'Matriz POA 2024-TRABAJO'!$A$5:$CY$9142,45,FALSE)</f>
        <v>#N/A</v>
      </c>
      <c r="P187" s="93" t="e">
        <f>VLOOKUP($A187, 'Matriz POA 2024-TRABAJO'!$A$5:$CY$9142,46,FALSE)</f>
        <v>#N/A</v>
      </c>
      <c r="Q187" s="93" t="e">
        <f>VLOOKUP($A187, 'Matriz POA 2024-TRABAJO'!$A$5:$CY$9142,47,FALSE)</f>
        <v>#N/A</v>
      </c>
      <c r="R187" s="94">
        <f t="shared" si="123"/>
        <v>852.63</v>
      </c>
      <c r="S187" s="95" t="e">
        <f t="shared" si="124"/>
        <v>#N/A</v>
      </c>
      <c r="T187" s="93" t="e">
        <f>VLOOKUP($A187, 'Matriz POA 2024-TRABAJO'!$A$5:$CY$9142,72,FALSE)</f>
        <v>#N/A</v>
      </c>
      <c r="U187" s="93" t="e">
        <f>VLOOKUP($A187, 'Matriz POA 2024-TRABAJO'!$A$5:$CY$9142,29,FALSE)</f>
        <v>#N/A</v>
      </c>
      <c r="V187" s="93" t="str">
        <f t="shared" si="190"/>
        <v>67mg-</v>
      </c>
      <c r="W187" s="93" t="s">
        <v>1777</v>
      </c>
      <c r="X187" s="103">
        <v>45783</v>
      </c>
      <c r="Y187" s="93" t="s">
        <v>1784</v>
      </c>
      <c r="Z187" s="103">
        <v>45784</v>
      </c>
      <c r="AA187" s="93">
        <v>852.63</v>
      </c>
      <c r="AB187" s="93"/>
      <c r="AC187" s="93">
        <f t="shared" si="191"/>
        <v>1</v>
      </c>
      <c r="AD187" s="93" t="s">
        <v>1782</v>
      </c>
      <c r="AE187" s="93"/>
      <c r="AF187" s="93"/>
      <c r="AG187" s="93"/>
      <c r="AH187" s="93"/>
      <c r="AI187" s="93"/>
      <c r="AJ187" s="93"/>
      <c r="AK187" s="93">
        <f t="shared" si="192"/>
        <v>0</v>
      </c>
      <c r="AL187" s="93"/>
      <c r="AM187" s="93"/>
      <c r="AN187" s="93"/>
      <c r="AO187" s="93"/>
      <c r="AP187" s="93"/>
      <c r="AQ187" s="93"/>
      <c r="AR187" s="93"/>
      <c r="AS187" s="93">
        <f t="shared" si="193"/>
        <v>0</v>
      </c>
      <c r="AT187" s="93"/>
      <c r="AU187" s="93"/>
      <c r="AV187" s="93"/>
      <c r="AW187" s="93"/>
      <c r="AX187" s="93"/>
      <c r="AY187" s="93"/>
      <c r="AZ187" s="93"/>
      <c r="BA187" s="93"/>
      <c r="BB187" s="93"/>
      <c r="BC187" s="93"/>
      <c r="BD187" s="93"/>
      <c r="BE187" s="93"/>
      <c r="BF187" s="93"/>
      <c r="BG187" s="93"/>
      <c r="BH187" s="93"/>
      <c r="BI187" s="93"/>
      <c r="BJ187" s="93"/>
      <c r="BK187" s="93"/>
      <c r="BL187" s="93"/>
      <c r="BM187" s="93"/>
      <c r="BN187" s="93"/>
      <c r="BO187" s="93"/>
      <c r="BP187" s="93"/>
      <c r="BQ187" s="93"/>
      <c r="BR187" s="93"/>
      <c r="BS187" s="93"/>
      <c r="BT187" s="93"/>
      <c r="BU187" s="93"/>
      <c r="BV187" s="93"/>
      <c r="BW187" s="93"/>
      <c r="BX187" s="93"/>
      <c r="BY187" s="93"/>
      <c r="BZ187" s="93"/>
      <c r="CA187" s="93"/>
      <c r="CB187" s="93"/>
      <c r="CC187" s="93"/>
      <c r="CD187" s="93"/>
      <c r="CE187" s="93"/>
      <c r="CF187" s="93"/>
      <c r="CG187" s="93"/>
      <c r="CH187" s="93"/>
      <c r="CI187" s="93"/>
      <c r="CJ187" s="93"/>
      <c r="CK187" s="93"/>
      <c r="CL187" s="93"/>
      <c r="CM187" s="93"/>
      <c r="CN187" s="93"/>
      <c r="CO187" s="93"/>
      <c r="CP187" s="93"/>
      <c r="CQ187" s="93"/>
      <c r="CR187" s="93"/>
      <c r="CS187" s="93"/>
      <c r="CT187" s="93"/>
      <c r="CU187" s="93"/>
      <c r="CV187" s="93"/>
      <c r="CW187" s="93"/>
      <c r="CX187" s="93"/>
    </row>
    <row r="188" spans="1:102" ht="15" hidden="1" customHeight="1">
      <c r="A188" s="415">
        <v>508</v>
      </c>
      <c r="B188" s="93" t="e">
        <f>VLOOKUP($A188,  'Matriz POA 2024-TRABAJO'!$A$5:$CY$9142,29,FALSE)</f>
        <v>#N/A</v>
      </c>
      <c r="C188" s="93" t="e">
        <f>VLOOKUP($A188, 'Matriz POA 2024-TRABAJO'!$A$5:$CY$9142,11,FALSE)</f>
        <v>#N/A</v>
      </c>
      <c r="D188" s="93" t="e">
        <f>VLOOKUP($A188, 'Matriz POA 2024-TRABAJO'!$A$5:$CY$9142,14,FALSE)</f>
        <v>#N/A</v>
      </c>
      <c r="E188" s="93" t="e">
        <f>VLOOKUP($A188, 'Matriz POA 2024-TRABAJO'!$A$5:$CY$9142,15,FALSE)</f>
        <v>#N/A</v>
      </c>
      <c r="F188" s="93" t="e">
        <f>VLOOKUP($A188, 'Matriz POA 2024-TRABAJO'!$A$5:$CY$9142,18,FALSE)</f>
        <v>#N/A</v>
      </c>
      <c r="G188" s="93" t="e">
        <f>VLOOKUP($A188, 'Matriz POA 2024-TRABAJO'!$A$5:$CY$9142,23,FALSE)</f>
        <v>#N/A</v>
      </c>
      <c r="H188" s="93" t="e">
        <f>VLOOKUP($A188, 'Matriz POA 2024-TRABAJO'!$A$5:$CY$9142,24,FALSE)</f>
        <v>#N/A</v>
      </c>
      <c r="I188" s="93" t="e">
        <f>VLOOKUP($A188, 'Matriz POA 2024-TRABAJO'!$A$5:$CY$9142,20,FALSE)</f>
        <v>#N/A</v>
      </c>
      <c r="J188" s="93" t="e">
        <f>VLOOKUP($A188, 'Matriz POA 2024-TRABAJO'!$A$5:$CY$9142,26,FALSE)</f>
        <v>#N/A</v>
      </c>
      <c r="K188" s="93" t="e">
        <f>VLOOKUP($A188, 'Matriz POA 2024-TRABAJO'!$A$5:$CY$9142,27,FALSE)</f>
        <v>#N/A</v>
      </c>
      <c r="L188" s="93" t="e">
        <f>VLOOKUP($A188, 'Matriz POA 2024-TRABAJO'!$A$5:$CY$9142,28,FALSE)</f>
        <v>#N/A</v>
      </c>
      <c r="M188" s="93" t="e">
        <f>VLOOKUP($A188, 'Matriz POA 2024-TRABAJO'!$A$5:$CY$9142,30,FALSE)</f>
        <v>#N/A</v>
      </c>
      <c r="N188" s="93" t="e">
        <f>VLOOKUP($A188, 'Matriz POA 2024-TRABAJO'!$A$5:$CY$9142,31,FALSE)</f>
        <v>#N/A</v>
      </c>
      <c r="O188" s="93" t="e">
        <f>VLOOKUP($A188, 'Matriz POA 2024-TRABAJO'!$A$5:$CY$9142,45,FALSE)</f>
        <v>#N/A</v>
      </c>
      <c r="P188" s="93" t="e">
        <f>VLOOKUP($A188, 'Matriz POA 2024-TRABAJO'!$A$5:$CY$9142,46,FALSE)</f>
        <v>#N/A</v>
      </c>
      <c r="Q188" s="93" t="e">
        <f>VLOOKUP($A188, 'Matriz POA 2024-TRABAJO'!$A$5:$CY$9142,47,FALSE)</f>
        <v>#N/A</v>
      </c>
      <c r="R188" s="94">
        <f t="shared" si="123"/>
        <v>2207.9999999999995</v>
      </c>
      <c r="S188" s="95" t="e">
        <f t="shared" si="124"/>
        <v>#N/A</v>
      </c>
      <c r="T188" s="93" t="e">
        <f>VLOOKUP($A188, 'Matriz POA 2024-TRABAJO'!$A$5:$CY$9142,72,FALSE)</f>
        <v>#N/A</v>
      </c>
      <c r="U188" s="93" t="e">
        <f>VLOOKUP($A188, 'Matriz POA 2024-TRABAJO'!$A$5:$CY$9142,29,FALSE)</f>
        <v>#N/A</v>
      </c>
      <c r="V188" s="93" t="str">
        <f t="shared" si="190"/>
        <v>68ar-lp68mg-</v>
      </c>
      <c r="W188" s="93" t="s">
        <v>1778</v>
      </c>
      <c r="X188" s="105">
        <v>45419</v>
      </c>
      <c r="Y188" s="93" t="s">
        <v>1833</v>
      </c>
      <c r="Z188" s="103">
        <v>45419</v>
      </c>
      <c r="AA188" s="93">
        <v>2208.0599999999995</v>
      </c>
      <c r="AB188" s="93"/>
      <c r="AC188" s="93">
        <f t="shared" ref="AC188:AC213" si="194">Z188-X188</f>
        <v>0</v>
      </c>
      <c r="AD188" s="99" t="s">
        <v>1780</v>
      </c>
      <c r="AE188" s="93" t="s">
        <v>1830</v>
      </c>
      <c r="AF188" s="103">
        <v>45429</v>
      </c>
      <c r="AG188" s="93"/>
      <c r="AH188" s="103">
        <v>45432</v>
      </c>
      <c r="AI188" s="93">
        <v>-0.06</v>
      </c>
      <c r="AJ188" s="93"/>
      <c r="AK188" s="93">
        <f t="shared" ref="AK188:AK213" si="195">AH188-AF188</f>
        <v>3</v>
      </c>
      <c r="AL188" s="93" t="s">
        <v>1831</v>
      </c>
      <c r="AM188" s="93"/>
      <c r="AN188" s="93"/>
      <c r="AO188" s="93"/>
      <c r="AP188" s="93"/>
      <c r="AQ188" s="93"/>
      <c r="AR188" s="93"/>
      <c r="AS188" s="93">
        <f t="shared" ref="AS188:AS213" si="196">AP188-AN188</f>
        <v>0</v>
      </c>
      <c r="AT188" s="93"/>
      <c r="AU188" s="93"/>
      <c r="AV188" s="93"/>
      <c r="AW188" s="93"/>
      <c r="AX188" s="93"/>
      <c r="AY188" s="93"/>
      <c r="AZ188" s="93"/>
      <c r="BA188" s="93"/>
      <c r="BB188" s="93"/>
      <c r="BC188" s="93"/>
      <c r="BD188" s="93"/>
      <c r="BE188" s="93"/>
      <c r="BF188" s="93"/>
      <c r="BG188" s="93"/>
      <c r="BH188" s="93"/>
      <c r="BI188" s="93"/>
      <c r="BJ188" s="93"/>
      <c r="BK188" s="93"/>
      <c r="BL188" s="93"/>
      <c r="BM188" s="93"/>
      <c r="BN188" s="93"/>
      <c r="BO188" s="93"/>
      <c r="BP188" s="93"/>
      <c r="BQ188" s="93"/>
      <c r="BR188" s="93"/>
      <c r="BS188" s="93"/>
      <c r="BT188" s="93"/>
      <c r="BU188" s="93"/>
      <c r="BV188" s="93"/>
      <c r="BW188" s="93"/>
      <c r="BX188" s="93"/>
      <c r="BY188" s="93"/>
      <c r="BZ188" s="93"/>
      <c r="CA188" s="93"/>
      <c r="CB188" s="93"/>
      <c r="CC188" s="93"/>
      <c r="CD188" s="93"/>
      <c r="CE188" s="93"/>
      <c r="CF188" s="93"/>
      <c r="CG188" s="93"/>
      <c r="CH188" s="93"/>
      <c r="CI188" s="93"/>
      <c r="CJ188" s="93"/>
      <c r="CK188" s="93"/>
      <c r="CL188" s="93"/>
      <c r="CM188" s="93"/>
      <c r="CN188" s="93"/>
      <c r="CO188" s="93"/>
      <c r="CP188" s="93"/>
      <c r="CQ188" s="93"/>
      <c r="CR188" s="93"/>
      <c r="CS188" s="93"/>
      <c r="CT188" s="93"/>
      <c r="CU188" s="93"/>
      <c r="CV188" s="93"/>
      <c r="CW188" s="93"/>
      <c r="CX188" s="93"/>
    </row>
    <row r="189" spans="1:102" ht="15" hidden="1" customHeight="1">
      <c r="A189" s="415">
        <v>509</v>
      </c>
      <c r="B189" s="93" t="e">
        <f>VLOOKUP($A189,  'Matriz POA 2024-TRABAJO'!$A$5:$CY$9142,29,FALSE)</f>
        <v>#N/A</v>
      </c>
      <c r="C189" s="93" t="e">
        <f>VLOOKUP($A189, 'Matriz POA 2024-TRABAJO'!$A$5:$CY$9142,11,FALSE)</f>
        <v>#N/A</v>
      </c>
      <c r="D189" s="93" t="e">
        <f>VLOOKUP($A189, 'Matriz POA 2024-TRABAJO'!$A$5:$CY$9142,14,FALSE)</f>
        <v>#N/A</v>
      </c>
      <c r="E189" s="93" t="e">
        <f>VLOOKUP($A189, 'Matriz POA 2024-TRABAJO'!$A$5:$CY$9142,15,FALSE)</f>
        <v>#N/A</v>
      </c>
      <c r="F189" s="93" t="e">
        <f>VLOOKUP($A189, 'Matriz POA 2024-TRABAJO'!$A$5:$CY$9142,18,FALSE)</f>
        <v>#N/A</v>
      </c>
      <c r="G189" s="93" t="e">
        <f>VLOOKUP($A189, 'Matriz POA 2024-TRABAJO'!$A$5:$CY$9142,23,FALSE)</f>
        <v>#N/A</v>
      </c>
      <c r="H189" s="93" t="e">
        <f>VLOOKUP($A189, 'Matriz POA 2024-TRABAJO'!$A$5:$CY$9142,24,FALSE)</f>
        <v>#N/A</v>
      </c>
      <c r="I189" s="93" t="e">
        <f>VLOOKUP($A189, 'Matriz POA 2024-TRABAJO'!$A$5:$CY$9142,20,FALSE)</f>
        <v>#N/A</v>
      </c>
      <c r="J189" s="93" t="e">
        <f>VLOOKUP($A189, 'Matriz POA 2024-TRABAJO'!$A$5:$CY$9142,26,FALSE)</f>
        <v>#N/A</v>
      </c>
      <c r="K189" s="93" t="e">
        <f>VLOOKUP($A189, 'Matriz POA 2024-TRABAJO'!$A$5:$CY$9142,27,FALSE)</f>
        <v>#N/A</v>
      </c>
      <c r="L189" s="93" t="e">
        <f>VLOOKUP($A189, 'Matriz POA 2024-TRABAJO'!$A$5:$CY$9142,28,FALSE)</f>
        <v>#N/A</v>
      </c>
      <c r="M189" s="93" t="e">
        <f>VLOOKUP($A189, 'Matriz POA 2024-TRABAJO'!$A$5:$CY$9142,30,FALSE)</f>
        <v>#N/A</v>
      </c>
      <c r="N189" s="93" t="e">
        <f>VLOOKUP($A189, 'Matriz POA 2024-TRABAJO'!$A$5:$CY$9142,31,FALSE)</f>
        <v>#N/A</v>
      </c>
      <c r="O189" s="93" t="e">
        <f>VLOOKUP($A189, 'Matriz POA 2024-TRABAJO'!$A$5:$CY$9142,45,FALSE)</f>
        <v>#N/A</v>
      </c>
      <c r="P189" s="93" t="e">
        <f>VLOOKUP($A189, 'Matriz POA 2024-TRABAJO'!$A$5:$CY$9142,46,FALSE)</f>
        <v>#N/A</v>
      </c>
      <c r="Q189" s="93" t="e">
        <f>VLOOKUP($A189, 'Matriz POA 2024-TRABAJO'!$A$5:$CY$9142,47,FALSE)</f>
        <v>#N/A</v>
      </c>
      <c r="R189" s="94">
        <f t="shared" si="123"/>
        <v>1051.4600000000003</v>
      </c>
      <c r="S189" s="95" t="e">
        <f t="shared" si="124"/>
        <v>#N/A</v>
      </c>
      <c r="T189" s="93" t="e">
        <f>VLOOKUP($A189, 'Matriz POA 2024-TRABAJO'!$A$5:$CY$9142,72,FALSE)</f>
        <v>#N/A</v>
      </c>
      <c r="U189" s="93" t="e">
        <f>VLOOKUP($A189, 'Matriz POA 2024-TRABAJO'!$A$5:$CY$9142,29,FALSE)</f>
        <v>#N/A</v>
      </c>
      <c r="V189" s="93" t="str">
        <f t="shared" si="190"/>
        <v>68ar-lp68mg-</v>
      </c>
      <c r="W189" s="93" t="s">
        <v>1778</v>
      </c>
      <c r="X189" s="105">
        <v>45419</v>
      </c>
      <c r="Y189" s="93" t="s">
        <v>1833</v>
      </c>
      <c r="Z189" s="103">
        <v>45419</v>
      </c>
      <c r="AA189" s="93">
        <v>1062.8200000000002</v>
      </c>
      <c r="AB189" s="93"/>
      <c r="AC189" s="93">
        <f t="shared" si="194"/>
        <v>0</v>
      </c>
      <c r="AD189" s="99" t="s">
        <v>1780</v>
      </c>
      <c r="AE189" s="93" t="s">
        <v>1830</v>
      </c>
      <c r="AF189" s="103">
        <v>45429</v>
      </c>
      <c r="AG189" s="93"/>
      <c r="AH189" s="103">
        <v>45432</v>
      </c>
      <c r="AI189" s="93">
        <v>-11.36</v>
      </c>
      <c r="AJ189" s="93"/>
      <c r="AK189" s="93">
        <f>AH190-AF190</f>
        <v>3</v>
      </c>
      <c r="AL189" s="93" t="s">
        <v>1831</v>
      </c>
      <c r="AM189" s="93"/>
      <c r="AN189" s="93"/>
      <c r="AO189" s="93"/>
      <c r="AP189" s="93"/>
      <c r="AQ189" s="93"/>
      <c r="AR189" s="93"/>
      <c r="AS189" s="93">
        <f t="shared" si="196"/>
        <v>0</v>
      </c>
      <c r="AT189" s="93"/>
      <c r="AU189" s="93"/>
      <c r="AV189" s="93"/>
      <c r="AW189" s="93"/>
      <c r="AX189" s="93"/>
      <c r="AY189" s="93"/>
      <c r="AZ189" s="93"/>
      <c r="BA189" s="93"/>
      <c r="BB189" s="93"/>
      <c r="BC189" s="93"/>
      <c r="BD189" s="93"/>
      <c r="BE189" s="93"/>
      <c r="BF189" s="93"/>
      <c r="BG189" s="93"/>
      <c r="BH189" s="93"/>
      <c r="BI189" s="93"/>
      <c r="BJ189" s="93"/>
      <c r="BK189" s="93"/>
      <c r="BL189" s="93"/>
      <c r="BM189" s="93"/>
      <c r="BN189" s="93"/>
      <c r="BO189" s="93"/>
      <c r="BP189" s="93"/>
      <c r="BQ189" s="93"/>
      <c r="BR189" s="93"/>
      <c r="BS189" s="93"/>
      <c r="BT189" s="93"/>
      <c r="BU189" s="93"/>
      <c r="BV189" s="93"/>
      <c r="BW189" s="93"/>
      <c r="BX189" s="93"/>
      <c r="BY189" s="93"/>
      <c r="BZ189" s="93"/>
      <c r="CA189" s="93"/>
      <c r="CB189" s="93"/>
      <c r="CC189" s="93"/>
      <c r="CD189" s="93"/>
      <c r="CE189" s="93"/>
      <c r="CF189" s="93"/>
      <c r="CG189" s="93"/>
      <c r="CH189" s="93"/>
      <c r="CI189" s="93"/>
      <c r="CJ189" s="93"/>
      <c r="CK189" s="93"/>
      <c r="CL189" s="93"/>
      <c r="CM189" s="93"/>
      <c r="CN189" s="93"/>
      <c r="CO189" s="93"/>
      <c r="CP189" s="93"/>
      <c r="CQ189" s="93"/>
      <c r="CR189" s="93"/>
      <c r="CS189" s="93"/>
      <c r="CT189" s="93"/>
      <c r="CU189" s="93"/>
      <c r="CV189" s="93"/>
      <c r="CW189" s="93"/>
      <c r="CX189" s="93"/>
    </row>
    <row r="190" spans="1:102" ht="15" hidden="1" customHeight="1">
      <c r="A190" s="415">
        <v>510</v>
      </c>
      <c r="B190" s="93" t="e">
        <f>VLOOKUP($A190,  'Matriz POA 2024-TRABAJO'!$A$5:$CY$9142,29,FALSE)</f>
        <v>#N/A</v>
      </c>
      <c r="C190" s="93" t="e">
        <f>VLOOKUP($A190, 'Matriz POA 2024-TRABAJO'!$A$5:$CY$9142,11,FALSE)</f>
        <v>#N/A</v>
      </c>
      <c r="D190" s="93" t="e">
        <f>VLOOKUP($A190, 'Matriz POA 2024-TRABAJO'!$A$5:$CY$9142,14,FALSE)</f>
        <v>#N/A</v>
      </c>
      <c r="E190" s="93" t="e">
        <f>VLOOKUP($A190, 'Matriz POA 2024-TRABAJO'!$A$5:$CY$9142,15,FALSE)</f>
        <v>#N/A</v>
      </c>
      <c r="F190" s="93" t="e">
        <f>VLOOKUP($A190, 'Matriz POA 2024-TRABAJO'!$A$5:$CY$9142,18,FALSE)</f>
        <v>#N/A</v>
      </c>
      <c r="G190" s="93" t="e">
        <f>VLOOKUP($A190, 'Matriz POA 2024-TRABAJO'!$A$5:$CY$9142,23,FALSE)</f>
        <v>#N/A</v>
      </c>
      <c r="H190" s="93" t="e">
        <f>VLOOKUP($A190, 'Matriz POA 2024-TRABAJO'!$A$5:$CY$9142,24,FALSE)</f>
        <v>#N/A</v>
      </c>
      <c r="I190" s="93" t="e">
        <f>VLOOKUP($A190, 'Matriz POA 2024-TRABAJO'!$A$5:$CY$9142,20,FALSE)</f>
        <v>#N/A</v>
      </c>
      <c r="J190" s="93" t="e">
        <f>VLOOKUP($A190, 'Matriz POA 2024-TRABAJO'!$A$5:$CY$9142,26,FALSE)</f>
        <v>#N/A</v>
      </c>
      <c r="K190" s="93" t="e">
        <f>VLOOKUP($A190, 'Matriz POA 2024-TRABAJO'!$A$5:$CY$9142,27,FALSE)</f>
        <v>#N/A</v>
      </c>
      <c r="L190" s="93" t="e">
        <f>VLOOKUP($A190, 'Matriz POA 2024-TRABAJO'!$A$5:$CY$9142,28,FALSE)</f>
        <v>#N/A</v>
      </c>
      <c r="M190" s="93" t="e">
        <f>VLOOKUP($A190, 'Matriz POA 2024-TRABAJO'!$A$5:$CY$9142,30,FALSE)</f>
        <v>#N/A</v>
      </c>
      <c r="N190" s="93" t="e">
        <f>VLOOKUP($A190, 'Matriz POA 2024-TRABAJO'!$A$5:$CY$9142,31,FALSE)</f>
        <v>#N/A</v>
      </c>
      <c r="O190" s="93" t="e">
        <f>VLOOKUP($A190, 'Matriz POA 2024-TRABAJO'!$A$5:$CY$9142,45,FALSE)</f>
        <v>#N/A</v>
      </c>
      <c r="P190" s="93" t="e">
        <f>VLOOKUP($A190, 'Matriz POA 2024-TRABAJO'!$A$5:$CY$9142,46,FALSE)</f>
        <v>#N/A</v>
      </c>
      <c r="Q190" s="93" t="e">
        <f>VLOOKUP($A190, 'Matriz POA 2024-TRABAJO'!$A$5:$CY$9142,47,FALSE)</f>
        <v>#N/A</v>
      </c>
      <c r="R190" s="94">
        <f t="shared" si="123"/>
        <v>3128.59</v>
      </c>
      <c r="S190" s="95" t="e">
        <f t="shared" si="124"/>
        <v>#N/A</v>
      </c>
      <c r="T190" s="93" t="e">
        <f>VLOOKUP($A190, 'Matriz POA 2024-TRABAJO'!$A$5:$CY$9142,72,FALSE)</f>
        <v>#N/A</v>
      </c>
      <c r="U190" s="93" t="e">
        <f>VLOOKUP($A190, 'Matriz POA 2024-TRABAJO'!$A$5:$CY$9142,29,FALSE)</f>
        <v>#N/A</v>
      </c>
      <c r="V190" s="93" t="str">
        <f t="shared" si="190"/>
        <v>68ar-lp68mg-</v>
      </c>
      <c r="W190" s="93" t="s">
        <v>1778</v>
      </c>
      <c r="X190" s="105">
        <v>45419</v>
      </c>
      <c r="Y190" s="93" t="s">
        <v>1833</v>
      </c>
      <c r="Z190" s="105">
        <v>45419</v>
      </c>
      <c r="AA190" s="93">
        <v>3529.12</v>
      </c>
      <c r="AB190" s="93"/>
      <c r="AC190" s="93">
        <f t="shared" si="194"/>
        <v>0</v>
      </c>
      <c r="AD190" s="99" t="s">
        <v>1780</v>
      </c>
      <c r="AE190" s="93" t="s">
        <v>1830</v>
      </c>
      <c r="AF190" s="103">
        <v>45429</v>
      </c>
      <c r="AG190" s="93"/>
      <c r="AH190" s="103">
        <v>45432</v>
      </c>
      <c r="AI190" s="93">
        <v>-400.53</v>
      </c>
      <c r="AJ190" s="93"/>
      <c r="AK190" s="93">
        <f>AH191-AF191</f>
        <v>0</v>
      </c>
      <c r="AL190" s="93" t="s">
        <v>1831</v>
      </c>
      <c r="AM190" s="93"/>
      <c r="AN190" s="93"/>
      <c r="AO190" s="93"/>
      <c r="AP190" s="93"/>
      <c r="AQ190" s="93"/>
      <c r="AR190" s="93"/>
      <c r="AS190" s="93">
        <f t="shared" si="196"/>
        <v>0</v>
      </c>
      <c r="AT190" s="93"/>
      <c r="AU190" s="93"/>
      <c r="AV190" s="93"/>
      <c r="AW190" s="93"/>
      <c r="AX190" s="93"/>
      <c r="AY190" s="93"/>
      <c r="AZ190" s="93"/>
      <c r="BA190" s="93"/>
      <c r="BB190" s="93"/>
      <c r="BC190" s="93"/>
      <c r="BD190" s="93"/>
      <c r="BE190" s="93"/>
      <c r="BF190" s="93"/>
      <c r="BG190" s="93"/>
      <c r="BH190" s="93"/>
      <c r="BI190" s="93"/>
      <c r="BJ190" s="93"/>
      <c r="BK190" s="93"/>
      <c r="BL190" s="93"/>
      <c r="BM190" s="93"/>
      <c r="BN190" s="93"/>
      <c r="BO190" s="93"/>
      <c r="BP190" s="93"/>
      <c r="BQ190" s="93"/>
      <c r="BR190" s="93"/>
      <c r="BS190" s="93"/>
      <c r="BT190" s="93"/>
      <c r="BU190" s="93"/>
      <c r="BV190" s="93"/>
      <c r="BW190" s="93"/>
      <c r="BX190" s="93"/>
      <c r="BY190" s="93"/>
      <c r="BZ190" s="93"/>
      <c r="CA190" s="93"/>
      <c r="CB190" s="93"/>
      <c r="CC190" s="93"/>
      <c r="CD190" s="93"/>
      <c r="CE190" s="93"/>
      <c r="CF190" s="93"/>
      <c r="CG190" s="93"/>
      <c r="CH190" s="93"/>
      <c r="CI190" s="93"/>
      <c r="CJ190" s="93"/>
      <c r="CK190" s="93"/>
      <c r="CL190" s="93"/>
      <c r="CM190" s="93"/>
      <c r="CN190" s="93"/>
      <c r="CO190" s="93"/>
      <c r="CP190" s="93"/>
      <c r="CQ190" s="93"/>
      <c r="CR190" s="93"/>
      <c r="CS190" s="93"/>
      <c r="CT190" s="93"/>
      <c r="CU190" s="93"/>
      <c r="CV190" s="93"/>
      <c r="CW190" s="93"/>
      <c r="CX190" s="93"/>
    </row>
    <row r="191" spans="1:102" ht="15" hidden="1" customHeight="1">
      <c r="A191" s="415">
        <v>198</v>
      </c>
      <c r="B191" s="93" t="e">
        <f>VLOOKUP($A191,  'Matriz POA 2024-TRABAJO'!$A$5:$CY$9142,29,FALSE)</f>
        <v>#N/A</v>
      </c>
      <c r="C191" s="93" t="e">
        <f>VLOOKUP($A191, 'Matriz POA 2024-TRABAJO'!$A$5:$CY$9142,11,FALSE)</f>
        <v>#N/A</v>
      </c>
      <c r="D191" s="93" t="e">
        <f>VLOOKUP($A191, 'Matriz POA 2024-TRABAJO'!$A$5:$CY$9142,14,FALSE)</f>
        <v>#N/A</v>
      </c>
      <c r="E191" s="93" t="e">
        <f>VLOOKUP($A191, 'Matriz POA 2024-TRABAJO'!$A$5:$CY$9142,15,FALSE)</f>
        <v>#N/A</v>
      </c>
      <c r="F191" s="93" t="e">
        <f>VLOOKUP($A191, 'Matriz POA 2024-TRABAJO'!$A$5:$CY$9142,18,FALSE)</f>
        <v>#N/A</v>
      </c>
      <c r="G191" s="93" t="e">
        <f>VLOOKUP($A191, 'Matriz POA 2024-TRABAJO'!$A$5:$CY$9142,23,FALSE)</f>
        <v>#N/A</v>
      </c>
      <c r="H191" s="93" t="e">
        <f>VLOOKUP($A191, 'Matriz POA 2024-TRABAJO'!$A$5:$CY$9142,24,FALSE)</f>
        <v>#N/A</v>
      </c>
      <c r="I191" s="93" t="e">
        <f>VLOOKUP($A191, 'Matriz POA 2024-TRABAJO'!$A$5:$CY$9142,20,FALSE)</f>
        <v>#N/A</v>
      </c>
      <c r="J191" s="93" t="e">
        <f>VLOOKUP($A191, 'Matriz POA 2024-TRABAJO'!$A$5:$CY$9142,26,FALSE)</f>
        <v>#N/A</v>
      </c>
      <c r="K191" s="93" t="e">
        <f>VLOOKUP($A191, 'Matriz POA 2024-TRABAJO'!$A$5:$CY$9142,27,FALSE)</f>
        <v>#N/A</v>
      </c>
      <c r="L191" s="93" t="e">
        <f>VLOOKUP($A191, 'Matriz POA 2024-TRABAJO'!$A$5:$CY$9142,28,FALSE)</f>
        <v>#N/A</v>
      </c>
      <c r="M191" s="93" t="e">
        <f>VLOOKUP($A191, 'Matriz POA 2024-TRABAJO'!$A$5:$CY$9142,30,FALSE)</f>
        <v>#N/A</v>
      </c>
      <c r="N191" s="93" t="e">
        <f>VLOOKUP($A191, 'Matriz POA 2024-TRABAJO'!$A$5:$CY$9142,31,FALSE)</f>
        <v>#N/A</v>
      </c>
      <c r="O191" s="93" t="e">
        <f>VLOOKUP($A191, 'Matriz POA 2024-TRABAJO'!$A$5:$CY$9142,45,FALSE)</f>
        <v>#N/A</v>
      </c>
      <c r="P191" s="93" t="e">
        <f>VLOOKUP($A191, 'Matriz POA 2024-TRABAJO'!$A$5:$CY$9142,46,FALSE)</f>
        <v>#N/A</v>
      </c>
      <c r="Q191" s="93" t="e">
        <f>VLOOKUP($A191, 'Matriz POA 2024-TRABAJO'!$A$5:$CY$9142,47,FALSE)</f>
        <v>#N/A</v>
      </c>
      <c r="R191" s="94">
        <f t="shared" si="123"/>
        <v>42002</v>
      </c>
      <c r="S191" s="95" t="e">
        <f t="shared" si="124"/>
        <v>#N/A</v>
      </c>
      <c r="T191" s="93" t="e">
        <f>VLOOKUP($A191, 'Matriz POA 2024-TRABAJO'!$A$5:$CY$9142,72,FALSE)</f>
        <v>#N/A</v>
      </c>
      <c r="U191" s="93" t="e">
        <f>VLOOKUP($A191, 'Matriz POA 2024-TRABAJO'!$A$5:$CY$9142,29,FALSE)</f>
        <v>#N/A</v>
      </c>
      <c r="V191" s="93" t="str">
        <f t="shared" si="190"/>
        <v/>
      </c>
      <c r="W191" s="93"/>
      <c r="X191" s="93"/>
      <c r="Y191" s="93"/>
      <c r="Z191" s="93"/>
      <c r="AA191" s="93">
        <v>42002</v>
      </c>
      <c r="AB191" s="93"/>
      <c r="AC191" s="93">
        <f t="shared" si="194"/>
        <v>0</v>
      </c>
      <c r="AD191" s="93"/>
      <c r="AE191" s="93"/>
      <c r="AF191" s="93"/>
      <c r="AG191" s="93"/>
      <c r="AH191" s="93"/>
      <c r="AI191" s="93"/>
      <c r="AJ191" s="93"/>
      <c r="AK191" s="93">
        <f t="shared" si="195"/>
        <v>0</v>
      </c>
      <c r="AL191" s="93"/>
      <c r="AM191" s="93"/>
      <c r="AN191" s="93"/>
      <c r="AO191" s="93"/>
      <c r="AP191" s="93"/>
      <c r="AQ191" s="93"/>
      <c r="AR191" s="93"/>
      <c r="AS191" s="93">
        <f t="shared" si="196"/>
        <v>0</v>
      </c>
      <c r="AT191" s="93"/>
      <c r="AU191" s="93"/>
      <c r="AV191" s="93"/>
      <c r="AW191" s="93"/>
      <c r="AX191" s="93"/>
      <c r="AY191" s="93"/>
      <c r="AZ191" s="93"/>
      <c r="BA191" s="93"/>
      <c r="BB191" s="93"/>
      <c r="BC191" s="93"/>
      <c r="BD191" s="93"/>
      <c r="BE191" s="93"/>
      <c r="BF191" s="93"/>
      <c r="BG191" s="93"/>
      <c r="BH191" s="93"/>
      <c r="BI191" s="93"/>
      <c r="BJ191" s="93"/>
      <c r="BK191" s="93"/>
      <c r="BL191" s="93"/>
      <c r="BM191" s="93"/>
      <c r="BN191" s="93"/>
      <c r="BO191" s="93"/>
      <c r="BP191" s="93"/>
      <c r="BQ191" s="93"/>
      <c r="BR191" s="93"/>
      <c r="BS191" s="93"/>
      <c r="BT191" s="93"/>
      <c r="BU191" s="93"/>
      <c r="BV191" s="93"/>
      <c r="BW191" s="93"/>
      <c r="BX191" s="93"/>
      <c r="BY191" s="93"/>
      <c r="BZ191" s="93"/>
      <c r="CA191" s="93"/>
      <c r="CB191" s="93"/>
      <c r="CC191" s="93"/>
      <c r="CD191" s="93"/>
      <c r="CE191" s="93"/>
      <c r="CF191" s="93"/>
      <c r="CG191" s="93"/>
      <c r="CH191" s="93"/>
      <c r="CI191" s="93"/>
      <c r="CJ191" s="93"/>
      <c r="CK191" s="93"/>
      <c r="CL191" s="93"/>
      <c r="CM191" s="93"/>
      <c r="CN191" s="93"/>
      <c r="CO191" s="93"/>
      <c r="CP191" s="93"/>
      <c r="CQ191" s="93"/>
      <c r="CR191" s="93"/>
      <c r="CS191" s="93"/>
      <c r="CT191" s="93"/>
      <c r="CU191" s="93"/>
      <c r="CV191" s="93"/>
      <c r="CW191" s="93"/>
      <c r="CX191" s="93"/>
    </row>
    <row r="192" spans="1:102" ht="78.75" hidden="1" customHeight="1">
      <c r="A192" s="8">
        <v>864</v>
      </c>
      <c r="B192" s="93" t="e">
        <f>VLOOKUP($A192,  'Matriz POA 2024-TRABAJO'!$A$5:$CY$9142,29,FALSE)</f>
        <v>#N/A</v>
      </c>
      <c r="C192" s="93" t="e">
        <f>VLOOKUP($A192, 'Matriz POA 2024-TRABAJO'!$A$5:$CY$9142,11,FALSE)</f>
        <v>#N/A</v>
      </c>
      <c r="D192" s="93" t="e">
        <f>VLOOKUP($A192, 'Matriz POA 2024-TRABAJO'!$A$5:$CY$9142,14,FALSE)</f>
        <v>#N/A</v>
      </c>
      <c r="E192" s="93" t="e">
        <f>VLOOKUP($A192, 'Matriz POA 2024-TRABAJO'!$A$5:$CY$9142,15,FALSE)</f>
        <v>#N/A</v>
      </c>
      <c r="F192" s="93" t="e">
        <f>VLOOKUP($A192, 'Matriz POA 2024-TRABAJO'!$A$5:$CY$9142,18,FALSE)</f>
        <v>#N/A</v>
      </c>
      <c r="G192" s="93" t="e">
        <f>VLOOKUP($A192, 'Matriz POA 2024-TRABAJO'!$A$5:$CY$9142,23,FALSE)</f>
        <v>#N/A</v>
      </c>
      <c r="H192" s="93" t="e">
        <f>VLOOKUP($A192, 'Matriz POA 2024-TRABAJO'!$A$5:$CY$9142,24,FALSE)</f>
        <v>#N/A</v>
      </c>
      <c r="I192" s="93" t="e">
        <f>VLOOKUP($A192, 'Matriz POA 2024-TRABAJO'!$A$5:$CY$9142,20,FALSE)</f>
        <v>#N/A</v>
      </c>
      <c r="J192" s="93" t="e">
        <f>VLOOKUP($A192, 'Matriz POA 2024-TRABAJO'!$A$5:$CY$9142,26,FALSE)</f>
        <v>#N/A</v>
      </c>
      <c r="K192" s="93" t="e">
        <f>VLOOKUP($A192, 'Matriz POA 2024-TRABAJO'!$A$5:$CY$9142,27,FALSE)</f>
        <v>#N/A</v>
      </c>
      <c r="L192" s="93" t="e">
        <f>VLOOKUP($A192, 'Matriz POA 2024-TRABAJO'!$A$5:$CY$9142,28,FALSE)</f>
        <v>#N/A</v>
      </c>
      <c r="M192" s="93" t="e">
        <f>VLOOKUP($A192, 'Matriz POA 2024-TRABAJO'!$A$5:$CY$9142,30,FALSE)</f>
        <v>#N/A</v>
      </c>
      <c r="N192" s="93" t="e">
        <f>VLOOKUP($A192, 'Matriz POA 2024-TRABAJO'!$A$5:$CY$9142,31,FALSE)</f>
        <v>#N/A</v>
      </c>
      <c r="O192" s="93" t="e">
        <f>VLOOKUP($A192, 'Matriz POA 2024-TRABAJO'!$A$5:$CY$9142,45,FALSE)</f>
        <v>#N/A</v>
      </c>
      <c r="P192" s="93" t="e">
        <f>VLOOKUP($A192, 'Matriz POA 2024-TRABAJO'!$A$5:$CY$9142,46,FALSE)</f>
        <v>#N/A</v>
      </c>
      <c r="Q192" s="93" t="e">
        <f>VLOOKUP($A192, 'Matriz POA 2024-TRABAJO'!$A$5:$CY$9142,47,FALSE)</f>
        <v>#N/A</v>
      </c>
      <c r="R192" s="94">
        <f t="shared" si="123"/>
        <v>0</v>
      </c>
      <c r="S192" s="95" t="e">
        <f t="shared" si="124"/>
        <v>#N/A</v>
      </c>
      <c r="T192" s="93" t="e">
        <f>VLOOKUP($A192, 'Matriz POA 2024-TRABAJO'!$A$5:$CY$9142,72,FALSE)</f>
        <v>#N/A</v>
      </c>
      <c r="U192" s="93" t="e">
        <f>VLOOKUP($A192, 'Matriz POA 2024-TRABAJO'!$A$5:$CY$9142,29,FALSE)</f>
        <v>#N/A</v>
      </c>
      <c r="V192" s="93" t="str">
        <f t="shared" si="190"/>
        <v>71mg-LT71MG-</v>
      </c>
      <c r="W192" s="93" t="s">
        <v>1802</v>
      </c>
      <c r="X192" s="103">
        <v>45425</v>
      </c>
      <c r="Y192" s="93" t="s">
        <v>1801</v>
      </c>
      <c r="Z192" s="103">
        <v>45425</v>
      </c>
      <c r="AA192" s="93">
        <v>5028</v>
      </c>
      <c r="AB192" s="93"/>
      <c r="AC192" s="93">
        <f t="shared" si="194"/>
        <v>0</v>
      </c>
      <c r="AD192" s="93" t="s">
        <v>1804</v>
      </c>
      <c r="AE192" s="149"/>
      <c r="AF192" s="149"/>
      <c r="AG192" s="149"/>
      <c r="AH192" s="428">
        <v>45426</v>
      </c>
      <c r="AI192" s="93">
        <v>-5028</v>
      </c>
      <c r="AJ192" s="93"/>
      <c r="AK192" s="93">
        <f t="shared" si="195"/>
        <v>45426</v>
      </c>
      <c r="AL192" s="93" t="s">
        <v>1807</v>
      </c>
      <c r="AM192" s="93"/>
      <c r="AN192" s="93"/>
      <c r="AO192" s="93"/>
      <c r="AP192" s="93"/>
      <c r="AQ192" s="93"/>
      <c r="AR192" s="93"/>
      <c r="AS192" s="93">
        <f t="shared" si="196"/>
        <v>0</v>
      </c>
      <c r="AT192" s="93"/>
      <c r="AU192" s="93"/>
      <c r="AV192" s="93"/>
      <c r="AW192" s="93"/>
      <c r="AX192" s="93"/>
      <c r="AY192" s="93"/>
      <c r="AZ192" s="93"/>
      <c r="BA192" s="93"/>
      <c r="BB192" s="93"/>
      <c r="BC192" s="93"/>
      <c r="BD192" s="93"/>
      <c r="BE192" s="93"/>
      <c r="BF192" s="93"/>
      <c r="BG192" s="93"/>
      <c r="BH192" s="93"/>
      <c r="BI192" s="93"/>
      <c r="BJ192" s="93"/>
      <c r="BK192" s="93"/>
      <c r="BL192" s="93"/>
      <c r="BM192" s="93"/>
      <c r="BN192" s="93"/>
      <c r="BO192" s="93"/>
      <c r="BP192" s="93"/>
      <c r="BQ192" s="93"/>
      <c r="BR192" s="93"/>
      <c r="BS192" s="93"/>
      <c r="BT192" s="93"/>
      <c r="BU192" s="93"/>
      <c r="BV192" s="93"/>
      <c r="BW192" s="93"/>
      <c r="BX192" s="93"/>
      <c r="BY192" s="93"/>
      <c r="BZ192" s="93"/>
      <c r="CA192" s="93"/>
      <c r="CB192" s="93"/>
      <c r="CC192" s="93"/>
      <c r="CD192" s="93"/>
      <c r="CE192" s="93"/>
      <c r="CF192" s="93"/>
      <c r="CG192" s="93"/>
      <c r="CH192" s="93"/>
      <c r="CI192" s="93"/>
      <c r="CJ192" s="93"/>
      <c r="CK192" s="93"/>
      <c r="CL192" s="93"/>
      <c r="CM192" s="93"/>
      <c r="CN192" s="93"/>
      <c r="CO192" s="93"/>
      <c r="CP192" s="93"/>
      <c r="CQ192" s="93"/>
      <c r="CR192" s="93"/>
      <c r="CS192" s="93"/>
      <c r="CT192" s="93"/>
      <c r="CU192" s="93"/>
      <c r="CV192" s="93"/>
      <c r="CW192" s="93"/>
      <c r="CX192" s="93"/>
    </row>
    <row r="193" spans="1:110" ht="15" hidden="1" customHeight="1">
      <c r="A193" s="427">
        <v>865</v>
      </c>
      <c r="B193" s="93" t="e">
        <f>VLOOKUP($A193,  'Matriz POA 2024-TRABAJO'!$A$5:$CY$9142,29,FALSE)</f>
        <v>#N/A</v>
      </c>
      <c r="C193" s="93" t="e">
        <f>VLOOKUP($A193, 'Matriz POA 2024-TRABAJO'!$A$5:$CY$9142,11,FALSE)</f>
        <v>#N/A</v>
      </c>
      <c r="D193" s="93"/>
      <c r="E193" s="93" t="e">
        <f>VLOOKUP($A193, 'Matriz POA 2024-TRABAJO'!$A$5:$CY$9142,15,FALSE)</f>
        <v>#N/A</v>
      </c>
      <c r="F193" s="93" t="e">
        <f>VLOOKUP($A193, 'Matriz POA 2024-TRABAJO'!$A$5:$CY$9142,18,FALSE)</f>
        <v>#N/A</v>
      </c>
      <c r="G193" s="93" t="e">
        <f>VLOOKUP($A193, 'Matriz POA 2024-TRABAJO'!$A$5:$CY$9142,23,FALSE)</f>
        <v>#N/A</v>
      </c>
      <c r="H193" s="93" t="e">
        <f>VLOOKUP($A193, 'Matriz POA 2024-TRABAJO'!$A$5:$CY$9142,24,FALSE)</f>
        <v>#N/A</v>
      </c>
      <c r="I193" s="93" t="e">
        <f>VLOOKUP($A193, 'Matriz POA 2024-TRABAJO'!$A$5:$CY$9142,20,FALSE)</f>
        <v>#N/A</v>
      </c>
      <c r="J193" s="93" t="e">
        <f>VLOOKUP($A193, 'Matriz POA 2024-TRABAJO'!$A$5:$CY$9142,26,FALSE)</f>
        <v>#N/A</v>
      </c>
      <c r="K193" s="93" t="e">
        <f>VLOOKUP($A193, 'Matriz POA 2024-TRABAJO'!$A$5:$CY$9142,27,FALSE)</f>
        <v>#N/A</v>
      </c>
      <c r="L193" s="93" t="e">
        <f>VLOOKUP($A193, 'Matriz POA 2024-TRABAJO'!$A$5:$CY$9142,28,FALSE)</f>
        <v>#N/A</v>
      </c>
      <c r="M193" s="93" t="e">
        <f>VLOOKUP($A193, 'Matriz POA 2024-TRABAJO'!$A$5:$CY$9142,30,FALSE)</f>
        <v>#N/A</v>
      </c>
      <c r="N193" s="93" t="e">
        <f>VLOOKUP($A193, 'Matriz POA 2024-TRABAJO'!$A$5:$CY$9142,31,FALSE)</f>
        <v>#N/A</v>
      </c>
      <c r="O193" s="93" t="e">
        <f>VLOOKUP($A193, 'Matriz POA 2024-TRABAJO'!$A$5:$CY$9142,45,FALSE)</f>
        <v>#N/A</v>
      </c>
      <c r="P193" s="93" t="e">
        <f>VLOOKUP($A193, 'Matriz POA 2024-TRABAJO'!$A$5:$CY$9142,46,FALSE)</f>
        <v>#N/A</v>
      </c>
      <c r="Q193" s="93" t="e">
        <f>VLOOKUP($A193, 'Matriz POA 2024-TRABAJO'!$A$5:$CY$9142,47,FALSE)</f>
        <v>#N/A</v>
      </c>
      <c r="R193" s="94">
        <f t="shared" si="123"/>
        <v>4560</v>
      </c>
      <c r="S193" s="95" t="e">
        <f t="shared" si="124"/>
        <v>#N/A</v>
      </c>
      <c r="T193" s="93" t="e">
        <f>VLOOKUP($A193, 'Matriz POA 2024-TRABAJO'!$A$5:$CY$9142,72,FALSE)</f>
        <v>#N/A</v>
      </c>
      <c r="U193" s="93" t="e">
        <f>VLOOKUP($A193, 'Matriz POA 2024-TRABAJO'!$A$5:$CY$9142,29,FALSE)</f>
        <v>#N/A</v>
      </c>
      <c r="V193" s="93" t="str">
        <f t="shared" si="190"/>
        <v>72-AD-</v>
      </c>
      <c r="W193" s="93" t="s">
        <v>1806</v>
      </c>
      <c r="X193" s="103">
        <v>45426</v>
      </c>
      <c r="Y193" s="93" t="s">
        <v>1808</v>
      </c>
      <c r="Z193" s="103">
        <v>45426</v>
      </c>
      <c r="AA193" s="93">
        <v>4560</v>
      </c>
      <c r="AB193" s="93"/>
      <c r="AC193" s="93">
        <f t="shared" si="194"/>
        <v>0</v>
      </c>
      <c r="AD193" s="93" t="s">
        <v>1805</v>
      </c>
      <c r="AE193" s="93"/>
      <c r="AF193" s="93"/>
      <c r="AG193" s="93"/>
      <c r="AH193" s="93"/>
      <c r="AI193" s="93"/>
      <c r="AJ193" s="93"/>
      <c r="AK193" s="93">
        <f t="shared" si="195"/>
        <v>0</v>
      </c>
      <c r="AL193" s="93"/>
      <c r="AM193" s="93"/>
      <c r="AN193" s="93"/>
      <c r="AO193" s="93"/>
      <c r="AP193" s="93"/>
      <c r="AQ193" s="93"/>
      <c r="AR193" s="93"/>
      <c r="AS193" s="93">
        <f t="shared" si="196"/>
        <v>0</v>
      </c>
      <c r="AT193" s="93"/>
      <c r="AU193" s="93"/>
      <c r="AV193" s="93"/>
      <c r="AW193" s="93"/>
      <c r="AX193" s="93"/>
      <c r="AY193" s="93"/>
      <c r="AZ193" s="93"/>
      <c r="BA193" s="93"/>
      <c r="BB193" s="93"/>
      <c r="BC193" s="93"/>
      <c r="BD193" s="93"/>
      <c r="BE193" s="93"/>
      <c r="BF193" s="93"/>
      <c r="BG193" s="93"/>
      <c r="BH193" s="93"/>
      <c r="BI193" s="93"/>
      <c r="BJ193" s="93"/>
      <c r="BK193" s="93"/>
      <c r="BL193" s="93"/>
      <c r="BM193" s="93"/>
      <c r="BN193" s="93"/>
      <c r="BO193" s="93"/>
      <c r="BP193" s="93"/>
      <c r="BQ193" s="93"/>
      <c r="BR193" s="93"/>
      <c r="BS193" s="93"/>
      <c r="BT193" s="93"/>
      <c r="BU193" s="93"/>
      <c r="BV193" s="93"/>
      <c r="BW193" s="93"/>
      <c r="BX193" s="93"/>
      <c r="BY193" s="93"/>
      <c r="BZ193" s="93"/>
      <c r="CA193" s="93"/>
      <c r="CB193" s="93"/>
      <c r="CC193" s="93"/>
      <c r="CD193" s="93"/>
      <c r="CE193" s="93"/>
      <c r="CF193" s="93"/>
      <c r="CG193" s="93"/>
      <c r="CH193" s="93"/>
      <c r="CI193" s="93"/>
      <c r="CJ193" s="93"/>
      <c r="CK193" s="93"/>
      <c r="CL193" s="93"/>
      <c r="CM193" s="93"/>
      <c r="CN193" s="93"/>
      <c r="CO193" s="93"/>
      <c r="CP193" s="93"/>
      <c r="CQ193" s="93"/>
      <c r="CR193" s="93"/>
      <c r="CS193" s="93"/>
      <c r="CT193" s="93"/>
      <c r="CU193" s="93"/>
      <c r="CV193" s="93"/>
      <c r="CW193" s="93"/>
      <c r="CX193" s="93"/>
    </row>
    <row r="194" spans="1:110" ht="15" hidden="1" customHeight="1">
      <c r="A194" s="427">
        <v>866</v>
      </c>
      <c r="B194" s="93" t="e">
        <f>VLOOKUP($A194,  'Matriz POA 2024-TRABAJO'!$A$5:$CY$9142,29,FALSE)</f>
        <v>#N/A</v>
      </c>
      <c r="C194" s="93" t="e">
        <f>VLOOKUP($A194, 'Matriz POA 2024-TRABAJO'!$A$5:$CY$9142,11,FALSE)</f>
        <v>#N/A</v>
      </c>
      <c r="D194" s="93" t="e">
        <f>VLOOKUP($A194, 'Matriz POA 2024-TRABAJO'!$A$5:$CY$9142,14,FALSE)</f>
        <v>#N/A</v>
      </c>
      <c r="E194" s="93" t="e">
        <f>VLOOKUP($A194, 'Matriz POA 2024-TRABAJO'!$A$5:$CY$9142,15,FALSE)</f>
        <v>#N/A</v>
      </c>
      <c r="F194" s="93" t="e">
        <f>VLOOKUP($A194, 'Matriz POA 2024-TRABAJO'!$A$5:$CY$9142,18,FALSE)</f>
        <v>#N/A</v>
      </c>
      <c r="G194" s="93" t="e">
        <f>VLOOKUP($A194, 'Matriz POA 2024-TRABAJO'!$A$5:$CY$9142,23,FALSE)</f>
        <v>#N/A</v>
      </c>
      <c r="H194" s="93" t="e">
        <f>VLOOKUP($A194, 'Matriz POA 2024-TRABAJO'!$A$5:$CY$9142,24,FALSE)</f>
        <v>#N/A</v>
      </c>
      <c r="I194" s="93" t="e">
        <f>VLOOKUP($A194, 'Matriz POA 2024-TRABAJO'!$A$5:$CY$9142,20,FALSE)</f>
        <v>#N/A</v>
      </c>
      <c r="J194" s="93" t="e">
        <f>VLOOKUP($A194, 'Matriz POA 2024-TRABAJO'!$A$5:$CY$9142,26,FALSE)</f>
        <v>#N/A</v>
      </c>
      <c r="K194" s="93" t="e">
        <f>VLOOKUP($A194, 'Matriz POA 2024-TRABAJO'!$A$5:$CY$9142,27,FALSE)</f>
        <v>#N/A</v>
      </c>
      <c r="L194" s="93" t="e">
        <f>VLOOKUP($A194, 'Matriz POA 2024-TRABAJO'!$A$5:$CY$9142,28,FALSE)</f>
        <v>#N/A</v>
      </c>
      <c r="M194" s="93" t="e">
        <f>VLOOKUP($A194, 'Matriz POA 2024-TRABAJO'!$A$5:$CY$9142,30,FALSE)</f>
        <v>#N/A</v>
      </c>
      <c r="N194" s="93" t="e">
        <f>VLOOKUP($A194, 'Matriz POA 2024-TRABAJO'!$A$5:$CY$9142,31,FALSE)</f>
        <v>#N/A</v>
      </c>
      <c r="O194" s="93" t="e">
        <f>VLOOKUP($A194, 'Matriz POA 2024-TRABAJO'!$A$5:$CY$9142,45,FALSE)</f>
        <v>#N/A</v>
      </c>
      <c r="P194" s="93" t="e">
        <f>VLOOKUP($A194, 'Matriz POA 2024-TRABAJO'!$A$5:$CY$9142,46,FALSE)</f>
        <v>#N/A</v>
      </c>
      <c r="Q194" s="93" t="e">
        <f>VLOOKUP($A194, 'Matriz POA 2024-TRABAJO'!$A$5:$CY$9142,47,FALSE)</f>
        <v>#N/A</v>
      </c>
      <c r="R194" s="94">
        <f t="shared" ref="R194:R213" si="197">AA194+AI194+AQ194+AY194+BG194+BO194+BW194+CE194+CM194+CU194+AB194+AJ194+AR194+AZ194+BH194+BP194</f>
        <v>1600</v>
      </c>
      <c r="S194" s="95" t="e">
        <f t="shared" ref="S194:S213" si="198">Q194-R194</f>
        <v>#N/A</v>
      </c>
      <c r="T194" s="93" t="e">
        <f>VLOOKUP($A194, 'Matriz POA 2024-TRABAJO'!$A$5:$CY$9142,72,FALSE)</f>
        <v>#N/A</v>
      </c>
      <c r="U194" s="93" t="e">
        <f>VLOOKUP($A194, 'Matriz POA 2024-TRABAJO'!$A$5:$CY$9142,29,FALSE)</f>
        <v>#N/A</v>
      </c>
      <c r="V194" s="93" t="str">
        <f t="shared" si="190"/>
        <v>72-AD-</v>
      </c>
      <c r="W194" s="93" t="s">
        <v>1806</v>
      </c>
      <c r="X194" s="103">
        <v>45426</v>
      </c>
      <c r="Y194" s="93" t="s">
        <v>1808</v>
      </c>
      <c r="Z194" s="103">
        <v>45426</v>
      </c>
      <c r="AA194" s="93">
        <v>1600</v>
      </c>
      <c r="AB194" s="93"/>
      <c r="AC194" s="93">
        <f t="shared" si="194"/>
        <v>0</v>
      </c>
      <c r="AD194" s="93" t="s">
        <v>1805</v>
      </c>
      <c r="AE194" s="93"/>
      <c r="AF194" s="93"/>
      <c r="AG194" s="93"/>
      <c r="AH194" s="93"/>
      <c r="AI194" s="93"/>
      <c r="AJ194" s="93"/>
      <c r="AK194" s="93">
        <f t="shared" si="195"/>
        <v>0</v>
      </c>
      <c r="AL194" s="93"/>
      <c r="AM194" s="93"/>
      <c r="AN194" s="93"/>
      <c r="AO194" s="93"/>
      <c r="AP194" s="93"/>
      <c r="AQ194" s="93"/>
      <c r="AR194" s="93"/>
      <c r="AS194" s="93">
        <f t="shared" si="196"/>
        <v>0</v>
      </c>
      <c r="AT194" s="93"/>
      <c r="AU194" s="93"/>
      <c r="AV194" s="93"/>
      <c r="AW194" s="93"/>
      <c r="AX194" s="93"/>
      <c r="AY194" s="93"/>
      <c r="AZ194" s="93"/>
      <c r="BA194" s="93"/>
      <c r="BB194" s="93"/>
      <c r="BC194" s="93"/>
      <c r="BD194" s="93"/>
      <c r="BE194" s="93"/>
      <c r="BF194" s="93"/>
      <c r="BG194" s="93"/>
      <c r="BH194" s="93"/>
      <c r="BI194" s="93"/>
      <c r="BJ194" s="93"/>
      <c r="BK194" s="93"/>
      <c r="BL194" s="93"/>
      <c r="BM194" s="93"/>
      <c r="BN194" s="93"/>
      <c r="BO194" s="93"/>
      <c r="BP194" s="93"/>
      <c r="BQ194" s="93"/>
      <c r="BR194" s="93"/>
      <c r="BS194" s="93"/>
      <c r="BT194" s="93"/>
      <c r="BU194" s="93"/>
      <c r="BV194" s="93"/>
      <c r="BW194" s="93"/>
      <c r="BX194" s="93"/>
      <c r="BY194" s="93"/>
      <c r="BZ194" s="93"/>
      <c r="CA194" s="93"/>
      <c r="CB194" s="93"/>
      <c r="CC194" s="93"/>
      <c r="CD194" s="93"/>
      <c r="CE194" s="93"/>
      <c r="CF194" s="93"/>
      <c r="CG194" s="93"/>
      <c r="CH194" s="93"/>
      <c r="CI194" s="93"/>
      <c r="CJ194" s="93"/>
      <c r="CK194" s="93"/>
      <c r="CL194" s="93"/>
      <c r="CM194" s="93"/>
      <c r="CN194" s="93"/>
      <c r="CO194" s="93"/>
      <c r="CP194" s="93"/>
      <c r="CQ194" s="93"/>
      <c r="CR194" s="93"/>
      <c r="CS194" s="93"/>
      <c r="CT194" s="93"/>
      <c r="CU194" s="93"/>
      <c r="CV194" s="93"/>
      <c r="CW194" s="93"/>
      <c r="CX194" s="93"/>
    </row>
    <row r="195" spans="1:110" ht="15" hidden="1" customHeight="1">
      <c r="A195" s="415">
        <v>867</v>
      </c>
      <c r="B195" s="93" t="e">
        <f>VLOOKUP($A195,  'Matriz POA 2024-TRABAJO'!$A$5:$CY$9142,29,FALSE)</f>
        <v>#N/A</v>
      </c>
      <c r="C195" s="93" t="e">
        <f>VLOOKUP($A195, 'Matriz POA 2024-TRABAJO'!$A$5:$CY$9142,11,FALSE)</f>
        <v>#N/A</v>
      </c>
      <c r="D195" s="93" t="e">
        <f>VLOOKUP($A195, 'Matriz POA 2024-TRABAJO'!$A$5:$CY$9142,14,FALSE)</f>
        <v>#N/A</v>
      </c>
      <c r="E195" s="93" t="e">
        <f>VLOOKUP($A195, 'Matriz POA 2024-TRABAJO'!$A$5:$CY$9142,15,FALSE)</f>
        <v>#N/A</v>
      </c>
      <c r="F195" s="93" t="e">
        <f>VLOOKUP($A195, 'Matriz POA 2024-TRABAJO'!$A$5:$CY$9142,18,FALSE)</f>
        <v>#N/A</v>
      </c>
      <c r="G195" s="93" t="e">
        <f>VLOOKUP($A195, 'Matriz POA 2024-TRABAJO'!$A$5:$CY$9142,23,FALSE)</f>
        <v>#N/A</v>
      </c>
      <c r="H195" s="93" t="e">
        <f>VLOOKUP($A195, 'Matriz POA 2024-TRABAJO'!$A$5:$CY$9142,24,FALSE)</f>
        <v>#N/A</v>
      </c>
      <c r="I195" s="93" t="e">
        <f>VLOOKUP($A195, 'Matriz POA 2024-TRABAJO'!$A$5:$CY$9142,20,FALSE)</f>
        <v>#N/A</v>
      </c>
      <c r="J195" s="93" t="e">
        <f>VLOOKUP($A195, 'Matriz POA 2024-TRABAJO'!$A$5:$CY$9142,26,FALSE)</f>
        <v>#N/A</v>
      </c>
      <c r="K195" s="93" t="e">
        <f>VLOOKUP($A195, 'Matriz POA 2024-TRABAJO'!$A$5:$CY$9142,27,FALSE)</f>
        <v>#N/A</v>
      </c>
      <c r="L195" s="93" t="e">
        <f>VLOOKUP($A195, 'Matriz POA 2024-TRABAJO'!$A$5:$CY$9142,28,FALSE)</f>
        <v>#N/A</v>
      </c>
      <c r="M195" s="93" t="e">
        <f>VLOOKUP($A195, 'Matriz POA 2024-TRABAJO'!$A$5:$CY$9142,30,FALSE)</f>
        <v>#N/A</v>
      </c>
      <c r="N195" s="93" t="e">
        <f>VLOOKUP($A195, 'Matriz POA 2024-TRABAJO'!$A$5:$CY$9142,31,FALSE)</f>
        <v>#N/A</v>
      </c>
      <c r="O195" s="93" t="e">
        <f>VLOOKUP($A195, 'Matriz POA 2024-TRABAJO'!$A$5:$CY$9142,45,FALSE)</f>
        <v>#N/A</v>
      </c>
      <c r="P195" s="93" t="e">
        <f>VLOOKUP($A195, 'Matriz POA 2024-TRABAJO'!$A$5:$CY$9142,46,FALSE)</f>
        <v>#N/A</v>
      </c>
      <c r="Q195" s="93" t="e">
        <f>VLOOKUP($A195, 'Matriz POA 2024-TRABAJO'!$A$5:$CY$9142,47,FALSE)</f>
        <v>#N/A</v>
      </c>
      <c r="R195" s="94">
        <f t="shared" si="197"/>
        <v>5028</v>
      </c>
      <c r="S195" s="95" t="e">
        <f t="shared" si="198"/>
        <v>#N/A</v>
      </c>
      <c r="T195" s="93" t="e">
        <f>VLOOKUP($A195, 'Matriz POA 2024-TRABAJO'!$A$5:$CY$9142,72,FALSE)</f>
        <v>#N/A</v>
      </c>
      <c r="U195" s="93" t="e">
        <f>VLOOKUP($A195, 'Matriz POA 2024-TRABAJO'!$A$5:$CY$9142,29,FALSE)</f>
        <v>#N/A</v>
      </c>
      <c r="V195" s="93" t="str">
        <f t="shared" si="190"/>
        <v>73AD-</v>
      </c>
      <c r="W195" s="149" t="s">
        <v>1812</v>
      </c>
      <c r="X195" s="428">
        <v>45426</v>
      </c>
      <c r="Y195" s="149" t="s">
        <v>1811</v>
      </c>
      <c r="Z195" s="428">
        <v>45426</v>
      </c>
      <c r="AA195" s="149">
        <v>5028</v>
      </c>
      <c r="AB195" s="149"/>
      <c r="AC195" s="93">
        <f t="shared" si="194"/>
        <v>0</v>
      </c>
      <c r="AD195" s="93" t="s">
        <v>1810</v>
      </c>
      <c r="AE195" s="93"/>
      <c r="AF195" s="93"/>
      <c r="AG195" s="93"/>
      <c r="AH195" s="93"/>
      <c r="AI195" s="93"/>
      <c r="AJ195" s="93"/>
      <c r="AK195" s="93">
        <f t="shared" si="195"/>
        <v>0</v>
      </c>
      <c r="AL195" s="93"/>
      <c r="AM195" s="93"/>
      <c r="AN195" s="93"/>
      <c r="AO195" s="93"/>
      <c r="AP195" s="93"/>
      <c r="AQ195" s="93"/>
      <c r="AR195" s="93"/>
      <c r="AS195" s="93">
        <f t="shared" si="196"/>
        <v>0</v>
      </c>
      <c r="AT195" s="93"/>
      <c r="AU195" s="93"/>
      <c r="AV195" s="93"/>
      <c r="AW195" s="93"/>
      <c r="AX195" s="93"/>
      <c r="AY195" s="93"/>
      <c r="AZ195" s="93"/>
      <c r="BA195" s="93"/>
      <c r="BB195" s="93"/>
      <c r="BC195" s="93"/>
      <c r="BD195" s="93"/>
      <c r="BE195" s="93"/>
      <c r="BF195" s="93"/>
      <c r="BG195" s="93"/>
      <c r="BH195" s="93"/>
      <c r="BI195" s="93"/>
      <c r="BJ195" s="93"/>
      <c r="BK195" s="93"/>
      <c r="BL195" s="93"/>
      <c r="BM195" s="93"/>
      <c r="BN195" s="93"/>
      <c r="BO195" s="93"/>
      <c r="BP195" s="93"/>
      <c r="BQ195" s="93"/>
      <c r="BR195" s="93"/>
      <c r="BS195" s="93"/>
      <c r="BT195" s="93"/>
      <c r="BU195" s="93"/>
      <c r="BV195" s="93"/>
      <c r="BW195" s="93"/>
      <c r="BX195" s="93"/>
      <c r="BY195" s="93"/>
      <c r="BZ195" s="93"/>
      <c r="CA195" s="93"/>
      <c r="CB195" s="93"/>
      <c r="CC195" s="93"/>
      <c r="CD195" s="93"/>
      <c r="CE195" s="93"/>
      <c r="CF195" s="93"/>
      <c r="CG195" s="93"/>
      <c r="CH195" s="93"/>
      <c r="CI195" s="93"/>
      <c r="CJ195" s="93"/>
      <c r="CK195" s="93"/>
      <c r="CL195" s="93"/>
      <c r="CM195" s="93"/>
      <c r="CN195" s="93"/>
      <c r="CO195" s="93"/>
      <c r="CP195" s="93"/>
      <c r="CQ195" s="93"/>
      <c r="CR195" s="93"/>
      <c r="CS195" s="93"/>
      <c r="CT195" s="93"/>
      <c r="CU195" s="93"/>
      <c r="CV195" s="93"/>
      <c r="CW195" s="93"/>
      <c r="CX195" s="93"/>
    </row>
    <row r="196" spans="1:110" ht="60.75" hidden="1" customHeight="1">
      <c r="A196" s="8">
        <v>879</v>
      </c>
      <c r="B196" s="93" t="e">
        <f>VLOOKUP($A196,  'Matriz POA 2024-TRABAJO'!$A$5:$CY$9142,29,FALSE)</f>
        <v>#N/A</v>
      </c>
      <c r="C196" s="93" t="e">
        <f>VLOOKUP($A196, 'Matriz POA 2024-TRABAJO'!$A$5:$CY$9142,11,FALSE)</f>
        <v>#N/A</v>
      </c>
      <c r="D196" s="93" t="e">
        <f>VLOOKUP($A196, 'Matriz POA 2024-TRABAJO'!$A$5:$CY$9142,14,FALSE)</f>
        <v>#N/A</v>
      </c>
      <c r="E196" s="93" t="e">
        <f>VLOOKUP($A196, 'Matriz POA 2024-TRABAJO'!$A$5:$CY$9142,15,FALSE)</f>
        <v>#N/A</v>
      </c>
      <c r="F196" s="93" t="e">
        <f>VLOOKUP($A196, 'Matriz POA 2024-TRABAJO'!$A$5:$CY$9142,18,FALSE)</f>
        <v>#N/A</v>
      </c>
      <c r="G196" s="93" t="e">
        <f>VLOOKUP($A196, 'Matriz POA 2024-TRABAJO'!$A$5:$CY$9142,23,FALSE)</f>
        <v>#N/A</v>
      </c>
      <c r="H196" s="93" t="e">
        <f>VLOOKUP($A196, 'Matriz POA 2024-TRABAJO'!$A$5:$CY$9142,24,FALSE)</f>
        <v>#N/A</v>
      </c>
      <c r="I196" s="93" t="e">
        <f>VLOOKUP($A196, 'Matriz POA 2024-TRABAJO'!$A$5:$CY$9142,20,FALSE)</f>
        <v>#N/A</v>
      </c>
      <c r="J196" s="93" t="e">
        <f>VLOOKUP($A196, 'Matriz POA 2024-TRABAJO'!$A$5:$CY$9142,26,FALSE)</f>
        <v>#N/A</v>
      </c>
      <c r="K196" s="93" t="e">
        <f>VLOOKUP($A196, 'Matriz POA 2024-TRABAJO'!$A$5:$CY$9142,27,FALSE)</f>
        <v>#N/A</v>
      </c>
      <c r="L196" s="93" t="e">
        <f>VLOOKUP($A196, 'Matriz POA 2024-TRABAJO'!$A$5:$CY$9142,28,FALSE)</f>
        <v>#N/A</v>
      </c>
      <c r="M196" s="93" t="e">
        <f>VLOOKUP($A196, 'Matriz POA 2024-TRABAJO'!$A$5:$CY$9142,30,FALSE)</f>
        <v>#N/A</v>
      </c>
      <c r="N196" s="93" t="e">
        <f>VLOOKUP($A196, 'Matriz POA 2024-TRABAJO'!$A$5:$CY$9142,31,FALSE)</f>
        <v>#N/A</v>
      </c>
      <c r="O196" s="93" t="e">
        <f>VLOOKUP($A196, 'Matriz POA 2024-TRABAJO'!$A$5:$CY$9142,45,FALSE)</f>
        <v>#N/A</v>
      </c>
      <c r="P196" s="93" t="e">
        <f>VLOOKUP($A196, 'Matriz POA 2024-TRABAJO'!$A$5:$CY$9142,46,FALSE)</f>
        <v>#N/A</v>
      </c>
      <c r="Q196" s="93" t="e">
        <f>VLOOKUP($A196, 'Matriz POA 2024-TRABAJO'!$A$5:$CY$9142,47,FALSE)</f>
        <v>#N/A</v>
      </c>
      <c r="R196" s="94">
        <f t="shared" si="197"/>
        <v>500</v>
      </c>
      <c r="S196" s="95" t="e">
        <f t="shared" si="198"/>
        <v>#N/A</v>
      </c>
      <c r="T196" s="93" t="e">
        <f>VLOOKUP($A196, 'Matriz POA 2024-TRABAJO'!$A$5:$CY$9142,72,FALSE)</f>
        <v>#N/A</v>
      </c>
      <c r="U196" s="93" t="e">
        <f>VLOOKUP($A196, 'Matriz POA 2024-TRABAJO'!$A$5:$CY$9142,29,FALSE)</f>
        <v>#N/A</v>
      </c>
      <c r="V196" s="93" t="str">
        <f t="shared" si="190"/>
        <v>76AD-</v>
      </c>
      <c r="W196" s="93" t="s">
        <v>1840</v>
      </c>
      <c r="X196" s="103">
        <v>45433</v>
      </c>
      <c r="Y196" s="93" t="s">
        <v>1839</v>
      </c>
      <c r="Z196" s="103">
        <v>45433</v>
      </c>
      <c r="AA196" s="93">
        <v>500</v>
      </c>
      <c r="AB196" s="93"/>
      <c r="AC196" s="93">
        <f t="shared" si="194"/>
        <v>0</v>
      </c>
      <c r="AD196" s="93" t="s">
        <v>1838</v>
      </c>
      <c r="AE196" s="93"/>
      <c r="AF196" s="93"/>
      <c r="AG196" s="93"/>
      <c r="AH196" s="93"/>
      <c r="AI196" s="93"/>
      <c r="AJ196" s="93"/>
      <c r="AK196" s="93">
        <f t="shared" si="195"/>
        <v>0</v>
      </c>
      <c r="AL196" s="93"/>
      <c r="AM196" s="93"/>
      <c r="AN196" s="93"/>
      <c r="AO196" s="93"/>
      <c r="AP196" s="93"/>
      <c r="AQ196" s="93"/>
      <c r="AR196" s="93"/>
      <c r="AS196" s="93">
        <f t="shared" si="196"/>
        <v>0</v>
      </c>
      <c r="AT196" s="93"/>
      <c r="AU196" s="93"/>
      <c r="AV196" s="93"/>
      <c r="AW196" s="93"/>
      <c r="AX196" s="93"/>
      <c r="AY196" s="93"/>
      <c r="AZ196" s="93"/>
      <c r="BA196" s="93"/>
      <c r="BB196" s="93"/>
      <c r="BC196" s="93"/>
      <c r="BD196" s="93"/>
      <c r="BE196" s="93"/>
      <c r="BF196" s="93"/>
      <c r="BG196" s="93"/>
      <c r="BH196" s="93"/>
      <c r="BI196" s="93"/>
      <c r="BJ196" s="93"/>
      <c r="BK196" s="93"/>
      <c r="BL196" s="93"/>
      <c r="BM196" s="93"/>
      <c r="BN196" s="93"/>
      <c r="BO196" s="93"/>
      <c r="BP196" s="93"/>
      <c r="BQ196" s="93"/>
      <c r="BR196" s="93"/>
      <c r="BS196" s="93"/>
      <c r="BT196" s="93"/>
      <c r="BU196" s="93"/>
      <c r="BV196" s="93"/>
      <c r="BW196" s="93"/>
      <c r="BX196" s="93"/>
      <c r="BY196" s="93"/>
      <c r="BZ196" s="93"/>
      <c r="CA196" s="93"/>
      <c r="CB196" s="93"/>
      <c r="CC196" s="93"/>
      <c r="CD196" s="93"/>
      <c r="CE196" s="93"/>
      <c r="CF196" s="93"/>
      <c r="CG196" s="93"/>
      <c r="CH196" s="93"/>
      <c r="CI196" s="93"/>
      <c r="CJ196" s="93"/>
      <c r="CK196" s="93"/>
      <c r="CL196" s="93"/>
      <c r="CM196" s="93"/>
      <c r="CN196" s="93"/>
      <c r="CO196" s="93"/>
      <c r="CP196" s="93"/>
      <c r="CQ196" s="93"/>
      <c r="CR196" s="93"/>
      <c r="CS196" s="93"/>
      <c r="CT196" s="93"/>
      <c r="CU196" s="93"/>
      <c r="CV196" s="93"/>
      <c r="CW196" s="93"/>
      <c r="CX196" s="93"/>
    </row>
    <row r="197" spans="1:110" ht="15" hidden="1" customHeight="1">
      <c r="A197" s="93">
        <v>512</v>
      </c>
      <c r="B197" s="93" t="e">
        <f>VLOOKUP($A197,  'Matriz POA 2024-TRABAJO'!$A$5:$CY$9142,29,FALSE)</f>
        <v>#N/A</v>
      </c>
      <c r="C197" s="93" t="e">
        <f>VLOOKUP($A197, 'Matriz POA 2024-TRABAJO'!$A$5:$CY$9142,11,FALSE)</f>
        <v>#N/A</v>
      </c>
      <c r="D197" s="93" t="e">
        <f>VLOOKUP($A197, 'Matriz POA 2024-TRABAJO'!$A$5:$CY$9142,14,FALSE)</f>
        <v>#N/A</v>
      </c>
      <c r="E197" s="93" t="e">
        <f>VLOOKUP($A197, 'Matriz POA 2024-TRABAJO'!$A$5:$CY$9142,15,FALSE)</f>
        <v>#N/A</v>
      </c>
      <c r="F197" s="93" t="e">
        <f>VLOOKUP($A197, 'Matriz POA 2024-TRABAJO'!$A$5:$CY$9142,18,FALSE)</f>
        <v>#N/A</v>
      </c>
      <c r="G197" s="93" t="e">
        <f>VLOOKUP($A197, 'Matriz POA 2024-TRABAJO'!$A$5:$CY$9142,23,FALSE)</f>
        <v>#N/A</v>
      </c>
      <c r="H197" s="93" t="e">
        <f>VLOOKUP($A197, 'Matriz POA 2024-TRABAJO'!$A$5:$CY$9142,24,FALSE)</f>
        <v>#N/A</v>
      </c>
      <c r="I197" s="93" t="e">
        <f>VLOOKUP($A197, 'Matriz POA 2024-TRABAJO'!$A$5:$CY$9142,20,FALSE)</f>
        <v>#N/A</v>
      </c>
      <c r="J197" s="93" t="e">
        <f>VLOOKUP($A197, 'Matriz POA 2024-TRABAJO'!$A$5:$CY$9142,26,FALSE)</f>
        <v>#N/A</v>
      </c>
      <c r="K197" s="93" t="e">
        <f>VLOOKUP($A197, 'Matriz POA 2024-TRABAJO'!$A$5:$CY$9142,27,FALSE)</f>
        <v>#N/A</v>
      </c>
      <c r="L197" s="93" t="e">
        <f>VLOOKUP($A197, 'Matriz POA 2024-TRABAJO'!$A$5:$CY$9142,28,FALSE)</f>
        <v>#N/A</v>
      </c>
      <c r="M197" s="93" t="e">
        <f>VLOOKUP($A197, 'Matriz POA 2024-TRABAJO'!$A$5:$CY$9142,30,FALSE)</f>
        <v>#N/A</v>
      </c>
      <c r="N197" s="93" t="e">
        <f>VLOOKUP($A197, 'Matriz POA 2024-TRABAJO'!$A$5:$CY$9142,31,FALSE)</f>
        <v>#N/A</v>
      </c>
      <c r="O197" s="93" t="e">
        <f>VLOOKUP($A197, 'Matriz POA 2024-TRABAJO'!$A$5:$CY$9142,45,FALSE)</f>
        <v>#N/A</v>
      </c>
      <c r="P197" s="93" t="e">
        <f>VLOOKUP($A197, 'Matriz POA 2024-TRABAJO'!$A$5:$CY$9142,46,FALSE)</f>
        <v>#N/A</v>
      </c>
      <c r="Q197" s="93" t="e">
        <f>VLOOKUP($A197, 'Matriz POA 2024-TRABAJO'!$A$5:$CY$9142,47,FALSE)</f>
        <v>#N/A</v>
      </c>
      <c r="R197" s="94">
        <f t="shared" si="197"/>
        <v>2666.84</v>
      </c>
      <c r="S197" s="95" t="e">
        <f t="shared" si="198"/>
        <v>#N/A</v>
      </c>
      <c r="T197" s="93" t="e">
        <f>VLOOKUP($A197, 'Matriz POA 2024-TRABAJO'!$A$5:$CY$9142,72,FALSE)</f>
        <v>#N/A</v>
      </c>
      <c r="U197" s="93" t="e">
        <f>VLOOKUP($A197, 'Matriz POA 2024-TRABAJO'!$A$5:$CY$9142,29,FALSE)</f>
        <v>#N/A</v>
      </c>
      <c r="V197" s="93" t="str">
        <f t="shared" si="190"/>
        <v>80ar-</v>
      </c>
      <c r="W197" s="93"/>
      <c r="X197" s="105"/>
      <c r="Y197" s="93"/>
      <c r="Z197" s="93"/>
      <c r="AA197" s="433">
        <v>2666.84</v>
      </c>
      <c r="AB197" s="93"/>
      <c r="AC197" s="93">
        <f t="shared" si="194"/>
        <v>0</v>
      </c>
      <c r="AD197" s="93" t="s">
        <v>1850</v>
      </c>
      <c r="AE197" s="93"/>
      <c r="AF197" s="93"/>
      <c r="AG197" s="93"/>
      <c r="AH197" s="93"/>
      <c r="AI197" s="93"/>
      <c r="AJ197" s="93"/>
      <c r="AK197" s="93">
        <f t="shared" si="195"/>
        <v>0</v>
      </c>
      <c r="AL197" s="93"/>
      <c r="AM197" s="93"/>
      <c r="AN197" s="93"/>
      <c r="AO197" s="93"/>
      <c r="AP197" s="93"/>
      <c r="AQ197" s="93"/>
      <c r="AR197" s="93"/>
      <c r="AS197" s="93">
        <f t="shared" si="196"/>
        <v>0</v>
      </c>
      <c r="AT197" s="93"/>
      <c r="AU197" s="93"/>
      <c r="AV197" s="93"/>
      <c r="AW197" s="93"/>
      <c r="AX197" s="93"/>
      <c r="AY197" s="93"/>
      <c r="AZ197" s="93"/>
      <c r="BA197" s="93"/>
      <c r="BB197" s="93"/>
      <c r="BC197" s="93"/>
      <c r="BD197" s="105"/>
      <c r="BE197" s="93"/>
      <c r="BF197" s="105"/>
      <c r="BG197" s="93"/>
      <c r="BH197" s="93"/>
      <c r="BI197" s="93"/>
      <c r="BJ197" s="93"/>
      <c r="BK197" s="93"/>
      <c r="BL197" s="93"/>
      <c r="BM197" s="93"/>
      <c r="BN197" s="93"/>
      <c r="BO197" s="93"/>
      <c r="BP197" s="93"/>
      <c r="BQ197" s="93"/>
      <c r="BR197" s="93"/>
      <c r="BS197" s="93"/>
      <c r="BT197" s="93"/>
      <c r="BU197" s="93"/>
      <c r="BV197" s="93"/>
      <c r="BW197" s="93"/>
      <c r="BX197" s="93"/>
      <c r="BY197" s="93"/>
      <c r="BZ197" s="93"/>
      <c r="CA197" s="93"/>
      <c r="CB197" s="93"/>
      <c r="CC197" s="93"/>
      <c r="CD197" s="93"/>
      <c r="CE197" s="93"/>
      <c r="CF197" s="93"/>
      <c r="CG197" s="93"/>
      <c r="CH197" s="93"/>
      <c r="CI197" s="93"/>
      <c r="CJ197" s="93"/>
      <c r="CK197" s="93"/>
      <c r="CL197" s="93"/>
      <c r="CM197" s="93"/>
      <c r="CN197" s="93"/>
      <c r="CO197" s="93"/>
      <c r="CP197" s="93"/>
      <c r="CQ197" s="93"/>
      <c r="CR197" s="93"/>
      <c r="CS197" s="93"/>
      <c r="CT197" s="93"/>
      <c r="CU197" s="93"/>
      <c r="CV197" s="93"/>
      <c r="CW197" s="93"/>
      <c r="CX197" s="93"/>
    </row>
    <row r="198" spans="1:110" ht="15" hidden="1" customHeight="1">
      <c r="A198" s="93">
        <v>513</v>
      </c>
      <c r="B198" s="93" t="e">
        <f>VLOOKUP($A198,  'Matriz POA 2024-TRABAJO'!$A$5:$CY$9142,29,FALSE)</f>
        <v>#N/A</v>
      </c>
      <c r="C198" s="93" t="e">
        <f>VLOOKUP($A198, 'Matriz POA 2024-TRABAJO'!$A$5:$CY$9142,11,FALSE)</f>
        <v>#N/A</v>
      </c>
      <c r="D198" s="93" t="e">
        <f>VLOOKUP($A198, 'Matriz POA 2024-TRABAJO'!$A$5:$CY$9142,14,FALSE)</f>
        <v>#N/A</v>
      </c>
      <c r="E198" s="93" t="e">
        <f>VLOOKUP($A198, 'Matriz POA 2024-TRABAJO'!$A$5:$CY$9142,15,FALSE)</f>
        <v>#N/A</v>
      </c>
      <c r="F198" s="93" t="e">
        <f>VLOOKUP($A198, 'Matriz POA 2024-TRABAJO'!$A$5:$CY$9142,18,FALSE)</f>
        <v>#N/A</v>
      </c>
      <c r="G198" s="93" t="e">
        <f>VLOOKUP($A198, 'Matriz POA 2024-TRABAJO'!$A$5:$CY$9142,23,FALSE)</f>
        <v>#N/A</v>
      </c>
      <c r="H198" s="93" t="e">
        <f>VLOOKUP($A198, 'Matriz POA 2024-TRABAJO'!$A$5:$CY$9142,24,FALSE)</f>
        <v>#N/A</v>
      </c>
      <c r="I198" s="93" t="e">
        <f>VLOOKUP($A198, 'Matriz POA 2024-TRABAJO'!$A$5:$CY$9142,20,FALSE)</f>
        <v>#N/A</v>
      </c>
      <c r="J198" s="93" t="e">
        <f>VLOOKUP($A198, 'Matriz POA 2024-TRABAJO'!$A$5:$CY$9142,26,FALSE)</f>
        <v>#N/A</v>
      </c>
      <c r="K198" s="93" t="e">
        <f>VLOOKUP($A198, 'Matriz POA 2024-TRABAJO'!$A$5:$CY$9142,27,FALSE)</f>
        <v>#N/A</v>
      </c>
      <c r="L198" s="93" t="e">
        <f>VLOOKUP($A198, 'Matriz POA 2024-TRABAJO'!$A$5:$CY$9142,28,FALSE)</f>
        <v>#N/A</v>
      </c>
      <c r="M198" s="93" t="e">
        <f>VLOOKUP($A198, 'Matriz POA 2024-TRABAJO'!$A$5:$CY$9142,30,FALSE)</f>
        <v>#N/A</v>
      </c>
      <c r="N198" s="93" t="e">
        <f>VLOOKUP($A198, 'Matriz POA 2024-TRABAJO'!$A$5:$CY$9142,31,FALSE)</f>
        <v>#N/A</v>
      </c>
      <c r="O198" s="93" t="e">
        <f>VLOOKUP($A198, 'Matriz POA 2024-TRABAJO'!$A$5:$CY$9142,45,FALSE)</f>
        <v>#N/A</v>
      </c>
      <c r="P198" s="93" t="e">
        <f>VLOOKUP($A198, 'Matriz POA 2024-TRABAJO'!$A$5:$CY$9142,46,FALSE)</f>
        <v>#N/A</v>
      </c>
      <c r="Q198" s="93" t="e">
        <f>VLOOKUP($A198, 'Matriz POA 2024-TRABAJO'!$A$5:$CY$9142,47,FALSE)</f>
        <v>#N/A</v>
      </c>
      <c r="R198" s="94">
        <f t="shared" si="197"/>
        <v>460.11999999999989</v>
      </c>
      <c r="S198" s="95" t="e">
        <f t="shared" si="198"/>
        <v>#N/A</v>
      </c>
      <c r="T198" s="93" t="e">
        <f>VLOOKUP($A198, 'Matriz POA 2024-TRABAJO'!$A$5:$CY$9142,72,FALSE)</f>
        <v>#N/A</v>
      </c>
      <c r="U198" s="93" t="e">
        <f>VLOOKUP($A198, 'Matriz POA 2024-TRABAJO'!$A$5:$CY$9142,29,FALSE)</f>
        <v>#N/A</v>
      </c>
      <c r="V198" s="93" t="str">
        <f t="shared" si="190"/>
        <v>80ar-</v>
      </c>
      <c r="W198" s="93"/>
      <c r="X198" s="93"/>
      <c r="Y198" s="93"/>
      <c r="Z198" s="93"/>
      <c r="AA198" s="433">
        <v>460.11999999999989</v>
      </c>
      <c r="AB198" s="93"/>
      <c r="AC198" s="93">
        <f t="shared" si="194"/>
        <v>0</v>
      </c>
      <c r="AD198" s="93" t="s">
        <v>1850</v>
      </c>
      <c r="AE198" s="93"/>
      <c r="AF198" s="93"/>
      <c r="AG198" s="93"/>
      <c r="AH198" s="93"/>
      <c r="AI198" s="93"/>
      <c r="AJ198" s="93"/>
      <c r="AK198" s="93">
        <f t="shared" si="195"/>
        <v>0</v>
      </c>
      <c r="AL198" s="93"/>
      <c r="AM198" s="93"/>
      <c r="AN198" s="93"/>
      <c r="AO198" s="93"/>
      <c r="AP198" s="93"/>
      <c r="AQ198" s="93"/>
      <c r="AR198" s="93"/>
      <c r="AS198" s="93">
        <f t="shared" si="196"/>
        <v>0</v>
      </c>
      <c r="AT198" s="93"/>
      <c r="AU198" s="93"/>
      <c r="AV198" s="93"/>
      <c r="AW198" s="93"/>
      <c r="AX198" s="93"/>
      <c r="AY198" s="93"/>
      <c r="AZ198" s="93"/>
      <c r="BA198" s="93"/>
      <c r="BB198" s="93"/>
      <c r="BC198" s="93"/>
      <c r="BD198" s="105"/>
      <c r="BE198" s="93"/>
      <c r="BF198" s="105"/>
      <c r="BG198" s="93"/>
      <c r="BH198" s="93"/>
      <c r="BI198" s="93"/>
      <c r="BJ198" s="93"/>
      <c r="BK198" s="93"/>
      <c r="BL198" s="93"/>
      <c r="BM198" s="93"/>
      <c r="BN198" s="93"/>
      <c r="BO198" s="93"/>
      <c r="BP198" s="93"/>
      <c r="BQ198" s="93"/>
      <c r="BR198" s="93"/>
      <c r="BS198" s="93"/>
      <c r="BT198" s="93"/>
      <c r="BU198" s="93"/>
      <c r="BV198" s="93"/>
      <c r="BW198" s="93"/>
      <c r="BX198" s="93"/>
      <c r="BY198" s="93"/>
      <c r="BZ198" s="93"/>
      <c r="CA198" s="93"/>
      <c r="CB198" s="93"/>
      <c r="CC198" s="93"/>
      <c r="CD198" s="93"/>
      <c r="CE198" s="93"/>
      <c r="CF198" s="93"/>
      <c r="CG198" s="93"/>
      <c r="CH198" s="93"/>
      <c r="CI198" s="93"/>
      <c r="CJ198" s="93"/>
      <c r="CK198" s="93"/>
      <c r="CL198" s="93"/>
      <c r="CM198" s="93"/>
      <c r="CN198" s="93"/>
      <c r="CO198" s="93"/>
      <c r="CP198" s="93"/>
      <c r="CQ198" s="93"/>
      <c r="CR198" s="93"/>
      <c r="CS198" s="93"/>
      <c r="CT198" s="93"/>
      <c r="CU198" s="93"/>
      <c r="CV198" s="93"/>
      <c r="CW198" s="93"/>
      <c r="CX198" s="93"/>
    </row>
    <row r="199" spans="1:110" ht="15" hidden="1" customHeight="1">
      <c r="A199" s="93">
        <v>514</v>
      </c>
      <c r="B199" s="93" t="e">
        <f>VLOOKUP($A199,  'Matriz POA 2024-TRABAJO'!$A$5:$CY$9142,29,FALSE)</f>
        <v>#N/A</v>
      </c>
      <c r="C199" s="93" t="e">
        <f>VLOOKUP($A199, 'Matriz POA 2024-TRABAJO'!$A$5:$CY$9142,11,FALSE)</f>
        <v>#N/A</v>
      </c>
      <c r="D199" s="93" t="e">
        <f>VLOOKUP($A199, 'Matriz POA 2024-TRABAJO'!$A$5:$CY$9142,14,FALSE)</f>
        <v>#N/A</v>
      </c>
      <c r="E199" s="93" t="e">
        <f>VLOOKUP($A199, 'Matriz POA 2024-TRABAJO'!$A$5:$CY$9142,15,FALSE)</f>
        <v>#N/A</v>
      </c>
      <c r="F199" s="93" t="e">
        <f>VLOOKUP($A199, 'Matriz POA 2024-TRABAJO'!$A$5:$CY$9142,18,FALSE)</f>
        <v>#N/A</v>
      </c>
      <c r="G199" s="93" t="e">
        <f>VLOOKUP($A199, 'Matriz POA 2024-TRABAJO'!$A$5:$CY$9142,23,FALSE)</f>
        <v>#N/A</v>
      </c>
      <c r="H199" s="93" t="e">
        <f>VLOOKUP($A199, 'Matriz POA 2024-TRABAJO'!$A$5:$CY$9142,24,FALSE)</f>
        <v>#N/A</v>
      </c>
      <c r="I199" s="93" t="e">
        <f>VLOOKUP($A199, 'Matriz POA 2024-TRABAJO'!$A$5:$CY$9142,20,FALSE)</f>
        <v>#N/A</v>
      </c>
      <c r="J199" s="93" t="e">
        <f>VLOOKUP($A199, 'Matriz POA 2024-TRABAJO'!$A$5:$CY$9142,26,FALSE)</f>
        <v>#N/A</v>
      </c>
      <c r="K199" s="93" t="e">
        <f>VLOOKUP($A199, 'Matriz POA 2024-TRABAJO'!$A$5:$CY$9142,27,FALSE)</f>
        <v>#N/A</v>
      </c>
      <c r="L199" s="93" t="e">
        <f>VLOOKUP($A199, 'Matriz POA 2024-TRABAJO'!$A$5:$CY$9142,28,FALSE)</f>
        <v>#N/A</v>
      </c>
      <c r="M199" s="93" t="e">
        <f>VLOOKUP($A199, 'Matriz POA 2024-TRABAJO'!$A$5:$CY$9142,30,FALSE)</f>
        <v>#N/A</v>
      </c>
      <c r="N199" s="93" t="e">
        <f>VLOOKUP($A199, 'Matriz POA 2024-TRABAJO'!$A$5:$CY$9142,31,FALSE)</f>
        <v>#N/A</v>
      </c>
      <c r="O199" s="93" t="e">
        <f>VLOOKUP($A199, 'Matriz POA 2024-TRABAJO'!$A$5:$CY$9142,45,FALSE)</f>
        <v>#N/A</v>
      </c>
      <c r="P199" s="93" t="e">
        <f>VLOOKUP($A199, 'Matriz POA 2024-TRABAJO'!$A$5:$CY$9142,46,FALSE)</f>
        <v>#N/A</v>
      </c>
      <c r="Q199" s="93" t="e">
        <f>VLOOKUP($A199, 'Matriz POA 2024-TRABAJO'!$A$5:$CY$9142,47,FALSE)</f>
        <v>#N/A</v>
      </c>
      <c r="R199" s="94">
        <f t="shared" si="197"/>
        <v>3531.8199999999997</v>
      </c>
      <c r="S199" s="95" t="e">
        <f t="shared" si="198"/>
        <v>#N/A</v>
      </c>
      <c r="T199" s="93" t="e">
        <f>VLOOKUP($A199, 'Matriz POA 2024-TRABAJO'!$A$5:$CY$9142,72,FALSE)</f>
        <v>#N/A</v>
      </c>
      <c r="U199" s="93" t="e">
        <f>VLOOKUP($A199, 'Matriz POA 2024-TRABAJO'!$A$5:$CY$9142,29,FALSE)</f>
        <v>#N/A</v>
      </c>
      <c r="V199" s="93" t="str">
        <f t="shared" si="190"/>
        <v>80ar-</v>
      </c>
      <c r="W199" s="93"/>
      <c r="X199" s="93"/>
      <c r="Y199" s="93"/>
      <c r="Z199" s="93"/>
      <c r="AA199" s="433">
        <v>3531.8199999999997</v>
      </c>
      <c r="AB199" s="93"/>
      <c r="AC199" s="93">
        <f t="shared" si="194"/>
        <v>0</v>
      </c>
      <c r="AD199" s="93" t="s">
        <v>1850</v>
      </c>
      <c r="AE199" s="93"/>
      <c r="AF199" s="93"/>
      <c r="AG199" s="93"/>
      <c r="AH199" s="93"/>
      <c r="AI199" s="93"/>
      <c r="AJ199" s="93"/>
      <c r="AK199" s="93">
        <f t="shared" si="195"/>
        <v>0</v>
      </c>
      <c r="AL199" s="93"/>
      <c r="AM199" s="93"/>
      <c r="AN199" s="93"/>
      <c r="AO199" s="93"/>
      <c r="AP199" s="93"/>
      <c r="AQ199" s="93"/>
      <c r="AR199" s="93"/>
      <c r="AS199" s="93">
        <f t="shared" si="196"/>
        <v>0</v>
      </c>
      <c r="AT199" s="93"/>
      <c r="AU199" s="93"/>
      <c r="AV199" s="93"/>
      <c r="AW199" s="93"/>
      <c r="AX199" s="93"/>
      <c r="AY199" s="93"/>
      <c r="AZ199" s="93"/>
      <c r="BA199" s="93"/>
      <c r="BB199" s="93"/>
      <c r="BC199" s="93"/>
      <c r="BD199" s="105"/>
      <c r="BE199" s="93"/>
      <c r="BF199" s="105"/>
      <c r="BG199" s="93"/>
      <c r="BH199" s="93"/>
      <c r="BI199" s="93"/>
      <c r="BJ199" s="93"/>
      <c r="BK199" s="93"/>
      <c r="BL199" s="93"/>
      <c r="BM199" s="93"/>
      <c r="BN199" s="93"/>
      <c r="BO199" s="93"/>
      <c r="BP199" s="93"/>
      <c r="BQ199" s="93"/>
      <c r="BR199" s="93"/>
      <c r="BS199" s="93"/>
      <c r="BT199" s="93"/>
      <c r="BU199" s="93"/>
      <c r="BV199" s="93"/>
      <c r="BW199" s="93"/>
      <c r="BX199" s="93"/>
      <c r="BY199" s="93"/>
      <c r="BZ199" s="93"/>
      <c r="CA199" s="93"/>
      <c r="CB199" s="93"/>
      <c r="CC199" s="93"/>
      <c r="CD199" s="93"/>
      <c r="CE199" s="93"/>
      <c r="CF199" s="93"/>
      <c r="CG199" s="93"/>
      <c r="CH199" s="93"/>
      <c r="CI199" s="93"/>
      <c r="CJ199" s="93"/>
      <c r="CK199" s="93"/>
      <c r="CL199" s="93"/>
      <c r="CM199" s="93"/>
      <c r="CN199" s="93"/>
      <c r="CO199" s="93"/>
      <c r="CP199" s="93"/>
      <c r="CQ199" s="93"/>
      <c r="CR199" s="93"/>
      <c r="CS199" s="93"/>
      <c r="CT199" s="93"/>
      <c r="CU199" s="93"/>
      <c r="CV199" s="93"/>
      <c r="CW199" s="93"/>
      <c r="CX199" s="93"/>
    </row>
    <row r="200" spans="1:110" s="437" customFormat="1" ht="15" hidden="1" customHeight="1">
      <c r="A200" s="434">
        <v>623</v>
      </c>
      <c r="B200" s="434" t="e">
        <f>VLOOKUP($A200,  'Matriz POA 2024-TRABAJO'!$A$5:$CY$9142,29,FALSE)</f>
        <v>#N/A</v>
      </c>
      <c r="C200" s="434" t="e">
        <f>VLOOKUP($A200, 'Matriz POA 2024-TRABAJO'!$A$5:$CY$9142,11,FALSE)</f>
        <v>#N/A</v>
      </c>
      <c r="D200" s="434" t="e">
        <f>VLOOKUP($A200, 'Matriz POA 2024-TRABAJO'!$A$5:$CY$9142,14,FALSE)</f>
        <v>#N/A</v>
      </c>
      <c r="E200" s="434" t="e">
        <f>VLOOKUP($A200, 'Matriz POA 2024-TRABAJO'!$A$5:$CY$9142,15,FALSE)</f>
        <v>#N/A</v>
      </c>
      <c r="F200" s="434" t="e">
        <f>VLOOKUP($A200, 'Matriz POA 2024-TRABAJO'!$A$5:$CY$9142,18,FALSE)</f>
        <v>#N/A</v>
      </c>
      <c r="G200" s="434" t="e">
        <f>VLOOKUP($A200, 'Matriz POA 2024-TRABAJO'!$A$5:$CY$9142,23,FALSE)</f>
        <v>#N/A</v>
      </c>
      <c r="H200" s="434" t="e">
        <f>VLOOKUP($A200, 'Matriz POA 2024-TRABAJO'!$A$5:$CY$9142,24,FALSE)</f>
        <v>#N/A</v>
      </c>
      <c r="I200" s="434" t="e">
        <f>VLOOKUP($A200, 'Matriz POA 2024-TRABAJO'!$A$5:$CY$9142,20,FALSE)</f>
        <v>#N/A</v>
      </c>
      <c r="J200" s="434" t="e">
        <f>VLOOKUP($A200, 'Matriz POA 2024-TRABAJO'!$A$5:$CY$9142,26,FALSE)</f>
        <v>#N/A</v>
      </c>
      <c r="K200" s="434" t="e">
        <f>VLOOKUP($A200, 'Matriz POA 2024-TRABAJO'!$A$5:$CY$9142,27,FALSE)</f>
        <v>#N/A</v>
      </c>
      <c r="L200" s="434" t="e">
        <f>VLOOKUP($A200, 'Matriz POA 2024-TRABAJO'!$A$5:$CY$9142,28,FALSE)</f>
        <v>#N/A</v>
      </c>
      <c r="M200" s="434" t="e">
        <f>VLOOKUP($A200, 'Matriz POA 2024-TRABAJO'!$A$5:$CY$9142,30,FALSE)</f>
        <v>#N/A</v>
      </c>
      <c r="N200" s="434" t="e">
        <f>VLOOKUP($A200, 'Matriz POA 2024-TRABAJO'!$A$5:$CY$9142,31,FALSE)</f>
        <v>#N/A</v>
      </c>
      <c r="O200" s="434" t="e">
        <f>VLOOKUP($A200, 'Matriz POA 2024-TRABAJO'!$A$5:$CY$9142,45,FALSE)</f>
        <v>#N/A</v>
      </c>
      <c r="P200" s="434" t="e">
        <f>VLOOKUP($A200, 'Matriz POA 2024-TRABAJO'!$A$5:$CY$9142,46,FALSE)</f>
        <v>#N/A</v>
      </c>
      <c r="Q200" s="93" t="e">
        <f>VLOOKUP($A200, 'Matriz POA 2024-TRABAJO'!$A$5:$CY$9142,47,FALSE)</f>
        <v>#N/A</v>
      </c>
      <c r="R200" s="94">
        <f t="shared" si="197"/>
        <v>1676</v>
      </c>
      <c r="S200" s="95" t="e">
        <f t="shared" si="198"/>
        <v>#N/A</v>
      </c>
      <c r="T200" s="93" t="e">
        <f>VLOOKUP($A200, 'Matriz POA 2024-TRABAJO'!$A$5:$CY$9142,72,FALSE)</f>
        <v>#N/A</v>
      </c>
      <c r="U200" s="93" t="e">
        <f>VLOOKUP($A200, 'Matriz POA 2024-TRABAJO'!$A$5:$CY$9142,29,FALSE)</f>
        <v>#N/A</v>
      </c>
      <c r="V200" s="93" t="str">
        <f t="shared" si="190"/>
        <v>79mg-</v>
      </c>
      <c r="W200" s="434" t="s">
        <v>1849</v>
      </c>
      <c r="X200" s="435">
        <v>45429</v>
      </c>
      <c r="Y200" s="434" t="s">
        <v>1848</v>
      </c>
      <c r="Z200" s="435">
        <v>45435</v>
      </c>
      <c r="AA200" s="434">
        <v>1676</v>
      </c>
      <c r="AB200" s="434"/>
      <c r="AC200" s="434">
        <f t="shared" si="194"/>
        <v>6</v>
      </c>
      <c r="AD200" s="434" t="s">
        <v>1847</v>
      </c>
      <c r="AE200" s="434"/>
      <c r="AF200" s="434"/>
      <c r="AG200" s="434"/>
      <c r="AH200" s="434"/>
      <c r="AI200" s="434"/>
      <c r="AJ200" s="434"/>
      <c r="AK200" s="434">
        <f t="shared" si="195"/>
        <v>0</v>
      </c>
      <c r="AL200" s="434"/>
      <c r="AM200" s="434"/>
      <c r="AN200" s="434"/>
      <c r="AO200" s="434"/>
      <c r="AP200" s="434"/>
      <c r="AQ200" s="434"/>
      <c r="AR200" s="434"/>
      <c r="AS200" s="434">
        <f t="shared" si="196"/>
        <v>0</v>
      </c>
      <c r="AT200" s="434"/>
      <c r="AU200" s="434"/>
      <c r="AV200" s="434"/>
      <c r="AW200" s="434"/>
      <c r="AX200" s="434"/>
      <c r="AY200" s="434"/>
      <c r="AZ200" s="434"/>
      <c r="BA200" s="434"/>
      <c r="BB200" s="434"/>
      <c r="BC200" s="434"/>
      <c r="BD200" s="434"/>
      <c r="BE200" s="434"/>
      <c r="BF200" s="434"/>
      <c r="BG200" s="434"/>
      <c r="BH200" s="434"/>
      <c r="BI200" s="434"/>
      <c r="BJ200" s="434"/>
      <c r="BK200" s="434"/>
      <c r="BL200" s="434"/>
      <c r="BM200" s="434"/>
      <c r="BN200" s="434"/>
      <c r="BO200" s="434"/>
      <c r="BP200" s="434"/>
      <c r="BQ200" s="434"/>
      <c r="BR200" s="434"/>
      <c r="BS200" s="434"/>
      <c r="BT200" s="434"/>
      <c r="BU200" s="434"/>
      <c r="BV200" s="434"/>
      <c r="BW200" s="434"/>
      <c r="BX200" s="434"/>
      <c r="BY200" s="434"/>
      <c r="BZ200" s="434"/>
      <c r="CA200" s="434"/>
      <c r="CB200" s="434"/>
      <c r="CC200" s="434"/>
      <c r="CD200" s="434"/>
      <c r="CE200" s="434"/>
      <c r="CF200" s="434"/>
      <c r="CG200" s="434"/>
      <c r="CH200" s="434"/>
      <c r="CI200" s="434"/>
      <c r="CJ200" s="434"/>
      <c r="CK200" s="434"/>
      <c r="CL200" s="434"/>
      <c r="CM200" s="434"/>
      <c r="CN200" s="434"/>
      <c r="CO200" s="434"/>
      <c r="CP200" s="434"/>
      <c r="CQ200" s="434"/>
      <c r="CR200" s="434"/>
      <c r="CS200" s="434"/>
      <c r="CT200" s="434"/>
      <c r="CU200" s="434"/>
      <c r="CV200" s="434"/>
      <c r="CW200" s="434"/>
      <c r="CX200" s="434"/>
      <c r="CY200" s="436"/>
      <c r="CZ200" s="436"/>
      <c r="DA200" s="436"/>
      <c r="DB200" s="436"/>
      <c r="DC200" s="436"/>
      <c r="DD200" s="436"/>
      <c r="DE200" s="436"/>
      <c r="DF200" s="436"/>
    </row>
    <row r="201" spans="1:110" ht="15" hidden="1" customHeight="1">
      <c r="A201" s="93">
        <v>880</v>
      </c>
      <c r="B201" s="93" t="e">
        <f>VLOOKUP($A201,  'Matriz POA 2024-TRABAJO'!$A$5:$CY$9142,29,FALSE)</f>
        <v>#N/A</v>
      </c>
      <c r="C201" s="93" t="e">
        <f>VLOOKUP($A201, 'Matriz POA 2024-TRABAJO'!$A$5:$CY$9142,11,FALSE)</f>
        <v>#N/A</v>
      </c>
      <c r="D201" s="93" t="e">
        <f>VLOOKUP($A201, 'Matriz POA 2024-TRABAJO'!$A$5:$CY$9142,14,FALSE)</f>
        <v>#N/A</v>
      </c>
      <c r="E201" s="93" t="e">
        <f>VLOOKUP($A201, 'Matriz POA 2024-TRABAJO'!$A$5:$CY$9142,15,FALSE)</f>
        <v>#N/A</v>
      </c>
      <c r="F201" s="93" t="e">
        <f>VLOOKUP($A201, 'Matriz POA 2024-TRABAJO'!$A$5:$CY$9142,18,FALSE)</f>
        <v>#N/A</v>
      </c>
      <c r="G201" s="93" t="e">
        <f>VLOOKUP($A201, 'Matriz POA 2024-TRABAJO'!$A$5:$CY$9142,23,FALSE)</f>
        <v>#N/A</v>
      </c>
      <c r="H201" s="93" t="e">
        <f>VLOOKUP($A201, 'Matriz POA 2024-TRABAJO'!$A$5:$CY$9142,24,FALSE)</f>
        <v>#N/A</v>
      </c>
      <c r="I201" s="93" t="e">
        <f>VLOOKUP($A201, 'Matriz POA 2024-TRABAJO'!$A$5:$CY$9142,20,FALSE)</f>
        <v>#N/A</v>
      </c>
      <c r="J201" s="93" t="e">
        <f>VLOOKUP($A201, 'Matriz POA 2024-TRABAJO'!$A$5:$CY$9142,26,FALSE)</f>
        <v>#N/A</v>
      </c>
      <c r="K201" s="93" t="e">
        <f>VLOOKUP($A201, 'Matriz POA 2024-TRABAJO'!$A$5:$CY$9142,27,FALSE)</f>
        <v>#N/A</v>
      </c>
      <c r="L201" s="93" t="e">
        <f>VLOOKUP($A201, 'Matriz POA 2024-TRABAJO'!$A$5:$CY$9142,28,FALSE)</f>
        <v>#N/A</v>
      </c>
      <c r="M201" s="93" t="e">
        <f>VLOOKUP($A201, 'Matriz POA 2024-TRABAJO'!$A$5:$CY$9142,30,FALSE)</f>
        <v>#N/A</v>
      </c>
      <c r="N201" s="93" t="e">
        <f>VLOOKUP($A201, 'Matriz POA 2024-TRABAJO'!$A$5:$CY$9142,31,FALSE)</f>
        <v>#N/A</v>
      </c>
      <c r="O201" s="93" t="e">
        <f>VLOOKUP($A201, 'Matriz POA 2024-TRABAJO'!$A$5:$CY$9142,45,FALSE)</f>
        <v>#N/A</v>
      </c>
      <c r="P201" s="93" t="e">
        <f>VLOOKUP($A201, 'Matriz POA 2024-TRABAJO'!$A$5:$CY$9142,46,FALSE)</f>
        <v>#N/A</v>
      </c>
      <c r="Q201" s="93" t="e">
        <f>VLOOKUP($A201, 'Matriz POA 2024-TRABAJO'!$A$5:$CY$9142,47,FALSE)</f>
        <v>#N/A</v>
      </c>
      <c r="R201" s="94">
        <f t="shared" si="197"/>
        <v>9143.09</v>
      </c>
      <c r="S201" s="95" t="e">
        <f t="shared" si="198"/>
        <v>#N/A</v>
      </c>
      <c r="T201" s="93" t="e">
        <f>VLOOKUP($A201, 'Matriz POA 2024-TRABAJO'!$A$5:$CY$9142,72,FALSE)</f>
        <v>#N/A</v>
      </c>
      <c r="U201" s="93" t="e">
        <f>VLOOKUP($A201, 'Matriz POA 2024-TRABAJO'!$A$5:$CY$9142,29,FALSE)</f>
        <v>#N/A</v>
      </c>
      <c r="V201" s="93" t="str">
        <f t="shared" si="190"/>
        <v>82ar-</v>
      </c>
      <c r="W201" s="93" t="s">
        <v>1864</v>
      </c>
      <c r="X201" s="105">
        <v>45450</v>
      </c>
      <c r="Y201" s="93" t="s">
        <v>1865</v>
      </c>
      <c r="Z201" s="105">
        <v>45453</v>
      </c>
      <c r="AA201" s="93">
        <v>9143.09</v>
      </c>
      <c r="AB201" s="93"/>
      <c r="AC201" s="93">
        <f t="shared" si="194"/>
        <v>3</v>
      </c>
      <c r="AD201" s="93" t="s">
        <v>1866</v>
      </c>
      <c r="AE201" s="93"/>
      <c r="AF201" s="93"/>
      <c r="AG201" s="93"/>
      <c r="AH201" s="93"/>
      <c r="AI201" s="93"/>
      <c r="AJ201" s="93"/>
      <c r="AK201" s="93">
        <f t="shared" si="195"/>
        <v>0</v>
      </c>
      <c r="AL201" s="93"/>
      <c r="AM201" s="93"/>
      <c r="AN201" s="93"/>
      <c r="AO201" s="93"/>
      <c r="AP201" s="93"/>
      <c r="AQ201" s="93"/>
      <c r="AR201" s="93"/>
      <c r="AS201" s="93">
        <f t="shared" si="196"/>
        <v>0</v>
      </c>
      <c r="AT201" s="93"/>
      <c r="AU201" s="93"/>
      <c r="AV201" s="93"/>
      <c r="AW201" s="93"/>
      <c r="AX201" s="93"/>
      <c r="AY201" s="93"/>
      <c r="AZ201" s="93"/>
      <c r="BA201" s="93"/>
      <c r="BB201" s="93"/>
      <c r="BC201" s="93"/>
      <c r="BD201" s="93"/>
      <c r="BE201" s="93"/>
      <c r="BF201" s="93"/>
      <c r="BG201" s="93"/>
      <c r="BH201" s="93"/>
      <c r="BI201" s="93"/>
      <c r="BJ201" s="93"/>
      <c r="BK201" s="93"/>
      <c r="BL201" s="93"/>
      <c r="BM201" s="93"/>
      <c r="BN201" s="93"/>
      <c r="BO201" s="93"/>
      <c r="BP201" s="93"/>
      <c r="BQ201" s="93"/>
      <c r="BR201" s="93"/>
      <c r="BS201" s="93"/>
      <c r="BT201" s="93"/>
      <c r="BU201" s="93"/>
      <c r="BV201" s="93"/>
      <c r="BW201" s="93"/>
      <c r="BX201" s="93"/>
      <c r="BY201" s="93"/>
      <c r="BZ201" s="93"/>
      <c r="CA201" s="93"/>
      <c r="CB201" s="93"/>
      <c r="CC201" s="93"/>
      <c r="CD201" s="93"/>
      <c r="CE201" s="93"/>
      <c r="CF201" s="93"/>
      <c r="CG201" s="93"/>
      <c r="CH201" s="93"/>
      <c r="CI201" s="93"/>
      <c r="CJ201" s="93"/>
      <c r="CK201" s="93"/>
      <c r="CL201" s="93"/>
      <c r="CM201" s="93"/>
      <c r="CN201" s="93"/>
      <c r="CO201" s="93"/>
      <c r="CP201" s="93"/>
      <c r="CQ201" s="93"/>
      <c r="CR201" s="93"/>
      <c r="CS201" s="93"/>
      <c r="CT201" s="93"/>
      <c r="CU201" s="93"/>
      <c r="CV201" s="93"/>
      <c r="CW201" s="93"/>
      <c r="CX201" s="93"/>
    </row>
    <row r="202" spans="1:110" ht="15" customHeight="1">
      <c r="A202" s="93">
        <v>415</v>
      </c>
      <c r="B202" s="93" t="str">
        <f>VLOOKUP($A202,  'Matriz POA 2024-TRABAJO'!$A$5:$CY$9142,29,FALSE)</f>
        <v>51</v>
      </c>
      <c r="C202" s="93" t="str">
        <f>VLOOKUP($A202, 'Matriz POA 2024-TRABAJO'!$A$5:$CY$9142,11,FALSE)</f>
        <v>Corporación Ciudad Alfaro</v>
      </c>
      <c r="D202" s="93" t="str">
        <f>VLOOKUP($A202, 'Matriz POA 2024-TRABAJO'!$A$5:$CY$9142,14,FALSE)</f>
        <v>N/A</v>
      </c>
      <c r="E202" s="93" t="str">
        <f>VLOOKUP($A202, 'Matriz POA 2024-TRABAJO'!$A$5:$CY$9142,15,FALSE)</f>
        <v>N/A</v>
      </c>
      <c r="F202" s="93" t="str">
        <f>VLOOKUP($A202, 'Matriz POA 2024-TRABAJO'!$A$5:$CY$9142,18,FALSE)</f>
        <v>N/A</v>
      </c>
      <c r="G202" s="93" t="str">
        <f>VLOOKUP($A202, 'Matriz POA 2024-TRABAJO'!$A$5:$CY$9142,23,FALSE)</f>
        <v>NUEVA</v>
      </c>
      <c r="H202" s="93" t="str">
        <f>VLOOKUP($A202, 'Matriz POA 2024-TRABAJO'!$A$5:$CY$9142,24,FALSE)</f>
        <v>REMUNERACIONES UNIFICADAS</v>
      </c>
      <c r="I202" s="93" t="str">
        <f>VLOOKUP($A202, 'Matriz POA 2024-TRABAJO'!$A$5:$CY$9142,20,FALSE)</f>
        <v>N/A</v>
      </c>
      <c r="J202" s="93" t="str">
        <f>VLOOKUP($A202, 'Matriz POA 2024-TRABAJO'!$A$5:$CY$9142,26,FALSE)</f>
        <v>80</v>
      </c>
      <c r="K202" s="93" t="str">
        <f>VLOOKUP($A202, 'Matriz POA 2024-TRABAJO'!$A$5:$CY$9142,27,FALSE)</f>
        <v>000</v>
      </c>
      <c r="L202" s="93" t="str">
        <f>VLOOKUP($A202, 'Matriz POA 2024-TRABAJO'!$A$5:$CY$9142,28,FALSE)</f>
        <v>002</v>
      </c>
      <c r="M202" s="93">
        <f>VLOOKUP($A202, 'Matriz POA 2024-TRABAJO'!$A$5:$CY$9142,30,FALSE)</f>
        <v>510105</v>
      </c>
      <c r="N202" s="93" t="str">
        <f>VLOOKUP($A202, 'Matriz POA 2024-TRABAJO'!$A$5:$CY$9142,31,FALSE)</f>
        <v>Remuneraciones Unificadas</v>
      </c>
      <c r="O202" s="93">
        <f>VLOOKUP($A202, 'Matriz POA 2024-TRABAJO'!$A$5:$CY$9142,45,FALSE)</f>
        <v>267752</v>
      </c>
      <c r="P202" s="93">
        <f>VLOOKUP($A202, 'Matriz POA 2024-TRABAJO'!$A$5:$CY$9142,46,FALSE)</f>
        <v>0</v>
      </c>
      <c r="Q202" s="93">
        <f>VLOOKUP($A202, 'Matriz POA 2024-TRABAJO'!$A$5:$CY$9142,47,FALSE)</f>
        <v>267752</v>
      </c>
      <c r="R202" s="94">
        <f t="shared" si="197"/>
        <v>280176.77</v>
      </c>
      <c r="S202" s="95">
        <f t="shared" si="198"/>
        <v>-12424.770000000019</v>
      </c>
      <c r="T202" s="93">
        <f>VLOOKUP($A202, 'Matriz POA 2024-TRABAJO'!$A$5:$CY$9142,72,FALSE)</f>
        <v>266098.39899999998</v>
      </c>
      <c r="U202" s="93" t="str">
        <f>VLOOKUP($A202, 'Matriz POA 2024-TRABAJO'!$A$5:$CY$9142,29,FALSE)</f>
        <v>51</v>
      </c>
      <c r="V202" s="93" t="str">
        <f t="shared" si="190"/>
        <v/>
      </c>
      <c r="W202" s="96" t="s">
        <v>1876</v>
      </c>
      <c r="X202" s="96">
        <v>45303</v>
      </c>
      <c r="Y202" s="97" t="s">
        <v>1877</v>
      </c>
      <c r="Z202" s="96">
        <v>45303</v>
      </c>
      <c r="AA202" s="93">
        <v>280176.77</v>
      </c>
      <c r="AB202" s="93"/>
      <c r="AC202" s="93">
        <f t="shared" si="194"/>
        <v>0</v>
      </c>
      <c r="AD202" s="93"/>
      <c r="AE202" s="93"/>
      <c r="AF202" s="93"/>
      <c r="AG202" s="93"/>
      <c r="AH202" s="93"/>
      <c r="AI202" s="93"/>
      <c r="AJ202" s="93"/>
      <c r="AK202" s="93">
        <f t="shared" si="195"/>
        <v>0</v>
      </c>
      <c r="AL202" s="93"/>
      <c r="AM202" s="93"/>
      <c r="AN202" s="93"/>
      <c r="AO202" s="93"/>
      <c r="AP202" s="93"/>
      <c r="AQ202" s="93"/>
      <c r="AR202" s="93"/>
      <c r="AS202" s="93">
        <f t="shared" si="196"/>
        <v>0</v>
      </c>
      <c r="AT202" s="93"/>
      <c r="AU202" s="93"/>
      <c r="AV202" s="93"/>
      <c r="AW202" s="93"/>
      <c r="AX202" s="93"/>
      <c r="AY202" s="93"/>
      <c r="AZ202" s="93"/>
      <c r="BA202" s="93"/>
      <c r="BB202" s="93"/>
      <c r="BC202" s="93"/>
      <c r="BD202" s="93"/>
      <c r="BE202" s="93"/>
      <c r="BF202" s="93"/>
      <c r="BG202" s="93"/>
      <c r="BH202" s="93"/>
      <c r="BI202" s="93"/>
      <c r="BJ202" s="93"/>
      <c r="BK202" s="93"/>
      <c r="BL202" s="93"/>
      <c r="BM202" s="93"/>
      <c r="BN202" s="93"/>
      <c r="BO202" s="93"/>
      <c r="BP202" s="93"/>
      <c r="BQ202" s="93"/>
      <c r="BR202" s="93"/>
      <c r="BS202" s="93"/>
      <c r="BT202" s="93"/>
      <c r="BU202" s="93"/>
      <c r="BV202" s="93"/>
      <c r="BW202" s="93"/>
      <c r="BX202" s="93"/>
      <c r="BY202" s="93"/>
      <c r="BZ202" s="93"/>
      <c r="CA202" s="93"/>
      <c r="CB202" s="93"/>
      <c r="CC202" s="93"/>
      <c r="CD202" s="93"/>
      <c r="CE202" s="93"/>
      <c r="CF202" s="93"/>
      <c r="CG202" s="93"/>
      <c r="CH202" s="93"/>
      <c r="CI202" s="93"/>
      <c r="CJ202" s="93"/>
      <c r="CK202" s="93"/>
      <c r="CL202" s="93"/>
      <c r="CM202" s="93"/>
      <c r="CN202" s="93"/>
      <c r="CO202" s="93"/>
      <c r="CP202" s="93"/>
      <c r="CQ202" s="93"/>
      <c r="CR202" s="93"/>
      <c r="CS202" s="93"/>
      <c r="CT202" s="93"/>
      <c r="CU202" s="93"/>
      <c r="CV202" s="93"/>
      <c r="CW202" s="93"/>
      <c r="CX202" s="93"/>
    </row>
    <row r="203" spans="1:110" ht="15" customHeight="1">
      <c r="A203" s="93">
        <v>416</v>
      </c>
      <c r="B203" s="93" t="str">
        <f>VLOOKUP($A203,  'Matriz POA 2024-TRABAJO'!$A$5:$CY$9142,29,FALSE)</f>
        <v>51</v>
      </c>
      <c r="C203" s="93" t="str">
        <f>VLOOKUP($A203, 'Matriz POA 2024-TRABAJO'!$A$5:$CY$9142,11,FALSE)</f>
        <v>Corporación Ciudad Alfaro</v>
      </c>
      <c r="D203" s="93" t="str">
        <f>VLOOKUP($A203, 'Matriz POA 2024-TRABAJO'!$A$5:$CY$9142,14,FALSE)</f>
        <v>N/A</v>
      </c>
      <c r="E203" s="93" t="str">
        <f>VLOOKUP($A203, 'Matriz POA 2024-TRABAJO'!$A$5:$CY$9142,15,FALSE)</f>
        <v>N/A</v>
      </c>
      <c r="F203" s="93" t="str">
        <f>VLOOKUP($A203, 'Matriz POA 2024-TRABAJO'!$A$5:$CY$9142,18,FALSE)</f>
        <v>N/A</v>
      </c>
      <c r="G203" s="93" t="str">
        <f>VLOOKUP($A203, 'Matriz POA 2024-TRABAJO'!$A$5:$CY$9142,23,FALSE)</f>
        <v>NUEVA</v>
      </c>
      <c r="H203" s="93" t="str">
        <f>VLOOKUP($A203, 'Matriz POA 2024-TRABAJO'!$A$5:$CY$9142,24,FALSE)</f>
        <v>Salarios Unificados</v>
      </c>
      <c r="I203" s="93" t="str">
        <f>VLOOKUP($A203, 'Matriz POA 2024-TRABAJO'!$A$5:$CY$9142,20,FALSE)</f>
        <v>N/A</v>
      </c>
      <c r="J203" s="93" t="str">
        <f>VLOOKUP($A203, 'Matriz POA 2024-TRABAJO'!$A$5:$CY$9142,26,FALSE)</f>
        <v>80</v>
      </c>
      <c r="K203" s="93" t="str">
        <f>VLOOKUP($A203, 'Matriz POA 2024-TRABAJO'!$A$5:$CY$9142,27,FALSE)</f>
        <v>000</v>
      </c>
      <c r="L203" s="93" t="str">
        <f>VLOOKUP($A203, 'Matriz POA 2024-TRABAJO'!$A$5:$CY$9142,28,FALSE)</f>
        <v>002</v>
      </c>
      <c r="M203" s="93">
        <f>VLOOKUP($A203, 'Matriz POA 2024-TRABAJO'!$A$5:$CY$9142,30,FALSE)</f>
        <v>510106</v>
      </c>
      <c r="N203" s="93" t="str">
        <f>VLOOKUP($A203, 'Matriz POA 2024-TRABAJO'!$A$5:$CY$9142,31,FALSE)</f>
        <v>Salarios Unificados</v>
      </c>
      <c r="O203" s="93">
        <f>VLOOKUP($A203, 'Matriz POA 2024-TRABAJO'!$A$5:$CY$9142,45,FALSE)</f>
        <v>68580</v>
      </c>
      <c r="P203" s="93">
        <f>VLOOKUP($A203, 'Matriz POA 2024-TRABAJO'!$A$5:$CY$9142,46,FALSE)</f>
        <v>0</v>
      </c>
      <c r="Q203" s="93">
        <f>VLOOKUP($A203, 'Matriz POA 2024-TRABAJO'!$A$5:$CY$9142,47,FALSE)</f>
        <v>68580</v>
      </c>
      <c r="R203" s="94">
        <f t="shared" si="197"/>
        <v>68580</v>
      </c>
      <c r="S203" s="95">
        <f t="shared" si="198"/>
        <v>0</v>
      </c>
      <c r="T203" s="93">
        <f>VLOOKUP($A203, 'Matriz POA 2024-TRABAJO'!$A$5:$CY$9142,72,FALSE)</f>
        <v>68580</v>
      </c>
      <c r="U203" s="93" t="str">
        <f>VLOOKUP($A203, 'Matriz POA 2024-TRABAJO'!$A$5:$CY$9142,29,FALSE)</f>
        <v>51</v>
      </c>
      <c r="V203" s="93" t="str">
        <f t="shared" si="190"/>
        <v/>
      </c>
      <c r="W203" s="96" t="s">
        <v>1876</v>
      </c>
      <c r="X203" s="96">
        <v>45303</v>
      </c>
      <c r="Y203" s="97" t="s">
        <v>1877</v>
      </c>
      <c r="Z203" s="96">
        <v>45303</v>
      </c>
      <c r="AA203" s="93">
        <v>68580</v>
      </c>
      <c r="AB203" s="93"/>
      <c r="AC203" s="93">
        <f t="shared" si="194"/>
        <v>0</v>
      </c>
      <c r="AD203" s="93"/>
      <c r="AE203" s="93"/>
      <c r="AF203" s="93"/>
      <c r="AG203" s="93"/>
      <c r="AH203" s="93"/>
      <c r="AI203" s="93"/>
      <c r="AJ203" s="93"/>
      <c r="AK203" s="93">
        <f t="shared" si="195"/>
        <v>0</v>
      </c>
      <c r="AL203" s="93"/>
      <c r="AM203" s="93"/>
      <c r="AN203" s="93"/>
      <c r="AO203" s="93"/>
      <c r="AP203" s="93"/>
      <c r="AQ203" s="93"/>
      <c r="AR203" s="93"/>
      <c r="AS203" s="93">
        <f t="shared" si="196"/>
        <v>0</v>
      </c>
      <c r="AT203" s="93"/>
      <c r="AU203" s="93"/>
      <c r="AV203" s="93"/>
      <c r="AW203" s="93"/>
      <c r="AX203" s="93"/>
      <c r="AY203" s="93"/>
      <c r="AZ203" s="93"/>
      <c r="BA203" s="93"/>
      <c r="BB203" s="93"/>
      <c r="BC203" s="93"/>
      <c r="BD203" s="93"/>
      <c r="BE203" s="93"/>
      <c r="BF203" s="93"/>
      <c r="BG203" s="93"/>
      <c r="BH203" s="93"/>
      <c r="BI203" s="93"/>
      <c r="BJ203" s="93"/>
      <c r="BK203" s="93"/>
      <c r="BL203" s="93"/>
      <c r="BM203" s="93"/>
      <c r="BN203" s="93"/>
      <c r="BO203" s="93"/>
      <c r="BP203" s="93"/>
      <c r="BQ203" s="93"/>
      <c r="BR203" s="93"/>
      <c r="BS203" s="93"/>
      <c r="BT203" s="93"/>
      <c r="BU203" s="93"/>
      <c r="BV203" s="93"/>
      <c r="BW203" s="93"/>
      <c r="BX203" s="93"/>
      <c r="BY203" s="93"/>
      <c r="BZ203" s="93"/>
      <c r="CA203" s="93"/>
      <c r="CB203" s="93"/>
      <c r="CC203" s="93"/>
      <c r="CD203" s="93"/>
      <c r="CE203" s="93"/>
      <c r="CF203" s="93"/>
      <c r="CG203" s="93"/>
      <c r="CH203" s="93"/>
      <c r="CI203" s="93"/>
      <c r="CJ203" s="93"/>
      <c r="CK203" s="93"/>
      <c r="CL203" s="93"/>
      <c r="CM203" s="93"/>
      <c r="CN203" s="93"/>
      <c r="CO203" s="93"/>
      <c r="CP203" s="93"/>
      <c r="CQ203" s="93"/>
      <c r="CR203" s="93"/>
      <c r="CS203" s="93"/>
      <c r="CT203" s="93"/>
      <c r="CU203" s="93"/>
      <c r="CV203" s="93"/>
      <c r="CW203" s="93"/>
      <c r="CX203" s="93"/>
    </row>
    <row r="204" spans="1:110" ht="15" customHeight="1">
      <c r="A204" s="93">
        <v>417</v>
      </c>
      <c r="B204" s="93" t="str">
        <f>VLOOKUP($A204,  'Matriz POA 2024-TRABAJO'!$A$5:$CY$9142,29,FALSE)</f>
        <v>51</v>
      </c>
      <c r="C204" s="93" t="str">
        <f>VLOOKUP($A204, 'Matriz POA 2024-TRABAJO'!$A$5:$CY$9142,11,FALSE)</f>
        <v>Corporación Ciudad Alfaro</v>
      </c>
      <c r="D204" s="93" t="str">
        <f>VLOOKUP($A204, 'Matriz POA 2024-TRABAJO'!$A$5:$CY$9142,14,FALSE)</f>
        <v>N/A</v>
      </c>
      <c r="E204" s="93" t="str">
        <f>VLOOKUP($A204, 'Matriz POA 2024-TRABAJO'!$A$5:$CY$9142,15,FALSE)</f>
        <v>N/A</v>
      </c>
      <c r="F204" s="93" t="str">
        <f>VLOOKUP($A204, 'Matriz POA 2024-TRABAJO'!$A$5:$CY$9142,18,FALSE)</f>
        <v>N/A</v>
      </c>
      <c r="G204" s="93" t="str">
        <f>VLOOKUP($A204, 'Matriz POA 2024-TRABAJO'!$A$5:$CY$9142,23,FALSE)</f>
        <v>NUEVA</v>
      </c>
      <c r="H204" s="93" t="str">
        <f>VLOOKUP($A204, 'Matriz POA 2024-TRABAJO'!$A$5:$CY$9142,24,FALSE)</f>
        <v>Décimo Tercer Sueldo</v>
      </c>
      <c r="I204" s="93" t="str">
        <f>VLOOKUP($A204, 'Matriz POA 2024-TRABAJO'!$A$5:$CY$9142,20,FALSE)</f>
        <v>N/A</v>
      </c>
      <c r="J204" s="93" t="str">
        <f>VLOOKUP($A204, 'Matriz POA 2024-TRABAJO'!$A$5:$CY$9142,26,FALSE)</f>
        <v>80</v>
      </c>
      <c r="K204" s="93" t="str">
        <f>VLOOKUP($A204, 'Matriz POA 2024-TRABAJO'!$A$5:$CY$9142,27,FALSE)</f>
        <v>000</v>
      </c>
      <c r="L204" s="93" t="str">
        <f>VLOOKUP($A204, 'Matriz POA 2024-TRABAJO'!$A$5:$CY$9142,28,FALSE)</f>
        <v>002</v>
      </c>
      <c r="M204" s="93">
        <f>VLOOKUP($A204, 'Matriz POA 2024-TRABAJO'!$A$5:$CY$9142,30,FALSE)</f>
        <v>510203</v>
      </c>
      <c r="N204" s="93" t="str">
        <f>VLOOKUP($A204, 'Matriz POA 2024-TRABAJO'!$A$5:$CY$9142,31,FALSE)</f>
        <v>Decimo Tercer Sueldo</v>
      </c>
      <c r="O204" s="93">
        <f>VLOOKUP($A204, 'Matriz POA 2024-TRABAJO'!$A$5:$CY$9142,45,FALSE)</f>
        <v>30689.07</v>
      </c>
      <c r="P204" s="93">
        <f>VLOOKUP($A204, 'Matriz POA 2024-TRABAJO'!$A$5:$CY$9142,46,FALSE)</f>
        <v>0</v>
      </c>
      <c r="Q204" s="93">
        <f>VLOOKUP($A204, 'Matriz POA 2024-TRABAJO'!$A$5:$CY$9142,47,FALSE)</f>
        <v>30689.07</v>
      </c>
      <c r="R204" s="94">
        <f t="shared" si="197"/>
        <v>31901.07</v>
      </c>
      <c r="S204" s="95">
        <f t="shared" si="198"/>
        <v>-1212</v>
      </c>
      <c r="T204" s="93">
        <f>VLOOKUP($A204, 'Matriz POA 2024-TRABAJO'!$A$5:$CY$9142,72,FALSE)</f>
        <v>29180.79</v>
      </c>
      <c r="U204" s="93" t="str">
        <f>VLOOKUP($A204, 'Matriz POA 2024-TRABAJO'!$A$5:$CY$9142,29,FALSE)</f>
        <v>51</v>
      </c>
      <c r="V204" s="93" t="str">
        <f t="shared" si="190"/>
        <v/>
      </c>
      <c r="W204" s="96" t="s">
        <v>1876</v>
      </c>
      <c r="X204" s="96">
        <v>45303</v>
      </c>
      <c r="Y204" s="97" t="s">
        <v>1877</v>
      </c>
      <c r="Z204" s="96">
        <v>45303</v>
      </c>
      <c r="AA204" s="93">
        <v>31901.07</v>
      </c>
      <c r="AB204" s="93"/>
      <c r="AC204" s="93">
        <f t="shared" si="194"/>
        <v>0</v>
      </c>
      <c r="AD204" s="93"/>
      <c r="AE204" s="93"/>
      <c r="AF204" s="93"/>
      <c r="AG204" s="93"/>
      <c r="AH204" s="93"/>
      <c r="AI204" s="93"/>
      <c r="AJ204" s="93"/>
      <c r="AK204" s="93">
        <f t="shared" si="195"/>
        <v>0</v>
      </c>
      <c r="AL204" s="93"/>
      <c r="AM204" s="93"/>
      <c r="AN204" s="93"/>
      <c r="AO204" s="93"/>
      <c r="AP204" s="93"/>
      <c r="AQ204" s="93"/>
      <c r="AR204" s="93"/>
      <c r="AS204" s="93">
        <f t="shared" si="196"/>
        <v>0</v>
      </c>
      <c r="AT204" s="93"/>
      <c r="AU204" s="93"/>
      <c r="AV204" s="93"/>
      <c r="AW204" s="93"/>
      <c r="AX204" s="93"/>
      <c r="AY204" s="93"/>
      <c r="AZ204" s="93"/>
      <c r="BA204" s="93"/>
      <c r="BB204" s="93"/>
      <c r="BC204" s="93"/>
      <c r="BD204" s="93"/>
      <c r="BE204" s="93"/>
      <c r="BF204" s="93"/>
      <c r="BG204" s="93"/>
      <c r="BH204" s="93"/>
      <c r="BI204" s="93"/>
      <c r="BJ204" s="93"/>
      <c r="BK204" s="93"/>
      <c r="BL204" s="93"/>
      <c r="BM204" s="93"/>
      <c r="BN204" s="93"/>
      <c r="BO204" s="93"/>
      <c r="BP204" s="93"/>
      <c r="BQ204" s="93"/>
      <c r="BR204" s="93"/>
      <c r="BS204" s="93"/>
      <c r="BT204" s="93"/>
      <c r="BU204" s="93"/>
      <c r="BV204" s="93"/>
      <c r="BW204" s="93"/>
      <c r="BX204" s="93"/>
      <c r="BY204" s="93"/>
      <c r="BZ204" s="93"/>
      <c r="CA204" s="93"/>
      <c r="CB204" s="93"/>
      <c r="CC204" s="93"/>
      <c r="CD204" s="93"/>
      <c r="CE204" s="93"/>
      <c r="CF204" s="93"/>
      <c r="CG204" s="93"/>
      <c r="CH204" s="93"/>
      <c r="CI204" s="93"/>
      <c r="CJ204" s="93"/>
      <c r="CK204" s="93"/>
      <c r="CL204" s="93"/>
      <c r="CM204" s="93"/>
      <c r="CN204" s="93"/>
      <c r="CO204" s="93"/>
      <c r="CP204" s="93"/>
      <c r="CQ204" s="93"/>
      <c r="CR204" s="93"/>
      <c r="CS204" s="93"/>
      <c r="CT204" s="93"/>
      <c r="CU204" s="93"/>
      <c r="CV204" s="93"/>
      <c r="CW204" s="93"/>
      <c r="CX204" s="93"/>
    </row>
    <row r="205" spans="1:110" ht="15" customHeight="1">
      <c r="A205" s="93">
        <v>418</v>
      </c>
      <c r="B205" s="93" t="str">
        <f>VLOOKUP($A205,  'Matriz POA 2024-TRABAJO'!$A$5:$CY$9142,29,FALSE)</f>
        <v>51</v>
      </c>
      <c r="C205" s="93" t="str">
        <f>VLOOKUP($A205, 'Matriz POA 2024-TRABAJO'!$A$5:$CY$9142,11,FALSE)</f>
        <v>Corporación Ciudad Alfaro</v>
      </c>
      <c r="D205" s="93" t="str">
        <f>VLOOKUP($A205, 'Matriz POA 2024-TRABAJO'!$A$5:$CY$9142,14,FALSE)</f>
        <v>N/A</v>
      </c>
      <c r="E205" s="93" t="str">
        <f>VLOOKUP($A205, 'Matriz POA 2024-TRABAJO'!$A$5:$CY$9142,15,FALSE)</f>
        <v>N/A</v>
      </c>
      <c r="F205" s="93" t="str">
        <f>VLOOKUP($A205, 'Matriz POA 2024-TRABAJO'!$A$5:$CY$9142,18,FALSE)</f>
        <v>N/A</v>
      </c>
      <c r="G205" s="93" t="str">
        <f>VLOOKUP($A205, 'Matriz POA 2024-TRABAJO'!$A$5:$CY$9142,23,FALSE)</f>
        <v>NUEVA</v>
      </c>
      <c r="H205" s="93" t="str">
        <f>VLOOKUP($A205, 'Matriz POA 2024-TRABAJO'!$A$5:$CY$9142,24,FALSE)</f>
        <v>Décimo Cuarto Sueldo</v>
      </c>
      <c r="I205" s="93" t="str">
        <f>VLOOKUP($A205, 'Matriz POA 2024-TRABAJO'!$A$5:$CY$9142,20,FALSE)</f>
        <v>N/A</v>
      </c>
      <c r="J205" s="93" t="str">
        <f>VLOOKUP($A205, 'Matriz POA 2024-TRABAJO'!$A$5:$CY$9142,26,FALSE)</f>
        <v>80</v>
      </c>
      <c r="K205" s="93" t="str">
        <f>VLOOKUP($A205, 'Matriz POA 2024-TRABAJO'!$A$5:$CY$9142,27,FALSE)</f>
        <v>000</v>
      </c>
      <c r="L205" s="93" t="str">
        <f>VLOOKUP($A205, 'Matriz POA 2024-TRABAJO'!$A$5:$CY$9142,28,FALSE)</f>
        <v>002</v>
      </c>
      <c r="M205" s="93">
        <f>VLOOKUP($A205, 'Matriz POA 2024-TRABAJO'!$A$5:$CY$9142,30,FALSE)</f>
        <v>510204</v>
      </c>
      <c r="N205" s="93" t="str">
        <f>VLOOKUP($A205, 'Matriz POA 2024-TRABAJO'!$A$5:$CY$9142,31,FALSE)</f>
        <v>Decimo Cuarto Sueldo</v>
      </c>
      <c r="O205" s="93">
        <f>VLOOKUP($A205, 'Matriz POA 2024-TRABAJO'!$A$5:$CY$9142,45,FALSE)</f>
        <v>16817.650000000001</v>
      </c>
      <c r="P205" s="93">
        <f>VLOOKUP($A205, 'Matriz POA 2024-TRABAJO'!$A$5:$CY$9142,46,FALSE)</f>
        <v>0</v>
      </c>
      <c r="Q205" s="93">
        <f>VLOOKUP($A205, 'Matriz POA 2024-TRABAJO'!$A$5:$CY$9142,47,FALSE)</f>
        <v>16817.650000000001</v>
      </c>
      <c r="R205" s="94">
        <f t="shared" si="197"/>
        <v>16817.650000000001</v>
      </c>
      <c r="S205" s="95">
        <f t="shared" si="198"/>
        <v>0</v>
      </c>
      <c r="T205" s="93">
        <f>VLOOKUP($A205, 'Matriz POA 2024-TRABAJO'!$A$5:$CY$9142,72,FALSE)</f>
        <v>16495.419999999995</v>
      </c>
      <c r="U205" s="93" t="str">
        <f>VLOOKUP($A205, 'Matriz POA 2024-TRABAJO'!$A$5:$CY$9142,29,FALSE)</f>
        <v>51</v>
      </c>
      <c r="V205" s="93" t="str">
        <f t="shared" si="190"/>
        <v/>
      </c>
      <c r="W205" s="96" t="s">
        <v>1876</v>
      </c>
      <c r="X205" s="96">
        <v>45303</v>
      </c>
      <c r="Y205" s="97" t="s">
        <v>1877</v>
      </c>
      <c r="Z205" s="96">
        <v>45303</v>
      </c>
      <c r="AA205" s="93">
        <v>16817.650000000001</v>
      </c>
      <c r="AB205" s="93"/>
      <c r="AC205" s="93">
        <f t="shared" si="194"/>
        <v>0</v>
      </c>
      <c r="AD205" s="93"/>
      <c r="AE205" s="93"/>
      <c r="AF205" s="93"/>
      <c r="AG205" s="93"/>
      <c r="AH205" s="93"/>
      <c r="AI205" s="93"/>
      <c r="AJ205" s="93"/>
      <c r="AK205" s="93">
        <f t="shared" si="195"/>
        <v>0</v>
      </c>
      <c r="AL205" s="93"/>
      <c r="AM205" s="93"/>
      <c r="AN205" s="93"/>
      <c r="AO205" s="93"/>
      <c r="AP205" s="93"/>
      <c r="AQ205" s="93"/>
      <c r="AR205" s="93"/>
      <c r="AS205" s="93">
        <f t="shared" si="196"/>
        <v>0</v>
      </c>
      <c r="AT205" s="93"/>
      <c r="AU205" s="93"/>
      <c r="AV205" s="93"/>
      <c r="AW205" s="93"/>
      <c r="AX205" s="93"/>
      <c r="AY205" s="93"/>
      <c r="AZ205" s="93"/>
      <c r="BA205" s="93"/>
      <c r="BB205" s="93"/>
      <c r="BC205" s="93"/>
      <c r="BD205" s="93"/>
      <c r="BE205" s="93"/>
      <c r="BF205" s="93"/>
      <c r="BG205" s="93"/>
      <c r="BH205" s="93"/>
      <c r="BI205" s="93"/>
      <c r="BJ205" s="93"/>
      <c r="BK205" s="93"/>
      <c r="BL205" s="93"/>
      <c r="BM205" s="93"/>
      <c r="BN205" s="93"/>
      <c r="BO205" s="93"/>
      <c r="BP205" s="93"/>
      <c r="BQ205" s="93"/>
      <c r="BR205" s="93"/>
      <c r="BS205" s="93"/>
      <c r="BT205" s="93"/>
      <c r="BU205" s="93"/>
      <c r="BV205" s="93"/>
      <c r="BW205" s="93"/>
      <c r="BX205" s="93"/>
      <c r="BY205" s="93"/>
      <c r="BZ205" s="93"/>
      <c r="CA205" s="93"/>
      <c r="CB205" s="93"/>
      <c r="CC205" s="93"/>
      <c r="CD205" s="93"/>
      <c r="CE205" s="93"/>
      <c r="CF205" s="93"/>
      <c r="CG205" s="93"/>
      <c r="CH205" s="93"/>
      <c r="CI205" s="93"/>
      <c r="CJ205" s="93"/>
      <c r="CK205" s="93"/>
      <c r="CL205" s="93"/>
      <c r="CM205" s="93"/>
      <c r="CN205" s="93"/>
      <c r="CO205" s="93"/>
      <c r="CP205" s="93"/>
      <c r="CQ205" s="93"/>
      <c r="CR205" s="93"/>
      <c r="CS205" s="93"/>
      <c r="CT205" s="93"/>
      <c r="CU205" s="93"/>
      <c r="CV205" s="93"/>
      <c r="CW205" s="93"/>
      <c r="CX205" s="93"/>
    </row>
    <row r="206" spans="1:110" ht="15" customHeight="1">
      <c r="A206" s="93">
        <v>423</v>
      </c>
      <c r="B206" s="93" t="str">
        <f>VLOOKUP($A206,  'Matriz POA 2024-TRABAJO'!$A$5:$CY$9142,29,FALSE)</f>
        <v>51</v>
      </c>
      <c r="C206" s="93" t="str">
        <f>VLOOKUP($A206, 'Matriz POA 2024-TRABAJO'!$A$5:$CY$9142,11,FALSE)</f>
        <v>Corporación Ciudad Alfaro</v>
      </c>
      <c r="D206" s="93" t="str">
        <f>VLOOKUP($A206, 'Matriz POA 2024-TRABAJO'!$A$5:$CY$9142,14,FALSE)</f>
        <v>N/A</v>
      </c>
      <c r="E206" s="93" t="str">
        <f>VLOOKUP($A206, 'Matriz POA 2024-TRABAJO'!$A$5:$CY$9142,15,FALSE)</f>
        <v>N/A</v>
      </c>
      <c r="F206" s="93" t="str">
        <f>VLOOKUP($A206, 'Matriz POA 2024-TRABAJO'!$A$5:$CY$9142,18,FALSE)</f>
        <v>N/A</v>
      </c>
      <c r="G206" s="93" t="str">
        <f>VLOOKUP($A206, 'Matriz POA 2024-TRABAJO'!$A$5:$CY$9142,23,FALSE)</f>
        <v>NUEVA</v>
      </c>
      <c r="H206" s="93" t="str">
        <f>VLOOKUP($A206, 'Matriz POA 2024-TRABAJO'!$A$5:$CY$9142,24,FALSE)</f>
        <v>Servicios Personales por Contrato</v>
      </c>
      <c r="I206" s="93" t="str">
        <f>VLOOKUP($A206, 'Matriz POA 2024-TRABAJO'!$A$5:$CY$9142,20,FALSE)</f>
        <v>N/A</v>
      </c>
      <c r="J206" s="93" t="str">
        <f>VLOOKUP($A206, 'Matriz POA 2024-TRABAJO'!$A$5:$CY$9142,26,FALSE)</f>
        <v>80</v>
      </c>
      <c r="K206" s="93" t="str">
        <f>VLOOKUP($A206, 'Matriz POA 2024-TRABAJO'!$A$5:$CY$9142,27,FALSE)</f>
        <v>000</v>
      </c>
      <c r="L206" s="93" t="str">
        <f>VLOOKUP($A206, 'Matriz POA 2024-TRABAJO'!$A$5:$CY$9142,28,FALSE)</f>
        <v>002</v>
      </c>
      <c r="M206" s="93">
        <f>VLOOKUP($A206, 'Matriz POA 2024-TRABAJO'!$A$5:$CY$9142,30,FALSE)</f>
        <v>510510</v>
      </c>
      <c r="N206" s="93" t="str">
        <f>VLOOKUP($A206, 'Matriz POA 2024-TRABAJO'!$A$5:$CY$9142,31,FALSE)</f>
        <v>Servicios Personales por Contrato</v>
      </c>
      <c r="O206" s="93">
        <f>VLOOKUP($A206, 'Matriz POA 2024-TRABAJO'!$A$5:$CY$9142,45,FALSE)</f>
        <v>32136</v>
      </c>
      <c r="P206" s="93">
        <f>VLOOKUP($A206, 'Matriz POA 2024-TRABAJO'!$A$5:$CY$9142,46,FALSE)</f>
        <v>0</v>
      </c>
      <c r="Q206" s="93">
        <f>VLOOKUP($A206, 'Matriz POA 2024-TRABAJO'!$A$5:$CY$9142,47,FALSE)</f>
        <v>32136</v>
      </c>
      <c r="R206" s="94">
        <f t="shared" si="197"/>
        <v>32136</v>
      </c>
      <c r="S206" s="95">
        <f t="shared" si="198"/>
        <v>0</v>
      </c>
      <c r="T206" s="93">
        <f>VLOOKUP($A206, 'Matriz POA 2024-TRABAJO'!$A$5:$CY$9142,72,FALSE)</f>
        <v>32136</v>
      </c>
      <c r="U206" s="93" t="str">
        <f>VLOOKUP($A206, 'Matriz POA 2024-TRABAJO'!$A$5:$CY$9142,29,FALSE)</f>
        <v>51</v>
      </c>
      <c r="V206" s="93" t="str">
        <f t="shared" si="190"/>
        <v/>
      </c>
      <c r="W206" s="96" t="s">
        <v>1876</v>
      </c>
      <c r="X206" s="96">
        <v>45303</v>
      </c>
      <c r="Y206" s="97" t="s">
        <v>1877</v>
      </c>
      <c r="Z206" s="96">
        <v>45303</v>
      </c>
      <c r="AA206" s="93">
        <v>32136</v>
      </c>
      <c r="AB206" s="93"/>
      <c r="AC206" s="93">
        <f t="shared" si="194"/>
        <v>0</v>
      </c>
      <c r="AD206" s="93"/>
      <c r="AE206" s="93"/>
      <c r="AF206" s="93"/>
      <c r="AG206" s="93"/>
      <c r="AH206" s="93"/>
      <c r="AI206" s="93"/>
      <c r="AJ206" s="93"/>
      <c r="AK206" s="93">
        <f t="shared" si="195"/>
        <v>0</v>
      </c>
      <c r="AL206" s="93"/>
      <c r="AM206" s="93"/>
      <c r="AN206" s="93"/>
      <c r="AO206" s="93"/>
      <c r="AP206" s="93"/>
      <c r="AQ206" s="93"/>
      <c r="AR206" s="93"/>
      <c r="AS206" s="93">
        <f t="shared" si="196"/>
        <v>0</v>
      </c>
      <c r="AT206" s="93"/>
      <c r="AU206" s="93"/>
      <c r="AV206" s="93"/>
      <c r="AW206" s="93"/>
      <c r="AX206" s="93"/>
      <c r="AY206" s="93"/>
      <c r="AZ206" s="93"/>
      <c r="BA206" s="93"/>
      <c r="BB206" s="93"/>
      <c r="BC206" s="93"/>
      <c r="BD206" s="93"/>
      <c r="BE206" s="93"/>
      <c r="BF206" s="93"/>
      <c r="BG206" s="93"/>
      <c r="BH206" s="93"/>
      <c r="BI206" s="93"/>
      <c r="BJ206" s="93"/>
      <c r="BK206" s="93"/>
      <c r="BL206" s="93"/>
      <c r="BM206" s="93"/>
      <c r="BN206" s="93"/>
      <c r="BO206" s="93"/>
      <c r="BP206" s="93"/>
      <c r="BQ206" s="93"/>
      <c r="BR206" s="93"/>
      <c r="BS206" s="93"/>
      <c r="BT206" s="93"/>
      <c r="BU206" s="93"/>
      <c r="BV206" s="93"/>
      <c r="BW206" s="93"/>
      <c r="BX206" s="93"/>
      <c r="BY206" s="93"/>
      <c r="BZ206" s="93"/>
      <c r="CA206" s="93"/>
      <c r="CB206" s="93"/>
      <c r="CC206" s="93"/>
      <c r="CD206" s="93"/>
      <c r="CE206" s="93"/>
      <c r="CF206" s="93"/>
      <c r="CG206" s="93"/>
      <c r="CH206" s="93"/>
      <c r="CI206" s="93"/>
      <c r="CJ206" s="93"/>
      <c r="CK206" s="93"/>
      <c r="CL206" s="93"/>
      <c r="CM206" s="93"/>
      <c r="CN206" s="93"/>
      <c r="CO206" s="93"/>
      <c r="CP206" s="93"/>
      <c r="CQ206" s="93"/>
      <c r="CR206" s="93"/>
      <c r="CS206" s="93"/>
      <c r="CT206" s="93"/>
      <c r="CU206" s="93"/>
      <c r="CV206" s="93"/>
      <c r="CW206" s="93"/>
      <c r="CX206" s="93"/>
    </row>
    <row r="207" spans="1:110" ht="15" customHeight="1">
      <c r="A207" s="93">
        <v>424</v>
      </c>
      <c r="B207" s="93" t="str">
        <f>VLOOKUP($A207,  'Matriz POA 2024-TRABAJO'!$A$5:$CY$9142,29,FALSE)</f>
        <v>51</v>
      </c>
      <c r="C207" s="93" t="str">
        <f>VLOOKUP($A207, 'Matriz POA 2024-TRABAJO'!$A$5:$CY$9142,11,FALSE)</f>
        <v>Corporación Ciudad Alfaro</v>
      </c>
      <c r="D207" s="93" t="str">
        <f>VLOOKUP($A207, 'Matriz POA 2024-TRABAJO'!$A$5:$CY$9142,14,FALSE)</f>
        <v>N/A</v>
      </c>
      <c r="E207" s="93" t="str">
        <f>VLOOKUP($A207, 'Matriz POA 2024-TRABAJO'!$A$5:$CY$9142,15,FALSE)</f>
        <v>N/A</v>
      </c>
      <c r="F207" s="93" t="str">
        <f>VLOOKUP($A207, 'Matriz POA 2024-TRABAJO'!$A$5:$CY$9142,18,FALSE)</f>
        <v>N/A</v>
      </c>
      <c r="G207" s="93" t="str">
        <f>VLOOKUP($A207, 'Matriz POA 2024-TRABAJO'!$A$5:$CY$9142,23,FALSE)</f>
        <v>NUEVA</v>
      </c>
      <c r="H207" s="93" t="str">
        <f>VLOOKUP($A207, 'Matriz POA 2024-TRABAJO'!$A$5:$CY$9142,24,FALSE)</f>
        <v xml:space="preserve">Aporte Patronal </v>
      </c>
      <c r="I207" s="93" t="str">
        <f>VLOOKUP($A207, 'Matriz POA 2024-TRABAJO'!$A$5:$CY$9142,20,FALSE)</f>
        <v>N/A</v>
      </c>
      <c r="J207" s="93" t="str">
        <f>VLOOKUP($A207, 'Matriz POA 2024-TRABAJO'!$A$5:$CY$9142,26,FALSE)</f>
        <v>80</v>
      </c>
      <c r="K207" s="93" t="str">
        <f>VLOOKUP($A207, 'Matriz POA 2024-TRABAJO'!$A$5:$CY$9142,27,FALSE)</f>
        <v>000</v>
      </c>
      <c r="L207" s="93" t="str">
        <f>VLOOKUP($A207, 'Matriz POA 2024-TRABAJO'!$A$5:$CY$9142,28,FALSE)</f>
        <v>002</v>
      </c>
      <c r="M207" s="93">
        <f>VLOOKUP($A207, 'Matriz POA 2024-TRABAJO'!$A$5:$CY$9142,30,FALSE)</f>
        <v>510601</v>
      </c>
      <c r="N207" s="93" t="str">
        <f>VLOOKUP($A207, 'Matriz POA 2024-TRABAJO'!$A$5:$CY$9142,31,FALSE)</f>
        <v>Aporte Patronal</v>
      </c>
      <c r="O207" s="93">
        <f>VLOOKUP($A207, 'Matriz POA 2024-TRABAJO'!$A$5:$CY$9142,45,FALSE)</f>
        <v>37997.769999999997</v>
      </c>
      <c r="P207" s="93">
        <f>VLOOKUP($A207, 'Matriz POA 2024-TRABAJO'!$A$5:$CY$9142,46,FALSE)</f>
        <v>0</v>
      </c>
      <c r="Q207" s="93">
        <f>VLOOKUP($A207, 'Matriz POA 2024-TRABAJO'!$A$5:$CY$9142,47,FALSE)</f>
        <v>37997.769999999997</v>
      </c>
      <c r="R207" s="94">
        <f t="shared" si="197"/>
        <v>38582.559999999998</v>
      </c>
      <c r="S207" s="95">
        <f t="shared" si="198"/>
        <v>-584.79000000000087</v>
      </c>
      <c r="T207" s="93">
        <f>VLOOKUP($A207, 'Matriz POA 2024-TRABAJO'!$A$5:$CY$9142,72,FALSE)</f>
        <v>37446.300000000003</v>
      </c>
      <c r="U207" s="93" t="str">
        <f>VLOOKUP($A207, 'Matriz POA 2024-TRABAJO'!$A$5:$CY$9142,29,FALSE)</f>
        <v>51</v>
      </c>
      <c r="V207" s="93" t="str">
        <f t="shared" si="190"/>
        <v/>
      </c>
      <c r="W207" s="96" t="s">
        <v>1876</v>
      </c>
      <c r="X207" s="96">
        <v>45303</v>
      </c>
      <c r="Y207" s="97" t="s">
        <v>1877</v>
      </c>
      <c r="Z207" s="96">
        <v>45303</v>
      </c>
      <c r="AA207" s="93">
        <v>38582.559999999998</v>
      </c>
      <c r="AB207" s="93"/>
      <c r="AC207" s="93">
        <f t="shared" si="194"/>
        <v>0</v>
      </c>
      <c r="AD207" s="93"/>
      <c r="AE207" s="93"/>
      <c r="AF207" s="93"/>
      <c r="AG207" s="93"/>
      <c r="AH207" s="93"/>
      <c r="AI207" s="93"/>
      <c r="AJ207" s="93"/>
      <c r="AK207" s="93">
        <f t="shared" si="195"/>
        <v>0</v>
      </c>
      <c r="AL207" s="93"/>
      <c r="AM207" s="93"/>
      <c r="AN207" s="93"/>
      <c r="AO207" s="93"/>
      <c r="AP207" s="93"/>
      <c r="AQ207" s="93"/>
      <c r="AR207" s="93"/>
      <c r="AS207" s="93">
        <f t="shared" si="196"/>
        <v>0</v>
      </c>
      <c r="AT207" s="93"/>
      <c r="AU207" s="93"/>
      <c r="AV207" s="93"/>
      <c r="AW207" s="93"/>
      <c r="AX207" s="93"/>
      <c r="AY207" s="93"/>
      <c r="AZ207" s="93"/>
      <c r="BA207" s="93"/>
      <c r="BB207" s="93"/>
      <c r="BC207" s="93"/>
      <c r="BD207" s="93"/>
      <c r="BE207" s="93"/>
      <c r="BF207" s="93"/>
      <c r="BG207" s="93"/>
      <c r="BH207" s="93"/>
      <c r="BI207" s="93"/>
      <c r="BJ207" s="93"/>
      <c r="BK207" s="93"/>
      <c r="BL207" s="93"/>
      <c r="BM207" s="93"/>
      <c r="BN207" s="93"/>
      <c r="BO207" s="93"/>
      <c r="BP207" s="93"/>
      <c r="BQ207" s="93"/>
      <c r="BR207" s="93"/>
      <c r="BS207" s="93"/>
      <c r="BT207" s="93"/>
      <c r="BU207" s="93"/>
      <c r="BV207" s="93"/>
      <c r="BW207" s="93"/>
      <c r="BX207" s="93"/>
      <c r="BY207" s="93"/>
      <c r="BZ207" s="93"/>
      <c r="CA207" s="93"/>
      <c r="CB207" s="93"/>
      <c r="CC207" s="93"/>
      <c r="CD207" s="93"/>
      <c r="CE207" s="93"/>
      <c r="CF207" s="93"/>
      <c r="CG207" s="93"/>
      <c r="CH207" s="93"/>
      <c r="CI207" s="93"/>
      <c r="CJ207" s="93"/>
      <c r="CK207" s="93"/>
      <c r="CL207" s="93"/>
      <c r="CM207" s="93"/>
      <c r="CN207" s="93"/>
      <c r="CO207" s="93"/>
      <c r="CP207" s="93"/>
      <c r="CQ207" s="93"/>
      <c r="CR207" s="93"/>
      <c r="CS207" s="93"/>
      <c r="CT207" s="93"/>
      <c r="CU207" s="93"/>
      <c r="CV207" s="93"/>
      <c r="CW207" s="93"/>
      <c r="CX207" s="93"/>
    </row>
    <row r="208" spans="1:110" ht="15" customHeight="1">
      <c r="A208" s="93">
        <v>425</v>
      </c>
      <c r="B208" s="93" t="str">
        <f>VLOOKUP($A208,  'Matriz POA 2024-TRABAJO'!$A$5:$CY$9142,29,FALSE)</f>
        <v>51</v>
      </c>
      <c r="C208" s="93" t="str">
        <f>VLOOKUP($A208, 'Matriz POA 2024-TRABAJO'!$A$5:$CY$9142,11,FALSE)</f>
        <v>Corporación Ciudad Alfaro</v>
      </c>
      <c r="D208" s="93" t="str">
        <f>VLOOKUP($A208, 'Matriz POA 2024-TRABAJO'!$A$5:$CY$9142,14,FALSE)</f>
        <v>N/A</v>
      </c>
      <c r="E208" s="93" t="str">
        <f>VLOOKUP($A208, 'Matriz POA 2024-TRABAJO'!$A$5:$CY$9142,15,FALSE)</f>
        <v>N/A</v>
      </c>
      <c r="F208" s="93" t="str">
        <f>VLOOKUP($A208, 'Matriz POA 2024-TRABAJO'!$A$5:$CY$9142,18,FALSE)</f>
        <v>N/A</v>
      </c>
      <c r="G208" s="93" t="str">
        <f>VLOOKUP($A208, 'Matriz POA 2024-TRABAJO'!$A$5:$CY$9142,23,FALSE)</f>
        <v>NUEVA</v>
      </c>
      <c r="H208" s="93" t="str">
        <f>VLOOKUP($A208, 'Matriz POA 2024-TRABAJO'!$A$5:$CY$9142,24,FALSE)</f>
        <v>Fondo de Reserva</v>
      </c>
      <c r="I208" s="93" t="str">
        <f>VLOOKUP($A208, 'Matriz POA 2024-TRABAJO'!$A$5:$CY$9142,20,FALSE)</f>
        <v>N/A</v>
      </c>
      <c r="J208" s="93" t="str">
        <f>VLOOKUP($A208, 'Matriz POA 2024-TRABAJO'!$A$5:$CY$9142,26,FALSE)</f>
        <v>80</v>
      </c>
      <c r="K208" s="93" t="str">
        <f>VLOOKUP($A208, 'Matriz POA 2024-TRABAJO'!$A$5:$CY$9142,27,FALSE)</f>
        <v>000</v>
      </c>
      <c r="L208" s="93" t="str">
        <f>VLOOKUP($A208, 'Matriz POA 2024-TRABAJO'!$A$5:$CY$9142,28,FALSE)</f>
        <v>002</v>
      </c>
      <c r="M208" s="93">
        <f>VLOOKUP($A208, 'Matriz POA 2024-TRABAJO'!$A$5:$CY$9142,30,FALSE)</f>
        <v>510602</v>
      </c>
      <c r="N208" s="93" t="str">
        <f>VLOOKUP($A208, 'Matriz POA 2024-TRABAJO'!$A$5:$CY$9142,31,FALSE)</f>
        <v>Fondo de Reserva</v>
      </c>
      <c r="O208" s="93">
        <f>VLOOKUP($A208, 'Matriz POA 2024-TRABAJO'!$A$5:$CY$9142,45,FALSE)</f>
        <v>27570.59</v>
      </c>
      <c r="P208" s="93">
        <f>VLOOKUP($A208, 'Matriz POA 2024-TRABAJO'!$A$5:$CY$9142,46,FALSE)</f>
        <v>0</v>
      </c>
      <c r="Q208" s="93">
        <f>VLOOKUP($A208, 'Matriz POA 2024-TRABAJO'!$A$5:$CY$9142,47,FALSE)</f>
        <v>27570.59</v>
      </c>
      <c r="R208" s="94">
        <f t="shared" si="197"/>
        <v>28176.35</v>
      </c>
      <c r="S208" s="95">
        <f t="shared" si="198"/>
        <v>-605.7599999999984</v>
      </c>
      <c r="T208" s="93">
        <f>VLOOKUP($A208, 'Matriz POA 2024-TRABAJO'!$A$5:$CY$9142,72,FALSE)</f>
        <v>27296</v>
      </c>
      <c r="U208" s="93" t="str">
        <f>VLOOKUP($A208, 'Matriz POA 2024-TRABAJO'!$A$5:$CY$9142,29,FALSE)</f>
        <v>51</v>
      </c>
      <c r="V208" s="93" t="str">
        <f t="shared" si="190"/>
        <v/>
      </c>
      <c r="W208" s="96" t="s">
        <v>1876</v>
      </c>
      <c r="X208" s="96">
        <v>45303</v>
      </c>
      <c r="Y208" s="97" t="s">
        <v>1877</v>
      </c>
      <c r="Z208" s="96">
        <v>45303</v>
      </c>
      <c r="AA208" s="93">
        <v>28176.35</v>
      </c>
      <c r="AB208" s="93"/>
      <c r="AC208" s="93">
        <f t="shared" si="194"/>
        <v>0</v>
      </c>
      <c r="AD208" s="93"/>
      <c r="AE208" s="93"/>
      <c r="AF208" s="93"/>
      <c r="AG208" s="93"/>
      <c r="AH208" s="93"/>
      <c r="AI208" s="93"/>
      <c r="AJ208" s="93"/>
      <c r="AK208" s="93">
        <f t="shared" si="195"/>
        <v>0</v>
      </c>
      <c r="AL208" s="93"/>
      <c r="AM208" s="93"/>
      <c r="AN208" s="93"/>
      <c r="AO208" s="93"/>
      <c r="AP208" s="93"/>
      <c r="AQ208" s="93"/>
      <c r="AR208" s="93"/>
      <c r="AS208" s="93">
        <f t="shared" si="196"/>
        <v>0</v>
      </c>
      <c r="AT208" s="93"/>
      <c r="AU208" s="93"/>
      <c r="AV208" s="93"/>
      <c r="AW208" s="93"/>
      <c r="AX208" s="93"/>
      <c r="AY208" s="93"/>
      <c r="AZ208" s="93"/>
      <c r="BA208" s="93"/>
      <c r="BB208" s="93"/>
      <c r="BC208" s="93"/>
      <c r="BD208" s="93"/>
      <c r="BE208" s="93"/>
      <c r="BF208" s="93"/>
      <c r="BG208" s="93"/>
      <c r="BH208" s="93"/>
      <c r="BI208" s="93"/>
      <c r="BJ208" s="93"/>
      <c r="BK208" s="93"/>
      <c r="BL208" s="93"/>
      <c r="BM208" s="93"/>
      <c r="BN208" s="93"/>
      <c r="BO208" s="93"/>
      <c r="BP208" s="93"/>
      <c r="BQ208" s="93"/>
      <c r="BR208" s="93"/>
      <c r="BS208" s="93"/>
      <c r="BT208" s="93"/>
      <c r="BU208" s="93"/>
      <c r="BV208" s="93"/>
      <c r="BW208" s="93"/>
      <c r="BX208" s="93"/>
      <c r="BY208" s="93"/>
      <c r="BZ208" s="93"/>
      <c r="CA208" s="93"/>
      <c r="CB208" s="93"/>
      <c r="CC208" s="93"/>
      <c r="CD208" s="93"/>
      <c r="CE208" s="93"/>
      <c r="CF208" s="93"/>
      <c r="CG208" s="93"/>
      <c r="CH208" s="93"/>
      <c r="CI208" s="93"/>
      <c r="CJ208" s="93"/>
      <c r="CK208" s="93"/>
      <c r="CL208" s="93"/>
      <c r="CM208" s="93"/>
      <c r="CN208" s="93"/>
      <c r="CO208" s="93"/>
      <c r="CP208" s="93"/>
      <c r="CQ208" s="93"/>
      <c r="CR208" s="93"/>
      <c r="CS208" s="93"/>
      <c r="CT208" s="93"/>
      <c r="CU208" s="93"/>
      <c r="CV208" s="93"/>
      <c r="CW208" s="93"/>
      <c r="CX208" s="93"/>
    </row>
    <row r="209" spans="1:102" ht="15" customHeight="1">
      <c r="A209" s="93">
        <v>448</v>
      </c>
      <c r="B209" s="93" t="str">
        <f>VLOOKUP($A209,  'Matriz POA 2024-TRABAJO'!$A$5:$CY$9142,29,FALSE)</f>
        <v>53</v>
      </c>
      <c r="C209" s="93" t="str">
        <f>VLOOKUP($A209, 'Matriz POA 2024-TRABAJO'!$A$5:$CY$9142,11,FALSE)</f>
        <v>Corporación Ciudad Alfaro</v>
      </c>
      <c r="D209" s="93" t="str">
        <f>VLOOKUP($A209, 'Matriz POA 2024-TRABAJO'!$A$5:$CY$9142,14,FALSE)</f>
        <v>N/A</v>
      </c>
      <c r="E209" s="93" t="str">
        <f>VLOOKUP($A209, 'Matriz POA 2024-TRABAJO'!$A$5:$CY$9142,15,FALSE)</f>
        <v>N/A</v>
      </c>
      <c r="F209" s="93" t="str">
        <f>VLOOKUP($A209, 'Matriz POA 2024-TRABAJO'!$A$5:$CY$9142,18,FALSE)</f>
        <v>N/A</v>
      </c>
      <c r="G209" s="93" t="str">
        <f>VLOOKUP($A209, 'Matriz POA 2024-TRABAJO'!$A$5:$CY$9142,23,FALSE)</f>
        <v>ARRASTRE</v>
      </c>
      <c r="H209" s="93" t="str">
        <f>VLOOKUP($A209, 'Matriz POA 2024-TRABAJO'!$A$5:$CY$9142,24,FALSE)</f>
        <v>Pago Mensual del servicio de Alcantarillado de los meses de Noviembre y Diciembre del 2023 del Museo Bahía de Caráquez</v>
      </c>
      <c r="I209" s="93" t="str">
        <f>VLOOKUP($A209, 'Matriz POA 2024-TRABAJO'!$A$5:$CY$9142,20,FALSE)</f>
        <v>N/A</v>
      </c>
      <c r="J209" s="93" t="str">
        <f>VLOOKUP($A209, 'Matriz POA 2024-TRABAJO'!$A$5:$CY$9142,26,FALSE)</f>
        <v>80</v>
      </c>
      <c r="K209" s="93" t="str">
        <f>VLOOKUP($A209, 'Matriz POA 2024-TRABAJO'!$A$5:$CY$9142,27,FALSE)</f>
        <v>000</v>
      </c>
      <c r="L209" s="93" t="str">
        <f>VLOOKUP($A209, 'Matriz POA 2024-TRABAJO'!$A$5:$CY$9142,28,FALSE)</f>
        <v>002</v>
      </c>
      <c r="M209" s="93">
        <f>VLOOKUP($A209, 'Matriz POA 2024-TRABAJO'!$A$5:$CY$9142,30,FALSE)</f>
        <v>530101</v>
      </c>
      <c r="N209" s="93" t="str">
        <f>VLOOKUP($A209, 'Matriz POA 2024-TRABAJO'!$A$5:$CY$9142,31,FALSE)</f>
        <v>Agua Potable</v>
      </c>
      <c r="O209" s="93">
        <f>VLOOKUP($A209, 'Matriz POA 2024-TRABAJO'!$A$5:$CY$9142,45,FALSE)</f>
        <v>40</v>
      </c>
      <c r="P209" s="93">
        <f>VLOOKUP($A209, 'Matriz POA 2024-TRABAJO'!$A$5:$CY$9142,46,FALSE)</f>
        <v>0</v>
      </c>
      <c r="Q209" s="93">
        <f>VLOOKUP($A209, 'Matriz POA 2024-TRABAJO'!$A$5:$CY$9142,47,FALSE)</f>
        <v>40</v>
      </c>
      <c r="R209" s="94">
        <f t="shared" si="197"/>
        <v>40</v>
      </c>
      <c r="S209" s="95">
        <f t="shared" si="198"/>
        <v>0</v>
      </c>
      <c r="T209" s="93">
        <f>VLOOKUP($A209, 'Matriz POA 2024-TRABAJO'!$A$5:$CY$9142,72,FALSE)</f>
        <v>2</v>
      </c>
      <c r="U209" s="93" t="str">
        <f>VLOOKUP($A209, 'Matriz POA 2024-TRABAJO'!$A$5:$CY$9142,29,FALSE)</f>
        <v>53</v>
      </c>
      <c r="V209" s="93" t="str">
        <f t="shared" si="190"/>
        <v/>
      </c>
      <c r="W209" s="97" t="s">
        <v>1878</v>
      </c>
      <c r="X209" s="109">
        <v>45307</v>
      </c>
      <c r="Y209" s="99" t="s">
        <v>1879</v>
      </c>
      <c r="Z209" s="109">
        <v>45307</v>
      </c>
      <c r="AA209" s="93">
        <v>40</v>
      </c>
      <c r="AB209" s="93"/>
      <c r="AC209" s="93">
        <f t="shared" si="194"/>
        <v>0</v>
      </c>
      <c r="AD209" s="93"/>
      <c r="AE209" s="93"/>
      <c r="AF209" s="93"/>
      <c r="AG209" s="93"/>
      <c r="AH209" s="93"/>
      <c r="AI209" s="93"/>
      <c r="AJ209" s="93"/>
      <c r="AK209" s="93">
        <f t="shared" si="195"/>
        <v>0</v>
      </c>
      <c r="AL209" s="93"/>
      <c r="AM209" s="93"/>
      <c r="AN209" s="93"/>
      <c r="AO209" s="93"/>
      <c r="AP209" s="93"/>
      <c r="AQ209" s="93"/>
      <c r="AR209" s="93"/>
      <c r="AS209" s="93">
        <f t="shared" si="196"/>
        <v>0</v>
      </c>
      <c r="AT209" s="93"/>
      <c r="AU209" s="93"/>
      <c r="AV209" s="93"/>
      <c r="AW209" s="93"/>
      <c r="AX209" s="93"/>
      <c r="AY209" s="93"/>
      <c r="AZ209" s="93"/>
      <c r="BA209" s="93"/>
      <c r="BB209" s="93"/>
      <c r="BC209" s="93"/>
      <c r="BD209" s="93"/>
      <c r="BE209" s="93"/>
      <c r="BF209" s="93"/>
      <c r="BG209" s="93"/>
      <c r="BH209" s="93"/>
      <c r="BI209" s="93"/>
      <c r="BJ209" s="93"/>
      <c r="BK209" s="93"/>
      <c r="BL209" s="93"/>
      <c r="BM209" s="93"/>
      <c r="BN209" s="93"/>
      <c r="BO209" s="93"/>
      <c r="BP209" s="93"/>
      <c r="BQ209" s="93"/>
      <c r="BR209" s="93"/>
      <c r="BS209" s="93"/>
      <c r="BT209" s="93"/>
      <c r="BU209" s="93"/>
      <c r="BV209" s="93"/>
      <c r="BW209" s="93"/>
      <c r="BX209" s="93"/>
      <c r="BY209" s="93"/>
      <c r="BZ209" s="93"/>
      <c r="CA209" s="93"/>
      <c r="CB209" s="93"/>
      <c r="CC209" s="93"/>
      <c r="CD209" s="93"/>
      <c r="CE209" s="93"/>
      <c r="CF209" s="93"/>
      <c r="CG209" s="93"/>
      <c r="CH209" s="93"/>
      <c r="CI209" s="93"/>
      <c r="CJ209" s="93"/>
      <c r="CK209" s="93"/>
      <c r="CL209" s="93"/>
      <c r="CM209" s="93"/>
      <c r="CN209" s="93"/>
      <c r="CO209" s="93"/>
      <c r="CP209" s="93"/>
      <c r="CQ209" s="93"/>
      <c r="CR209" s="93"/>
      <c r="CS209" s="93"/>
      <c r="CT209" s="93"/>
      <c r="CU209" s="93"/>
      <c r="CV209" s="93"/>
      <c r="CW209" s="93"/>
      <c r="CX209" s="93"/>
    </row>
    <row r="210" spans="1:102" ht="15" customHeight="1">
      <c r="A210" s="93">
        <v>449</v>
      </c>
      <c r="B210" s="93" t="str">
        <f>VLOOKUP($A210,  'Matriz POA 2024-TRABAJO'!$A$5:$CY$9142,29,FALSE)</f>
        <v>53</v>
      </c>
      <c r="C210" s="93" t="str">
        <f>VLOOKUP($A210, 'Matriz POA 2024-TRABAJO'!$A$5:$CY$9142,11,FALSE)</f>
        <v>Corporación Ciudad Alfaro</v>
      </c>
      <c r="D210" s="93" t="str">
        <f>VLOOKUP($A210, 'Matriz POA 2024-TRABAJO'!$A$5:$CY$9142,14,FALSE)</f>
        <v>N/A</v>
      </c>
      <c r="E210" s="93" t="str">
        <f>VLOOKUP($A210, 'Matriz POA 2024-TRABAJO'!$A$5:$CY$9142,15,FALSE)</f>
        <v>N/A</v>
      </c>
      <c r="F210" s="93" t="str">
        <f>VLOOKUP($A210, 'Matriz POA 2024-TRABAJO'!$A$5:$CY$9142,18,FALSE)</f>
        <v>N/A</v>
      </c>
      <c r="G210" s="93" t="str">
        <f>VLOOKUP($A210, 'Matriz POA 2024-TRABAJO'!$A$5:$CY$9142,23,FALSE)</f>
        <v>NUEVA</v>
      </c>
      <c r="H210" s="93" t="str">
        <f>VLOOKUP($A210, 'Matriz POA 2024-TRABAJO'!$A$5:$CY$9142,24,FALSE)</f>
        <v>Pago Mensual del servicio de Alcantarillado Bahía de Caráquez</v>
      </c>
      <c r="I210" s="93" t="str">
        <f>VLOOKUP($A210, 'Matriz POA 2024-TRABAJO'!$A$5:$CY$9142,20,FALSE)</f>
        <v>N/A</v>
      </c>
      <c r="J210" s="93" t="str">
        <f>VLOOKUP($A210, 'Matriz POA 2024-TRABAJO'!$A$5:$CY$9142,26,FALSE)</f>
        <v>80</v>
      </c>
      <c r="K210" s="93" t="str">
        <f>VLOOKUP($A210, 'Matriz POA 2024-TRABAJO'!$A$5:$CY$9142,27,FALSE)</f>
        <v>000</v>
      </c>
      <c r="L210" s="93" t="str">
        <f>VLOOKUP($A210, 'Matriz POA 2024-TRABAJO'!$A$5:$CY$9142,28,FALSE)</f>
        <v>002</v>
      </c>
      <c r="M210" s="93">
        <f>VLOOKUP($A210, 'Matriz POA 2024-TRABAJO'!$A$5:$CY$9142,30,FALSE)</f>
        <v>530101</v>
      </c>
      <c r="N210" s="93" t="str">
        <f>VLOOKUP($A210, 'Matriz POA 2024-TRABAJO'!$A$5:$CY$9142,31,FALSE)</f>
        <v>Agua Potable</v>
      </c>
      <c r="O210" s="93">
        <f>VLOOKUP($A210, 'Matriz POA 2024-TRABAJO'!$A$5:$CY$9142,45,FALSE)</f>
        <v>180</v>
      </c>
      <c r="P210" s="93">
        <f>VLOOKUP($A210, 'Matriz POA 2024-TRABAJO'!$A$5:$CY$9142,46,FALSE)</f>
        <v>0</v>
      </c>
      <c r="Q210" s="93">
        <f>VLOOKUP($A210, 'Matriz POA 2024-TRABAJO'!$A$5:$CY$9142,47,FALSE)</f>
        <v>180</v>
      </c>
      <c r="R210" s="94">
        <f t="shared" si="197"/>
        <v>180</v>
      </c>
      <c r="S210" s="95">
        <f t="shared" si="198"/>
        <v>0</v>
      </c>
      <c r="T210" s="93">
        <f>VLOOKUP($A210, 'Matriz POA 2024-TRABAJO'!$A$5:$CY$9142,72,FALSE)</f>
        <v>22</v>
      </c>
      <c r="U210" s="93" t="str">
        <f>VLOOKUP($A210, 'Matriz POA 2024-TRABAJO'!$A$5:$CY$9142,29,FALSE)</f>
        <v>53</v>
      </c>
      <c r="V210" s="93" t="str">
        <f t="shared" si="190"/>
        <v/>
      </c>
      <c r="W210" s="97" t="s">
        <v>1878</v>
      </c>
      <c r="X210" s="109">
        <v>45307</v>
      </c>
      <c r="Y210" s="99" t="s">
        <v>1879</v>
      </c>
      <c r="Z210" s="109">
        <v>45307</v>
      </c>
      <c r="AA210" s="93">
        <v>180</v>
      </c>
      <c r="AB210" s="93"/>
      <c r="AC210" s="93">
        <f t="shared" si="194"/>
        <v>0</v>
      </c>
      <c r="AD210" s="93"/>
      <c r="AE210" s="93"/>
      <c r="AF210" s="93"/>
      <c r="AG210" s="93"/>
      <c r="AH210" s="93"/>
      <c r="AI210" s="93"/>
      <c r="AJ210" s="93"/>
      <c r="AK210" s="93">
        <f t="shared" si="195"/>
        <v>0</v>
      </c>
      <c r="AL210" s="93"/>
      <c r="AM210" s="93"/>
      <c r="AN210" s="93"/>
      <c r="AO210" s="93"/>
      <c r="AP210" s="93"/>
      <c r="AQ210" s="93"/>
      <c r="AR210" s="93"/>
      <c r="AS210" s="93">
        <f t="shared" si="196"/>
        <v>0</v>
      </c>
      <c r="AT210" s="93"/>
      <c r="AU210" s="93"/>
      <c r="AV210" s="93"/>
      <c r="AW210" s="93"/>
      <c r="AX210" s="93"/>
      <c r="AY210" s="93"/>
      <c r="AZ210" s="93"/>
      <c r="BA210" s="93"/>
      <c r="BB210" s="93"/>
      <c r="BC210" s="93"/>
      <c r="BD210" s="93"/>
      <c r="BE210" s="93"/>
      <c r="BF210" s="93"/>
      <c r="BG210" s="93"/>
      <c r="BH210" s="93"/>
      <c r="BI210" s="93"/>
      <c r="BJ210" s="93"/>
      <c r="BK210" s="93"/>
      <c r="BL210" s="93"/>
      <c r="BM210" s="93"/>
      <c r="BN210" s="93"/>
      <c r="BO210" s="93"/>
      <c r="BP210" s="93"/>
      <c r="BQ210" s="93"/>
      <c r="BR210" s="93"/>
      <c r="BS210" s="93"/>
      <c r="BT210" s="93"/>
      <c r="BU210" s="93"/>
      <c r="BV210" s="93"/>
      <c r="BW210" s="93"/>
      <c r="BX210" s="93"/>
      <c r="BY210" s="93"/>
      <c r="BZ210" s="93"/>
      <c r="CA210" s="93"/>
      <c r="CB210" s="93"/>
      <c r="CC210" s="93"/>
      <c r="CD210" s="93"/>
      <c r="CE210" s="93"/>
      <c r="CF210" s="93"/>
      <c r="CG210" s="93"/>
      <c r="CH210" s="93"/>
      <c r="CI210" s="93"/>
      <c r="CJ210" s="93"/>
      <c r="CK210" s="93"/>
      <c r="CL210" s="93"/>
      <c r="CM210" s="93"/>
      <c r="CN210" s="93"/>
      <c r="CO210" s="93"/>
      <c r="CP210" s="93"/>
      <c r="CQ210" s="93"/>
      <c r="CR210" s="93"/>
      <c r="CS210" s="93"/>
      <c r="CT210" s="93"/>
      <c r="CU210" s="93"/>
      <c r="CV210" s="93"/>
      <c r="CW210" s="93"/>
      <c r="CX210" s="93"/>
    </row>
    <row r="211" spans="1:102" ht="15" customHeight="1">
      <c r="A211" s="93">
        <v>450</v>
      </c>
      <c r="B211" s="93" t="str">
        <f>VLOOKUP($A211,  'Matriz POA 2024-TRABAJO'!$A$5:$CY$9142,29,FALSE)</f>
        <v>53</v>
      </c>
      <c r="C211" s="93" t="str">
        <f>VLOOKUP($A211, 'Matriz POA 2024-TRABAJO'!$A$5:$CY$9142,11,FALSE)</f>
        <v>Corporación Ciudad Alfaro</v>
      </c>
      <c r="D211" s="93" t="str">
        <f>VLOOKUP($A211, 'Matriz POA 2024-TRABAJO'!$A$5:$CY$9142,14,FALSE)</f>
        <v>N/A</v>
      </c>
      <c r="E211" s="93" t="str">
        <f>VLOOKUP($A211, 'Matriz POA 2024-TRABAJO'!$A$5:$CY$9142,15,FALSE)</f>
        <v>N/A</v>
      </c>
      <c r="F211" s="93" t="str">
        <f>VLOOKUP($A211, 'Matriz POA 2024-TRABAJO'!$A$5:$CY$9142,18,FALSE)</f>
        <v>N/A</v>
      </c>
      <c r="G211" s="93" t="str">
        <f>VLOOKUP($A211, 'Matriz POA 2024-TRABAJO'!$A$5:$CY$9142,23,FALSE)</f>
        <v>ARRASTRE</v>
      </c>
      <c r="H211" s="93" t="str">
        <f>VLOOKUP($A211, 'Matriz POA 2024-TRABAJO'!$A$5:$CY$9142,24,FALSE)</f>
        <v>Pago Mensual del Servicio de Agua Potable de los meses de Noviembre y Diciembre del 2023 del Museo Bahía de Caráquez</v>
      </c>
      <c r="I211" s="93" t="str">
        <f>VLOOKUP($A211, 'Matriz POA 2024-TRABAJO'!$A$5:$CY$9142,20,FALSE)</f>
        <v>N/A</v>
      </c>
      <c r="J211" s="93" t="str">
        <f>VLOOKUP($A211, 'Matriz POA 2024-TRABAJO'!$A$5:$CY$9142,26,FALSE)</f>
        <v>80</v>
      </c>
      <c r="K211" s="93" t="str">
        <f>VLOOKUP($A211, 'Matriz POA 2024-TRABAJO'!$A$5:$CY$9142,27,FALSE)</f>
        <v>000</v>
      </c>
      <c r="L211" s="93" t="str">
        <f>VLOOKUP($A211, 'Matriz POA 2024-TRABAJO'!$A$5:$CY$9142,28,FALSE)</f>
        <v>002</v>
      </c>
      <c r="M211" s="93">
        <f>VLOOKUP($A211, 'Matriz POA 2024-TRABAJO'!$A$5:$CY$9142,30,FALSE)</f>
        <v>530101</v>
      </c>
      <c r="N211" s="93" t="str">
        <f>VLOOKUP($A211, 'Matriz POA 2024-TRABAJO'!$A$5:$CY$9142,31,FALSE)</f>
        <v>Agua Potable</v>
      </c>
      <c r="O211" s="93">
        <f>VLOOKUP($A211, 'Matriz POA 2024-TRABAJO'!$A$5:$CY$9142,45,FALSE)</f>
        <v>80</v>
      </c>
      <c r="P211" s="93">
        <f>VLOOKUP($A211, 'Matriz POA 2024-TRABAJO'!$A$5:$CY$9142,46,FALSE)</f>
        <v>0</v>
      </c>
      <c r="Q211" s="93">
        <f>VLOOKUP($A211, 'Matriz POA 2024-TRABAJO'!$A$5:$CY$9142,47,FALSE)</f>
        <v>80</v>
      </c>
      <c r="R211" s="94">
        <f t="shared" si="197"/>
        <v>80</v>
      </c>
      <c r="S211" s="95">
        <f t="shared" si="198"/>
        <v>0</v>
      </c>
      <c r="T211" s="93">
        <f>VLOOKUP($A211, 'Matriz POA 2024-TRABAJO'!$A$5:$CY$9142,72,FALSE)</f>
        <v>2.75</v>
      </c>
      <c r="U211" s="93" t="str">
        <f>VLOOKUP($A211, 'Matriz POA 2024-TRABAJO'!$A$5:$CY$9142,29,FALSE)</f>
        <v>53</v>
      </c>
      <c r="V211" s="93" t="str">
        <f t="shared" si="190"/>
        <v/>
      </c>
      <c r="W211" s="97" t="s">
        <v>1878</v>
      </c>
      <c r="X211" s="109">
        <v>45307</v>
      </c>
      <c r="Y211" s="99" t="s">
        <v>1879</v>
      </c>
      <c r="Z211" s="109">
        <v>45307</v>
      </c>
      <c r="AA211" s="93">
        <v>80</v>
      </c>
      <c r="AB211" s="93"/>
      <c r="AC211" s="93">
        <f t="shared" si="194"/>
        <v>0</v>
      </c>
      <c r="AD211" s="93"/>
      <c r="AE211" s="93"/>
      <c r="AF211" s="93"/>
      <c r="AG211" s="93"/>
      <c r="AH211" s="93"/>
      <c r="AI211" s="93"/>
      <c r="AJ211" s="93"/>
      <c r="AK211" s="93">
        <f t="shared" si="195"/>
        <v>0</v>
      </c>
      <c r="AL211" s="93"/>
      <c r="AM211" s="93"/>
      <c r="AN211" s="93"/>
      <c r="AO211" s="93"/>
      <c r="AP211" s="93"/>
      <c r="AQ211" s="93"/>
      <c r="AR211" s="93"/>
      <c r="AS211" s="93">
        <f t="shared" si="196"/>
        <v>0</v>
      </c>
      <c r="AT211" s="93"/>
      <c r="AU211" s="93"/>
      <c r="AV211" s="93"/>
      <c r="AW211" s="93"/>
      <c r="AX211" s="93"/>
      <c r="AY211" s="93"/>
      <c r="AZ211" s="93"/>
      <c r="BA211" s="93"/>
      <c r="BB211" s="93"/>
      <c r="BC211" s="93"/>
      <c r="BD211" s="93"/>
      <c r="BE211" s="93"/>
      <c r="BF211" s="93"/>
      <c r="BG211" s="93"/>
      <c r="BH211" s="93"/>
      <c r="BI211" s="93"/>
      <c r="BJ211" s="93"/>
      <c r="BK211" s="93"/>
      <c r="BL211" s="93"/>
      <c r="BM211" s="93"/>
      <c r="BN211" s="93"/>
      <c r="BO211" s="93"/>
      <c r="BP211" s="93"/>
      <c r="BQ211" s="93"/>
      <c r="BR211" s="93"/>
      <c r="BS211" s="93"/>
      <c r="BT211" s="93"/>
      <c r="BU211" s="93"/>
      <c r="BV211" s="93"/>
      <c r="BW211" s="93"/>
      <c r="BX211" s="93"/>
      <c r="BY211" s="93"/>
      <c r="BZ211" s="93"/>
      <c r="CA211" s="93"/>
      <c r="CB211" s="93"/>
      <c r="CC211" s="93"/>
      <c r="CD211" s="93"/>
      <c r="CE211" s="93"/>
      <c r="CF211" s="93"/>
      <c r="CG211" s="93"/>
      <c r="CH211" s="93"/>
      <c r="CI211" s="93"/>
      <c r="CJ211" s="93"/>
      <c r="CK211" s="93"/>
      <c r="CL211" s="93"/>
      <c r="CM211" s="93"/>
      <c r="CN211" s="93"/>
      <c r="CO211" s="93"/>
      <c r="CP211" s="93"/>
      <c r="CQ211" s="93"/>
      <c r="CR211" s="93"/>
      <c r="CS211" s="93"/>
      <c r="CT211" s="93"/>
      <c r="CU211" s="93"/>
      <c r="CV211" s="93"/>
      <c r="CW211" s="93"/>
      <c r="CX211" s="93"/>
    </row>
    <row r="212" spans="1:102" ht="15" customHeight="1">
      <c r="A212" s="93">
        <v>451</v>
      </c>
      <c r="B212" s="93" t="str">
        <f>VLOOKUP($A212,  'Matriz POA 2024-TRABAJO'!$A$5:$CY$9142,29,FALSE)</f>
        <v>53</v>
      </c>
      <c r="C212" s="93" t="str">
        <f>VLOOKUP($A212, 'Matriz POA 2024-TRABAJO'!$A$5:$CY$9142,11,FALSE)</f>
        <v>Corporación Ciudad Alfaro</v>
      </c>
      <c r="D212" s="93" t="str">
        <f>VLOOKUP($A212, 'Matriz POA 2024-TRABAJO'!$A$5:$CY$9142,14,FALSE)</f>
        <v>N/A</v>
      </c>
      <c r="E212" s="93" t="str">
        <f>VLOOKUP($A212, 'Matriz POA 2024-TRABAJO'!$A$5:$CY$9142,15,FALSE)</f>
        <v>N/A</v>
      </c>
      <c r="F212" s="93" t="str">
        <f>VLOOKUP($A212, 'Matriz POA 2024-TRABAJO'!$A$5:$CY$9142,18,FALSE)</f>
        <v>N/A</v>
      </c>
      <c r="G212" s="93" t="str">
        <f>VLOOKUP($A212, 'Matriz POA 2024-TRABAJO'!$A$5:$CY$9142,23,FALSE)</f>
        <v>NUEVA</v>
      </c>
      <c r="H212" s="93" t="str">
        <f>VLOOKUP($A212, 'Matriz POA 2024-TRABAJO'!$A$5:$CY$9142,24,FALSE)</f>
        <v>Pago Mensual del servicio de Agua Potable del Museo Bahía de Caráquez</v>
      </c>
      <c r="I212" s="93" t="str">
        <f>VLOOKUP($A212, 'Matriz POA 2024-TRABAJO'!$A$5:$CY$9142,20,FALSE)</f>
        <v>N/A</v>
      </c>
      <c r="J212" s="93" t="str">
        <f>VLOOKUP($A212, 'Matriz POA 2024-TRABAJO'!$A$5:$CY$9142,26,FALSE)</f>
        <v>80</v>
      </c>
      <c r="K212" s="93" t="str">
        <f>VLOOKUP($A212, 'Matriz POA 2024-TRABAJO'!$A$5:$CY$9142,27,FALSE)</f>
        <v>000</v>
      </c>
      <c r="L212" s="93" t="str">
        <f>VLOOKUP($A212, 'Matriz POA 2024-TRABAJO'!$A$5:$CY$9142,28,FALSE)</f>
        <v>002</v>
      </c>
      <c r="M212" s="93">
        <f>VLOOKUP($A212, 'Matriz POA 2024-TRABAJO'!$A$5:$CY$9142,30,FALSE)</f>
        <v>530101</v>
      </c>
      <c r="N212" s="93" t="str">
        <f>VLOOKUP($A212, 'Matriz POA 2024-TRABAJO'!$A$5:$CY$9142,31,FALSE)</f>
        <v>Agua Potable</v>
      </c>
      <c r="O212" s="93">
        <f>VLOOKUP($A212, 'Matriz POA 2024-TRABAJO'!$A$5:$CY$9142,45,FALSE)</f>
        <v>360</v>
      </c>
      <c r="P212" s="93">
        <f>VLOOKUP($A212, 'Matriz POA 2024-TRABAJO'!$A$5:$CY$9142,46,FALSE)</f>
        <v>0</v>
      </c>
      <c r="Q212" s="93">
        <f>VLOOKUP($A212, 'Matriz POA 2024-TRABAJO'!$A$5:$CY$9142,47,FALSE)</f>
        <v>360</v>
      </c>
      <c r="R212" s="94">
        <f t="shared" si="197"/>
        <v>360</v>
      </c>
      <c r="S212" s="95">
        <f t="shared" si="198"/>
        <v>0</v>
      </c>
      <c r="T212" s="93">
        <f>VLOOKUP($A212, 'Matriz POA 2024-TRABAJO'!$A$5:$CY$9142,72,FALSE)</f>
        <v>37.5</v>
      </c>
      <c r="U212" s="93" t="str">
        <f>VLOOKUP($A212, 'Matriz POA 2024-TRABAJO'!$A$5:$CY$9142,29,FALSE)</f>
        <v>53</v>
      </c>
      <c r="V212" s="93" t="str">
        <f t="shared" si="190"/>
        <v/>
      </c>
      <c r="W212" s="97" t="s">
        <v>1878</v>
      </c>
      <c r="X212" s="109">
        <v>45307</v>
      </c>
      <c r="Y212" s="99" t="s">
        <v>1879</v>
      </c>
      <c r="Z212" s="109">
        <v>45307</v>
      </c>
      <c r="AA212" s="93">
        <v>360</v>
      </c>
      <c r="AB212" s="93"/>
      <c r="AC212" s="93">
        <f t="shared" si="194"/>
        <v>0</v>
      </c>
      <c r="AD212" s="93"/>
      <c r="AE212" s="93"/>
      <c r="AF212" s="93"/>
      <c r="AG212" s="93"/>
      <c r="AH212" s="93"/>
      <c r="AI212" s="93"/>
      <c r="AJ212" s="93"/>
      <c r="AK212" s="93">
        <f t="shared" si="195"/>
        <v>0</v>
      </c>
      <c r="AL212" s="93"/>
      <c r="AM212" s="93"/>
      <c r="AN212" s="93"/>
      <c r="AO212" s="93"/>
      <c r="AP212" s="93"/>
      <c r="AQ212" s="93"/>
      <c r="AR212" s="93"/>
      <c r="AS212" s="93">
        <f t="shared" si="196"/>
        <v>0</v>
      </c>
      <c r="AT212" s="93"/>
      <c r="AU212" s="93"/>
      <c r="AV212" s="93"/>
      <c r="AW212" s="93"/>
      <c r="AX212" s="93"/>
      <c r="AY212" s="93"/>
      <c r="AZ212" s="93"/>
      <c r="BA212" s="93"/>
      <c r="BB212" s="93"/>
      <c r="BC212" s="93"/>
      <c r="BD212" s="93"/>
      <c r="BE212" s="93"/>
      <c r="BF212" s="93"/>
      <c r="BG212" s="93"/>
      <c r="BH212" s="93"/>
      <c r="BI212" s="93"/>
      <c r="BJ212" s="93"/>
      <c r="BK212" s="93"/>
      <c r="BL212" s="93"/>
      <c r="BM212" s="93"/>
      <c r="BN212" s="93"/>
      <c r="BO212" s="93"/>
      <c r="BP212" s="93"/>
      <c r="BQ212" s="93"/>
      <c r="BR212" s="93"/>
      <c r="BS212" s="93"/>
      <c r="BT212" s="93"/>
      <c r="BU212" s="93"/>
      <c r="BV212" s="93"/>
      <c r="BW212" s="93"/>
      <c r="BX212" s="93"/>
      <c r="BY212" s="93"/>
      <c r="BZ212" s="93"/>
      <c r="CA212" s="93"/>
      <c r="CB212" s="93"/>
      <c r="CC212" s="93"/>
      <c r="CD212" s="93"/>
      <c r="CE212" s="93"/>
      <c r="CF212" s="93"/>
      <c r="CG212" s="93"/>
      <c r="CH212" s="93"/>
      <c r="CI212" s="93"/>
      <c r="CJ212" s="93"/>
      <c r="CK212" s="93"/>
      <c r="CL212" s="93"/>
      <c r="CM212" s="93"/>
      <c r="CN212" s="93"/>
      <c r="CO212" s="93"/>
      <c r="CP212" s="93"/>
      <c r="CQ212" s="93"/>
      <c r="CR212" s="93"/>
      <c r="CS212" s="93"/>
      <c r="CT212" s="93"/>
      <c r="CU212" s="93"/>
      <c r="CV212" s="93"/>
      <c r="CW212" s="93"/>
      <c r="CX212" s="93"/>
    </row>
    <row r="213" spans="1:102" ht="15" customHeight="1">
      <c r="A213" s="93">
        <v>452</v>
      </c>
      <c r="B213" s="93" t="str">
        <f>VLOOKUP($A213,  'Matriz POA 2024-TRABAJO'!$A$5:$CY$9142,29,FALSE)</f>
        <v>53</v>
      </c>
      <c r="C213" s="93" t="str">
        <f>VLOOKUP($A213, 'Matriz POA 2024-TRABAJO'!$A$5:$CY$9142,11,FALSE)</f>
        <v>Corporación Ciudad Alfaro</v>
      </c>
      <c r="D213" s="93" t="str">
        <f>VLOOKUP($A213, 'Matriz POA 2024-TRABAJO'!$A$5:$CY$9142,14,FALSE)</f>
        <v>N/A</v>
      </c>
      <c r="E213" s="93" t="str">
        <f>VLOOKUP($A213, 'Matriz POA 2024-TRABAJO'!$A$5:$CY$9142,15,FALSE)</f>
        <v>N/A</v>
      </c>
      <c r="F213" s="93" t="str">
        <f>VLOOKUP($A213, 'Matriz POA 2024-TRABAJO'!$A$5:$CY$9142,18,FALSE)</f>
        <v>N/A</v>
      </c>
      <c r="G213" s="93" t="str">
        <f>VLOOKUP($A213, 'Matriz POA 2024-TRABAJO'!$A$5:$CY$9142,23,FALSE)</f>
        <v>ARRASTRE</v>
      </c>
      <c r="H213" s="93" t="str">
        <f>VLOOKUP($A213, 'Matriz POA 2024-TRABAJO'!$A$5:$CY$9142,24,FALSE)</f>
        <v>Pago Mensual del servicio de Energía Eléctrica de los meses de Noviembre y Diciembre del 2023 del Museo Bahía de Caráquez</v>
      </c>
      <c r="I213" s="93" t="str">
        <f>VLOOKUP($A213, 'Matriz POA 2024-TRABAJO'!$A$5:$CY$9142,20,FALSE)</f>
        <v>N/A</v>
      </c>
      <c r="J213" s="93" t="str">
        <f>VLOOKUP($A213, 'Matriz POA 2024-TRABAJO'!$A$5:$CY$9142,26,FALSE)</f>
        <v>80</v>
      </c>
      <c r="K213" s="93" t="str">
        <f>VLOOKUP($A213, 'Matriz POA 2024-TRABAJO'!$A$5:$CY$9142,27,FALSE)</f>
        <v>000</v>
      </c>
      <c r="L213" s="93" t="str">
        <f>VLOOKUP($A213, 'Matriz POA 2024-TRABAJO'!$A$5:$CY$9142,28,FALSE)</f>
        <v>002</v>
      </c>
      <c r="M213" s="93">
        <f>VLOOKUP($A213, 'Matriz POA 2024-TRABAJO'!$A$5:$CY$9142,30,FALSE)</f>
        <v>530104</v>
      </c>
      <c r="N213" s="93" t="str">
        <f>VLOOKUP($A213, 'Matriz POA 2024-TRABAJO'!$A$5:$CY$9142,31,FALSE)</f>
        <v>Energía Eléctrica</v>
      </c>
      <c r="O213" s="93">
        <f>VLOOKUP($A213, 'Matriz POA 2024-TRABAJO'!$A$5:$CY$9142,45,FALSE)</f>
        <v>1600</v>
      </c>
      <c r="P213" s="93">
        <f>VLOOKUP($A213, 'Matriz POA 2024-TRABAJO'!$A$5:$CY$9142,46,FALSE)</f>
        <v>0</v>
      </c>
      <c r="Q213" s="93">
        <f>VLOOKUP($A213, 'Matriz POA 2024-TRABAJO'!$A$5:$CY$9142,47,FALSE)</f>
        <v>1600</v>
      </c>
      <c r="R213" s="94">
        <f t="shared" si="197"/>
        <v>1600</v>
      </c>
      <c r="S213" s="95">
        <f t="shared" si="198"/>
        <v>0</v>
      </c>
      <c r="T213" s="93">
        <f>VLOOKUP($A213, 'Matriz POA 2024-TRABAJO'!$A$5:$CY$9142,72,FALSE)</f>
        <v>847.41000000000008</v>
      </c>
      <c r="U213" s="93" t="str">
        <f>VLOOKUP($A213, 'Matriz POA 2024-TRABAJO'!$A$5:$CY$9142,29,FALSE)</f>
        <v>53</v>
      </c>
      <c r="V213" s="93" t="str">
        <f t="shared" si="190"/>
        <v/>
      </c>
      <c r="W213" s="97" t="s">
        <v>1880</v>
      </c>
      <c r="X213" s="109">
        <v>45307</v>
      </c>
      <c r="Y213" s="99" t="s">
        <v>1881</v>
      </c>
      <c r="Z213" s="109">
        <v>45307</v>
      </c>
      <c r="AA213" s="93">
        <v>1600</v>
      </c>
      <c r="AB213" s="93"/>
      <c r="AC213" s="93">
        <f t="shared" si="194"/>
        <v>0</v>
      </c>
      <c r="AD213" s="93"/>
      <c r="AE213" s="93"/>
      <c r="AF213" s="93"/>
      <c r="AG213" s="93"/>
      <c r="AH213" s="93"/>
      <c r="AI213" s="93"/>
      <c r="AJ213" s="93"/>
      <c r="AK213" s="93">
        <f t="shared" si="195"/>
        <v>0</v>
      </c>
      <c r="AL213" s="93"/>
      <c r="AM213" s="93"/>
      <c r="AN213" s="93"/>
      <c r="AO213" s="93"/>
      <c r="AP213" s="93"/>
      <c r="AQ213" s="93"/>
      <c r="AR213" s="93"/>
      <c r="AS213" s="93">
        <f t="shared" si="196"/>
        <v>0</v>
      </c>
      <c r="AT213" s="93"/>
      <c r="AU213" s="93"/>
      <c r="AV213" s="93"/>
      <c r="AW213" s="93"/>
      <c r="AX213" s="93"/>
      <c r="AY213" s="93"/>
      <c r="AZ213" s="93"/>
      <c r="BA213" s="93"/>
      <c r="BB213" s="93"/>
      <c r="BC213" s="93"/>
      <c r="BD213" s="93"/>
      <c r="BE213" s="93"/>
      <c r="BF213" s="93"/>
      <c r="BG213" s="93"/>
      <c r="BH213" s="93"/>
      <c r="BI213" s="93"/>
      <c r="BJ213" s="93"/>
      <c r="BK213" s="93"/>
      <c r="BL213" s="93"/>
      <c r="BM213" s="93"/>
      <c r="BN213" s="93"/>
      <c r="BO213" s="93"/>
      <c r="BP213" s="93"/>
      <c r="BQ213" s="93"/>
      <c r="BR213" s="93"/>
      <c r="BS213" s="93"/>
      <c r="BT213" s="93"/>
      <c r="BU213" s="93"/>
      <c r="BV213" s="93"/>
      <c r="BW213" s="93"/>
      <c r="BX213" s="93"/>
      <c r="BY213" s="93"/>
      <c r="BZ213" s="93"/>
      <c r="CA213" s="93"/>
      <c r="CB213" s="93"/>
      <c r="CC213" s="93"/>
      <c r="CD213" s="93"/>
      <c r="CE213" s="93"/>
      <c r="CF213" s="93"/>
      <c r="CG213" s="93"/>
      <c r="CH213" s="93"/>
      <c r="CI213" s="93"/>
      <c r="CJ213" s="93"/>
      <c r="CK213" s="93"/>
      <c r="CL213" s="93"/>
      <c r="CM213" s="93"/>
      <c r="CN213" s="93"/>
      <c r="CO213" s="93"/>
      <c r="CP213" s="93"/>
      <c r="CQ213" s="93"/>
      <c r="CR213" s="93"/>
      <c r="CS213" s="93"/>
      <c r="CT213" s="93"/>
      <c r="CU213" s="93"/>
      <c r="CV213" s="93"/>
      <c r="CW213" s="93"/>
      <c r="CX213" s="93"/>
    </row>
    <row r="214" spans="1:102" ht="15" customHeight="1">
      <c r="A214" s="93">
        <v>453</v>
      </c>
      <c r="B214" s="93" t="str">
        <f>VLOOKUP($A214,  'Matriz POA 2024-TRABAJO'!$A$5:$CY$9142,29,FALSE)</f>
        <v>53</v>
      </c>
      <c r="C214" s="93" t="str">
        <f>VLOOKUP($A214, 'Matriz POA 2024-TRABAJO'!$A$5:$CY$9142,11,FALSE)</f>
        <v>Corporación Ciudad Alfaro</v>
      </c>
      <c r="D214" s="93" t="str">
        <f>VLOOKUP($A214, 'Matriz POA 2024-TRABAJO'!$A$5:$CY$9142,14,FALSE)</f>
        <v>N/A</v>
      </c>
      <c r="E214" s="93" t="str">
        <f>VLOOKUP($A214, 'Matriz POA 2024-TRABAJO'!$A$5:$CY$9142,15,FALSE)</f>
        <v>N/A</v>
      </c>
      <c r="F214" s="93" t="str">
        <f>VLOOKUP($A214, 'Matriz POA 2024-TRABAJO'!$A$5:$CY$9142,18,FALSE)</f>
        <v>N/A</v>
      </c>
      <c r="G214" s="93" t="str">
        <f>VLOOKUP($A214, 'Matriz POA 2024-TRABAJO'!$A$5:$CY$9142,23,FALSE)</f>
        <v>NUEVA</v>
      </c>
      <c r="H214" s="93" t="str">
        <f>VLOOKUP($A214, 'Matriz POA 2024-TRABAJO'!$A$5:$CY$9142,24,FALSE)</f>
        <v>Pago Mensual del servicio de Energía Eléctrica del Museo Bahía de Caráquez</v>
      </c>
      <c r="I214" s="93" t="str">
        <f>VLOOKUP($A214, 'Matriz POA 2024-TRABAJO'!$A$5:$CY$9142,20,FALSE)</f>
        <v>N/A</v>
      </c>
      <c r="J214" s="93" t="str">
        <f>VLOOKUP($A214, 'Matriz POA 2024-TRABAJO'!$A$5:$CY$9142,26,FALSE)</f>
        <v>80</v>
      </c>
      <c r="K214" s="93" t="str">
        <f>VLOOKUP($A214, 'Matriz POA 2024-TRABAJO'!$A$5:$CY$9142,27,FALSE)</f>
        <v>000</v>
      </c>
      <c r="L214" s="93" t="str">
        <f>VLOOKUP($A214, 'Matriz POA 2024-TRABAJO'!$A$5:$CY$9142,28,FALSE)</f>
        <v>002</v>
      </c>
      <c r="M214" s="93">
        <f>VLOOKUP($A214, 'Matriz POA 2024-TRABAJO'!$A$5:$CY$9142,30,FALSE)</f>
        <v>530104</v>
      </c>
      <c r="N214" s="93" t="str">
        <f>VLOOKUP($A214, 'Matriz POA 2024-TRABAJO'!$A$5:$CY$9142,31,FALSE)</f>
        <v>Energía Eléctrica</v>
      </c>
      <c r="O214" s="93">
        <f>VLOOKUP($A214, 'Matriz POA 2024-TRABAJO'!$A$5:$CY$9142,45,FALSE)</f>
        <v>6402.17</v>
      </c>
      <c r="P214" s="93">
        <f>VLOOKUP($A214, 'Matriz POA 2024-TRABAJO'!$A$5:$CY$9142,46,FALSE)</f>
        <v>0</v>
      </c>
      <c r="Q214" s="93">
        <f>VLOOKUP($A214, 'Matriz POA 2024-TRABAJO'!$A$5:$CY$9142,47,FALSE)</f>
        <v>6402.17</v>
      </c>
      <c r="R214" s="94">
        <f t="shared" ref="R214:R237" si="199">AA214+AI214+AQ214+AY214+BG214+BO214+BW214+CE214+CM214+CU214+AB214+AJ214+AR214+AZ214+BH214+BP214</f>
        <v>9000</v>
      </c>
      <c r="S214" s="95">
        <f t="shared" ref="S214:S237" si="200">Q214-R214</f>
        <v>-2597.83</v>
      </c>
      <c r="T214" s="93">
        <f>VLOOKUP($A214, 'Matriz POA 2024-TRABAJO'!$A$5:$CY$9142,72,FALSE)</f>
        <v>5472.03</v>
      </c>
      <c r="U214" s="93" t="str">
        <f>VLOOKUP($A214, 'Matriz POA 2024-TRABAJO'!$A$5:$CY$9142,29,FALSE)</f>
        <v>53</v>
      </c>
      <c r="V214" s="93" t="str">
        <f t="shared" ref="V214:V237" si="201">AD214&amp;AL214&amp;AT214&amp;BB214&amp;BJ214&amp;BR214&amp;BZ214&amp;CH214&amp;CP214&amp;CX214</f>
        <v/>
      </c>
      <c r="W214" s="97" t="s">
        <v>1880</v>
      </c>
      <c r="X214" s="109">
        <v>45307</v>
      </c>
      <c r="Y214" s="99" t="s">
        <v>1881</v>
      </c>
      <c r="Z214" s="109">
        <v>45307</v>
      </c>
      <c r="AA214" s="93">
        <v>9000</v>
      </c>
      <c r="AB214" s="93"/>
      <c r="AC214" s="93">
        <f t="shared" ref="AC214:AC237" si="202">Z214-X214</f>
        <v>0</v>
      </c>
      <c r="AD214" s="93"/>
      <c r="AE214" s="93"/>
      <c r="AF214" s="93"/>
      <c r="AG214" s="93"/>
      <c r="AH214" s="93"/>
      <c r="AI214" s="93"/>
      <c r="AJ214" s="93"/>
      <c r="AK214" s="93">
        <f t="shared" ref="AK214:AK237" si="203">AH214-AF214</f>
        <v>0</v>
      </c>
      <c r="AL214" s="93"/>
      <c r="AM214" s="93"/>
      <c r="AN214" s="93"/>
      <c r="AO214" s="93"/>
      <c r="AP214" s="93"/>
      <c r="AQ214" s="93"/>
      <c r="AR214" s="93"/>
      <c r="AS214" s="93">
        <f t="shared" ref="AS214:AS237" si="204">AP214-AN214</f>
        <v>0</v>
      </c>
      <c r="AT214" s="93"/>
      <c r="AU214" s="93"/>
      <c r="AV214" s="93"/>
      <c r="AW214" s="93"/>
      <c r="AX214" s="93"/>
      <c r="AY214" s="93"/>
      <c r="AZ214" s="93"/>
      <c r="BA214" s="93"/>
      <c r="BB214" s="93"/>
      <c r="BC214" s="93"/>
      <c r="BD214" s="93"/>
      <c r="BE214" s="93"/>
      <c r="BF214" s="93"/>
      <c r="BG214" s="93"/>
      <c r="BH214" s="93"/>
      <c r="BI214" s="93"/>
      <c r="BJ214" s="93"/>
      <c r="BK214" s="93"/>
      <c r="BL214" s="93"/>
      <c r="BM214" s="93"/>
      <c r="BN214" s="93"/>
      <c r="BO214" s="93"/>
      <c r="BP214" s="93"/>
      <c r="BQ214" s="93"/>
      <c r="BR214" s="93"/>
      <c r="BS214" s="93"/>
      <c r="BT214" s="93"/>
      <c r="BU214" s="93"/>
      <c r="BV214" s="93"/>
      <c r="BW214" s="93"/>
      <c r="BX214" s="93"/>
      <c r="BY214" s="93"/>
      <c r="BZ214" s="93"/>
      <c r="CA214" s="93"/>
      <c r="CB214" s="93"/>
      <c r="CC214" s="93"/>
      <c r="CD214" s="93"/>
      <c r="CE214" s="93"/>
      <c r="CF214" s="93"/>
      <c r="CG214" s="93"/>
      <c r="CH214" s="93"/>
      <c r="CI214" s="93"/>
      <c r="CJ214" s="93"/>
      <c r="CK214" s="93"/>
      <c r="CL214" s="93"/>
      <c r="CM214" s="93"/>
      <c r="CN214" s="93"/>
      <c r="CO214" s="93"/>
      <c r="CP214" s="93"/>
      <c r="CQ214" s="93"/>
      <c r="CR214" s="93"/>
      <c r="CS214" s="93"/>
      <c r="CT214" s="93"/>
      <c r="CU214" s="93"/>
      <c r="CV214" s="93"/>
      <c r="CW214" s="93"/>
      <c r="CX214" s="93"/>
    </row>
    <row r="215" spans="1:102" ht="15" customHeight="1">
      <c r="A215" s="93">
        <v>440</v>
      </c>
      <c r="B215" s="93" t="str">
        <f>VLOOKUP($A215,  'Matriz POA 2024-TRABAJO'!$A$5:$CY$9142,29,FALSE)</f>
        <v>53</v>
      </c>
      <c r="C215" s="93" t="str">
        <f>VLOOKUP($A215, 'Matriz POA 2024-TRABAJO'!$A$5:$CY$9142,11,FALSE)</f>
        <v>Corporación Ciudad Alfaro</v>
      </c>
      <c r="D215" s="93" t="str">
        <f>VLOOKUP($A215, 'Matriz POA 2024-TRABAJO'!$A$5:$CY$9142,14,FALSE)</f>
        <v>N/A</v>
      </c>
      <c r="E215" s="93" t="str">
        <f>VLOOKUP($A215, 'Matriz POA 2024-TRABAJO'!$A$5:$CY$9142,15,FALSE)</f>
        <v>N/A</v>
      </c>
      <c r="F215" s="93" t="str">
        <f>VLOOKUP($A215, 'Matriz POA 2024-TRABAJO'!$A$5:$CY$9142,18,FALSE)</f>
        <v>N/A</v>
      </c>
      <c r="G215" s="93" t="str">
        <f>VLOOKUP($A215, 'Matriz POA 2024-TRABAJO'!$A$5:$CY$9142,23,FALSE)</f>
        <v>PLURIANUAL 2023-2024</v>
      </c>
      <c r="H215" s="93" t="str">
        <f>VLOOKUP($A215, 'Matriz POA 2024-TRABAJO'!$A$5:$CY$9142,24,FALSE)</f>
        <v>Pago del servicio de seguridad y vigilancia de la Corporación Alfaro y sus Sedes</v>
      </c>
      <c r="I215" s="93" t="str">
        <f>VLOOKUP($A215, 'Matriz POA 2024-TRABAJO'!$A$5:$CY$9142,20,FALSE)</f>
        <v>N/A</v>
      </c>
      <c r="J215" s="93" t="str">
        <f>VLOOKUP($A215, 'Matriz POA 2024-TRABAJO'!$A$5:$CY$9142,26,FALSE)</f>
        <v>80</v>
      </c>
      <c r="K215" s="93" t="str">
        <f>VLOOKUP($A215, 'Matriz POA 2024-TRABAJO'!$A$5:$CY$9142,27,FALSE)</f>
        <v>000</v>
      </c>
      <c r="L215" s="93" t="str">
        <f>VLOOKUP($A215, 'Matriz POA 2024-TRABAJO'!$A$5:$CY$9142,28,FALSE)</f>
        <v>002</v>
      </c>
      <c r="M215" s="93">
        <f>VLOOKUP($A215, 'Matriz POA 2024-TRABAJO'!$A$5:$CY$9142,30,FALSE)</f>
        <v>530208</v>
      </c>
      <c r="N215" s="93" t="str">
        <f>VLOOKUP($A215, 'Matriz POA 2024-TRABAJO'!$A$5:$CY$9142,31,FALSE)</f>
        <v>Servicio de Seguridad y Vigilancia</v>
      </c>
      <c r="O215" s="93">
        <f>VLOOKUP($A215, 'Matriz POA 2024-TRABAJO'!$A$5:$CY$9142,45,FALSE)</f>
        <v>171800</v>
      </c>
      <c r="P215" s="93">
        <f>VLOOKUP($A215, 'Matriz POA 2024-TRABAJO'!$A$5:$CY$9142,46,FALSE)</f>
        <v>0</v>
      </c>
      <c r="Q215" s="93">
        <f>VLOOKUP($A215, 'Matriz POA 2024-TRABAJO'!$A$5:$CY$9142,47,FALSE)</f>
        <v>171800</v>
      </c>
      <c r="R215" s="94">
        <f t="shared" si="199"/>
        <v>178957</v>
      </c>
      <c r="S215" s="95">
        <f t="shared" si="200"/>
        <v>-7157</v>
      </c>
      <c r="T215" s="93">
        <f>VLOOKUP($A215, 'Matriz POA 2024-TRABAJO'!$A$5:$CY$9142,72,FALSE)</f>
        <v>171732.33000000002</v>
      </c>
      <c r="U215" s="93" t="str">
        <f>VLOOKUP($A215, 'Matriz POA 2024-TRABAJO'!$A$5:$CY$9142,29,FALSE)</f>
        <v>53</v>
      </c>
      <c r="V215" s="93" t="str">
        <f t="shared" si="201"/>
        <v/>
      </c>
      <c r="W215" s="97" t="s">
        <v>1882</v>
      </c>
      <c r="X215" s="109">
        <v>45307</v>
      </c>
      <c r="Y215" s="99" t="s">
        <v>1883</v>
      </c>
      <c r="Z215" s="109">
        <v>45307</v>
      </c>
      <c r="AA215" s="93">
        <v>178957</v>
      </c>
      <c r="AB215" s="93"/>
      <c r="AC215" s="93">
        <f t="shared" si="202"/>
        <v>0</v>
      </c>
      <c r="AD215" s="93"/>
      <c r="AE215" s="93"/>
      <c r="AF215" s="93"/>
      <c r="AG215" s="93"/>
      <c r="AH215" s="93"/>
      <c r="AI215" s="93"/>
      <c r="AJ215" s="93"/>
      <c r="AK215" s="93">
        <f t="shared" si="203"/>
        <v>0</v>
      </c>
      <c r="AL215" s="93"/>
      <c r="AM215" s="93"/>
      <c r="AN215" s="93"/>
      <c r="AO215" s="93"/>
      <c r="AP215" s="93"/>
      <c r="AQ215" s="93"/>
      <c r="AR215" s="93"/>
      <c r="AS215" s="93">
        <f t="shared" si="204"/>
        <v>0</v>
      </c>
      <c r="AT215" s="93"/>
      <c r="AU215" s="93"/>
      <c r="AV215" s="93"/>
      <c r="AW215" s="93"/>
      <c r="AX215" s="93"/>
      <c r="AY215" s="93"/>
      <c r="AZ215" s="93"/>
      <c r="BA215" s="93"/>
      <c r="BB215" s="93"/>
      <c r="BC215" s="93"/>
      <c r="BD215" s="93"/>
      <c r="BE215" s="93"/>
      <c r="BF215" s="93"/>
      <c r="BG215" s="93"/>
      <c r="BH215" s="93"/>
      <c r="BI215" s="93"/>
      <c r="BJ215" s="93"/>
      <c r="BK215" s="93"/>
      <c r="BL215" s="93"/>
      <c r="BM215" s="93"/>
      <c r="BN215" s="93"/>
      <c r="BO215" s="93"/>
      <c r="BP215" s="93"/>
      <c r="BQ215" s="93"/>
      <c r="BR215" s="93"/>
      <c r="BS215" s="93"/>
      <c r="BT215" s="93"/>
      <c r="BU215" s="93"/>
      <c r="BV215" s="93"/>
      <c r="BW215" s="93"/>
      <c r="BX215" s="93"/>
      <c r="BY215" s="93"/>
      <c r="BZ215" s="93"/>
      <c r="CA215" s="93"/>
      <c r="CB215" s="93"/>
      <c r="CC215" s="93"/>
      <c r="CD215" s="93"/>
      <c r="CE215" s="93"/>
      <c r="CF215" s="93"/>
      <c r="CG215" s="93"/>
      <c r="CH215" s="93"/>
      <c r="CI215" s="93"/>
      <c r="CJ215" s="93"/>
      <c r="CK215" s="93"/>
      <c r="CL215" s="93"/>
      <c r="CM215" s="93"/>
      <c r="CN215" s="93"/>
      <c r="CO215" s="93"/>
      <c r="CP215" s="93"/>
      <c r="CQ215" s="93"/>
      <c r="CR215" s="93"/>
      <c r="CS215" s="93"/>
      <c r="CT215" s="93"/>
      <c r="CU215" s="93"/>
      <c r="CV215" s="93"/>
      <c r="CW215" s="93"/>
      <c r="CX215" s="93"/>
    </row>
    <row r="216" spans="1:102" ht="15" customHeight="1">
      <c r="A216" s="93">
        <v>479</v>
      </c>
      <c r="B216" s="93" t="str">
        <f>VLOOKUP($A216,  'Matriz POA 2024-TRABAJO'!$A$5:$CY$9142,29,FALSE)</f>
        <v>53</v>
      </c>
      <c r="C216" s="93" t="str">
        <f>VLOOKUP($A216, 'Matriz POA 2024-TRABAJO'!$A$5:$CY$9142,11,FALSE)</f>
        <v>Corporación Ciudad Alfaro</v>
      </c>
      <c r="D216" s="93" t="str">
        <f>VLOOKUP($A216, 'Matriz POA 2024-TRABAJO'!$A$5:$CY$9142,14,FALSE)</f>
        <v>N/A</v>
      </c>
      <c r="E216" s="93" t="str">
        <f>VLOOKUP($A216, 'Matriz POA 2024-TRABAJO'!$A$5:$CY$9142,15,FALSE)</f>
        <v>N/A</v>
      </c>
      <c r="F216" s="93" t="str">
        <f>VLOOKUP($A216, 'Matriz POA 2024-TRABAJO'!$A$5:$CY$9142,18,FALSE)</f>
        <v>N/A</v>
      </c>
      <c r="G216" s="93" t="str">
        <f>VLOOKUP($A216, 'Matriz POA 2024-TRABAJO'!$A$5:$CY$9142,23,FALSE)</f>
        <v>NUEVA</v>
      </c>
      <c r="H216" s="93" t="str">
        <f>VLOOKUP($A216, 'Matriz POA 2024-TRABAJO'!$A$5:$CY$9142,24,FALSE)</f>
        <v>Mantenimiento, Reparación preventivo y correctivo de los vehículos de la corporación ciudad alfaro</v>
      </c>
      <c r="I216" s="93" t="str">
        <f>VLOOKUP($A216, 'Matriz POA 2024-TRABAJO'!$A$5:$CY$9142,20,FALSE)</f>
        <v>N/A</v>
      </c>
      <c r="J216" s="93" t="str">
        <f>VLOOKUP($A216, 'Matriz POA 2024-TRABAJO'!$A$5:$CY$9142,26,FALSE)</f>
        <v>80</v>
      </c>
      <c r="K216" s="93" t="str">
        <f>VLOOKUP($A216, 'Matriz POA 2024-TRABAJO'!$A$5:$CY$9142,27,FALSE)</f>
        <v>000</v>
      </c>
      <c r="L216" s="93" t="str">
        <f>VLOOKUP($A216, 'Matriz POA 2024-TRABAJO'!$A$5:$CY$9142,28,FALSE)</f>
        <v>002</v>
      </c>
      <c r="M216" s="93">
        <f>VLOOKUP($A216, 'Matriz POA 2024-TRABAJO'!$A$5:$CY$9142,30,FALSE)</f>
        <v>530405</v>
      </c>
      <c r="N216" s="93" t="str">
        <f>VLOOKUP($A216, 'Matriz POA 2024-TRABAJO'!$A$5:$CY$9142,31,FALSE)</f>
        <v>Vehículos (Servicio para Mantenimiento y Reparación)</v>
      </c>
      <c r="O216" s="93">
        <f>VLOOKUP($A216, 'Matriz POA 2024-TRABAJO'!$A$5:$CY$9142,45,FALSE)</f>
        <v>6579.9999999999991</v>
      </c>
      <c r="P216" s="93">
        <f>VLOOKUP($A216, 'Matriz POA 2024-TRABAJO'!$A$5:$CY$9142,46,FALSE)</f>
        <v>0</v>
      </c>
      <c r="Q216" s="93">
        <f>VLOOKUP($A216, 'Matriz POA 2024-TRABAJO'!$A$5:$CY$9142,47,FALSE)</f>
        <v>6579.9999999999991</v>
      </c>
      <c r="R216" s="94">
        <f t="shared" si="199"/>
        <v>14158.92</v>
      </c>
      <c r="S216" s="95">
        <f t="shared" si="200"/>
        <v>-7578.920000000001</v>
      </c>
      <c r="T216" s="93">
        <f>VLOOKUP($A216, 'Matriz POA 2024-TRABAJO'!$A$5:$CY$9142,72,FALSE)</f>
        <v>6580</v>
      </c>
      <c r="U216" s="93" t="str">
        <f>VLOOKUP($A216, 'Matriz POA 2024-TRABAJO'!$A$5:$CY$9142,29,FALSE)</f>
        <v>53</v>
      </c>
      <c r="V216" s="93" t="str">
        <f t="shared" si="201"/>
        <v/>
      </c>
      <c r="W216" s="97" t="s">
        <v>1884</v>
      </c>
      <c r="X216" s="109">
        <v>45307</v>
      </c>
      <c r="Y216" s="99" t="s">
        <v>1885</v>
      </c>
      <c r="Z216" s="109">
        <v>45308</v>
      </c>
      <c r="AA216" s="93">
        <v>7079.46</v>
      </c>
      <c r="AB216" s="93"/>
      <c r="AC216" s="93">
        <f t="shared" si="202"/>
        <v>1</v>
      </c>
      <c r="AD216" s="93"/>
      <c r="AE216" s="97" t="s">
        <v>1960</v>
      </c>
      <c r="AF216" s="109">
        <v>45469</v>
      </c>
      <c r="AG216" s="99"/>
      <c r="AH216" s="109"/>
      <c r="AI216" s="93">
        <v>7079.46</v>
      </c>
      <c r="AJ216" s="93"/>
      <c r="AK216" s="93">
        <f t="shared" si="203"/>
        <v>-45469</v>
      </c>
      <c r="AL216" s="93"/>
      <c r="AM216" s="93"/>
      <c r="AN216" s="93"/>
      <c r="AO216" s="93"/>
      <c r="AP216" s="93"/>
      <c r="AQ216" s="93"/>
      <c r="AR216" s="93"/>
      <c r="AS216" s="93">
        <f t="shared" si="204"/>
        <v>0</v>
      </c>
      <c r="AT216" s="93"/>
      <c r="AU216" s="93"/>
      <c r="AV216" s="93"/>
      <c r="AW216" s="93"/>
      <c r="AX216" s="93"/>
      <c r="AY216" s="93"/>
      <c r="AZ216" s="93"/>
      <c r="BA216" s="93"/>
      <c r="BB216" s="93"/>
      <c r="BC216" s="93"/>
      <c r="BD216" s="93"/>
      <c r="BE216" s="93"/>
      <c r="BF216" s="93"/>
      <c r="BG216" s="93"/>
      <c r="BH216" s="93"/>
      <c r="BI216" s="93"/>
      <c r="BJ216" s="93"/>
      <c r="BK216" s="93"/>
      <c r="BL216" s="93"/>
      <c r="BM216" s="93"/>
      <c r="BN216" s="93"/>
      <c r="BO216" s="93"/>
      <c r="BP216" s="93"/>
      <c r="BQ216" s="93"/>
      <c r="BR216" s="93"/>
      <c r="BS216" s="93"/>
      <c r="BT216" s="93"/>
      <c r="BU216" s="93"/>
      <c r="BV216" s="93"/>
      <c r="BW216" s="93"/>
      <c r="BX216" s="93"/>
      <c r="BY216" s="93"/>
      <c r="BZ216" s="93"/>
      <c r="CA216" s="93"/>
      <c r="CB216" s="93"/>
      <c r="CC216" s="93"/>
      <c r="CD216" s="93"/>
      <c r="CE216" s="93"/>
      <c r="CF216" s="93"/>
      <c r="CG216" s="93"/>
      <c r="CH216" s="93"/>
      <c r="CI216" s="93"/>
      <c r="CJ216" s="93"/>
      <c r="CK216" s="93"/>
      <c r="CL216" s="93"/>
      <c r="CM216" s="93"/>
      <c r="CN216" s="93"/>
      <c r="CO216" s="93"/>
      <c r="CP216" s="93"/>
      <c r="CQ216" s="93"/>
      <c r="CR216" s="93"/>
      <c r="CS216" s="93"/>
      <c r="CT216" s="93"/>
      <c r="CU216" s="93"/>
      <c r="CV216" s="93"/>
      <c r="CW216" s="93"/>
      <c r="CX216" s="93"/>
    </row>
    <row r="217" spans="1:102" ht="15" customHeight="1">
      <c r="A217" s="93">
        <v>429</v>
      </c>
      <c r="B217" s="93" t="str">
        <f>VLOOKUP($A217,  'Matriz POA 2024-TRABAJO'!$A$5:$CY$9142,29,FALSE)</f>
        <v>53</v>
      </c>
      <c r="C217" s="93" t="str">
        <f>VLOOKUP($A217, 'Matriz POA 2024-TRABAJO'!$A$5:$CY$9142,11,FALSE)</f>
        <v>Corporación Ciudad Alfaro</v>
      </c>
      <c r="D217" s="93" t="str">
        <f>VLOOKUP($A217, 'Matriz POA 2024-TRABAJO'!$A$5:$CY$9142,14,FALSE)</f>
        <v>N/A</v>
      </c>
      <c r="E217" s="93" t="str">
        <f>VLOOKUP($A217, 'Matriz POA 2024-TRABAJO'!$A$5:$CY$9142,15,FALSE)</f>
        <v>N/A</v>
      </c>
      <c r="F217" s="93" t="str">
        <f>VLOOKUP($A217, 'Matriz POA 2024-TRABAJO'!$A$5:$CY$9142,18,FALSE)</f>
        <v>N/A</v>
      </c>
      <c r="G217" s="93" t="str">
        <f>VLOOKUP($A217, 'Matriz POA 2024-TRABAJO'!$A$5:$CY$9142,23,FALSE)</f>
        <v>NUEVA</v>
      </c>
      <c r="H217" s="93" t="str">
        <f>VLOOKUP($A217, 'Matriz POA 2024-TRABAJO'!$A$5:$CY$9142,24,FALSE)</f>
        <v>Pago del servicio de telefonía fija de la Sede Museo Portoviejo y Archivo Histórico</v>
      </c>
      <c r="I217" s="93" t="str">
        <f>VLOOKUP($A217, 'Matriz POA 2024-TRABAJO'!$A$5:$CY$9142,20,FALSE)</f>
        <v>N/A</v>
      </c>
      <c r="J217" s="93" t="str">
        <f>VLOOKUP($A217, 'Matriz POA 2024-TRABAJO'!$A$5:$CY$9142,26,FALSE)</f>
        <v>80</v>
      </c>
      <c r="K217" s="93" t="str">
        <f>VLOOKUP($A217, 'Matriz POA 2024-TRABAJO'!$A$5:$CY$9142,27,FALSE)</f>
        <v>000</v>
      </c>
      <c r="L217" s="93" t="str">
        <f>VLOOKUP($A217, 'Matriz POA 2024-TRABAJO'!$A$5:$CY$9142,28,FALSE)</f>
        <v>002</v>
      </c>
      <c r="M217" s="93">
        <f>VLOOKUP($A217, 'Matriz POA 2024-TRABAJO'!$A$5:$CY$9142,30,FALSE)</f>
        <v>530105</v>
      </c>
      <c r="N217" s="93" t="str">
        <f>VLOOKUP($A217, 'Matriz POA 2024-TRABAJO'!$A$5:$CY$9142,31,FALSE)</f>
        <v>Telecomunicaciones</v>
      </c>
      <c r="O217" s="93">
        <f>VLOOKUP($A217, 'Matriz POA 2024-TRABAJO'!$A$5:$CY$9142,45,FALSE)</f>
        <v>0</v>
      </c>
      <c r="P217" s="93">
        <f>VLOOKUP($A217, 'Matriz POA 2024-TRABAJO'!$A$5:$CY$9142,46,FALSE)</f>
        <v>0</v>
      </c>
      <c r="Q217" s="93">
        <f>VLOOKUP($A217, 'Matriz POA 2024-TRABAJO'!$A$5:$CY$9142,47,FALSE)</f>
        <v>0</v>
      </c>
      <c r="R217" s="94">
        <f t="shared" si="199"/>
        <v>0</v>
      </c>
      <c r="S217" s="95">
        <f t="shared" si="200"/>
        <v>0</v>
      </c>
      <c r="T217" s="93" t="str">
        <f>VLOOKUP($A217, 'Matriz POA 2024-TRABAJO'!$A$5:$CY$9142,72,FALSE)</f>
        <v/>
      </c>
      <c r="U217" s="93" t="str">
        <f>VLOOKUP($A217, 'Matriz POA 2024-TRABAJO'!$A$5:$CY$9142,29,FALSE)</f>
        <v>53</v>
      </c>
      <c r="V217" s="93" t="str">
        <f t="shared" si="201"/>
        <v/>
      </c>
      <c r="W217" s="96" t="s">
        <v>1886</v>
      </c>
      <c r="X217" s="96">
        <v>45308</v>
      </c>
      <c r="Y217" s="97" t="s">
        <v>1887</v>
      </c>
      <c r="Z217" s="96">
        <v>45309</v>
      </c>
      <c r="AA217" s="93">
        <v>0</v>
      </c>
      <c r="AB217" s="93"/>
      <c r="AC217" s="93">
        <f t="shared" si="202"/>
        <v>1</v>
      </c>
      <c r="AD217" s="93"/>
      <c r="AE217" s="93"/>
      <c r="AF217" s="93"/>
      <c r="AG217" s="93"/>
      <c r="AH217" s="93"/>
      <c r="AI217" s="93"/>
      <c r="AJ217" s="93"/>
      <c r="AK217" s="93">
        <f t="shared" si="203"/>
        <v>0</v>
      </c>
      <c r="AL217" s="93"/>
      <c r="AM217" s="93"/>
      <c r="AN217" s="93"/>
      <c r="AO217" s="93"/>
      <c r="AP217" s="93"/>
      <c r="AQ217" s="93"/>
      <c r="AR217" s="93"/>
      <c r="AS217" s="93">
        <f t="shared" si="204"/>
        <v>0</v>
      </c>
      <c r="AT217" s="93"/>
      <c r="AU217" s="93"/>
      <c r="AV217" s="93"/>
      <c r="AW217" s="93"/>
      <c r="AX217" s="93"/>
      <c r="AY217" s="93"/>
      <c r="AZ217" s="93"/>
      <c r="BA217" s="93"/>
      <c r="BB217" s="93"/>
      <c r="BC217" s="93"/>
      <c r="BD217" s="93"/>
      <c r="BE217" s="93"/>
      <c r="BF217" s="93"/>
      <c r="BG217" s="93"/>
      <c r="BH217" s="93"/>
      <c r="BI217" s="93"/>
      <c r="BJ217" s="93"/>
      <c r="BK217" s="93"/>
      <c r="BL217" s="93"/>
      <c r="BM217" s="93"/>
      <c r="BN217" s="93"/>
      <c r="BO217" s="93"/>
      <c r="BP217" s="93"/>
      <c r="BQ217" s="93"/>
      <c r="BR217" s="93"/>
      <c r="BS217" s="93"/>
      <c r="BT217" s="93"/>
      <c r="BU217" s="93"/>
      <c r="BV217" s="93"/>
      <c r="BW217" s="93"/>
      <c r="BX217" s="93"/>
      <c r="BY217" s="93"/>
      <c r="BZ217" s="93"/>
      <c r="CA217" s="93"/>
      <c r="CB217" s="93"/>
      <c r="CC217" s="93"/>
      <c r="CD217" s="93"/>
      <c r="CE217" s="93"/>
      <c r="CF217" s="93"/>
      <c r="CG217" s="93"/>
      <c r="CH217" s="93"/>
      <c r="CI217" s="93"/>
      <c r="CJ217" s="93"/>
      <c r="CK217" s="93"/>
      <c r="CL217" s="93"/>
      <c r="CM217" s="93"/>
      <c r="CN217" s="93"/>
      <c r="CO217" s="93"/>
      <c r="CP217" s="93"/>
      <c r="CQ217" s="93"/>
      <c r="CR217" s="93"/>
      <c r="CS217" s="93"/>
      <c r="CT217" s="93"/>
      <c r="CU217" s="93"/>
      <c r="CV217" s="93"/>
      <c r="CW217" s="93"/>
      <c r="CX217" s="93"/>
    </row>
    <row r="218" spans="1:102" ht="15" customHeight="1">
      <c r="A218" s="93">
        <v>434</v>
      </c>
      <c r="B218" s="93" t="str">
        <f>VLOOKUP($A218,  'Matriz POA 2024-TRABAJO'!$A$5:$CY$9142,29,FALSE)</f>
        <v>53</v>
      </c>
      <c r="C218" s="93" t="str">
        <f>VLOOKUP($A218, 'Matriz POA 2024-TRABAJO'!$A$5:$CY$9142,11,FALSE)</f>
        <v>Corporación Ciudad Alfaro</v>
      </c>
      <c r="D218" s="93" t="str">
        <f>VLOOKUP($A218, 'Matriz POA 2024-TRABAJO'!$A$5:$CY$9142,14,FALSE)</f>
        <v>N/A</v>
      </c>
      <c r="E218" s="93" t="str">
        <f>VLOOKUP($A218, 'Matriz POA 2024-TRABAJO'!$A$5:$CY$9142,15,FALSE)</f>
        <v>N/A</v>
      </c>
      <c r="F218" s="93" t="str">
        <f>VLOOKUP($A218, 'Matriz POA 2024-TRABAJO'!$A$5:$CY$9142,18,FALSE)</f>
        <v>N/A</v>
      </c>
      <c r="G218" s="93" t="str">
        <f>VLOOKUP($A218, 'Matriz POA 2024-TRABAJO'!$A$5:$CY$9142,23,FALSE)</f>
        <v>ARRASTRE</v>
      </c>
      <c r="H218" s="93" t="str">
        <f>VLOOKUP($A218, 'Matriz POA 2024-TRABAJO'!$A$5:$CY$9142,24,FALSE)</f>
        <v>Pago de expensas comunales del mes de Diciembre del 2023 de las instalaciones del Museo Portoviejo y Archivo Histórico</v>
      </c>
      <c r="I218" s="93" t="str">
        <f>VLOOKUP($A218, 'Matriz POA 2024-TRABAJO'!$A$5:$CY$9142,20,FALSE)</f>
        <v>N/A</v>
      </c>
      <c r="J218" s="93" t="str">
        <f>VLOOKUP($A218, 'Matriz POA 2024-TRABAJO'!$A$5:$CY$9142,26,FALSE)</f>
        <v>80</v>
      </c>
      <c r="K218" s="93" t="str">
        <f>VLOOKUP($A218, 'Matriz POA 2024-TRABAJO'!$A$5:$CY$9142,27,FALSE)</f>
        <v>000</v>
      </c>
      <c r="L218" s="93" t="str">
        <f>VLOOKUP($A218, 'Matriz POA 2024-TRABAJO'!$A$5:$CY$9142,28,FALSE)</f>
        <v>002</v>
      </c>
      <c r="M218" s="93">
        <f>VLOOKUP($A218, 'Matriz POA 2024-TRABAJO'!$A$5:$CY$9142,30,FALSE)</f>
        <v>530402</v>
      </c>
      <c r="N218" s="93" t="str">
        <f>VLOOKUP($A218, 'Matriz POA 2024-TRABAJO'!$A$5:$CY$9142,31,FALSE)</f>
        <v>Edificios, Locales, Residencias y Cableado Estructurado (Instalación, Mantenimiento y Reparación)</v>
      </c>
      <c r="O218" s="93">
        <f>VLOOKUP($A218, 'Matriz POA 2024-TRABAJO'!$A$5:$CY$9142,45,FALSE)</f>
        <v>6624</v>
      </c>
      <c r="P218" s="93">
        <f>VLOOKUP($A218, 'Matriz POA 2024-TRABAJO'!$A$5:$CY$9142,46,FALSE)</f>
        <v>0</v>
      </c>
      <c r="Q218" s="93">
        <f>VLOOKUP($A218, 'Matriz POA 2024-TRABAJO'!$A$5:$CY$9142,47,FALSE)</f>
        <v>6624</v>
      </c>
      <c r="R218" s="94">
        <f t="shared" si="199"/>
        <v>6624</v>
      </c>
      <c r="S218" s="95">
        <f t="shared" si="200"/>
        <v>0</v>
      </c>
      <c r="T218" s="93">
        <f>VLOOKUP($A218, 'Matriz POA 2024-TRABAJO'!$A$5:$CY$9142,72,FALSE)</f>
        <v>6624</v>
      </c>
      <c r="U218" s="93" t="str">
        <f>VLOOKUP($A218, 'Matriz POA 2024-TRABAJO'!$A$5:$CY$9142,29,FALSE)</f>
        <v>53</v>
      </c>
      <c r="V218" s="93" t="str">
        <f t="shared" si="201"/>
        <v/>
      </c>
      <c r="W218" s="96" t="s">
        <v>1886</v>
      </c>
      <c r="X218" s="96">
        <v>45308</v>
      </c>
      <c r="Y218" s="97" t="s">
        <v>1887</v>
      </c>
      <c r="Z218" s="96">
        <v>45309</v>
      </c>
      <c r="AA218" s="93">
        <v>6624</v>
      </c>
      <c r="AB218" s="93"/>
      <c r="AC218" s="93">
        <f t="shared" si="202"/>
        <v>1</v>
      </c>
      <c r="AD218" s="93"/>
      <c r="AE218" s="93"/>
      <c r="AF218" s="93"/>
      <c r="AG218" s="93"/>
      <c r="AH218" s="93"/>
      <c r="AI218" s="93"/>
      <c r="AJ218" s="93"/>
      <c r="AK218" s="93">
        <f t="shared" si="203"/>
        <v>0</v>
      </c>
      <c r="AL218" s="93"/>
      <c r="AM218" s="93"/>
      <c r="AN218" s="93"/>
      <c r="AO218" s="93"/>
      <c r="AP218" s="93"/>
      <c r="AQ218" s="93"/>
      <c r="AR218" s="93"/>
      <c r="AS218" s="93">
        <f t="shared" si="204"/>
        <v>0</v>
      </c>
      <c r="AT218" s="93"/>
      <c r="AU218" s="93"/>
      <c r="AV218" s="93"/>
      <c r="AW218" s="93"/>
      <c r="AX218" s="93"/>
      <c r="AY218" s="93"/>
      <c r="AZ218" s="93"/>
      <c r="BA218" s="93"/>
      <c r="BB218" s="93"/>
      <c r="BC218" s="93"/>
      <c r="BD218" s="93"/>
      <c r="BE218" s="93"/>
      <c r="BF218" s="93"/>
      <c r="BG218" s="93"/>
      <c r="BH218" s="93"/>
      <c r="BI218" s="93"/>
      <c r="BJ218" s="93"/>
      <c r="BK218" s="93"/>
      <c r="BL218" s="93"/>
      <c r="BM218" s="93"/>
      <c r="BN218" s="93"/>
      <c r="BO218" s="93"/>
      <c r="BP218" s="93"/>
      <c r="BQ218" s="93"/>
      <c r="BR218" s="93"/>
      <c r="BS218" s="93"/>
      <c r="BT218" s="93"/>
      <c r="BU218" s="93"/>
      <c r="BV218" s="93"/>
      <c r="BW218" s="93"/>
      <c r="BX218" s="93"/>
      <c r="BY218" s="93"/>
      <c r="BZ218" s="93"/>
      <c r="CA218" s="93"/>
      <c r="CB218" s="93"/>
      <c r="CC218" s="93"/>
      <c r="CD218" s="93"/>
      <c r="CE218" s="93"/>
      <c r="CF218" s="93"/>
      <c r="CG218" s="93"/>
      <c r="CH218" s="93"/>
      <c r="CI218" s="93"/>
      <c r="CJ218" s="93"/>
      <c r="CK218" s="93"/>
      <c r="CL218" s="93"/>
      <c r="CM218" s="93"/>
      <c r="CN218" s="93"/>
      <c r="CO218" s="93"/>
      <c r="CP218" s="93"/>
      <c r="CQ218" s="93"/>
      <c r="CR218" s="93"/>
      <c r="CS218" s="93"/>
      <c r="CT218" s="93"/>
      <c r="CU218" s="93"/>
      <c r="CV218" s="93"/>
      <c r="CW218" s="93"/>
      <c r="CX218" s="93"/>
    </row>
    <row r="219" spans="1:102" ht="15" customHeight="1">
      <c r="A219" s="93">
        <v>446</v>
      </c>
      <c r="B219" s="93" t="str">
        <f>VLOOKUP($A219,  'Matriz POA 2024-TRABAJO'!$A$5:$CY$9142,29,FALSE)</f>
        <v>53</v>
      </c>
      <c r="C219" s="93" t="str">
        <f>VLOOKUP($A219, 'Matriz POA 2024-TRABAJO'!$A$5:$CY$9142,11,FALSE)</f>
        <v>Corporación Ciudad Alfaro</v>
      </c>
      <c r="D219" s="93" t="str">
        <f>VLOOKUP($A219, 'Matriz POA 2024-TRABAJO'!$A$5:$CY$9142,14,FALSE)</f>
        <v>N/A</v>
      </c>
      <c r="E219" s="93" t="str">
        <f>VLOOKUP($A219, 'Matriz POA 2024-TRABAJO'!$A$5:$CY$9142,15,FALSE)</f>
        <v>N/A</v>
      </c>
      <c r="F219" s="93" t="str">
        <f>VLOOKUP($A219, 'Matriz POA 2024-TRABAJO'!$A$5:$CY$9142,18,FALSE)</f>
        <v>N/A</v>
      </c>
      <c r="G219" s="93" t="str">
        <f>VLOOKUP($A219, 'Matriz POA 2024-TRABAJO'!$A$5:$CY$9142,23,FALSE)</f>
        <v>NUEVA</v>
      </c>
      <c r="H219" s="93" t="str">
        <f>VLOOKUP($A219, 'Matriz POA 2024-TRABAJO'!$A$5:$CY$9142,24,FALSE)</f>
        <v>Pago del servicio de energía eléctrica del Museo Portoviejo y Archivo Histórico</v>
      </c>
      <c r="I219" s="93" t="str">
        <f>VLOOKUP($A219, 'Matriz POA 2024-TRABAJO'!$A$5:$CY$9142,20,FALSE)</f>
        <v>N/A</v>
      </c>
      <c r="J219" s="93" t="str">
        <f>VLOOKUP($A219, 'Matriz POA 2024-TRABAJO'!$A$5:$CY$9142,26,FALSE)</f>
        <v>80</v>
      </c>
      <c r="K219" s="93" t="str">
        <f>VLOOKUP($A219, 'Matriz POA 2024-TRABAJO'!$A$5:$CY$9142,27,FALSE)</f>
        <v>000</v>
      </c>
      <c r="L219" s="93" t="str">
        <f>VLOOKUP($A219, 'Matriz POA 2024-TRABAJO'!$A$5:$CY$9142,28,FALSE)</f>
        <v>002</v>
      </c>
      <c r="M219" s="93">
        <f>VLOOKUP($A219, 'Matriz POA 2024-TRABAJO'!$A$5:$CY$9142,30,FALSE)</f>
        <v>530104</v>
      </c>
      <c r="N219" s="93" t="str">
        <f>VLOOKUP($A219, 'Matriz POA 2024-TRABAJO'!$A$5:$CY$9142,31,FALSE)</f>
        <v>Energía Eléctrica</v>
      </c>
      <c r="O219" s="93">
        <f>VLOOKUP($A219, 'Matriz POA 2024-TRABAJO'!$A$5:$CY$9142,45,FALSE)</f>
        <v>9827.8799999999992</v>
      </c>
      <c r="P219" s="93">
        <f>VLOOKUP($A219, 'Matriz POA 2024-TRABAJO'!$A$5:$CY$9142,46,FALSE)</f>
        <v>0</v>
      </c>
      <c r="Q219" s="93">
        <f>VLOOKUP($A219, 'Matriz POA 2024-TRABAJO'!$A$5:$CY$9142,47,FALSE)</f>
        <v>9827.8799999999992</v>
      </c>
      <c r="R219" s="94">
        <f t="shared" si="199"/>
        <v>8800</v>
      </c>
      <c r="S219" s="95">
        <f t="shared" si="200"/>
        <v>1027.8799999999992</v>
      </c>
      <c r="T219" s="93">
        <f>VLOOKUP($A219, 'Matriz POA 2024-TRABAJO'!$A$5:$CY$9142,72,FALSE)</f>
        <v>8551.68</v>
      </c>
      <c r="U219" s="93" t="str">
        <f>VLOOKUP($A219, 'Matriz POA 2024-TRABAJO'!$A$5:$CY$9142,29,FALSE)</f>
        <v>53</v>
      </c>
      <c r="V219" s="93" t="str">
        <f t="shared" si="201"/>
        <v/>
      </c>
      <c r="W219" s="96" t="s">
        <v>1886</v>
      </c>
      <c r="X219" s="96">
        <v>45308</v>
      </c>
      <c r="Y219" s="97" t="s">
        <v>1887</v>
      </c>
      <c r="Z219" s="96">
        <v>45309</v>
      </c>
      <c r="AA219" s="93">
        <v>8800</v>
      </c>
      <c r="AB219" s="93"/>
      <c r="AC219" s="93">
        <f t="shared" si="202"/>
        <v>1</v>
      </c>
      <c r="AD219" s="93"/>
      <c r="AE219" s="93"/>
      <c r="AF219" s="93"/>
      <c r="AG219" s="93"/>
      <c r="AH219" s="93"/>
      <c r="AI219" s="93"/>
      <c r="AJ219" s="93"/>
      <c r="AK219" s="93">
        <f t="shared" si="203"/>
        <v>0</v>
      </c>
      <c r="AL219" s="93"/>
      <c r="AM219" s="93"/>
      <c r="AN219" s="93"/>
      <c r="AO219" s="93"/>
      <c r="AP219" s="93"/>
      <c r="AQ219" s="93"/>
      <c r="AR219" s="93"/>
      <c r="AS219" s="93">
        <f t="shared" si="204"/>
        <v>0</v>
      </c>
      <c r="AT219" s="93"/>
      <c r="AU219" s="93"/>
      <c r="AV219" s="93"/>
      <c r="AW219" s="93"/>
      <c r="AX219" s="93"/>
      <c r="AY219" s="93"/>
      <c r="AZ219" s="93"/>
      <c r="BA219" s="93"/>
      <c r="BB219" s="93"/>
      <c r="BC219" s="93"/>
      <c r="BD219" s="93"/>
      <c r="BE219" s="93"/>
      <c r="BF219" s="93"/>
      <c r="BG219" s="93"/>
      <c r="BH219" s="93"/>
      <c r="BI219" s="93"/>
      <c r="BJ219" s="93"/>
      <c r="BK219" s="93"/>
      <c r="BL219" s="93"/>
      <c r="BM219" s="93"/>
      <c r="BN219" s="93"/>
      <c r="BO219" s="93"/>
      <c r="BP219" s="93"/>
      <c r="BQ219" s="93"/>
      <c r="BR219" s="93"/>
      <c r="BS219" s="93"/>
      <c r="BT219" s="93"/>
      <c r="BU219" s="93"/>
      <c r="BV219" s="93"/>
      <c r="BW219" s="93"/>
      <c r="BX219" s="93"/>
      <c r="BY219" s="93"/>
      <c r="BZ219" s="93"/>
      <c r="CA219" s="93"/>
      <c r="CB219" s="93"/>
      <c r="CC219" s="93"/>
      <c r="CD219" s="93"/>
      <c r="CE219" s="93"/>
      <c r="CF219" s="93"/>
      <c r="CG219" s="93"/>
      <c r="CH219" s="93"/>
      <c r="CI219" s="93"/>
      <c r="CJ219" s="93"/>
      <c r="CK219" s="93"/>
      <c r="CL219" s="93"/>
      <c r="CM219" s="93"/>
      <c r="CN219" s="93"/>
      <c r="CO219" s="93"/>
      <c r="CP219" s="93"/>
      <c r="CQ219" s="93"/>
      <c r="CR219" s="93"/>
      <c r="CS219" s="93"/>
      <c r="CT219" s="93"/>
      <c r="CU219" s="93"/>
      <c r="CV219" s="93"/>
      <c r="CW219" s="93"/>
      <c r="CX219" s="93"/>
    </row>
    <row r="220" spans="1:102" ht="15" customHeight="1">
      <c r="A220" s="93">
        <v>447</v>
      </c>
      <c r="B220" s="93" t="str">
        <f>VLOOKUP($A220,  'Matriz POA 2024-TRABAJO'!$A$5:$CY$9142,29,FALSE)</f>
        <v>53</v>
      </c>
      <c r="C220" s="93" t="str">
        <f>VLOOKUP($A220, 'Matriz POA 2024-TRABAJO'!$A$5:$CY$9142,11,FALSE)</f>
        <v>Corporación Ciudad Alfaro</v>
      </c>
      <c r="D220" s="93" t="str">
        <f>VLOOKUP($A220, 'Matriz POA 2024-TRABAJO'!$A$5:$CY$9142,14,FALSE)</f>
        <v>N/A</v>
      </c>
      <c r="E220" s="93" t="str">
        <f>VLOOKUP($A220, 'Matriz POA 2024-TRABAJO'!$A$5:$CY$9142,15,FALSE)</f>
        <v>N/A</v>
      </c>
      <c r="F220" s="93" t="str">
        <f>VLOOKUP($A220, 'Matriz POA 2024-TRABAJO'!$A$5:$CY$9142,18,FALSE)</f>
        <v>N/A</v>
      </c>
      <c r="G220" s="93" t="str">
        <f>VLOOKUP($A220, 'Matriz POA 2024-TRABAJO'!$A$5:$CY$9142,23,FALSE)</f>
        <v>ARRASTRE</v>
      </c>
      <c r="H220" s="93" t="str">
        <f>VLOOKUP($A220, 'Matriz POA 2024-TRABAJO'!$A$5:$CY$9142,24,FALSE)</f>
        <v>Pago del servicio de energía eléctrica de los meses de Noviembre y Diciembre del 2023 del Museo Portoviejo y Archivo Histórico</v>
      </c>
      <c r="I220" s="93" t="str">
        <f>VLOOKUP($A220, 'Matriz POA 2024-TRABAJO'!$A$5:$CY$9142,20,FALSE)</f>
        <v>N/A</v>
      </c>
      <c r="J220" s="93" t="str">
        <f>VLOOKUP($A220, 'Matriz POA 2024-TRABAJO'!$A$5:$CY$9142,26,FALSE)</f>
        <v>80</v>
      </c>
      <c r="K220" s="93" t="str">
        <f>VLOOKUP($A220, 'Matriz POA 2024-TRABAJO'!$A$5:$CY$9142,27,FALSE)</f>
        <v>000</v>
      </c>
      <c r="L220" s="93" t="str">
        <f>VLOOKUP($A220, 'Matriz POA 2024-TRABAJO'!$A$5:$CY$9142,28,FALSE)</f>
        <v>002</v>
      </c>
      <c r="M220" s="93">
        <f>VLOOKUP($A220, 'Matriz POA 2024-TRABAJO'!$A$5:$CY$9142,30,FALSE)</f>
        <v>530104</v>
      </c>
      <c r="N220" s="93" t="str">
        <f>VLOOKUP($A220, 'Matriz POA 2024-TRABAJO'!$A$5:$CY$9142,31,FALSE)</f>
        <v>Energía Eléctrica</v>
      </c>
      <c r="O220" s="93">
        <f>VLOOKUP($A220, 'Matriz POA 2024-TRABAJO'!$A$5:$CY$9142,45,FALSE)</f>
        <v>1579.49</v>
      </c>
      <c r="P220" s="93">
        <f>VLOOKUP($A220, 'Matriz POA 2024-TRABAJO'!$A$5:$CY$9142,46,FALSE)</f>
        <v>0</v>
      </c>
      <c r="Q220" s="93">
        <f>VLOOKUP($A220, 'Matriz POA 2024-TRABAJO'!$A$5:$CY$9142,47,FALSE)</f>
        <v>1579.49</v>
      </c>
      <c r="R220" s="94">
        <f t="shared" si="199"/>
        <v>1579.49</v>
      </c>
      <c r="S220" s="95">
        <f t="shared" si="200"/>
        <v>0</v>
      </c>
      <c r="T220" s="93">
        <f>VLOOKUP($A220, 'Matriz POA 2024-TRABAJO'!$A$5:$CY$9142,72,FALSE)</f>
        <v>1579.49</v>
      </c>
      <c r="U220" s="93" t="str">
        <f>VLOOKUP($A220, 'Matriz POA 2024-TRABAJO'!$A$5:$CY$9142,29,FALSE)</f>
        <v>53</v>
      </c>
      <c r="V220" s="93" t="str">
        <f t="shared" si="201"/>
        <v/>
      </c>
      <c r="W220" s="96" t="s">
        <v>1886</v>
      </c>
      <c r="X220" s="96">
        <v>45308</v>
      </c>
      <c r="Y220" s="97" t="s">
        <v>1887</v>
      </c>
      <c r="Z220" s="96">
        <v>45309</v>
      </c>
      <c r="AA220" s="93">
        <v>1579.49</v>
      </c>
      <c r="AB220" s="93"/>
      <c r="AC220" s="93">
        <f t="shared" si="202"/>
        <v>1</v>
      </c>
      <c r="AD220" s="93"/>
      <c r="AE220" s="93"/>
      <c r="AF220" s="93"/>
      <c r="AG220" s="93"/>
      <c r="AH220" s="93"/>
      <c r="AI220" s="93"/>
      <c r="AJ220" s="93"/>
      <c r="AK220" s="93">
        <f t="shared" si="203"/>
        <v>0</v>
      </c>
      <c r="AL220" s="93"/>
      <c r="AM220" s="93"/>
      <c r="AN220" s="93"/>
      <c r="AO220" s="93"/>
      <c r="AP220" s="93"/>
      <c r="AQ220" s="93"/>
      <c r="AR220" s="93"/>
      <c r="AS220" s="93">
        <f t="shared" si="204"/>
        <v>0</v>
      </c>
      <c r="AT220" s="93"/>
      <c r="AU220" s="93"/>
      <c r="AV220" s="93"/>
      <c r="AW220" s="93"/>
      <c r="AX220" s="93"/>
      <c r="AY220" s="93"/>
      <c r="AZ220" s="93"/>
      <c r="BA220" s="93"/>
      <c r="BB220" s="93"/>
      <c r="BC220" s="93"/>
      <c r="BD220" s="93"/>
      <c r="BE220" s="93"/>
      <c r="BF220" s="93"/>
      <c r="BG220" s="93"/>
      <c r="BH220" s="93"/>
      <c r="BI220" s="93"/>
      <c r="BJ220" s="93"/>
      <c r="BK220" s="93"/>
      <c r="BL220" s="93"/>
      <c r="BM220" s="93"/>
      <c r="BN220" s="93"/>
      <c r="BO220" s="93"/>
      <c r="BP220" s="93"/>
      <c r="BQ220" s="93"/>
      <c r="BR220" s="93"/>
      <c r="BS220" s="93"/>
      <c r="BT220" s="93"/>
      <c r="BU220" s="93"/>
      <c r="BV220" s="93"/>
      <c r="BW220" s="93"/>
      <c r="BX220" s="93"/>
      <c r="BY220" s="93"/>
      <c r="BZ220" s="93"/>
      <c r="CA220" s="93"/>
      <c r="CB220" s="93"/>
      <c r="CC220" s="93"/>
      <c r="CD220" s="93"/>
      <c r="CE220" s="93"/>
      <c r="CF220" s="93"/>
      <c r="CG220" s="93"/>
      <c r="CH220" s="93"/>
      <c r="CI220" s="93"/>
      <c r="CJ220" s="93"/>
      <c r="CK220" s="93"/>
      <c r="CL220" s="93"/>
      <c r="CM220" s="93"/>
      <c r="CN220" s="93"/>
      <c r="CO220" s="93"/>
      <c r="CP220" s="93"/>
      <c r="CQ220" s="93"/>
      <c r="CR220" s="93"/>
      <c r="CS220" s="93"/>
      <c r="CT220" s="93"/>
      <c r="CU220" s="93"/>
      <c r="CV220" s="93"/>
      <c r="CW220" s="93"/>
      <c r="CX220" s="93"/>
    </row>
    <row r="221" spans="1:102" ht="15" customHeight="1">
      <c r="A221" s="93">
        <v>465</v>
      </c>
      <c r="B221" s="93" t="str">
        <f>VLOOKUP($A221,  'Matriz POA 2024-TRABAJO'!$A$5:$CY$9142,29,FALSE)</f>
        <v>57</v>
      </c>
      <c r="C221" s="93" t="str">
        <f>VLOOKUP($A221, 'Matriz POA 2024-TRABAJO'!$A$5:$CY$9142,11,FALSE)</f>
        <v>Corporación Ciudad Alfaro</v>
      </c>
      <c r="D221" s="93" t="str">
        <f>VLOOKUP($A221, 'Matriz POA 2024-TRABAJO'!$A$5:$CY$9142,14,FALSE)</f>
        <v>N/A</v>
      </c>
      <c r="E221" s="93" t="str">
        <f>VLOOKUP($A221, 'Matriz POA 2024-TRABAJO'!$A$5:$CY$9142,15,FALSE)</f>
        <v>N/A</v>
      </c>
      <c r="F221" s="93" t="str">
        <f>VLOOKUP($A221, 'Matriz POA 2024-TRABAJO'!$A$5:$CY$9142,18,FALSE)</f>
        <v>N/A</v>
      </c>
      <c r="G221" s="93" t="str">
        <f>VLOOKUP($A221, 'Matriz POA 2024-TRABAJO'!$A$5:$CY$9142,23,FALSE)</f>
        <v>NUEVA</v>
      </c>
      <c r="H221" s="93" t="str">
        <f>VLOOKUP($A221, 'Matriz POA 2024-TRABAJO'!$A$5:$CY$9142,24,FALSE)</f>
        <v>Pago de tasas y contribuciones a los predios urbanos y cuerpo de bomberos del Museo Portoviejo y Archivo Histórico</v>
      </c>
      <c r="I221" s="93" t="str">
        <f>VLOOKUP($A221, 'Matriz POA 2024-TRABAJO'!$A$5:$CY$9142,20,FALSE)</f>
        <v>N/A</v>
      </c>
      <c r="J221" s="93" t="str">
        <f>VLOOKUP($A221, 'Matriz POA 2024-TRABAJO'!$A$5:$CY$9142,26,FALSE)</f>
        <v>80</v>
      </c>
      <c r="K221" s="93" t="str">
        <f>VLOOKUP($A221, 'Matriz POA 2024-TRABAJO'!$A$5:$CY$9142,27,FALSE)</f>
        <v>000</v>
      </c>
      <c r="L221" s="93" t="str">
        <f>VLOOKUP($A221, 'Matriz POA 2024-TRABAJO'!$A$5:$CY$9142,28,FALSE)</f>
        <v>002</v>
      </c>
      <c r="M221" s="93">
        <f>VLOOKUP($A221, 'Matriz POA 2024-TRABAJO'!$A$5:$CY$9142,30,FALSE)</f>
        <v>570102</v>
      </c>
      <c r="N221" s="93" t="str">
        <f>VLOOKUP($A221, 'Matriz POA 2024-TRABAJO'!$A$5:$CY$9142,31,FALSE)</f>
        <v>Tasas Generales, Impuestos, Contribuciones, Permisos, Licencias y Patentes.</v>
      </c>
      <c r="O221" s="93">
        <f>VLOOKUP($A221, 'Matriz POA 2024-TRABAJO'!$A$5:$CY$9142,45,FALSE)</f>
        <v>1407.92</v>
      </c>
      <c r="P221" s="93">
        <f>VLOOKUP($A221, 'Matriz POA 2024-TRABAJO'!$A$5:$CY$9142,46,FALSE)</f>
        <v>0</v>
      </c>
      <c r="Q221" s="93">
        <f>VLOOKUP($A221, 'Matriz POA 2024-TRABAJO'!$A$5:$CY$9142,47,FALSE)</f>
        <v>1407.92</v>
      </c>
      <c r="R221" s="94">
        <f t="shared" si="199"/>
        <v>1407.92</v>
      </c>
      <c r="S221" s="95">
        <f t="shared" si="200"/>
        <v>0</v>
      </c>
      <c r="T221" s="93">
        <f>VLOOKUP($A221, 'Matriz POA 2024-TRABAJO'!$A$5:$CY$9142,72,FALSE)</f>
        <v>1407.92</v>
      </c>
      <c r="U221" s="93" t="str">
        <f>VLOOKUP($A221, 'Matriz POA 2024-TRABAJO'!$A$5:$CY$9142,29,FALSE)</f>
        <v>57</v>
      </c>
      <c r="V221" s="93" t="str">
        <f t="shared" si="201"/>
        <v/>
      </c>
      <c r="W221" s="96" t="s">
        <v>1886</v>
      </c>
      <c r="X221" s="96">
        <v>45308</v>
      </c>
      <c r="Y221" s="97" t="s">
        <v>1887</v>
      </c>
      <c r="Z221" s="96">
        <v>45309</v>
      </c>
      <c r="AA221" s="93">
        <v>1407.92</v>
      </c>
      <c r="AB221" s="93"/>
      <c r="AC221" s="93">
        <f t="shared" si="202"/>
        <v>1</v>
      </c>
      <c r="AD221" s="93"/>
      <c r="AE221" s="93"/>
      <c r="AF221" s="93"/>
      <c r="AG221" s="93"/>
      <c r="AH221" s="93"/>
      <c r="AI221" s="93"/>
      <c r="AJ221" s="93"/>
      <c r="AK221" s="93">
        <f t="shared" si="203"/>
        <v>0</v>
      </c>
      <c r="AL221" s="93"/>
      <c r="AM221" s="93"/>
      <c r="AN221" s="93"/>
      <c r="AO221" s="93"/>
      <c r="AP221" s="93"/>
      <c r="AQ221" s="93"/>
      <c r="AR221" s="93"/>
      <c r="AS221" s="93">
        <f t="shared" si="204"/>
        <v>0</v>
      </c>
      <c r="AT221" s="93"/>
      <c r="AU221" s="93"/>
      <c r="AV221" s="93"/>
      <c r="AW221" s="93"/>
      <c r="AX221" s="93"/>
      <c r="AY221" s="93"/>
      <c r="AZ221" s="93"/>
      <c r="BA221" s="93"/>
      <c r="BB221" s="93"/>
      <c r="BC221" s="93"/>
      <c r="BD221" s="93"/>
      <c r="BE221" s="93"/>
      <c r="BF221" s="93"/>
      <c r="BG221" s="93"/>
      <c r="BH221" s="93"/>
      <c r="BI221" s="93"/>
      <c r="BJ221" s="93"/>
      <c r="BK221" s="93"/>
      <c r="BL221" s="93"/>
      <c r="BM221" s="93"/>
      <c r="BN221" s="93"/>
      <c r="BO221" s="93"/>
      <c r="BP221" s="93"/>
      <c r="BQ221" s="93"/>
      <c r="BR221" s="93"/>
      <c r="BS221" s="93"/>
      <c r="BT221" s="93"/>
      <c r="BU221" s="93"/>
      <c r="BV221" s="93"/>
      <c r="BW221" s="93"/>
      <c r="BX221" s="93"/>
      <c r="BY221" s="93"/>
      <c r="BZ221" s="93"/>
      <c r="CA221" s="93"/>
      <c r="CB221" s="93"/>
      <c r="CC221" s="93"/>
      <c r="CD221" s="93"/>
      <c r="CE221" s="93"/>
      <c r="CF221" s="93"/>
      <c r="CG221" s="93"/>
      <c r="CH221" s="93"/>
      <c r="CI221" s="93"/>
      <c r="CJ221" s="93"/>
      <c r="CK221" s="93"/>
      <c r="CL221" s="93"/>
      <c r="CM221" s="93"/>
      <c r="CN221" s="93"/>
      <c r="CO221" s="93"/>
      <c r="CP221" s="93"/>
      <c r="CQ221" s="93"/>
      <c r="CR221" s="93"/>
      <c r="CS221" s="93"/>
      <c r="CT221" s="93"/>
      <c r="CU221" s="93"/>
      <c r="CV221" s="93"/>
      <c r="CW221" s="93"/>
      <c r="CX221" s="93"/>
    </row>
    <row r="222" spans="1:102" ht="15" customHeight="1">
      <c r="A222" s="93">
        <v>430</v>
      </c>
      <c r="B222" s="93" t="str">
        <f>VLOOKUP($A222,  'Matriz POA 2024-TRABAJO'!$A$5:$CY$9142,29,FALSE)</f>
        <v>53</v>
      </c>
      <c r="C222" s="93" t="str">
        <f>VLOOKUP($A222, 'Matriz POA 2024-TRABAJO'!$A$5:$CY$9142,11,FALSE)</f>
        <v>Corporación Ciudad Alfaro</v>
      </c>
      <c r="D222" s="93" t="str">
        <f>VLOOKUP($A222, 'Matriz POA 2024-TRABAJO'!$A$5:$CY$9142,14,FALSE)</f>
        <v>N/A</v>
      </c>
      <c r="E222" s="93" t="str">
        <f>VLOOKUP($A222, 'Matriz POA 2024-TRABAJO'!$A$5:$CY$9142,15,FALSE)</f>
        <v>N/A</v>
      </c>
      <c r="F222" s="93" t="str">
        <f>VLOOKUP($A222, 'Matriz POA 2024-TRABAJO'!$A$5:$CY$9142,18,FALSE)</f>
        <v>N/A</v>
      </c>
      <c r="G222" s="93" t="str">
        <f>VLOOKUP($A222, 'Matriz POA 2024-TRABAJO'!$A$5:$CY$9142,23,FALSE)</f>
        <v>NUEVA</v>
      </c>
      <c r="H222" s="93" t="str">
        <f>VLOOKUP($A222, 'Matriz POA 2024-TRABAJO'!$A$5:$CY$9142,24,FALSE)</f>
        <v>Pago del servicio de telefonía fija  de las Sedes Museo y Centro Cultural de Manta, Museo Portoviejo y Archivo Histórico, y Museo Bahía de Caráquez de los años 2022 y 2023 cuya razón social se encuentra a nombre del Ministerio de Cultura y Patrimonio</v>
      </c>
      <c r="I222" s="93" t="str">
        <f>VLOOKUP($A222, 'Matriz POA 2024-TRABAJO'!$A$5:$CY$9142,20,FALSE)</f>
        <v>N/A</v>
      </c>
      <c r="J222" s="93" t="str">
        <f>VLOOKUP($A222, 'Matriz POA 2024-TRABAJO'!$A$5:$CY$9142,26,FALSE)</f>
        <v>80</v>
      </c>
      <c r="K222" s="93" t="str">
        <f>VLOOKUP($A222, 'Matriz POA 2024-TRABAJO'!$A$5:$CY$9142,27,FALSE)</f>
        <v>000</v>
      </c>
      <c r="L222" s="93" t="str">
        <f>VLOOKUP($A222, 'Matriz POA 2024-TRABAJO'!$A$5:$CY$9142,28,FALSE)</f>
        <v>002</v>
      </c>
      <c r="M222" s="93">
        <f>VLOOKUP($A222, 'Matriz POA 2024-TRABAJO'!$A$5:$CY$9142,30,FALSE)</f>
        <v>530105</v>
      </c>
      <c r="N222" s="93" t="str">
        <f>VLOOKUP($A222, 'Matriz POA 2024-TRABAJO'!$A$5:$CY$9142,31,FALSE)</f>
        <v>Telecomunicaciones</v>
      </c>
      <c r="O222" s="93">
        <f>VLOOKUP($A222, 'Matriz POA 2024-TRABAJO'!$A$5:$CY$9142,45,FALSE)</f>
        <v>0</v>
      </c>
      <c r="P222" s="93">
        <f>VLOOKUP($A222, 'Matriz POA 2024-TRABAJO'!$A$5:$CY$9142,46,FALSE)</f>
        <v>0</v>
      </c>
      <c r="Q222" s="93">
        <f>VLOOKUP($A222, 'Matriz POA 2024-TRABAJO'!$A$5:$CY$9142,47,FALSE)</f>
        <v>0</v>
      </c>
      <c r="R222" s="94">
        <f t="shared" si="199"/>
        <v>0</v>
      </c>
      <c r="S222" s="95">
        <f t="shared" si="200"/>
        <v>0</v>
      </c>
      <c r="T222" s="93" t="str">
        <f>VLOOKUP($A222, 'Matriz POA 2024-TRABAJO'!$A$5:$CY$9142,72,FALSE)</f>
        <v/>
      </c>
      <c r="U222" s="93" t="str">
        <f>VLOOKUP($A222, 'Matriz POA 2024-TRABAJO'!$A$5:$CY$9142,29,FALSE)</f>
        <v>53</v>
      </c>
      <c r="V222" s="93" t="str">
        <f t="shared" si="201"/>
        <v/>
      </c>
      <c r="W222" s="96" t="s">
        <v>1888</v>
      </c>
      <c r="X222" s="96">
        <v>45309</v>
      </c>
      <c r="Y222" s="97" t="s">
        <v>1889</v>
      </c>
      <c r="Z222" s="96">
        <v>45309</v>
      </c>
      <c r="AA222" s="93">
        <v>0</v>
      </c>
      <c r="AB222" s="93"/>
      <c r="AC222" s="93">
        <f t="shared" si="202"/>
        <v>0</v>
      </c>
      <c r="AD222" s="93"/>
      <c r="AE222" s="93"/>
      <c r="AF222" s="93"/>
      <c r="AG222" s="93"/>
      <c r="AH222" s="93"/>
      <c r="AI222" s="93"/>
      <c r="AJ222" s="93"/>
      <c r="AK222" s="93">
        <f t="shared" si="203"/>
        <v>0</v>
      </c>
      <c r="AL222" s="93"/>
      <c r="AM222" s="93"/>
      <c r="AN222" s="93"/>
      <c r="AO222" s="93"/>
      <c r="AP222" s="93"/>
      <c r="AQ222" s="93"/>
      <c r="AR222" s="93"/>
      <c r="AS222" s="93">
        <f t="shared" si="204"/>
        <v>0</v>
      </c>
      <c r="AT222" s="93"/>
      <c r="AU222" s="93"/>
      <c r="AV222" s="93"/>
      <c r="AW222" s="93"/>
      <c r="AX222" s="93"/>
      <c r="AY222" s="93"/>
      <c r="AZ222" s="93"/>
      <c r="BA222" s="93"/>
      <c r="BB222" s="93"/>
      <c r="BC222" s="93"/>
      <c r="BD222" s="93"/>
      <c r="BE222" s="93"/>
      <c r="BF222" s="93"/>
      <c r="BG222" s="93"/>
      <c r="BH222" s="93"/>
      <c r="BI222" s="93"/>
      <c r="BJ222" s="93"/>
      <c r="BK222" s="93"/>
      <c r="BL222" s="93"/>
      <c r="BM222" s="93"/>
      <c r="BN222" s="93"/>
      <c r="BO222" s="93"/>
      <c r="BP222" s="93"/>
      <c r="BQ222" s="93"/>
      <c r="BR222" s="93"/>
      <c r="BS222" s="93"/>
      <c r="BT222" s="93"/>
      <c r="BU222" s="93"/>
      <c r="BV222" s="93"/>
      <c r="BW222" s="93"/>
      <c r="BX222" s="93"/>
      <c r="BY222" s="93"/>
      <c r="BZ222" s="93"/>
      <c r="CA222" s="93"/>
      <c r="CB222" s="93"/>
      <c r="CC222" s="93"/>
      <c r="CD222" s="93"/>
      <c r="CE222" s="93"/>
      <c r="CF222" s="93"/>
      <c r="CG222" s="93"/>
      <c r="CH222" s="93"/>
      <c r="CI222" s="93"/>
      <c r="CJ222" s="93"/>
      <c r="CK222" s="93"/>
      <c r="CL222" s="93"/>
      <c r="CM222" s="93"/>
      <c r="CN222" s="93"/>
      <c r="CO222" s="93"/>
      <c r="CP222" s="93"/>
      <c r="CQ222" s="93"/>
      <c r="CR222" s="93"/>
      <c r="CS222" s="93"/>
      <c r="CT222" s="93"/>
      <c r="CU222" s="93"/>
      <c r="CV222" s="93"/>
      <c r="CW222" s="93"/>
      <c r="CX222" s="93"/>
    </row>
    <row r="223" spans="1:102" ht="15" customHeight="1">
      <c r="A223" s="93">
        <v>432</v>
      </c>
      <c r="B223" s="93" t="str">
        <f>VLOOKUP($A223,  'Matriz POA 2024-TRABAJO'!$A$5:$CY$9142,29,FALSE)</f>
        <v>53</v>
      </c>
      <c r="C223" s="93" t="str">
        <f>VLOOKUP($A223, 'Matriz POA 2024-TRABAJO'!$A$5:$CY$9142,11,FALSE)</f>
        <v>Corporación Ciudad Alfaro</v>
      </c>
      <c r="D223" s="93" t="str">
        <f>VLOOKUP($A223, 'Matriz POA 2024-TRABAJO'!$A$5:$CY$9142,14,FALSE)</f>
        <v>N/A</v>
      </c>
      <c r="E223" s="93" t="str">
        <f>VLOOKUP($A223, 'Matriz POA 2024-TRABAJO'!$A$5:$CY$9142,15,FALSE)</f>
        <v>N/A</v>
      </c>
      <c r="F223" s="93" t="str">
        <f>VLOOKUP($A223, 'Matriz POA 2024-TRABAJO'!$A$5:$CY$9142,18,FALSE)</f>
        <v>N/A</v>
      </c>
      <c r="G223" s="93" t="str">
        <f>VLOOKUP($A223, 'Matriz POA 2024-TRABAJO'!$A$5:$CY$9142,23,FALSE)</f>
        <v>NUEVA</v>
      </c>
      <c r="H223" s="93" t="str">
        <f>VLOOKUP($A223, 'Matriz POA 2024-TRABAJO'!$A$5:$CY$9142,24,FALSE)</f>
        <v>Pago del servicio de telefonía fija e internet de la Corporación Ciudad Alfaro</v>
      </c>
      <c r="I223" s="93" t="str">
        <f>VLOOKUP($A223, 'Matriz POA 2024-TRABAJO'!$A$5:$CY$9142,20,FALSE)</f>
        <v>N/A</v>
      </c>
      <c r="J223" s="93" t="str">
        <f>VLOOKUP($A223, 'Matriz POA 2024-TRABAJO'!$A$5:$CY$9142,26,FALSE)</f>
        <v>80</v>
      </c>
      <c r="K223" s="93" t="str">
        <f>VLOOKUP($A223, 'Matriz POA 2024-TRABAJO'!$A$5:$CY$9142,27,FALSE)</f>
        <v>000</v>
      </c>
      <c r="L223" s="93" t="str">
        <f>VLOOKUP($A223, 'Matriz POA 2024-TRABAJO'!$A$5:$CY$9142,28,FALSE)</f>
        <v>002</v>
      </c>
      <c r="M223" s="93">
        <f>VLOOKUP($A223, 'Matriz POA 2024-TRABAJO'!$A$5:$CY$9142,30,FALSE)</f>
        <v>530105</v>
      </c>
      <c r="N223" s="93" t="str">
        <f>VLOOKUP($A223, 'Matriz POA 2024-TRABAJO'!$A$5:$CY$9142,31,FALSE)</f>
        <v>Telecomunicaciones</v>
      </c>
      <c r="O223" s="93">
        <f>VLOOKUP($A223, 'Matriz POA 2024-TRABAJO'!$A$5:$CY$9142,45,FALSE)</f>
        <v>7438.36</v>
      </c>
      <c r="P223" s="93">
        <f>VLOOKUP($A223, 'Matriz POA 2024-TRABAJO'!$A$5:$CY$9142,46,FALSE)</f>
        <v>0</v>
      </c>
      <c r="Q223" s="93">
        <f>VLOOKUP($A223, 'Matriz POA 2024-TRABAJO'!$A$5:$CY$9142,47,FALSE)</f>
        <v>7438.36</v>
      </c>
      <c r="R223" s="94">
        <f t="shared" si="199"/>
        <v>8836</v>
      </c>
      <c r="S223" s="95">
        <f t="shared" si="200"/>
        <v>-1397.6400000000003</v>
      </c>
      <c r="T223" s="93">
        <f>VLOOKUP($A223, 'Matriz POA 2024-TRABAJO'!$A$5:$CY$9142,72,FALSE)</f>
        <v>5801.64</v>
      </c>
      <c r="U223" s="93" t="str">
        <f>VLOOKUP($A223, 'Matriz POA 2024-TRABAJO'!$A$5:$CY$9142,29,FALSE)</f>
        <v>53</v>
      </c>
      <c r="V223" s="93" t="str">
        <f t="shared" si="201"/>
        <v/>
      </c>
      <c r="W223" s="96" t="s">
        <v>1888</v>
      </c>
      <c r="X223" s="96">
        <v>45309</v>
      </c>
      <c r="Y223" s="97" t="s">
        <v>1889</v>
      </c>
      <c r="Z223" s="96">
        <v>45309</v>
      </c>
      <c r="AA223" s="93">
        <v>8836</v>
      </c>
      <c r="AB223" s="93"/>
      <c r="AC223" s="93">
        <f t="shared" si="202"/>
        <v>0</v>
      </c>
      <c r="AD223" s="93"/>
      <c r="AE223" s="93"/>
      <c r="AF223" s="93"/>
      <c r="AG223" s="93"/>
      <c r="AH223" s="93"/>
      <c r="AI223" s="93"/>
      <c r="AJ223" s="93"/>
      <c r="AK223" s="93">
        <f t="shared" si="203"/>
        <v>0</v>
      </c>
      <c r="AL223" s="93"/>
      <c r="AM223" s="93"/>
      <c r="AN223" s="93"/>
      <c r="AO223" s="93"/>
      <c r="AP223" s="93"/>
      <c r="AQ223" s="93"/>
      <c r="AR223" s="93"/>
      <c r="AS223" s="93">
        <f t="shared" si="204"/>
        <v>0</v>
      </c>
      <c r="AT223" s="93"/>
      <c r="AU223" s="93"/>
      <c r="AV223" s="93"/>
      <c r="AW223" s="93"/>
      <c r="AX223" s="93"/>
      <c r="AY223" s="93"/>
      <c r="AZ223" s="93"/>
      <c r="BA223" s="93"/>
      <c r="BB223" s="93"/>
      <c r="BC223" s="93"/>
      <c r="BD223" s="93"/>
      <c r="BE223" s="93"/>
      <c r="BF223" s="93"/>
      <c r="BG223" s="93"/>
      <c r="BH223" s="93"/>
      <c r="BI223" s="93"/>
      <c r="BJ223" s="93"/>
      <c r="BK223" s="93"/>
      <c r="BL223" s="93"/>
      <c r="BM223" s="93"/>
      <c r="BN223" s="93"/>
      <c r="BO223" s="93"/>
      <c r="BP223" s="93"/>
      <c r="BQ223" s="93"/>
      <c r="BR223" s="93"/>
      <c r="BS223" s="93"/>
      <c r="BT223" s="93"/>
      <c r="BU223" s="93"/>
      <c r="BV223" s="93"/>
      <c r="BW223" s="93"/>
      <c r="BX223" s="93"/>
      <c r="BY223" s="93"/>
      <c r="BZ223" s="93"/>
      <c r="CA223" s="93"/>
      <c r="CB223" s="93"/>
      <c r="CC223" s="93"/>
      <c r="CD223" s="93"/>
      <c r="CE223" s="93"/>
      <c r="CF223" s="93"/>
      <c r="CG223" s="93"/>
      <c r="CH223" s="93"/>
      <c r="CI223" s="93"/>
      <c r="CJ223" s="93"/>
      <c r="CK223" s="93"/>
      <c r="CL223" s="93"/>
      <c r="CM223" s="93"/>
      <c r="CN223" s="93"/>
      <c r="CO223" s="93"/>
      <c r="CP223" s="93"/>
      <c r="CQ223" s="93"/>
      <c r="CR223" s="93"/>
      <c r="CS223" s="93"/>
      <c r="CT223" s="93"/>
      <c r="CU223" s="93"/>
      <c r="CV223" s="93"/>
      <c r="CW223" s="93"/>
      <c r="CX223" s="93"/>
    </row>
    <row r="224" spans="1:102" ht="15" customHeight="1">
      <c r="A224" s="93">
        <v>442</v>
      </c>
      <c r="B224" s="93" t="str">
        <f>VLOOKUP($A224,  'Matriz POA 2024-TRABAJO'!$A$5:$CY$9142,29,FALSE)</f>
        <v>53</v>
      </c>
      <c r="C224" s="93" t="str">
        <f>VLOOKUP($A224, 'Matriz POA 2024-TRABAJO'!$A$5:$CY$9142,11,FALSE)</f>
        <v>Corporación Ciudad Alfaro</v>
      </c>
      <c r="D224" s="93" t="str">
        <f>VLOOKUP($A224, 'Matriz POA 2024-TRABAJO'!$A$5:$CY$9142,14,FALSE)</f>
        <v>N/A</v>
      </c>
      <c r="E224" s="93" t="str">
        <f>VLOOKUP($A224, 'Matriz POA 2024-TRABAJO'!$A$5:$CY$9142,15,FALSE)</f>
        <v>N/A</v>
      </c>
      <c r="F224" s="93" t="str">
        <f>VLOOKUP($A224, 'Matriz POA 2024-TRABAJO'!$A$5:$CY$9142,18,FALSE)</f>
        <v>N/A</v>
      </c>
      <c r="G224" s="93" t="str">
        <f>VLOOKUP($A224, 'Matriz POA 2024-TRABAJO'!$A$5:$CY$9142,23,FALSE)</f>
        <v>ARRASTRE</v>
      </c>
      <c r="H224" s="93" t="str">
        <f>VLOOKUP($A224, 'Matriz POA 2024-TRABAJO'!$A$5:$CY$9142,24,FALSE)</f>
        <v>Pago del servicio de agua potable de los meses de Octubre, Noviembre y Diciembre del 2023 de la Corporación Ciudad Alfaro</v>
      </c>
      <c r="I224" s="93" t="str">
        <f>VLOOKUP($A224, 'Matriz POA 2024-TRABAJO'!$A$5:$CY$9142,20,FALSE)</f>
        <v>N/A</v>
      </c>
      <c r="J224" s="93" t="str">
        <f>VLOOKUP($A224, 'Matriz POA 2024-TRABAJO'!$A$5:$CY$9142,26,FALSE)</f>
        <v>80</v>
      </c>
      <c r="K224" s="93" t="str">
        <f>VLOOKUP($A224, 'Matriz POA 2024-TRABAJO'!$A$5:$CY$9142,27,FALSE)</f>
        <v>000</v>
      </c>
      <c r="L224" s="93" t="str">
        <f>VLOOKUP($A224, 'Matriz POA 2024-TRABAJO'!$A$5:$CY$9142,28,FALSE)</f>
        <v>002</v>
      </c>
      <c r="M224" s="93">
        <f>VLOOKUP($A224, 'Matriz POA 2024-TRABAJO'!$A$5:$CY$9142,30,FALSE)</f>
        <v>530101</v>
      </c>
      <c r="N224" s="93" t="str">
        <f>VLOOKUP($A224, 'Matriz POA 2024-TRABAJO'!$A$5:$CY$9142,31,FALSE)</f>
        <v>Agua Potable</v>
      </c>
      <c r="O224" s="93">
        <f>VLOOKUP($A224, 'Matriz POA 2024-TRABAJO'!$A$5:$CY$9142,45,FALSE)</f>
        <v>3.7000000000000455</v>
      </c>
      <c r="P224" s="93">
        <f>VLOOKUP($A224, 'Matriz POA 2024-TRABAJO'!$A$5:$CY$9142,46,FALSE)</f>
        <v>0</v>
      </c>
      <c r="Q224" s="93">
        <f>VLOOKUP($A224, 'Matriz POA 2024-TRABAJO'!$A$5:$CY$9142,47,FALSE)</f>
        <v>3.7000000000000455</v>
      </c>
      <c r="R224" s="94">
        <f t="shared" si="199"/>
        <v>3.7</v>
      </c>
      <c r="S224" s="95">
        <f t="shared" si="200"/>
        <v>4.5297099404706387E-14</v>
      </c>
      <c r="T224" s="93">
        <f>VLOOKUP($A224, 'Matriz POA 2024-TRABAJO'!$A$5:$CY$9142,72,FALSE)</f>
        <v>3.7</v>
      </c>
      <c r="U224" s="93" t="str">
        <f>VLOOKUP($A224, 'Matriz POA 2024-TRABAJO'!$A$5:$CY$9142,29,FALSE)</f>
        <v>53</v>
      </c>
      <c r="V224" s="93" t="str">
        <f t="shared" si="201"/>
        <v/>
      </c>
      <c r="W224" s="96" t="s">
        <v>1888</v>
      </c>
      <c r="X224" s="96">
        <v>45309</v>
      </c>
      <c r="Y224" s="97" t="s">
        <v>1889</v>
      </c>
      <c r="Z224" s="96">
        <v>45309</v>
      </c>
      <c r="AA224" s="93">
        <v>3.7</v>
      </c>
      <c r="AB224" s="93"/>
      <c r="AC224" s="93">
        <f t="shared" si="202"/>
        <v>0</v>
      </c>
      <c r="AD224" s="93"/>
      <c r="AE224" s="93"/>
      <c r="AF224" s="93"/>
      <c r="AG224" s="93"/>
      <c r="AH224" s="93"/>
      <c r="AI224" s="93"/>
      <c r="AJ224" s="93"/>
      <c r="AK224" s="93">
        <f t="shared" si="203"/>
        <v>0</v>
      </c>
      <c r="AL224" s="93"/>
      <c r="AM224" s="93"/>
      <c r="AN224" s="93"/>
      <c r="AO224" s="93"/>
      <c r="AP224" s="93"/>
      <c r="AQ224" s="93"/>
      <c r="AR224" s="93"/>
      <c r="AS224" s="93">
        <f t="shared" si="204"/>
        <v>0</v>
      </c>
      <c r="AT224" s="93"/>
      <c r="AU224" s="93"/>
      <c r="AV224" s="93"/>
      <c r="AW224" s="93"/>
      <c r="AX224" s="93"/>
      <c r="AY224" s="93"/>
      <c r="AZ224" s="93"/>
      <c r="BA224" s="93"/>
      <c r="BB224" s="93"/>
      <c r="BC224" s="93"/>
      <c r="BD224" s="93"/>
      <c r="BE224" s="93"/>
      <c r="BF224" s="93"/>
      <c r="BG224" s="93"/>
      <c r="BH224" s="93"/>
      <c r="BI224" s="93"/>
      <c r="BJ224" s="93"/>
      <c r="BK224" s="93"/>
      <c r="BL224" s="93"/>
      <c r="BM224" s="93"/>
      <c r="BN224" s="93"/>
      <c r="BO224" s="93"/>
      <c r="BP224" s="93"/>
      <c r="BQ224" s="93"/>
      <c r="BR224" s="93"/>
      <c r="BS224" s="93"/>
      <c r="BT224" s="93"/>
      <c r="BU224" s="93"/>
      <c r="BV224" s="93"/>
      <c r="BW224" s="93"/>
      <c r="BX224" s="93"/>
      <c r="BY224" s="93"/>
      <c r="BZ224" s="93"/>
      <c r="CA224" s="93"/>
      <c r="CB224" s="93"/>
      <c r="CC224" s="93"/>
      <c r="CD224" s="93"/>
      <c r="CE224" s="93"/>
      <c r="CF224" s="93"/>
      <c r="CG224" s="93"/>
      <c r="CH224" s="93"/>
      <c r="CI224" s="93"/>
      <c r="CJ224" s="93"/>
      <c r="CK224" s="93"/>
      <c r="CL224" s="93"/>
      <c r="CM224" s="93"/>
      <c r="CN224" s="93"/>
      <c r="CO224" s="93"/>
      <c r="CP224" s="93"/>
      <c r="CQ224" s="93"/>
      <c r="CR224" s="93"/>
      <c r="CS224" s="93"/>
      <c r="CT224" s="93"/>
      <c r="CU224" s="93"/>
      <c r="CV224" s="93"/>
      <c r="CW224" s="93"/>
      <c r="CX224" s="93"/>
    </row>
    <row r="225" spans="1:102" ht="15" customHeight="1">
      <c r="A225" s="93">
        <v>443</v>
      </c>
      <c r="B225" s="93" t="str">
        <f>VLOOKUP($A225,  'Matriz POA 2024-TRABAJO'!$A$5:$CY$9142,29,FALSE)</f>
        <v>53</v>
      </c>
      <c r="C225" s="93" t="str">
        <f>VLOOKUP($A225, 'Matriz POA 2024-TRABAJO'!$A$5:$CY$9142,11,FALSE)</f>
        <v>Corporación Ciudad Alfaro</v>
      </c>
      <c r="D225" s="93" t="str">
        <f>VLOOKUP($A225, 'Matriz POA 2024-TRABAJO'!$A$5:$CY$9142,14,FALSE)</f>
        <v>N/A</v>
      </c>
      <c r="E225" s="93" t="str">
        <f>VLOOKUP($A225, 'Matriz POA 2024-TRABAJO'!$A$5:$CY$9142,15,FALSE)</f>
        <v>N/A</v>
      </c>
      <c r="F225" s="93" t="str">
        <f>VLOOKUP($A225, 'Matriz POA 2024-TRABAJO'!$A$5:$CY$9142,18,FALSE)</f>
        <v>N/A</v>
      </c>
      <c r="G225" s="93" t="str">
        <f>VLOOKUP($A225, 'Matriz POA 2024-TRABAJO'!$A$5:$CY$9142,23,FALSE)</f>
        <v>NUEVA</v>
      </c>
      <c r="H225" s="93" t="str">
        <f>VLOOKUP($A225, 'Matriz POA 2024-TRABAJO'!$A$5:$CY$9142,24,FALSE)</f>
        <v>Pago del servicio de agua potable de la Corporación Ciudad Alfaro</v>
      </c>
      <c r="I225" s="93" t="str">
        <f>VLOOKUP($A225, 'Matriz POA 2024-TRABAJO'!$A$5:$CY$9142,20,FALSE)</f>
        <v>N/A</v>
      </c>
      <c r="J225" s="93" t="str">
        <f>VLOOKUP($A225, 'Matriz POA 2024-TRABAJO'!$A$5:$CY$9142,26,FALSE)</f>
        <v>80</v>
      </c>
      <c r="K225" s="93" t="str">
        <f>VLOOKUP($A225, 'Matriz POA 2024-TRABAJO'!$A$5:$CY$9142,27,FALSE)</f>
        <v>000</v>
      </c>
      <c r="L225" s="93" t="str">
        <f>VLOOKUP($A225, 'Matriz POA 2024-TRABAJO'!$A$5:$CY$9142,28,FALSE)</f>
        <v>002</v>
      </c>
      <c r="M225" s="93">
        <f>VLOOKUP($A225, 'Matriz POA 2024-TRABAJO'!$A$5:$CY$9142,30,FALSE)</f>
        <v>530101</v>
      </c>
      <c r="N225" s="93" t="str">
        <f>VLOOKUP($A225, 'Matriz POA 2024-TRABAJO'!$A$5:$CY$9142,31,FALSE)</f>
        <v>Agua Potable</v>
      </c>
      <c r="O225" s="93">
        <f>VLOOKUP($A225, 'Matriz POA 2024-TRABAJO'!$A$5:$CY$9142,45,FALSE)</f>
        <v>2600</v>
      </c>
      <c r="P225" s="93">
        <f>VLOOKUP($A225, 'Matriz POA 2024-TRABAJO'!$A$5:$CY$9142,46,FALSE)</f>
        <v>0</v>
      </c>
      <c r="Q225" s="93">
        <f>VLOOKUP($A225, 'Matriz POA 2024-TRABAJO'!$A$5:$CY$9142,47,FALSE)</f>
        <v>2600</v>
      </c>
      <c r="R225" s="94">
        <f t="shared" si="199"/>
        <v>1800</v>
      </c>
      <c r="S225" s="95">
        <f t="shared" si="200"/>
        <v>800</v>
      </c>
      <c r="T225" s="93">
        <f>VLOOKUP($A225, 'Matriz POA 2024-TRABAJO'!$A$5:$CY$9142,72,FALSE)</f>
        <v>2080.92</v>
      </c>
      <c r="U225" s="93" t="str">
        <f>VLOOKUP($A225, 'Matriz POA 2024-TRABAJO'!$A$5:$CY$9142,29,FALSE)</f>
        <v>53</v>
      </c>
      <c r="V225" s="93" t="str">
        <f t="shared" si="201"/>
        <v/>
      </c>
      <c r="W225" s="96" t="s">
        <v>1888</v>
      </c>
      <c r="X225" s="96">
        <v>45309</v>
      </c>
      <c r="Y225" s="97" t="s">
        <v>1889</v>
      </c>
      <c r="Z225" s="96">
        <v>45309</v>
      </c>
      <c r="AA225" s="93">
        <v>1800</v>
      </c>
      <c r="AB225" s="93"/>
      <c r="AC225" s="93">
        <f t="shared" si="202"/>
        <v>0</v>
      </c>
      <c r="AD225" s="93"/>
      <c r="AE225" s="93"/>
      <c r="AF225" s="93"/>
      <c r="AG225" s="93"/>
      <c r="AH225" s="93"/>
      <c r="AI225" s="93"/>
      <c r="AJ225" s="93"/>
      <c r="AK225" s="93">
        <f t="shared" si="203"/>
        <v>0</v>
      </c>
      <c r="AL225" s="93"/>
      <c r="AM225" s="93"/>
      <c r="AN225" s="93"/>
      <c r="AO225" s="93"/>
      <c r="AP225" s="93"/>
      <c r="AQ225" s="93"/>
      <c r="AR225" s="93"/>
      <c r="AS225" s="93">
        <f t="shared" si="204"/>
        <v>0</v>
      </c>
      <c r="AT225" s="93"/>
      <c r="AU225" s="93"/>
      <c r="AV225" s="93"/>
      <c r="AW225" s="93"/>
      <c r="AX225" s="93"/>
      <c r="AY225" s="93"/>
      <c r="AZ225" s="93"/>
      <c r="BA225" s="93"/>
      <c r="BB225" s="93"/>
      <c r="BC225" s="93"/>
      <c r="BD225" s="93"/>
      <c r="BE225" s="93"/>
      <c r="BF225" s="93"/>
      <c r="BG225" s="93"/>
      <c r="BH225" s="93"/>
      <c r="BI225" s="93"/>
      <c r="BJ225" s="93"/>
      <c r="BK225" s="93"/>
      <c r="BL225" s="93"/>
      <c r="BM225" s="93"/>
      <c r="BN225" s="93"/>
      <c r="BO225" s="93"/>
      <c r="BP225" s="93"/>
      <c r="BQ225" s="93"/>
      <c r="BR225" s="93"/>
      <c r="BS225" s="93"/>
      <c r="BT225" s="93"/>
      <c r="BU225" s="93"/>
      <c r="BV225" s="93"/>
      <c r="BW225" s="93"/>
      <c r="BX225" s="93"/>
      <c r="BY225" s="93"/>
      <c r="BZ225" s="93"/>
      <c r="CA225" s="93"/>
      <c r="CB225" s="93"/>
      <c r="CC225" s="93"/>
      <c r="CD225" s="93"/>
      <c r="CE225" s="93"/>
      <c r="CF225" s="93"/>
      <c r="CG225" s="93"/>
      <c r="CH225" s="93"/>
      <c r="CI225" s="93"/>
      <c r="CJ225" s="93"/>
      <c r="CK225" s="93"/>
      <c r="CL225" s="93"/>
      <c r="CM225" s="93"/>
      <c r="CN225" s="93"/>
      <c r="CO225" s="93"/>
      <c r="CP225" s="93"/>
      <c r="CQ225" s="93"/>
      <c r="CR225" s="93"/>
      <c r="CS225" s="93"/>
      <c r="CT225" s="93"/>
      <c r="CU225" s="93"/>
      <c r="CV225" s="93"/>
      <c r="CW225" s="93"/>
      <c r="CX225" s="93"/>
    </row>
    <row r="226" spans="1:102" ht="15" customHeight="1">
      <c r="A226" s="93">
        <v>444</v>
      </c>
      <c r="B226" s="93" t="str">
        <f>VLOOKUP($A226,  'Matriz POA 2024-TRABAJO'!$A$5:$CY$9142,29,FALSE)</f>
        <v>53</v>
      </c>
      <c r="C226" s="93" t="str">
        <f>VLOOKUP($A226, 'Matriz POA 2024-TRABAJO'!$A$5:$CY$9142,11,FALSE)</f>
        <v>Corporación Ciudad Alfaro</v>
      </c>
      <c r="D226" s="93" t="str">
        <f>VLOOKUP($A226, 'Matriz POA 2024-TRABAJO'!$A$5:$CY$9142,14,FALSE)</f>
        <v>N/A</v>
      </c>
      <c r="E226" s="93" t="str">
        <f>VLOOKUP($A226, 'Matriz POA 2024-TRABAJO'!$A$5:$CY$9142,15,FALSE)</f>
        <v>N/A</v>
      </c>
      <c r="F226" s="93" t="str">
        <f>VLOOKUP($A226, 'Matriz POA 2024-TRABAJO'!$A$5:$CY$9142,18,FALSE)</f>
        <v>N/A</v>
      </c>
      <c r="G226" s="93" t="str">
        <f>VLOOKUP($A226, 'Matriz POA 2024-TRABAJO'!$A$5:$CY$9142,23,FALSE)</f>
        <v>ARRASTRE</v>
      </c>
      <c r="H226" s="93" t="str">
        <f>VLOOKUP($A226, 'Matriz POA 2024-TRABAJO'!$A$5:$CY$9142,24,FALSE)</f>
        <v>Pago del servicio de energía eléctrica de los meses de Noviembre y Diciembre del 2023 de la Corporación Ciudad Alfaro</v>
      </c>
      <c r="I226" s="93" t="str">
        <f>VLOOKUP($A226, 'Matriz POA 2024-TRABAJO'!$A$5:$CY$9142,20,FALSE)</f>
        <v>N/A</v>
      </c>
      <c r="J226" s="93" t="str">
        <f>VLOOKUP($A226, 'Matriz POA 2024-TRABAJO'!$A$5:$CY$9142,26,FALSE)</f>
        <v>80</v>
      </c>
      <c r="K226" s="93" t="str">
        <f>VLOOKUP($A226, 'Matriz POA 2024-TRABAJO'!$A$5:$CY$9142,27,FALSE)</f>
        <v>000</v>
      </c>
      <c r="L226" s="93" t="str">
        <f>VLOOKUP($A226, 'Matriz POA 2024-TRABAJO'!$A$5:$CY$9142,28,FALSE)</f>
        <v>002</v>
      </c>
      <c r="M226" s="93">
        <f>VLOOKUP($A226, 'Matriz POA 2024-TRABAJO'!$A$5:$CY$9142,30,FALSE)</f>
        <v>530104</v>
      </c>
      <c r="N226" s="93" t="str">
        <f>VLOOKUP($A226, 'Matriz POA 2024-TRABAJO'!$A$5:$CY$9142,31,FALSE)</f>
        <v>Energía Eléctrica</v>
      </c>
      <c r="O226" s="93">
        <f>VLOOKUP($A226, 'Matriz POA 2024-TRABAJO'!$A$5:$CY$9142,45,FALSE)</f>
        <v>2447.1799999999998</v>
      </c>
      <c r="P226" s="93">
        <f>VLOOKUP($A226, 'Matriz POA 2024-TRABAJO'!$A$5:$CY$9142,46,FALSE)</f>
        <v>0</v>
      </c>
      <c r="Q226" s="93">
        <f>VLOOKUP($A226, 'Matriz POA 2024-TRABAJO'!$A$5:$CY$9142,47,FALSE)</f>
        <v>2447.1799999999998</v>
      </c>
      <c r="R226" s="94">
        <f t="shared" si="199"/>
        <v>2447.1799999999998</v>
      </c>
      <c r="S226" s="95">
        <f t="shared" si="200"/>
        <v>0</v>
      </c>
      <c r="T226" s="93">
        <f>VLOOKUP($A226, 'Matriz POA 2024-TRABAJO'!$A$5:$CY$9142,72,FALSE)</f>
        <v>2447.1800000000003</v>
      </c>
      <c r="U226" s="93" t="str">
        <f>VLOOKUP($A226, 'Matriz POA 2024-TRABAJO'!$A$5:$CY$9142,29,FALSE)</f>
        <v>53</v>
      </c>
      <c r="V226" s="93" t="str">
        <f t="shared" si="201"/>
        <v/>
      </c>
      <c r="W226" s="96" t="s">
        <v>1888</v>
      </c>
      <c r="X226" s="96">
        <v>45309</v>
      </c>
      <c r="Y226" s="97" t="s">
        <v>1889</v>
      </c>
      <c r="Z226" s="96">
        <v>45309</v>
      </c>
      <c r="AA226" s="93">
        <v>2447.1799999999998</v>
      </c>
      <c r="AB226" s="93"/>
      <c r="AC226" s="93">
        <f t="shared" si="202"/>
        <v>0</v>
      </c>
      <c r="AD226" s="93"/>
      <c r="AE226" s="93"/>
      <c r="AF226" s="93"/>
      <c r="AG226" s="93"/>
      <c r="AH226" s="93"/>
      <c r="AI226" s="93"/>
      <c r="AJ226" s="93"/>
      <c r="AK226" s="93">
        <f t="shared" si="203"/>
        <v>0</v>
      </c>
      <c r="AL226" s="93"/>
      <c r="AM226" s="93"/>
      <c r="AN226" s="93"/>
      <c r="AO226" s="93"/>
      <c r="AP226" s="93"/>
      <c r="AQ226" s="93"/>
      <c r="AR226" s="93"/>
      <c r="AS226" s="93">
        <f t="shared" si="204"/>
        <v>0</v>
      </c>
      <c r="AT226" s="93"/>
      <c r="AU226" s="93"/>
      <c r="AV226" s="93"/>
      <c r="AW226" s="93"/>
      <c r="AX226" s="93"/>
      <c r="AY226" s="93"/>
      <c r="AZ226" s="93"/>
      <c r="BA226" s="93"/>
      <c r="BB226" s="93"/>
      <c r="BC226" s="93"/>
      <c r="BD226" s="93"/>
      <c r="BE226" s="93"/>
      <c r="BF226" s="93"/>
      <c r="BG226" s="93"/>
      <c r="BH226" s="93"/>
      <c r="BI226" s="93"/>
      <c r="BJ226" s="93"/>
      <c r="BK226" s="93"/>
      <c r="BL226" s="93"/>
      <c r="BM226" s="93"/>
      <c r="BN226" s="93"/>
      <c r="BO226" s="93"/>
      <c r="BP226" s="93"/>
      <c r="BQ226" s="93"/>
      <c r="BR226" s="93"/>
      <c r="BS226" s="93"/>
      <c r="BT226" s="93"/>
      <c r="BU226" s="93"/>
      <c r="BV226" s="93"/>
      <c r="BW226" s="93"/>
      <c r="BX226" s="93"/>
      <c r="BY226" s="93"/>
      <c r="BZ226" s="93"/>
      <c r="CA226" s="93"/>
      <c r="CB226" s="93"/>
      <c r="CC226" s="93"/>
      <c r="CD226" s="93"/>
      <c r="CE226" s="93"/>
      <c r="CF226" s="93"/>
      <c r="CG226" s="93"/>
      <c r="CH226" s="93"/>
      <c r="CI226" s="93"/>
      <c r="CJ226" s="93"/>
      <c r="CK226" s="93"/>
      <c r="CL226" s="93"/>
      <c r="CM226" s="93"/>
      <c r="CN226" s="93"/>
      <c r="CO226" s="93"/>
      <c r="CP226" s="93"/>
      <c r="CQ226" s="93"/>
      <c r="CR226" s="93"/>
      <c r="CS226" s="93"/>
      <c r="CT226" s="93"/>
      <c r="CU226" s="93"/>
      <c r="CV226" s="93"/>
      <c r="CW226" s="93"/>
      <c r="CX226" s="93"/>
    </row>
    <row r="227" spans="1:102" ht="15" customHeight="1">
      <c r="A227" s="93">
        <v>445</v>
      </c>
      <c r="B227" s="93" t="str">
        <f>VLOOKUP($A227,  'Matriz POA 2024-TRABAJO'!$A$5:$CY$9142,29,FALSE)</f>
        <v>53</v>
      </c>
      <c r="C227" s="93" t="str">
        <f>VLOOKUP($A227, 'Matriz POA 2024-TRABAJO'!$A$5:$CY$9142,11,FALSE)</f>
        <v>Corporación Ciudad Alfaro</v>
      </c>
      <c r="D227" s="93" t="str">
        <f>VLOOKUP($A227, 'Matriz POA 2024-TRABAJO'!$A$5:$CY$9142,14,FALSE)</f>
        <v>N/A</v>
      </c>
      <c r="E227" s="93" t="str">
        <f>VLOOKUP($A227, 'Matriz POA 2024-TRABAJO'!$A$5:$CY$9142,15,FALSE)</f>
        <v>N/A</v>
      </c>
      <c r="F227" s="93" t="str">
        <f>VLOOKUP($A227, 'Matriz POA 2024-TRABAJO'!$A$5:$CY$9142,18,FALSE)</f>
        <v>N/A</v>
      </c>
      <c r="G227" s="93" t="str">
        <f>VLOOKUP($A227, 'Matriz POA 2024-TRABAJO'!$A$5:$CY$9142,23,FALSE)</f>
        <v>NUEVA</v>
      </c>
      <c r="H227" s="93" t="str">
        <f>VLOOKUP($A227, 'Matriz POA 2024-TRABAJO'!$A$5:$CY$9142,24,FALSE)</f>
        <v>Pago del servicio de energía eléctrica de la Corporación Ciudad Alfaro</v>
      </c>
      <c r="I227" s="93" t="str">
        <f>VLOOKUP($A227, 'Matriz POA 2024-TRABAJO'!$A$5:$CY$9142,20,FALSE)</f>
        <v>N/A</v>
      </c>
      <c r="J227" s="93" t="str">
        <f>VLOOKUP($A227, 'Matriz POA 2024-TRABAJO'!$A$5:$CY$9142,26,FALSE)</f>
        <v>80</v>
      </c>
      <c r="K227" s="93" t="str">
        <f>VLOOKUP($A227, 'Matriz POA 2024-TRABAJO'!$A$5:$CY$9142,27,FALSE)</f>
        <v>000</v>
      </c>
      <c r="L227" s="93" t="str">
        <f>VLOOKUP($A227, 'Matriz POA 2024-TRABAJO'!$A$5:$CY$9142,28,FALSE)</f>
        <v>002</v>
      </c>
      <c r="M227" s="93">
        <f>VLOOKUP($A227, 'Matriz POA 2024-TRABAJO'!$A$5:$CY$9142,30,FALSE)</f>
        <v>530104</v>
      </c>
      <c r="N227" s="93" t="str">
        <f>VLOOKUP($A227, 'Matriz POA 2024-TRABAJO'!$A$5:$CY$9142,31,FALSE)</f>
        <v>Energía Eléctrica</v>
      </c>
      <c r="O227" s="93">
        <f>VLOOKUP($A227, 'Matriz POA 2024-TRABAJO'!$A$5:$CY$9142,45,FALSE)</f>
        <v>15500</v>
      </c>
      <c r="P227" s="93">
        <f>VLOOKUP($A227, 'Matriz POA 2024-TRABAJO'!$A$5:$CY$9142,46,FALSE)</f>
        <v>0</v>
      </c>
      <c r="Q227" s="93">
        <f>VLOOKUP($A227, 'Matriz POA 2024-TRABAJO'!$A$5:$CY$9142,47,FALSE)</f>
        <v>15500</v>
      </c>
      <c r="R227" s="94">
        <f t="shared" si="199"/>
        <v>27000</v>
      </c>
      <c r="S227" s="95">
        <f t="shared" si="200"/>
        <v>-11500</v>
      </c>
      <c r="T227" s="93">
        <f>VLOOKUP($A227, 'Matriz POA 2024-TRABAJO'!$A$5:$CY$9142,72,FALSE)</f>
        <v>11951.600000000002</v>
      </c>
      <c r="U227" s="93" t="str">
        <f>VLOOKUP($A227, 'Matriz POA 2024-TRABAJO'!$A$5:$CY$9142,29,FALSE)</f>
        <v>53</v>
      </c>
      <c r="V227" s="93" t="str">
        <f t="shared" si="201"/>
        <v/>
      </c>
      <c r="W227" s="96" t="s">
        <v>1888</v>
      </c>
      <c r="X227" s="96">
        <v>45309</v>
      </c>
      <c r="Y227" s="97" t="s">
        <v>1889</v>
      </c>
      <c r="Z227" s="96">
        <v>45309</v>
      </c>
      <c r="AA227" s="93">
        <v>27000</v>
      </c>
      <c r="AB227" s="93"/>
      <c r="AC227" s="93">
        <f t="shared" si="202"/>
        <v>0</v>
      </c>
      <c r="AD227" s="93"/>
      <c r="AE227" s="93"/>
      <c r="AF227" s="93"/>
      <c r="AG227" s="93"/>
      <c r="AH227" s="93"/>
      <c r="AI227" s="93"/>
      <c r="AJ227" s="93"/>
      <c r="AK227" s="93">
        <f t="shared" si="203"/>
        <v>0</v>
      </c>
      <c r="AL227" s="93"/>
      <c r="AM227" s="93"/>
      <c r="AN227" s="93"/>
      <c r="AO227" s="93"/>
      <c r="AP227" s="93"/>
      <c r="AQ227" s="93"/>
      <c r="AR227" s="93"/>
      <c r="AS227" s="93">
        <f t="shared" si="204"/>
        <v>0</v>
      </c>
      <c r="AT227" s="93"/>
      <c r="AU227" s="93"/>
      <c r="AV227" s="93"/>
      <c r="AW227" s="93"/>
      <c r="AX227" s="93"/>
      <c r="AY227" s="93"/>
      <c r="AZ227" s="93"/>
      <c r="BA227" s="93"/>
      <c r="BB227" s="93"/>
      <c r="BC227" s="93"/>
      <c r="BD227" s="93"/>
      <c r="BE227" s="93"/>
      <c r="BF227" s="93"/>
      <c r="BG227" s="93"/>
      <c r="BH227" s="93"/>
      <c r="BI227" s="93"/>
      <c r="BJ227" s="93"/>
      <c r="BK227" s="93"/>
      <c r="BL227" s="93"/>
      <c r="BM227" s="93"/>
      <c r="BN227" s="93"/>
      <c r="BO227" s="93"/>
      <c r="BP227" s="93"/>
      <c r="BQ227" s="93"/>
      <c r="BR227" s="93"/>
      <c r="BS227" s="93"/>
      <c r="BT227" s="93"/>
      <c r="BU227" s="93"/>
      <c r="BV227" s="93"/>
      <c r="BW227" s="93"/>
      <c r="BX227" s="93"/>
      <c r="BY227" s="93"/>
      <c r="BZ227" s="93"/>
      <c r="CA227" s="93"/>
      <c r="CB227" s="93"/>
      <c r="CC227" s="93"/>
      <c r="CD227" s="93"/>
      <c r="CE227" s="93"/>
      <c r="CF227" s="93"/>
      <c r="CG227" s="93"/>
      <c r="CH227" s="93"/>
      <c r="CI227" s="93"/>
      <c r="CJ227" s="93"/>
      <c r="CK227" s="93"/>
      <c r="CL227" s="93"/>
      <c r="CM227" s="93"/>
      <c r="CN227" s="93"/>
      <c r="CO227" s="93"/>
      <c r="CP227" s="93"/>
      <c r="CQ227" s="93"/>
      <c r="CR227" s="93"/>
      <c r="CS227" s="93"/>
      <c r="CT227" s="93"/>
      <c r="CU227" s="93"/>
      <c r="CV227" s="93"/>
      <c r="CW227" s="93"/>
      <c r="CX227" s="93"/>
    </row>
    <row r="228" spans="1:102" ht="15" customHeight="1">
      <c r="A228" s="93">
        <v>458</v>
      </c>
      <c r="B228" s="93" t="str">
        <f>VLOOKUP($A228,  'Matriz POA 2024-TRABAJO'!$A$5:$CY$9142,29,FALSE)</f>
        <v>57</v>
      </c>
      <c r="C228" s="93" t="str">
        <f>VLOOKUP($A228, 'Matriz POA 2024-TRABAJO'!$A$5:$CY$9142,11,FALSE)</f>
        <v>Corporación Ciudad Alfaro</v>
      </c>
      <c r="D228" s="93" t="str">
        <f>VLOOKUP($A228, 'Matriz POA 2024-TRABAJO'!$A$5:$CY$9142,14,FALSE)</f>
        <v>N/A</v>
      </c>
      <c r="E228" s="93" t="str">
        <f>VLOOKUP($A228, 'Matriz POA 2024-TRABAJO'!$A$5:$CY$9142,15,FALSE)</f>
        <v>N/A</v>
      </c>
      <c r="F228" s="93" t="str">
        <f>VLOOKUP($A228, 'Matriz POA 2024-TRABAJO'!$A$5:$CY$9142,18,FALSE)</f>
        <v>N/A</v>
      </c>
      <c r="G228" s="93" t="str">
        <f>VLOOKUP($A228, 'Matriz POA 2024-TRABAJO'!$A$5:$CY$9142,23,FALSE)</f>
        <v>NUEVA</v>
      </c>
      <c r="H228" s="93" t="str">
        <f>VLOOKUP($A228, 'Matriz POA 2024-TRABAJO'!$A$5:$CY$9142,24,FALSE)</f>
        <v>Reintegro de gastos por peajes para los Servidores y Trabajadores de la Corporación Ciudad Alfaro y sus Sedes en comisión de servicios institucionales</v>
      </c>
      <c r="I228" s="93" t="str">
        <f>VLOOKUP($A228, 'Matriz POA 2024-TRABAJO'!$A$5:$CY$9142,20,FALSE)</f>
        <v>N/A</v>
      </c>
      <c r="J228" s="93" t="str">
        <f>VLOOKUP($A228, 'Matriz POA 2024-TRABAJO'!$A$5:$CY$9142,26,FALSE)</f>
        <v>80</v>
      </c>
      <c r="K228" s="93" t="str">
        <f>VLOOKUP($A228, 'Matriz POA 2024-TRABAJO'!$A$5:$CY$9142,27,FALSE)</f>
        <v>000</v>
      </c>
      <c r="L228" s="93" t="str">
        <f>VLOOKUP($A228, 'Matriz POA 2024-TRABAJO'!$A$5:$CY$9142,28,FALSE)</f>
        <v>002</v>
      </c>
      <c r="M228" s="93">
        <f>VLOOKUP($A228, 'Matriz POA 2024-TRABAJO'!$A$5:$CY$9142,30,FALSE)</f>
        <v>570102</v>
      </c>
      <c r="N228" s="93" t="str">
        <f>VLOOKUP($A228, 'Matriz POA 2024-TRABAJO'!$A$5:$CY$9142,31,FALSE)</f>
        <v>Tasas Generales, Impuestos, Contribuciones, Permisos, Licencias y Patentes.</v>
      </c>
      <c r="O228" s="93">
        <f>VLOOKUP($A228, 'Matriz POA 2024-TRABAJO'!$A$5:$CY$9142,45,FALSE)</f>
        <v>150</v>
      </c>
      <c r="P228" s="93">
        <f>VLOOKUP($A228, 'Matriz POA 2024-TRABAJO'!$A$5:$CY$9142,46,FALSE)</f>
        <v>0</v>
      </c>
      <c r="Q228" s="93">
        <f>VLOOKUP($A228, 'Matriz POA 2024-TRABAJO'!$A$5:$CY$9142,47,FALSE)</f>
        <v>150</v>
      </c>
      <c r="R228" s="94">
        <f t="shared" si="199"/>
        <v>150</v>
      </c>
      <c r="S228" s="95">
        <f t="shared" si="200"/>
        <v>0</v>
      </c>
      <c r="T228" s="93">
        <f>VLOOKUP($A228, 'Matriz POA 2024-TRABAJO'!$A$5:$CY$9142,72,FALSE)</f>
        <v>27</v>
      </c>
      <c r="U228" s="93" t="str">
        <f>VLOOKUP($A228, 'Matriz POA 2024-TRABAJO'!$A$5:$CY$9142,29,FALSE)</f>
        <v>57</v>
      </c>
      <c r="V228" s="93" t="str">
        <f t="shared" si="201"/>
        <v/>
      </c>
      <c r="W228" s="96" t="s">
        <v>1888</v>
      </c>
      <c r="X228" s="96">
        <v>45309</v>
      </c>
      <c r="Y228" s="97" t="s">
        <v>1889</v>
      </c>
      <c r="Z228" s="96">
        <v>45309</v>
      </c>
      <c r="AA228" s="93">
        <v>150</v>
      </c>
      <c r="AB228" s="93"/>
      <c r="AC228" s="93">
        <f t="shared" si="202"/>
        <v>0</v>
      </c>
      <c r="AD228" s="93"/>
      <c r="AE228" s="93"/>
      <c r="AF228" s="93"/>
      <c r="AG228" s="93"/>
      <c r="AH228" s="93"/>
      <c r="AI228" s="93"/>
      <c r="AJ228" s="93"/>
      <c r="AK228" s="93">
        <f t="shared" si="203"/>
        <v>0</v>
      </c>
      <c r="AL228" s="93"/>
      <c r="AM228" s="93"/>
      <c r="AN228" s="93"/>
      <c r="AO228" s="93"/>
      <c r="AP228" s="93"/>
      <c r="AQ228" s="93"/>
      <c r="AR228" s="93"/>
      <c r="AS228" s="93">
        <f t="shared" si="204"/>
        <v>0</v>
      </c>
      <c r="AT228" s="93"/>
      <c r="AU228" s="93"/>
      <c r="AV228" s="93"/>
      <c r="AW228" s="93"/>
      <c r="AX228" s="93"/>
      <c r="AY228" s="93"/>
      <c r="AZ228" s="93"/>
      <c r="BA228" s="93"/>
      <c r="BB228" s="93"/>
      <c r="BC228" s="93"/>
      <c r="BD228" s="93"/>
      <c r="BE228" s="93"/>
      <c r="BF228" s="93"/>
      <c r="BG228" s="93"/>
      <c r="BH228" s="93"/>
      <c r="BI228" s="93"/>
      <c r="BJ228" s="93"/>
      <c r="BK228" s="93"/>
      <c r="BL228" s="93"/>
      <c r="BM228" s="93"/>
      <c r="BN228" s="93"/>
      <c r="BO228" s="93"/>
      <c r="BP228" s="93"/>
      <c r="BQ228" s="93"/>
      <c r="BR228" s="93"/>
      <c r="BS228" s="93"/>
      <c r="BT228" s="93"/>
      <c r="BU228" s="93"/>
      <c r="BV228" s="93"/>
      <c r="BW228" s="93"/>
      <c r="BX228" s="93"/>
      <c r="BY228" s="93"/>
      <c r="BZ228" s="93"/>
      <c r="CA228" s="93"/>
      <c r="CB228" s="93"/>
      <c r="CC228" s="93"/>
      <c r="CD228" s="93"/>
      <c r="CE228" s="93"/>
      <c r="CF228" s="93"/>
      <c r="CG228" s="93"/>
      <c r="CH228" s="93"/>
      <c r="CI228" s="93"/>
      <c r="CJ228" s="93"/>
      <c r="CK228" s="93"/>
      <c r="CL228" s="93"/>
      <c r="CM228" s="93"/>
      <c r="CN228" s="93"/>
      <c r="CO228" s="93"/>
      <c r="CP228" s="93"/>
      <c r="CQ228" s="93"/>
      <c r="CR228" s="93"/>
      <c r="CS228" s="93"/>
      <c r="CT228" s="93"/>
      <c r="CU228" s="93"/>
      <c r="CV228" s="93"/>
      <c r="CW228" s="93"/>
      <c r="CX228" s="93"/>
    </row>
    <row r="229" spans="1:102" ht="15" customHeight="1">
      <c r="A229" s="93">
        <v>460</v>
      </c>
      <c r="B229" s="93" t="str">
        <f>VLOOKUP($A229,  'Matriz POA 2024-TRABAJO'!$A$5:$CY$9142,29,FALSE)</f>
        <v>57</v>
      </c>
      <c r="C229" s="93" t="str">
        <f>VLOOKUP($A229, 'Matriz POA 2024-TRABAJO'!$A$5:$CY$9142,11,FALSE)</f>
        <v>Corporación Ciudad Alfaro</v>
      </c>
      <c r="D229" s="93" t="str">
        <f>VLOOKUP($A229, 'Matriz POA 2024-TRABAJO'!$A$5:$CY$9142,14,FALSE)</f>
        <v>N/A</v>
      </c>
      <c r="E229" s="93" t="str">
        <f>VLOOKUP($A229, 'Matriz POA 2024-TRABAJO'!$A$5:$CY$9142,15,FALSE)</f>
        <v>N/A</v>
      </c>
      <c r="F229" s="93" t="str">
        <f>VLOOKUP($A229, 'Matriz POA 2024-TRABAJO'!$A$5:$CY$9142,18,FALSE)</f>
        <v>N/A</v>
      </c>
      <c r="G229" s="93" t="str">
        <f>VLOOKUP($A229, 'Matriz POA 2024-TRABAJO'!$A$5:$CY$9142,23,FALSE)</f>
        <v>NUEVA</v>
      </c>
      <c r="H229" s="93" t="str">
        <f>VLOOKUP($A229, 'Matriz POA 2024-TRABAJO'!$A$5:$CY$9142,24,FALSE)</f>
        <v xml:space="preserve">Reintegro de gastos por trámite de tasas de contribución especial en la matriculación vehicular por rodaje cantonal </v>
      </c>
      <c r="I229" s="93" t="str">
        <f>VLOOKUP($A229, 'Matriz POA 2024-TRABAJO'!$A$5:$CY$9142,20,FALSE)</f>
        <v>N/A</v>
      </c>
      <c r="J229" s="93" t="str">
        <f>VLOOKUP($A229, 'Matriz POA 2024-TRABAJO'!$A$5:$CY$9142,26,FALSE)</f>
        <v>80</v>
      </c>
      <c r="K229" s="93" t="str">
        <f>VLOOKUP($A229, 'Matriz POA 2024-TRABAJO'!$A$5:$CY$9142,27,FALSE)</f>
        <v>000</v>
      </c>
      <c r="L229" s="93" t="str">
        <f>VLOOKUP($A229, 'Matriz POA 2024-TRABAJO'!$A$5:$CY$9142,28,FALSE)</f>
        <v>002</v>
      </c>
      <c r="M229" s="93">
        <f>VLOOKUP($A229, 'Matriz POA 2024-TRABAJO'!$A$5:$CY$9142,30,FALSE)</f>
        <v>570102</v>
      </c>
      <c r="N229" s="93" t="str">
        <f>VLOOKUP($A229, 'Matriz POA 2024-TRABAJO'!$A$5:$CY$9142,31,FALSE)</f>
        <v>Tasas Generales, Impuestos, Contribuciones, Permisos, Licencias y Patentes.</v>
      </c>
      <c r="O229" s="93">
        <f>VLOOKUP($A229, 'Matriz POA 2024-TRABAJO'!$A$5:$CY$9142,45,FALSE)</f>
        <v>200</v>
      </c>
      <c r="P229" s="93">
        <f>VLOOKUP($A229, 'Matriz POA 2024-TRABAJO'!$A$5:$CY$9142,46,FALSE)</f>
        <v>0</v>
      </c>
      <c r="Q229" s="93">
        <f>VLOOKUP($A229, 'Matriz POA 2024-TRABAJO'!$A$5:$CY$9142,47,FALSE)</f>
        <v>200</v>
      </c>
      <c r="R229" s="94">
        <f t="shared" si="199"/>
        <v>200</v>
      </c>
      <c r="S229" s="95">
        <f t="shared" si="200"/>
        <v>0</v>
      </c>
      <c r="T229" s="93" t="str">
        <f>VLOOKUP($A229, 'Matriz POA 2024-TRABAJO'!$A$5:$CY$9142,72,FALSE)</f>
        <v/>
      </c>
      <c r="U229" s="93" t="str">
        <f>VLOOKUP($A229, 'Matriz POA 2024-TRABAJO'!$A$5:$CY$9142,29,FALSE)</f>
        <v>57</v>
      </c>
      <c r="V229" s="93" t="str">
        <f t="shared" si="201"/>
        <v/>
      </c>
      <c r="W229" s="96" t="s">
        <v>1888</v>
      </c>
      <c r="X229" s="96">
        <v>45309</v>
      </c>
      <c r="Y229" s="97" t="s">
        <v>1889</v>
      </c>
      <c r="Z229" s="96">
        <v>45309</v>
      </c>
      <c r="AA229" s="93">
        <v>200</v>
      </c>
      <c r="AB229" s="93"/>
      <c r="AC229" s="93">
        <f t="shared" si="202"/>
        <v>0</v>
      </c>
      <c r="AD229" s="93"/>
      <c r="AE229" s="93"/>
      <c r="AF229" s="93"/>
      <c r="AG229" s="93"/>
      <c r="AH229" s="93"/>
      <c r="AI229" s="93"/>
      <c r="AJ229" s="93"/>
      <c r="AK229" s="93">
        <f t="shared" si="203"/>
        <v>0</v>
      </c>
      <c r="AL229" s="93"/>
      <c r="AM229" s="93"/>
      <c r="AN229" s="93"/>
      <c r="AO229" s="93"/>
      <c r="AP229" s="93"/>
      <c r="AQ229" s="93"/>
      <c r="AR229" s="93"/>
      <c r="AS229" s="93">
        <f t="shared" si="204"/>
        <v>0</v>
      </c>
      <c r="AT229" s="93"/>
      <c r="AU229" s="93"/>
      <c r="AV229" s="93"/>
      <c r="AW229" s="93"/>
      <c r="AX229" s="93"/>
      <c r="AY229" s="93"/>
      <c r="AZ229" s="93"/>
      <c r="BA229" s="93"/>
      <c r="BB229" s="93"/>
      <c r="BC229" s="93"/>
      <c r="BD229" s="93"/>
      <c r="BE229" s="93"/>
      <c r="BF229" s="93"/>
      <c r="BG229" s="93"/>
      <c r="BH229" s="93"/>
      <c r="BI229" s="93"/>
      <c r="BJ229" s="93"/>
      <c r="BK229" s="93"/>
      <c r="BL229" s="93"/>
      <c r="BM229" s="93"/>
      <c r="BN229" s="93"/>
      <c r="BO229" s="93"/>
      <c r="BP229" s="93"/>
      <c r="BQ229" s="93"/>
      <c r="BR229" s="93"/>
      <c r="BS229" s="93"/>
      <c r="BT229" s="93"/>
      <c r="BU229" s="93"/>
      <c r="BV229" s="93"/>
      <c r="BW229" s="93"/>
      <c r="BX229" s="93"/>
      <c r="BY229" s="93"/>
      <c r="BZ229" s="93"/>
      <c r="CA229" s="93"/>
      <c r="CB229" s="93"/>
      <c r="CC229" s="93"/>
      <c r="CD229" s="93"/>
      <c r="CE229" s="93"/>
      <c r="CF229" s="93"/>
      <c r="CG229" s="93"/>
      <c r="CH229" s="93"/>
      <c r="CI229" s="93"/>
      <c r="CJ229" s="93"/>
      <c r="CK229" s="93"/>
      <c r="CL229" s="93"/>
      <c r="CM229" s="93"/>
      <c r="CN229" s="93"/>
      <c r="CO229" s="93"/>
      <c r="CP229" s="93"/>
      <c r="CQ229" s="93"/>
      <c r="CR229" s="93"/>
      <c r="CS229" s="93"/>
      <c r="CT229" s="93"/>
      <c r="CU229" s="93"/>
      <c r="CV229" s="93"/>
      <c r="CW229" s="93"/>
      <c r="CX229" s="93"/>
    </row>
    <row r="230" spans="1:102" ht="15" customHeight="1">
      <c r="A230" s="93">
        <v>461</v>
      </c>
      <c r="B230" s="93" t="str">
        <f>VLOOKUP($A230,  'Matriz POA 2024-TRABAJO'!$A$5:$CY$9142,29,FALSE)</f>
        <v>57</v>
      </c>
      <c r="C230" s="93" t="str">
        <f>VLOOKUP($A230, 'Matriz POA 2024-TRABAJO'!$A$5:$CY$9142,11,FALSE)</f>
        <v>Corporación Ciudad Alfaro</v>
      </c>
      <c r="D230" s="93" t="str">
        <f>VLOOKUP($A230, 'Matriz POA 2024-TRABAJO'!$A$5:$CY$9142,14,FALSE)</f>
        <v>N/A</v>
      </c>
      <c r="E230" s="93" t="str">
        <f>VLOOKUP($A230, 'Matriz POA 2024-TRABAJO'!$A$5:$CY$9142,15,FALSE)</f>
        <v>N/A</v>
      </c>
      <c r="F230" s="93" t="str">
        <f>VLOOKUP($A230, 'Matriz POA 2024-TRABAJO'!$A$5:$CY$9142,18,FALSE)</f>
        <v>N/A</v>
      </c>
      <c r="G230" s="93" t="str">
        <f>VLOOKUP($A230, 'Matriz POA 2024-TRABAJO'!$A$5:$CY$9142,23,FALSE)</f>
        <v>NUEVA</v>
      </c>
      <c r="H230" s="93" t="str">
        <f>VLOOKUP($A230, 'Matriz POA 2024-TRABAJO'!$A$5:$CY$9142,24,FALSE)</f>
        <v>Pago de contribución especial por mejoramiento vial rural de los vehículos de la Corporación Ciudad Alfaro</v>
      </c>
      <c r="I230" s="93" t="str">
        <f>VLOOKUP($A230, 'Matriz POA 2024-TRABAJO'!$A$5:$CY$9142,20,FALSE)</f>
        <v>N/A</v>
      </c>
      <c r="J230" s="93" t="str">
        <f>VLOOKUP($A230, 'Matriz POA 2024-TRABAJO'!$A$5:$CY$9142,26,FALSE)</f>
        <v>80</v>
      </c>
      <c r="K230" s="93" t="str">
        <f>VLOOKUP($A230, 'Matriz POA 2024-TRABAJO'!$A$5:$CY$9142,27,FALSE)</f>
        <v>000</v>
      </c>
      <c r="L230" s="93" t="str">
        <f>VLOOKUP($A230, 'Matriz POA 2024-TRABAJO'!$A$5:$CY$9142,28,FALSE)</f>
        <v>002</v>
      </c>
      <c r="M230" s="93">
        <f>VLOOKUP($A230, 'Matriz POA 2024-TRABAJO'!$A$5:$CY$9142,30,FALSE)</f>
        <v>570102</v>
      </c>
      <c r="N230" s="93" t="str">
        <f>VLOOKUP($A230, 'Matriz POA 2024-TRABAJO'!$A$5:$CY$9142,31,FALSE)</f>
        <v>Tasas Generales, Impuestos, Contribuciones, Permisos, Licencias y Patentes.</v>
      </c>
      <c r="O230" s="93">
        <f>VLOOKUP($A230, 'Matriz POA 2024-TRABAJO'!$A$5:$CY$9142,45,FALSE)</f>
        <v>65.16</v>
      </c>
      <c r="P230" s="93">
        <f>VLOOKUP($A230, 'Matriz POA 2024-TRABAJO'!$A$5:$CY$9142,46,FALSE)</f>
        <v>0</v>
      </c>
      <c r="Q230" s="93">
        <f>VLOOKUP($A230, 'Matriz POA 2024-TRABAJO'!$A$5:$CY$9142,47,FALSE)</f>
        <v>65.16</v>
      </c>
      <c r="R230" s="94">
        <f t="shared" si="199"/>
        <v>65.16</v>
      </c>
      <c r="S230" s="95">
        <f t="shared" si="200"/>
        <v>0</v>
      </c>
      <c r="T230" s="93">
        <f>VLOOKUP($A230, 'Matriz POA 2024-TRABAJO'!$A$5:$CY$9142,72,FALSE)</f>
        <v>65.16</v>
      </c>
      <c r="U230" s="93" t="str">
        <f>VLOOKUP($A230, 'Matriz POA 2024-TRABAJO'!$A$5:$CY$9142,29,FALSE)</f>
        <v>57</v>
      </c>
      <c r="V230" s="93" t="str">
        <f t="shared" si="201"/>
        <v/>
      </c>
      <c r="W230" s="96" t="s">
        <v>1888</v>
      </c>
      <c r="X230" s="96">
        <v>45309</v>
      </c>
      <c r="Y230" s="97" t="s">
        <v>1889</v>
      </c>
      <c r="Z230" s="96">
        <v>45309</v>
      </c>
      <c r="AA230" s="93">
        <v>65.16</v>
      </c>
      <c r="AB230" s="93"/>
      <c r="AC230" s="93">
        <f t="shared" si="202"/>
        <v>0</v>
      </c>
      <c r="AD230" s="93"/>
      <c r="AE230" s="93"/>
      <c r="AF230" s="93"/>
      <c r="AG230" s="93"/>
      <c r="AH230" s="93"/>
      <c r="AI230" s="93"/>
      <c r="AJ230" s="93"/>
      <c r="AK230" s="93">
        <f t="shared" si="203"/>
        <v>0</v>
      </c>
      <c r="AL230" s="93"/>
      <c r="AM230" s="93"/>
      <c r="AN230" s="93"/>
      <c r="AO230" s="93"/>
      <c r="AP230" s="93"/>
      <c r="AQ230" s="93"/>
      <c r="AR230" s="93"/>
      <c r="AS230" s="93">
        <f t="shared" si="204"/>
        <v>0</v>
      </c>
      <c r="AT230" s="93"/>
      <c r="AU230" s="93"/>
      <c r="AV230" s="93"/>
      <c r="AW230" s="93"/>
      <c r="AX230" s="93"/>
      <c r="AY230" s="93"/>
      <c r="AZ230" s="93"/>
      <c r="BA230" s="93"/>
      <c r="BB230" s="93"/>
      <c r="BC230" s="93"/>
      <c r="BD230" s="93"/>
      <c r="BE230" s="93"/>
      <c r="BF230" s="93"/>
      <c r="BG230" s="93"/>
      <c r="BH230" s="93"/>
      <c r="BI230" s="93"/>
      <c r="BJ230" s="93"/>
      <c r="BK230" s="93"/>
      <c r="BL230" s="93"/>
      <c r="BM230" s="93"/>
      <c r="BN230" s="93"/>
      <c r="BO230" s="93"/>
      <c r="BP230" s="93"/>
      <c r="BQ230" s="93"/>
      <c r="BR230" s="93"/>
      <c r="BS230" s="93"/>
      <c r="BT230" s="93"/>
      <c r="BU230" s="93"/>
      <c r="BV230" s="93"/>
      <c r="BW230" s="93"/>
      <c r="BX230" s="93"/>
      <c r="BY230" s="93"/>
      <c r="BZ230" s="93"/>
      <c r="CA230" s="93"/>
      <c r="CB230" s="93"/>
      <c r="CC230" s="93"/>
      <c r="CD230" s="93"/>
      <c r="CE230" s="93"/>
      <c r="CF230" s="93"/>
      <c r="CG230" s="93"/>
      <c r="CH230" s="93"/>
      <c r="CI230" s="93"/>
      <c r="CJ230" s="93"/>
      <c r="CK230" s="93"/>
      <c r="CL230" s="93"/>
      <c r="CM230" s="93"/>
      <c r="CN230" s="93"/>
      <c r="CO230" s="93"/>
      <c r="CP230" s="93"/>
      <c r="CQ230" s="93"/>
      <c r="CR230" s="93"/>
      <c r="CS230" s="93"/>
      <c r="CT230" s="93"/>
      <c r="CU230" s="93"/>
      <c r="CV230" s="93"/>
      <c r="CW230" s="93"/>
      <c r="CX230" s="93"/>
    </row>
    <row r="231" spans="1:102" ht="15" customHeight="1">
      <c r="A231" s="93">
        <v>462</v>
      </c>
      <c r="B231" s="93" t="str">
        <f>VLOOKUP($A231,  'Matriz POA 2024-TRABAJO'!$A$5:$CY$9142,29,FALSE)</f>
        <v>57</v>
      </c>
      <c r="C231" s="93" t="str">
        <f>VLOOKUP($A231, 'Matriz POA 2024-TRABAJO'!$A$5:$CY$9142,11,FALSE)</f>
        <v>Corporación Ciudad Alfaro</v>
      </c>
      <c r="D231" s="93" t="str">
        <f>VLOOKUP($A231, 'Matriz POA 2024-TRABAJO'!$A$5:$CY$9142,14,FALSE)</f>
        <v>N/A</v>
      </c>
      <c r="E231" s="93" t="str">
        <f>VLOOKUP($A231, 'Matriz POA 2024-TRABAJO'!$A$5:$CY$9142,15,FALSE)</f>
        <v>N/A</v>
      </c>
      <c r="F231" s="93" t="str">
        <f>VLOOKUP($A231, 'Matriz POA 2024-TRABAJO'!$A$5:$CY$9142,18,FALSE)</f>
        <v>N/A</v>
      </c>
      <c r="G231" s="93" t="str">
        <f>VLOOKUP($A231, 'Matriz POA 2024-TRABAJO'!$A$5:$CY$9142,23,FALSE)</f>
        <v>NUEVA</v>
      </c>
      <c r="H231" s="93" t="str">
        <f>VLOOKUP($A231, 'Matriz POA 2024-TRABAJO'!$A$5:$CY$9142,24,FALSE)</f>
        <v>Pago de matriculación 2024 de los vehículos de la Corporación Ciudad Alfaro y sus sedes</v>
      </c>
      <c r="I231" s="93" t="str">
        <f>VLOOKUP($A231, 'Matriz POA 2024-TRABAJO'!$A$5:$CY$9142,20,FALSE)</f>
        <v>N/A</v>
      </c>
      <c r="J231" s="93" t="str">
        <f>VLOOKUP($A231, 'Matriz POA 2024-TRABAJO'!$A$5:$CY$9142,26,FALSE)</f>
        <v>80</v>
      </c>
      <c r="K231" s="93" t="str">
        <f>VLOOKUP($A231, 'Matriz POA 2024-TRABAJO'!$A$5:$CY$9142,27,FALSE)</f>
        <v>000</v>
      </c>
      <c r="L231" s="93" t="str">
        <f>VLOOKUP($A231, 'Matriz POA 2024-TRABAJO'!$A$5:$CY$9142,28,FALSE)</f>
        <v>002</v>
      </c>
      <c r="M231" s="93">
        <f>VLOOKUP($A231, 'Matriz POA 2024-TRABAJO'!$A$5:$CY$9142,30,FALSE)</f>
        <v>570102</v>
      </c>
      <c r="N231" s="93" t="str">
        <f>VLOOKUP($A231, 'Matriz POA 2024-TRABAJO'!$A$5:$CY$9142,31,FALSE)</f>
        <v>Tasas Generales, Impuestos, Contribuciones, Permisos, Licencias y Patentes.</v>
      </c>
      <c r="O231" s="93">
        <f>VLOOKUP($A231, 'Matriz POA 2024-TRABAJO'!$A$5:$CY$9142,45,FALSE)</f>
        <v>622.08000000000004</v>
      </c>
      <c r="P231" s="93">
        <f>VLOOKUP($A231, 'Matriz POA 2024-TRABAJO'!$A$5:$CY$9142,46,FALSE)</f>
        <v>0</v>
      </c>
      <c r="Q231" s="93">
        <f>VLOOKUP($A231, 'Matriz POA 2024-TRABAJO'!$A$5:$CY$9142,47,FALSE)</f>
        <v>622.08000000000004</v>
      </c>
      <c r="R231" s="94">
        <f t="shared" si="199"/>
        <v>622.08000000000004</v>
      </c>
      <c r="S231" s="95">
        <f t="shared" si="200"/>
        <v>0</v>
      </c>
      <c r="T231" s="93">
        <f>VLOOKUP($A231, 'Matriz POA 2024-TRABAJO'!$A$5:$CY$9142,72,FALSE)</f>
        <v>622.08000000000004</v>
      </c>
      <c r="U231" s="93" t="str">
        <f>VLOOKUP($A231, 'Matriz POA 2024-TRABAJO'!$A$5:$CY$9142,29,FALSE)</f>
        <v>57</v>
      </c>
      <c r="V231" s="93" t="str">
        <f t="shared" si="201"/>
        <v/>
      </c>
      <c r="W231" s="96" t="s">
        <v>1888</v>
      </c>
      <c r="X231" s="96">
        <v>45309</v>
      </c>
      <c r="Y231" s="97" t="s">
        <v>1889</v>
      </c>
      <c r="Z231" s="96">
        <v>45309</v>
      </c>
      <c r="AA231" s="93">
        <v>622.08000000000004</v>
      </c>
      <c r="AB231" s="93"/>
      <c r="AC231" s="93">
        <f t="shared" si="202"/>
        <v>0</v>
      </c>
      <c r="AD231" s="93"/>
      <c r="AE231" s="93"/>
      <c r="AF231" s="93"/>
      <c r="AG231" s="93"/>
      <c r="AH231" s="93"/>
      <c r="AI231" s="93"/>
      <c r="AJ231" s="93"/>
      <c r="AK231" s="93">
        <f t="shared" si="203"/>
        <v>0</v>
      </c>
      <c r="AL231" s="93"/>
      <c r="AM231" s="93"/>
      <c r="AN231" s="93"/>
      <c r="AO231" s="93"/>
      <c r="AP231" s="93"/>
      <c r="AQ231" s="93"/>
      <c r="AR231" s="93"/>
      <c r="AS231" s="93">
        <f t="shared" si="204"/>
        <v>0</v>
      </c>
      <c r="AT231" s="93"/>
      <c r="AU231" s="93"/>
      <c r="AV231" s="93"/>
      <c r="AW231" s="93"/>
      <c r="AX231" s="93"/>
      <c r="AY231" s="93"/>
      <c r="AZ231" s="93"/>
      <c r="BA231" s="93"/>
      <c r="BB231" s="93"/>
      <c r="BC231" s="93"/>
      <c r="BD231" s="93"/>
      <c r="BE231" s="93"/>
      <c r="BF231" s="93"/>
      <c r="BG231" s="93"/>
      <c r="BH231" s="93"/>
      <c r="BI231" s="93"/>
      <c r="BJ231" s="93"/>
      <c r="BK231" s="93"/>
      <c r="BL231" s="93"/>
      <c r="BM231" s="93"/>
      <c r="BN231" s="93"/>
      <c r="BO231" s="93"/>
      <c r="BP231" s="93"/>
      <c r="BQ231" s="93"/>
      <c r="BR231" s="93"/>
      <c r="BS231" s="93"/>
      <c r="BT231" s="93"/>
      <c r="BU231" s="93"/>
      <c r="BV231" s="93"/>
      <c r="BW231" s="93"/>
      <c r="BX231" s="93"/>
      <c r="BY231" s="93"/>
      <c r="BZ231" s="93"/>
      <c r="CA231" s="93"/>
      <c r="CB231" s="93"/>
      <c r="CC231" s="93"/>
      <c r="CD231" s="93"/>
      <c r="CE231" s="93"/>
      <c r="CF231" s="93"/>
      <c r="CG231" s="93"/>
      <c r="CH231" s="93"/>
      <c r="CI231" s="93"/>
      <c r="CJ231" s="93"/>
      <c r="CK231" s="93"/>
      <c r="CL231" s="93"/>
      <c r="CM231" s="93"/>
      <c r="CN231" s="93"/>
      <c r="CO231" s="93"/>
      <c r="CP231" s="93"/>
      <c r="CQ231" s="93"/>
      <c r="CR231" s="93"/>
      <c r="CS231" s="93"/>
      <c r="CT231" s="93"/>
      <c r="CU231" s="93"/>
      <c r="CV231" s="93"/>
      <c r="CW231" s="93"/>
      <c r="CX231" s="93"/>
    </row>
    <row r="232" spans="1:102" ht="15" customHeight="1">
      <c r="A232" s="93">
        <v>464</v>
      </c>
      <c r="B232" s="93" t="str">
        <f>VLOOKUP($A232,  'Matriz POA 2024-TRABAJO'!$A$5:$CY$9142,29,FALSE)</f>
        <v>57</v>
      </c>
      <c r="C232" s="93" t="str">
        <f>VLOOKUP($A232, 'Matriz POA 2024-TRABAJO'!$A$5:$CY$9142,11,FALSE)</f>
        <v>Corporación Ciudad Alfaro</v>
      </c>
      <c r="D232" s="93" t="str">
        <f>VLOOKUP($A232, 'Matriz POA 2024-TRABAJO'!$A$5:$CY$9142,14,FALSE)</f>
        <v>N/A</v>
      </c>
      <c r="E232" s="93" t="str">
        <f>VLOOKUP($A232, 'Matriz POA 2024-TRABAJO'!$A$5:$CY$9142,15,FALSE)</f>
        <v>N/A</v>
      </c>
      <c r="F232" s="93" t="str">
        <f>VLOOKUP($A232, 'Matriz POA 2024-TRABAJO'!$A$5:$CY$9142,18,FALSE)</f>
        <v>N/A</v>
      </c>
      <c r="G232" s="93" t="str">
        <f>VLOOKUP($A232, 'Matriz POA 2024-TRABAJO'!$A$5:$CY$9142,23,FALSE)</f>
        <v>NUEVA</v>
      </c>
      <c r="H232" s="93" t="str">
        <f>VLOOKUP($A232, 'Matriz POA 2024-TRABAJO'!$A$5:$CY$9142,24,FALSE)</f>
        <v>Pago de tasas y contribuciones a los predios urbanos y cuerpo de bomberos de la Corporación Ciudad Alfaro</v>
      </c>
      <c r="I232" s="93" t="str">
        <f>VLOOKUP($A232, 'Matriz POA 2024-TRABAJO'!$A$5:$CY$9142,20,FALSE)</f>
        <v>N/A</v>
      </c>
      <c r="J232" s="93" t="str">
        <f>VLOOKUP($A232, 'Matriz POA 2024-TRABAJO'!$A$5:$CY$9142,26,FALSE)</f>
        <v>80</v>
      </c>
      <c r="K232" s="93" t="str">
        <f>VLOOKUP($A232, 'Matriz POA 2024-TRABAJO'!$A$5:$CY$9142,27,FALSE)</f>
        <v>000</v>
      </c>
      <c r="L232" s="93" t="str">
        <f>VLOOKUP($A232, 'Matriz POA 2024-TRABAJO'!$A$5:$CY$9142,28,FALSE)</f>
        <v>002</v>
      </c>
      <c r="M232" s="93">
        <f>VLOOKUP($A232, 'Matriz POA 2024-TRABAJO'!$A$5:$CY$9142,30,FALSE)</f>
        <v>570102</v>
      </c>
      <c r="N232" s="93" t="str">
        <f>VLOOKUP($A232, 'Matriz POA 2024-TRABAJO'!$A$5:$CY$9142,31,FALSE)</f>
        <v>Tasas Generales, Impuestos, Contribuciones, Permisos, Licencias y Patentes.</v>
      </c>
      <c r="O232" s="93">
        <f>VLOOKUP($A232, 'Matriz POA 2024-TRABAJO'!$A$5:$CY$9142,45,FALSE)</f>
        <v>575.36000000000013</v>
      </c>
      <c r="P232" s="93">
        <f>VLOOKUP($A232, 'Matriz POA 2024-TRABAJO'!$A$5:$CY$9142,46,FALSE)</f>
        <v>0</v>
      </c>
      <c r="Q232" s="93">
        <f>VLOOKUP($A232, 'Matriz POA 2024-TRABAJO'!$A$5:$CY$9142,47,FALSE)</f>
        <v>575.36000000000013</v>
      </c>
      <c r="R232" s="94">
        <f t="shared" si="199"/>
        <v>3000</v>
      </c>
      <c r="S232" s="95">
        <f t="shared" si="200"/>
        <v>-2424.64</v>
      </c>
      <c r="T232" s="93">
        <f>VLOOKUP($A232, 'Matriz POA 2024-TRABAJO'!$A$5:$CY$9142,72,FALSE)</f>
        <v>575.36</v>
      </c>
      <c r="U232" s="93" t="str">
        <f>VLOOKUP($A232, 'Matriz POA 2024-TRABAJO'!$A$5:$CY$9142,29,FALSE)</f>
        <v>57</v>
      </c>
      <c r="V232" s="93" t="str">
        <f t="shared" si="201"/>
        <v/>
      </c>
      <c r="W232" s="96" t="s">
        <v>1888</v>
      </c>
      <c r="X232" s="96">
        <v>45309</v>
      </c>
      <c r="Y232" s="97" t="s">
        <v>1889</v>
      </c>
      <c r="Z232" s="96">
        <v>45309</v>
      </c>
      <c r="AA232" s="93">
        <v>3000</v>
      </c>
      <c r="AB232" s="93"/>
      <c r="AC232" s="93">
        <f t="shared" si="202"/>
        <v>0</v>
      </c>
      <c r="AD232" s="93"/>
      <c r="AE232" s="93"/>
      <c r="AF232" s="93"/>
      <c r="AG232" s="93"/>
      <c r="AH232" s="93"/>
      <c r="AI232" s="93"/>
      <c r="AJ232" s="93"/>
      <c r="AK232" s="93">
        <f t="shared" si="203"/>
        <v>0</v>
      </c>
      <c r="AL232" s="93"/>
      <c r="AM232" s="93"/>
      <c r="AN232" s="93"/>
      <c r="AO232" s="93"/>
      <c r="AP232" s="93"/>
      <c r="AQ232" s="93"/>
      <c r="AR232" s="93"/>
      <c r="AS232" s="93">
        <f t="shared" si="204"/>
        <v>0</v>
      </c>
      <c r="AT232" s="93"/>
      <c r="AU232" s="93"/>
      <c r="AV232" s="93"/>
      <c r="AW232" s="93"/>
      <c r="AX232" s="93"/>
      <c r="AY232" s="93"/>
      <c r="AZ232" s="93"/>
      <c r="BA232" s="93"/>
      <c r="BB232" s="93"/>
      <c r="BC232" s="93"/>
      <c r="BD232" s="93"/>
      <c r="BE232" s="93"/>
      <c r="BF232" s="93"/>
      <c r="BG232" s="93"/>
      <c r="BH232" s="93"/>
      <c r="BI232" s="93"/>
      <c r="BJ232" s="93"/>
      <c r="BK232" s="93"/>
      <c r="BL232" s="93"/>
      <c r="BM232" s="93"/>
      <c r="BN232" s="93"/>
      <c r="BO232" s="93"/>
      <c r="BP232" s="93"/>
      <c r="BQ232" s="93"/>
      <c r="BR232" s="93"/>
      <c r="BS232" s="93"/>
      <c r="BT232" s="93"/>
      <c r="BU232" s="93"/>
      <c r="BV232" s="93"/>
      <c r="BW232" s="93"/>
      <c r="BX232" s="93"/>
      <c r="BY232" s="93"/>
      <c r="BZ232" s="93"/>
      <c r="CA232" s="93"/>
      <c r="CB232" s="93"/>
      <c r="CC232" s="93"/>
      <c r="CD232" s="93"/>
      <c r="CE232" s="93"/>
      <c r="CF232" s="93"/>
      <c r="CG232" s="93"/>
      <c r="CH232" s="93"/>
      <c r="CI232" s="93"/>
      <c r="CJ232" s="93"/>
      <c r="CK232" s="93"/>
      <c r="CL232" s="93"/>
      <c r="CM232" s="93"/>
      <c r="CN232" s="93"/>
      <c r="CO232" s="93"/>
      <c r="CP232" s="93"/>
      <c r="CQ232" s="93"/>
      <c r="CR232" s="93"/>
      <c r="CS232" s="93"/>
      <c r="CT232" s="93"/>
      <c r="CU232" s="93"/>
      <c r="CV232" s="93"/>
      <c r="CW232" s="93"/>
      <c r="CX232" s="93"/>
    </row>
    <row r="233" spans="1:102" ht="15" customHeight="1">
      <c r="A233" s="93">
        <v>486</v>
      </c>
      <c r="B233" s="93" t="str">
        <f>VLOOKUP($A233,  'Matriz POA 2024-TRABAJO'!$A$5:$CY$9142,29,FALSE)</f>
        <v>53</v>
      </c>
      <c r="C233" s="93" t="str">
        <f>VLOOKUP($A233, 'Matriz POA 2024-TRABAJO'!$A$5:$CY$9142,11,FALSE)</f>
        <v>Corporación Ciudad Alfaro</v>
      </c>
      <c r="D233" s="93" t="str">
        <f>VLOOKUP($A233, 'Matriz POA 2024-TRABAJO'!$A$5:$CY$9142,14,FALSE)</f>
        <v>N/A</v>
      </c>
      <c r="E233" s="93" t="str">
        <f>VLOOKUP($A233, 'Matriz POA 2024-TRABAJO'!$A$5:$CY$9142,15,FALSE)</f>
        <v>N/A</v>
      </c>
      <c r="F233" s="93" t="str">
        <f>VLOOKUP($A233, 'Matriz POA 2024-TRABAJO'!$A$5:$CY$9142,18,FALSE)</f>
        <v>N/A</v>
      </c>
      <c r="G233" s="93" t="str">
        <f>VLOOKUP($A233, 'Matriz POA 2024-TRABAJO'!$A$5:$CY$9142,23,FALSE)</f>
        <v>NUEVA</v>
      </c>
      <c r="H233" s="93" t="str">
        <f>VLOOKUP($A233, 'Matriz POA 2024-TRABAJO'!$A$5:$CY$9142,24,FALSE)</f>
        <v>Pago de pasajes en el interior para el personal de la Corporación Ciudad Alfaro y sus sedes</v>
      </c>
      <c r="I233" s="93" t="str">
        <f>VLOOKUP($A233, 'Matriz POA 2024-TRABAJO'!$A$5:$CY$9142,20,FALSE)</f>
        <v>N/A</v>
      </c>
      <c r="J233" s="93" t="str">
        <f>VLOOKUP($A233, 'Matriz POA 2024-TRABAJO'!$A$5:$CY$9142,26,FALSE)</f>
        <v>80</v>
      </c>
      <c r="K233" s="93" t="str">
        <f>VLOOKUP($A233, 'Matriz POA 2024-TRABAJO'!$A$5:$CY$9142,27,FALSE)</f>
        <v>000</v>
      </c>
      <c r="L233" s="93" t="str">
        <f>VLOOKUP($A233, 'Matriz POA 2024-TRABAJO'!$A$5:$CY$9142,28,FALSE)</f>
        <v>002</v>
      </c>
      <c r="M233" s="93">
        <f>VLOOKUP($A233, 'Matriz POA 2024-TRABAJO'!$A$5:$CY$9142,30,FALSE)</f>
        <v>530301</v>
      </c>
      <c r="N233" s="93" t="str">
        <f>VLOOKUP($A233, 'Matriz POA 2024-TRABAJO'!$A$5:$CY$9142,31,FALSE)</f>
        <v>Pasajes al Interior</v>
      </c>
      <c r="O233" s="93">
        <f>VLOOKUP($A233, 'Matriz POA 2024-TRABAJO'!$A$5:$CY$9142,45,FALSE)</f>
        <v>0</v>
      </c>
      <c r="P233" s="93">
        <f>VLOOKUP($A233, 'Matriz POA 2024-TRABAJO'!$A$5:$CY$9142,46,FALSE)</f>
        <v>0</v>
      </c>
      <c r="Q233" s="93">
        <f>VLOOKUP($A233, 'Matriz POA 2024-TRABAJO'!$A$5:$CY$9142,47,FALSE)</f>
        <v>0</v>
      </c>
      <c r="R233" s="94">
        <f t="shared" si="199"/>
        <v>500</v>
      </c>
      <c r="S233" s="95">
        <f t="shared" si="200"/>
        <v>-500</v>
      </c>
      <c r="T233" s="93" t="str">
        <f>VLOOKUP($A233, 'Matriz POA 2024-TRABAJO'!$A$5:$CY$9142,72,FALSE)</f>
        <v/>
      </c>
      <c r="U233" s="93" t="str">
        <f>VLOOKUP($A233, 'Matriz POA 2024-TRABAJO'!$A$5:$CY$9142,29,FALSE)</f>
        <v>53</v>
      </c>
      <c r="V233" s="93" t="str">
        <f t="shared" si="201"/>
        <v/>
      </c>
      <c r="W233" s="96" t="s">
        <v>1888</v>
      </c>
      <c r="X233" s="96">
        <v>45309</v>
      </c>
      <c r="Y233" s="97" t="s">
        <v>1889</v>
      </c>
      <c r="Z233" s="96">
        <v>45309</v>
      </c>
      <c r="AA233" s="93">
        <v>500</v>
      </c>
      <c r="AB233" s="93"/>
      <c r="AC233" s="93">
        <f t="shared" si="202"/>
        <v>0</v>
      </c>
      <c r="AD233" s="93"/>
      <c r="AE233" s="93"/>
      <c r="AF233" s="93"/>
      <c r="AG233" s="93"/>
      <c r="AH233" s="93"/>
      <c r="AI233" s="93"/>
      <c r="AJ233" s="93"/>
      <c r="AK233" s="93">
        <f t="shared" si="203"/>
        <v>0</v>
      </c>
      <c r="AL233" s="93"/>
      <c r="AM233" s="93"/>
      <c r="AN233" s="93"/>
      <c r="AO233" s="93"/>
      <c r="AP233" s="93"/>
      <c r="AQ233" s="93"/>
      <c r="AR233" s="93"/>
      <c r="AS233" s="93">
        <f t="shared" si="204"/>
        <v>0</v>
      </c>
      <c r="AT233" s="93"/>
      <c r="AU233" s="93"/>
      <c r="AV233" s="93"/>
      <c r="AW233" s="93"/>
      <c r="AX233" s="93"/>
      <c r="AY233" s="93"/>
      <c r="AZ233" s="93"/>
      <c r="BA233" s="93"/>
      <c r="BB233" s="93"/>
      <c r="BC233" s="93"/>
      <c r="BD233" s="93"/>
      <c r="BE233" s="93"/>
      <c r="BF233" s="93"/>
      <c r="BG233" s="93"/>
      <c r="BH233" s="93"/>
      <c r="BI233" s="93"/>
      <c r="BJ233" s="93"/>
      <c r="BK233" s="93"/>
      <c r="BL233" s="93"/>
      <c r="BM233" s="93"/>
      <c r="BN233" s="93"/>
      <c r="BO233" s="93"/>
      <c r="BP233" s="93"/>
      <c r="BQ233" s="93"/>
      <c r="BR233" s="93"/>
      <c r="BS233" s="93"/>
      <c r="BT233" s="93"/>
      <c r="BU233" s="93"/>
      <c r="BV233" s="93"/>
      <c r="BW233" s="93"/>
      <c r="BX233" s="93"/>
      <c r="BY233" s="93"/>
      <c r="BZ233" s="93"/>
      <c r="CA233" s="93"/>
      <c r="CB233" s="93"/>
      <c r="CC233" s="93"/>
      <c r="CD233" s="93"/>
      <c r="CE233" s="93"/>
      <c r="CF233" s="93"/>
      <c r="CG233" s="93"/>
      <c r="CH233" s="93"/>
      <c r="CI233" s="93"/>
      <c r="CJ233" s="93"/>
      <c r="CK233" s="93"/>
      <c r="CL233" s="93"/>
      <c r="CM233" s="93"/>
      <c r="CN233" s="93"/>
      <c r="CO233" s="93"/>
      <c r="CP233" s="93"/>
      <c r="CQ233" s="93"/>
      <c r="CR233" s="93"/>
      <c r="CS233" s="93"/>
      <c r="CT233" s="93"/>
      <c r="CU233" s="93"/>
      <c r="CV233" s="93"/>
      <c r="CW233" s="93"/>
      <c r="CX233" s="93"/>
    </row>
    <row r="234" spans="1:102" ht="15" customHeight="1">
      <c r="A234" s="93">
        <v>487</v>
      </c>
      <c r="B234" s="93" t="str">
        <f>VLOOKUP($A234,  'Matriz POA 2024-TRABAJO'!$A$5:$CY$9142,29,FALSE)</f>
        <v>53</v>
      </c>
      <c r="C234" s="93" t="str">
        <f>VLOOKUP($A234, 'Matriz POA 2024-TRABAJO'!$A$5:$CY$9142,11,FALSE)</f>
        <v>Corporación Ciudad Alfaro</v>
      </c>
      <c r="D234" s="93" t="str">
        <f>VLOOKUP($A234, 'Matriz POA 2024-TRABAJO'!$A$5:$CY$9142,14,FALSE)</f>
        <v>N/A</v>
      </c>
      <c r="E234" s="93" t="str">
        <f>VLOOKUP($A234, 'Matriz POA 2024-TRABAJO'!$A$5:$CY$9142,15,FALSE)</f>
        <v>N/A</v>
      </c>
      <c r="F234" s="93" t="str">
        <f>VLOOKUP($A234, 'Matriz POA 2024-TRABAJO'!$A$5:$CY$9142,18,FALSE)</f>
        <v>N/A</v>
      </c>
      <c r="G234" s="93" t="str">
        <f>VLOOKUP($A234, 'Matriz POA 2024-TRABAJO'!$A$5:$CY$9142,23,FALSE)</f>
        <v>NUEVA</v>
      </c>
      <c r="H234" s="93" t="str">
        <f>VLOOKUP($A234, 'Matriz POA 2024-TRABAJO'!$A$5:$CY$9142,24,FALSE)</f>
        <v>Pago de viáticos para el personal de la Corporación Ciudad Alfaro y sus sedes</v>
      </c>
      <c r="I234" s="93" t="str">
        <f>VLOOKUP($A234, 'Matriz POA 2024-TRABAJO'!$A$5:$CY$9142,20,FALSE)</f>
        <v>N/A</v>
      </c>
      <c r="J234" s="93" t="str">
        <f>VLOOKUP($A234, 'Matriz POA 2024-TRABAJO'!$A$5:$CY$9142,26,FALSE)</f>
        <v>80</v>
      </c>
      <c r="K234" s="93" t="str">
        <f>VLOOKUP($A234, 'Matriz POA 2024-TRABAJO'!$A$5:$CY$9142,27,FALSE)</f>
        <v>000</v>
      </c>
      <c r="L234" s="93" t="str">
        <f>VLOOKUP($A234, 'Matriz POA 2024-TRABAJO'!$A$5:$CY$9142,28,FALSE)</f>
        <v>002</v>
      </c>
      <c r="M234" s="93">
        <f>VLOOKUP($A234, 'Matriz POA 2024-TRABAJO'!$A$5:$CY$9142,30,FALSE)</f>
        <v>530303</v>
      </c>
      <c r="N234" s="93" t="str">
        <f>VLOOKUP($A234, 'Matriz POA 2024-TRABAJO'!$A$5:$CY$9142,31,FALSE)</f>
        <v>Viáticos y Subsistencias en el Interior</v>
      </c>
      <c r="O234" s="93">
        <f>VLOOKUP($A234, 'Matriz POA 2024-TRABAJO'!$A$5:$CY$9142,45,FALSE)</f>
        <v>4770.26</v>
      </c>
      <c r="P234" s="93">
        <f>VLOOKUP($A234, 'Matriz POA 2024-TRABAJO'!$A$5:$CY$9142,46,FALSE)</f>
        <v>0</v>
      </c>
      <c r="Q234" s="93">
        <f>VLOOKUP($A234, 'Matriz POA 2024-TRABAJO'!$A$5:$CY$9142,47,FALSE)</f>
        <v>4770.26</v>
      </c>
      <c r="R234" s="94">
        <f t="shared" si="199"/>
        <v>4801.58</v>
      </c>
      <c r="S234" s="95">
        <f t="shared" si="200"/>
        <v>-31.319999999999709</v>
      </c>
      <c r="T234" s="93">
        <f>VLOOKUP($A234, 'Matriz POA 2024-TRABAJO'!$A$5:$CY$9142,72,FALSE)</f>
        <v>3257.5</v>
      </c>
      <c r="U234" s="93" t="str">
        <f>VLOOKUP($A234, 'Matriz POA 2024-TRABAJO'!$A$5:$CY$9142,29,FALSE)</f>
        <v>53</v>
      </c>
      <c r="V234" s="93" t="str">
        <f t="shared" si="201"/>
        <v/>
      </c>
      <c r="W234" s="96" t="s">
        <v>1888</v>
      </c>
      <c r="X234" s="96">
        <v>45309</v>
      </c>
      <c r="Y234" s="97" t="s">
        <v>1889</v>
      </c>
      <c r="Z234" s="96">
        <v>45309</v>
      </c>
      <c r="AA234" s="93">
        <v>4801.58</v>
      </c>
      <c r="AB234" s="93"/>
      <c r="AC234" s="93">
        <f t="shared" si="202"/>
        <v>0</v>
      </c>
      <c r="AD234" s="93"/>
      <c r="AE234" s="93"/>
      <c r="AF234" s="93"/>
      <c r="AG234" s="93"/>
      <c r="AH234" s="93"/>
      <c r="AI234" s="93"/>
      <c r="AJ234" s="93"/>
      <c r="AK234" s="93">
        <f t="shared" si="203"/>
        <v>0</v>
      </c>
      <c r="AL234" s="93"/>
      <c r="AM234" s="93"/>
      <c r="AN234" s="93"/>
      <c r="AO234" s="93"/>
      <c r="AP234" s="93"/>
      <c r="AQ234" s="93"/>
      <c r="AR234" s="93"/>
      <c r="AS234" s="93">
        <f t="shared" si="204"/>
        <v>0</v>
      </c>
      <c r="AT234" s="93"/>
      <c r="AU234" s="93"/>
      <c r="AV234" s="93"/>
      <c r="AW234" s="93"/>
      <c r="AX234" s="93"/>
      <c r="AY234" s="93"/>
      <c r="AZ234" s="93"/>
      <c r="BA234" s="93"/>
      <c r="BB234" s="93"/>
      <c r="BC234" s="93"/>
      <c r="BD234" s="93"/>
      <c r="BE234" s="93"/>
      <c r="BF234" s="93"/>
      <c r="BG234" s="93"/>
      <c r="BH234" s="93"/>
      <c r="BI234" s="93"/>
      <c r="BJ234" s="93"/>
      <c r="BK234" s="93"/>
      <c r="BL234" s="93"/>
      <c r="BM234" s="93"/>
      <c r="BN234" s="93"/>
      <c r="BO234" s="93"/>
      <c r="BP234" s="93"/>
      <c r="BQ234" s="93"/>
      <c r="BR234" s="93"/>
      <c r="BS234" s="93"/>
      <c r="BT234" s="93"/>
      <c r="BU234" s="93"/>
      <c r="BV234" s="93"/>
      <c r="BW234" s="93"/>
      <c r="BX234" s="93"/>
      <c r="BY234" s="93"/>
      <c r="BZ234" s="93"/>
      <c r="CA234" s="93"/>
      <c r="CB234" s="93"/>
      <c r="CC234" s="93"/>
      <c r="CD234" s="93"/>
      <c r="CE234" s="93"/>
      <c r="CF234" s="93"/>
      <c r="CG234" s="93"/>
      <c r="CH234" s="93"/>
      <c r="CI234" s="93"/>
      <c r="CJ234" s="93"/>
      <c r="CK234" s="93"/>
      <c r="CL234" s="93"/>
      <c r="CM234" s="93"/>
      <c r="CN234" s="93"/>
      <c r="CO234" s="93"/>
      <c r="CP234" s="93"/>
      <c r="CQ234" s="93"/>
      <c r="CR234" s="93"/>
      <c r="CS234" s="93"/>
      <c r="CT234" s="93"/>
      <c r="CU234" s="93"/>
      <c r="CV234" s="93"/>
      <c r="CW234" s="93"/>
      <c r="CX234" s="93"/>
    </row>
    <row r="235" spans="1:102" ht="15" customHeight="1">
      <c r="A235" s="93">
        <v>488</v>
      </c>
      <c r="B235" s="93" t="str">
        <f>VLOOKUP($A235,  'Matriz POA 2024-TRABAJO'!$A$5:$CY$9142,29,FALSE)</f>
        <v>53</v>
      </c>
      <c r="C235" s="93" t="str">
        <f>VLOOKUP($A235, 'Matriz POA 2024-TRABAJO'!$A$5:$CY$9142,11,FALSE)</f>
        <v>Corporación Ciudad Alfaro</v>
      </c>
      <c r="D235" s="93" t="str">
        <f>VLOOKUP($A235, 'Matriz POA 2024-TRABAJO'!$A$5:$CY$9142,14,FALSE)</f>
        <v>N/A</v>
      </c>
      <c r="E235" s="93" t="str">
        <f>VLOOKUP($A235, 'Matriz POA 2024-TRABAJO'!$A$5:$CY$9142,15,FALSE)</f>
        <v>N/A</v>
      </c>
      <c r="F235" s="93" t="str">
        <f>VLOOKUP($A235, 'Matriz POA 2024-TRABAJO'!$A$5:$CY$9142,18,FALSE)</f>
        <v>N/A</v>
      </c>
      <c r="G235" s="93" t="str">
        <f>VLOOKUP($A235, 'Matriz POA 2024-TRABAJO'!$A$5:$CY$9142,23,FALSE)</f>
        <v>NUEVA</v>
      </c>
      <c r="H235" s="93" t="str">
        <f>VLOOKUP($A235, 'Matriz POA 2024-TRABAJO'!$A$5:$CY$9142,24,FALSE)</f>
        <v>Reembolso de pasajes aereos  para el personal de la Corporación Ciudad Alfaro y sus sedes</v>
      </c>
      <c r="I235" s="93" t="str">
        <f>VLOOKUP($A235, 'Matriz POA 2024-TRABAJO'!$A$5:$CY$9142,20,FALSE)</f>
        <v>N/A</v>
      </c>
      <c r="J235" s="93" t="str">
        <f>VLOOKUP($A235, 'Matriz POA 2024-TRABAJO'!$A$5:$CY$9142,26,FALSE)</f>
        <v>80</v>
      </c>
      <c r="K235" s="93" t="str">
        <f>VLOOKUP($A235, 'Matriz POA 2024-TRABAJO'!$A$5:$CY$9142,27,FALSE)</f>
        <v>000</v>
      </c>
      <c r="L235" s="93" t="str">
        <f>VLOOKUP($A235, 'Matriz POA 2024-TRABAJO'!$A$5:$CY$9142,28,FALSE)</f>
        <v>002</v>
      </c>
      <c r="M235" s="93">
        <f>VLOOKUP($A235, 'Matriz POA 2024-TRABAJO'!$A$5:$CY$9142,30,FALSE)</f>
        <v>530301</v>
      </c>
      <c r="N235" s="93" t="str">
        <f>VLOOKUP($A235, 'Matriz POA 2024-TRABAJO'!$A$5:$CY$9142,31,FALSE)</f>
        <v>Pasajes al Interior</v>
      </c>
      <c r="O235" s="93">
        <f>VLOOKUP($A235, 'Matriz POA 2024-TRABAJO'!$A$5:$CY$9142,45,FALSE)</f>
        <v>0</v>
      </c>
      <c r="P235" s="93">
        <f>VLOOKUP($A235, 'Matriz POA 2024-TRABAJO'!$A$5:$CY$9142,46,FALSE)</f>
        <v>0</v>
      </c>
      <c r="Q235" s="93">
        <f>VLOOKUP($A235, 'Matriz POA 2024-TRABAJO'!$A$5:$CY$9142,47,FALSE)</f>
        <v>0</v>
      </c>
      <c r="R235" s="94">
        <f t="shared" si="199"/>
        <v>1500</v>
      </c>
      <c r="S235" s="95">
        <f t="shared" si="200"/>
        <v>-1500</v>
      </c>
      <c r="T235" s="93" t="str">
        <f>VLOOKUP($A235, 'Matriz POA 2024-TRABAJO'!$A$5:$CY$9142,72,FALSE)</f>
        <v/>
      </c>
      <c r="U235" s="93" t="str">
        <f>VLOOKUP($A235, 'Matriz POA 2024-TRABAJO'!$A$5:$CY$9142,29,FALSE)</f>
        <v>53</v>
      </c>
      <c r="V235" s="93" t="str">
        <f t="shared" si="201"/>
        <v/>
      </c>
      <c r="W235" s="96" t="s">
        <v>1888</v>
      </c>
      <c r="X235" s="96">
        <v>45309</v>
      </c>
      <c r="Y235" s="97" t="s">
        <v>1889</v>
      </c>
      <c r="Z235" s="96">
        <v>45309</v>
      </c>
      <c r="AA235" s="93">
        <v>1500</v>
      </c>
      <c r="AB235" s="93"/>
      <c r="AC235" s="93">
        <f t="shared" si="202"/>
        <v>0</v>
      </c>
      <c r="AD235" s="93"/>
      <c r="AE235" s="93"/>
      <c r="AF235" s="93"/>
      <c r="AG235" s="93"/>
      <c r="AH235" s="93"/>
      <c r="AI235" s="93"/>
      <c r="AJ235" s="93"/>
      <c r="AK235" s="93">
        <f t="shared" si="203"/>
        <v>0</v>
      </c>
      <c r="AL235" s="93"/>
      <c r="AM235" s="93"/>
      <c r="AN235" s="93"/>
      <c r="AO235" s="93"/>
      <c r="AP235" s="93"/>
      <c r="AQ235" s="93"/>
      <c r="AR235" s="93"/>
      <c r="AS235" s="93">
        <f t="shared" si="204"/>
        <v>0</v>
      </c>
      <c r="AT235" s="93"/>
      <c r="AU235" s="93"/>
      <c r="AV235" s="93"/>
      <c r="AW235" s="93"/>
      <c r="AX235" s="93"/>
      <c r="AY235" s="93"/>
      <c r="AZ235" s="93"/>
      <c r="BA235" s="93"/>
      <c r="BB235" s="93"/>
      <c r="BC235" s="93"/>
      <c r="BD235" s="93"/>
      <c r="BE235" s="93"/>
      <c r="BF235" s="93"/>
      <c r="BG235" s="93"/>
      <c r="BH235" s="93"/>
      <c r="BI235" s="93"/>
      <c r="BJ235" s="93"/>
      <c r="BK235" s="93"/>
      <c r="BL235" s="93"/>
      <c r="BM235" s="93"/>
      <c r="BN235" s="93"/>
      <c r="BO235" s="93"/>
      <c r="BP235" s="93"/>
      <c r="BQ235" s="93"/>
      <c r="BR235" s="93"/>
      <c r="BS235" s="93"/>
      <c r="BT235" s="93"/>
      <c r="BU235" s="93"/>
      <c r="BV235" s="93"/>
      <c r="BW235" s="93"/>
      <c r="BX235" s="93"/>
      <c r="BY235" s="93"/>
      <c r="BZ235" s="93"/>
      <c r="CA235" s="93"/>
      <c r="CB235" s="93"/>
      <c r="CC235" s="93"/>
      <c r="CD235" s="93"/>
      <c r="CE235" s="93"/>
      <c r="CF235" s="93"/>
      <c r="CG235" s="93"/>
      <c r="CH235" s="93"/>
      <c r="CI235" s="93"/>
      <c r="CJ235" s="93"/>
      <c r="CK235" s="93"/>
      <c r="CL235" s="93"/>
      <c r="CM235" s="93"/>
      <c r="CN235" s="93"/>
      <c r="CO235" s="93"/>
      <c r="CP235" s="93"/>
      <c r="CQ235" s="93"/>
      <c r="CR235" s="93"/>
      <c r="CS235" s="93"/>
      <c r="CT235" s="93"/>
      <c r="CU235" s="93"/>
      <c r="CV235" s="93"/>
      <c r="CW235" s="93"/>
      <c r="CX235" s="93"/>
    </row>
    <row r="236" spans="1:102" ht="15" customHeight="1">
      <c r="A236" s="93">
        <v>438</v>
      </c>
      <c r="B236" s="93" t="str">
        <f>VLOOKUP($A236,  'Matriz POA 2024-TRABAJO'!$A$5:$CY$9142,29,FALSE)</f>
        <v>53</v>
      </c>
      <c r="C236" s="93" t="str">
        <f>VLOOKUP($A236, 'Matriz POA 2024-TRABAJO'!$A$5:$CY$9142,11,FALSE)</f>
        <v>Corporación Ciudad Alfaro</v>
      </c>
      <c r="D236" s="93" t="str">
        <f>VLOOKUP($A236, 'Matriz POA 2024-TRABAJO'!$A$5:$CY$9142,14,FALSE)</f>
        <v>N/A</v>
      </c>
      <c r="E236" s="93" t="str">
        <f>VLOOKUP($A236, 'Matriz POA 2024-TRABAJO'!$A$5:$CY$9142,15,FALSE)</f>
        <v>N/A</v>
      </c>
      <c r="F236" s="93" t="str">
        <f>VLOOKUP($A236, 'Matriz POA 2024-TRABAJO'!$A$5:$CY$9142,18,FALSE)</f>
        <v>N/A</v>
      </c>
      <c r="G236" s="93" t="str">
        <f>VLOOKUP($A236, 'Matriz POA 2024-TRABAJO'!$A$5:$CY$9142,23,FALSE)</f>
        <v>PLURIANUAL 2023-2024</v>
      </c>
      <c r="H236" s="93" t="str">
        <f>VLOOKUP($A236, 'Matriz POA 2024-TRABAJO'!$A$5:$CY$9142,24,FALSE)</f>
        <v>Pago del Servicio de aseo y Limpieza de la Corporación Ciudad Alfaro</v>
      </c>
      <c r="I236" s="93" t="str">
        <f>VLOOKUP($A236, 'Matriz POA 2024-TRABAJO'!$A$5:$CY$9142,20,FALSE)</f>
        <v>N/A</v>
      </c>
      <c r="J236" s="93" t="str">
        <f>VLOOKUP($A236, 'Matriz POA 2024-TRABAJO'!$A$5:$CY$9142,26,FALSE)</f>
        <v>80</v>
      </c>
      <c r="K236" s="93" t="str">
        <f>VLOOKUP($A236, 'Matriz POA 2024-TRABAJO'!$A$5:$CY$9142,27,FALSE)</f>
        <v>000</v>
      </c>
      <c r="L236" s="93" t="str">
        <f>VLOOKUP($A236, 'Matriz POA 2024-TRABAJO'!$A$5:$CY$9142,28,FALSE)</f>
        <v>002</v>
      </c>
      <c r="M236" s="93">
        <f>VLOOKUP($A236, 'Matriz POA 2024-TRABAJO'!$A$5:$CY$9142,30,FALSE)</f>
        <v>530209</v>
      </c>
      <c r="N236" s="93" t="str">
        <f>VLOOKUP($A236, 'Matriz POA 2024-TRABAJO'!$A$5:$CY$9142,31,FALSE)</f>
        <v>Servicios de Aseo, Lavado de Vestimenta de Trabajo, Fumigación, Desinfección,  Limpieza de Instalaciones, manejo
de desechos contaminados, recuperación y clasificación de materiales reciclables.</v>
      </c>
      <c r="O236" s="93">
        <f>VLOOKUP($A236, 'Matriz POA 2024-TRABAJO'!$A$5:$CY$9142,45,FALSE)</f>
        <v>22523.4</v>
      </c>
      <c r="P236" s="93">
        <f>VLOOKUP($A236, 'Matriz POA 2024-TRABAJO'!$A$5:$CY$9142,46,FALSE)</f>
        <v>0</v>
      </c>
      <c r="Q236" s="93">
        <f>VLOOKUP($A236, 'Matriz POA 2024-TRABAJO'!$A$5:$CY$9142,47,FALSE)</f>
        <v>22523.4</v>
      </c>
      <c r="R236" s="94">
        <f t="shared" si="199"/>
        <v>22523.4</v>
      </c>
      <c r="S236" s="95">
        <f t="shared" si="200"/>
        <v>0</v>
      </c>
      <c r="T236" s="93">
        <f>VLOOKUP($A236, 'Matriz POA 2024-TRABAJO'!$A$5:$CY$9142,72,FALSE)</f>
        <v>22446</v>
      </c>
      <c r="U236" s="93" t="str">
        <f>VLOOKUP($A236, 'Matriz POA 2024-TRABAJO'!$A$5:$CY$9142,29,FALSE)</f>
        <v>53</v>
      </c>
      <c r="V236" s="93" t="str">
        <f t="shared" si="201"/>
        <v/>
      </c>
      <c r="W236" s="97" t="s">
        <v>1890</v>
      </c>
      <c r="X236" s="109">
        <v>45313</v>
      </c>
      <c r="Y236" s="99" t="s">
        <v>1891</v>
      </c>
      <c r="Z236" s="109">
        <v>45313</v>
      </c>
      <c r="AA236" s="93">
        <v>22523.4</v>
      </c>
      <c r="AB236" s="93"/>
      <c r="AC236" s="93">
        <f t="shared" si="202"/>
        <v>0</v>
      </c>
      <c r="AD236" s="93"/>
      <c r="AE236" s="93"/>
      <c r="AF236" s="93"/>
      <c r="AG236" s="93"/>
      <c r="AH236" s="93"/>
      <c r="AI236" s="93"/>
      <c r="AJ236" s="93"/>
      <c r="AK236" s="93">
        <f t="shared" si="203"/>
        <v>0</v>
      </c>
      <c r="AL236" s="93"/>
      <c r="AM236" s="93"/>
      <c r="AN236" s="93"/>
      <c r="AO236" s="93"/>
      <c r="AP236" s="93"/>
      <c r="AQ236" s="93"/>
      <c r="AR236" s="93"/>
      <c r="AS236" s="93">
        <f t="shared" si="204"/>
        <v>0</v>
      </c>
      <c r="AT236" s="93"/>
      <c r="AU236" s="93"/>
      <c r="AV236" s="93"/>
      <c r="AW236" s="93"/>
      <c r="AX236" s="93"/>
      <c r="AY236" s="93"/>
      <c r="AZ236" s="93"/>
      <c r="BA236" s="93"/>
      <c r="BB236" s="93"/>
      <c r="BC236" s="93"/>
      <c r="BD236" s="93"/>
      <c r="BE236" s="93"/>
      <c r="BF236" s="93"/>
      <c r="BG236" s="93"/>
      <c r="BH236" s="93"/>
      <c r="BI236" s="93"/>
      <c r="BJ236" s="93"/>
      <c r="BK236" s="93"/>
      <c r="BL236" s="93"/>
      <c r="BM236" s="93"/>
      <c r="BN236" s="93"/>
      <c r="BO236" s="93"/>
      <c r="BP236" s="93"/>
      <c r="BQ236" s="93"/>
      <c r="BR236" s="93"/>
      <c r="BS236" s="93"/>
      <c r="BT236" s="93"/>
      <c r="BU236" s="93"/>
      <c r="BV236" s="93"/>
      <c r="BW236" s="93"/>
      <c r="BX236" s="93"/>
      <c r="BY236" s="93"/>
      <c r="BZ236" s="93"/>
      <c r="CA236" s="93"/>
      <c r="CB236" s="93"/>
      <c r="CC236" s="93"/>
      <c r="CD236" s="93"/>
      <c r="CE236" s="93"/>
      <c r="CF236" s="93"/>
      <c r="CG236" s="93"/>
      <c r="CH236" s="93"/>
      <c r="CI236" s="93"/>
      <c r="CJ236" s="93"/>
      <c r="CK236" s="93"/>
      <c r="CL236" s="93"/>
      <c r="CM236" s="93"/>
      <c r="CN236" s="93"/>
      <c r="CO236" s="93"/>
      <c r="CP236" s="93"/>
      <c r="CQ236" s="93"/>
      <c r="CR236" s="93"/>
      <c r="CS236" s="93"/>
      <c r="CT236" s="93"/>
      <c r="CU236" s="93"/>
      <c r="CV236" s="93"/>
      <c r="CW236" s="93"/>
      <c r="CX236" s="93"/>
    </row>
    <row r="237" spans="1:102" ht="15" customHeight="1">
      <c r="A237" s="93">
        <v>459</v>
      </c>
      <c r="B237" s="93" t="str">
        <f>VLOOKUP($A237,  'Matriz POA 2024-TRABAJO'!$A$5:$CY$9142,29,FALSE)</f>
        <v>53</v>
      </c>
      <c r="C237" s="93" t="str">
        <f>VLOOKUP($A237, 'Matriz POA 2024-TRABAJO'!$A$5:$CY$9142,11,FALSE)</f>
        <v>Corporación Ciudad Alfaro</v>
      </c>
      <c r="D237" s="93" t="str">
        <f>VLOOKUP($A237, 'Matriz POA 2024-TRABAJO'!$A$5:$CY$9142,14,FALSE)</f>
        <v>N/A</v>
      </c>
      <c r="E237" s="93" t="str">
        <f>VLOOKUP($A237, 'Matriz POA 2024-TRABAJO'!$A$5:$CY$9142,15,FALSE)</f>
        <v>N/A</v>
      </c>
      <c r="F237" s="93" t="str">
        <f>VLOOKUP($A237, 'Matriz POA 2024-TRABAJO'!$A$5:$CY$9142,18,FALSE)</f>
        <v>N/A</v>
      </c>
      <c r="G237" s="93" t="str">
        <f>VLOOKUP($A237, 'Matriz POA 2024-TRABAJO'!$A$5:$CY$9142,23,FALSE)</f>
        <v>NUEVA</v>
      </c>
      <c r="H237" s="93" t="str">
        <f>VLOOKUP($A237, 'Matriz POA 2024-TRABAJO'!$A$5:$CY$9142,24,FALSE)</f>
        <v>Contratación del servicio de rastreo satelital para los vehículos de la Corporación Ciudad Alfaro</v>
      </c>
      <c r="I237" s="93" t="str">
        <f>VLOOKUP($A237, 'Matriz POA 2024-TRABAJO'!$A$5:$CY$9142,20,FALSE)</f>
        <v>N/A</v>
      </c>
      <c r="J237" s="93" t="str">
        <f>VLOOKUP($A237, 'Matriz POA 2024-TRABAJO'!$A$5:$CY$9142,26,FALSE)</f>
        <v>80</v>
      </c>
      <c r="K237" s="93" t="str">
        <f>VLOOKUP($A237, 'Matriz POA 2024-TRABAJO'!$A$5:$CY$9142,27,FALSE)</f>
        <v>000</v>
      </c>
      <c r="L237" s="93" t="str">
        <f>VLOOKUP($A237, 'Matriz POA 2024-TRABAJO'!$A$5:$CY$9142,28,FALSE)</f>
        <v>002</v>
      </c>
      <c r="M237" s="93">
        <f>VLOOKUP($A237, 'Matriz POA 2024-TRABAJO'!$A$5:$CY$9142,30,FALSE)</f>
        <v>530105</v>
      </c>
      <c r="N237" s="93" t="str">
        <f>VLOOKUP($A237, 'Matriz POA 2024-TRABAJO'!$A$5:$CY$9142,31,FALSE)</f>
        <v>Telecomunicaciones</v>
      </c>
      <c r="O237" s="93">
        <f>VLOOKUP($A237, 'Matriz POA 2024-TRABAJO'!$A$5:$CY$9142,45,FALSE)</f>
        <v>720</v>
      </c>
      <c r="P237" s="93">
        <f>VLOOKUP($A237, 'Matriz POA 2024-TRABAJO'!$A$5:$CY$9142,46,FALSE)</f>
        <v>0</v>
      </c>
      <c r="Q237" s="93">
        <f>VLOOKUP($A237, 'Matriz POA 2024-TRABAJO'!$A$5:$CY$9142,47,FALSE)</f>
        <v>720</v>
      </c>
      <c r="R237" s="94">
        <f t="shared" si="199"/>
        <v>1200</v>
      </c>
      <c r="S237" s="95">
        <f t="shared" si="200"/>
        <v>-480</v>
      </c>
      <c r="T237" s="93">
        <f>VLOOKUP($A237, 'Matriz POA 2024-TRABAJO'!$A$5:$CY$9142,72,FALSE)</f>
        <v>720</v>
      </c>
      <c r="U237" s="93" t="str">
        <f>VLOOKUP($A237, 'Matriz POA 2024-TRABAJO'!$A$5:$CY$9142,29,FALSE)</f>
        <v>53</v>
      </c>
      <c r="V237" s="93" t="str">
        <f t="shared" si="201"/>
        <v/>
      </c>
      <c r="W237" s="97" t="s">
        <v>1890</v>
      </c>
      <c r="X237" s="109">
        <v>45313</v>
      </c>
      <c r="Y237" s="99" t="s">
        <v>1891</v>
      </c>
      <c r="Z237" s="109">
        <v>45313</v>
      </c>
      <c r="AA237" s="93">
        <v>1200</v>
      </c>
      <c r="AB237" s="93"/>
      <c r="AC237" s="93">
        <f t="shared" si="202"/>
        <v>0</v>
      </c>
      <c r="AD237" s="93"/>
      <c r="AE237" s="93"/>
      <c r="AF237" s="93"/>
      <c r="AG237" s="93"/>
      <c r="AH237" s="93"/>
      <c r="AI237" s="93"/>
      <c r="AJ237" s="93"/>
      <c r="AK237" s="93">
        <f t="shared" si="203"/>
        <v>0</v>
      </c>
      <c r="AL237" s="93"/>
      <c r="AM237" s="93"/>
      <c r="AN237" s="93"/>
      <c r="AO237" s="93"/>
      <c r="AP237" s="93"/>
      <c r="AQ237" s="93"/>
      <c r="AR237" s="93"/>
      <c r="AS237" s="93">
        <f t="shared" si="204"/>
        <v>0</v>
      </c>
      <c r="AT237" s="93"/>
      <c r="AU237" s="93"/>
      <c r="AV237" s="93"/>
      <c r="AW237" s="93"/>
      <c r="AX237" s="93"/>
      <c r="AY237" s="93"/>
      <c r="AZ237" s="93"/>
      <c r="BA237" s="93"/>
      <c r="BB237" s="93"/>
      <c r="BC237" s="93"/>
      <c r="BD237" s="93"/>
      <c r="BE237" s="93"/>
      <c r="BF237" s="93"/>
      <c r="BG237" s="93"/>
      <c r="BH237" s="93"/>
      <c r="BI237" s="93"/>
      <c r="BJ237" s="93"/>
      <c r="BK237" s="93"/>
      <c r="BL237" s="93"/>
      <c r="BM237" s="93"/>
      <c r="BN237" s="93"/>
      <c r="BO237" s="93"/>
      <c r="BP237" s="93"/>
      <c r="BQ237" s="93"/>
      <c r="BR237" s="93"/>
      <c r="BS237" s="93"/>
      <c r="BT237" s="93"/>
      <c r="BU237" s="93"/>
      <c r="BV237" s="93"/>
      <c r="BW237" s="93"/>
      <c r="BX237" s="93"/>
      <c r="BY237" s="93"/>
      <c r="BZ237" s="93"/>
      <c r="CA237" s="93"/>
      <c r="CB237" s="93"/>
      <c r="CC237" s="93"/>
      <c r="CD237" s="93"/>
      <c r="CE237" s="93"/>
      <c r="CF237" s="93"/>
      <c r="CG237" s="93"/>
      <c r="CH237" s="93"/>
      <c r="CI237" s="93"/>
      <c r="CJ237" s="93"/>
      <c r="CK237" s="93"/>
      <c r="CL237" s="93"/>
      <c r="CM237" s="93"/>
      <c r="CN237" s="93"/>
      <c r="CO237" s="93"/>
      <c r="CP237" s="93"/>
      <c r="CQ237" s="93"/>
      <c r="CR237" s="93"/>
      <c r="CS237" s="93"/>
      <c r="CT237" s="93"/>
      <c r="CU237" s="93"/>
      <c r="CV237" s="93"/>
      <c r="CW237" s="93"/>
      <c r="CX237" s="93"/>
    </row>
    <row r="238" spans="1:102" ht="15" customHeight="1">
      <c r="A238" s="93">
        <v>471</v>
      </c>
      <c r="B238" s="93" t="str">
        <f>VLOOKUP($A238,  'Matriz POA 2024-TRABAJO'!$A$5:$CY$9142,29,FALSE)</f>
        <v>53</v>
      </c>
      <c r="C238" s="93" t="str">
        <f>VLOOKUP($A238, 'Matriz POA 2024-TRABAJO'!$A$5:$CY$9142,11,FALSE)</f>
        <v>Corporación Ciudad Alfaro</v>
      </c>
      <c r="D238" s="93" t="str">
        <f>VLOOKUP($A238, 'Matriz POA 2024-TRABAJO'!$A$5:$CY$9142,14,FALSE)</f>
        <v>N/A</v>
      </c>
      <c r="E238" s="93" t="str">
        <f>VLOOKUP($A238, 'Matriz POA 2024-TRABAJO'!$A$5:$CY$9142,15,FALSE)</f>
        <v>N/A</v>
      </c>
      <c r="F238" s="93" t="str">
        <f>VLOOKUP($A238, 'Matriz POA 2024-TRABAJO'!$A$5:$CY$9142,18,FALSE)</f>
        <v>N/A</v>
      </c>
      <c r="G238" s="93" t="str">
        <f>VLOOKUP($A238, 'Matriz POA 2024-TRABAJO'!$A$5:$CY$9142,23,FALSE)</f>
        <v>NUEVA</v>
      </c>
      <c r="H238" s="93" t="str">
        <f>VLOOKUP($A238, 'Matriz POA 2024-TRABAJO'!$A$5:$CY$9142,24,FALSE)</f>
        <v>Instalación del sistema contra incendios para el Museo Bahía de Caráquez</v>
      </c>
      <c r="I238" s="93" t="str">
        <f>VLOOKUP($A238, 'Matriz POA 2024-TRABAJO'!$A$5:$CY$9142,20,FALSE)</f>
        <v>N/A</v>
      </c>
      <c r="J238" s="93" t="str">
        <f>VLOOKUP($A238, 'Matriz POA 2024-TRABAJO'!$A$5:$CY$9142,26,FALSE)</f>
        <v>80</v>
      </c>
      <c r="K238" s="93" t="str">
        <f>VLOOKUP($A238, 'Matriz POA 2024-TRABAJO'!$A$5:$CY$9142,27,FALSE)</f>
        <v>000</v>
      </c>
      <c r="L238" s="93" t="str">
        <f>VLOOKUP($A238, 'Matriz POA 2024-TRABAJO'!$A$5:$CY$9142,28,FALSE)</f>
        <v>002</v>
      </c>
      <c r="M238" s="93">
        <f>VLOOKUP($A238, 'Matriz POA 2024-TRABAJO'!$A$5:$CY$9142,30,FALSE)</f>
        <v>530402</v>
      </c>
      <c r="N238" s="93" t="str">
        <f>VLOOKUP($A238, 'Matriz POA 2024-TRABAJO'!$A$5:$CY$9142,31,FALSE)</f>
        <v>Edificios, Locales, Residencias y Cableado Estructurado (Instalación, Mantenimiento y Reparación)</v>
      </c>
      <c r="O238" s="93">
        <f>VLOOKUP($A238, 'Matriz POA 2024-TRABAJO'!$A$5:$CY$9142,45,FALSE)</f>
        <v>0</v>
      </c>
      <c r="P238" s="93">
        <f>VLOOKUP($A238, 'Matriz POA 2024-TRABAJO'!$A$5:$CY$9142,46,FALSE)</f>
        <v>0</v>
      </c>
      <c r="Q238" s="93">
        <f>VLOOKUP($A238, 'Matriz POA 2024-TRABAJO'!$A$5:$CY$9142,47,FALSE)</f>
        <v>0</v>
      </c>
      <c r="R238" s="94">
        <f t="shared" ref="R238:R283" si="205">AA238+AI238+AQ238+AY238+BG238+BO238+BW238+CE238+CM238+CU238+AB238+AJ238+AR238+AZ238+BH238+BP238</f>
        <v>0</v>
      </c>
      <c r="S238" s="95">
        <f t="shared" ref="S238:S283" si="206">Q238-R238</f>
        <v>0</v>
      </c>
      <c r="T238" s="93" t="str">
        <f>VLOOKUP($A238, 'Matriz POA 2024-TRABAJO'!$A$5:$CY$9142,72,FALSE)</f>
        <v/>
      </c>
      <c r="U238" s="93" t="str">
        <f>VLOOKUP($A238, 'Matriz POA 2024-TRABAJO'!$A$5:$CY$9142,29,FALSE)</f>
        <v>53</v>
      </c>
      <c r="V238" s="93" t="str">
        <f t="shared" ref="V238:V283" si="207">AD238&amp;AL238&amp;AT238&amp;BB238&amp;BJ238&amp;BR238&amp;BZ238&amp;CH238&amp;CP238&amp;CX238</f>
        <v/>
      </c>
      <c r="W238" s="97" t="s">
        <v>1890</v>
      </c>
      <c r="X238" s="109">
        <v>45313</v>
      </c>
      <c r="Y238" s="99" t="s">
        <v>1891</v>
      </c>
      <c r="Z238" s="109">
        <v>45313</v>
      </c>
      <c r="AA238" s="93">
        <v>0</v>
      </c>
      <c r="AB238" s="93"/>
      <c r="AC238" s="93">
        <f t="shared" ref="AC238:AC283" si="208">Z238-X238</f>
        <v>0</v>
      </c>
      <c r="AD238" s="93"/>
      <c r="AE238" s="93"/>
      <c r="AF238" s="93"/>
      <c r="AG238" s="93"/>
      <c r="AH238" s="93"/>
      <c r="AI238" s="93"/>
      <c r="AJ238" s="93"/>
      <c r="AK238" s="93">
        <f t="shared" ref="AK238:AK283" si="209">AH238-AF238</f>
        <v>0</v>
      </c>
      <c r="AL238" s="93"/>
      <c r="AM238" s="93"/>
      <c r="AN238" s="93"/>
      <c r="AO238" s="93"/>
      <c r="AP238" s="93"/>
      <c r="AQ238" s="93"/>
      <c r="AR238" s="93"/>
      <c r="AS238" s="93">
        <f t="shared" ref="AS238:AS283" si="210">AP238-AN238</f>
        <v>0</v>
      </c>
      <c r="AT238" s="93"/>
      <c r="AU238" s="93"/>
      <c r="AV238" s="93"/>
      <c r="AW238" s="93"/>
      <c r="AX238" s="93"/>
      <c r="AY238" s="93"/>
      <c r="AZ238" s="93"/>
      <c r="BA238" s="93"/>
      <c r="BB238" s="93"/>
      <c r="BC238" s="93"/>
      <c r="BD238" s="93"/>
      <c r="BE238" s="93"/>
      <c r="BF238" s="93"/>
      <c r="BG238" s="93"/>
      <c r="BH238" s="93"/>
      <c r="BI238" s="93"/>
      <c r="BJ238" s="93"/>
      <c r="BK238" s="93"/>
      <c r="BL238" s="93"/>
      <c r="BM238" s="93"/>
      <c r="BN238" s="93"/>
      <c r="BO238" s="93"/>
      <c r="BP238" s="93"/>
      <c r="BQ238" s="93"/>
      <c r="BR238" s="93"/>
      <c r="BS238" s="93"/>
      <c r="BT238" s="93"/>
      <c r="BU238" s="93"/>
      <c r="BV238" s="93"/>
      <c r="BW238" s="93"/>
      <c r="BX238" s="93"/>
      <c r="BY238" s="93"/>
      <c r="BZ238" s="93"/>
      <c r="CA238" s="93"/>
      <c r="CB238" s="93"/>
      <c r="CC238" s="93"/>
      <c r="CD238" s="93"/>
      <c r="CE238" s="93"/>
      <c r="CF238" s="93"/>
      <c r="CG238" s="93"/>
      <c r="CH238" s="93"/>
      <c r="CI238" s="93"/>
      <c r="CJ238" s="93"/>
      <c r="CK238" s="93"/>
      <c r="CL238" s="93"/>
      <c r="CM238" s="93"/>
      <c r="CN238" s="93"/>
      <c r="CO238" s="93"/>
      <c r="CP238" s="93"/>
      <c r="CQ238" s="93"/>
      <c r="CR238" s="93"/>
      <c r="CS238" s="93"/>
      <c r="CT238" s="93"/>
      <c r="CU238" s="93"/>
      <c r="CV238" s="93"/>
      <c r="CW238" s="93"/>
      <c r="CX238" s="93"/>
    </row>
    <row r="239" spans="1:102" ht="15" customHeight="1">
      <c r="A239" s="93">
        <v>473</v>
      </c>
      <c r="B239" s="93" t="str">
        <f>VLOOKUP($A239,  'Matriz POA 2024-TRABAJO'!$A$5:$CY$9142,29,FALSE)</f>
        <v>53</v>
      </c>
      <c r="C239" s="93" t="str">
        <f>VLOOKUP($A239, 'Matriz POA 2024-TRABAJO'!$A$5:$CY$9142,11,FALSE)</f>
        <v>Corporación Ciudad Alfaro</v>
      </c>
      <c r="D239" s="93" t="str">
        <f>VLOOKUP($A239, 'Matriz POA 2024-TRABAJO'!$A$5:$CY$9142,14,FALSE)</f>
        <v>N/A</v>
      </c>
      <c r="E239" s="93" t="str">
        <f>VLOOKUP($A239, 'Matriz POA 2024-TRABAJO'!$A$5:$CY$9142,15,FALSE)</f>
        <v>N/A</v>
      </c>
      <c r="F239" s="93" t="str">
        <f>VLOOKUP($A239, 'Matriz POA 2024-TRABAJO'!$A$5:$CY$9142,18,FALSE)</f>
        <v>N/A</v>
      </c>
      <c r="G239" s="93" t="str">
        <f>VLOOKUP($A239, 'Matriz POA 2024-TRABAJO'!$A$5:$CY$9142,23,FALSE)</f>
        <v>NUEVA</v>
      </c>
      <c r="H239" s="93" t="str">
        <f>VLOOKUP($A239, 'Matriz POA 2024-TRABAJO'!$A$5:$CY$9142,24,FALSE)</f>
        <v>Recarga de extintores contra incendios de la Corporación Ciudad Alfaro y sus Sedes</v>
      </c>
      <c r="I239" s="93" t="str">
        <f>VLOOKUP($A239, 'Matriz POA 2024-TRABAJO'!$A$5:$CY$9142,20,FALSE)</f>
        <v>N/A</v>
      </c>
      <c r="J239" s="93" t="str">
        <f>VLOOKUP($A239, 'Matriz POA 2024-TRABAJO'!$A$5:$CY$9142,26,FALSE)</f>
        <v>80</v>
      </c>
      <c r="K239" s="93" t="str">
        <f>VLOOKUP($A239, 'Matriz POA 2024-TRABAJO'!$A$5:$CY$9142,27,FALSE)</f>
        <v>000</v>
      </c>
      <c r="L239" s="93" t="str">
        <f>VLOOKUP($A239, 'Matriz POA 2024-TRABAJO'!$A$5:$CY$9142,28,FALSE)</f>
        <v>002</v>
      </c>
      <c r="M239" s="93">
        <f>VLOOKUP($A239, 'Matriz POA 2024-TRABAJO'!$A$5:$CY$9142,30,FALSE)</f>
        <v>530203</v>
      </c>
      <c r="N239" s="93" t="str">
        <f>VLOOKUP($A239, 'Matriz POA 2024-TRABAJO'!$A$5:$CY$9142,31,FALSE)</f>
        <v>Almacenamiento, Embalaje, Desembalaje, Envase, Desenvase y Recarga de Extintores</v>
      </c>
      <c r="O239" s="93">
        <f>VLOOKUP($A239, 'Matriz POA 2024-TRABAJO'!$A$5:$CY$9142,45,FALSE)</f>
        <v>1600</v>
      </c>
      <c r="P239" s="93">
        <f>VLOOKUP($A239, 'Matriz POA 2024-TRABAJO'!$A$5:$CY$9142,46,FALSE)</f>
        <v>0</v>
      </c>
      <c r="Q239" s="93">
        <f>VLOOKUP($A239, 'Matriz POA 2024-TRABAJO'!$A$5:$CY$9142,47,FALSE)</f>
        <v>1600</v>
      </c>
      <c r="R239" s="94">
        <f t="shared" si="205"/>
        <v>0</v>
      </c>
      <c r="S239" s="95">
        <f t="shared" si="206"/>
        <v>1600</v>
      </c>
      <c r="T239" s="93">
        <f>VLOOKUP($A239, 'Matriz POA 2024-TRABAJO'!$A$5:$CY$9142,72,FALSE)</f>
        <v>1549</v>
      </c>
      <c r="U239" s="93" t="str">
        <f>VLOOKUP($A239, 'Matriz POA 2024-TRABAJO'!$A$5:$CY$9142,29,FALSE)</f>
        <v>53</v>
      </c>
      <c r="V239" s="93" t="str">
        <f t="shared" si="207"/>
        <v/>
      </c>
      <c r="W239" s="97" t="s">
        <v>1890</v>
      </c>
      <c r="X239" s="109">
        <v>45313</v>
      </c>
      <c r="Y239" s="99" t="s">
        <v>1891</v>
      </c>
      <c r="Z239" s="109">
        <v>45313</v>
      </c>
      <c r="AA239" s="93">
        <v>0</v>
      </c>
      <c r="AB239" s="93"/>
      <c r="AC239" s="93">
        <f t="shared" si="208"/>
        <v>0</v>
      </c>
      <c r="AD239" s="93"/>
      <c r="AE239" s="93"/>
      <c r="AF239" s="93"/>
      <c r="AG239" s="93"/>
      <c r="AH239" s="93"/>
      <c r="AI239" s="93"/>
      <c r="AJ239" s="93"/>
      <c r="AK239" s="93">
        <f t="shared" si="209"/>
        <v>0</v>
      </c>
      <c r="AL239" s="93"/>
      <c r="AM239" s="93"/>
      <c r="AN239" s="93"/>
      <c r="AO239" s="93"/>
      <c r="AP239" s="93"/>
      <c r="AQ239" s="93"/>
      <c r="AR239" s="93"/>
      <c r="AS239" s="93">
        <f t="shared" si="210"/>
        <v>0</v>
      </c>
      <c r="AT239" s="93"/>
      <c r="AU239" s="93"/>
      <c r="AV239" s="93"/>
      <c r="AW239" s="93"/>
      <c r="AX239" s="93"/>
      <c r="AY239" s="93"/>
      <c r="AZ239" s="93"/>
      <c r="BA239" s="93"/>
      <c r="BB239" s="93"/>
      <c r="BC239" s="93"/>
      <c r="BD239" s="93"/>
      <c r="BE239" s="93"/>
      <c r="BF239" s="93"/>
      <c r="BG239" s="93"/>
      <c r="BH239" s="93"/>
      <c r="BI239" s="93"/>
      <c r="BJ239" s="93"/>
      <c r="BK239" s="93"/>
      <c r="BL239" s="93"/>
      <c r="BM239" s="93"/>
      <c r="BN239" s="93"/>
      <c r="BO239" s="93"/>
      <c r="BP239" s="93"/>
      <c r="BQ239" s="93"/>
      <c r="BR239" s="93"/>
      <c r="BS239" s="93"/>
      <c r="BT239" s="93"/>
      <c r="BU239" s="93"/>
      <c r="BV239" s="93"/>
      <c r="BW239" s="93"/>
      <c r="BX239" s="93"/>
      <c r="BY239" s="93"/>
      <c r="BZ239" s="93"/>
      <c r="CA239" s="93"/>
      <c r="CB239" s="93"/>
      <c r="CC239" s="93"/>
      <c r="CD239" s="93"/>
      <c r="CE239" s="93"/>
      <c r="CF239" s="93"/>
      <c r="CG239" s="93"/>
      <c r="CH239" s="93"/>
      <c r="CI239" s="93"/>
      <c r="CJ239" s="93"/>
      <c r="CK239" s="93"/>
      <c r="CL239" s="93"/>
      <c r="CM239" s="93"/>
      <c r="CN239" s="93"/>
      <c r="CO239" s="93"/>
      <c r="CP239" s="93"/>
      <c r="CQ239" s="93"/>
      <c r="CR239" s="93"/>
      <c r="CS239" s="93"/>
      <c r="CT239" s="93"/>
      <c r="CU239" s="93"/>
      <c r="CV239" s="93"/>
      <c r="CW239" s="93"/>
      <c r="CX239" s="93"/>
    </row>
    <row r="240" spans="1:102" ht="15" customHeight="1">
      <c r="A240" s="93">
        <v>480</v>
      </c>
      <c r="B240" s="93" t="str">
        <f>VLOOKUP($A240,  'Matriz POA 2024-TRABAJO'!$A$5:$CY$9142,29,FALSE)</f>
        <v>53</v>
      </c>
      <c r="C240" s="93" t="str">
        <f>VLOOKUP($A240, 'Matriz POA 2024-TRABAJO'!$A$5:$CY$9142,11,FALSE)</f>
        <v>Corporación Ciudad Alfaro</v>
      </c>
      <c r="D240" s="93" t="str">
        <f>VLOOKUP($A240, 'Matriz POA 2024-TRABAJO'!$A$5:$CY$9142,14,FALSE)</f>
        <v>N/A</v>
      </c>
      <c r="E240" s="93" t="str">
        <f>VLOOKUP($A240, 'Matriz POA 2024-TRABAJO'!$A$5:$CY$9142,15,FALSE)</f>
        <v>N/A</v>
      </c>
      <c r="F240" s="93" t="str">
        <f>VLOOKUP($A240, 'Matriz POA 2024-TRABAJO'!$A$5:$CY$9142,18,FALSE)</f>
        <v>N/A</v>
      </c>
      <c r="G240" s="93" t="str">
        <f>VLOOKUP($A240, 'Matriz POA 2024-TRABAJO'!$A$5:$CY$9142,23,FALSE)</f>
        <v>NUEVA</v>
      </c>
      <c r="H240" s="93" t="str">
        <f>VLOOKUP($A240, 'Matriz POA 2024-TRABAJO'!$A$5:$CY$9142,24,FALSE)</f>
        <v>Adquisición  de suministros y materiales de oficina para la corporación ciudad alfaro y sus sedes</v>
      </c>
      <c r="I240" s="93" t="str">
        <f>VLOOKUP($A240, 'Matriz POA 2024-TRABAJO'!$A$5:$CY$9142,20,FALSE)</f>
        <v>N/A</v>
      </c>
      <c r="J240" s="93" t="str">
        <f>VLOOKUP($A240, 'Matriz POA 2024-TRABAJO'!$A$5:$CY$9142,26,FALSE)</f>
        <v>80</v>
      </c>
      <c r="K240" s="93" t="str">
        <f>VLOOKUP($A240, 'Matriz POA 2024-TRABAJO'!$A$5:$CY$9142,27,FALSE)</f>
        <v>000</v>
      </c>
      <c r="L240" s="93" t="str">
        <f>VLOOKUP($A240, 'Matriz POA 2024-TRABAJO'!$A$5:$CY$9142,28,FALSE)</f>
        <v>002</v>
      </c>
      <c r="M240" s="93">
        <f>VLOOKUP($A240, 'Matriz POA 2024-TRABAJO'!$A$5:$CY$9142,30,FALSE)</f>
        <v>530804</v>
      </c>
      <c r="N240" s="93" t="str">
        <f>VLOOKUP($A240, 'Matriz POA 2024-TRABAJO'!$A$5:$CY$9142,31,FALSE)</f>
        <v>Materiales de Oficina</v>
      </c>
      <c r="O240" s="93">
        <f>VLOOKUP($A240, 'Matriz POA 2024-TRABAJO'!$A$5:$CY$9142,45,FALSE)</f>
        <v>4000</v>
      </c>
      <c r="P240" s="93">
        <f>VLOOKUP($A240, 'Matriz POA 2024-TRABAJO'!$A$5:$CY$9142,46,FALSE)</f>
        <v>0</v>
      </c>
      <c r="Q240" s="93">
        <f>VLOOKUP($A240, 'Matriz POA 2024-TRABAJO'!$A$5:$CY$9142,47,FALSE)</f>
        <v>4000</v>
      </c>
      <c r="R240" s="94">
        <f t="shared" si="205"/>
        <v>8000</v>
      </c>
      <c r="S240" s="95">
        <f t="shared" si="206"/>
        <v>-4000</v>
      </c>
      <c r="T240" s="93">
        <f>VLOOKUP($A240, 'Matriz POA 2024-TRABAJO'!$A$5:$CY$9142,72,FALSE)</f>
        <v>737.4</v>
      </c>
      <c r="U240" s="93" t="str">
        <f>VLOOKUP($A240, 'Matriz POA 2024-TRABAJO'!$A$5:$CY$9142,29,FALSE)</f>
        <v>53</v>
      </c>
      <c r="V240" s="93" t="str">
        <f t="shared" si="207"/>
        <v/>
      </c>
      <c r="W240" s="97" t="s">
        <v>1890</v>
      </c>
      <c r="X240" s="109">
        <v>45313</v>
      </c>
      <c r="Y240" s="99" t="s">
        <v>1891</v>
      </c>
      <c r="Z240" s="109">
        <v>45313</v>
      </c>
      <c r="AA240" s="93">
        <v>4000</v>
      </c>
      <c r="AB240" s="93"/>
      <c r="AC240" s="93">
        <f t="shared" si="208"/>
        <v>0</v>
      </c>
      <c r="AD240" s="93"/>
      <c r="AE240" s="97" t="s">
        <v>1940</v>
      </c>
      <c r="AF240" s="109">
        <v>45422</v>
      </c>
      <c r="AG240" s="99" t="s">
        <v>1941</v>
      </c>
      <c r="AH240" s="109">
        <v>45422</v>
      </c>
      <c r="AI240" s="93">
        <v>4000</v>
      </c>
      <c r="AJ240" s="93"/>
      <c r="AK240" s="93">
        <f t="shared" si="209"/>
        <v>0</v>
      </c>
      <c r="AL240" s="93"/>
      <c r="AM240" s="93"/>
      <c r="AN240" s="93"/>
      <c r="AO240" s="93"/>
      <c r="AP240" s="93"/>
      <c r="AQ240" s="93"/>
      <c r="AR240" s="93"/>
      <c r="AS240" s="93">
        <f t="shared" si="210"/>
        <v>0</v>
      </c>
      <c r="AT240" s="93"/>
      <c r="AU240" s="93"/>
      <c r="AV240" s="93"/>
      <c r="AW240" s="93"/>
      <c r="AX240" s="93"/>
      <c r="AY240" s="93"/>
      <c r="AZ240" s="93"/>
      <c r="BA240" s="93"/>
      <c r="BB240" s="93"/>
      <c r="BC240" s="93"/>
      <c r="BD240" s="93"/>
      <c r="BE240" s="93"/>
      <c r="BF240" s="93"/>
      <c r="BG240" s="93"/>
      <c r="BH240" s="93"/>
      <c r="BI240" s="93"/>
      <c r="BJ240" s="93"/>
      <c r="BK240" s="93"/>
      <c r="BL240" s="93"/>
      <c r="BM240" s="93"/>
      <c r="BN240" s="93"/>
      <c r="BO240" s="93"/>
      <c r="BP240" s="93"/>
      <c r="BQ240" s="93"/>
      <c r="BR240" s="93"/>
      <c r="BS240" s="93"/>
      <c r="BT240" s="93"/>
      <c r="BU240" s="93"/>
      <c r="BV240" s="93"/>
      <c r="BW240" s="93"/>
      <c r="BX240" s="93"/>
      <c r="BY240" s="93"/>
      <c r="BZ240" s="93"/>
      <c r="CA240" s="93"/>
      <c r="CB240" s="93"/>
      <c r="CC240" s="93"/>
      <c r="CD240" s="93"/>
      <c r="CE240" s="93"/>
      <c r="CF240" s="93"/>
      <c r="CG240" s="93"/>
      <c r="CH240" s="93"/>
      <c r="CI240" s="93"/>
      <c r="CJ240" s="93"/>
      <c r="CK240" s="93"/>
      <c r="CL240" s="93"/>
      <c r="CM240" s="93"/>
      <c r="CN240" s="93"/>
      <c r="CO240" s="93"/>
      <c r="CP240" s="93"/>
      <c r="CQ240" s="93"/>
      <c r="CR240" s="93"/>
      <c r="CS240" s="93"/>
      <c r="CT240" s="93"/>
      <c r="CU240" s="93"/>
      <c r="CV240" s="93"/>
      <c r="CW240" s="93"/>
      <c r="CX240" s="93"/>
    </row>
    <row r="241" spans="1:102" ht="15" customHeight="1">
      <c r="A241" s="93">
        <v>482</v>
      </c>
      <c r="B241" s="93" t="str">
        <f>VLOOKUP($A241,  'Matriz POA 2024-TRABAJO'!$A$5:$CY$9142,29,FALSE)</f>
        <v>53</v>
      </c>
      <c r="C241" s="93" t="str">
        <f>VLOOKUP($A241, 'Matriz POA 2024-TRABAJO'!$A$5:$CY$9142,11,FALSE)</f>
        <v>Corporación Ciudad Alfaro</v>
      </c>
      <c r="D241" s="93" t="str">
        <f>VLOOKUP($A241, 'Matriz POA 2024-TRABAJO'!$A$5:$CY$9142,14,FALSE)</f>
        <v>N/A</v>
      </c>
      <c r="E241" s="93" t="str">
        <f>VLOOKUP($A241, 'Matriz POA 2024-TRABAJO'!$A$5:$CY$9142,15,FALSE)</f>
        <v>N/A</v>
      </c>
      <c r="F241" s="93" t="str">
        <f>VLOOKUP($A241, 'Matriz POA 2024-TRABAJO'!$A$5:$CY$9142,18,FALSE)</f>
        <v>N/A</v>
      </c>
      <c r="G241" s="93" t="str">
        <f>VLOOKUP($A241, 'Matriz POA 2024-TRABAJO'!$A$5:$CY$9142,23,FALSE)</f>
        <v>NUEVA</v>
      </c>
      <c r="H241" s="93" t="str">
        <f>VLOOKUP($A241, 'Matriz POA 2024-TRABAJO'!$A$5:$CY$9142,24,FALSE)</f>
        <v>Mantenimiento preventivo y correctivo de las cerchas metálicas, ventanas, puertas y mampostería de la corporación ciudad alfaro</v>
      </c>
      <c r="I241" s="93" t="str">
        <f>VLOOKUP($A241, 'Matriz POA 2024-TRABAJO'!$A$5:$CY$9142,20,FALSE)</f>
        <v>N/A</v>
      </c>
      <c r="J241" s="93" t="str">
        <f>VLOOKUP($A241, 'Matriz POA 2024-TRABAJO'!$A$5:$CY$9142,26,FALSE)</f>
        <v>80</v>
      </c>
      <c r="K241" s="93" t="str">
        <f>VLOOKUP($A241, 'Matriz POA 2024-TRABAJO'!$A$5:$CY$9142,27,FALSE)</f>
        <v>000</v>
      </c>
      <c r="L241" s="93" t="str">
        <f>VLOOKUP($A241, 'Matriz POA 2024-TRABAJO'!$A$5:$CY$9142,28,FALSE)</f>
        <v>002</v>
      </c>
      <c r="M241" s="93">
        <f>VLOOKUP($A241, 'Matriz POA 2024-TRABAJO'!$A$5:$CY$9142,30,FALSE)</f>
        <v>530425</v>
      </c>
      <c r="N241" s="93" t="str">
        <f>VLOOKUP($A241, 'Matriz POA 2024-TRABAJO'!$A$5:$CY$9142,31,FALSE)</f>
        <v>Instalación, Readecuación, Montaje de Exposiciones, Mantenimiento y Reparación de Espacios y Bienes Culturales</v>
      </c>
      <c r="O241" s="93">
        <f>VLOOKUP($A241, 'Matriz POA 2024-TRABAJO'!$A$5:$CY$9142,45,FALSE)</f>
        <v>0</v>
      </c>
      <c r="P241" s="93">
        <f>VLOOKUP($A241, 'Matriz POA 2024-TRABAJO'!$A$5:$CY$9142,46,FALSE)</f>
        <v>0</v>
      </c>
      <c r="Q241" s="93">
        <f>VLOOKUP($A241, 'Matriz POA 2024-TRABAJO'!$A$5:$CY$9142,47,FALSE)</f>
        <v>0</v>
      </c>
      <c r="R241" s="94">
        <f t="shared" si="205"/>
        <v>0</v>
      </c>
      <c r="S241" s="95">
        <f t="shared" si="206"/>
        <v>0</v>
      </c>
      <c r="T241" s="93" t="str">
        <f>VLOOKUP($A241, 'Matriz POA 2024-TRABAJO'!$A$5:$CY$9142,72,FALSE)</f>
        <v/>
      </c>
      <c r="U241" s="93" t="str">
        <f>VLOOKUP($A241, 'Matriz POA 2024-TRABAJO'!$A$5:$CY$9142,29,FALSE)</f>
        <v>53</v>
      </c>
      <c r="V241" s="93" t="str">
        <f t="shared" si="207"/>
        <v/>
      </c>
      <c r="W241" s="97" t="s">
        <v>1890</v>
      </c>
      <c r="X241" s="109">
        <v>45313</v>
      </c>
      <c r="Y241" s="99" t="s">
        <v>1891</v>
      </c>
      <c r="Z241" s="109">
        <v>45313</v>
      </c>
      <c r="AA241" s="93">
        <v>0</v>
      </c>
      <c r="AB241" s="93"/>
      <c r="AC241" s="93">
        <f t="shared" si="208"/>
        <v>0</v>
      </c>
      <c r="AD241" s="93"/>
      <c r="AE241" s="93"/>
      <c r="AF241" s="93"/>
      <c r="AG241" s="93"/>
      <c r="AH241" s="93"/>
      <c r="AI241" s="93"/>
      <c r="AJ241" s="93"/>
      <c r="AK241" s="93">
        <f t="shared" si="209"/>
        <v>0</v>
      </c>
      <c r="AL241" s="93"/>
      <c r="AM241" s="93"/>
      <c r="AN241" s="93"/>
      <c r="AO241" s="93"/>
      <c r="AP241" s="93"/>
      <c r="AQ241" s="93"/>
      <c r="AR241" s="93"/>
      <c r="AS241" s="93">
        <f t="shared" si="210"/>
        <v>0</v>
      </c>
      <c r="AT241" s="93"/>
      <c r="AU241" s="93"/>
      <c r="AV241" s="93"/>
      <c r="AW241" s="93"/>
      <c r="AX241" s="93"/>
      <c r="AY241" s="93"/>
      <c r="AZ241" s="93"/>
      <c r="BA241" s="93"/>
      <c r="BB241" s="93"/>
      <c r="BC241" s="93"/>
      <c r="BD241" s="93"/>
      <c r="BE241" s="93"/>
      <c r="BF241" s="93"/>
      <c r="BG241" s="93"/>
      <c r="BH241" s="93"/>
      <c r="BI241" s="93"/>
      <c r="BJ241" s="93"/>
      <c r="BK241" s="93"/>
      <c r="BL241" s="93"/>
      <c r="BM241" s="93"/>
      <c r="BN241" s="93"/>
      <c r="BO241" s="93"/>
      <c r="BP241" s="93"/>
      <c r="BQ241" s="93"/>
      <c r="BR241" s="93"/>
      <c r="BS241" s="93"/>
      <c r="BT241" s="93"/>
      <c r="BU241" s="93"/>
      <c r="BV241" s="93"/>
      <c r="BW241" s="93"/>
      <c r="BX241" s="93"/>
      <c r="BY241" s="93"/>
      <c r="BZ241" s="93"/>
      <c r="CA241" s="93"/>
      <c r="CB241" s="93"/>
      <c r="CC241" s="93"/>
      <c r="CD241" s="93"/>
      <c r="CE241" s="93"/>
      <c r="CF241" s="93"/>
      <c r="CG241" s="93"/>
      <c r="CH241" s="93"/>
      <c r="CI241" s="93"/>
      <c r="CJ241" s="93"/>
      <c r="CK241" s="93"/>
      <c r="CL241" s="93"/>
      <c r="CM241" s="93"/>
      <c r="CN241" s="93"/>
      <c r="CO241" s="93"/>
      <c r="CP241" s="93"/>
      <c r="CQ241" s="93"/>
      <c r="CR241" s="93"/>
      <c r="CS241" s="93"/>
      <c r="CT241" s="93"/>
      <c r="CU241" s="93"/>
      <c r="CV241" s="93"/>
      <c r="CW241" s="93"/>
      <c r="CX241" s="93"/>
    </row>
    <row r="242" spans="1:102" ht="15" customHeight="1">
      <c r="A242" s="93">
        <v>483</v>
      </c>
      <c r="B242" s="93" t="str">
        <f>VLOOKUP($A242,  'Matriz POA 2024-TRABAJO'!$A$5:$CY$9142,29,FALSE)</f>
        <v>53</v>
      </c>
      <c r="C242" s="93" t="str">
        <f>VLOOKUP($A242, 'Matriz POA 2024-TRABAJO'!$A$5:$CY$9142,11,FALSE)</f>
        <v>Corporación Ciudad Alfaro</v>
      </c>
      <c r="D242" s="93" t="str">
        <f>VLOOKUP($A242, 'Matriz POA 2024-TRABAJO'!$A$5:$CY$9142,14,FALSE)</f>
        <v>N/A</v>
      </c>
      <c r="E242" s="93" t="str">
        <f>VLOOKUP($A242, 'Matriz POA 2024-TRABAJO'!$A$5:$CY$9142,15,FALSE)</f>
        <v>N/A</v>
      </c>
      <c r="F242" s="93" t="str">
        <f>VLOOKUP($A242, 'Matriz POA 2024-TRABAJO'!$A$5:$CY$9142,18,FALSE)</f>
        <v>N/A</v>
      </c>
      <c r="G242" s="93" t="str">
        <f>VLOOKUP($A242, 'Matriz POA 2024-TRABAJO'!$A$5:$CY$9142,23,FALSE)</f>
        <v>NUEVA</v>
      </c>
      <c r="H242" s="93" t="str">
        <f>VLOOKUP($A242, 'Matriz POA 2024-TRABAJO'!$A$5:$CY$9142,24,FALSE)</f>
        <v>Mantenimiento y reparación de las puertas enrollables de la corporación ciudad alfaro y sus sedes</v>
      </c>
      <c r="I242" s="93" t="str">
        <f>VLOOKUP($A242, 'Matriz POA 2024-TRABAJO'!$A$5:$CY$9142,20,FALSE)</f>
        <v>N/A</v>
      </c>
      <c r="J242" s="93" t="str">
        <f>VLOOKUP($A242, 'Matriz POA 2024-TRABAJO'!$A$5:$CY$9142,26,FALSE)</f>
        <v>80</v>
      </c>
      <c r="K242" s="93" t="str">
        <f>VLOOKUP($A242, 'Matriz POA 2024-TRABAJO'!$A$5:$CY$9142,27,FALSE)</f>
        <v>000</v>
      </c>
      <c r="L242" s="93" t="str">
        <f>VLOOKUP($A242, 'Matriz POA 2024-TRABAJO'!$A$5:$CY$9142,28,FALSE)</f>
        <v>002</v>
      </c>
      <c r="M242" s="93">
        <f>VLOOKUP($A242, 'Matriz POA 2024-TRABAJO'!$A$5:$CY$9142,30,FALSE)</f>
        <v>530403</v>
      </c>
      <c r="N242" s="93" t="str">
        <f>VLOOKUP($A242, 'Matriz POA 2024-TRABAJO'!$A$5:$CY$9142,31,FALSE)</f>
        <v>Mobiliarios  (Instalación, Mantenimiento y Reparación)</v>
      </c>
      <c r="O242" s="93">
        <f>VLOOKUP($A242, 'Matriz POA 2024-TRABAJO'!$A$5:$CY$9142,45,FALSE)</f>
        <v>0</v>
      </c>
      <c r="P242" s="93">
        <f>VLOOKUP($A242, 'Matriz POA 2024-TRABAJO'!$A$5:$CY$9142,46,FALSE)</f>
        <v>0</v>
      </c>
      <c r="Q242" s="93">
        <f>VLOOKUP($A242, 'Matriz POA 2024-TRABAJO'!$A$5:$CY$9142,47,FALSE)</f>
        <v>0</v>
      </c>
      <c r="R242" s="94">
        <f t="shared" si="205"/>
        <v>8000</v>
      </c>
      <c r="S242" s="95">
        <f t="shared" si="206"/>
        <v>-8000</v>
      </c>
      <c r="T242" s="93" t="str">
        <f>VLOOKUP($A242, 'Matriz POA 2024-TRABAJO'!$A$5:$CY$9142,72,FALSE)</f>
        <v/>
      </c>
      <c r="U242" s="93" t="str">
        <f>VLOOKUP($A242, 'Matriz POA 2024-TRABAJO'!$A$5:$CY$9142,29,FALSE)</f>
        <v>53</v>
      </c>
      <c r="V242" s="93" t="str">
        <f t="shared" si="207"/>
        <v/>
      </c>
      <c r="W242" s="97" t="s">
        <v>1890</v>
      </c>
      <c r="X242" s="109">
        <v>45313</v>
      </c>
      <c r="Y242" s="99" t="s">
        <v>1891</v>
      </c>
      <c r="Z242" s="109">
        <v>45313</v>
      </c>
      <c r="AA242" s="93">
        <v>3000</v>
      </c>
      <c r="AB242" s="93"/>
      <c r="AC242" s="93">
        <f t="shared" si="208"/>
        <v>0</v>
      </c>
      <c r="AD242" s="93"/>
      <c r="AE242" s="97" t="s">
        <v>1940</v>
      </c>
      <c r="AF242" s="109">
        <v>45422</v>
      </c>
      <c r="AG242" s="99" t="s">
        <v>1941</v>
      </c>
      <c r="AH242" s="109">
        <v>45422</v>
      </c>
      <c r="AI242" s="93">
        <v>5000</v>
      </c>
      <c r="AJ242" s="93"/>
      <c r="AK242" s="93">
        <f t="shared" si="209"/>
        <v>0</v>
      </c>
      <c r="AL242" s="93"/>
      <c r="AM242" s="93"/>
      <c r="AN242" s="93"/>
      <c r="AO242" s="93"/>
      <c r="AP242" s="93"/>
      <c r="AQ242" s="93"/>
      <c r="AR242" s="93"/>
      <c r="AS242" s="93">
        <f t="shared" si="210"/>
        <v>0</v>
      </c>
      <c r="AT242" s="93"/>
      <c r="AU242" s="93"/>
      <c r="AV242" s="93"/>
      <c r="AW242" s="93"/>
      <c r="AX242" s="93"/>
      <c r="AY242" s="93"/>
      <c r="AZ242" s="93"/>
      <c r="BA242" s="93"/>
      <c r="BB242" s="93"/>
      <c r="BC242" s="93"/>
      <c r="BD242" s="93"/>
      <c r="BE242" s="93"/>
      <c r="BF242" s="93"/>
      <c r="BG242" s="93"/>
      <c r="BH242" s="93"/>
      <c r="BI242" s="93"/>
      <c r="BJ242" s="93"/>
      <c r="BK242" s="93"/>
      <c r="BL242" s="93"/>
      <c r="BM242" s="93"/>
      <c r="BN242" s="93"/>
      <c r="BO242" s="93"/>
      <c r="BP242" s="93"/>
      <c r="BQ242" s="93"/>
      <c r="BR242" s="93"/>
      <c r="BS242" s="93"/>
      <c r="BT242" s="93"/>
      <c r="BU242" s="93"/>
      <c r="BV242" s="93"/>
      <c r="BW242" s="93"/>
      <c r="BX242" s="93"/>
      <c r="BY242" s="93"/>
      <c r="BZ242" s="93"/>
      <c r="CA242" s="93"/>
      <c r="CB242" s="93"/>
      <c r="CC242" s="93"/>
      <c r="CD242" s="93"/>
      <c r="CE242" s="93"/>
      <c r="CF242" s="93"/>
      <c r="CG242" s="93"/>
      <c r="CH242" s="93"/>
      <c r="CI242" s="93"/>
      <c r="CJ242" s="93"/>
      <c r="CK242" s="93"/>
      <c r="CL242" s="93"/>
      <c r="CM242" s="93"/>
      <c r="CN242" s="93"/>
      <c r="CO242" s="93"/>
      <c r="CP242" s="93"/>
      <c r="CQ242" s="93"/>
      <c r="CR242" s="93"/>
      <c r="CS242" s="93"/>
      <c r="CT242" s="93"/>
      <c r="CU242" s="93"/>
      <c r="CV242" s="93"/>
      <c r="CW242" s="93"/>
      <c r="CX242" s="93"/>
    </row>
    <row r="243" spans="1:102" ht="15" customHeight="1">
      <c r="A243" s="93">
        <v>484</v>
      </c>
      <c r="B243" s="93" t="str">
        <f>VLOOKUP($A243,  'Matriz POA 2024-TRABAJO'!$A$5:$CY$9142,29,FALSE)</f>
        <v>53</v>
      </c>
      <c r="C243" s="93" t="str">
        <f>VLOOKUP($A243, 'Matriz POA 2024-TRABAJO'!$A$5:$CY$9142,11,FALSE)</f>
        <v>Corporación Ciudad Alfaro</v>
      </c>
      <c r="D243" s="93" t="str">
        <f>VLOOKUP($A243, 'Matriz POA 2024-TRABAJO'!$A$5:$CY$9142,14,FALSE)</f>
        <v>N/A</v>
      </c>
      <c r="E243" s="93" t="str">
        <f>VLOOKUP($A243, 'Matriz POA 2024-TRABAJO'!$A$5:$CY$9142,15,FALSE)</f>
        <v>N/A</v>
      </c>
      <c r="F243" s="93" t="str">
        <f>VLOOKUP($A243, 'Matriz POA 2024-TRABAJO'!$A$5:$CY$9142,18,FALSE)</f>
        <v>N/A</v>
      </c>
      <c r="G243" s="93" t="str">
        <f>VLOOKUP($A243, 'Matriz POA 2024-TRABAJO'!$A$5:$CY$9142,23,FALSE)</f>
        <v>NUEVA</v>
      </c>
      <c r="H243" s="93" t="str">
        <f>VLOOKUP($A243, 'Matriz POA 2024-TRABAJO'!$A$5:$CY$9142,24,FALSE)</f>
        <v>Construcción de cubierta en la sede del Museo Bahía de Caráquez</v>
      </c>
      <c r="I243" s="93" t="str">
        <f>VLOOKUP($A243, 'Matriz POA 2024-TRABAJO'!$A$5:$CY$9142,20,FALSE)</f>
        <v>N/A</v>
      </c>
      <c r="J243" s="93" t="str">
        <f>VLOOKUP($A243, 'Matriz POA 2024-TRABAJO'!$A$5:$CY$9142,26,FALSE)</f>
        <v>80</v>
      </c>
      <c r="K243" s="93" t="str">
        <f>VLOOKUP($A243, 'Matriz POA 2024-TRABAJO'!$A$5:$CY$9142,27,FALSE)</f>
        <v>000</v>
      </c>
      <c r="L243" s="93" t="str">
        <f>VLOOKUP($A243, 'Matriz POA 2024-TRABAJO'!$A$5:$CY$9142,28,FALSE)</f>
        <v>002</v>
      </c>
      <c r="M243" s="93">
        <f>VLOOKUP($A243, 'Matriz POA 2024-TRABAJO'!$A$5:$CY$9142,30,FALSE)</f>
        <v>530425</v>
      </c>
      <c r="N243" s="93" t="str">
        <f>VLOOKUP($A243, 'Matriz POA 2024-TRABAJO'!$A$5:$CY$9142,31,FALSE)</f>
        <v>Instalación, Readecuación, Montaje de Exposiciones, Mantenimiento y Reparación de Espacios y Bienes Culturales</v>
      </c>
      <c r="O243" s="93">
        <f>VLOOKUP($A243, 'Matriz POA 2024-TRABAJO'!$A$5:$CY$9142,45,FALSE)</f>
        <v>0</v>
      </c>
      <c r="P243" s="93">
        <f>VLOOKUP($A243, 'Matriz POA 2024-TRABAJO'!$A$5:$CY$9142,46,FALSE)</f>
        <v>0</v>
      </c>
      <c r="Q243" s="93">
        <f>VLOOKUP($A243, 'Matriz POA 2024-TRABAJO'!$A$5:$CY$9142,47,FALSE)</f>
        <v>0</v>
      </c>
      <c r="R243" s="94">
        <f t="shared" si="205"/>
        <v>0</v>
      </c>
      <c r="S243" s="95">
        <f t="shared" si="206"/>
        <v>0</v>
      </c>
      <c r="T243" s="93" t="str">
        <f>VLOOKUP($A243, 'Matriz POA 2024-TRABAJO'!$A$5:$CY$9142,72,FALSE)</f>
        <v/>
      </c>
      <c r="U243" s="93" t="str">
        <f>VLOOKUP($A243, 'Matriz POA 2024-TRABAJO'!$A$5:$CY$9142,29,FALSE)</f>
        <v>53</v>
      </c>
      <c r="V243" s="93" t="str">
        <f t="shared" si="207"/>
        <v/>
      </c>
      <c r="W243" s="97" t="s">
        <v>1890</v>
      </c>
      <c r="X243" s="109">
        <v>45313</v>
      </c>
      <c r="Y243" s="99" t="s">
        <v>1891</v>
      </c>
      <c r="Z243" s="109">
        <v>45313</v>
      </c>
      <c r="AA243" s="93">
        <v>0</v>
      </c>
      <c r="AB243" s="93"/>
      <c r="AC243" s="93">
        <f t="shared" si="208"/>
        <v>0</v>
      </c>
      <c r="AD243" s="93"/>
      <c r="AE243" s="93"/>
      <c r="AF243" s="93"/>
      <c r="AG243" s="93"/>
      <c r="AH243" s="93"/>
      <c r="AI243" s="93"/>
      <c r="AJ243" s="93"/>
      <c r="AK243" s="93">
        <f t="shared" si="209"/>
        <v>0</v>
      </c>
      <c r="AL243" s="93"/>
      <c r="AM243" s="93"/>
      <c r="AN243" s="93"/>
      <c r="AO243" s="93"/>
      <c r="AP243" s="93"/>
      <c r="AQ243" s="93"/>
      <c r="AR243" s="93"/>
      <c r="AS243" s="93">
        <f t="shared" si="210"/>
        <v>0</v>
      </c>
      <c r="AT243" s="93"/>
      <c r="AU243" s="93"/>
      <c r="AV243" s="93"/>
      <c r="AW243" s="93"/>
      <c r="AX243" s="93"/>
      <c r="AY243" s="93"/>
      <c r="AZ243" s="93"/>
      <c r="BA243" s="93"/>
      <c r="BB243" s="93"/>
      <c r="BC243" s="93"/>
      <c r="BD243" s="93"/>
      <c r="BE243" s="93"/>
      <c r="BF243" s="93"/>
      <c r="BG243" s="93"/>
      <c r="BH243" s="93"/>
      <c r="BI243" s="93"/>
      <c r="BJ243" s="93"/>
      <c r="BK243" s="93"/>
      <c r="BL243" s="93"/>
      <c r="BM243" s="93"/>
      <c r="BN243" s="93"/>
      <c r="BO243" s="93"/>
      <c r="BP243" s="93"/>
      <c r="BQ243" s="93"/>
      <c r="BR243" s="93"/>
      <c r="BS243" s="93"/>
      <c r="BT243" s="93"/>
      <c r="BU243" s="93"/>
      <c r="BV243" s="93"/>
      <c r="BW243" s="93"/>
      <c r="BX243" s="93"/>
      <c r="BY243" s="93"/>
      <c r="BZ243" s="93"/>
      <c r="CA243" s="93"/>
      <c r="CB243" s="93"/>
      <c r="CC243" s="93"/>
      <c r="CD243" s="93"/>
      <c r="CE243" s="93"/>
      <c r="CF243" s="93"/>
      <c r="CG243" s="93"/>
      <c r="CH243" s="93"/>
      <c r="CI243" s="93"/>
      <c r="CJ243" s="93"/>
      <c r="CK243" s="93"/>
      <c r="CL243" s="93"/>
      <c r="CM243" s="93"/>
      <c r="CN243" s="93"/>
      <c r="CO243" s="93"/>
      <c r="CP243" s="93"/>
      <c r="CQ243" s="93"/>
      <c r="CR243" s="93"/>
      <c r="CS243" s="93"/>
      <c r="CT243" s="93"/>
      <c r="CU243" s="93"/>
      <c r="CV243" s="93"/>
      <c r="CW243" s="93"/>
      <c r="CX243" s="93"/>
    </row>
    <row r="244" spans="1:102" ht="15" customHeight="1">
      <c r="A244" s="93">
        <v>493</v>
      </c>
      <c r="B244" s="93" t="str">
        <f>VLOOKUP($A244,  'Matriz POA 2024-TRABAJO'!$A$5:$CY$9142,29,FALSE)</f>
        <v>53</v>
      </c>
      <c r="C244" s="93" t="str">
        <f>VLOOKUP($A244, 'Matriz POA 2024-TRABAJO'!$A$5:$CY$9142,11,FALSE)</f>
        <v>Corporación Ciudad Alfaro</v>
      </c>
      <c r="D244" s="93" t="str">
        <f>VLOOKUP($A244, 'Matriz POA 2024-TRABAJO'!$A$5:$CY$9142,14,FALSE)</f>
        <v>N/A</v>
      </c>
      <c r="E244" s="93" t="str">
        <f>VLOOKUP($A244, 'Matriz POA 2024-TRABAJO'!$A$5:$CY$9142,15,FALSE)</f>
        <v>N/A</v>
      </c>
      <c r="F244" s="93" t="str">
        <f>VLOOKUP($A244, 'Matriz POA 2024-TRABAJO'!$A$5:$CY$9142,18,FALSE)</f>
        <v>N/A</v>
      </c>
      <c r="G244" s="93" t="str">
        <f>VLOOKUP($A244, 'Matriz POA 2024-TRABAJO'!$A$5:$CY$9142,23,FALSE)</f>
        <v>NUEVA</v>
      </c>
      <c r="H244" s="93" t="str">
        <f>VLOOKUP($A244, 'Matriz POA 2024-TRABAJO'!$A$5:$CY$9142,24,FALSE)</f>
        <v xml:space="preserve">Mantenimiento y reparación de bombas sumergibles y bombas de agua potable en el Museo Centro Cultural Manta, sede de la Corporación Ciudad Alfaro </v>
      </c>
      <c r="I244" s="93" t="str">
        <f>VLOOKUP($A244, 'Matriz POA 2024-TRABAJO'!$A$5:$CY$9142,20,FALSE)</f>
        <v>N/A</v>
      </c>
      <c r="J244" s="93" t="str">
        <f>VLOOKUP($A244, 'Matriz POA 2024-TRABAJO'!$A$5:$CY$9142,26,FALSE)</f>
        <v>80</v>
      </c>
      <c r="K244" s="93" t="str">
        <f>VLOOKUP($A244, 'Matriz POA 2024-TRABAJO'!$A$5:$CY$9142,27,FALSE)</f>
        <v>000</v>
      </c>
      <c r="L244" s="93" t="str">
        <f>VLOOKUP($A244, 'Matriz POA 2024-TRABAJO'!$A$5:$CY$9142,28,FALSE)</f>
        <v>002</v>
      </c>
      <c r="M244" s="93">
        <f>VLOOKUP($A244, 'Matriz POA 2024-TRABAJO'!$A$5:$CY$9142,30,FALSE)</f>
        <v>530403</v>
      </c>
      <c r="N244" s="93" t="str">
        <f>VLOOKUP($A244, 'Matriz POA 2024-TRABAJO'!$A$5:$CY$9142,31,FALSE)</f>
        <v>Mobiliarios  (Instalación, Mantenimiento y Reparación)</v>
      </c>
      <c r="O244" s="93">
        <f>VLOOKUP($A244, 'Matriz POA 2024-TRABAJO'!$A$5:$CY$9142,45,FALSE)</f>
        <v>0</v>
      </c>
      <c r="P244" s="93">
        <f>VLOOKUP($A244, 'Matriz POA 2024-TRABAJO'!$A$5:$CY$9142,46,FALSE)</f>
        <v>0</v>
      </c>
      <c r="Q244" s="93">
        <f>VLOOKUP($A244, 'Matriz POA 2024-TRABAJO'!$A$5:$CY$9142,47,FALSE)</f>
        <v>0</v>
      </c>
      <c r="R244" s="94">
        <f t="shared" si="205"/>
        <v>0</v>
      </c>
      <c r="S244" s="95">
        <f t="shared" si="206"/>
        <v>0</v>
      </c>
      <c r="T244" s="93" t="str">
        <f>VLOOKUP($A244, 'Matriz POA 2024-TRABAJO'!$A$5:$CY$9142,72,FALSE)</f>
        <v/>
      </c>
      <c r="U244" s="93" t="str">
        <f>VLOOKUP($A244, 'Matriz POA 2024-TRABAJO'!$A$5:$CY$9142,29,FALSE)</f>
        <v>53</v>
      </c>
      <c r="V244" s="93" t="str">
        <f t="shared" si="207"/>
        <v/>
      </c>
      <c r="W244" s="97" t="s">
        <v>1890</v>
      </c>
      <c r="X244" s="109">
        <v>45313</v>
      </c>
      <c r="Y244" s="99" t="s">
        <v>1891</v>
      </c>
      <c r="Z244" s="109">
        <v>45313</v>
      </c>
      <c r="AA244" s="93">
        <v>0</v>
      </c>
      <c r="AB244" s="93"/>
      <c r="AC244" s="93">
        <f t="shared" si="208"/>
        <v>0</v>
      </c>
      <c r="AD244" s="93"/>
      <c r="AE244" s="93"/>
      <c r="AF244" s="93"/>
      <c r="AG244" s="93"/>
      <c r="AH244" s="93"/>
      <c r="AI244" s="93"/>
      <c r="AJ244" s="93"/>
      <c r="AK244" s="93">
        <f t="shared" si="209"/>
        <v>0</v>
      </c>
      <c r="AL244" s="93"/>
      <c r="AM244" s="93"/>
      <c r="AN244" s="93"/>
      <c r="AO244" s="93"/>
      <c r="AP244" s="93"/>
      <c r="AQ244" s="93"/>
      <c r="AR244" s="93"/>
      <c r="AS244" s="93">
        <f t="shared" si="210"/>
        <v>0</v>
      </c>
      <c r="AT244" s="93"/>
      <c r="AU244" s="93"/>
      <c r="AV244" s="93"/>
      <c r="AW244" s="93"/>
      <c r="AX244" s="93"/>
      <c r="AY244" s="93"/>
      <c r="AZ244" s="93"/>
      <c r="BA244" s="93"/>
      <c r="BB244" s="93"/>
      <c r="BC244" s="93"/>
      <c r="BD244" s="93"/>
      <c r="BE244" s="93"/>
      <c r="BF244" s="93"/>
      <c r="BG244" s="93"/>
      <c r="BH244" s="93"/>
      <c r="BI244" s="93"/>
      <c r="BJ244" s="93"/>
      <c r="BK244" s="93"/>
      <c r="BL244" s="93"/>
      <c r="BM244" s="93"/>
      <c r="BN244" s="93"/>
      <c r="BO244" s="93"/>
      <c r="BP244" s="93"/>
      <c r="BQ244" s="93"/>
      <c r="BR244" s="93"/>
      <c r="BS244" s="93"/>
      <c r="BT244" s="93"/>
      <c r="BU244" s="93"/>
      <c r="BV244" s="93"/>
      <c r="BW244" s="93"/>
      <c r="BX244" s="93"/>
      <c r="BY244" s="93"/>
      <c r="BZ244" s="93"/>
      <c r="CA244" s="93"/>
      <c r="CB244" s="93"/>
      <c r="CC244" s="93"/>
      <c r="CD244" s="93"/>
      <c r="CE244" s="93"/>
      <c r="CF244" s="93"/>
      <c r="CG244" s="93"/>
      <c r="CH244" s="93"/>
      <c r="CI244" s="93"/>
      <c r="CJ244" s="93"/>
      <c r="CK244" s="93"/>
      <c r="CL244" s="93"/>
      <c r="CM244" s="93"/>
      <c r="CN244" s="93"/>
      <c r="CO244" s="93"/>
      <c r="CP244" s="93"/>
      <c r="CQ244" s="93"/>
      <c r="CR244" s="93"/>
      <c r="CS244" s="93"/>
      <c r="CT244" s="93"/>
      <c r="CU244" s="93"/>
      <c r="CV244" s="93"/>
      <c r="CW244" s="93"/>
      <c r="CX244" s="93"/>
    </row>
    <row r="245" spans="1:102" ht="15" customHeight="1">
      <c r="A245" s="93">
        <v>454</v>
      </c>
      <c r="B245" s="93" t="str">
        <f>VLOOKUP($A245,  'Matriz POA 2024-TRABAJO'!$A$5:$CY$9142,29,FALSE)</f>
        <v>53</v>
      </c>
      <c r="C245" s="93" t="str">
        <f>VLOOKUP($A245, 'Matriz POA 2024-TRABAJO'!$A$5:$CY$9142,11,FALSE)</f>
        <v>Corporación Ciudad Alfaro</v>
      </c>
      <c r="D245" s="93" t="str">
        <f>VLOOKUP($A245, 'Matriz POA 2024-TRABAJO'!$A$5:$CY$9142,14,FALSE)</f>
        <v>N/A</v>
      </c>
      <c r="E245" s="93" t="str">
        <f>VLOOKUP($A245, 'Matriz POA 2024-TRABAJO'!$A$5:$CY$9142,15,FALSE)</f>
        <v>N/A</v>
      </c>
      <c r="F245" s="93" t="str">
        <f>VLOOKUP($A245, 'Matriz POA 2024-TRABAJO'!$A$5:$CY$9142,18,FALSE)</f>
        <v>N/A</v>
      </c>
      <c r="G245" s="93" t="str">
        <f>VLOOKUP($A245, 'Matriz POA 2024-TRABAJO'!$A$5:$CY$9142,23,FALSE)</f>
        <v>ARRASTRE</v>
      </c>
      <c r="H245" s="93" t="str">
        <f>VLOOKUP($A245, 'Matriz POA 2024-TRABAJO'!$A$5:$CY$9142,24,FALSE)</f>
        <v>Pago Mensual del servicio de Agua Potable del mes de Diciembre del 2023 del Museo Centro Cultural de Manta</v>
      </c>
      <c r="I245" s="93" t="str">
        <f>VLOOKUP($A245, 'Matriz POA 2024-TRABAJO'!$A$5:$CY$9142,20,FALSE)</f>
        <v>N/A</v>
      </c>
      <c r="J245" s="93" t="str">
        <f>VLOOKUP($A245, 'Matriz POA 2024-TRABAJO'!$A$5:$CY$9142,26,FALSE)</f>
        <v>80</v>
      </c>
      <c r="K245" s="93" t="str">
        <f>VLOOKUP($A245, 'Matriz POA 2024-TRABAJO'!$A$5:$CY$9142,27,FALSE)</f>
        <v>000</v>
      </c>
      <c r="L245" s="93" t="str">
        <f>VLOOKUP($A245, 'Matriz POA 2024-TRABAJO'!$A$5:$CY$9142,28,FALSE)</f>
        <v>002</v>
      </c>
      <c r="M245" s="93">
        <f>VLOOKUP($A245, 'Matriz POA 2024-TRABAJO'!$A$5:$CY$9142,30,FALSE)</f>
        <v>530101</v>
      </c>
      <c r="N245" s="93" t="str">
        <f>VLOOKUP($A245, 'Matriz POA 2024-TRABAJO'!$A$5:$CY$9142,31,FALSE)</f>
        <v>Agua Potable</v>
      </c>
      <c r="O245" s="93">
        <f>VLOOKUP($A245, 'Matriz POA 2024-TRABAJO'!$A$5:$CY$9142,45,FALSE)</f>
        <v>15</v>
      </c>
      <c r="P245" s="93">
        <f>VLOOKUP($A245, 'Matriz POA 2024-TRABAJO'!$A$5:$CY$9142,46,FALSE)</f>
        <v>0</v>
      </c>
      <c r="Q245" s="93">
        <f>VLOOKUP($A245, 'Matriz POA 2024-TRABAJO'!$A$5:$CY$9142,47,FALSE)</f>
        <v>15</v>
      </c>
      <c r="R245" s="94">
        <f t="shared" si="205"/>
        <v>15</v>
      </c>
      <c r="S245" s="95">
        <f t="shared" si="206"/>
        <v>0</v>
      </c>
      <c r="T245" s="93">
        <f>VLOOKUP($A245, 'Matriz POA 2024-TRABAJO'!$A$5:$CY$9142,72,FALSE)</f>
        <v>14.77</v>
      </c>
      <c r="U245" s="93" t="str">
        <f>VLOOKUP($A245, 'Matriz POA 2024-TRABAJO'!$A$5:$CY$9142,29,FALSE)</f>
        <v>53</v>
      </c>
      <c r="V245" s="93" t="str">
        <f t="shared" si="207"/>
        <v/>
      </c>
      <c r="W245" s="97" t="s">
        <v>1892</v>
      </c>
      <c r="X245" s="109">
        <v>45314</v>
      </c>
      <c r="Y245" s="99" t="s">
        <v>1893</v>
      </c>
      <c r="Z245" s="109">
        <v>45314</v>
      </c>
      <c r="AA245" s="93">
        <v>15</v>
      </c>
      <c r="AB245" s="93"/>
      <c r="AC245" s="93">
        <f t="shared" si="208"/>
        <v>0</v>
      </c>
      <c r="AD245" s="93"/>
      <c r="AE245" s="93"/>
      <c r="AF245" s="93"/>
      <c r="AG245" s="93"/>
      <c r="AH245" s="93"/>
      <c r="AI245" s="93"/>
      <c r="AJ245" s="93"/>
      <c r="AK245" s="93">
        <f t="shared" si="209"/>
        <v>0</v>
      </c>
      <c r="AL245" s="93"/>
      <c r="AM245" s="93"/>
      <c r="AN245" s="93"/>
      <c r="AO245" s="93"/>
      <c r="AP245" s="93"/>
      <c r="AQ245" s="93"/>
      <c r="AR245" s="93"/>
      <c r="AS245" s="93">
        <f t="shared" si="210"/>
        <v>0</v>
      </c>
      <c r="AT245" s="93"/>
      <c r="AU245" s="93"/>
      <c r="AV245" s="93"/>
      <c r="AW245" s="93"/>
      <c r="AX245" s="93"/>
      <c r="AY245" s="93"/>
      <c r="AZ245" s="93"/>
      <c r="BA245" s="93"/>
      <c r="BB245" s="93"/>
      <c r="BC245" s="93"/>
      <c r="BD245" s="93"/>
      <c r="BE245" s="93"/>
      <c r="BF245" s="93"/>
      <c r="BG245" s="93"/>
      <c r="BH245" s="93"/>
      <c r="BI245" s="93"/>
      <c r="BJ245" s="93"/>
      <c r="BK245" s="93"/>
      <c r="BL245" s="93"/>
      <c r="BM245" s="93"/>
      <c r="BN245" s="93"/>
      <c r="BO245" s="93"/>
      <c r="BP245" s="93"/>
      <c r="BQ245" s="93"/>
      <c r="BR245" s="93"/>
      <c r="BS245" s="93"/>
      <c r="BT245" s="93"/>
      <c r="BU245" s="93"/>
      <c r="BV245" s="93"/>
      <c r="BW245" s="93"/>
      <c r="BX245" s="93"/>
      <c r="BY245" s="93"/>
      <c r="BZ245" s="93"/>
      <c r="CA245" s="93"/>
      <c r="CB245" s="93"/>
      <c r="CC245" s="93"/>
      <c r="CD245" s="93"/>
      <c r="CE245" s="93"/>
      <c r="CF245" s="93"/>
      <c r="CG245" s="93"/>
      <c r="CH245" s="93"/>
      <c r="CI245" s="93"/>
      <c r="CJ245" s="93"/>
      <c r="CK245" s="93"/>
      <c r="CL245" s="93"/>
      <c r="CM245" s="93"/>
      <c r="CN245" s="93"/>
      <c r="CO245" s="93"/>
      <c r="CP245" s="93"/>
      <c r="CQ245" s="93"/>
      <c r="CR245" s="93"/>
      <c r="CS245" s="93"/>
      <c r="CT245" s="93"/>
      <c r="CU245" s="93"/>
      <c r="CV245" s="93"/>
      <c r="CW245" s="93"/>
      <c r="CX245" s="93"/>
    </row>
    <row r="246" spans="1:102" ht="15" customHeight="1">
      <c r="A246" s="93">
        <v>455</v>
      </c>
      <c r="B246" s="93" t="str">
        <f>VLOOKUP($A246,  'Matriz POA 2024-TRABAJO'!$A$5:$CY$9142,29,FALSE)</f>
        <v>53</v>
      </c>
      <c r="C246" s="93" t="str">
        <f>VLOOKUP($A246, 'Matriz POA 2024-TRABAJO'!$A$5:$CY$9142,11,FALSE)</f>
        <v>Corporación Ciudad Alfaro</v>
      </c>
      <c r="D246" s="93" t="str">
        <f>VLOOKUP($A246, 'Matriz POA 2024-TRABAJO'!$A$5:$CY$9142,14,FALSE)</f>
        <v>N/A</v>
      </c>
      <c r="E246" s="93" t="str">
        <f>VLOOKUP($A246, 'Matriz POA 2024-TRABAJO'!$A$5:$CY$9142,15,FALSE)</f>
        <v>N/A</v>
      </c>
      <c r="F246" s="93" t="str">
        <f>VLOOKUP($A246, 'Matriz POA 2024-TRABAJO'!$A$5:$CY$9142,18,FALSE)</f>
        <v>N/A</v>
      </c>
      <c r="G246" s="93" t="str">
        <f>VLOOKUP($A246, 'Matriz POA 2024-TRABAJO'!$A$5:$CY$9142,23,FALSE)</f>
        <v>NUEVA</v>
      </c>
      <c r="H246" s="93" t="str">
        <f>VLOOKUP($A246, 'Matriz POA 2024-TRABAJO'!$A$5:$CY$9142,24,FALSE)</f>
        <v>Pago Mensual del servicio de Agua Potable del Museo Centro Cultural de Manta</v>
      </c>
      <c r="I246" s="93" t="str">
        <f>VLOOKUP($A246, 'Matriz POA 2024-TRABAJO'!$A$5:$CY$9142,20,FALSE)</f>
        <v>N/A</v>
      </c>
      <c r="J246" s="93" t="str">
        <f>VLOOKUP($A246, 'Matriz POA 2024-TRABAJO'!$A$5:$CY$9142,26,FALSE)</f>
        <v>80</v>
      </c>
      <c r="K246" s="93" t="str">
        <f>VLOOKUP($A246, 'Matriz POA 2024-TRABAJO'!$A$5:$CY$9142,27,FALSE)</f>
        <v>000</v>
      </c>
      <c r="L246" s="93" t="str">
        <f>VLOOKUP($A246, 'Matriz POA 2024-TRABAJO'!$A$5:$CY$9142,28,FALSE)</f>
        <v>002</v>
      </c>
      <c r="M246" s="93">
        <f>VLOOKUP($A246, 'Matriz POA 2024-TRABAJO'!$A$5:$CY$9142,30,FALSE)</f>
        <v>530101</v>
      </c>
      <c r="N246" s="93" t="str">
        <f>VLOOKUP($A246, 'Matriz POA 2024-TRABAJO'!$A$5:$CY$9142,31,FALSE)</f>
        <v>Agua Potable</v>
      </c>
      <c r="O246" s="93">
        <f>VLOOKUP($A246, 'Matriz POA 2024-TRABAJO'!$A$5:$CY$9142,45,FALSE)</f>
        <v>135</v>
      </c>
      <c r="P246" s="93">
        <f>VLOOKUP($A246, 'Matriz POA 2024-TRABAJO'!$A$5:$CY$9142,46,FALSE)</f>
        <v>0</v>
      </c>
      <c r="Q246" s="93">
        <f>VLOOKUP($A246, 'Matriz POA 2024-TRABAJO'!$A$5:$CY$9142,47,FALSE)</f>
        <v>135</v>
      </c>
      <c r="R246" s="94">
        <f t="shared" si="205"/>
        <v>135</v>
      </c>
      <c r="S246" s="95">
        <f t="shared" si="206"/>
        <v>0</v>
      </c>
      <c r="T246" s="93">
        <f>VLOOKUP($A246, 'Matriz POA 2024-TRABAJO'!$A$5:$CY$9142,72,FALSE)</f>
        <v>86.21</v>
      </c>
      <c r="U246" s="93" t="str">
        <f>VLOOKUP($A246, 'Matriz POA 2024-TRABAJO'!$A$5:$CY$9142,29,FALSE)</f>
        <v>53</v>
      </c>
      <c r="V246" s="93" t="str">
        <f t="shared" si="207"/>
        <v/>
      </c>
      <c r="W246" s="97" t="s">
        <v>1894</v>
      </c>
      <c r="X246" s="109">
        <v>45314</v>
      </c>
      <c r="Y246" s="99" t="s">
        <v>1893</v>
      </c>
      <c r="Z246" s="109">
        <v>45314</v>
      </c>
      <c r="AA246" s="93">
        <v>135</v>
      </c>
      <c r="AB246" s="93"/>
      <c r="AC246" s="93">
        <f t="shared" si="208"/>
        <v>0</v>
      </c>
      <c r="AD246" s="93"/>
      <c r="AE246" s="93"/>
      <c r="AF246" s="93"/>
      <c r="AG246" s="93"/>
      <c r="AH246" s="93"/>
      <c r="AI246" s="93"/>
      <c r="AJ246" s="93"/>
      <c r="AK246" s="93">
        <f t="shared" si="209"/>
        <v>0</v>
      </c>
      <c r="AL246" s="93"/>
      <c r="AM246" s="93"/>
      <c r="AN246" s="93"/>
      <c r="AO246" s="93"/>
      <c r="AP246" s="93"/>
      <c r="AQ246" s="93"/>
      <c r="AR246" s="93"/>
      <c r="AS246" s="93">
        <f t="shared" si="210"/>
        <v>0</v>
      </c>
      <c r="AT246" s="93"/>
      <c r="AU246" s="93"/>
      <c r="AV246" s="93"/>
      <c r="AW246" s="93"/>
      <c r="AX246" s="93"/>
      <c r="AY246" s="93"/>
      <c r="AZ246" s="93"/>
      <c r="BA246" s="93"/>
      <c r="BB246" s="93"/>
      <c r="BC246" s="93"/>
      <c r="BD246" s="93"/>
      <c r="BE246" s="93"/>
      <c r="BF246" s="93"/>
      <c r="BG246" s="93"/>
      <c r="BH246" s="93"/>
      <c r="BI246" s="93"/>
      <c r="BJ246" s="93"/>
      <c r="BK246" s="93"/>
      <c r="BL246" s="93"/>
      <c r="BM246" s="93"/>
      <c r="BN246" s="93"/>
      <c r="BO246" s="93"/>
      <c r="BP246" s="93"/>
      <c r="BQ246" s="93"/>
      <c r="BR246" s="93"/>
      <c r="BS246" s="93"/>
      <c r="BT246" s="93"/>
      <c r="BU246" s="93"/>
      <c r="BV246" s="93"/>
      <c r="BW246" s="93"/>
      <c r="BX246" s="93"/>
      <c r="BY246" s="93"/>
      <c r="BZ246" s="93"/>
      <c r="CA246" s="93"/>
      <c r="CB246" s="93"/>
      <c r="CC246" s="93"/>
      <c r="CD246" s="93"/>
      <c r="CE246" s="93"/>
      <c r="CF246" s="93"/>
      <c r="CG246" s="93"/>
      <c r="CH246" s="93"/>
      <c r="CI246" s="93"/>
      <c r="CJ246" s="93"/>
      <c r="CK246" s="93"/>
      <c r="CL246" s="93"/>
      <c r="CM246" s="93"/>
      <c r="CN246" s="93"/>
      <c r="CO246" s="93"/>
      <c r="CP246" s="93"/>
      <c r="CQ246" s="93"/>
      <c r="CR246" s="93"/>
      <c r="CS246" s="93"/>
      <c r="CT246" s="93"/>
      <c r="CU246" s="93"/>
      <c r="CV246" s="93"/>
      <c r="CW246" s="93"/>
      <c r="CX246" s="93"/>
    </row>
    <row r="247" spans="1:102" ht="15" customHeight="1">
      <c r="A247" s="93">
        <v>456</v>
      </c>
      <c r="B247" s="93" t="str">
        <f>VLOOKUP($A247,  'Matriz POA 2024-TRABAJO'!$A$5:$CY$9142,29,FALSE)</f>
        <v>53</v>
      </c>
      <c r="C247" s="93" t="str">
        <f>VLOOKUP($A247, 'Matriz POA 2024-TRABAJO'!$A$5:$CY$9142,11,FALSE)</f>
        <v>Corporación Ciudad Alfaro</v>
      </c>
      <c r="D247" s="93" t="str">
        <f>VLOOKUP($A247, 'Matriz POA 2024-TRABAJO'!$A$5:$CY$9142,14,FALSE)</f>
        <v>N/A</v>
      </c>
      <c r="E247" s="93" t="str">
        <f>VLOOKUP($A247, 'Matriz POA 2024-TRABAJO'!$A$5:$CY$9142,15,FALSE)</f>
        <v>N/A</v>
      </c>
      <c r="F247" s="93" t="str">
        <f>VLOOKUP($A247, 'Matriz POA 2024-TRABAJO'!$A$5:$CY$9142,18,FALSE)</f>
        <v>N/A</v>
      </c>
      <c r="G247" s="93" t="str">
        <f>VLOOKUP($A247, 'Matriz POA 2024-TRABAJO'!$A$5:$CY$9142,23,FALSE)</f>
        <v>ARRASTRE</v>
      </c>
      <c r="H247" s="93" t="str">
        <f>VLOOKUP($A247, 'Matriz POA 2024-TRABAJO'!$A$5:$CY$9142,24,FALSE)</f>
        <v>Pago mensual del servicio de energía eléctrica de los meses de Noviembre y Diciembre del 2023 del Museo y Centro Cultural de Manta</v>
      </c>
      <c r="I247" s="93" t="str">
        <f>VLOOKUP($A247, 'Matriz POA 2024-TRABAJO'!$A$5:$CY$9142,20,FALSE)</f>
        <v>N/A</v>
      </c>
      <c r="J247" s="93" t="str">
        <f>VLOOKUP($A247, 'Matriz POA 2024-TRABAJO'!$A$5:$CY$9142,26,FALSE)</f>
        <v>80</v>
      </c>
      <c r="K247" s="93" t="str">
        <f>VLOOKUP($A247, 'Matriz POA 2024-TRABAJO'!$A$5:$CY$9142,27,FALSE)</f>
        <v>000</v>
      </c>
      <c r="L247" s="93" t="str">
        <f>VLOOKUP($A247, 'Matriz POA 2024-TRABAJO'!$A$5:$CY$9142,28,FALSE)</f>
        <v>002</v>
      </c>
      <c r="M247" s="93">
        <f>VLOOKUP($A247, 'Matriz POA 2024-TRABAJO'!$A$5:$CY$9142,30,FALSE)</f>
        <v>530104</v>
      </c>
      <c r="N247" s="93" t="str">
        <f>VLOOKUP($A247, 'Matriz POA 2024-TRABAJO'!$A$5:$CY$9142,31,FALSE)</f>
        <v>Energía Eléctrica</v>
      </c>
      <c r="O247" s="93">
        <f>VLOOKUP($A247, 'Matriz POA 2024-TRABAJO'!$A$5:$CY$9142,45,FALSE)</f>
        <v>2941.33</v>
      </c>
      <c r="P247" s="93">
        <f>VLOOKUP($A247, 'Matriz POA 2024-TRABAJO'!$A$5:$CY$9142,46,FALSE)</f>
        <v>0</v>
      </c>
      <c r="Q247" s="93">
        <f>VLOOKUP($A247, 'Matriz POA 2024-TRABAJO'!$A$5:$CY$9142,47,FALSE)</f>
        <v>2941.33</v>
      </c>
      <c r="R247" s="94">
        <f t="shared" si="205"/>
        <v>2941.33</v>
      </c>
      <c r="S247" s="95">
        <f t="shared" si="206"/>
        <v>0</v>
      </c>
      <c r="T247" s="93">
        <f>VLOOKUP($A247, 'Matriz POA 2024-TRABAJO'!$A$5:$CY$9142,72,FALSE)</f>
        <v>1186.46</v>
      </c>
      <c r="U247" s="93" t="str">
        <f>VLOOKUP($A247, 'Matriz POA 2024-TRABAJO'!$A$5:$CY$9142,29,FALSE)</f>
        <v>53</v>
      </c>
      <c r="V247" s="93" t="str">
        <f t="shared" si="207"/>
        <v/>
      </c>
      <c r="W247" s="97" t="s">
        <v>1895</v>
      </c>
      <c r="X247" s="109">
        <v>45314</v>
      </c>
      <c r="Y247" s="99" t="s">
        <v>1893</v>
      </c>
      <c r="Z247" s="109">
        <v>45314</v>
      </c>
      <c r="AA247" s="93">
        <v>2941.33</v>
      </c>
      <c r="AB247" s="93"/>
      <c r="AC247" s="93">
        <f t="shared" si="208"/>
        <v>0</v>
      </c>
      <c r="AD247" s="93"/>
      <c r="AE247" s="93"/>
      <c r="AF247" s="93"/>
      <c r="AG247" s="93"/>
      <c r="AH247" s="93"/>
      <c r="AI247" s="93"/>
      <c r="AJ247" s="93"/>
      <c r="AK247" s="93">
        <f t="shared" si="209"/>
        <v>0</v>
      </c>
      <c r="AL247" s="93"/>
      <c r="AM247" s="93"/>
      <c r="AN247" s="93"/>
      <c r="AO247" s="93"/>
      <c r="AP247" s="93"/>
      <c r="AQ247" s="93"/>
      <c r="AR247" s="93"/>
      <c r="AS247" s="93">
        <f t="shared" si="210"/>
        <v>0</v>
      </c>
      <c r="AT247" s="93"/>
      <c r="AU247" s="93"/>
      <c r="AV247" s="93"/>
      <c r="AW247" s="93"/>
      <c r="AX247" s="93"/>
      <c r="AY247" s="93"/>
      <c r="AZ247" s="93"/>
      <c r="BA247" s="93"/>
      <c r="BB247" s="93"/>
      <c r="BC247" s="93"/>
      <c r="BD247" s="93"/>
      <c r="BE247" s="93"/>
      <c r="BF247" s="93"/>
      <c r="BG247" s="93"/>
      <c r="BH247" s="93"/>
      <c r="BI247" s="93"/>
      <c r="BJ247" s="93"/>
      <c r="BK247" s="93"/>
      <c r="BL247" s="93"/>
      <c r="BM247" s="93"/>
      <c r="BN247" s="93"/>
      <c r="BO247" s="93"/>
      <c r="BP247" s="93"/>
      <c r="BQ247" s="93"/>
      <c r="BR247" s="93"/>
      <c r="BS247" s="93"/>
      <c r="BT247" s="93"/>
      <c r="BU247" s="93"/>
      <c r="BV247" s="93"/>
      <c r="BW247" s="93"/>
      <c r="BX247" s="93"/>
      <c r="BY247" s="93"/>
      <c r="BZ247" s="93"/>
      <c r="CA247" s="93"/>
      <c r="CB247" s="93"/>
      <c r="CC247" s="93"/>
      <c r="CD247" s="93"/>
      <c r="CE247" s="93"/>
      <c r="CF247" s="93"/>
      <c r="CG247" s="93"/>
      <c r="CH247" s="93"/>
      <c r="CI247" s="93"/>
      <c r="CJ247" s="93"/>
      <c r="CK247" s="93"/>
      <c r="CL247" s="93"/>
      <c r="CM247" s="93"/>
      <c r="CN247" s="93"/>
      <c r="CO247" s="93"/>
      <c r="CP247" s="93"/>
      <c r="CQ247" s="93"/>
      <c r="CR247" s="93"/>
      <c r="CS247" s="93"/>
      <c r="CT247" s="93"/>
      <c r="CU247" s="93"/>
      <c r="CV247" s="93"/>
      <c r="CW247" s="93"/>
      <c r="CX247" s="93"/>
    </row>
    <row r="248" spans="1:102" ht="15" customHeight="1">
      <c r="A248" s="93">
        <v>734</v>
      </c>
      <c r="B248" s="93" t="str">
        <f>VLOOKUP($A248,  'Matriz POA 2024-TRABAJO'!$A$5:$CY$9142,29,FALSE)</f>
        <v>53</v>
      </c>
      <c r="C248" s="93" t="str">
        <f>VLOOKUP($A248, 'Matriz POA 2024-TRABAJO'!$A$5:$CY$9142,11,FALSE)</f>
        <v>Corporación Ciudad Alfaro</v>
      </c>
      <c r="D248" s="93" t="str">
        <f>VLOOKUP($A248, 'Matriz POA 2024-TRABAJO'!$A$5:$CY$9142,14,FALSE)</f>
        <v>N/A</v>
      </c>
      <c r="E248" s="93" t="str">
        <f>VLOOKUP($A248, 'Matriz POA 2024-TRABAJO'!$A$5:$CY$9142,15,FALSE)</f>
        <v>N/A</v>
      </c>
      <c r="F248" s="93" t="str">
        <f>VLOOKUP($A248, 'Matriz POA 2024-TRABAJO'!$A$5:$CY$9142,18,FALSE)</f>
        <v>N/A</v>
      </c>
      <c r="G248" s="93" t="str">
        <f>VLOOKUP($A248, 'Matriz POA 2024-TRABAJO'!$A$5:$CY$9142,23,FALSE)</f>
        <v>NUEVA</v>
      </c>
      <c r="H248" s="93" t="str">
        <f>VLOOKUP($A248, 'Matriz POA 2024-TRABAJO'!$A$5:$CY$9142,24,FALSE)</f>
        <v>Contratación del servicio de combustible para  los vehículos de la Corporación Ciudad Alfaro para el año 2024</v>
      </c>
      <c r="I248" s="93" t="str">
        <f>VLOOKUP($A248, 'Matriz POA 2024-TRABAJO'!$A$5:$CY$9142,20,FALSE)</f>
        <v>N/A</v>
      </c>
      <c r="J248" s="93" t="str">
        <f>VLOOKUP($A248, 'Matriz POA 2024-TRABAJO'!$A$5:$CY$9142,26,FALSE)</f>
        <v>80</v>
      </c>
      <c r="K248" s="93" t="str">
        <f>VLOOKUP($A248, 'Matriz POA 2024-TRABAJO'!$A$5:$CY$9142,27,FALSE)</f>
        <v>000</v>
      </c>
      <c r="L248" s="93" t="str">
        <f>VLOOKUP($A248, 'Matriz POA 2024-TRABAJO'!$A$5:$CY$9142,28,FALSE)</f>
        <v>002</v>
      </c>
      <c r="M248" s="93">
        <f>VLOOKUP($A248, 'Matriz POA 2024-TRABAJO'!$A$5:$CY$9142,30,FALSE)</f>
        <v>530255</v>
      </c>
      <c r="N248" s="93" t="str">
        <f>VLOOKUP($A248, 'Matriz POA 2024-TRABAJO'!$A$5:$CY$9142,31,FALSE)</f>
        <v>Combustibles</v>
      </c>
      <c r="O248" s="93">
        <f>VLOOKUP($A248, 'Matriz POA 2024-TRABAJO'!$A$5:$CY$9142,45,FALSE)</f>
        <v>6659.36</v>
      </c>
      <c r="P248" s="93">
        <f>VLOOKUP($A248, 'Matriz POA 2024-TRABAJO'!$A$5:$CY$9142,46,FALSE)</f>
        <v>0</v>
      </c>
      <c r="Q248" s="93">
        <f>VLOOKUP($A248, 'Matriz POA 2024-TRABAJO'!$A$5:$CY$9142,47,FALSE)</f>
        <v>6659.36</v>
      </c>
      <c r="R248" s="94">
        <f t="shared" si="205"/>
        <v>6659.36</v>
      </c>
      <c r="S248" s="95">
        <f t="shared" si="206"/>
        <v>0</v>
      </c>
      <c r="T248" s="93">
        <f>VLOOKUP($A248, 'Matriz POA 2024-TRABAJO'!$A$5:$CY$9142,72,FALSE)</f>
        <v>3278.5299999999997</v>
      </c>
      <c r="U248" s="93" t="str">
        <f>VLOOKUP($A248, 'Matriz POA 2024-TRABAJO'!$A$5:$CY$9142,29,FALSE)</f>
        <v>53</v>
      </c>
      <c r="V248" s="93" t="str">
        <f t="shared" si="207"/>
        <v/>
      </c>
      <c r="W248" s="97" t="s">
        <v>1896</v>
      </c>
      <c r="X248" s="109">
        <v>45316</v>
      </c>
      <c r="Y248" s="99" t="s">
        <v>1897</v>
      </c>
      <c r="Z248" s="109">
        <v>45316</v>
      </c>
      <c r="AA248" s="93">
        <v>6659.36</v>
      </c>
      <c r="AB248" s="93"/>
      <c r="AC248" s="93">
        <f t="shared" si="208"/>
        <v>0</v>
      </c>
      <c r="AD248" s="93"/>
      <c r="AE248" s="93"/>
      <c r="AF248" s="93"/>
      <c r="AG248" s="93"/>
      <c r="AH248" s="93"/>
      <c r="AI248" s="93"/>
      <c r="AJ248" s="93"/>
      <c r="AK248" s="93">
        <f t="shared" si="209"/>
        <v>0</v>
      </c>
      <c r="AL248" s="93"/>
      <c r="AM248" s="93"/>
      <c r="AN248" s="93"/>
      <c r="AO248" s="93"/>
      <c r="AP248" s="93"/>
      <c r="AQ248" s="93"/>
      <c r="AR248" s="93"/>
      <c r="AS248" s="93">
        <f t="shared" si="210"/>
        <v>0</v>
      </c>
      <c r="AT248" s="93"/>
      <c r="AU248" s="93"/>
      <c r="AV248" s="93"/>
      <c r="AW248" s="93"/>
      <c r="AX248" s="93"/>
      <c r="AY248" s="93"/>
      <c r="AZ248" s="93"/>
      <c r="BA248" s="93"/>
      <c r="BB248" s="93"/>
      <c r="BC248" s="93"/>
      <c r="BD248" s="93"/>
      <c r="BE248" s="93"/>
      <c r="BF248" s="93"/>
      <c r="BG248" s="93"/>
      <c r="BH248" s="93"/>
      <c r="BI248" s="93"/>
      <c r="BJ248" s="93"/>
      <c r="BK248" s="93"/>
      <c r="BL248" s="93"/>
      <c r="BM248" s="93"/>
      <c r="BN248" s="93"/>
      <c r="BO248" s="93"/>
      <c r="BP248" s="93"/>
      <c r="BQ248" s="93"/>
      <c r="BR248" s="93"/>
      <c r="BS248" s="93"/>
      <c r="BT248" s="93"/>
      <c r="BU248" s="93"/>
      <c r="BV248" s="93"/>
      <c r="BW248" s="93"/>
      <c r="BX248" s="93"/>
      <c r="BY248" s="93"/>
      <c r="BZ248" s="93"/>
      <c r="CA248" s="93"/>
      <c r="CB248" s="93"/>
      <c r="CC248" s="93"/>
      <c r="CD248" s="93"/>
      <c r="CE248" s="93"/>
      <c r="CF248" s="93"/>
      <c r="CG248" s="93"/>
      <c r="CH248" s="93"/>
      <c r="CI248" s="93"/>
      <c r="CJ248" s="93"/>
      <c r="CK248" s="93"/>
      <c r="CL248" s="93"/>
      <c r="CM248" s="93"/>
      <c r="CN248" s="93"/>
      <c r="CO248" s="93"/>
      <c r="CP248" s="93"/>
      <c r="CQ248" s="93"/>
      <c r="CR248" s="93"/>
      <c r="CS248" s="93"/>
      <c r="CT248" s="93"/>
      <c r="CU248" s="93"/>
      <c r="CV248" s="93"/>
      <c r="CW248" s="93"/>
      <c r="CX248" s="93"/>
    </row>
    <row r="249" spans="1:102" ht="15" customHeight="1">
      <c r="A249" s="93">
        <v>436</v>
      </c>
      <c r="B249" s="93" t="str">
        <f>VLOOKUP($A249,  'Matriz POA 2024-TRABAJO'!$A$5:$CY$9142,29,FALSE)</f>
        <v>53</v>
      </c>
      <c r="C249" s="93" t="str">
        <f>VLOOKUP($A249, 'Matriz POA 2024-TRABAJO'!$A$5:$CY$9142,11,FALSE)</f>
        <v>Corporación Ciudad Alfaro</v>
      </c>
      <c r="D249" s="93" t="str">
        <f>VLOOKUP($A249, 'Matriz POA 2024-TRABAJO'!$A$5:$CY$9142,14,FALSE)</f>
        <v>N/A</v>
      </c>
      <c r="E249" s="93" t="str">
        <f>VLOOKUP($A249, 'Matriz POA 2024-TRABAJO'!$A$5:$CY$9142,15,FALSE)</f>
        <v>N/A</v>
      </c>
      <c r="F249" s="93" t="str">
        <f>VLOOKUP($A249, 'Matriz POA 2024-TRABAJO'!$A$5:$CY$9142,18,FALSE)</f>
        <v>N/A</v>
      </c>
      <c r="G249" s="93" t="str">
        <f>VLOOKUP($A249, 'Matriz POA 2024-TRABAJO'!$A$5:$CY$9142,23,FALSE)</f>
        <v>PLURIANUAL 2023-2024</v>
      </c>
      <c r="H249" s="93" t="str">
        <f>VLOOKUP($A249, 'Matriz POA 2024-TRABAJO'!$A$5:$CY$9142,24,FALSE)</f>
        <v>Pago del Servicio de aseo y Limpieza del Museo Bahía de Caráquez por el período 2023-2024</v>
      </c>
      <c r="I249" s="93" t="str">
        <f>VLOOKUP($A249, 'Matriz POA 2024-TRABAJO'!$A$5:$CY$9142,20,FALSE)</f>
        <v>N/A</v>
      </c>
      <c r="J249" s="93" t="str">
        <f>VLOOKUP($A249, 'Matriz POA 2024-TRABAJO'!$A$5:$CY$9142,26,FALSE)</f>
        <v>80</v>
      </c>
      <c r="K249" s="93" t="str">
        <f>VLOOKUP($A249, 'Matriz POA 2024-TRABAJO'!$A$5:$CY$9142,27,FALSE)</f>
        <v>000</v>
      </c>
      <c r="L249" s="93" t="str">
        <f>VLOOKUP($A249, 'Matriz POA 2024-TRABAJO'!$A$5:$CY$9142,28,FALSE)</f>
        <v>002</v>
      </c>
      <c r="M249" s="93">
        <f>VLOOKUP($A249, 'Matriz POA 2024-TRABAJO'!$A$5:$CY$9142,30,FALSE)</f>
        <v>530209</v>
      </c>
      <c r="N249" s="93" t="str">
        <f>VLOOKUP($A249, 'Matriz POA 2024-TRABAJO'!$A$5:$CY$9142,31,FALSE)</f>
        <v>Servicios de Aseo, Lavado de Vestimenta de Trabajo, Fumigación, Desinfección,  Limpieza de Instalaciones, manejo
de desechos contaminados, recuperación y clasificación de materiales reciclables.</v>
      </c>
      <c r="O249" s="93">
        <f>VLOOKUP($A249, 'Matriz POA 2024-TRABAJO'!$A$5:$CY$9142,45,FALSE)</f>
        <v>22446</v>
      </c>
      <c r="P249" s="93">
        <f>VLOOKUP($A249, 'Matriz POA 2024-TRABAJO'!$A$5:$CY$9142,46,FALSE)</f>
        <v>0</v>
      </c>
      <c r="Q249" s="93">
        <f>VLOOKUP($A249, 'Matriz POA 2024-TRABAJO'!$A$5:$CY$9142,47,FALSE)</f>
        <v>22446</v>
      </c>
      <c r="R249" s="94">
        <f t="shared" si="205"/>
        <v>22446</v>
      </c>
      <c r="S249" s="95">
        <f t="shared" si="206"/>
        <v>0</v>
      </c>
      <c r="T249" s="93">
        <f>VLOOKUP($A249, 'Matriz POA 2024-TRABAJO'!$A$5:$CY$9142,72,FALSE)</f>
        <v>22446</v>
      </c>
      <c r="U249" s="93" t="str">
        <f>VLOOKUP($A249, 'Matriz POA 2024-TRABAJO'!$A$5:$CY$9142,29,FALSE)</f>
        <v>53</v>
      </c>
      <c r="V249" s="93" t="str">
        <f t="shared" si="207"/>
        <v/>
      </c>
      <c r="W249" s="97" t="s">
        <v>1898</v>
      </c>
      <c r="X249" s="109">
        <v>45316</v>
      </c>
      <c r="Y249" s="99" t="s">
        <v>1899</v>
      </c>
      <c r="Z249" s="109">
        <v>45316</v>
      </c>
      <c r="AA249" s="93">
        <v>22446</v>
      </c>
      <c r="AB249" s="93"/>
      <c r="AC249" s="93">
        <f t="shared" si="208"/>
        <v>0</v>
      </c>
      <c r="AD249" s="93"/>
      <c r="AE249" s="93"/>
      <c r="AF249" s="93"/>
      <c r="AG249" s="93"/>
      <c r="AH249" s="93"/>
      <c r="AI249" s="93"/>
      <c r="AJ249" s="93"/>
      <c r="AK249" s="93">
        <f t="shared" si="209"/>
        <v>0</v>
      </c>
      <c r="AL249" s="93"/>
      <c r="AM249" s="93"/>
      <c r="AN249" s="93"/>
      <c r="AO249" s="93"/>
      <c r="AP249" s="93"/>
      <c r="AQ249" s="93"/>
      <c r="AR249" s="93"/>
      <c r="AS249" s="93">
        <f t="shared" si="210"/>
        <v>0</v>
      </c>
      <c r="AT249" s="93"/>
      <c r="AU249" s="93"/>
      <c r="AV249" s="93"/>
      <c r="AW249" s="93"/>
      <c r="AX249" s="93"/>
      <c r="AY249" s="93"/>
      <c r="AZ249" s="93"/>
      <c r="BA249" s="93"/>
      <c r="BB249" s="93"/>
      <c r="BC249" s="93"/>
      <c r="BD249" s="93"/>
      <c r="BE249" s="93"/>
      <c r="BF249" s="93"/>
      <c r="BG249" s="93"/>
      <c r="BH249" s="93"/>
      <c r="BI249" s="93"/>
      <c r="BJ249" s="93"/>
      <c r="BK249" s="93"/>
      <c r="BL249" s="93"/>
      <c r="BM249" s="93"/>
      <c r="BN249" s="93"/>
      <c r="BO249" s="93"/>
      <c r="BP249" s="93"/>
      <c r="BQ249" s="93"/>
      <c r="BR249" s="93"/>
      <c r="BS249" s="93"/>
      <c r="BT249" s="93"/>
      <c r="BU249" s="93"/>
      <c r="BV249" s="93"/>
      <c r="BW249" s="93"/>
      <c r="BX249" s="93"/>
      <c r="BY249" s="93"/>
      <c r="BZ249" s="93"/>
      <c r="CA249" s="93"/>
      <c r="CB249" s="93"/>
      <c r="CC249" s="93"/>
      <c r="CD249" s="93"/>
      <c r="CE249" s="93"/>
      <c r="CF249" s="93"/>
      <c r="CG249" s="93"/>
      <c r="CH249" s="93"/>
      <c r="CI249" s="93"/>
      <c r="CJ249" s="93"/>
      <c r="CK249" s="93"/>
      <c r="CL249" s="93"/>
      <c r="CM249" s="93"/>
      <c r="CN249" s="93"/>
      <c r="CO249" s="93"/>
      <c r="CP249" s="93"/>
      <c r="CQ249" s="93"/>
      <c r="CR249" s="93"/>
      <c r="CS249" s="93"/>
      <c r="CT249" s="93"/>
      <c r="CU249" s="93"/>
      <c r="CV249" s="93"/>
      <c r="CW249" s="93"/>
      <c r="CX249" s="93"/>
    </row>
    <row r="250" spans="1:102" ht="15" customHeight="1">
      <c r="A250" s="93">
        <v>435</v>
      </c>
      <c r="B250" s="93" t="str">
        <f>VLOOKUP($A250,  'Matriz POA 2024-TRABAJO'!$A$5:$CY$9142,29,FALSE)</f>
        <v>53</v>
      </c>
      <c r="C250" s="93" t="str">
        <f>VLOOKUP($A250, 'Matriz POA 2024-TRABAJO'!$A$5:$CY$9142,11,FALSE)</f>
        <v>Corporación Ciudad Alfaro</v>
      </c>
      <c r="D250" s="93" t="str">
        <f>VLOOKUP($A250, 'Matriz POA 2024-TRABAJO'!$A$5:$CY$9142,14,FALSE)</f>
        <v>N/A</v>
      </c>
      <c r="E250" s="93" t="str">
        <f>VLOOKUP($A250, 'Matriz POA 2024-TRABAJO'!$A$5:$CY$9142,15,FALSE)</f>
        <v>N/A</v>
      </c>
      <c r="F250" s="93" t="str">
        <f>VLOOKUP($A250, 'Matriz POA 2024-TRABAJO'!$A$5:$CY$9142,18,FALSE)</f>
        <v>N/A</v>
      </c>
      <c r="G250" s="93" t="str">
        <f>VLOOKUP($A250, 'Matriz POA 2024-TRABAJO'!$A$5:$CY$9142,23,FALSE)</f>
        <v>PLURIANUAL 2023-2024</v>
      </c>
      <c r="H250" s="93" t="str">
        <f>VLOOKUP($A250, 'Matriz POA 2024-TRABAJO'!$A$5:$CY$9142,24,FALSE)</f>
        <v>Pago del servicio de aseo y limpieza del Museo Centro Cultural Manta por el período 2023-2024</v>
      </c>
      <c r="I250" s="93" t="str">
        <f>VLOOKUP($A250, 'Matriz POA 2024-TRABAJO'!$A$5:$CY$9142,20,FALSE)</f>
        <v>N/A</v>
      </c>
      <c r="J250" s="93" t="str">
        <f>VLOOKUP($A250, 'Matriz POA 2024-TRABAJO'!$A$5:$CY$9142,26,FALSE)</f>
        <v>80</v>
      </c>
      <c r="K250" s="93" t="str">
        <f>VLOOKUP($A250, 'Matriz POA 2024-TRABAJO'!$A$5:$CY$9142,27,FALSE)</f>
        <v>000</v>
      </c>
      <c r="L250" s="93" t="str">
        <f>VLOOKUP($A250, 'Matriz POA 2024-TRABAJO'!$A$5:$CY$9142,28,FALSE)</f>
        <v>002</v>
      </c>
      <c r="M250" s="93">
        <f>VLOOKUP($A250, 'Matriz POA 2024-TRABAJO'!$A$5:$CY$9142,30,FALSE)</f>
        <v>530209</v>
      </c>
      <c r="N250" s="93" t="str">
        <f>VLOOKUP($A250, 'Matriz POA 2024-TRABAJO'!$A$5:$CY$9142,31,FALSE)</f>
        <v>Servicios de Aseo, Lavado de Vestimenta de Trabajo, Fumigación, Desinfección,  Limpieza de Instalaciones, manejo
de desechos contaminados, recuperación y clasificación de materiales reciclables.</v>
      </c>
      <c r="O250" s="93">
        <f>VLOOKUP($A250, 'Matriz POA 2024-TRABAJO'!$A$5:$CY$9142,45,FALSE)</f>
        <v>22446</v>
      </c>
      <c r="P250" s="93">
        <f>VLOOKUP($A250, 'Matriz POA 2024-TRABAJO'!$A$5:$CY$9142,46,FALSE)</f>
        <v>0</v>
      </c>
      <c r="Q250" s="93">
        <f>VLOOKUP($A250, 'Matriz POA 2024-TRABAJO'!$A$5:$CY$9142,47,FALSE)</f>
        <v>22446</v>
      </c>
      <c r="R250" s="94">
        <f t="shared" si="205"/>
        <v>22446</v>
      </c>
      <c r="S250" s="95">
        <f t="shared" si="206"/>
        <v>0</v>
      </c>
      <c r="T250" s="93">
        <f>VLOOKUP($A250, 'Matriz POA 2024-TRABAJO'!$A$5:$CY$9142,72,FALSE)</f>
        <v>20898</v>
      </c>
      <c r="U250" s="93" t="str">
        <f>VLOOKUP($A250, 'Matriz POA 2024-TRABAJO'!$A$5:$CY$9142,29,FALSE)</f>
        <v>53</v>
      </c>
      <c r="V250" s="93" t="str">
        <f t="shared" si="207"/>
        <v/>
      </c>
      <c r="W250" s="99" t="s">
        <v>1900</v>
      </c>
      <c r="X250" s="109">
        <v>45317</v>
      </c>
      <c r="Y250" s="99" t="s">
        <v>1901</v>
      </c>
      <c r="Z250" s="109">
        <v>45317</v>
      </c>
      <c r="AA250" s="93">
        <v>22446</v>
      </c>
      <c r="AB250" s="93"/>
      <c r="AC250" s="93">
        <f t="shared" si="208"/>
        <v>0</v>
      </c>
      <c r="AD250" s="93"/>
      <c r="AE250" s="93"/>
      <c r="AF250" s="93"/>
      <c r="AG250" s="93"/>
      <c r="AH250" s="93"/>
      <c r="AI250" s="93"/>
      <c r="AJ250" s="93"/>
      <c r="AK250" s="93">
        <f t="shared" si="209"/>
        <v>0</v>
      </c>
      <c r="AL250" s="93"/>
      <c r="AM250" s="93"/>
      <c r="AN250" s="93"/>
      <c r="AO250" s="93"/>
      <c r="AP250" s="93"/>
      <c r="AQ250" s="93"/>
      <c r="AR250" s="93"/>
      <c r="AS250" s="93">
        <f t="shared" si="210"/>
        <v>0</v>
      </c>
      <c r="AT250" s="93"/>
      <c r="AU250" s="93"/>
      <c r="AV250" s="93"/>
      <c r="AW250" s="93"/>
      <c r="AX250" s="93"/>
      <c r="AY250" s="93"/>
      <c r="AZ250" s="93"/>
      <c r="BA250" s="93"/>
      <c r="BB250" s="93"/>
      <c r="BC250" s="93"/>
      <c r="BD250" s="93"/>
      <c r="BE250" s="93"/>
      <c r="BF250" s="93"/>
      <c r="BG250" s="93"/>
      <c r="BH250" s="93"/>
      <c r="BI250" s="93"/>
      <c r="BJ250" s="93"/>
      <c r="BK250" s="93"/>
      <c r="BL250" s="93"/>
      <c r="BM250" s="93"/>
      <c r="BN250" s="93"/>
      <c r="BO250" s="93"/>
      <c r="BP250" s="93"/>
      <c r="BQ250" s="93"/>
      <c r="BR250" s="93"/>
      <c r="BS250" s="93"/>
      <c r="BT250" s="93"/>
      <c r="BU250" s="93"/>
      <c r="BV250" s="93"/>
      <c r="BW250" s="93"/>
      <c r="BX250" s="93"/>
      <c r="BY250" s="93"/>
      <c r="BZ250" s="93"/>
      <c r="CA250" s="93"/>
      <c r="CB250" s="93"/>
      <c r="CC250" s="93"/>
      <c r="CD250" s="93"/>
      <c r="CE250" s="93"/>
      <c r="CF250" s="93"/>
      <c r="CG250" s="93"/>
      <c r="CH250" s="93"/>
      <c r="CI250" s="93"/>
      <c r="CJ250" s="93"/>
      <c r="CK250" s="93"/>
      <c r="CL250" s="93"/>
      <c r="CM250" s="93"/>
      <c r="CN250" s="93"/>
      <c r="CO250" s="93"/>
      <c r="CP250" s="93"/>
      <c r="CQ250" s="93"/>
      <c r="CR250" s="93"/>
      <c r="CS250" s="93"/>
      <c r="CT250" s="93"/>
      <c r="CU250" s="93"/>
      <c r="CV250" s="93"/>
      <c r="CW250" s="93"/>
      <c r="CX250" s="93"/>
    </row>
    <row r="251" spans="1:102" ht="15" customHeight="1">
      <c r="A251" s="93">
        <v>732</v>
      </c>
      <c r="B251" s="93" t="str">
        <f>VLOOKUP($A251,  'Matriz POA 2024-TRABAJO'!$A$5:$CY$9142,29,FALSE)</f>
        <v>53</v>
      </c>
      <c r="C251" s="93" t="str">
        <f>VLOOKUP($A251, 'Matriz POA 2024-TRABAJO'!$A$5:$CY$9142,11,FALSE)</f>
        <v>Corporación Ciudad Alfaro</v>
      </c>
      <c r="D251" s="93" t="str">
        <f>VLOOKUP($A251, 'Matriz POA 2024-TRABAJO'!$A$5:$CY$9142,14,FALSE)</f>
        <v>N/A</v>
      </c>
      <c r="E251" s="93" t="str">
        <f>VLOOKUP($A251, 'Matriz POA 2024-TRABAJO'!$A$5:$CY$9142,15,FALSE)</f>
        <v>N/A</v>
      </c>
      <c r="F251" s="93" t="str">
        <f>VLOOKUP($A251, 'Matriz POA 2024-TRABAJO'!$A$5:$CY$9142,18,FALSE)</f>
        <v>N/A</v>
      </c>
      <c r="G251" s="93" t="str">
        <f>VLOOKUP($A251, 'Matriz POA 2024-TRABAJO'!$A$5:$CY$9142,23,FALSE)</f>
        <v>ARRASTRE</v>
      </c>
      <c r="H251" s="93" t="str">
        <f>VLOOKUP($A251, 'Matriz POA 2024-TRABAJO'!$A$5:$CY$9142,24,FALSE)</f>
        <v>Pago del servicio de telefonía fija e internet del mes de Diciembre del 2023 de la Corporación Ciudad Alfaro</v>
      </c>
      <c r="I251" s="93" t="str">
        <f>VLOOKUP($A251, 'Matriz POA 2024-TRABAJO'!$A$5:$CY$9142,20,FALSE)</f>
        <v>N/A</v>
      </c>
      <c r="J251" s="93" t="str">
        <f>VLOOKUP($A251, 'Matriz POA 2024-TRABAJO'!$A$5:$CY$9142,26,FALSE)</f>
        <v>80</v>
      </c>
      <c r="K251" s="93" t="str">
        <f>VLOOKUP($A251, 'Matriz POA 2024-TRABAJO'!$A$5:$CY$9142,27,FALSE)</f>
        <v>000</v>
      </c>
      <c r="L251" s="93" t="str">
        <f>VLOOKUP($A251, 'Matriz POA 2024-TRABAJO'!$A$5:$CY$9142,28,FALSE)</f>
        <v>002</v>
      </c>
      <c r="M251" s="93">
        <f>VLOOKUP($A251, 'Matriz POA 2024-TRABAJO'!$A$5:$CY$9142,30,FALSE)</f>
        <v>530105</v>
      </c>
      <c r="N251" s="93" t="str">
        <f>VLOOKUP($A251, 'Matriz POA 2024-TRABAJO'!$A$5:$CY$9142,31,FALSE)</f>
        <v>Telecomunicaciones</v>
      </c>
      <c r="O251" s="93">
        <f>VLOOKUP($A251, 'Matriz POA 2024-TRABAJO'!$A$5:$CY$9142,45,FALSE)</f>
        <v>1194.77</v>
      </c>
      <c r="P251" s="93">
        <f>VLOOKUP($A251, 'Matriz POA 2024-TRABAJO'!$A$5:$CY$9142,46,FALSE)</f>
        <v>0</v>
      </c>
      <c r="Q251" s="93">
        <f>VLOOKUP($A251, 'Matriz POA 2024-TRABAJO'!$A$5:$CY$9142,47,FALSE)</f>
        <v>1194.77</v>
      </c>
      <c r="R251" s="94">
        <f t="shared" si="205"/>
        <v>1194.77</v>
      </c>
      <c r="S251" s="95">
        <f t="shared" si="206"/>
        <v>0</v>
      </c>
      <c r="T251" s="93">
        <f>VLOOKUP($A251, 'Matriz POA 2024-TRABAJO'!$A$5:$CY$9142,72,FALSE)</f>
        <v>1066.76</v>
      </c>
      <c r="U251" s="93" t="str">
        <f>VLOOKUP($A251, 'Matriz POA 2024-TRABAJO'!$A$5:$CY$9142,29,FALSE)</f>
        <v>53</v>
      </c>
      <c r="V251" s="93" t="str">
        <f t="shared" si="207"/>
        <v/>
      </c>
      <c r="W251" s="97" t="s">
        <v>1902</v>
      </c>
      <c r="X251" s="109">
        <v>45320</v>
      </c>
      <c r="Y251" s="99" t="s">
        <v>1903</v>
      </c>
      <c r="Z251" s="109">
        <v>45320</v>
      </c>
      <c r="AA251" s="93">
        <v>1194.77</v>
      </c>
      <c r="AB251" s="93"/>
      <c r="AC251" s="93">
        <f t="shared" si="208"/>
        <v>0</v>
      </c>
      <c r="AD251" s="93"/>
      <c r="AE251" s="93"/>
      <c r="AF251" s="93"/>
      <c r="AG251" s="93"/>
      <c r="AH251" s="93"/>
      <c r="AI251" s="93"/>
      <c r="AJ251" s="93"/>
      <c r="AK251" s="93">
        <f t="shared" si="209"/>
        <v>0</v>
      </c>
      <c r="AL251" s="93"/>
      <c r="AM251" s="93"/>
      <c r="AN251" s="93"/>
      <c r="AO251" s="93"/>
      <c r="AP251" s="93"/>
      <c r="AQ251" s="93"/>
      <c r="AR251" s="93"/>
      <c r="AS251" s="93">
        <f t="shared" si="210"/>
        <v>0</v>
      </c>
      <c r="AT251" s="93"/>
      <c r="AU251" s="93"/>
      <c r="AV251" s="93"/>
      <c r="AW251" s="93"/>
      <c r="AX251" s="93"/>
      <c r="AY251" s="93"/>
      <c r="AZ251" s="93"/>
      <c r="BA251" s="93"/>
      <c r="BB251" s="93"/>
      <c r="BC251" s="93"/>
      <c r="BD251" s="93"/>
      <c r="BE251" s="93"/>
      <c r="BF251" s="93"/>
      <c r="BG251" s="93"/>
      <c r="BH251" s="93"/>
      <c r="BI251" s="93"/>
      <c r="BJ251" s="93"/>
      <c r="BK251" s="93"/>
      <c r="BL251" s="93"/>
      <c r="BM251" s="93"/>
      <c r="BN251" s="93"/>
      <c r="BO251" s="93"/>
      <c r="BP251" s="93"/>
      <c r="BQ251" s="93"/>
      <c r="BR251" s="93"/>
      <c r="BS251" s="93"/>
      <c r="BT251" s="93"/>
      <c r="BU251" s="93"/>
      <c r="BV251" s="93"/>
      <c r="BW251" s="93"/>
      <c r="BX251" s="93"/>
      <c r="BY251" s="93"/>
      <c r="BZ251" s="93"/>
      <c r="CA251" s="93"/>
      <c r="CB251" s="93"/>
      <c r="CC251" s="93"/>
      <c r="CD251" s="93"/>
      <c r="CE251" s="93"/>
      <c r="CF251" s="93"/>
      <c r="CG251" s="93"/>
      <c r="CH251" s="93"/>
      <c r="CI251" s="93"/>
      <c r="CJ251" s="93"/>
      <c r="CK251" s="93"/>
      <c r="CL251" s="93"/>
      <c r="CM251" s="93"/>
      <c r="CN251" s="93"/>
      <c r="CO251" s="93"/>
      <c r="CP251" s="93"/>
      <c r="CQ251" s="93"/>
      <c r="CR251" s="93"/>
      <c r="CS251" s="93"/>
      <c r="CT251" s="93"/>
      <c r="CU251" s="93"/>
      <c r="CV251" s="93"/>
      <c r="CW251" s="93"/>
      <c r="CX251" s="93"/>
    </row>
    <row r="252" spans="1:102" ht="15" customHeight="1">
      <c r="A252" s="93">
        <v>741</v>
      </c>
      <c r="B252" s="93" t="str">
        <f>VLOOKUP($A252,  'Matriz POA 2024-TRABAJO'!$A$5:$CY$9142,29,FALSE)</f>
        <v>99</v>
      </c>
      <c r="C252" s="93" t="str">
        <f>VLOOKUP($A252, 'Matriz POA 2024-TRABAJO'!$A$5:$CY$9142,11,FALSE)</f>
        <v>Corporación Ciudad Alfaro</v>
      </c>
      <c r="D252" s="93" t="str">
        <f>VLOOKUP($A252, 'Matriz POA 2024-TRABAJO'!$A$5:$CY$9142,14,FALSE)</f>
        <v>N/A</v>
      </c>
      <c r="E252" s="93" t="str">
        <f>VLOOKUP($A252, 'Matriz POA 2024-TRABAJO'!$A$5:$CY$9142,15,FALSE)</f>
        <v>N/A</v>
      </c>
      <c r="F252" s="93" t="str">
        <f>VLOOKUP($A252, 'Matriz POA 2024-TRABAJO'!$A$5:$CY$9142,18,FALSE)</f>
        <v>N/A</v>
      </c>
      <c r="G252" s="93" t="str">
        <f>VLOOKUP($A252, 'Matriz POA 2024-TRABAJO'!$A$5:$CY$9142,23,FALSE)</f>
        <v>NUEVA</v>
      </c>
      <c r="H252" s="93" t="str">
        <f>VLOOKUP($A252, 'Matriz POA 2024-TRABAJO'!$A$5:$CY$9142,24,FALSE)</f>
        <v>Obligaciones de Ejercicios Anteriores por Egresos de Personal</v>
      </c>
      <c r="I252" s="93" t="str">
        <f>VLOOKUP($A252, 'Matriz POA 2024-TRABAJO'!$A$5:$CY$9142,20,FALSE)</f>
        <v>N/A</v>
      </c>
      <c r="J252" s="93" t="str">
        <f>VLOOKUP($A252, 'Matriz POA 2024-TRABAJO'!$A$5:$CY$9142,26,FALSE)</f>
        <v>80</v>
      </c>
      <c r="K252" s="93" t="str">
        <f>VLOOKUP($A252, 'Matriz POA 2024-TRABAJO'!$A$5:$CY$9142,27,FALSE)</f>
        <v>000</v>
      </c>
      <c r="L252" s="93" t="str">
        <f>VLOOKUP($A252, 'Matriz POA 2024-TRABAJO'!$A$5:$CY$9142,28,FALSE)</f>
        <v>002</v>
      </c>
      <c r="M252" s="93">
        <f>VLOOKUP($A252, 'Matriz POA 2024-TRABAJO'!$A$5:$CY$9142,30,FALSE)</f>
        <v>990101</v>
      </c>
      <c r="N252" s="93" t="str">
        <f>VLOOKUP($A252, 'Matriz POA 2024-TRABAJO'!$A$5:$CY$9142,31,FALSE)</f>
        <v>Obligaciones de Ejercicios Anteriores por Egresos de Personal</v>
      </c>
      <c r="O252" s="93">
        <f>VLOOKUP($A252, 'Matriz POA 2024-TRABAJO'!$A$5:$CY$9142,45,FALSE)</f>
        <v>5560.46</v>
      </c>
      <c r="P252" s="93">
        <f>VLOOKUP($A252, 'Matriz POA 2024-TRABAJO'!$A$5:$CY$9142,46,FALSE)</f>
        <v>0</v>
      </c>
      <c r="Q252" s="93">
        <f>VLOOKUP($A252, 'Matriz POA 2024-TRABAJO'!$A$5:$CY$9142,47,FALSE)</f>
        <v>5560.46</v>
      </c>
      <c r="R252" s="94">
        <f t="shared" si="205"/>
        <v>11120.92</v>
      </c>
      <c r="S252" s="95">
        <f t="shared" si="206"/>
        <v>-5560.46</v>
      </c>
      <c r="T252" s="93">
        <f>VLOOKUP($A252, 'Matriz POA 2024-TRABAJO'!$A$5:$CY$9142,72,FALSE)</f>
        <v>5560.46</v>
      </c>
      <c r="U252" s="93" t="str">
        <f>VLOOKUP($A252, 'Matriz POA 2024-TRABAJO'!$A$5:$CY$9142,29,FALSE)</f>
        <v>99</v>
      </c>
      <c r="V252" s="93" t="str">
        <f t="shared" si="207"/>
        <v/>
      </c>
      <c r="W252" s="97" t="s">
        <v>1904</v>
      </c>
      <c r="X252" s="109">
        <v>45321</v>
      </c>
      <c r="Y252" s="99" t="s">
        <v>1905</v>
      </c>
      <c r="Z252" s="109">
        <v>45321</v>
      </c>
      <c r="AA252" s="93">
        <v>5560.46</v>
      </c>
      <c r="AB252" s="93"/>
      <c r="AC252" s="93">
        <f t="shared" si="208"/>
        <v>0</v>
      </c>
      <c r="AD252" s="93"/>
      <c r="AE252" s="97" t="s">
        <v>1958</v>
      </c>
      <c r="AF252" s="109">
        <v>45426</v>
      </c>
      <c r="AG252" s="99" t="s">
        <v>1959</v>
      </c>
      <c r="AH252" s="109">
        <v>45457</v>
      </c>
      <c r="AI252" s="93">
        <v>5560.46</v>
      </c>
      <c r="AJ252" s="93"/>
      <c r="AK252" s="93">
        <f t="shared" si="209"/>
        <v>31</v>
      </c>
      <c r="AL252" s="93"/>
      <c r="AM252" s="97"/>
      <c r="AN252" s="93"/>
      <c r="AO252" s="93"/>
      <c r="AP252" s="93"/>
      <c r="AQ252" s="93"/>
      <c r="AR252" s="93"/>
      <c r="AS252" s="93">
        <f t="shared" si="210"/>
        <v>0</v>
      </c>
      <c r="AT252" s="93"/>
      <c r="AU252" s="93"/>
      <c r="AV252" s="93"/>
      <c r="AW252" s="93"/>
      <c r="AX252" s="93"/>
      <c r="AY252" s="93"/>
      <c r="AZ252" s="93"/>
      <c r="BA252" s="93"/>
      <c r="BB252" s="93"/>
      <c r="BC252" s="93"/>
      <c r="BD252" s="93"/>
      <c r="BE252" s="93"/>
      <c r="BF252" s="93"/>
      <c r="BG252" s="93"/>
      <c r="BH252" s="93"/>
      <c r="BI252" s="93"/>
      <c r="BJ252" s="93"/>
      <c r="BK252" s="93"/>
      <c r="BL252" s="93"/>
      <c r="BM252" s="93"/>
      <c r="BN252" s="93"/>
      <c r="BO252" s="93"/>
      <c r="BP252" s="93"/>
      <c r="BQ252" s="93"/>
      <c r="BR252" s="93"/>
      <c r="BS252" s="93"/>
      <c r="BT252" s="93"/>
      <c r="BU252" s="93"/>
      <c r="BV252" s="93"/>
      <c r="BW252" s="93"/>
      <c r="BX252" s="93"/>
      <c r="BY252" s="93"/>
      <c r="BZ252" s="93"/>
      <c r="CA252" s="93"/>
      <c r="CB252" s="93"/>
      <c r="CC252" s="93"/>
      <c r="CD252" s="93"/>
      <c r="CE252" s="93"/>
      <c r="CF252" s="93"/>
      <c r="CG252" s="93"/>
      <c r="CH252" s="93"/>
      <c r="CI252" s="93"/>
      <c r="CJ252" s="93"/>
      <c r="CK252" s="93"/>
      <c r="CL252" s="93"/>
      <c r="CM252" s="93"/>
      <c r="CN252" s="93"/>
      <c r="CO252" s="93"/>
      <c r="CP252" s="93"/>
      <c r="CQ252" s="93"/>
      <c r="CR252" s="93"/>
      <c r="CS252" s="93"/>
      <c r="CT252" s="93"/>
      <c r="CU252" s="93"/>
      <c r="CV252" s="93"/>
      <c r="CW252" s="93"/>
      <c r="CX252" s="93"/>
    </row>
    <row r="253" spans="1:102" ht="15" customHeight="1">
      <c r="A253" s="93">
        <v>733</v>
      </c>
      <c r="B253" s="93" t="str">
        <f>VLOOKUP($A253,  'Matriz POA 2024-TRABAJO'!$A$5:$CY$9142,29,FALSE)</f>
        <v>53</v>
      </c>
      <c r="C253" s="93" t="str">
        <f>VLOOKUP($A253, 'Matriz POA 2024-TRABAJO'!$A$5:$CY$9142,11,FALSE)</f>
        <v>Corporación Ciudad Alfaro</v>
      </c>
      <c r="D253" s="93" t="str">
        <f>VLOOKUP($A253, 'Matriz POA 2024-TRABAJO'!$A$5:$CY$9142,14,FALSE)</f>
        <v>N/A</v>
      </c>
      <c r="E253" s="93" t="str">
        <f>VLOOKUP($A253, 'Matriz POA 2024-TRABAJO'!$A$5:$CY$9142,15,FALSE)</f>
        <v>N/A</v>
      </c>
      <c r="F253" s="93" t="str">
        <f>VLOOKUP($A253, 'Matriz POA 2024-TRABAJO'!$A$5:$CY$9142,18,FALSE)</f>
        <v>N/A</v>
      </c>
      <c r="G253" s="93" t="str">
        <f>VLOOKUP($A253, 'Matriz POA 2024-TRABAJO'!$A$5:$CY$9142,23,FALSE)</f>
        <v>NUEVA</v>
      </c>
      <c r="H253" s="93" t="str">
        <f>VLOOKUP($A253, 'Matriz POA 2024-TRABAJO'!$A$5:$CY$9142,24,FALSE)</f>
        <v>Pago mensual del servicio de energía eléctrica del Museo y Centro Cultural de Manta por el período 2024</v>
      </c>
      <c r="I253" s="93" t="str">
        <f>VLOOKUP($A253, 'Matriz POA 2024-TRABAJO'!$A$5:$CY$9142,20,FALSE)</f>
        <v>N/A</v>
      </c>
      <c r="J253" s="93" t="str">
        <f>VLOOKUP($A253, 'Matriz POA 2024-TRABAJO'!$A$5:$CY$9142,26,FALSE)</f>
        <v>80</v>
      </c>
      <c r="K253" s="93" t="str">
        <f>VLOOKUP($A253, 'Matriz POA 2024-TRABAJO'!$A$5:$CY$9142,27,FALSE)</f>
        <v>000</v>
      </c>
      <c r="L253" s="93" t="str">
        <f>VLOOKUP($A253, 'Matriz POA 2024-TRABAJO'!$A$5:$CY$9142,28,FALSE)</f>
        <v>002</v>
      </c>
      <c r="M253" s="93">
        <f>VLOOKUP($A253, 'Matriz POA 2024-TRABAJO'!$A$5:$CY$9142,30,FALSE)</f>
        <v>530104</v>
      </c>
      <c r="N253" s="93" t="str">
        <f>VLOOKUP($A253, 'Matriz POA 2024-TRABAJO'!$A$5:$CY$9142,31,FALSE)</f>
        <v>Energía Eléctrica</v>
      </c>
      <c r="O253" s="93">
        <f>VLOOKUP($A253, 'Matriz POA 2024-TRABAJO'!$A$5:$CY$9142,45,FALSE)</f>
        <v>14999.67</v>
      </c>
      <c r="P253" s="93">
        <f>VLOOKUP($A253, 'Matriz POA 2024-TRABAJO'!$A$5:$CY$9142,46,FALSE)</f>
        <v>0</v>
      </c>
      <c r="Q253" s="93">
        <f>VLOOKUP($A253, 'Matriz POA 2024-TRABAJO'!$A$5:$CY$9142,47,FALSE)</f>
        <v>14999.67</v>
      </c>
      <c r="R253" s="94">
        <f t="shared" si="205"/>
        <v>14500</v>
      </c>
      <c r="S253" s="95">
        <f t="shared" si="206"/>
        <v>499.67000000000007</v>
      </c>
      <c r="T253" s="93">
        <f>VLOOKUP($A253, 'Matriz POA 2024-TRABAJO'!$A$5:$CY$9142,72,FALSE)</f>
        <v>8388.9699999999993</v>
      </c>
      <c r="U253" s="93" t="str">
        <f>VLOOKUP($A253, 'Matriz POA 2024-TRABAJO'!$A$5:$CY$9142,29,FALSE)</f>
        <v>53</v>
      </c>
      <c r="V253" s="93" t="str">
        <f t="shared" si="207"/>
        <v/>
      </c>
      <c r="W253" s="97" t="s">
        <v>1906</v>
      </c>
      <c r="X253" s="109">
        <v>45323</v>
      </c>
      <c r="Y253" s="99" t="s">
        <v>1907</v>
      </c>
      <c r="Z253" s="109">
        <v>45328</v>
      </c>
      <c r="AA253" s="93">
        <v>14500</v>
      </c>
      <c r="AB253" s="93"/>
      <c r="AC253" s="93">
        <f t="shared" si="208"/>
        <v>5</v>
      </c>
      <c r="AD253" s="93"/>
      <c r="AE253" s="93"/>
      <c r="AF253" s="93"/>
      <c r="AG253" s="93"/>
      <c r="AH253" s="93"/>
      <c r="AI253" s="93"/>
      <c r="AJ253" s="93"/>
      <c r="AK253" s="93">
        <f t="shared" si="209"/>
        <v>0</v>
      </c>
      <c r="AL253" s="93"/>
      <c r="AM253" s="93"/>
      <c r="AN253" s="93"/>
      <c r="AO253" s="93"/>
      <c r="AP253" s="93"/>
      <c r="AQ253" s="93"/>
      <c r="AR253" s="93"/>
      <c r="AS253" s="93">
        <f t="shared" si="210"/>
        <v>0</v>
      </c>
      <c r="AT253" s="93"/>
      <c r="AU253" s="93"/>
      <c r="AV253" s="93"/>
      <c r="AW253" s="93"/>
      <c r="AX253" s="93"/>
      <c r="AY253" s="93"/>
      <c r="AZ253" s="93"/>
      <c r="BA253" s="93"/>
      <c r="BB253" s="93"/>
      <c r="BC253" s="93"/>
      <c r="BD253" s="93"/>
      <c r="BE253" s="93"/>
      <c r="BF253" s="93"/>
      <c r="BG253" s="93"/>
      <c r="BH253" s="93"/>
      <c r="BI253" s="93"/>
      <c r="BJ253" s="93"/>
      <c r="BK253" s="93"/>
      <c r="BL253" s="93"/>
      <c r="BM253" s="93"/>
      <c r="BN253" s="93"/>
      <c r="BO253" s="93"/>
      <c r="BP253" s="93"/>
      <c r="BQ253" s="93"/>
      <c r="BR253" s="93"/>
      <c r="BS253" s="93"/>
      <c r="BT253" s="93"/>
      <c r="BU253" s="93"/>
      <c r="BV253" s="93"/>
      <c r="BW253" s="93"/>
      <c r="BX253" s="93"/>
      <c r="BY253" s="93"/>
      <c r="BZ253" s="93"/>
      <c r="CA253" s="93"/>
      <c r="CB253" s="93"/>
      <c r="CC253" s="93"/>
      <c r="CD253" s="93"/>
      <c r="CE253" s="93"/>
      <c r="CF253" s="93"/>
      <c r="CG253" s="93"/>
      <c r="CH253" s="93"/>
      <c r="CI253" s="93"/>
      <c r="CJ253" s="93"/>
      <c r="CK253" s="93"/>
      <c r="CL253" s="93"/>
      <c r="CM253" s="93"/>
      <c r="CN253" s="93"/>
      <c r="CO253" s="93"/>
      <c r="CP253" s="93"/>
      <c r="CQ253" s="93"/>
      <c r="CR253" s="93"/>
      <c r="CS253" s="93"/>
      <c r="CT253" s="93"/>
      <c r="CU253" s="93"/>
      <c r="CV253" s="93"/>
      <c r="CW253" s="93"/>
      <c r="CX253" s="93"/>
    </row>
    <row r="254" spans="1:102" ht="15" customHeight="1">
      <c r="A254" s="93">
        <v>780</v>
      </c>
      <c r="B254" s="93" t="str">
        <f>VLOOKUP($A254,  'Matriz POA 2024-TRABAJO'!$A$5:$CY$9142,29,FALSE)</f>
        <v>57</v>
      </c>
      <c r="C254" s="93" t="str">
        <f>VLOOKUP($A254, 'Matriz POA 2024-TRABAJO'!$A$5:$CY$9142,11,FALSE)</f>
        <v>Corporación Ciudad Alfaro</v>
      </c>
      <c r="D254" s="93" t="str">
        <f>VLOOKUP($A254, 'Matriz POA 2024-TRABAJO'!$A$5:$CY$9142,14,FALSE)</f>
        <v>N/A</v>
      </c>
      <c r="E254" s="93" t="str">
        <f>VLOOKUP($A254, 'Matriz POA 2024-TRABAJO'!$A$5:$CY$9142,15,FALSE)</f>
        <v>N/A</v>
      </c>
      <c r="F254" s="93" t="str">
        <f>VLOOKUP($A254, 'Matriz POA 2024-TRABAJO'!$A$5:$CY$9142,18,FALSE)</f>
        <v>N/A</v>
      </c>
      <c r="G254" s="93" t="str">
        <f>VLOOKUP($A254, 'Matriz POA 2024-TRABAJO'!$A$5:$CY$9142,23,FALSE)</f>
        <v>NUEVA</v>
      </c>
      <c r="H254" s="93" t="str">
        <f>VLOOKUP($A254, 'Matriz POA 2024-TRABAJO'!$A$5:$CY$9142,24,FALSE)</f>
        <v xml:space="preserve">Pago de impuesto predial 2024 del Museo Centro Cultural Manta </v>
      </c>
      <c r="I254" s="93" t="str">
        <f>VLOOKUP($A254, 'Matriz POA 2024-TRABAJO'!$A$5:$CY$9142,20,FALSE)</f>
        <v>N/A</v>
      </c>
      <c r="J254" s="93" t="str">
        <f>VLOOKUP($A254, 'Matriz POA 2024-TRABAJO'!$A$5:$CY$9142,26,FALSE)</f>
        <v>80</v>
      </c>
      <c r="K254" s="93" t="str">
        <f>VLOOKUP($A254, 'Matriz POA 2024-TRABAJO'!$A$5:$CY$9142,27,FALSE)</f>
        <v>000</v>
      </c>
      <c r="L254" s="93" t="str">
        <f>VLOOKUP($A254, 'Matriz POA 2024-TRABAJO'!$A$5:$CY$9142,28,FALSE)</f>
        <v>002</v>
      </c>
      <c r="M254" s="93">
        <f>VLOOKUP($A254, 'Matriz POA 2024-TRABAJO'!$A$5:$CY$9142,30,FALSE)</f>
        <v>570102</v>
      </c>
      <c r="N254" s="93" t="str">
        <f>VLOOKUP($A254, 'Matriz POA 2024-TRABAJO'!$A$5:$CY$9142,31,FALSE)</f>
        <v>Tasas Generales, Impuestos, Contribuciones, Permisos, Licencias y Patentes.</v>
      </c>
      <c r="O254" s="93">
        <f>VLOOKUP($A254, 'Matriz POA 2024-TRABAJO'!$A$5:$CY$9142,45,FALSE)</f>
        <v>6283.11</v>
      </c>
      <c r="P254" s="93">
        <f>VLOOKUP($A254, 'Matriz POA 2024-TRABAJO'!$A$5:$CY$9142,46,FALSE)</f>
        <v>0</v>
      </c>
      <c r="Q254" s="93">
        <f>VLOOKUP($A254, 'Matriz POA 2024-TRABAJO'!$A$5:$CY$9142,47,FALSE)</f>
        <v>6283.11</v>
      </c>
      <c r="R254" s="94">
        <f t="shared" si="205"/>
        <v>6283.11</v>
      </c>
      <c r="S254" s="95">
        <f t="shared" si="206"/>
        <v>0</v>
      </c>
      <c r="T254" s="93">
        <f>VLOOKUP($A254, 'Matriz POA 2024-TRABAJO'!$A$5:$CY$9142,72,FALSE)</f>
        <v>6283.11</v>
      </c>
      <c r="U254" s="93" t="str">
        <f>VLOOKUP($A254, 'Matriz POA 2024-TRABAJO'!$A$5:$CY$9142,29,FALSE)</f>
        <v>57</v>
      </c>
      <c r="V254" s="93" t="str">
        <f t="shared" si="207"/>
        <v/>
      </c>
      <c r="W254" s="97" t="s">
        <v>1908</v>
      </c>
      <c r="X254" s="109">
        <v>45330</v>
      </c>
      <c r="Y254" s="99" t="s">
        <v>1909</v>
      </c>
      <c r="Z254" s="109">
        <v>45330</v>
      </c>
      <c r="AA254" s="93">
        <v>6283.11</v>
      </c>
      <c r="AB254" s="93"/>
      <c r="AC254" s="93">
        <f t="shared" si="208"/>
        <v>0</v>
      </c>
      <c r="AD254" s="93"/>
      <c r="AE254" s="93"/>
      <c r="AF254" s="93"/>
      <c r="AG254" s="93"/>
      <c r="AH254" s="93"/>
      <c r="AI254" s="93"/>
      <c r="AJ254" s="93"/>
      <c r="AK254" s="93">
        <f t="shared" si="209"/>
        <v>0</v>
      </c>
      <c r="AL254" s="93"/>
      <c r="AM254" s="93"/>
      <c r="AN254" s="93"/>
      <c r="AO254" s="93"/>
      <c r="AP254" s="93"/>
      <c r="AQ254" s="93"/>
      <c r="AR254" s="93"/>
      <c r="AS254" s="93">
        <f t="shared" si="210"/>
        <v>0</v>
      </c>
      <c r="AT254" s="93"/>
      <c r="AU254" s="93"/>
      <c r="AV254" s="93"/>
      <c r="AW254" s="93"/>
      <c r="AX254" s="93"/>
      <c r="AY254" s="93"/>
      <c r="AZ254" s="93"/>
      <c r="BA254" s="93"/>
      <c r="BB254" s="93"/>
      <c r="BC254" s="93"/>
      <c r="BD254" s="93"/>
      <c r="BE254" s="93"/>
      <c r="BF254" s="93"/>
      <c r="BG254" s="93"/>
      <c r="BH254" s="93"/>
      <c r="BI254" s="93"/>
      <c r="BJ254" s="93"/>
      <c r="BK254" s="93"/>
      <c r="BL254" s="93"/>
      <c r="BM254" s="93"/>
      <c r="BN254" s="93"/>
      <c r="BO254" s="93"/>
      <c r="BP254" s="93"/>
      <c r="BQ254" s="93"/>
      <c r="BR254" s="93"/>
      <c r="BS254" s="93"/>
      <c r="BT254" s="93"/>
      <c r="BU254" s="93"/>
      <c r="BV254" s="93"/>
      <c r="BW254" s="93"/>
      <c r="BX254" s="93"/>
      <c r="BY254" s="93"/>
      <c r="BZ254" s="93"/>
      <c r="CA254" s="93"/>
      <c r="CB254" s="93"/>
      <c r="CC254" s="93"/>
      <c r="CD254" s="93"/>
      <c r="CE254" s="93"/>
      <c r="CF254" s="93"/>
      <c r="CG254" s="93"/>
      <c r="CH254" s="93"/>
      <c r="CI254" s="93"/>
      <c r="CJ254" s="93"/>
      <c r="CK254" s="93"/>
      <c r="CL254" s="93"/>
      <c r="CM254" s="93"/>
      <c r="CN254" s="93"/>
      <c r="CO254" s="93"/>
      <c r="CP254" s="93"/>
      <c r="CQ254" s="93"/>
      <c r="CR254" s="93"/>
      <c r="CS254" s="93"/>
      <c r="CT254" s="93"/>
      <c r="CU254" s="93"/>
      <c r="CV254" s="93"/>
      <c r="CW254" s="93"/>
      <c r="CX254" s="93"/>
    </row>
    <row r="255" spans="1:102" ht="15" customHeight="1">
      <c r="A255" s="93">
        <v>463</v>
      </c>
      <c r="B255" s="93" t="str">
        <f>VLOOKUP($A255,  'Matriz POA 2024-TRABAJO'!$A$5:$CY$9142,29,FALSE)</f>
        <v>57</v>
      </c>
      <c r="C255" s="93" t="str">
        <f>VLOOKUP($A255, 'Matriz POA 2024-TRABAJO'!$A$5:$CY$9142,11,FALSE)</f>
        <v>Corporación Ciudad Alfaro</v>
      </c>
      <c r="D255" s="93" t="str">
        <f>VLOOKUP($A255, 'Matriz POA 2024-TRABAJO'!$A$5:$CY$9142,14,FALSE)</f>
        <v>N/A</v>
      </c>
      <c r="E255" s="93" t="str">
        <f>VLOOKUP($A255, 'Matriz POA 2024-TRABAJO'!$A$5:$CY$9142,15,FALSE)</f>
        <v>N/A</v>
      </c>
      <c r="F255" s="93" t="str">
        <f>VLOOKUP($A255, 'Matriz POA 2024-TRABAJO'!$A$5:$CY$9142,18,FALSE)</f>
        <v>N/A</v>
      </c>
      <c r="G255" s="93" t="str">
        <f>VLOOKUP($A255, 'Matriz POA 2024-TRABAJO'!$A$5:$CY$9142,23,FALSE)</f>
        <v>NUEVA</v>
      </c>
      <c r="H255" s="93" t="str">
        <f>VLOOKUP($A255, 'Matriz POA 2024-TRABAJO'!$A$5:$CY$9142,24,FALSE)</f>
        <v>Pago de tasas y contribuciones a los predios urbanos y cuerpo de bomberos del Museo Bahía de Caráquez</v>
      </c>
      <c r="I255" s="93" t="str">
        <f>VLOOKUP($A255, 'Matriz POA 2024-TRABAJO'!$A$5:$CY$9142,20,FALSE)</f>
        <v>N/A</v>
      </c>
      <c r="J255" s="93" t="str">
        <f>VLOOKUP($A255, 'Matriz POA 2024-TRABAJO'!$A$5:$CY$9142,26,FALSE)</f>
        <v>80</v>
      </c>
      <c r="K255" s="93" t="str">
        <f>VLOOKUP($A255, 'Matriz POA 2024-TRABAJO'!$A$5:$CY$9142,27,FALSE)</f>
        <v>000</v>
      </c>
      <c r="L255" s="93" t="str">
        <f>VLOOKUP($A255, 'Matriz POA 2024-TRABAJO'!$A$5:$CY$9142,28,FALSE)</f>
        <v>002</v>
      </c>
      <c r="M255" s="93">
        <f>VLOOKUP($A255, 'Matriz POA 2024-TRABAJO'!$A$5:$CY$9142,30,FALSE)</f>
        <v>570102</v>
      </c>
      <c r="N255" s="93" t="str">
        <f>VLOOKUP($A255, 'Matriz POA 2024-TRABAJO'!$A$5:$CY$9142,31,FALSE)</f>
        <v>Tasas Generales, Impuestos, Contribuciones, Permisos, Licencias y Patentes.</v>
      </c>
      <c r="O255" s="93">
        <f>VLOOKUP($A255, 'Matriz POA 2024-TRABAJO'!$A$5:$CY$9142,45,FALSE)</f>
        <v>2500</v>
      </c>
      <c r="P255" s="93">
        <f>VLOOKUP($A255, 'Matriz POA 2024-TRABAJO'!$A$5:$CY$9142,46,FALSE)</f>
        <v>0</v>
      </c>
      <c r="Q255" s="93">
        <f>VLOOKUP($A255, 'Matriz POA 2024-TRABAJO'!$A$5:$CY$9142,47,FALSE)</f>
        <v>2500</v>
      </c>
      <c r="R255" s="94">
        <f t="shared" si="205"/>
        <v>2500</v>
      </c>
      <c r="S255" s="95">
        <f t="shared" si="206"/>
        <v>0</v>
      </c>
      <c r="T255" s="93">
        <f>VLOOKUP($A255, 'Matriz POA 2024-TRABAJO'!$A$5:$CY$9142,72,FALSE)</f>
        <v>1874.87</v>
      </c>
      <c r="U255" s="93" t="str">
        <f>VLOOKUP($A255, 'Matriz POA 2024-TRABAJO'!$A$5:$CY$9142,29,FALSE)</f>
        <v>57</v>
      </c>
      <c r="V255" s="93" t="str">
        <f t="shared" si="207"/>
        <v/>
      </c>
      <c r="W255" s="97" t="s">
        <v>1910</v>
      </c>
      <c r="X255" s="109">
        <v>45338</v>
      </c>
      <c r="Y255" s="99" t="s">
        <v>1911</v>
      </c>
      <c r="Z255" s="109">
        <v>45338</v>
      </c>
      <c r="AA255" s="93">
        <v>2500</v>
      </c>
      <c r="AB255" s="93"/>
      <c r="AC255" s="93">
        <f t="shared" si="208"/>
        <v>0</v>
      </c>
      <c r="AD255" s="93"/>
      <c r="AE255" s="93"/>
      <c r="AF255" s="93"/>
      <c r="AG255" s="93"/>
      <c r="AH255" s="93"/>
      <c r="AI255" s="93"/>
      <c r="AJ255" s="93"/>
      <c r="AK255" s="93">
        <f t="shared" si="209"/>
        <v>0</v>
      </c>
      <c r="AL255" s="93"/>
      <c r="AM255" s="93"/>
      <c r="AN255" s="93"/>
      <c r="AO255" s="93"/>
      <c r="AP255" s="93"/>
      <c r="AQ255" s="93"/>
      <c r="AR255" s="93"/>
      <c r="AS255" s="93">
        <f t="shared" si="210"/>
        <v>0</v>
      </c>
      <c r="AT255" s="93"/>
      <c r="AU255" s="93"/>
      <c r="AV255" s="93"/>
      <c r="AW255" s="93"/>
      <c r="AX255" s="93"/>
      <c r="AY255" s="93"/>
      <c r="AZ255" s="93"/>
      <c r="BA255" s="93"/>
      <c r="BB255" s="93"/>
      <c r="BC255" s="93"/>
      <c r="BD255" s="93"/>
      <c r="BE255" s="93"/>
      <c r="BF255" s="93"/>
      <c r="BG255" s="93"/>
      <c r="BH255" s="93"/>
      <c r="BI255" s="93"/>
      <c r="BJ255" s="93"/>
      <c r="BK255" s="93"/>
      <c r="BL255" s="93"/>
      <c r="BM255" s="93"/>
      <c r="BN255" s="93"/>
      <c r="BO255" s="93"/>
      <c r="BP255" s="93"/>
      <c r="BQ255" s="93"/>
      <c r="BR255" s="93"/>
      <c r="BS255" s="93"/>
      <c r="BT255" s="93"/>
      <c r="BU255" s="93"/>
      <c r="BV255" s="93"/>
      <c r="BW255" s="93"/>
      <c r="BX255" s="93"/>
      <c r="BY255" s="93"/>
      <c r="BZ255" s="93"/>
      <c r="CA255" s="93"/>
      <c r="CB255" s="93"/>
      <c r="CC255" s="93"/>
      <c r="CD255" s="93"/>
      <c r="CE255" s="93"/>
      <c r="CF255" s="93"/>
      <c r="CG255" s="93"/>
      <c r="CH255" s="93"/>
      <c r="CI255" s="93"/>
      <c r="CJ255" s="93"/>
      <c r="CK255" s="93"/>
      <c r="CL255" s="93"/>
      <c r="CM255" s="93"/>
      <c r="CN255" s="93"/>
      <c r="CO255" s="93"/>
      <c r="CP255" s="93"/>
      <c r="CQ255" s="93"/>
      <c r="CR255" s="93"/>
      <c r="CS255" s="93"/>
      <c r="CT255" s="93"/>
      <c r="CU255" s="93"/>
      <c r="CV255" s="93"/>
      <c r="CW255" s="93"/>
      <c r="CX255" s="93"/>
    </row>
    <row r="256" spans="1:102" ht="15" customHeight="1">
      <c r="A256" s="93">
        <v>490</v>
      </c>
      <c r="B256" s="93" t="str">
        <f>VLOOKUP($A256,  'Matriz POA 2024-TRABAJO'!$A$5:$CY$9142,29,FALSE)</f>
        <v>53</v>
      </c>
      <c r="C256" s="93" t="str">
        <f>VLOOKUP($A256, 'Matriz POA 2024-TRABAJO'!$A$5:$CY$9142,11,FALSE)</f>
        <v>Corporación Ciudad Alfaro</v>
      </c>
      <c r="D256" s="93" t="str">
        <f>VLOOKUP($A256, 'Matriz POA 2024-TRABAJO'!$A$5:$CY$9142,14,FALSE)</f>
        <v>N/A</v>
      </c>
      <c r="E256" s="93" t="str">
        <f>VLOOKUP($A256, 'Matriz POA 2024-TRABAJO'!$A$5:$CY$9142,15,FALSE)</f>
        <v>N/A</v>
      </c>
      <c r="F256" s="93" t="str">
        <f>VLOOKUP($A256, 'Matriz POA 2024-TRABAJO'!$A$5:$CY$9142,18,FALSE)</f>
        <v>N/A</v>
      </c>
      <c r="G256" s="93" t="str">
        <f>VLOOKUP($A256, 'Matriz POA 2024-TRABAJO'!$A$5:$CY$9142,23,FALSE)</f>
        <v>NUEVA</v>
      </c>
      <c r="H256" s="93" t="str">
        <f>VLOOKUP($A256, 'Matriz POA 2024-TRABAJO'!$A$5:$CY$9142,24,FALSE)</f>
        <v>Lavado de Menaje</v>
      </c>
      <c r="I256" s="93" t="str">
        <f>VLOOKUP($A256, 'Matriz POA 2024-TRABAJO'!$A$5:$CY$9142,20,FALSE)</f>
        <v>N/A</v>
      </c>
      <c r="J256" s="93" t="str">
        <f>VLOOKUP($A256, 'Matriz POA 2024-TRABAJO'!$A$5:$CY$9142,26,FALSE)</f>
        <v>80</v>
      </c>
      <c r="K256" s="93" t="str">
        <f>VLOOKUP($A256, 'Matriz POA 2024-TRABAJO'!$A$5:$CY$9142,27,FALSE)</f>
        <v>000</v>
      </c>
      <c r="L256" s="93" t="str">
        <f>VLOOKUP($A256, 'Matriz POA 2024-TRABAJO'!$A$5:$CY$9142,28,FALSE)</f>
        <v>002</v>
      </c>
      <c r="M256" s="93">
        <f>VLOOKUP($A256, 'Matriz POA 2024-TRABAJO'!$A$5:$CY$9142,30,FALSE)</f>
        <v>530209</v>
      </c>
      <c r="N256" s="93" t="str">
        <f>VLOOKUP($A256, 'Matriz POA 2024-TRABAJO'!$A$5:$CY$9142,31,FALSE)</f>
        <v>Servicios de Aseo, Lavado de Vestimenta de Trabajo, Fumigación, Desinfección,  Limpieza de Instalaciones, manejo
de desechos contaminados, recuperación y clasificación de materiales reciclables.</v>
      </c>
      <c r="O256" s="93">
        <f>VLOOKUP($A256, 'Matriz POA 2024-TRABAJO'!$A$5:$CY$9142,45,FALSE)</f>
        <v>1508.5</v>
      </c>
      <c r="P256" s="93">
        <f>VLOOKUP($A256, 'Matriz POA 2024-TRABAJO'!$A$5:$CY$9142,46,FALSE)</f>
        <v>0</v>
      </c>
      <c r="Q256" s="93">
        <f>VLOOKUP($A256, 'Matriz POA 2024-TRABAJO'!$A$5:$CY$9142,47,FALSE)</f>
        <v>1508.5</v>
      </c>
      <c r="R256" s="94">
        <f t="shared" si="205"/>
        <v>1508.5</v>
      </c>
      <c r="S256" s="95">
        <f t="shared" si="206"/>
        <v>0</v>
      </c>
      <c r="T256" s="93">
        <f>VLOOKUP($A256, 'Matriz POA 2024-TRABAJO'!$A$5:$CY$9142,72,FALSE)</f>
        <v>1508.5</v>
      </c>
      <c r="U256" s="93" t="str">
        <f>VLOOKUP($A256, 'Matriz POA 2024-TRABAJO'!$A$5:$CY$9142,29,FALSE)</f>
        <v>53</v>
      </c>
      <c r="V256" s="93" t="str">
        <f t="shared" si="207"/>
        <v/>
      </c>
      <c r="W256" s="97" t="s">
        <v>1912</v>
      </c>
      <c r="X256" s="109">
        <v>45341</v>
      </c>
      <c r="Y256" s="99" t="s">
        <v>1913</v>
      </c>
      <c r="Z256" s="109">
        <v>45341</v>
      </c>
      <c r="AA256" s="93">
        <v>1508.5</v>
      </c>
      <c r="AB256" s="93"/>
      <c r="AC256" s="93">
        <f t="shared" si="208"/>
        <v>0</v>
      </c>
      <c r="AD256" s="93"/>
      <c r="AE256" s="93"/>
      <c r="AF256" s="93"/>
      <c r="AG256" s="93"/>
      <c r="AH256" s="93"/>
      <c r="AI256" s="93"/>
      <c r="AJ256" s="93"/>
      <c r="AK256" s="93">
        <f t="shared" si="209"/>
        <v>0</v>
      </c>
      <c r="AL256" s="93"/>
      <c r="AM256" s="93"/>
      <c r="AN256" s="93"/>
      <c r="AO256" s="93"/>
      <c r="AP256" s="93"/>
      <c r="AQ256" s="93"/>
      <c r="AR256" s="93"/>
      <c r="AS256" s="93">
        <f t="shared" si="210"/>
        <v>0</v>
      </c>
      <c r="AT256" s="93"/>
      <c r="AU256" s="93"/>
      <c r="AV256" s="93"/>
      <c r="AW256" s="93"/>
      <c r="AX256" s="93"/>
      <c r="AY256" s="93"/>
      <c r="AZ256" s="93"/>
      <c r="BA256" s="93"/>
      <c r="BB256" s="93"/>
      <c r="BC256" s="93"/>
      <c r="BD256" s="93"/>
      <c r="BE256" s="93"/>
      <c r="BF256" s="93"/>
      <c r="BG256" s="93"/>
      <c r="BH256" s="93"/>
      <c r="BI256" s="93"/>
      <c r="BJ256" s="93"/>
      <c r="BK256" s="93"/>
      <c r="BL256" s="93"/>
      <c r="BM256" s="93"/>
      <c r="BN256" s="93"/>
      <c r="BO256" s="93"/>
      <c r="BP256" s="93"/>
      <c r="BQ256" s="93"/>
      <c r="BR256" s="93"/>
      <c r="BS256" s="93"/>
      <c r="BT256" s="93"/>
      <c r="BU256" s="93"/>
      <c r="BV256" s="93"/>
      <c r="BW256" s="93"/>
      <c r="BX256" s="93"/>
      <c r="BY256" s="93"/>
      <c r="BZ256" s="93"/>
      <c r="CA256" s="93"/>
      <c r="CB256" s="93"/>
      <c r="CC256" s="93"/>
      <c r="CD256" s="93"/>
      <c r="CE256" s="93"/>
      <c r="CF256" s="93"/>
      <c r="CG256" s="93"/>
      <c r="CH256" s="93"/>
      <c r="CI256" s="93"/>
      <c r="CJ256" s="93"/>
      <c r="CK256" s="93"/>
      <c r="CL256" s="93"/>
      <c r="CM256" s="93"/>
      <c r="CN256" s="93"/>
      <c r="CO256" s="93"/>
      <c r="CP256" s="93"/>
      <c r="CQ256" s="93"/>
      <c r="CR256" s="93"/>
      <c r="CS256" s="93"/>
      <c r="CT256" s="93"/>
      <c r="CU256" s="93"/>
      <c r="CV256" s="93"/>
      <c r="CW256" s="93"/>
      <c r="CX256" s="93"/>
    </row>
    <row r="257" spans="1:110" ht="15" customHeight="1">
      <c r="A257" s="93">
        <v>472</v>
      </c>
      <c r="B257" s="93" t="str">
        <f>VLOOKUP($A257,  'Matriz POA 2024-TRABAJO'!$A$5:$CY$9142,29,FALSE)</f>
        <v>57</v>
      </c>
      <c r="C257" s="93" t="str">
        <f>VLOOKUP($A257, 'Matriz POA 2024-TRABAJO'!$A$5:$CY$9142,11,FALSE)</f>
        <v>Corporación Ciudad Alfaro</v>
      </c>
      <c r="D257" s="93" t="str">
        <f>VLOOKUP($A257, 'Matriz POA 2024-TRABAJO'!$A$5:$CY$9142,14,FALSE)</f>
        <v>N/A</v>
      </c>
      <c r="E257" s="93" t="str">
        <f>VLOOKUP($A257, 'Matriz POA 2024-TRABAJO'!$A$5:$CY$9142,15,FALSE)</f>
        <v>N/A</v>
      </c>
      <c r="F257" s="93" t="str">
        <f>VLOOKUP($A257, 'Matriz POA 2024-TRABAJO'!$A$5:$CY$9142,18,FALSE)</f>
        <v>N/A</v>
      </c>
      <c r="G257" s="93" t="str">
        <f>VLOOKUP($A257, 'Matriz POA 2024-TRABAJO'!$A$5:$CY$9142,23,FALSE)</f>
        <v>NUEVA</v>
      </c>
      <c r="H257" s="93" t="str">
        <f>VLOOKUP($A257, 'Matriz POA 2024-TRABAJO'!$A$5:$CY$9142,24,FALSE)</f>
        <v>Pago de peaje para los vehículos de la Corporación Ciudad Alfaro</v>
      </c>
      <c r="I257" s="93" t="str">
        <f>VLOOKUP($A257, 'Matriz POA 2024-TRABAJO'!$A$5:$CY$9142,20,FALSE)</f>
        <v>N/A</v>
      </c>
      <c r="J257" s="93" t="str">
        <f>VLOOKUP($A257, 'Matriz POA 2024-TRABAJO'!$A$5:$CY$9142,26,FALSE)</f>
        <v>80</v>
      </c>
      <c r="K257" s="93" t="str">
        <f>VLOOKUP($A257, 'Matriz POA 2024-TRABAJO'!$A$5:$CY$9142,27,FALSE)</f>
        <v>000</v>
      </c>
      <c r="L257" s="93" t="str">
        <f>VLOOKUP($A257, 'Matriz POA 2024-TRABAJO'!$A$5:$CY$9142,28,FALSE)</f>
        <v>002</v>
      </c>
      <c r="M257" s="93">
        <f>VLOOKUP($A257, 'Matriz POA 2024-TRABAJO'!$A$5:$CY$9142,30,FALSE)</f>
        <v>570102</v>
      </c>
      <c r="N257" s="93" t="str">
        <f>VLOOKUP($A257, 'Matriz POA 2024-TRABAJO'!$A$5:$CY$9142,31,FALSE)</f>
        <v>Tasas Generales, Impuestos, Contribuciones, Permisos, Licencias y Patentes.</v>
      </c>
      <c r="O257" s="93">
        <f>VLOOKUP($A257, 'Matriz POA 2024-TRABAJO'!$A$5:$CY$9142,45,FALSE)</f>
        <v>447.83000000000004</v>
      </c>
      <c r="P257" s="93">
        <f>VLOOKUP($A257, 'Matriz POA 2024-TRABAJO'!$A$5:$CY$9142,46,FALSE)</f>
        <v>0</v>
      </c>
      <c r="Q257" s="93">
        <f>VLOOKUP($A257, 'Matriz POA 2024-TRABAJO'!$A$5:$CY$9142,47,FALSE)</f>
        <v>447.83000000000004</v>
      </c>
      <c r="R257" s="94">
        <f t="shared" si="205"/>
        <v>300</v>
      </c>
      <c r="S257" s="95">
        <f t="shared" si="206"/>
        <v>147.83000000000004</v>
      </c>
      <c r="T257" s="93">
        <f>VLOOKUP($A257, 'Matriz POA 2024-TRABAJO'!$A$5:$CY$9142,72,FALSE)</f>
        <v>447.83000000000004</v>
      </c>
      <c r="U257" s="93" t="str">
        <f>VLOOKUP($A257, 'Matriz POA 2024-TRABAJO'!$A$5:$CY$9142,29,FALSE)</f>
        <v>57</v>
      </c>
      <c r="V257" s="93" t="str">
        <f t="shared" si="207"/>
        <v/>
      </c>
      <c r="W257" s="97" t="s">
        <v>1914</v>
      </c>
      <c r="X257" s="109">
        <v>45349</v>
      </c>
      <c r="Y257" s="99" t="s">
        <v>1915</v>
      </c>
      <c r="Z257" s="109">
        <v>45349</v>
      </c>
      <c r="AA257" s="93">
        <v>300</v>
      </c>
      <c r="AB257" s="93"/>
      <c r="AC257" s="93">
        <f t="shared" si="208"/>
        <v>0</v>
      </c>
      <c r="AD257" s="93"/>
      <c r="AE257" s="93"/>
      <c r="AF257" s="93"/>
      <c r="AG257" s="93"/>
      <c r="AH257" s="93"/>
      <c r="AI257" s="93"/>
      <c r="AJ257" s="93"/>
      <c r="AK257" s="93">
        <f t="shared" si="209"/>
        <v>0</v>
      </c>
      <c r="AL257" s="93"/>
      <c r="AM257" s="93"/>
      <c r="AN257" s="93"/>
      <c r="AO257" s="93"/>
      <c r="AP257" s="93"/>
      <c r="AQ257" s="93"/>
      <c r="AR257" s="93"/>
      <c r="AS257" s="93">
        <f t="shared" si="210"/>
        <v>0</v>
      </c>
      <c r="AT257" s="93"/>
      <c r="AU257" s="93"/>
      <c r="AV257" s="93"/>
      <c r="AW257" s="93"/>
      <c r="AX257" s="93"/>
      <c r="AY257" s="93"/>
      <c r="AZ257" s="93"/>
      <c r="BA257" s="93"/>
      <c r="BB257" s="93"/>
      <c r="BC257" s="93"/>
      <c r="BD257" s="93"/>
      <c r="BE257" s="93"/>
      <c r="BF257" s="93"/>
      <c r="BG257" s="93"/>
      <c r="BH257" s="93"/>
      <c r="BI257" s="93"/>
      <c r="BJ257" s="93"/>
      <c r="BK257" s="93"/>
      <c r="BL257" s="93"/>
      <c r="BM257" s="93"/>
      <c r="BN257" s="93"/>
      <c r="BO257" s="93"/>
      <c r="BP257" s="93"/>
      <c r="BQ257" s="93"/>
      <c r="BR257" s="93"/>
      <c r="BS257" s="93"/>
      <c r="BT257" s="93"/>
      <c r="BU257" s="93"/>
      <c r="BV257" s="93"/>
      <c r="BW257" s="93"/>
      <c r="BX257" s="93"/>
      <c r="BY257" s="93"/>
      <c r="BZ257" s="93"/>
      <c r="CA257" s="93"/>
      <c r="CB257" s="93"/>
      <c r="CC257" s="93"/>
      <c r="CD257" s="93"/>
      <c r="CE257" s="93"/>
      <c r="CF257" s="93"/>
      <c r="CG257" s="93"/>
      <c r="CH257" s="93"/>
      <c r="CI257" s="93"/>
      <c r="CJ257" s="93"/>
      <c r="CK257" s="93"/>
      <c r="CL257" s="93"/>
      <c r="CM257" s="93"/>
      <c r="CN257" s="93"/>
      <c r="CO257" s="93"/>
      <c r="CP257" s="93"/>
      <c r="CQ257" s="93"/>
      <c r="CR257" s="93"/>
      <c r="CS257" s="93"/>
      <c r="CT257" s="93"/>
      <c r="CU257" s="93"/>
      <c r="CV257" s="93"/>
      <c r="CW257" s="93"/>
      <c r="CX257" s="93"/>
    </row>
    <row r="258" spans="1:110" ht="15" customHeight="1">
      <c r="A258" s="93">
        <v>474</v>
      </c>
      <c r="B258" s="93" t="str">
        <f>VLOOKUP($A258,  'Matriz POA 2024-TRABAJO'!$A$5:$CY$9142,29,FALSE)</f>
        <v>53</v>
      </c>
      <c r="C258" s="93" t="str">
        <f>VLOOKUP($A258, 'Matriz POA 2024-TRABAJO'!$A$5:$CY$9142,11,FALSE)</f>
        <v>Corporación Ciudad Alfaro</v>
      </c>
      <c r="D258" s="93" t="str">
        <f>VLOOKUP($A258, 'Matriz POA 2024-TRABAJO'!$A$5:$CY$9142,14,FALSE)</f>
        <v>N/A</v>
      </c>
      <c r="E258" s="93" t="str">
        <f>VLOOKUP($A258, 'Matriz POA 2024-TRABAJO'!$A$5:$CY$9142,15,FALSE)</f>
        <v>N/A</v>
      </c>
      <c r="F258" s="93" t="str">
        <f>VLOOKUP($A258, 'Matriz POA 2024-TRABAJO'!$A$5:$CY$9142,18,FALSE)</f>
        <v>N/A</v>
      </c>
      <c r="G258" s="93" t="str">
        <f>VLOOKUP($A258, 'Matriz POA 2024-TRABAJO'!$A$5:$CY$9142,23,FALSE)</f>
        <v>NUEVA</v>
      </c>
      <c r="H258" s="93" t="str">
        <f>VLOOKUP($A258, 'Matriz POA 2024-TRABAJO'!$A$5:$CY$9142,24,FALSE)</f>
        <v>Reintegro Por Renovación de Certificado digital</v>
      </c>
      <c r="I258" s="93" t="str">
        <f>VLOOKUP($A258, 'Matriz POA 2024-TRABAJO'!$A$5:$CY$9142,20,FALSE)</f>
        <v>N/A</v>
      </c>
      <c r="J258" s="93" t="str">
        <f>VLOOKUP($A258, 'Matriz POA 2024-TRABAJO'!$A$5:$CY$9142,26,FALSE)</f>
        <v>80</v>
      </c>
      <c r="K258" s="93" t="str">
        <f>VLOOKUP($A258, 'Matriz POA 2024-TRABAJO'!$A$5:$CY$9142,27,FALSE)</f>
        <v>000</v>
      </c>
      <c r="L258" s="93" t="str">
        <f>VLOOKUP($A258, 'Matriz POA 2024-TRABAJO'!$A$5:$CY$9142,28,FALSE)</f>
        <v>002</v>
      </c>
      <c r="M258" s="93">
        <f>VLOOKUP($A258, 'Matriz POA 2024-TRABAJO'!$A$5:$CY$9142,30,FALSE)</f>
        <v>530228</v>
      </c>
      <c r="N258" s="93" t="str">
        <f>VLOOKUP($A258, 'Matriz POA 2024-TRABAJO'!$A$5:$CY$9142,31,FALSE)</f>
        <v>Servicios de Provisión de Dispositivos Electrónicos y Certificación para Registro de Firmas Digitales</v>
      </c>
      <c r="O258" s="93">
        <f>VLOOKUP($A258, 'Matriz POA 2024-TRABAJO'!$A$5:$CY$9142,45,FALSE)</f>
        <v>20.16</v>
      </c>
      <c r="P258" s="93">
        <f>VLOOKUP($A258, 'Matriz POA 2024-TRABAJO'!$A$5:$CY$9142,46,FALSE)</f>
        <v>0</v>
      </c>
      <c r="Q258" s="93">
        <f>VLOOKUP($A258, 'Matriz POA 2024-TRABAJO'!$A$5:$CY$9142,47,FALSE)</f>
        <v>20.16</v>
      </c>
      <c r="R258" s="94">
        <f t="shared" si="205"/>
        <v>30</v>
      </c>
      <c r="S258" s="95">
        <f t="shared" si="206"/>
        <v>-9.84</v>
      </c>
      <c r="T258" s="93">
        <f>VLOOKUP($A258, 'Matriz POA 2024-TRABAJO'!$A$5:$CY$9142,72,FALSE)</f>
        <v>20.16</v>
      </c>
      <c r="U258" s="93" t="str">
        <f>VLOOKUP($A258, 'Matriz POA 2024-TRABAJO'!$A$5:$CY$9142,29,FALSE)</f>
        <v>53</v>
      </c>
      <c r="V258" s="93" t="str">
        <f t="shared" si="207"/>
        <v/>
      </c>
      <c r="W258" s="97" t="s">
        <v>1916</v>
      </c>
      <c r="X258" s="109">
        <v>45369</v>
      </c>
      <c r="Y258" s="99" t="s">
        <v>1917</v>
      </c>
      <c r="Z258" s="109">
        <v>45369</v>
      </c>
      <c r="AA258" s="93">
        <v>30</v>
      </c>
      <c r="AB258" s="93"/>
      <c r="AC258" s="93">
        <f t="shared" si="208"/>
        <v>0</v>
      </c>
      <c r="AD258" s="93"/>
      <c r="AE258" s="93"/>
      <c r="AF258" s="93"/>
      <c r="AG258" s="93"/>
      <c r="AH258" s="93"/>
      <c r="AI258" s="93"/>
      <c r="AJ258" s="93"/>
      <c r="AK258" s="93">
        <f t="shared" si="209"/>
        <v>0</v>
      </c>
      <c r="AL258" s="93"/>
      <c r="AM258" s="93"/>
      <c r="AN258" s="93"/>
      <c r="AO258" s="93"/>
      <c r="AP258" s="93"/>
      <c r="AQ258" s="93"/>
      <c r="AR258" s="93"/>
      <c r="AS258" s="93">
        <f t="shared" si="210"/>
        <v>0</v>
      </c>
      <c r="AT258" s="93"/>
      <c r="AU258" s="93"/>
      <c r="AV258" s="93"/>
      <c r="AW258" s="93"/>
      <c r="AX258" s="93"/>
      <c r="AY258" s="93"/>
      <c r="AZ258" s="93"/>
      <c r="BA258" s="93"/>
      <c r="BB258" s="93"/>
      <c r="BC258" s="93"/>
      <c r="BD258" s="93"/>
      <c r="BE258" s="93"/>
      <c r="BF258" s="93"/>
      <c r="BG258" s="93"/>
      <c r="BH258" s="93"/>
      <c r="BI258" s="93"/>
      <c r="BJ258" s="93"/>
      <c r="BK258" s="93"/>
      <c r="BL258" s="93"/>
      <c r="BM258" s="93"/>
      <c r="BN258" s="93"/>
      <c r="BO258" s="93"/>
      <c r="BP258" s="93"/>
      <c r="BQ258" s="93"/>
      <c r="BR258" s="93"/>
      <c r="BS258" s="93"/>
      <c r="BT258" s="93"/>
      <c r="BU258" s="93"/>
      <c r="BV258" s="93"/>
      <c r="BW258" s="93"/>
      <c r="BX258" s="93"/>
      <c r="BY258" s="93"/>
      <c r="BZ258" s="93"/>
      <c r="CA258" s="93"/>
      <c r="CB258" s="93"/>
      <c r="CC258" s="93"/>
      <c r="CD258" s="93"/>
      <c r="CE258" s="93"/>
      <c r="CF258" s="93"/>
      <c r="CG258" s="93"/>
      <c r="CH258" s="93"/>
      <c r="CI258" s="93"/>
      <c r="CJ258" s="93"/>
      <c r="CK258" s="93"/>
      <c r="CL258" s="93"/>
      <c r="CM258" s="93"/>
      <c r="CN258" s="93"/>
      <c r="CO258" s="93"/>
      <c r="CP258" s="93"/>
      <c r="CQ258" s="93"/>
      <c r="CR258" s="93"/>
      <c r="CS258" s="93"/>
      <c r="CT258" s="93"/>
      <c r="CU258" s="93"/>
      <c r="CV258" s="93"/>
      <c r="CW258" s="93"/>
      <c r="CX258" s="93"/>
    </row>
    <row r="259" spans="1:110" ht="15" customHeight="1">
      <c r="A259" s="93">
        <v>828</v>
      </c>
      <c r="B259" s="93" t="str">
        <f>VLOOKUP($A259,  'Matriz POA 2024-TRABAJO'!$A$5:$CY$9142,29,FALSE)</f>
        <v>53</v>
      </c>
      <c r="C259" s="93" t="str">
        <f>VLOOKUP($A259, 'Matriz POA 2024-TRABAJO'!$A$5:$CY$9142,11,FALSE)</f>
        <v>Corporación Ciudad Alfaro</v>
      </c>
      <c r="D259" s="93" t="str">
        <f>VLOOKUP($A259, 'Matriz POA 2024-TRABAJO'!$A$5:$CY$9142,14,FALSE)</f>
        <v>N/A</v>
      </c>
      <c r="E259" s="93" t="str">
        <f>VLOOKUP($A259, 'Matriz POA 2024-TRABAJO'!$A$5:$CY$9142,15,FALSE)</f>
        <v>N/A</v>
      </c>
      <c r="F259" s="93" t="str">
        <f>VLOOKUP($A259, 'Matriz POA 2024-TRABAJO'!$A$5:$CY$9142,18,FALSE)</f>
        <v>N/A</v>
      </c>
      <c r="G259" s="93" t="str">
        <f>VLOOKUP($A259, 'Matriz POA 2024-TRABAJO'!$A$5:$CY$9142,23,FALSE)</f>
        <v>NUEVA</v>
      </c>
      <c r="H259" s="93" t="str">
        <f>VLOOKUP($A259, 'Matriz POA 2024-TRABAJO'!$A$5:$CY$9142,24,FALSE)</f>
        <v>Pago del servicio de energía eléctrica de la Corporación Ciudad Alfaro - octubre - noviembre</v>
      </c>
      <c r="I259" s="93" t="str">
        <f>VLOOKUP($A259, 'Matriz POA 2024-TRABAJO'!$A$5:$CY$9142,20,FALSE)</f>
        <v>N/A</v>
      </c>
      <c r="J259" s="93" t="str">
        <f>VLOOKUP($A259, 'Matriz POA 2024-TRABAJO'!$A$5:$CY$9142,26,FALSE)</f>
        <v>80</v>
      </c>
      <c r="K259" s="93" t="str">
        <f>VLOOKUP($A259, 'Matriz POA 2024-TRABAJO'!$A$5:$CY$9142,27,FALSE)</f>
        <v>000</v>
      </c>
      <c r="L259" s="93" t="str">
        <f>VLOOKUP($A259, 'Matriz POA 2024-TRABAJO'!$A$5:$CY$9142,28,FALSE)</f>
        <v>002</v>
      </c>
      <c r="M259" s="93">
        <f>VLOOKUP($A259, 'Matriz POA 2024-TRABAJO'!$A$5:$CY$9142,30,FALSE)</f>
        <v>530104</v>
      </c>
      <c r="N259" s="93" t="str">
        <f>VLOOKUP($A259, 'Matriz POA 2024-TRABAJO'!$A$5:$CY$9142,31,FALSE)</f>
        <v>Energía Eléctrica</v>
      </c>
      <c r="O259" s="93">
        <f>VLOOKUP($A259, 'Matriz POA 2024-TRABAJO'!$A$5:$CY$9142,45,FALSE)</f>
        <v>0</v>
      </c>
      <c r="P259" s="93">
        <f>VLOOKUP($A259, 'Matriz POA 2024-TRABAJO'!$A$5:$CY$9142,46,FALSE)</f>
        <v>0</v>
      </c>
      <c r="Q259" s="93">
        <f>VLOOKUP($A259, 'Matriz POA 2024-TRABAJO'!$A$5:$CY$9142,47,FALSE)</f>
        <v>0</v>
      </c>
      <c r="R259" s="94">
        <f t="shared" si="205"/>
        <v>3422</v>
      </c>
      <c r="S259" s="95">
        <f t="shared" si="206"/>
        <v>-3422</v>
      </c>
      <c r="T259" s="93" t="str">
        <f>VLOOKUP($A259, 'Matriz POA 2024-TRABAJO'!$A$5:$CY$9142,72,FALSE)</f>
        <v/>
      </c>
      <c r="U259" s="93" t="str">
        <f>VLOOKUP($A259, 'Matriz POA 2024-TRABAJO'!$A$5:$CY$9142,29,FALSE)</f>
        <v>53</v>
      </c>
      <c r="V259" s="93" t="str">
        <f t="shared" si="207"/>
        <v/>
      </c>
      <c r="W259" s="97" t="s">
        <v>1918</v>
      </c>
      <c r="X259" s="109">
        <v>45372</v>
      </c>
      <c r="Y259" s="99" t="s">
        <v>1919</v>
      </c>
      <c r="Z259" s="109">
        <v>45372</v>
      </c>
      <c r="AA259" s="93">
        <v>3422</v>
      </c>
      <c r="AB259" s="93"/>
      <c r="AC259" s="93">
        <f t="shared" si="208"/>
        <v>0</v>
      </c>
      <c r="AD259" s="93"/>
      <c r="AE259" s="93"/>
      <c r="AF259" s="93"/>
      <c r="AG259" s="93"/>
      <c r="AH259" s="93"/>
      <c r="AI259" s="93"/>
      <c r="AJ259" s="93"/>
      <c r="AK259" s="93">
        <f t="shared" si="209"/>
        <v>0</v>
      </c>
      <c r="AL259" s="93"/>
      <c r="AM259" s="93"/>
      <c r="AN259" s="93"/>
      <c r="AO259" s="93"/>
      <c r="AP259" s="93"/>
      <c r="AQ259" s="93"/>
      <c r="AR259" s="93"/>
      <c r="AS259" s="93">
        <f t="shared" si="210"/>
        <v>0</v>
      </c>
      <c r="AT259" s="93"/>
      <c r="AU259" s="93"/>
      <c r="AV259" s="93"/>
      <c r="AW259" s="93"/>
      <c r="AX259" s="93"/>
      <c r="AY259" s="93"/>
      <c r="AZ259" s="93"/>
      <c r="BA259" s="93"/>
      <c r="BB259" s="93"/>
      <c r="BC259" s="93"/>
      <c r="BD259" s="93"/>
      <c r="BE259" s="93"/>
      <c r="BF259" s="93"/>
      <c r="BG259" s="93"/>
      <c r="BH259" s="93"/>
      <c r="BI259" s="93"/>
      <c r="BJ259" s="93"/>
      <c r="BK259" s="93"/>
      <c r="BL259" s="93"/>
      <c r="BM259" s="93"/>
      <c r="BN259" s="93"/>
      <c r="BO259" s="93"/>
      <c r="BP259" s="93"/>
      <c r="BQ259" s="93"/>
      <c r="BR259" s="93"/>
      <c r="BS259" s="93"/>
      <c r="BT259" s="93"/>
      <c r="BU259" s="93"/>
      <c r="BV259" s="93"/>
      <c r="BW259" s="93"/>
      <c r="BX259" s="93"/>
      <c r="BY259" s="93"/>
      <c r="BZ259" s="93"/>
      <c r="CA259" s="93"/>
      <c r="CB259" s="93"/>
      <c r="CC259" s="93"/>
      <c r="CD259" s="93"/>
      <c r="CE259" s="93"/>
      <c r="CF259" s="93"/>
      <c r="CG259" s="93"/>
      <c r="CH259" s="93"/>
      <c r="CI259" s="93"/>
      <c r="CJ259" s="93"/>
      <c r="CK259" s="93"/>
      <c r="CL259" s="93"/>
      <c r="CM259" s="93"/>
      <c r="CN259" s="93"/>
      <c r="CO259" s="93"/>
      <c r="CP259" s="93"/>
      <c r="CQ259" s="93"/>
      <c r="CR259" s="93"/>
      <c r="CS259" s="93"/>
      <c r="CT259" s="93"/>
      <c r="CU259" s="93"/>
      <c r="CV259" s="93"/>
      <c r="CW259" s="93"/>
      <c r="CX259" s="93"/>
    </row>
    <row r="260" spans="1:110" ht="15" customHeight="1">
      <c r="A260" s="93">
        <v>819</v>
      </c>
      <c r="B260" s="93" t="str">
        <f>VLOOKUP($A260,  'Matriz POA 2024-TRABAJO'!$A$5:$CY$9142,29,FALSE)</f>
        <v>53</v>
      </c>
      <c r="C260" s="93" t="str">
        <f>VLOOKUP($A260, 'Matriz POA 2024-TRABAJO'!$A$5:$CY$9142,11,FALSE)</f>
        <v>Corporación Ciudad Alfaro</v>
      </c>
      <c r="D260" s="93" t="str">
        <f>VLOOKUP($A260, 'Matriz POA 2024-TRABAJO'!$A$5:$CY$9142,14,FALSE)</f>
        <v>N/A</v>
      </c>
      <c r="E260" s="93" t="str">
        <f>VLOOKUP($A260, 'Matriz POA 2024-TRABAJO'!$A$5:$CY$9142,15,FALSE)</f>
        <v>N/A</v>
      </c>
      <c r="F260" s="93" t="str">
        <f>VLOOKUP($A260, 'Matriz POA 2024-TRABAJO'!$A$5:$CY$9142,18,FALSE)</f>
        <v>N/A</v>
      </c>
      <c r="G260" s="93" t="str">
        <f>VLOOKUP($A260, 'Matriz POA 2024-TRABAJO'!$A$5:$CY$9142,23,FALSE)</f>
        <v>NUEVA</v>
      </c>
      <c r="H260" s="93" t="str">
        <f>VLOOKUP($A260, 'Matriz POA 2024-TRABAJO'!$A$5:$CY$9142,24,FALSE)</f>
        <v>Contratación del servicio de mantenimiento correctivo de los tableros de distribución eléctrica TDE de los equipos de climatización en el museo centro cultural manta</v>
      </c>
      <c r="I260" s="93" t="str">
        <f>VLOOKUP($A260, 'Matriz POA 2024-TRABAJO'!$A$5:$CY$9142,20,FALSE)</f>
        <v>N/A</v>
      </c>
      <c r="J260" s="93" t="str">
        <f>VLOOKUP($A260, 'Matriz POA 2024-TRABAJO'!$A$5:$CY$9142,26,FALSE)</f>
        <v>80</v>
      </c>
      <c r="K260" s="93" t="str">
        <f>VLOOKUP($A260, 'Matriz POA 2024-TRABAJO'!$A$5:$CY$9142,27,FALSE)</f>
        <v>000</v>
      </c>
      <c r="L260" s="93" t="str">
        <f>VLOOKUP($A260, 'Matriz POA 2024-TRABAJO'!$A$5:$CY$9142,28,FALSE)</f>
        <v>002</v>
      </c>
      <c r="M260" s="93">
        <f>VLOOKUP($A260, 'Matriz POA 2024-TRABAJO'!$A$5:$CY$9142,30,FALSE)</f>
        <v>530402</v>
      </c>
      <c r="N260" s="93" t="str">
        <f>VLOOKUP($A260, 'Matriz POA 2024-TRABAJO'!$A$5:$CY$9142,31,FALSE)</f>
        <v>Edificios, Locales, Residencias y Cableado Estructurado (Instalación, Mantenimiento y Reparación)</v>
      </c>
      <c r="O260" s="93">
        <f>VLOOKUP($A260, 'Matriz POA 2024-TRABAJO'!$A$5:$CY$9142,45,FALSE)</f>
        <v>4830</v>
      </c>
      <c r="P260" s="93">
        <f>VLOOKUP($A260, 'Matriz POA 2024-TRABAJO'!$A$5:$CY$9142,46,FALSE)</f>
        <v>0</v>
      </c>
      <c r="Q260" s="93">
        <f>VLOOKUP($A260, 'Matriz POA 2024-TRABAJO'!$A$5:$CY$9142,47,FALSE)</f>
        <v>4830</v>
      </c>
      <c r="R260" s="94">
        <f t="shared" si="205"/>
        <v>5000</v>
      </c>
      <c r="S260" s="95">
        <f t="shared" si="206"/>
        <v>-170</v>
      </c>
      <c r="T260" s="93">
        <f>VLOOKUP($A260, 'Matriz POA 2024-TRABAJO'!$A$5:$CY$9142,72,FALSE)</f>
        <v>4830</v>
      </c>
      <c r="U260" s="93" t="str">
        <f>VLOOKUP($A260, 'Matriz POA 2024-TRABAJO'!$A$5:$CY$9142,29,FALSE)</f>
        <v>53</v>
      </c>
      <c r="V260" s="93" t="str">
        <f t="shared" si="207"/>
        <v/>
      </c>
      <c r="W260" s="97" t="s">
        <v>1920</v>
      </c>
      <c r="X260" s="109">
        <v>45384</v>
      </c>
      <c r="Y260" s="99" t="s">
        <v>1921</v>
      </c>
      <c r="Z260" s="109">
        <v>45384</v>
      </c>
      <c r="AA260" s="93">
        <v>5000</v>
      </c>
      <c r="AB260" s="93"/>
      <c r="AC260" s="93">
        <f t="shared" si="208"/>
        <v>0</v>
      </c>
      <c r="AD260" s="93"/>
      <c r="AE260" s="93"/>
      <c r="AF260" s="93"/>
      <c r="AG260" s="93"/>
      <c r="AH260" s="93"/>
      <c r="AI260" s="93"/>
      <c r="AJ260" s="93"/>
      <c r="AK260" s="93">
        <f t="shared" si="209"/>
        <v>0</v>
      </c>
      <c r="AL260" s="93"/>
      <c r="AM260" s="93"/>
      <c r="AN260" s="93"/>
      <c r="AO260" s="93"/>
      <c r="AP260" s="93"/>
      <c r="AQ260" s="93"/>
      <c r="AR260" s="93"/>
      <c r="AS260" s="93">
        <f t="shared" si="210"/>
        <v>0</v>
      </c>
      <c r="AT260" s="93"/>
      <c r="AU260" s="93"/>
      <c r="AV260" s="93"/>
      <c r="AW260" s="93"/>
      <c r="AX260" s="93"/>
      <c r="AY260" s="93"/>
      <c r="AZ260" s="93"/>
      <c r="BA260" s="93"/>
      <c r="BB260" s="93"/>
      <c r="BC260" s="93"/>
      <c r="BD260" s="93"/>
      <c r="BE260" s="93"/>
      <c r="BF260" s="93"/>
      <c r="BG260" s="93"/>
      <c r="BH260" s="93"/>
      <c r="BI260" s="93"/>
      <c r="BJ260" s="93"/>
      <c r="BK260" s="93"/>
      <c r="BL260" s="93"/>
      <c r="BM260" s="93"/>
      <c r="BN260" s="93"/>
      <c r="BO260" s="93"/>
      <c r="BP260" s="93"/>
      <c r="BQ260" s="93"/>
      <c r="BR260" s="93"/>
      <c r="BS260" s="93"/>
      <c r="BT260" s="93"/>
      <c r="BU260" s="93"/>
      <c r="BV260" s="93"/>
      <c r="BW260" s="93"/>
      <c r="BX260" s="93"/>
      <c r="BY260" s="93"/>
      <c r="BZ260" s="93"/>
      <c r="CA260" s="93"/>
      <c r="CB260" s="93"/>
      <c r="CC260" s="93"/>
      <c r="CD260" s="93"/>
      <c r="CE260" s="93"/>
      <c r="CF260" s="93"/>
      <c r="CG260" s="93"/>
      <c r="CH260" s="93"/>
      <c r="CI260" s="93"/>
      <c r="CJ260" s="93"/>
      <c r="CK260" s="93"/>
      <c r="CL260" s="93"/>
      <c r="CM260" s="93"/>
      <c r="CN260" s="93"/>
      <c r="CO260" s="93"/>
      <c r="CP260" s="93"/>
      <c r="CQ260" s="93"/>
      <c r="CR260" s="93"/>
      <c r="CS260" s="93"/>
      <c r="CT260" s="93"/>
      <c r="CU260" s="93"/>
      <c r="CV260" s="93"/>
      <c r="CW260" s="93"/>
      <c r="CX260" s="93"/>
    </row>
    <row r="261" spans="1:110" ht="15" customHeight="1">
      <c r="A261" s="207">
        <v>849</v>
      </c>
      <c r="B261" s="93" t="str">
        <f>VLOOKUP($A261,  'Matriz POA 2024-TRABAJO'!$A$5:$CY$9142,29,FALSE)</f>
        <v>53</v>
      </c>
      <c r="C261" s="93" t="str">
        <f>VLOOKUP($A261, 'Matriz POA 2024-TRABAJO'!$A$5:$CY$9142,11,FALSE)</f>
        <v>Corporación Ciudad Alfaro</v>
      </c>
      <c r="D261" s="93" t="str">
        <f>VLOOKUP($A261, 'Matriz POA 2024-TRABAJO'!$A$5:$CY$9142,14,FALSE)</f>
        <v>N/A</v>
      </c>
      <c r="E261" s="93" t="str">
        <f>VLOOKUP($A261, 'Matriz POA 2024-TRABAJO'!$A$5:$CY$9142,15,FALSE)</f>
        <v>N/A</v>
      </c>
      <c r="F261" s="93" t="str">
        <f>VLOOKUP($A261, 'Matriz POA 2024-TRABAJO'!$A$5:$CY$9142,18,FALSE)</f>
        <v>N/A</v>
      </c>
      <c r="G261" s="93" t="str">
        <f>VLOOKUP($A261, 'Matriz POA 2024-TRABAJO'!$A$5:$CY$9142,23,FALSE)</f>
        <v>NUEVA</v>
      </c>
      <c r="H261" s="93" t="str">
        <f>VLOOKUP($A261, 'Matriz POA 2024-TRABAJO'!$A$5:$CY$9142,24,FALSE)</f>
        <v>Instalación del sistema de detección contra incendio automatizado para planta baja, mezzanine y 1er piso del Museo Bahía de Caráquez.</v>
      </c>
      <c r="I261" s="93" t="str">
        <f>VLOOKUP($A261, 'Matriz POA 2024-TRABAJO'!$A$5:$CY$9142,20,FALSE)</f>
        <v>N/A</v>
      </c>
      <c r="J261" s="93" t="str">
        <f>VLOOKUP($A261, 'Matriz POA 2024-TRABAJO'!$A$5:$CY$9142,26,FALSE)</f>
        <v>80</v>
      </c>
      <c r="K261" s="93" t="str">
        <f>VLOOKUP($A261, 'Matriz POA 2024-TRABAJO'!$A$5:$CY$9142,27,FALSE)</f>
        <v>000</v>
      </c>
      <c r="L261" s="93" t="str">
        <f>VLOOKUP($A261, 'Matriz POA 2024-TRABAJO'!$A$5:$CY$9142,28,FALSE)</f>
        <v>002</v>
      </c>
      <c r="M261" s="93">
        <f>VLOOKUP($A261, 'Matriz POA 2024-TRABAJO'!$A$5:$CY$9142,30,FALSE)</f>
        <v>530402</v>
      </c>
      <c r="N261" s="93" t="str">
        <f>VLOOKUP($A261, 'Matriz POA 2024-TRABAJO'!$A$5:$CY$9142,31,FALSE)</f>
        <v>Edificios, Locales, Residencias y Cableado Estructurado (Instalación, Mantenimiento y Reparación)</v>
      </c>
      <c r="O261" s="93">
        <f>VLOOKUP($A261, 'Matriz POA 2024-TRABAJO'!$A$5:$CY$9142,45,FALSE)</f>
        <v>0</v>
      </c>
      <c r="P261" s="93">
        <f>VLOOKUP($A261, 'Matriz POA 2024-TRABAJO'!$A$5:$CY$9142,46,FALSE)</f>
        <v>0</v>
      </c>
      <c r="Q261" s="93">
        <f>VLOOKUP($A261, 'Matriz POA 2024-TRABAJO'!$A$5:$CY$9142,47,FALSE)</f>
        <v>0</v>
      </c>
      <c r="R261" s="94">
        <f t="shared" si="205"/>
        <v>8600</v>
      </c>
      <c r="S261" s="95">
        <f t="shared" si="206"/>
        <v>-8600</v>
      </c>
      <c r="T261" s="93" t="str">
        <f>VLOOKUP($A261, 'Matriz POA 2024-TRABAJO'!$A$5:$CY$9142,72,FALSE)</f>
        <v/>
      </c>
      <c r="U261" s="93" t="str">
        <f>VLOOKUP($A261, 'Matriz POA 2024-TRABAJO'!$A$5:$CY$9142,29,FALSE)</f>
        <v>53</v>
      </c>
      <c r="V261" s="93" t="str">
        <f t="shared" si="207"/>
        <v/>
      </c>
      <c r="W261" s="97" t="s">
        <v>1922</v>
      </c>
      <c r="X261" s="109">
        <v>45407</v>
      </c>
      <c r="Y261" s="99" t="s">
        <v>1923</v>
      </c>
      <c r="Z261" s="109">
        <v>45407</v>
      </c>
      <c r="AA261" s="93">
        <v>8600</v>
      </c>
      <c r="AB261" s="93"/>
      <c r="AC261" s="93">
        <f t="shared" si="208"/>
        <v>0</v>
      </c>
      <c r="AD261" s="93"/>
      <c r="AE261" s="93"/>
      <c r="AF261" s="93"/>
      <c r="AG261" s="93"/>
      <c r="AH261" s="93"/>
      <c r="AI261" s="93"/>
      <c r="AJ261" s="93"/>
      <c r="AK261" s="93">
        <f t="shared" si="209"/>
        <v>0</v>
      </c>
      <c r="AL261" s="93"/>
      <c r="AM261" s="93"/>
      <c r="AN261" s="93"/>
      <c r="AO261" s="93"/>
      <c r="AP261" s="93"/>
      <c r="AQ261" s="93"/>
      <c r="AR261" s="93"/>
      <c r="AS261" s="93">
        <f t="shared" si="210"/>
        <v>0</v>
      </c>
      <c r="AT261" s="93"/>
      <c r="AU261" s="93"/>
      <c r="AV261" s="93"/>
      <c r="AW261" s="93"/>
      <c r="AX261" s="93"/>
      <c r="AY261" s="93"/>
      <c r="AZ261" s="93"/>
      <c r="BA261" s="93"/>
      <c r="BB261" s="93"/>
      <c r="BC261" s="93"/>
      <c r="BD261" s="93"/>
      <c r="BE261" s="93"/>
      <c r="BF261" s="93"/>
      <c r="BG261" s="93"/>
      <c r="BH261" s="93"/>
      <c r="BI261" s="93"/>
      <c r="BJ261" s="93"/>
      <c r="BK261" s="93"/>
      <c r="BL261" s="93"/>
      <c r="BM261" s="93"/>
      <c r="BN261" s="93"/>
      <c r="BO261" s="93"/>
      <c r="BP261" s="93"/>
      <c r="BQ261" s="93"/>
      <c r="BR261" s="93"/>
      <c r="BS261" s="93"/>
      <c r="BT261" s="93"/>
      <c r="BU261" s="93"/>
      <c r="BV261" s="93"/>
      <c r="BW261" s="93"/>
      <c r="BX261" s="93"/>
      <c r="BY261" s="93"/>
      <c r="BZ261" s="93"/>
      <c r="CA261" s="93"/>
      <c r="CB261" s="93"/>
      <c r="CC261" s="93"/>
      <c r="CD261" s="93"/>
      <c r="CE261" s="93"/>
      <c r="CF261" s="93"/>
      <c r="CG261" s="93"/>
      <c r="CH261" s="93"/>
      <c r="CI261" s="93"/>
      <c r="CJ261" s="93"/>
      <c r="CK261" s="93"/>
      <c r="CL261" s="93"/>
      <c r="CM261" s="93"/>
      <c r="CN261" s="93"/>
      <c r="CO261" s="93"/>
      <c r="CP261" s="93"/>
      <c r="CQ261" s="93"/>
      <c r="CR261" s="93"/>
      <c r="CS261" s="93"/>
      <c r="CT261" s="93"/>
      <c r="CU261" s="93"/>
      <c r="CV261" s="93"/>
      <c r="CW261" s="93"/>
      <c r="CX261" s="93"/>
    </row>
    <row r="262" spans="1:110" s="477" customFormat="1" ht="15" customHeight="1">
      <c r="A262" s="220">
        <v>815</v>
      </c>
      <c r="B262" s="470" t="str">
        <f>VLOOKUP($A262,  'Matriz POA 2024-TRABAJO'!$A$5:$CY$9142,29,FALSE)</f>
        <v>53</v>
      </c>
      <c r="C262" s="470" t="str">
        <f>VLOOKUP($A262, 'Matriz POA 2024-TRABAJO'!$A$5:$CY$9142,11,FALSE)</f>
        <v>Corporación Ciudad Alfaro</v>
      </c>
      <c r="D262" s="470" t="str">
        <f>VLOOKUP($A262, 'Matriz POA 2024-TRABAJO'!$A$5:$CY$9142,14,FALSE)</f>
        <v>N/A</v>
      </c>
      <c r="E262" s="470" t="str">
        <f>VLOOKUP($A262, 'Matriz POA 2024-TRABAJO'!$A$5:$CY$9142,15,FALSE)</f>
        <v>N/A</v>
      </c>
      <c r="F262" s="470" t="str">
        <f>VLOOKUP($A262, 'Matriz POA 2024-TRABAJO'!$A$5:$CY$9142,18,FALSE)</f>
        <v>N/A</v>
      </c>
      <c r="G262" s="470" t="str">
        <f>VLOOKUP($A262, 'Matriz POA 2024-TRABAJO'!$A$5:$CY$9142,23,FALSE)</f>
        <v>NUEVA</v>
      </c>
      <c r="H262" s="470" t="str">
        <f>VLOOKUP($A262, 'Matriz POA 2024-TRABAJO'!$A$5:$CY$9142,24,FALSE)</f>
        <v>Contratación del servicio de mantenimiento y readecuación del museo rodante del Museo Nuclear Corporación Ciudad Alfaro</v>
      </c>
      <c r="I262" s="470" t="str">
        <f>VLOOKUP($A262, 'Matriz POA 2024-TRABAJO'!$A$5:$CY$9142,20,FALSE)</f>
        <v>N/A</v>
      </c>
      <c r="J262" s="470" t="str">
        <f>VLOOKUP($A262, 'Matriz POA 2024-TRABAJO'!$A$5:$CY$9142,26,FALSE)</f>
        <v>80</v>
      </c>
      <c r="K262" s="470" t="str">
        <f>VLOOKUP($A262, 'Matriz POA 2024-TRABAJO'!$A$5:$CY$9142,27,FALSE)</f>
        <v>000</v>
      </c>
      <c r="L262" s="470" t="str">
        <f>VLOOKUP($A262, 'Matriz POA 2024-TRABAJO'!$A$5:$CY$9142,28,FALSE)</f>
        <v>002</v>
      </c>
      <c r="M262" s="470">
        <f>VLOOKUP($A262, 'Matriz POA 2024-TRABAJO'!$A$5:$CY$9142,30,FALSE)</f>
        <v>530408</v>
      </c>
      <c r="N262" s="470" t="str">
        <f>VLOOKUP($A262, 'Matriz POA 2024-TRABAJO'!$A$5:$CY$9142,31,FALSE)</f>
        <v>Bienes Artísticos y Culturales</v>
      </c>
      <c r="O262" s="470">
        <f>VLOOKUP($A262, 'Matriz POA 2024-TRABAJO'!$A$5:$CY$9142,45,FALSE)</f>
        <v>0</v>
      </c>
      <c r="P262" s="470">
        <f>VLOOKUP($A262, 'Matriz POA 2024-TRABAJO'!$A$5:$CY$9142,46,FALSE)</f>
        <v>0</v>
      </c>
      <c r="Q262" s="470">
        <f>VLOOKUP($A262, 'Matriz POA 2024-TRABAJO'!$A$5:$CY$9142,47,FALSE)</f>
        <v>0</v>
      </c>
      <c r="R262" s="471">
        <f t="shared" ref="R262:R271" si="211">AA262+AI262+AQ262+AY262+BG262+BO262+BW262+CE262+CM262+CU262+AB262+AJ262+AR262+AZ262+BH262+BP262</f>
        <v>5000</v>
      </c>
      <c r="S262" s="472">
        <f t="shared" ref="S262:S271" si="212">Q262-R262</f>
        <v>-5000</v>
      </c>
      <c r="T262" s="470" t="str">
        <f>VLOOKUP($A262, 'Matriz POA 2024-TRABAJO'!$A$5:$CY$9142,72,FALSE)</f>
        <v/>
      </c>
      <c r="U262" s="470" t="str">
        <f>VLOOKUP($A262, 'Matriz POA 2024-TRABAJO'!$A$5:$CY$9142,29,FALSE)</f>
        <v>53</v>
      </c>
      <c r="V262" s="470" t="str">
        <f t="shared" ref="V262:V271" si="213">AD262&amp;AL262&amp;AT262&amp;BB262&amp;BJ262&amp;BR262&amp;BZ262&amp;CH262&amp;CP262&amp;CX262</f>
        <v/>
      </c>
      <c r="W262" s="473" t="s">
        <v>1939</v>
      </c>
      <c r="X262" s="474">
        <v>45421</v>
      </c>
      <c r="Y262" s="475" t="s">
        <v>1938</v>
      </c>
      <c r="Z262" s="474">
        <v>45421</v>
      </c>
      <c r="AA262" s="470">
        <v>5000</v>
      </c>
      <c r="AB262" s="470"/>
      <c r="AC262" s="470">
        <f t="shared" ref="AC262:AC271" si="214">Z262-X262</f>
        <v>0</v>
      </c>
      <c r="AD262" s="470"/>
      <c r="AE262" s="470"/>
      <c r="AF262" s="470"/>
      <c r="AG262" s="470"/>
      <c r="AH262" s="470"/>
      <c r="AI262" s="470"/>
      <c r="AJ262" s="470"/>
      <c r="AK262" s="470">
        <f t="shared" ref="AK262:AK271" si="215">AH262-AF262</f>
        <v>0</v>
      </c>
      <c r="AL262" s="470"/>
      <c r="AM262" s="470"/>
      <c r="AN262" s="470"/>
      <c r="AO262" s="470"/>
      <c r="AP262" s="470"/>
      <c r="AQ262" s="470"/>
      <c r="AR262" s="470"/>
      <c r="AS262" s="470">
        <f t="shared" ref="AS262:AS271" si="216">AP262-AN262</f>
        <v>0</v>
      </c>
      <c r="AT262" s="470"/>
      <c r="AU262" s="470"/>
      <c r="AV262" s="470"/>
      <c r="AW262" s="470"/>
      <c r="AX262" s="470"/>
      <c r="AY262" s="470"/>
      <c r="AZ262" s="470"/>
      <c r="BA262" s="470"/>
      <c r="BB262" s="470"/>
      <c r="BC262" s="470"/>
      <c r="BD262" s="470"/>
      <c r="BE262" s="470"/>
      <c r="BF262" s="470"/>
      <c r="BG262" s="470"/>
      <c r="BH262" s="470"/>
      <c r="BI262" s="470"/>
      <c r="BJ262" s="470"/>
      <c r="BK262" s="470"/>
      <c r="BL262" s="470"/>
      <c r="BM262" s="470"/>
      <c r="BN262" s="470"/>
      <c r="BO262" s="470"/>
      <c r="BP262" s="470"/>
      <c r="BQ262" s="470"/>
      <c r="BR262" s="470"/>
      <c r="BS262" s="470"/>
      <c r="BT262" s="470"/>
      <c r="BU262" s="470"/>
      <c r="BV262" s="470"/>
      <c r="BW262" s="470"/>
      <c r="BX262" s="470"/>
      <c r="BY262" s="470"/>
      <c r="BZ262" s="470"/>
      <c r="CA262" s="470"/>
      <c r="CB262" s="470"/>
      <c r="CC262" s="470"/>
      <c r="CD262" s="470"/>
      <c r="CE262" s="470"/>
      <c r="CF262" s="470"/>
      <c r="CG262" s="470"/>
      <c r="CH262" s="470"/>
      <c r="CI262" s="470"/>
      <c r="CJ262" s="470"/>
      <c r="CK262" s="470"/>
      <c r="CL262" s="470"/>
      <c r="CM262" s="470"/>
      <c r="CN262" s="470"/>
      <c r="CO262" s="470"/>
      <c r="CP262" s="470"/>
      <c r="CQ262" s="470"/>
      <c r="CR262" s="470"/>
      <c r="CS262" s="470"/>
      <c r="CT262" s="470"/>
      <c r="CU262" s="470"/>
      <c r="CV262" s="470"/>
      <c r="CW262" s="470"/>
      <c r="CX262" s="470"/>
      <c r="CY262" s="476"/>
      <c r="CZ262" s="476"/>
      <c r="DA262" s="476"/>
      <c r="DB262" s="476"/>
      <c r="DC262" s="476"/>
      <c r="DD262" s="476"/>
      <c r="DE262" s="476"/>
      <c r="DF262" s="476"/>
    </row>
    <row r="263" spans="1:110" ht="15" customHeight="1">
      <c r="A263" s="207">
        <v>814</v>
      </c>
      <c r="B263" s="93" t="str">
        <f>VLOOKUP($A263,  'Matriz POA 2024-TRABAJO'!$A$5:$CY$9142,29,FALSE)</f>
        <v>53</v>
      </c>
      <c r="C263" s="93" t="str">
        <f>VLOOKUP($A263, 'Matriz POA 2024-TRABAJO'!$A$5:$CY$9142,11,FALSE)</f>
        <v>Corporación Ciudad Alfaro</v>
      </c>
      <c r="D263" s="93" t="str">
        <f>VLOOKUP($A263, 'Matriz POA 2024-TRABAJO'!$A$5:$CY$9142,14,FALSE)</f>
        <v>N/A</v>
      </c>
      <c r="E263" s="93" t="str">
        <f>VLOOKUP($A263, 'Matriz POA 2024-TRABAJO'!$A$5:$CY$9142,15,FALSE)</f>
        <v>N/A</v>
      </c>
      <c r="F263" s="93" t="str">
        <f>VLOOKUP($A263, 'Matriz POA 2024-TRABAJO'!$A$5:$CY$9142,18,FALSE)</f>
        <v>N/A</v>
      </c>
      <c r="G263" s="93" t="str">
        <f>VLOOKUP($A263, 'Matriz POA 2024-TRABAJO'!$A$5:$CY$9142,23,FALSE)</f>
        <v>NUEVA</v>
      </c>
      <c r="H263" s="93" t="str">
        <f>VLOOKUP($A263, 'Matriz POA 2024-TRABAJO'!$A$5:$CY$9142,24,FALSE)</f>
        <v>Contratación del servicio de correspondencia Nacional para el Museo Nuclear Corporación Ciudad Alfaro y sus sedes.</v>
      </c>
      <c r="I263" s="93" t="str">
        <f>VLOOKUP($A263, 'Matriz POA 2024-TRABAJO'!$A$5:$CY$9142,20,FALSE)</f>
        <v>N/A</v>
      </c>
      <c r="J263" s="93" t="str">
        <f>VLOOKUP($A263, 'Matriz POA 2024-TRABAJO'!$A$5:$CY$9142,26,FALSE)</f>
        <v>80</v>
      </c>
      <c r="K263" s="93" t="str">
        <f>VLOOKUP($A263, 'Matriz POA 2024-TRABAJO'!$A$5:$CY$9142,27,FALSE)</f>
        <v>000</v>
      </c>
      <c r="L263" s="93" t="str">
        <f>VLOOKUP($A263, 'Matriz POA 2024-TRABAJO'!$A$5:$CY$9142,28,FALSE)</f>
        <v>002</v>
      </c>
      <c r="M263" s="93">
        <f>VLOOKUP($A263, 'Matriz POA 2024-TRABAJO'!$A$5:$CY$9142,30,FALSE)</f>
        <v>530106</v>
      </c>
      <c r="N263" s="93" t="str">
        <f>VLOOKUP($A263, 'Matriz POA 2024-TRABAJO'!$A$5:$CY$9142,31,FALSE)</f>
        <v>Servicio de Correo</v>
      </c>
      <c r="O263" s="93">
        <f>VLOOKUP($A263, 'Matriz POA 2024-TRABAJO'!$A$5:$CY$9142,45,FALSE)</f>
        <v>0</v>
      </c>
      <c r="P263" s="93">
        <f>VLOOKUP($A263, 'Matriz POA 2024-TRABAJO'!$A$5:$CY$9142,46,FALSE)</f>
        <v>0</v>
      </c>
      <c r="Q263" s="93">
        <f>VLOOKUP($A263, 'Matriz POA 2024-TRABAJO'!$A$5:$CY$9142,47,FALSE)</f>
        <v>0</v>
      </c>
      <c r="R263" s="94">
        <f t="shared" si="211"/>
        <v>1000</v>
      </c>
      <c r="S263" s="95">
        <f t="shared" si="212"/>
        <v>-1000</v>
      </c>
      <c r="T263" s="93" t="str">
        <f>VLOOKUP($A263, 'Matriz POA 2024-TRABAJO'!$A$5:$CY$9142,72,FALSE)</f>
        <v/>
      </c>
      <c r="U263" s="93" t="str">
        <f>VLOOKUP($A263, 'Matriz POA 2024-TRABAJO'!$A$5:$CY$9142,29,FALSE)</f>
        <v>53</v>
      </c>
      <c r="V263" s="93" t="str">
        <f t="shared" si="213"/>
        <v/>
      </c>
      <c r="W263" s="97" t="s">
        <v>1930</v>
      </c>
      <c r="X263" s="109">
        <v>45422</v>
      </c>
      <c r="Y263" s="99" t="s">
        <v>1931</v>
      </c>
      <c r="Z263" s="109">
        <v>45422</v>
      </c>
      <c r="AA263" s="93">
        <v>1000</v>
      </c>
      <c r="AB263" s="93"/>
      <c r="AC263" s="93">
        <f t="shared" si="214"/>
        <v>0</v>
      </c>
      <c r="AD263" s="93"/>
      <c r="AE263" s="93"/>
      <c r="AF263" s="93"/>
      <c r="AG263" s="93"/>
      <c r="AH263" s="93"/>
      <c r="AI263" s="93"/>
      <c r="AJ263" s="93"/>
      <c r="AK263" s="93">
        <f t="shared" si="215"/>
        <v>0</v>
      </c>
      <c r="AL263" s="93"/>
      <c r="AM263" s="93"/>
      <c r="AN263" s="93"/>
      <c r="AO263" s="93"/>
      <c r="AP263" s="93"/>
      <c r="AQ263" s="93"/>
      <c r="AR263" s="93"/>
      <c r="AS263" s="93">
        <f t="shared" si="216"/>
        <v>0</v>
      </c>
      <c r="AT263" s="93"/>
      <c r="AU263" s="93"/>
      <c r="AV263" s="93"/>
      <c r="AW263" s="93"/>
      <c r="AX263" s="93"/>
      <c r="AY263" s="93"/>
      <c r="AZ263" s="93"/>
      <c r="BA263" s="93"/>
      <c r="BB263" s="93"/>
      <c r="BC263" s="93"/>
      <c r="BD263" s="93"/>
      <c r="BE263" s="93"/>
      <c r="BF263" s="93"/>
      <c r="BG263" s="93"/>
      <c r="BH263" s="93"/>
      <c r="BI263" s="93"/>
      <c r="BJ263" s="93"/>
      <c r="BK263" s="93"/>
      <c r="BL263" s="93"/>
      <c r="BM263" s="93"/>
      <c r="BN263" s="93"/>
      <c r="BO263" s="93"/>
      <c r="BP263" s="93"/>
      <c r="BQ263" s="93"/>
      <c r="BR263" s="93"/>
      <c r="BS263" s="93"/>
      <c r="BT263" s="93"/>
      <c r="BU263" s="93"/>
      <c r="BV263" s="93"/>
      <c r="BW263" s="93"/>
      <c r="BX263" s="93"/>
      <c r="BY263" s="93"/>
      <c r="BZ263" s="93"/>
      <c r="CA263" s="93"/>
      <c r="CB263" s="93"/>
      <c r="CC263" s="93"/>
      <c r="CD263" s="93"/>
      <c r="CE263" s="93"/>
      <c r="CF263" s="93"/>
      <c r="CG263" s="93"/>
      <c r="CH263" s="93"/>
      <c r="CI263" s="93"/>
      <c r="CJ263" s="93"/>
      <c r="CK263" s="93"/>
      <c r="CL263" s="93"/>
      <c r="CM263" s="93"/>
      <c r="CN263" s="93"/>
      <c r="CO263" s="93"/>
      <c r="CP263" s="93"/>
      <c r="CQ263" s="93"/>
      <c r="CR263" s="93"/>
      <c r="CS263" s="93"/>
      <c r="CT263" s="93"/>
      <c r="CU263" s="93"/>
      <c r="CV263" s="93"/>
      <c r="CW263" s="93"/>
      <c r="CX263" s="93"/>
    </row>
    <row r="264" spans="1:110" ht="15" customHeight="1">
      <c r="A264" s="207">
        <v>481</v>
      </c>
      <c r="B264" s="93" t="str">
        <f>VLOOKUP($A264,  'Matriz POA 2024-TRABAJO'!$A$5:$CY$9142,29,FALSE)</f>
        <v>53</v>
      </c>
      <c r="C264" s="93" t="str">
        <f>VLOOKUP($A264, 'Matriz POA 2024-TRABAJO'!$A$5:$CY$9142,11,FALSE)</f>
        <v>Corporación Ciudad Alfaro</v>
      </c>
      <c r="D264" s="93" t="str">
        <f>VLOOKUP($A264, 'Matriz POA 2024-TRABAJO'!$A$5:$CY$9142,14,FALSE)</f>
        <v>N/A</v>
      </c>
      <c r="E264" s="93" t="str">
        <f>VLOOKUP($A264, 'Matriz POA 2024-TRABAJO'!$A$5:$CY$9142,15,FALSE)</f>
        <v>N/A</v>
      </c>
      <c r="F264" s="93" t="str">
        <f>VLOOKUP($A264, 'Matriz POA 2024-TRABAJO'!$A$5:$CY$9142,18,FALSE)</f>
        <v>N/A</v>
      </c>
      <c r="G264" s="93" t="str">
        <f>VLOOKUP($A264, 'Matriz POA 2024-TRABAJO'!$A$5:$CY$9142,23,FALSE)</f>
        <v>NUEVA</v>
      </c>
      <c r="H264" s="93" t="str">
        <f>VLOOKUP($A264, 'Matriz POA 2024-TRABAJO'!$A$5:$CY$9142,24,FALSE)</f>
        <v>Adquisición de tonners y tintas para las impresoras de la corporación ciudad alfaro y sus sedes</v>
      </c>
      <c r="I264" s="93" t="str">
        <f>VLOOKUP($A264, 'Matriz POA 2024-TRABAJO'!$A$5:$CY$9142,20,FALSE)</f>
        <v>N/A</v>
      </c>
      <c r="J264" s="93" t="str">
        <f>VLOOKUP($A264, 'Matriz POA 2024-TRABAJO'!$A$5:$CY$9142,26,FALSE)</f>
        <v>80</v>
      </c>
      <c r="K264" s="93" t="str">
        <f>VLOOKUP($A264, 'Matriz POA 2024-TRABAJO'!$A$5:$CY$9142,27,FALSE)</f>
        <v>000</v>
      </c>
      <c r="L264" s="93" t="str">
        <f>VLOOKUP($A264, 'Matriz POA 2024-TRABAJO'!$A$5:$CY$9142,28,FALSE)</f>
        <v>002</v>
      </c>
      <c r="M264" s="93">
        <f>VLOOKUP($A264, 'Matriz POA 2024-TRABAJO'!$A$5:$CY$9142,30,FALSE)</f>
        <v>530807</v>
      </c>
      <c r="N264" s="93" t="str">
        <f>VLOOKUP($A264, 'Matriz POA 2024-TRABAJO'!$A$5:$CY$9142,31,FALSE)</f>
        <v>Materiales de Impresión, Fotografía, Reproducción y Publicaciones</v>
      </c>
      <c r="O264" s="93">
        <f>VLOOKUP($A264, 'Matriz POA 2024-TRABAJO'!$A$5:$CY$9142,45,FALSE)</f>
        <v>679</v>
      </c>
      <c r="P264" s="93">
        <f>VLOOKUP($A264, 'Matriz POA 2024-TRABAJO'!$A$5:$CY$9142,46,FALSE)</f>
        <v>0</v>
      </c>
      <c r="Q264" s="93">
        <f>VLOOKUP($A264, 'Matriz POA 2024-TRABAJO'!$A$5:$CY$9142,47,FALSE)</f>
        <v>679</v>
      </c>
      <c r="R264" s="94">
        <f t="shared" si="211"/>
        <v>2000</v>
      </c>
      <c r="S264" s="95">
        <f t="shared" si="212"/>
        <v>-1321</v>
      </c>
      <c r="T264" s="93">
        <f>VLOOKUP($A264, 'Matriz POA 2024-TRABAJO'!$A$5:$CY$9142,72,FALSE)</f>
        <v>679</v>
      </c>
      <c r="U264" s="93" t="str">
        <f>VLOOKUP($A264, 'Matriz POA 2024-TRABAJO'!$A$5:$CY$9142,29,FALSE)</f>
        <v>53</v>
      </c>
      <c r="V264" s="93" t="str">
        <f t="shared" si="213"/>
        <v/>
      </c>
      <c r="W264" s="97" t="s">
        <v>1950</v>
      </c>
      <c r="X264" s="109">
        <v>45422</v>
      </c>
      <c r="Y264" s="99" t="s">
        <v>1951</v>
      </c>
      <c r="Z264" s="109">
        <v>45422</v>
      </c>
      <c r="AA264" s="93">
        <v>2000</v>
      </c>
      <c r="AB264" s="93"/>
      <c r="AC264" s="93">
        <f t="shared" si="214"/>
        <v>0</v>
      </c>
      <c r="AD264" s="93"/>
      <c r="AE264" s="93"/>
      <c r="AF264" s="93"/>
      <c r="AG264" s="93"/>
      <c r="AH264" s="93"/>
      <c r="AI264" s="93"/>
      <c r="AJ264" s="93"/>
      <c r="AK264" s="93">
        <f t="shared" si="215"/>
        <v>0</v>
      </c>
      <c r="AL264" s="93"/>
      <c r="AM264" s="93"/>
      <c r="AN264" s="93"/>
      <c r="AO264" s="93"/>
      <c r="AP264" s="93"/>
      <c r="AQ264" s="93"/>
      <c r="AR264" s="93"/>
      <c r="AS264" s="93">
        <f t="shared" si="216"/>
        <v>0</v>
      </c>
      <c r="AT264" s="93"/>
      <c r="AU264" s="93"/>
      <c r="AV264" s="93"/>
      <c r="AW264" s="93"/>
      <c r="AX264" s="93"/>
      <c r="AY264" s="93"/>
      <c r="AZ264" s="93"/>
      <c r="BA264" s="93"/>
      <c r="BB264" s="93"/>
      <c r="BC264" s="93"/>
      <c r="BD264" s="93"/>
      <c r="BE264" s="93"/>
      <c r="BF264" s="93"/>
      <c r="BG264" s="93"/>
      <c r="BH264" s="93"/>
      <c r="BI264" s="93"/>
      <c r="BJ264" s="93"/>
      <c r="BK264" s="93"/>
      <c r="BL264" s="93"/>
      <c r="BM264" s="93"/>
      <c r="BN264" s="93"/>
      <c r="BO264" s="93"/>
      <c r="BP264" s="93"/>
      <c r="BQ264" s="93"/>
      <c r="BR264" s="93"/>
      <c r="BS264" s="93"/>
      <c r="BT264" s="93"/>
      <c r="BU264" s="93"/>
      <c r="BV264" s="93"/>
      <c r="BW264" s="93"/>
      <c r="BX264" s="93"/>
      <c r="BY264" s="93"/>
      <c r="BZ264" s="93"/>
      <c r="CA264" s="93"/>
      <c r="CB264" s="93"/>
      <c r="CC264" s="93"/>
      <c r="CD264" s="93"/>
      <c r="CE264" s="93"/>
      <c r="CF264" s="93"/>
      <c r="CG264" s="93"/>
      <c r="CH264" s="93"/>
      <c r="CI264" s="93"/>
      <c r="CJ264" s="93"/>
      <c r="CK264" s="93"/>
      <c r="CL264" s="93"/>
      <c r="CM264" s="93"/>
      <c r="CN264" s="93"/>
      <c r="CO264" s="93"/>
      <c r="CP264" s="93"/>
      <c r="CQ264" s="93"/>
      <c r="CR264" s="93"/>
      <c r="CS264" s="93"/>
      <c r="CT264" s="93"/>
      <c r="CU264" s="93"/>
      <c r="CV264" s="93"/>
      <c r="CW264" s="93"/>
      <c r="CX264" s="93"/>
    </row>
    <row r="265" spans="1:110" ht="15" customHeight="1">
      <c r="A265" s="207">
        <v>427</v>
      </c>
      <c r="B265" s="93" t="str">
        <f>VLOOKUP($A265,  'Matriz POA 2024-TRABAJO'!$A$5:$CY$9142,29,FALSE)</f>
        <v>53</v>
      </c>
      <c r="C265" s="93" t="str">
        <f>VLOOKUP($A265, 'Matriz POA 2024-TRABAJO'!$A$5:$CY$9142,11,FALSE)</f>
        <v>Corporación Ciudad Alfaro</v>
      </c>
      <c r="D265" s="93" t="str">
        <f>VLOOKUP($A265, 'Matriz POA 2024-TRABAJO'!$A$5:$CY$9142,14,FALSE)</f>
        <v>N/A</v>
      </c>
      <c r="E265" s="93" t="str">
        <f>VLOOKUP($A265, 'Matriz POA 2024-TRABAJO'!$A$5:$CY$9142,15,FALSE)</f>
        <v>N/A</v>
      </c>
      <c r="F265" s="93" t="str">
        <f>VLOOKUP($A265, 'Matriz POA 2024-TRABAJO'!$A$5:$CY$9142,18,FALSE)</f>
        <v>N/A</v>
      </c>
      <c r="G265" s="93" t="str">
        <f>VLOOKUP($A265, 'Matriz POA 2024-TRABAJO'!$A$5:$CY$9142,23,FALSE)</f>
        <v>NUEVA</v>
      </c>
      <c r="H265" s="93" t="str">
        <f>VLOOKUP($A265, 'Matriz POA 2024-TRABAJO'!$A$5:$CY$9142,24,FALSE)</f>
        <v>Pago de servicio de telefonía fija de la Sede Museo y Centro Cultural de Manta</v>
      </c>
      <c r="I265" s="93" t="str">
        <f>VLOOKUP($A265, 'Matriz POA 2024-TRABAJO'!$A$5:$CY$9142,20,FALSE)</f>
        <v>N/A</v>
      </c>
      <c r="J265" s="93" t="str">
        <f>VLOOKUP($A265, 'Matriz POA 2024-TRABAJO'!$A$5:$CY$9142,26,FALSE)</f>
        <v>80</v>
      </c>
      <c r="K265" s="93" t="str">
        <f>VLOOKUP($A265, 'Matriz POA 2024-TRABAJO'!$A$5:$CY$9142,27,FALSE)</f>
        <v>000</v>
      </c>
      <c r="L265" s="93" t="str">
        <f>VLOOKUP($A265, 'Matriz POA 2024-TRABAJO'!$A$5:$CY$9142,28,FALSE)</f>
        <v>002</v>
      </c>
      <c r="M265" s="93">
        <f>VLOOKUP($A265, 'Matriz POA 2024-TRABAJO'!$A$5:$CY$9142,30,FALSE)</f>
        <v>530105</v>
      </c>
      <c r="N265" s="93" t="str">
        <f>VLOOKUP($A265, 'Matriz POA 2024-TRABAJO'!$A$5:$CY$9142,31,FALSE)</f>
        <v>Telecomunicaciones</v>
      </c>
      <c r="O265" s="93">
        <f>VLOOKUP($A265, 'Matriz POA 2024-TRABAJO'!$A$5:$CY$9142,45,FALSE)</f>
        <v>0</v>
      </c>
      <c r="P265" s="93">
        <f>VLOOKUP($A265, 'Matriz POA 2024-TRABAJO'!$A$5:$CY$9142,46,FALSE)</f>
        <v>0</v>
      </c>
      <c r="Q265" s="93">
        <f>VLOOKUP($A265, 'Matriz POA 2024-TRABAJO'!$A$5:$CY$9142,47,FALSE)</f>
        <v>0</v>
      </c>
      <c r="R265" s="94">
        <f t="shared" si="211"/>
        <v>500</v>
      </c>
      <c r="S265" s="95">
        <f t="shared" si="212"/>
        <v>-500</v>
      </c>
      <c r="T265" s="93" t="str">
        <f>VLOOKUP($A265, 'Matriz POA 2024-TRABAJO'!$A$5:$CY$9142,72,FALSE)</f>
        <v/>
      </c>
      <c r="U265" s="93" t="str">
        <f>VLOOKUP($A265, 'Matriz POA 2024-TRABAJO'!$A$5:$CY$9142,29,FALSE)</f>
        <v>53</v>
      </c>
      <c r="V265" s="93" t="str">
        <f t="shared" si="213"/>
        <v/>
      </c>
      <c r="W265" s="97" t="s">
        <v>1948</v>
      </c>
      <c r="X265" s="109">
        <v>45422</v>
      </c>
      <c r="Y265" s="99" t="s">
        <v>1949</v>
      </c>
      <c r="Z265" s="109">
        <v>45422</v>
      </c>
      <c r="AA265" s="93">
        <v>500</v>
      </c>
      <c r="AB265" s="93"/>
      <c r="AC265" s="93">
        <f t="shared" si="214"/>
        <v>0</v>
      </c>
      <c r="AD265" s="93"/>
      <c r="AE265" s="93"/>
      <c r="AF265" s="93"/>
      <c r="AG265" s="93"/>
      <c r="AH265" s="93"/>
      <c r="AI265" s="93"/>
      <c r="AJ265" s="93"/>
      <c r="AK265" s="93">
        <f t="shared" si="215"/>
        <v>0</v>
      </c>
      <c r="AL265" s="93"/>
      <c r="AM265" s="93"/>
      <c r="AN265" s="93"/>
      <c r="AO265" s="93"/>
      <c r="AP265" s="93"/>
      <c r="AQ265" s="93"/>
      <c r="AR265" s="93"/>
      <c r="AS265" s="93">
        <f t="shared" si="216"/>
        <v>0</v>
      </c>
      <c r="AT265" s="93"/>
      <c r="AU265" s="93"/>
      <c r="AV265" s="93"/>
      <c r="AW265" s="93"/>
      <c r="AX265" s="93"/>
      <c r="AY265" s="93"/>
      <c r="AZ265" s="93"/>
      <c r="BA265" s="93"/>
      <c r="BB265" s="93"/>
      <c r="BC265" s="93"/>
      <c r="BD265" s="93"/>
      <c r="BE265" s="93"/>
      <c r="BF265" s="93"/>
      <c r="BG265" s="93"/>
      <c r="BH265" s="93"/>
      <c r="BI265" s="93"/>
      <c r="BJ265" s="93"/>
      <c r="BK265" s="93"/>
      <c r="BL265" s="93"/>
      <c r="BM265" s="93"/>
      <c r="BN265" s="93"/>
      <c r="BO265" s="93"/>
      <c r="BP265" s="93"/>
      <c r="BQ265" s="93"/>
      <c r="BR265" s="93"/>
      <c r="BS265" s="93"/>
      <c r="BT265" s="93"/>
      <c r="BU265" s="93"/>
      <c r="BV265" s="93"/>
      <c r="BW265" s="93"/>
      <c r="BX265" s="93"/>
      <c r="BY265" s="93"/>
      <c r="BZ265" s="93"/>
      <c r="CA265" s="93"/>
      <c r="CB265" s="93"/>
      <c r="CC265" s="93"/>
      <c r="CD265" s="93"/>
      <c r="CE265" s="93"/>
      <c r="CF265" s="93"/>
      <c r="CG265" s="93"/>
      <c r="CH265" s="93"/>
      <c r="CI265" s="93"/>
      <c r="CJ265" s="93"/>
      <c r="CK265" s="93"/>
      <c r="CL265" s="93"/>
      <c r="CM265" s="93"/>
      <c r="CN265" s="93"/>
      <c r="CO265" s="93"/>
      <c r="CP265" s="93"/>
      <c r="CQ265" s="93"/>
      <c r="CR265" s="93"/>
      <c r="CS265" s="93"/>
      <c r="CT265" s="93"/>
      <c r="CU265" s="93"/>
      <c r="CV265" s="93"/>
      <c r="CW265" s="93"/>
      <c r="CX265" s="93"/>
    </row>
    <row r="266" spans="1:110" ht="15" customHeight="1">
      <c r="A266" s="207">
        <v>820</v>
      </c>
      <c r="B266" s="93" t="str">
        <f>VLOOKUP($A266,  'Matriz POA 2024-TRABAJO'!$A$5:$CY$9142,29,FALSE)</f>
        <v>53</v>
      </c>
      <c r="C266" s="93" t="str">
        <f>VLOOKUP($A266, 'Matriz POA 2024-TRABAJO'!$A$5:$CY$9142,11,FALSE)</f>
        <v>Corporación Ciudad Alfaro</v>
      </c>
      <c r="D266" s="93" t="str">
        <f>VLOOKUP($A266, 'Matriz POA 2024-TRABAJO'!$A$5:$CY$9142,14,FALSE)</f>
        <v>N/A</v>
      </c>
      <c r="E266" s="93" t="str">
        <f>VLOOKUP($A266, 'Matriz POA 2024-TRABAJO'!$A$5:$CY$9142,15,FALSE)</f>
        <v>N/A</v>
      </c>
      <c r="F266" s="93" t="str">
        <f>VLOOKUP($A266, 'Matriz POA 2024-TRABAJO'!$A$5:$CY$9142,18,FALSE)</f>
        <v>N/A</v>
      </c>
      <c r="G266" s="93" t="str">
        <f>VLOOKUP($A266, 'Matriz POA 2024-TRABAJO'!$A$5:$CY$9142,23,FALSE)</f>
        <v>NUEVA</v>
      </c>
      <c r="H266" s="93" t="str">
        <f>VLOOKUP($A266, 'Matriz POA 2024-TRABAJO'!$A$5:$CY$9142,24,FALSE)</f>
        <v>Contratación del servicio de instalación, mantenimiento y reparación del auditorio del Museo Portoviejo y Archivo Histórico</v>
      </c>
      <c r="I266" s="93" t="str">
        <f>VLOOKUP($A266, 'Matriz POA 2024-TRABAJO'!$A$5:$CY$9142,20,FALSE)</f>
        <v>N/A</v>
      </c>
      <c r="J266" s="93" t="str">
        <f>VLOOKUP($A266, 'Matriz POA 2024-TRABAJO'!$A$5:$CY$9142,26,FALSE)</f>
        <v>80</v>
      </c>
      <c r="K266" s="93" t="str">
        <f>VLOOKUP($A266, 'Matriz POA 2024-TRABAJO'!$A$5:$CY$9142,27,FALSE)</f>
        <v>000</v>
      </c>
      <c r="L266" s="93" t="str">
        <f>VLOOKUP($A266, 'Matriz POA 2024-TRABAJO'!$A$5:$CY$9142,28,FALSE)</f>
        <v>002</v>
      </c>
      <c r="M266" s="93">
        <f>VLOOKUP($A266, 'Matriz POA 2024-TRABAJO'!$A$5:$CY$9142,30,FALSE)</f>
        <v>530403</v>
      </c>
      <c r="N266" s="93" t="str">
        <f>VLOOKUP($A266, 'Matriz POA 2024-TRABAJO'!$A$5:$CY$9142,31,FALSE)</f>
        <v>Mobiliarios  (Instalación, Mantenimiento y Reparación)</v>
      </c>
      <c r="O266" s="93">
        <f>VLOOKUP($A266, 'Matriz POA 2024-TRABAJO'!$A$5:$CY$9142,45,FALSE)</f>
        <v>0</v>
      </c>
      <c r="P266" s="93">
        <f>VLOOKUP($A266, 'Matriz POA 2024-TRABAJO'!$A$5:$CY$9142,46,FALSE)</f>
        <v>0</v>
      </c>
      <c r="Q266" s="93">
        <f>VLOOKUP($A266, 'Matriz POA 2024-TRABAJO'!$A$5:$CY$9142,47,FALSE)</f>
        <v>0</v>
      </c>
      <c r="R266" s="94">
        <f t="shared" si="211"/>
        <v>5000</v>
      </c>
      <c r="S266" s="95">
        <f t="shared" si="212"/>
        <v>-5000</v>
      </c>
      <c r="T266" s="93" t="str">
        <f>VLOOKUP($A266, 'Matriz POA 2024-TRABAJO'!$A$5:$CY$9142,72,FALSE)</f>
        <v/>
      </c>
      <c r="U266" s="93" t="str">
        <f>VLOOKUP($A266, 'Matriz POA 2024-TRABAJO'!$A$5:$CY$9142,29,FALSE)</f>
        <v>53</v>
      </c>
      <c r="V266" s="93" t="str">
        <f t="shared" si="213"/>
        <v/>
      </c>
      <c r="W266" s="97" t="s">
        <v>1926</v>
      </c>
      <c r="X266" s="109">
        <v>45422</v>
      </c>
      <c r="Y266" s="99" t="s">
        <v>1927</v>
      </c>
      <c r="Z266" s="109">
        <v>45422</v>
      </c>
      <c r="AA266" s="93">
        <v>5000</v>
      </c>
      <c r="AB266" s="93"/>
      <c r="AC266" s="93">
        <f t="shared" si="214"/>
        <v>0</v>
      </c>
      <c r="AD266" s="93"/>
      <c r="AE266" s="93"/>
      <c r="AF266" s="93"/>
      <c r="AG266" s="93"/>
      <c r="AH266" s="93"/>
      <c r="AI266" s="93"/>
      <c r="AJ266" s="93"/>
      <c r="AK266" s="93">
        <f t="shared" si="215"/>
        <v>0</v>
      </c>
      <c r="AL266" s="93"/>
      <c r="AM266" s="93"/>
      <c r="AN266" s="93"/>
      <c r="AO266" s="93"/>
      <c r="AP266" s="93"/>
      <c r="AQ266" s="93"/>
      <c r="AR266" s="93"/>
      <c r="AS266" s="93">
        <f t="shared" si="216"/>
        <v>0</v>
      </c>
      <c r="AT266" s="93"/>
      <c r="AU266" s="93"/>
      <c r="AV266" s="93"/>
      <c r="AW266" s="93"/>
      <c r="AX266" s="93"/>
      <c r="AY266" s="93"/>
      <c r="AZ266" s="93"/>
      <c r="BA266" s="93"/>
      <c r="BB266" s="93"/>
      <c r="BC266" s="93"/>
      <c r="BD266" s="93"/>
      <c r="BE266" s="93"/>
      <c r="BF266" s="93"/>
      <c r="BG266" s="93"/>
      <c r="BH266" s="93"/>
      <c r="BI266" s="93"/>
      <c r="BJ266" s="93"/>
      <c r="BK266" s="93"/>
      <c r="BL266" s="93"/>
      <c r="BM266" s="93"/>
      <c r="BN266" s="93"/>
      <c r="BO266" s="93"/>
      <c r="BP266" s="93"/>
      <c r="BQ266" s="93"/>
      <c r="BR266" s="93"/>
      <c r="BS266" s="93"/>
      <c r="BT266" s="93"/>
      <c r="BU266" s="93"/>
      <c r="BV266" s="93"/>
      <c r="BW266" s="93"/>
      <c r="BX266" s="93"/>
      <c r="BY266" s="93"/>
      <c r="BZ266" s="93"/>
      <c r="CA266" s="93"/>
      <c r="CB266" s="93"/>
      <c r="CC266" s="93"/>
      <c r="CD266" s="93"/>
      <c r="CE266" s="93"/>
      <c r="CF266" s="93"/>
      <c r="CG266" s="93"/>
      <c r="CH266" s="93"/>
      <c r="CI266" s="93"/>
      <c r="CJ266" s="93"/>
      <c r="CK266" s="93"/>
      <c r="CL266" s="93"/>
      <c r="CM266" s="93"/>
      <c r="CN266" s="93"/>
      <c r="CO266" s="93"/>
      <c r="CP266" s="93"/>
      <c r="CQ266" s="93"/>
      <c r="CR266" s="93"/>
      <c r="CS266" s="93"/>
      <c r="CT266" s="93"/>
      <c r="CU266" s="93"/>
      <c r="CV266" s="93"/>
      <c r="CW266" s="93"/>
      <c r="CX266" s="93"/>
    </row>
    <row r="267" spans="1:110" ht="14.25" customHeight="1">
      <c r="A267" s="207">
        <v>489</v>
      </c>
      <c r="B267" s="93" t="str">
        <f>VLOOKUP($A267,  'Matriz POA 2024-TRABAJO'!$A$5:$CY$9142,29,FALSE)</f>
        <v>53</v>
      </c>
      <c r="C267" s="93" t="str">
        <f>VLOOKUP($A267, 'Matriz POA 2024-TRABAJO'!$A$5:$CY$9142,11,FALSE)</f>
        <v>Corporación Ciudad Alfaro</v>
      </c>
      <c r="D267" s="93" t="str">
        <f>VLOOKUP($A267, 'Matriz POA 2024-TRABAJO'!$A$5:$CY$9142,14,FALSE)</f>
        <v>N/A</v>
      </c>
      <c r="E267" s="93" t="str">
        <f>VLOOKUP($A267, 'Matriz POA 2024-TRABAJO'!$A$5:$CY$9142,15,FALSE)</f>
        <v>N/A</v>
      </c>
      <c r="F267" s="93" t="str">
        <f>VLOOKUP($A267, 'Matriz POA 2024-TRABAJO'!$A$5:$CY$9142,18,FALSE)</f>
        <v>N/A</v>
      </c>
      <c r="G267" s="93" t="str">
        <f>VLOOKUP($A267, 'Matriz POA 2024-TRABAJO'!$A$5:$CY$9142,23,FALSE)</f>
        <v>NUEVA</v>
      </c>
      <c r="H267" s="93" t="str">
        <f>VLOOKUP($A267, 'Matriz POA 2024-TRABAJO'!$A$5:$CY$9142,24,FALSE)</f>
        <v xml:space="preserve">Adquisición de materiales y suministros de conservación y restauración para la Corporación Ciudad Alfaro y sus sedes </v>
      </c>
      <c r="I267" s="93" t="str">
        <f>VLOOKUP($A267, 'Matriz POA 2024-TRABAJO'!$A$5:$CY$9142,20,FALSE)</f>
        <v>N/A</v>
      </c>
      <c r="J267" s="93" t="str">
        <f>VLOOKUP($A267, 'Matriz POA 2024-TRABAJO'!$A$5:$CY$9142,26,FALSE)</f>
        <v>80</v>
      </c>
      <c r="K267" s="93" t="str">
        <f>VLOOKUP($A267, 'Matriz POA 2024-TRABAJO'!$A$5:$CY$9142,27,FALSE)</f>
        <v>000</v>
      </c>
      <c r="L267" s="93" t="str">
        <f>VLOOKUP($A267, 'Matriz POA 2024-TRABAJO'!$A$5:$CY$9142,28,FALSE)</f>
        <v>002</v>
      </c>
      <c r="M267" s="93">
        <f>VLOOKUP($A267, 'Matriz POA 2024-TRABAJO'!$A$5:$CY$9142,30,FALSE)</f>
        <v>530811</v>
      </c>
      <c r="N267" s="93" t="str">
        <f>VLOOKUP($A267, 'Matriz POA 2024-TRABAJO'!$A$5:$CY$9142,31,FALSE)</f>
        <v>Insumos,   Materiales   y   Suministros   para   Construcción,   Electricidad,   Plomería,   Carpintería,   Señalización   Vial,
Navegación, Contra Incendios y Placas</v>
      </c>
      <c r="O267" s="93">
        <f>VLOOKUP($A267, 'Matriz POA 2024-TRABAJO'!$A$5:$CY$9142,45,FALSE)</f>
        <v>0</v>
      </c>
      <c r="P267" s="93">
        <f>VLOOKUP($A267, 'Matriz POA 2024-TRABAJO'!$A$5:$CY$9142,46,FALSE)</f>
        <v>0</v>
      </c>
      <c r="Q267" s="93">
        <f>VLOOKUP($A267, 'Matriz POA 2024-TRABAJO'!$A$5:$CY$9142,47,FALSE)</f>
        <v>0</v>
      </c>
      <c r="R267" s="94">
        <f t="shared" si="211"/>
        <v>3942.38</v>
      </c>
      <c r="S267" s="95">
        <f t="shared" si="212"/>
        <v>-3942.38</v>
      </c>
      <c r="T267" s="93" t="str">
        <f>VLOOKUP($A267, 'Matriz POA 2024-TRABAJO'!$A$5:$CY$9142,72,FALSE)</f>
        <v/>
      </c>
      <c r="U267" s="93" t="str">
        <f>VLOOKUP($A267, 'Matriz POA 2024-TRABAJO'!$A$5:$CY$9142,29,FALSE)</f>
        <v>53</v>
      </c>
      <c r="V267" s="93" t="str">
        <f t="shared" si="213"/>
        <v/>
      </c>
      <c r="W267" s="97" t="s">
        <v>1936</v>
      </c>
      <c r="X267" s="109">
        <v>45422</v>
      </c>
      <c r="Y267" s="99" t="s">
        <v>1937</v>
      </c>
      <c r="Z267" s="109">
        <v>45422</v>
      </c>
      <c r="AA267" s="93">
        <v>3942.38</v>
      </c>
      <c r="AB267" s="93"/>
      <c r="AC267" s="93">
        <f t="shared" si="214"/>
        <v>0</v>
      </c>
      <c r="AD267" s="93"/>
      <c r="AE267" s="93"/>
      <c r="AF267" s="93"/>
      <c r="AG267" s="93"/>
      <c r="AH267" s="93"/>
      <c r="AI267" s="93"/>
      <c r="AJ267" s="93"/>
      <c r="AK267" s="93">
        <f t="shared" si="215"/>
        <v>0</v>
      </c>
      <c r="AL267" s="93"/>
      <c r="AM267" s="93"/>
      <c r="AN267" s="93"/>
      <c r="AO267" s="93"/>
      <c r="AP267" s="93"/>
      <c r="AQ267" s="93"/>
      <c r="AR267" s="93"/>
      <c r="AS267" s="93">
        <f t="shared" si="216"/>
        <v>0</v>
      </c>
      <c r="AT267" s="93"/>
      <c r="AU267" s="93"/>
      <c r="AV267" s="93"/>
      <c r="AW267" s="93"/>
      <c r="AX267" s="93"/>
      <c r="AY267" s="93"/>
      <c r="AZ267" s="93"/>
      <c r="BA267" s="93"/>
      <c r="BB267" s="93"/>
      <c r="BC267" s="93"/>
      <c r="BD267" s="93"/>
      <c r="BE267" s="93"/>
      <c r="BF267" s="93"/>
      <c r="BG267" s="93"/>
      <c r="BH267" s="93"/>
      <c r="BI267" s="93"/>
      <c r="BJ267" s="93"/>
      <c r="BK267" s="93"/>
      <c r="BL267" s="93"/>
      <c r="BM267" s="93"/>
      <c r="BN267" s="93"/>
      <c r="BO267" s="93"/>
      <c r="BP267" s="93"/>
      <c r="BQ267" s="93"/>
      <c r="BR267" s="93"/>
      <c r="BS267" s="93"/>
      <c r="BT267" s="93"/>
      <c r="BU267" s="93"/>
      <c r="BV267" s="93"/>
      <c r="BW267" s="93"/>
      <c r="BX267" s="93"/>
      <c r="BY267" s="93"/>
      <c r="BZ267" s="93"/>
      <c r="CA267" s="93"/>
      <c r="CB267" s="93"/>
      <c r="CC267" s="93"/>
      <c r="CD267" s="93"/>
      <c r="CE267" s="93"/>
      <c r="CF267" s="93"/>
      <c r="CG267" s="93"/>
      <c r="CH267" s="93"/>
      <c r="CI267" s="93"/>
      <c r="CJ267" s="93"/>
      <c r="CK267" s="93"/>
      <c r="CL267" s="93"/>
      <c r="CM267" s="93"/>
      <c r="CN267" s="93"/>
      <c r="CO267" s="93"/>
      <c r="CP267" s="93"/>
      <c r="CQ267" s="93"/>
      <c r="CR267" s="93"/>
      <c r="CS267" s="93"/>
      <c r="CT267" s="93"/>
      <c r="CU267" s="93"/>
      <c r="CV267" s="93"/>
      <c r="CW267" s="93"/>
      <c r="CX267" s="93"/>
    </row>
    <row r="268" spans="1:110" ht="15" customHeight="1">
      <c r="A268" s="207">
        <v>829</v>
      </c>
      <c r="B268" s="93" t="str">
        <f>VLOOKUP($A268,  'Matriz POA 2024-TRABAJO'!$A$5:$CY$9142,29,FALSE)</f>
        <v>99</v>
      </c>
      <c r="C268" s="93" t="str">
        <f>VLOOKUP($A268, 'Matriz POA 2024-TRABAJO'!$A$5:$CY$9142,11,FALSE)</f>
        <v>Corporación Ciudad Alfaro</v>
      </c>
      <c r="D268" s="93" t="str">
        <f>VLOOKUP($A268, 'Matriz POA 2024-TRABAJO'!$A$5:$CY$9142,14,FALSE)</f>
        <v>N/A</v>
      </c>
      <c r="E268" s="93" t="str">
        <f>VLOOKUP($A268, 'Matriz POA 2024-TRABAJO'!$A$5:$CY$9142,15,FALSE)</f>
        <v>N/A</v>
      </c>
      <c r="F268" s="93" t="str">
        <f>VLOOKUP($A268, 'Matriz POA 2024-TRABAJO'!$A$5:$CY$9142,18,FALSE)</f>
        <v>N/A</v>
      </c>
      <c r="G268" s="93" t="str">
        <f>VLOOKUP($A268, 'Matriz POA 2024-TRABAJO'!$A$5:$CY$9142,23,FALSE)</f>
        <v>NUEVA</v>
      </c>
      <c r="H268" s="93" t="str">
        <f>VLOOKUP($A268, 'Matriz POA 2024-TRABAJO'!$A$5:$CY$9142,24,FALSE)</f>
        <v>Pago del servicio de combustible para los vehículos de la Corporación Ciudad Alfaro de los meses, octubre, noviembre y diciembre del año 2023</v>
      </c>
      <c r="I268" s="93" t="str">
        <f>VLOOKUP($A268, 'Matriz POA 2024-TRABAJO'!$A$5:$CY$9142,20,FALSE)</f>
        <v>N/A</v>
      </c>
      <c r="J268" s="93" t="str">
        <f>VLOOKUP($A268, 'Matriz POA 2024-TRABAJO'!$A$5:$CY$9142,26,FALSE)</f>
        <v>80</v>
      </c>
      <c r="K268" s="93" t="str">
        <f>VLOOKUP($A268, 'Matriz POA 2024-TRABAJO'!$A$5:$CY$9142,27,FALSE)</f>
        <v>000</v>
      </c>
      <c r="L268" s="93" t="str">
        <f>VLOOKUP($A268, 'Matriz POA 2024-TRABAJO'!$A$5:$CY$9142,28,FALSE)</f>
        <v>002</v>
      </c>
      <c r="M268" s="93">
        <f>VLOOKUP($A268, 'Matriz POA 2024-TRABAJO'!$A$5:$CY$9142,30,FALSE)</f>
        <v>990102</v>
      </c>
      <c r="N268" s="93" t="str">
        <f>VLOOKUP($A268, 'Matriz POA 2024-TRABAJO'!$A$5:$CY$9142,31,FALSE)</f>
        <v>Obligaciones de Ejercicios Anteriores por Egresos en Servicios</v>
      </c>
      <c r="O268" s="93">
        <f>VLOOKUP($A268, 'Matriz POA 2024-TRABAJO'!$A$5:$CY$9142,45,FALSE)</f>
        <v>0</v>
      </c>
      <c r="P268" s="93">
        <f>VLOOKUP($A268, 'Matriz POA 2024-TRABAJO'!$A$5:$CY$9142,46,FALSE)</f>
        <v>0</v>
      </c>
      <c r="Q268" s="93">
        <f>VLOOKUP($A268, 'Matriz POA 2024-TRABAJO'!$A$5:$CY$9142,47,FALSE)</f>
        <v>0</v>
      </c>
      <c r="R268" s="94">
        <f t="shared" si="211"/>
        <v>1350</v>
      </c>
      <c r="S268" s="95">
        <f t="shared" si="212"/>
        <v>-1350</v>
      </c>
      <c r="T268" s="93" t="str">
        <f>VLOOKUP($A268, 'Matriz POA 2024-TRABAJO'!$A$5:$CY$9142,72,FALSE)</f>
        <v/>
      </c>
      <c r="U268" s="93" t="str">
        <f>VLOOKUP($A268, 'Matriz POA 2024-TRABAJO'!$A$5:$CY$9142,29,FALSE)</f>
        <v>99</v>
      </c>
      <c r="V268" s="93" t="str">
        <f t="shared" si="213"/>
        <v/>
      </c>
      <c r="W268" s="97" t="s">
        <v>1940</v>
      </c>
      <c r="X268" s="109">
        <v>45422</v>
      </c>
      <c r="Y268" s="99" t="s">
        <v>1941</v>
      </c>
      <c r="Z268" s="109">
        <v>45422</v>
      </c>
      <c r="AA268" s="93">
        <v>1350</v>
      </c>
      <c r="AB268" s="93"/>
      <c r="AC268" s="93">
        <f t="shared" si="214"/>
        <v>0</v>
      </c>
      <c r="AD268" s="93"/>
      <c r="AE268" s="93"/>
      <c r="AF268" s="93"/>
      <c r="AG268" s="93"/>
      <c r="AH268" s="93"/>
      <c r="AI268" s="93"/>
      <c r="AJ268" s="93"/>
      <c r="AK268" s="93">
        <f t="shared" si="215"/>
        <v>0</v>
      </c>
      <c r="AL268" s="93"/>
      <c r="AM268" s="93"/>
      <c r="AN268" s="93"/>
      <c r="AO268" s="93"/>
      <c r="AP268" s="93"/>
      <c r="AQ268" s="93"/>
      <c r="AR268" s="93"/>
      <c r="AS268" s="93">
        <f t="shared" si="216"/>
        <v>0</v>
      </c>
      <c r="AT268" s="93"/>
      <c r="AU268" s="93"/>
      <c r="AV268" s="93"/>
      <c r="AW268" s="93"/>
      <c r="AX268" s="93"/>
      <c r="AY268" s="93"/>
      <c r="AZ268" s="93"/>
      <c r="BA268" s="93"/>
      <c r="BB268" s="93"/>
      <c r="BC268" s="93"/>
      <c r="BD268" s="93"/>
      <c r="BE268" s="93"/>
      <c r="BF268" s="93"/>
      <c r="BG268" s="93"/>
      <c r="BH268" s="93"/>
      <c r="BI268" s="93"/>
      <c r="BJ268" s="93"/>
      <c r="BK268" s="93"/>
      <c r="BL268" s="93"/>
      <c r="BM268" s="93"/>
      <c r="BN268" s="93"/>
      <c r="BO268" s="93"/>
      <c r="BP268" s="93"/>
      <c r="BQ268" s="93"/>
      <c r="BR268" s="93"/>
      <c r="BS268" s="93"/>
      <c r="BT268" s="93"/>
      <c r="BU268" s="93"/>
      <c r="BV268" s="93"/>
      <c r="BW268" s="93"/>
      <c r="BX268" s="93"/>
      <c r="BY268" s="93"/>
      <c r="BZ268" s="93"/>
      <c r="CA268" s="93"/>
      <c r="CB268" s="93"/>
      <c r="CC268" s="93"/>
      <c r="CD268" s="93"/>
      <c r="CE268" s="93"/>
      <c r="CF268" s="93"/>
      <c r="CG268" s="93"/>
      <c r="CH268" s="93"/>
      <c r="CI268" s="93"/>
      <c r="CJ268" s="93"/>
      <c r="CK268" s="93"/>
      <c r="CL268" s="93"/>
      <c r="CM268" s="93"/>
      <c r="CN268" s="93"/>
      <c r="CO268" s="93"/>
      <c r="CP268" s="93"/>
      <c r="CQ268" s="93"/>
      <c r="CR268" s="93"/>
      <c r="CS268" s="93"/>
      <c r="CT268" s="93"/>
      <c r="CU268" s="93"/>
      <c r="CV268" s="93"/>
      <c r="CW268" s="93"/>
      <c r="CX268" s="93"/>
    </row>
    <row r="269" spans="1:110" ht="15" customHeight="1">
      <c r="A269" s="207">
        <v>818</v>
      </c>
      <c r="B269" s="93" t="str">
        <f>VLOOKUP($A269,  'Matriz POA 2024-TRABAJO'!$A$5:$CY$9142,29,FALSE)</f>
        <v>53</v>
      </c>
      <c r="C269" s="93" t="str">
        <f>VLOOKUP($A269, 'Matriz POA 2024-TRABAJO'!$A$5:$CY$9142,11,FALSE)</f>
        <v>Corporación Ciudad Alfaro</v>
      </c>
      <c r="D269" s="93" t="str">
        <f>VLOOKUP($A269, 'Matriz POA 2024-TRABAJO'!$A$5:$CY$9142,14,FALSE)</f>
        <v>N/A</v>
      </c>
      <c r="E269" s="93" t="str">
        <f>VLOOKUP($A269, 'Matriz POA 2024-TRABAJO'!$A$5:$CY$9142,15,FALSE)</f>
        <v>N/A</v>
      </c>
      <c r="F269" s="93" t="str">
        <f>VLOOKUP($A269, 'Matriz POA 2024-TRABAJO'!$A$5:$CY$9142,18,FALSE)</f>
        <v>N/A</v>
      </c>
      <c r="G269" s="93" t="str">
        <f>VLOOKUP($A269, 'Matriz POA 2024-TRABAJO'!$A$5:$CY$9142,23,FALSE)</f>
        <v>NUEVA</v>
      </c>
      <c r="H269" s="93" t="str">
        <f>VLOOKUP($A269, 'Matriz POA 2024-TRABAJO'!$A$5:$CY$9142,24,FALSE)</f>
        <v>Servicio de organización, producción y ejecución de los eventos enmarcados en el calendario patrimonial, cultural e histórico, para la difusión y fortalecimiento de la memoria social del Museo Nuclear Corporación Ciudad Alfaro, y sus sedes en Portoviejo, Manta y Bahía de Caráquez.</v>
      </c>
      <c r="I269" s="93" t="str">
        <f>VLOOKUP($A269, 'Matriz POA 2024-TRABAJO'!$A$5:$CY$9142,20,FALSE)</f>
        <v>N/A</v>
      </c>
      <c r="J269" s="93" t="str">
        <f>VLOOKUP($A269, 'Matriz POA 2024-TRABAJO'!$A$5:$CY$9142,26,FALSE)</f>
        <v>80</v>
      </c>
      <c r="K269" s="93" t="str">
        <f>VLOOKUP($A269, 'Matriz POA 2024-TRABAJO'!$A$5:$CY$9142,27,FALSE)</f>
        <v>000</v>
      </c>
      <c r="L269" s="93" t="str">
        <f>VLOOKUP($A269, 'Matriz POA 2024-TRABAJO'!$A$5:$CY$9142,28,FALSE)</f>
        <v>002</v>
      </c>
      <c r="M269" s="93">
        <f>VLOOKUP($A269, 'Matriz POA 2024-TRABAJO'!$A$5:$CY$9142,30,FALSE)</f>
        <v>530205</v>
      </c>
      <c r="N269" s="93" t="str">
        <f>VLOOKUP($A269, 'Matriz POA 2024-TRABAJO'!$A$5:$CY$9142,31,FALSE)</f>
        <v>Espectáculos Culturales y Sociales</v>
      </c>
      <c r="O269" s="93">
        <f>VLOOKUP($A269, 'Matriz POA 2024-TRABAJO'!$A$5:$CY$9142,45,FALSE)</f>
        <v>5991.5</v>
      </c>
      <c r="P269" s="93">
        <f>VLOOKUP($A269, 'Matriz POA 2024-TRABAJO'!$A$5:$CY$9142,46,FALSE)</f>
        <v>0</v>
      </c>
      <c r="Q269" s="93">
        <f>VLOOKUP($A269, 'Matriz POA 2024-TRABAJO'!$A$5:$CY$9142,47,FALSE)</f>
        <v>5991.5</v>
      </c>
      <c r="R269" s="94">
        <f t="shared" si="211"/>
        <v>5000</v>
      </c>
      <c r="S269" s="95">
        <f t="shared" si="212"/>
        <v>991.5</v>
      </c>
      <c r="T269" s="93">
        <f>VLOOKUP($A269, 'Matriz POA 2024-TRABAJO'!$A$5:$CY$9142,72,FALSE)</f>
        <v>5990</v>
      </c>
      <c r="U269" s="93" t="str">
        <f>VLOOKUP($A269, 'Matriz POA 2024-TRABAJO'!$A$5:$CY$9142,29,FALSE)</f>
        <v>53</v>
      </c>
      <c r="V269" s="93" t="str">
        <f t="shared" si="213"/>
        <v/>
      </c>
      <c r="W269" s="97" t="s">
        <v>1934</v>
      </c>
      <c r="X269" s="109">
        <v>45422</v>
      </c>
      <c r="Y269" s="99" t="s">
        <v>1935</v>
      </c>
      <c r="Z269" s="109">
        <v>45422</v>
      </c>
      <c r="AA269" s="93">
        <v>5000</v>
      </c>
      <c r="AB269" s="93"/>
      <c r="AC269" s="93">
        <f t="shared" si="214"/>
        <v>0</v>
      </c>
      <c r="AD269" s="93"/>
      <c r="AE269" s="93"/>
      <c r="AF269" s="93"/>
      <c r="AG269" s="93"/>
      <c r="AH269" s="93"/>
      <c r="AI269" s="93"/>
      <c r="AJ269" s="93"/>
      <c r="AK269" s="93">
        <f t="shared" si="215"/>
        <v>0</v>
      </c>
      <c r="AL269" s="93"/>
      <c r="AM269" s="93"/>
      <c r="AN269" s="93"/>
      <c r="AO269" s="93"/>
      <c r="AP269" s="93"/>
      <c r="AQ269" s="93"/>
      <c r="AR269" s="93"/>
      <c r="AS269" s="93">
        <f t="shared" si="216"/>
        <v>0</v>
      </c>
      <c r="AT269" s="93"/>
      <c r="AU269" s="93"/>
      <c r="AV269" s="93"/>
      <c r="AW269" s="93"/>
      <c r="AX269" s="93"/>
      <c r="AY269" s="93"/>
      <c r="AZ269" s="93"/>
      <c r="BA269" s="93"/>
      <c r="BB269" s="93"/>
      <c r="BC269" s="93"/>
      <c r="BD269" s="93"/>
      <c r="BE269" s="93"/>
      <c r="BF269" s="93"/>
      <c r="BG269" s="93"/>
      <c r="BH269" s="93"/>
      <c r="BI269" s="93"/>
      <c r="BJ269" s="93"/>
      <c r="BK269" s="93"/>
      <c r="BL269" s="93"/>
      <c r="BM269" s="93"/>
      <c r="BN269" s="93"/>
      <c r="BO269" s="93"/>
      <c r="BP269" s="93"/>
      <c r="BQ269" s="93"/>
      <c r="BR269" s="93"/>
      <c r="BS269" s="93"/>
      <c r="BT269" s="93"/>
      <c r="BU269" s="93"/>
      <c r="BV269" s="93"/>
      <c r="BW269" s="93"/>
      <c r="BX269" s="93"/>
      <c r="BY269" s="93"/>
      <c r="BZ269" s="93"/>
      <c r="CA269" s="93"/>
      <c r="CB269" s="93"/>
      <c r="CC269" s="93"/>
      <c r="CD269" s="93"/>
      <c r="CE269" s="93"/>
      <c r="CF269" s="93"/>
      <c r="CG269" s="93"/>
      <c r="CH269" s="93"/>
      <c r="CI269" s="93"/>
      <c r="CJ269" s="93"/>
      <c r="CK269" s="93"/>
      <c r="CL269" s="93"/>
      <c r="CM269" s="93"/>
      <c r="CN269" s="93"/>
      <c r="CO269" s="93"/>
      <c r="CP269" s="93"/>
      <c r="CQ269" s="93"/>
      <c r="CR269" s="93"/>
      <c r="CS269" s="93"/>
      <c r="CT269" s="93"/>
      <c r="CU269" s="93"/>
      <c r="CV269" s="93"/>
      <c r="CW269" s="93"/>
      <c r="CX269" s="93"/>
    </row>
    <row r="270" spans="1:110" ht="15" customHeight="1">
      <c r="A270" s="207">
        <v>818</v>
      </c>
      <c r="B270" s="93" t="str">
        <f>VLOOKUP($A270,  'Matriz POA 2024-TRABAJO'!$A$5:$CY$9142,29,FALSE)</f>
        <v>53</v>
      </c>
      <c r="C270" s="93" t="str">
        <f>VLOOKUP($A270, 'Matriz POA 2024-TRABAJO'!$A$5:$CY$9142,11,FALSE)</f>
        <v>Corporación Ciudad Alfaro</v>
      </c>
      <c r="D270" s="93" t="str">
        <f>VLOOKUP($A270, 'Matriz POA 2024-TRABAJO'!$A$5:$CY$9142,14,FALSE)</f>
        <v>N/A</v>
      </c>
      <c r="E270" s="93" t="str">
        <f>VLOOKUP($A270, 'Matriz POA 2024-TRABAJO'!$A$5:$CY$9142,15,FALSE)</f>
        <v>N/A</v>
      </c>
      <c r="F270" s="93" t="str">
        <f>VLOOKUP($A270, 'Matriz POA 2024-TRABAJO'!$A$5:$CY$9142,18,FALSE)</f>
        <v>N/A</v>
      </c>
      <c r="G270" s="93" t="str">
        <f>VLOOKUP($A270, 'Matriz POA 2024-TRABAJO'!$A$5:$CY$9142,23,FALSE)</f>
        <v>NUEVA</v>
      </c>
      <c r="H270" s="93" t="str">
        <f>VLOOKUP($A270, 'Matriz POA 2024-TRABAJO'!$A$5:$CY$9142,24,FALSE)</f>
        <v>Servicio de organización, producción y ejecución de los eventos enmarcados en el calendario patrimonial, cultural e histórico, para la difusión y fortalecimiento de la memoria social del Museo Nuclear Corporación Ciudad Alfaro, y sus sedes en Portoviejo, Manta y Bahía de Caráquez.</v>
      </c>
      <c r="I270" s="93" t="str">
        <f>VLOOKUP($A270, 'Matriz POA 2024-TRABAJO'!$A$5:$CY$9142,20,FALSE)</f>
        <v>N/A</v>
      </c>
      <c r="J270" s="93" t="str">
        <f>VLOOKUP($A270, 'Matriz POA 2024-TRABAJO'!$A$5:$CY$9142,26,FALSE)</f>
        <v>80</v>
      </c>
      <c r="K270" s="93" t="str">
        <f>VLOOKUP($A270, 'Matriz POA 2024-TRABAJO'!$A$5:$CY$9142,27,FALSE)</f>
        <v>000</v>
      </c>
      <c r="L270" s="93" t="str">
        <f>VLOOKUP($A270, 'Matriz POA 2024-TRABAJO'!$A$5:$CY$9142,28,FALSE)</f>
        <v>002</v>
      </c>
      <c r="M270" s="93">
        <f>VLOOKUP($A270, 'Matriz POA 2024-TRABAJO'!$A$5:$CY$9142,30,FALSE)</f>
        <v>530205</v>
      </c>
      <c r="N270" s="93" t="str">
        <f>VLOOKUP($A270, 'Matriz POA 2024-TRABAJO'!$A$5:$CY$9142,31,FALSE)</f>
        <v>Espectáculos Culturales y Sociales</v>
      </c>
      <c r="O270" s="93">
        <f>VLOOKUP($A270, 'Matriz POA 2024-TRABAJO'!$A$5:$CY$9142,45,FALSE)</f>
        <v>5991.5</v>
      </c>
      <c r="P270" s="93">
        <f>VLOOKUP($A270, 'Matriz POA 2024-TRABAJO'!$A$5:$CY$9142,46,FALSE)</f>
        <v>0</v>
      </c>
      <c r="Q270" s="93">
        <f>VLOOKUP($A270, 'Matriz POA 2024-TRABAJO'!$A$5:$CY$9142,47,FALSE)</f>
        <v>5991.5</v>
      </c>
      <c r="R270" s="94">
        <f t="shared" si="211"/>
        <v>5991.5</v>
      </c>
      <c r="S270" s="95">
        <f t="shared" si="212"/>
        <v>0</v>
      </c>
      <c r="T270" s="93">
        <f>VLOOKUP($A270, 'Matriz POA 2024-TRABAJO'!$A$5:$CY$9142,72,FALSE)</f>
        <v>5990</v>
      </c>
      <c r="U270" s="93" t="str">
        <f>VLOOKUP($A270, 'Matriz POA 2024-TRABAJO'!$A$5:$CY$9142,29,FALSE)</f>
        <v>53</v>
      </c>
      <c r="V270" s="93" t="str">
        <f t="shared" si="213"/>
        <v/>
      </c>
      <c r="W270" s="97" t="s">
        <v>1932</v>
      </c>
      <c r="X270" s="109">
        <v>45439</v>
      </c>
      <c r="Y270" s="99" t="s">
        <v>1933</v>
      </c>
      <c r="Z270" s="109">
        <v>45439</v>
      </c>
      <c r="AA270" s="93">
        <v>5991.5</v>
      </c>
      <c r="AB270" s="93"/>
      <c r="AC270" s="93">
        <f t="shared" si="214"/>
        <v>0</v>
      </c>
      <c r="AD270" s="93"/>
      <c r="AE270" s="93"/>
      <c r="AF270" s="93"/>
      <c r="AG270" s="93"/>
      <c r="AH270" s="93"/>
      <c r="AI270" s="93"/>
      <c r="AJ270" s="93"/>
      <c r="AK270" s="93">
        <f t="shared" si="215"/>
        <v>0</v>
      </c>
      <c r="AL270" s="93"/>
      <c r="AM270" s="93"/>
      <c r="AN270" s="93"/>
      <c r="AO270" s="93"/>
      <c r="AP270" s="93"/>
      <c r="AQ270" s="93"/>
      <c r="AR270" s="93"/>
      <c r="AS270" s="93">
        <f t="shared" si="216"/>
        <v>0</v>
      </c>
      <c r="AT270" s="93"/>
      <c r="AU270" s="93"/>
      <c r="AV270" s="93"/>
      <c r="AW270" s="93"/>
      <c r="AX270" s="93"/>
      <c r="AY270" s="93"/>
      <c r="AZ270" s="93"/>
      <c r="BA270" s="93"/>
      <c r="BB270" s="93"/>
      <c r="BC270" s="93"/>
      <c r="BD270" s="93"/>
      <c r="BE270" s="93"/>
      <c r="BF270" s="93"/>
      <c r="BG270" s="93"/>
      <c r="BH270" s="93"/>
      <c r="BI270" s="93"/>
      <c r="BJ270" s="93"/>
      <c r="BK270" s="93"/>
      <c r="BL270" s="93"/>
      <c r="BM270" s="93"/>
      <c r="BN270" s="93"/>
      <c r="BO270" s="93"/>
      <c r="BP270" s="93"/>
      <c r="BQ270" s="93"/>
      <c r="BR270" s="93"/>
      <c r="BS270" s="93"/>
      <c r="BT270" s="93"/>
      <c r="BU270" s="93"/>
      <c r="BV270" s="93"/>
      <c r="BW270" s="93"/>
      <c r="BX270" s="93"/>
      <c r="BY270" s="93"/>
      <c r="BZ270" s="93"/>
      <c r="CA270" s="93"/>
      <c r="CB270" s="93"/>
      <c r="CC270" s="93"/>
      <c r="CD270" s="93"/>
      <c r="CE270" s="93"/>
      <c r="CF270" s="93"/>
      <c r="CG270" s="93"/>
      <c r="CH270" s="93"/>
      <c r="CI270" s="93"/>
      <c r="CJ270" s="93"/>
      <c r="CK270" s="93"/>
      <c r="CL270" s="93"/>
      <c r="CM270" s="93"/>
      <c r="CN270" s="93"/>
      <c r="CO270" s="93"/>
      <c r="CP270" s="93"/>
      <c r="CQ270" s="93"/>
      <c r="CR270" s="93"/>
      <c r="CS270" s="93"/>
      <c r="CT270" s="93"/>
      <c r="CU270" s="93"/>
      <c r="CV270" s="93"/>
      <c r="CW270" s="93"/>
      <c r="CX270" s="93"/>
    </row>
    <row r="271" spans="1:110" ht="15" customHeight="1">
      <c r="A271" s="207">
        <v>872</v>
      </c>
      <c r="B271" s="93" t="str">
        <f>VLOOKUP($A271,  'Matriz POA 2024-TRABAJO'!$A$5:$CY$9142,29,FALSE)</f>
        <v>53</v>
      </c>
      <c r="C271" s="93" t="str">
        <f>VLOOKUP($A271, 'Matriz POA 2024-TRABAJO'!$A$5:$CY$9142,11,FALSE)</f>
        <v>Corporación Ciudad Alfaro</v>
      </c>
      <c r="D271" s="93" t="str">
        <f>VLOOKUP($A271, 'Matriz POA 2024-TRABAJO'!$A$5:$CY$9142,14,FALSE)</f>
        <v>N/A</v>
      </c>
      <c r="E271" s="93" t="str">
        <f>VLOOKUP($A271, 'Matriz POA 2024-TRABAJO'!$A$5:$CY$9142,15,FALSE)</f>
        <v>N/A</v>
      </c>
      <c r="F271" s="93" t="str">
        <f>VLOOKUP($A271, 'Matriz POA 2024-TRABAJO'!$A$5:$CY$9142,18,FALSE)</f>
        <v>N/A</v>
      </c>
      <c r="G271" s="93" t="str">
        <f>VLOOKUP($A271, 'Matriz POA 2024-TRABAJO'!$A$5:$CY$9142,23,FALSE)</f>
        <v>NUEVA</v>
      </c>
      <c r="H271" s="93" t="str">
        <f>VLOOKUP($A271, 'Matriz POA 2024-TRABAJO'!$A$5:$CY$9142,24,FALSE)</f>
        <v xml:space="preserve">Regularización del IVA - año 2023, para conciliación de saldos contables y administrativos </v>
      </c>
      <c r="I271" s="93" t="str">
        <f>VLOOKUP($A271, 'Matriz POA 2024-TRABAJO'!$A$5:$CY$9142,20,FALSE)</f>
        <v>N/A</v>
      </c>
      <c r="J271" s="93" t="str">
        <f>VLOOKUP($A271, 'Matriz POA 2024-TRABAJO'!$A$5:$CY$9142,26,FALSE)</f>
        <v>80</v>
      </c>
      <c r="K271" s="93" t="str">
        <f>VLOOKUP($A271, 'Matriz POA 2024-TRABAJO'!$A$5:$CY$9142,27,FALSE)</f>
        <v>000</v>
      </c>
      <c r="L271" s="93" t="str">
        <f>VLOOKUP($A271, 'Matriz POA 2024-TRABAJO'!$A$5:$CY$9142,28,FALSE)</f>
        <v>002</v>
      </c>
      <c r="M271" s="93">
        <f>VLOOKUP($A271, 'Matriz POA 2024-TRABAJO'!$A$5:$CY$9142,30,FALSE)</f>
        <v>530813</v>
      </c>
      <c r="N271" s="93" t="str">
        <f>VLOOKUP($A271, 'Matriz POA 2024-TRABAJO'!$A$5:$CY$9142,31,FALSE)</f>
        <v>Repuestos y Accesorios</v>
      </c>
      <c r="O271" s="93">
        <f>VLOOKUP($A271, 'Matriz POA 2024-TRABAJO'!$A$5:$CY$9142,45,FALSE)</f>
        <v>114.04</v>
      </c>
      <c r="P271" s="93">
        <f>VLOOKUP($A271, 'Matriz POA 2024-TRABAJO'!$A$5:$CY$9142,46,FALSE)</f>
        <v>0</v>
      </c>
      <c r="Q271" s="93">
        <f>VLOOKUP($A271, 'Matriz POA 2024-TRABAJO'!$A$5:$CY$9142,47,FALSE)</f>
        <v>114.04</v>
      </c>
      <c r="R271" s="94">
        <f t="shared" si="211"/>
        <v>115</v>
      </c>
      <c r="S271" s="95">
        <f t="shared" si="212"/>
        <v>-0.95999999999999375</v>
      </c>
      <c r="T271" s="93">
        <f>VLOOKUP($A271, 'Matriz POA 2024-TRABAJO'!$A$5:$CY$9142,72,FALSE)</f>
        <v>114.04</v>
      </c>
      <c r="U271" s="93" t="str">
        <f>VLOOKUP($A271, 'Matriz POA 2024-TRABAJO'!$A$5:$CY$9142,29,FALSE)</f>
        <v>53</v>
      </c>
      <c r="V271" s="93" t="str">
        <f t="shared" si="213"/>
        <v/>
      </c>
      <c r="W271" s="97" t="s">
        <v>1942</v>
      </c>
      <c r="X271" s="109">
        <v>45439</v>
      </c>
      <c r="Y271" s="99" t="s">
        <v>1943</v>
      </c>
      <c r="Z271" s="109">
        <v>45439</v>
      </c>
      <c r="AA271" s="93">
        <v>115</v>
      </c>
      <c r="AB271" s="93"/>
      <c r="AC271" s="93">
        <f t="shared" si="214"/>
        <v>0</v>
      </c>
      <c r="AD271" s="93"/>
      <c r="AE271" s="93"/>
      <c r="AF271" s="93"/>
      <c r="AG271" s="93"/>
      <c r="AH271" s="93"/>
      <c r="AI271" s="93"/>
      <c r="AJ271" s="93"/>
      <c r="AK271" s="93">
        <f t="shared" si="215"/>
        <v>0</v>
      </c>
      <c r="AL271" s="93"/>
      <c r="AM271" s="93"/>
      <c r="AN271" s="93"/>
      <c r="AO271" s="93"/>
      <c r="AP271" s="93"/>
      <c r="AQ271" s="93"/>
      <c r="AR271" s="93"/>
      <c r="AS271" s="93">
        <f t="shared" si="216"/>
        <v>0</v>
      </c>
      <c r="AT271" s="93"/>
      <c r="AU271" s="93"/>
      <c r="AV271" s="93"/>
      <c r="AW271" s="93"/>
      <c r="AX271" s="93"/>
      <c r="AY271" s="93"/>
      <c r="AZ271" s="93"/>
      <c r="BA271" s="93"/>
      <c r="BB271" s="93"/>
      <c r="BC271" s="93"/>
      <c r="BD271" s="93"/>
      <c r="BE271" s="93"/>
      <c r="BF271" s="93"/>
      <c r="BG271" s="93"/>
      <c r="BH271" s="93"/>
      <c r="BI271" s="93"/>
      <c r="BJ271" s="93"/>
      <c r="BK271" s="93"/>
      <c r="BL271" s="93"/>
      <c r="BM271" s="93"/>
      <c r="BN271" s="93"/>
      <c r="BO271" s="93"/>
      <c r="BP271" s="93"/>
      <c r="BQ271" s="93"/>
      <c r="BR271" s="93"/>
      <c r="BS271" s="93"/>
      <c r="BT271" s="93"/>
      <c r="BU271" s="93"/>
      <c r="BV271" s="93"/>
      <c r="BW271" s="93"/>
      <c r="BX271" s="93"/>
      <c r="BY271" s="93"/>
      <c r="BZ271" s="93"/>
      <c r="CA271" s="93"/>
      <c r="CB271" s="93"/>
      <c r="CC271" s="93"/>
      <c r="CD271" s="93"/>
      <c r="CE271" s="93"/>
      <c r="CF271" s="93"/>
      <c r="CG271" s="93"/>
      <c r="CH271" s="93"/>
      <c r="CI271" s="93"/>
      <c r="CJ271" s="93"/>
      <c r="CK271" s="93"/>
      <c r="CL271" s="93"/>
      <c r="CM271" s="93"/>
      <c r="CN271" s="93"/>
      <c r="CO271" s="93"/>
      <c r="CP271" s="93"/>
      <c r="CQ271" s="93"/>
      <c r="CR271" s="93"/>
      <c r="CS271" s="93"/>
      <c r="CT271" s="93"/>
      <c r="CU271" s="93"/>
      <c r="CV271" s="93"/>
      <c r="CW271" s="93"/>
      <c r="CX271" s="93"/>
    </row>
    <row r="272" spans="1:110" ht="15" customHeight="1">
      <c r="A272" s="207">
        <v>870</v>
      </c>
      <c r="B272" s="93" t="str">
        <f>VLOOKUP($A272,  'Matriz POA 2024-TRABAJO'!$A$5:$CY$9142,29,FALSE)</f>
        <v>53</v>
      </c>
      <c r="C272" s="93" t="str">
        <f>VLOOKUP($A272, 'Matriz POA 2024-TRABAJO'!$A$5:$CY$9142,11,FALSE)</f>
        <v>Corporación Ciudad Alfaro</v>
      </c>
      <c r="D272" s="93" t="str">
        <f>VLOOKUP($A272, 'Matriz POA 2024-TRABAJO'!$A$5:$CY$9142,14,FALSE)</f>
        <v>N/A</v>
      </c>
      <c r="E272" s="93" t="str">
        <f>VLOOKUP($A272, 'Matriz POA 2024-TRABAJO'!$A$5:$CY$9142,15,FALSE)</f>
        <v>N/A</v>
      </c>
      <c r="F272" s="93" t="str">
        <f>VLOOKUP($A272, 'Matriz POA 2024-TRABAJO'!$A$5:$CY$9142,18,FALSE)</f>
        <v>N/A</v>
      </c>
      <c r="G272" s="93" t="str">
        <f>VLOOKUP($A272, 'Matriz POA 2024-TRABAJO'!$A$5:$CY$9142,23,FALSE)</f>
        <v>NUEVA</v>
      </c>
      <c r="H272" s="93" t="str">
        <f>VLOOKUP($A272, 'Matriz POA 2024-TRABAJO'!$A$5:$CY$9142,24,FALSE)</f>
        <v>Contratación del servicio de mantenimiento preventivo y correctivo del sistema de climatización del piso 5 en el museo intermedio Manta, sede de la Corporación Ciudad Alfaro</v>
      </c>
      <c r="I272" s="93" t="str">
        <f>VLOOKUP($A272, 'Matriz POA 2024-TRABAJO'!$A$5:$CY$9142,20,FALSE)</f>
        <v>N/A</v>
      </c>
      <c r="J272" s="93" t="str">
        <f>VLOOKUP($A272, 'Matriz POA 2024-TRABAJO'!$A$5:$CY$9142,26,FALSE)</f>
        <v>80</v>
      </c>
      <c r="K272" s="93" t="str">
        <f>VLOOKUP($A272, 'Matriz POA 2024-TRABAJO'!$A$5:$CY$9142,27,FALSE)</f>
        <v>000</v>
      </c>
      <c r="L272" s="93" t="str">
        <f>VLOOKUP($A272, 'Matriz POA 2024-TRABAJO'!$A$5:$CY$9142,28,FALSE)</f>
        <v>002</v>
      </c>
      <c r="M272" s="93">
        <f>VLOOKUP($A272, 'Matriz POA 2024-TRABAJO'!$A$5:$CY$9142,30,FALSE)</f>
        <v>530404</v>
      </c>
      <c r="N272" s="93" t="str">
        <f>VLOOKUP($A272, 'Matriz POA 2024-TRABAJO'!$A$5:$CY$9142,31,FALSE)</f>
        <v>Maquinarias y Equipos (Instalación, Mantenimiento y Reparación)</v>
      </c>
      <c r="O272" s="93">
        <f>VLOOKUP($A272, 'Matriz POA 2024-TRABAJO'!$A$5:$CY$9142,45,FALSE)</f>
        <v>4875</v>
      </c>
      <c r="P272" s="93">
        <f>VLOOKUP($A272, 'Matriz POA 2024-TRABAJO'!$A$5:$CY$9142,46,FALSE)</f>
        <v>0</v>
      </c>
      <c r="Q272" s="93">
        <f>VLOOKUP($A272, 'Matriz POA 2024-TRABAJO'!$A$5:$CY$9142,47,FALSE)</f>
        <v>4875</v>
      </c>
      <c r="R272" s="94">
        <f t="shared" si="205"/>
        <v>4988.8999999999996</v>
      </c>
      <c r="S272" s="95">
        <f t="shared" si="206"/>
        <v>-113.89999999999964</v>
      </c>
      <c r="T272" s="93">
        <f>VLOOKUP($A272, 'Matriz POA 2024-TRABAJO'!$A$5:$CY$9142,72,FALSE)</f>
        <v>4875</v>
      </c>
      <c r="U272" s="93" t="str">
        <f>VLOOKUP($A272, 'Matriz POA 2024-TRABAJO'!$A$5:$CY$9142,29,FALSE)</f>
        <v>53</v>
      </c>
      <c r="V272" s="93" t="str">
        <f t="shared" si="207"/>
        <v/>
      </c>
      <c r="W272" s="97" t="s">
        <v>1924</v>
      </c>
      <c r="X272" s="109">
        <v>45443</v>
      </c>
      <c r="Y272" s="99" t="s">
        <v>1925</v>
      </c>
      <c r="Z272" s="109">
        <v>45443</v>
      </c>
      <c r="AA272" s="93">
        <v>4988.8999999999996</v>
      </c>
      <c r="AB272" s="93"/>
      <c r="AC272" s="93">
        <f t="shared" si="208"/>
        <v>0</v>
      </c>
      <c r="AD272" s="93"/>
      <c r="AE272" s="93"/>
      <c r="AF272" s="93"/>
      <c r="AG272" s="93"/>
      <c r="AH272" s="93"/>
      <c r="AI272" s="93"/>
      <c r="AJ272" s="93"/>
      <c r="AK272" s="93">
        <f t="shared" si="209"/>
        <v>0</v>
      </c>
      <c r="AL272" s="93"/>
      <c r="AM272" s="93"/>
      <c r="AN272" s="93"/>
      <c r="AO272" s="93"/>
      <c r="AP272" s="93"/>
      <c r="AQ272" s="93"/>
      <c r="AR272" s="93"/>
      <c r="AS272" s="93">
        <f t="shared" si="210"/>
        <v>0</v>
      </c>
      <c r="AT272" s="93"/>
      <c r="AU272" s="93"/>
      <c r="AV272" s="93"/>
      <c r="AW272" s="93"/>
      <c r="AX272" s="93"/>
      <c r="AY272" s="93"/>
      <c r="AZ272" s="93"/>
      <c r="BA272" s="93"/>
      <c r="BB272" s="93"/>
      <c r="BC272" s="93"/>
      <c r="BD272" s="93"/>
      <c r="BE272" s="93"/>
      <c r="BF272" s="93"/>
      <c r="BG272" s="93"/>
      <c r="BH272" s="93"/>
      <c r="BI272" s="93"/>
      <c r="BJ272" s="93"/>
      <c r="BK272" s="93"/>
      <c r="BL272" s="93"/>
      <c r="BM272" s="93"/>
      <c r="BN272" s="93"/>
      <c r="BO272" s="93"/>
      <c r="BP272" s="93"/>
      <c r="BQ272" s="93"/>
      <c r="BR272" s="93"/>
      <c r="BS272" s="93"/>
      <c r="BT272" s="93"/>
      <c r="BU272" s="93"/>
      <c r="BV272" s="93"/>
      <c r="BW272" s="93"/>
      <c r="BX272" s="93"/>
      <c r="BY272" s="93"/>
      <c r="BZ272" s="93"/>
      <c r="CA272" s="93"/>
      <c r="CB272" s="93"/>
      <c r="CC272" s="93"/>
      <c r="CD272" s="93"/>
      <c r="CE272" s="93"/>
      <c r="CF272" s="93"/>
      <c r="CG272" s="93"/>
      <c r="CH272" s="93"/>
      <c r="CI272" s="93"/>
      <c r="CJ272" s="93"/>
      <c r="CK272" s="93"/>
      <c r="CL272" s="93"/>
      <c r="CM272" s="93"/>
      <c r="CN272" s="93"/>
      <c r="CO272" s="93"/>
      <c r="CP272" s="93"/>
      <c r="CQ272" s="93"/>
      <c r="CR272" s="93"/>
      <c r="CS272" s="93"/>
      <c r="CT272" s="93"/>
      <c r="CU272" s="93"/>
      <c r="CV272" s="93"/>
      <c r="CW272" s="93"/>
      <c r="CX272" s="93"/>
    </row>
    <row r="273" spans="1:102" ht="15" customHeight="1">
      <c r="A273" s="207">
        <v>816</v>
      </c>
      <c r="B273" s="93" t="str">
        <f>VLOOKUP($A273,  'Matriz POA 2024-TRABAJO'!$A$5:$CY$9142,29,FALSE)</f>
        <v>53</v>
      </c>
      <c r="C273" s="93" t="str">
        <f>VLOOKUP($A273, 'Matriz POA 2024-TRABAJO'!$A$5:$CY$9142,11,FALSE)</f>
        <v>Corporación Ciudad Alfaro</v>
      </c>
      <c r="D273" s="93" t="str">
        <f>VLOOKUP($A273, 'Matriz POA 2024-TRABAJO'!$A$5:$CY$9142,14,FALSE)</f>
        <v>N/A</v>
      </c>
      <c r="E273" s="93" t="str">
        <f>VLOOKUP($A273, 'Matriz POA 2024-TRABAJO'!$A$5:$CY$9142,15,FALSE)</f>
        <v>N/A</v>
      </c>
      <c r="F273" s="93" t="str">
        <f>VLOOKUP($A273, 'Matriz POA 2024-TRABAJO'!$A$5:$CY$9142,18,FALSE)</f>
        <v>N/A</v>
      </c>
      <c r="G273" s="93" t="str">
        <f>VLOOKUP($A273, 'Matriz POA 2024-TRABAJO'!$A$5:$CY$9142,23,FALSE)</f>
        <v>NUEVA</v>
      </c>
      <c r="H273" s="93" t="str">
        <f>VLOOKUP($A273, 'Matriz POA 2024-TRABAJO'!$A$5:$CY$9142,24,FALSE)</f>
        <v>Contratación del servicio de mantenimiento preventivo y correctivo de bombas sumergibles y bombas de agua potable en el Museo Centro Cultural Manta,  sede de la Corporación Ciudad Alfaro</v>
      </c>
      <c r="I273" s="93" t="str">
        <f>VLOOKUP($A273, 'Matriz POA 2024-TRABAJO'!$A$5:$CY$9142,20,FALSE)</f>
        <v>N/A</v>
      </c>
      <c r="J273" s="93" t="str">
        <f>VLOOKUP($A273, 'Matriz POA 2024-TRABAJO'!$A$5:$CY$9142,26,FALSE)</f>
        <v>80</v>
      </c>
      <c r="K273" s="93" t="str">
        <f>VLOOKUP($A273, 'Matriz POA 2024-TRABAJO'!$A$5:$CY$9142,27,FALSE)</f>
        <v>000</v>
      </c>
      <c r="L273" s="93" t="str">
        <f>VLOOKUP($A273, 'Matriz POA 2024-TRABAJO'!$A$5:$CY$9142,28,FALSE)</f>
        <v>002</v>
      </c>
      <c r="M273" s="93">
        <f>VLOOKUP($A273, 'Matriz POA 2024-TRABAJO'!$A$5:$CY$9142,30,FALSE)</f>
        <v>530403</v>
      </c>
      <c r="N273" s="93" t="str">
        <f>VLOOKUP($A273, 'Matriz POA 2024-TRABAJO'!$A$5:$CY$9142,31,FALSE)</f>
        <v>Mobiliarios  (Instalación, Mantenimiento y Reparación)</v>
      </c>
      <c r="O273" s="93">
        <f>VLOOKUP($A273, 'Matriz POA 2024-TRABAJO'!$A$5:$CY$9142,45,FALSE)</f>
        <v>0</v>
      </c>
      <c r="P273" s="93">
        <f>VLOOKUP($A273, 'Matriz POA 2024-TRABAJO'!$A$5:$CY$9142,46,FALSE)</f>
        <v>0</v>
      </c>
      <c r="Q273" s="93">
        <f>VLOOKUP($A273, 'Matriz POA 2024-TRABAJO'!$A$5:$CY$9142,47,FALSE)</f>
        <v>0</v>
      </c>
      <c r="R273" s="94">
        <f t="shared" si="205"/>
        <v>4800</v>
      </c>
      <c r="S273" s="95">
        <f t="shared" si="206"/>
        <v>-4800</v>
      </c>
      <c r="T273" s="93" t="str">
        <f>VLOOKUP($A273, 'Matriz POA 2024-TRABAJO'!$A$5:$CY$9142,72,FALSE)</f>
        <v/>
      </c>
      <c r="U273" s="93" t="str">
        <f>VLOOKUP($A273, 'Matriz POA 2024-TRABAJO'!$A$5:$CY$9142,29,FALSE)</f>
        <v>53</v>
      </c>
      <c r="V273" s="93" t="str">
        <f t="shared" si="207"/>
        <v/>
      </c>
      <c r="W273" s="97" t="s">
        <v>1928</v>
      </c>
      <c r="X273" s="109">
        <v>45443</v>
      </c>
      <c r="Y273" s="99" t="s">
        <v>1929</v>
      </c>
      <c r="Z273" s="109">
        <v>45443</v>
      </c>
      <c r="AA273" s="93">
        <v>4800</v>
      </c>
      <c r="AB273" s="93"/>
      <c r="AC273" s="93">
        <f t="shared" si="208"/>
        <v>0</v>
      </c>
      <c r="AD273" s="93"/>
      <c r="AE273" s="93"/>
      <c r="AF273" s="93"/>
      <c r="AG273" s="93"/>
      <c r="AH273" s="93"/>
      <c r="AI273" s="93"/>
      <c r="AJ273" s="93"/>
      <c r="AK273" s="93">
        <f t="shared" si="209"/>
        <v>0</v>
      </c>
      <c r="AL273" s="93"/>
      <c r="AM273" s="93"/>
      <c r="AN273" s="93"/>
      <c r="AO273" s="93"/>
      <c r="AP273" s="93"/>
      <c r="AQ273" s="93"/>
      <c r="AR273" s="93"/>
      <c r="AS273" s="93">
        <f t="shared" si="210"/>
        <v>0</v>
      </c>
      <c r="AT273" s="93"/>
      <c r="AU273" s="93"/>
      <c r="AV273" s="93"/>
      <c r="AW273" s="93"/>
      <c r="AX273" s="93"/>
      <c r="AY273" s="93"/>
      <c r="AZ273" s="93"/>
      <c r="BA273" s="93"/>
      <c r="BB273" s="93"/>
      <c r="BC273" s="93"/>
      <c r="BD273" s="93"/>
      <c r="BE273" s="93"/>
      <c r="BF273" s="93"/>
      <c r="BG273" s="93"/>
      <c r="BH273" s="93"/>
      <c r="BI273" s="93"/>
      <c r="BJ273" s="93"/>
      <c r="BK273" s="93"/>
      <c r="BL273" s="93"/>
      <c r="BM273" s="93"/>
      <c r="BN273" s="93"/>
      <c r="BO273" s="93"/>
      <c r="BP273" s="93"/>
      <c r="BQ273" s="93"/>
      <c r="BR273" s="93"/>
      <c r="BS273" s="93"/>
      <c r="BT273" s="93"/>
      <c r="BU273" s="93"/>
      <c r="BV273" s="93"/>
      <c r="BW273" s="93"/>
      <c r="BX273" s="93"/>
      <c r="BY273" s="93"/>
      <c r="BZ273" s="93"/>
      <c r="CA273" s="93"/>
      <c r="CB273" s="93"/>
      <c r="CC273" s="93"/>
      <c r="CD273" s="93"/>
      <c r="CE273" s="93"/>
      <c r="CF273" s="93"/>
      <c r="CG273" s="93"/>
      <c r="CH273" s="93"/>
      <c r="CI273" s="93"/>
      <c r="CJ273" s="93"/>
      <c r="CK273" s="93"/>
      <c r="CL273" s="93"/>
      <c r="CM273" s="93"/>
      <c r="CN273" s="93"/>
      <c r="CO273" s="93"/>
      <c r="CP273" s="93"/>
      <c r="CQ273" s="93"/>
      <c r="CR273" s="93"/>
      <c r="CS273" s="93"/>
      <c r="CT273" s="93"/>
      <c r="CU273" s="93"/>
      <c r="CV273" s="93"/>
      <c r="CW273" s="93"/>
      <c r="CX273" s="93"/>
    </row>
    <row r="274" spans="1:102" ht="15" customHeight="1">
      <c r="A274" s="207">
        <v>849</v>
      </c>
      <c r="B274" s="93" t="str">
        <f>VLOOKUP($A274,  'Matriz POA 2024-TRABAJO'!$A$5:$CY$9142,29,FALSE)</f>
        <v>53</v>
      </c>
      <c r="C274" s="93" t="str">
        <f>VLOOKUP($A274, 'Matriz POA 2024-TRABAJO'!$A$5:$CY$9142,11,FALSE)</f>
        <v>Corporación Ciudad Alfaro</v>
      </c>
      <c r="D274" s="93" t="str">
        <f>VLOOKUP($A274, 'Matriz POA 2024-TRABAJO'!$A$5:$CY$9142,14,FALSE)</f>
        <v>N/A</v>
      </c>
      <c r="E274" s="93" t="str">
        <f>VLOOKUP($A274, 'Matriz POA 2024-TRABAJO'!$A$5:$CY$9142,15,FALSE)</f>
        <v>N/A</v>
      </c>
      <c r="F274" s="93" t="str">
        <f>VLOOKUP($A274, 'Matriz POA 2024-TRABAJO'!$A$5:$CY$9142,18,FALSE)</f>
        <v>N/A</v>
      </c>
      <c r="G274" s="93" t="str">
        <f>VLOOKUP($A274, 'Matriz POA 2024-TRABAJO'!$A$5:$CY$9142,23,FALSE)</f>
        <v>NUEVA</v>
      </c>
      <c r="H274" s="93" t="str">
        <f>VLOOKUP($A274, 'Matriz POA 2024-TRABAJO'!$A$5:$CY$9142,24,FALSE)</f>
        <v>Instalación del sistema de detección contra incendio automatizado para planta baja, mezzanine y 1er piso del Museo Bahía de Caráquez.</v>
      </c>
      <c r="I274" s="93" t="str">
        <f>VLOOKUP($A274, 'Matriz POA 2024-TRABAJO'!$A$5:$CY$9142,20,FALSE)</f>
        <v>N/A</v>
      </c>
      <c r="J274" s="93" t="str">
        <f>VLOOKUP($A274, 'Matriz POA 2024-TRABAJO'!$A$5:$CY$9142,26,FALSE)</f>
        <v>80</v>
      </c>
      <c r="K274" s="93" t="str">
        <f>VLOOKUP($A274, 'Matriz POA 2024-TRABAJO'!$A$5:$CY$9142,27,FALSE)</f>
        <v>000</v>
      </c>
      <c r="L274" s="93" t="str">
        <f>VLOOKUP($A274, 'Matriz POA 2024-TRABAJO'!$A$5:$CY$9142,28,FALSE)</f>
        <v>002</v>
      </c>
      <c r="M274" s="93">
        <f>VLOOKUP($A274, 'Matriz POA 2024-TRABAJO'!$A$5:$CY$9142,30,FALSE)</f>
        <v>530402</v>
      </c>
      <c r="N274" s="93" t="str">
        <f>VLOOKUP($A274, 'Matriz POA 2024-TRABAJO'!$A$5:$CY$9142,31,FALSE)</f>
        <v>Edificios, Locales, Residencias y Cableado Estructurado (Instalación, Mantenimiento y Reparación)</v>
      </c>
      <c r="O274" s="93">
        <f>VLOOKUP($A274, 'Matriz POA 2024-TRABAJO'!$A$5:$CY$9142,45,FALSE)</f>
        <v>0</v>
      </c>
      <c r="P274" s="93">
        <f>VLOOKUP($A274, 'Matriz POA 2024-TRABAJO'!$A$5:$CY$9142,46,FALSE)</f>
        <v>0</v>
      </c>
      <c r="Q274" s="93">
        <f>VLOOKUP($A274, 'Matriz POA 2024-TRABAJO'!$A$5:$CY$9142,47,FALSE)</f>
        <v>0</v>
      </c>
      <c r="R274" s="94">
        <f t="shared" si="205"/>
        <v>15000</v>
      </c>
      <c r="S274" s="95">
        <f t="shared" si="206"/>
        <v>-15000</v>
      </c>
      <c r="T274" s="93" t="str">
        <f>VLOOKUP($A274, 'Matriz POA 2024-TRABAJO'!$A$5:$CY$9142,72,FALSE)</f>
        <v/>
      </c>
      <c r="U274" s="93" t="str">
        <f>VLOOKUP($A274, 'Matriz POA 2024-TRABAJO'!$A$5:$CY$9142,29,FALSE)</f>
        <v>53</v>
      </c>
      <c r="V274" s="93" t="str">
        <f t="shared" si="207"/>
        <v/>
      </c>
      <c r="W274" s="97" t="s">
        <v>1944</v>
      </c>
      <c r="X274" s="109">
        <v>45443</v>
      </c>
      <c r="Y274" s="99" t="s">
        <v>1945</v>
      </c>
      <c r="Z274" s="109">
        <v>45443</v>
      </c>
      <c r="AA274" s="93">
        <v>15000</v>
      </c>
      <c r="AB274" s="93"/>
      <c r="AC274" s="93">
        <f t="shared" si="208"/>
        <v>0</v>
      </c>
      <c r="AD274" s="93"/>
      <c r="AE274" s="93"/>
      <c r="AF274" s="93"/>
      <c r="AG274" s="93"/>
      <c r="AH274" s="93"/>
      <c r="AI274" s="93"/>
      <c r="AJ274" s="93"/>
      <c r="AK274" s="93">
        <f t="shared" si="209"/>
        <v>0</v>
      </c>
      <c r="AL274" s="93"/>
      <c r="AM274" s="93"/>
      <c r="AN274" s="93"/>
      <c r="AO274" s="93"/>
      <c r="AP274" s="93"/>
      <c r="AQ274" s="93"/>
      <c r="AR274" s="93"/>
      <c r="AS274" s="93">
        <f t="shared" si="210"/>
        <v>0</v>
      </c>
      <c r="AT274" s="93"/>
      <c r="AU274" s="93"/>
      <c r="AV274" s="93"/>
      <c r="AW274" s="93"/>
      <c r="AX274" s="93"/>
      <c r="AY274" s="93"/>
      <c r="AZ274" s="93"/>
      <c r="BA274" s="93"/>
      <c r="BB274" s="93"/>
      <c r="BC274" s="93"/>
      <c r="BD274" s="93"/>
      <c r="BE274" s="93"/>
      <c r="BF274" s="93"/>
      <c r="BG274" s="93"/>
      <c r="BH274" s="93"/>
      <c r="BI274" s="93"/>
      <c r="BJ274" s="93"/>
      <c r="BK274" s="93"/>
      <c r="BL274" s="93"/>
      <c r="BM274" s="93"/>
      <c r="BN274" s="93"/>
      <c r="BO274" s="93"/>
      <c r="BP274" s="93"/>
      <c r="BQ274" s="93"/>
      <c r="BR274" s="93"/>
      <c r="BS274" s="93"/>
      <c r="BT274" s="93"/>
      <c r="BU274" s="93"/>
      <c r="BV274" s="93"/>
      <c r="BW274" s="93"/>
      <c r="BX274" s="93"/>
      <c r="BY274" s="93"/>
      <c r="BZ274" s="93"/>
      <c r="CA274" s="93"/>
      <c r="CB274" s="93"/>
      <c r="CC274" s="93"/>
      <c r="CD274" s="93"/>
      <c r="CE274" s="93"/>
      <c r="CF274" s="93"/>
      <c r="CG274" s="93"/>
      <c r="CH274" s="93"/>
      <c r="CI274" s="93"/>
      <c r="CJ274" s="93"/>
      <c r="CK274" s="93"/>
      <c r="CL274" s="93"/>
      <c r="CM274" s="93"/>
      <c r="CN274" s="93"/>
      <c r="CO274" s="93"/>
      <c r="CP274" s="93"/>
      <c r="CQ274" s="93"/>
      <c r="CR274" s="93"/>
      <c r="CS274" s="93"/>
      <c r="CT274" s="93"/>
      <c r="CU274" s="93"/>
      <c r="CV274" s="93"/>
      <c r="CW274" s="93"/>
      <c r="CX274" s="93"/>
    </row>
    <row r="275" spans="1:102" ht="15" customHeight="1">
      <c r="A275" s="207">
        <v>428</v>
      </c>
      <c r="B275" s="93" t="str">
        <f>VLOOKUP($A275,  'Matriz POA 2024-TRABAJO'!$A$5:$CY$9142,29,FALSE)</f>
        <v>53</v>
      </c>
      <c r="C275" s="93" t="str">
        <f>VLOOKUP($A275, 'Matriz POA 2024-TRABAJO'!$A$5:$CY$9142,11,FALSE)</f>
        <v>Corporación Ciudad Alfaro</v>
      </c>
      <c r="D275" s="93" t="str">
        <f>VLOOKUP($A275, 'Matriz POA 2024-TRABAJO'!$A$5:$CY$9142,14,FALSE)</f>
        <v>N/A</v>
      </c>
      <c r="E275" s="93" t="str">
        <f>VLOOKUP($A275, 'Matriz POA 2024-TRABAJO'!$A$5:$CY$9142,15,FALSE)</f>
        <v>N/A</v>
      </c>
      <c r="F275" s="93" t="str">
        <f>VLOOKUP($A275, 'Matriz POA 2024-TRABAJO'!$A$5:$CY$9142,18,FALSE)</f>
        <v>N/A</v>
      </c>
      <c r="G275" s="93" t="str">
        <f>VLOOKUP($A275, 'Matriz POA 2024-TRABAJO'!$A$5:$CY$9142,23,FALSE)</f>
        <v>NUEVA</v>
      </c>
      <c r="H275" s="93" t="str">
        <f>VLOOKUP($A275, 'Matriz POA 2024-TRABAJO'!$A$5:$CY$9142,24,FALSE)</f>
        <v>Pago del servicio de telefonía fija de la Sede Museo Bahía de Caráquez</v>
      </c>
      <c r="I275" s="93" t="str">
        <f>VLOOKUP($A275, 'Matriz POA 2024-TRABAJO'!$A$5:$CY$9142,20,FALSE)</f>
        <v>N/A</v>
      </c>
      <c r="J275" s="93" t="str">
        <f>VLOOKUP($A275, 'Matriz POA 2024-TRABAJO'!$A$5:$CY$9142,26,FALSE)</f>
        <v>80</v>
      </c>
      <c r="K275" s="93" t="str">
        <f>VLOOKUP($A275, 'Matriz POA 2024-TRABAJO'!$A$5:$CY$9142,27,FALSE)</f>
        <v>000</v>
      </c>
      <c r="L275" s="93" t="str">
        <f>VLOOKUP($A275, 'Matriz POA 2024-TRABAJO'!$A$5:$CY$9142,28,FALSE)</f>
        <v>002</v>
      </c>
      <c r="M275" s="93">
        <f>VLOOKUP($A275, 'Matriz POA 2024-TRABAJO'!$A$5:$CY$9142,30,FALSE)</f>
        <v>530105</v>
      </c>
      <c r="N275" s="93" t="str">
        <f>VLOOKUP($A275, 'Matriz POA 2024-TRABAJO'!$A$5:$CY$9142,31,FALSE)</f>
        <v>Telecomunicaciones</v>
      </c>
      <c r="O275" s="93">
        <f>VLOOKUP($A275, 'Matriz POA 2024-TRABAJO'!$A$5:$CY$9142,45,FALSE)</f>
        <v>0</v>
      </c>
      <c r="P275" s="93">
        <f>VLOOKUP($A275, 'Matriz POA 2024-TRABAJO'!$A$5:$CY$9142,46,FALSE)</f>
        <v>0</v>
      </c>
      <c r="Q275" s="93">
        <f>VLOOKUP($A275, 'Matriz POA 2024-TRABAJO'!$A$5:$CY$9142,47,FALSE)</f>
        <v>0</v>
      </c>
      <c r="R275" s="94">
        <f t="shared" si="205"/>
        <v>500</v>
      </c>
      <c r="S275" s="95">
        <f t="shared" si="206"/>
        <v>-500</v>
      </c>
      <c r="T275" s="93" t="str">
        <f>VLOOKUP($A275, 'Matriz POA 2024-TRABAJO'!$A$5:$CY$9142,72,FALSE)</f>
        <v/>
      </c>
      <c r="U275" s="93" t="str">
        <f>VLOOKUP($A275, 'Matriz POA 2024-TRABAJO'!$A$5:$CY$9142,29,FALSE)</f>
        <v>53</v>
      </c>
      <c r="V275" s="93" t="str">
        <f t="shared" si="207"/>
        <v/>
      </c>
      <c r="W275" s="97" t="s">
        <v>1946</v>
      </c>
      <c r="X275" s="109">
        <v>45443</v>
      </c>
      <c r="Y275" s="99" t="s">
        <v>1947</v>
      </c>
      <c r="Z275" s="109">
        <v>45443</v>
      </c>
      <c r="AA275" s="93">
        <v>500</v>
      </c>
      <c r="AB275" s="93"/>
      <c r="AC275" s="93">
        <f t="shared" si="208"/>
        <v>0</v>
      </c>
      <c r="AD275" s="93"/>
      <c r="AE275" s="93"/>
      <c r="AF275" s="93"/>
      <c r="AG275" s="93"/>
      <c r="AH275" s="93"/>
      <c r="AI275" s="93"/>
      <c r="AJ275" s="93"/>
      <c r="AK275" s="93">
        <f t="shared" si="209"/>
        <v>0</v>
      </c>
      <c r="AL275" s="93"/>
      <c r="AM275" s="93"/>
      <c r="AN275" s="93"/>
      <c r="AO275" s="93"/>
      <c r="AP275" s="93"/>
      <c r="AQ275" s="93"/>
      <c r="AR275" s="93"/>
      <c r="AS275" s="93">
        <f t="shared" si="210"/>
        <v>0</v>
      </c>
      <c r="AT275" s="93"/>
      <c r="AU275" s="93"/>
      <c r="AV275" s="93"/>
      <c r="AW275" s="93"/>
      <c r="AX275" s="93"/>
      <c r="AY275" s="93"/>
      <c r="AZ275" s="93"/>
      <c r="BA275" s="93"/>
      <c r="BB275" s="93"/>
      <c r="BC275" s="93"/>
      <c r="BD275" s="93"/>
      <c r="BE275" s="93"/>
      <c r="BF275" s="93"/>
      <c r="BG275" s="93"/>
      <c r="BH275" s="93"/>
      <c r="BI275" s="93"/>
      <c r="BJ275" s="93"/>
      <c r="BK275" s="93"/>
      <c r="BL275" s="93"/>
      <c r="BM275" s="93"/>
      <c r="BN275" s="93"/>
      <c r="BO275" s="93"/>
      <c r="BP275" s="93"/>
      <c r="BQ275" s="93"/>
      <c r="BR275" s="93"/>
      <c r="BS275" s="93"/>
      <c r="BT275" s="93"/>
      <c r="BU275" s="93"/>
      <c r="BV275" s="93"/>
      <c r="BW275" s="93"/>
      <c r="BX275" s="93"/>
      <c r="BY275" s="93"/>
      <c r="BZ275" s="93"/>
      <c r="CA275" s="93"/>
      <c r="CB275" s="93"/>
      <c r="CC275" s="93"/>
      <c r="CD275" s="93"/>
      <c r="CE275" s="93"/>
      <c r="CF275" s="93"/>
      <c r="CG275" s="93"/>
      <c r="CH275" s="93"/>
      <c r="CI275" s="93"/>
      <c r="CJ275" s="93"/>
      <c r="CK275" s="93"/>
      <c r="CL275" s="93"/>
      <c r="CM275" s="93"/>
      <c r="CN275" s="93"/>
      <c r="CO275" s="93"/>
      <c r="CP275" s="93"/>
      <c r="CQ275" s="93"/>
      <c r="CR275" s="93"/>
      <c r="CS275" s="93"/>
      <c r="CT275" s="93"/>
      <c r="CU275" s="93"/>
      <c r="CV275" s="93"/>
      <c r="CW275" s="93"/>
      <c r="CX275" s="93"/>
    </row>
    <row r="276" spans="1:102" ht="15" customHeight="1">
      <c r="A276" s="207">
        <v>873</v>
      </c>
      <c r="B276" s="93" t="str">
        <f>VLOOKUP($A276,  'Matriz POA 2024-TRABAJO'!$A$5:$CY$9142,29,FALSE)</f>
        <v>53</v>
      </c>
      <c r="C276" s="93" t="str">
        <f>VLOOKUP($A276, 'Matriz POA 2024-TRABAJO'!$A$5:$CY$9142,11,FALSE)</f>
        <v>Corporación Ciudad Alfaro</v>
      </c>
      <c r="D276" s="93" t="str">
        <f>VLOOKUP($A276, 'Matriz POA 2024-TRABAJO'!$A$5:$CY$9142,14,FALSE)</f>
        <v>N/A</v>
      </c>
      <c r="E276" s="93" t="str">
        <f>VLOOKUP($A276, 'Matriz POA 2024-TRABAJO'!$A$5:$CY$9142,15,FALSE)</f>
        <v>N/A</v>
      </c>
      <c r="F276" s="93" t="str">
        <f>VLOOKUP($A276, 'Matriz POA 2024-TRABAJO'!$A$5:$CY$9142,18,FALSE)</f>
        <v>N/A</v>
      </c>
      <c r="G276" s="93" t="str">
        <f>VLOOKUP($A276, 'Matriz POA 2024-TRABAJO'!$A$5:$CY$9142,23,FALSE)</f>
        <v>NUEVA</v>
      </c>
      <c r="H276" s="93" t="str">
        <f>VLOOKUP($A276, 'Matriz POA 2024-TRABAJO'!$A$5:$CY$9142,24,FALSE)</f>
        <v>Contratación del servicio de mantenimiento preventivo y correctivo de 4 aires acondicionados tipo Split ubicados en el Museo Nuclear Corporación Ciudad Alfaro</v>
      </c>
      <c r="I276" s="93" t="str">
        <f>VLOOKUP($A276, 'Matriz POA 2024-TRABAJO'!$A$5:$CY$9142,20,FALSE)</f>
        <v>N/A</v>
      </c>
      <c r="J276" s="93" t="str">
        <f>VLOOKUP($A276, 'Matriz POA 2024-TRABAJO'!$A$5:$CY$9142,26,FALSE)</f>
        <v>80</v>
      </c>
      <c r="K276" s="93" t="str">
        <f>VLOOKUP($A276, 'Matriz POA 2024-TRABAJO'!$A$5:$CY$9142,27,FALSE)</f>
        <v>000</v>
      </c>
      <c r="L276" s="93" t="str">
        <f>VLOOKUP($A276, 'Matriz POA 2024-TRABAJO'!$A$5:$CY$9142,28,FALSE)</f>
        <v>002</v>
      </c>
      <c r="M276" s="93">
        <f>VLOOKUP($A276, 'Matriz POA 2024-TRABAJO'!$A$5:$CY$9142,30,FALSE)</f>
        <v>530404</v>
      </c>
      <c r="N276" s="93" t="str">
        <f>VLOOKUP($A276, 'Matriz POA 2024-TRABAJO'!$A$5:$CY$9142,31,FALSE)</f>
        <v>Maquinarias y Equipos (Instalación, Mantenimiento y Reparación)</v>
      </c>
      <c r="O276" s="93">
        <f>VLOOKUP($A276, 'Matriz POA 2024-TRABAJO'!$A$5:$CY$9142,45,FALSE)</f>
        <v>0</v>
      </c>
      <c r="P276" s="93">
        <f>VLOOKUP($A276, 'Matriz POA 2024-TRABAJO'!$A$5:$CY$9142,46,FALSE)</f>
        <v>0</v>
      </c>
      <c r="Q276" s="93">
        <f>VLOOKUP($A276, 'Matriz POA 2024-TRABAJO'!$A$5:$CY$9142,47,FALSE)</f>
        <v>0</v>
      </c>
      <c r="R276" s="94">
        <f t="shared" si="205"/>
        <v>500</v>
      </c>
      <c r="S276" s="95">
        <f t="shared" si="206"/>
        <v>-500</v>
      </c>
      <c r="T276" s="93" t="str">
        <f>VLOOKUP($A276, 'Matriz POA 2024-TRABAJO'!$A$5:$CY$9142,72,FALSE)</f>
        <v/>
      </c>
      <c r="U276" s="93" t="str">
        <f>VLOOKUP($A276, 'Matriz POA 2024-TRABAJO'!$A$5:$CY$9142,29,FALSE)</f>
        <v>53</v>
      </c>
      <c r="V276" s="93" t="str">
        <f t="shared" si="207"/>
        <v/>
      </c>
      <c r="W276" s="97" t="s">
        <v>1952</v>
      </c>
      <c r="X276" s="109">
        <v>45443</v>
      </c>
      <c r="Y276" s="99" t="s">
        <v>1953</v>
      </c>
      <c r="Z276" s="109">
        <v>45443</v>
      </c>
      <c r="AA276" s="93">
        <v>500</v>
      </c>
      <c r="AB276" s="93"/>
      <c r="AC276" s="93">
        <f t="shared" si="208"/>
        <v>0</v>
      </c>
      <c r="AD276" s="93"/>
      <c r="AE276" s="93"/>
      <c r="AF276" s="93"/>
      <c r="AG276" s="93"/>
      <c r="AH276" s="93"/>
      <c r="AI276" s="93"/>
      <c r="AJ276" s="93"/>
      <c r="AK276" s="93">
        <f t="shared" si="209"/>
        <v>0</v>
      </c>
      <c r="AL276" s="93"/>
      <c r="AM276" s="93"/>
      <c r="AN276" s="93"/>
      <c r="AO276" s="93"/>
      <c r="AP276" s="93"/>
      <c r="AQ276" s="93"/>
      <c r="AR276" s="93"/>
      <c r="AS276" s="93">
        <f t="shared" si="210"/>
        <v>0</v>
      </c>
      <c r="AT276" s="93"/>
      <c r="AU276" s="93"/>
      <c r="AV276" s="93"/>
      <c r="AW276" s="93"/>
      <c r="AX276" s="93"/>
      <c r="AY276" s="93"/>
      <c r="AZ276" s="93"/>
      <c r="BA276" s="93"/>
      <c r="BB276" s="93"/>
      <c r="BC276" s="93"/>
      <c r="BD276" s="93"/>
      <c r="BE276" s="93"/>
      <c r="BF276" s="93"/>
      <c r="BG276" s="93"/>
      <c r="BH276" s="93"/>
      <c r="BI276" s="93"/>
      <c r="BJ276" s="93"/>
      <c r="BK276" s="93"/>
      <c r="BL276" s="93"/>
      <c r="BM276" s="93"/>
      <c r="BN276" s="93"/>
      <c r="BO276" s="93"/>
      <c r="BP276" s="93"/>
      <c r="BQ276" s="93"/>
      <c r="BR276" s="93"/>
      <c r="BS276" s="93"/>
      <c r="BT276" s="93"/>
      <c r="BU276" s="93"/>
      <c r="BV276" s="93"/>
      <c r="BW276" s="93"/>
      <c r="BX276" s="93"/>
      <c r="BY276" s="93"/>
      <c r="BZ276" s="93"/>
      <c r="CA276" s="93"/>
      <c r="CB276" s="93"/>
      <c r="CC276" s="93"/>
      <c r="CD276" s="93"/>
      <c r="CE276" s="93"/>
      <c r="CF276" s="93"/>
      <c r="CG276" s="93"/>
      <c r="CH276" s="93"/>
      <c r="CI276" s="93"/>
      <c r="CJ276" s="93"/>
      <c r="CK276" s="93"/>
      <c r="CL276" s="93"/>
      <c r="CM276" s="93"/>
      <c r="CN276" s="93"/>
      <c r="CO276" s="93"/>
      <c r="CP276" s="93"/>
      <c r="CQ276" s="93"/>
      <c r="CR276" s="93"/>
      <c r="CS276" s="93"/>
      <c r="CT276" s="93"/>
      <c r="CU276" s="93"/>
      <c r="CV276" s="93"/>
      <c r="CW276" s="93"/>
      <c r="CX276" s="93"/>
    </row>
    <row r="277" spans="1:102" ht="15" customHeight="1">
      <c r="A277" s="207">
        <v>874</v>
      </c>
      <c r="B277" s="93" t="str">
        <f>VLOOKUP($A277,  'Matriz POA 2024-TRABAJO'!$A$5:$CY$9142,29,FALSE)</f>
        <v>53</v>
      </c>
      <c r="C277" s="93" t="str">
        <f>VLOOKUP($A277, 'Matriz POA 2024-TRABAJO'!$A$5:$CY$9142,11,FALSE)</f>
        <v>Corporación Ciudad Alfaro</v>
      </c>
      <c r="D277" s="93" t="str">
        <f>VLOOKUP($A277, 'Matriz POA 2024-TRABAJO'!$A$5:$CY$9142,14,FALSE)</f>
        <v>N/A</v>
      </c>
      <c r="E277" s="93" t="str">
        <f>VLOOKUP($A277, 'Matriz POA 2024-TRABAJO'!$A$5:$CY$9142,15,FALSE)</f>
        <v>N/A</v>
      </c>
      <c r="F277" s="93" t="str">
        <f>VLOOKUP($A277, 'Matriz POA 2024-TRABAJO'!$A$5:$CY$9142,18,FALSE)</f>
        <v>N/A</v>
      </c>
      <c r="G277" s="93" t="str">
        <f>VLOOKUP($A277, 'Matriz POA 2024-TRABAJO'!$A$5:$CY$9142,23,FALSE)</f>
        <v>PLURIANUAL 2024 - 2025</v>
      </c>
      <c r="H277" s="93" t="str">
        <f>VLOOKUP($A277, 'Matriz POA 2024-TRABAJO'!$A$5:$CY$9142,24,FALSE)</f>
        <v>Contratación del servicio de Aseo y limpieza para el Museo Nuclear Corporación Ciudad Alfaro, durante el período 2024-2025</v>
      </c>
      <c r="I277" s="93" t="str">
        <f>VLOOKUP($A277, 'Matriz POA 2024-TRABAJO'!$A$5:$CY$9142,20,FALSE)</f>
        <v>N/A</v>
      </c>
      <c r="J277" s="93" t="str">
        <f>VLOOKUP($A277, 'Matriz POA 2024-TRABAJO'!$A$5:$CY$9142,26,FALSE)</f>
        <v>80</v>
      </c>
      <c r="K277" s="93" t="str">
        <f>VLOOKUP($A277, 'Matriz POA 2024-TRABAJO'!$A$5:$CY$9142,27,FALSE)</f>
        <v>000</v>
      </c>
      <c r="L277" s="93" t="str">
        <f>VLOOKUP($A277, 'Matriz POA 2024-TRABAJO'!$A$5:$CY$9142,28,FALSE)</f>
        <v>002</v>
      </c>
      <c r="M277" s="93">
        <f>VLOOKUP($A277, 'Matriz POA 2024-TRABAJO'!$A$5:$CY$9142,30,FALSE)</f>
        <v>530209</v>
      </c>
      <c r="N277" s="93" t="str">
        <f>VLOOKUP($A277, 'Matriz POA 2024-TRABAJO'!$A$5:$CY$9142,31,FALSE)</f>
        <v>Servicios de Aseo, Lavado de Vestimenta de Trabajo, Fumigación, Desinfección,  Limpieza de Instalaciones, manejo
de desechos contaminados, recuperación y clasificación de materiales reciclables.</v>
      </c>
      <c r="O277" s="93">
        <f>VLOOKUP($A277, 'Matriz POA 2024-TRABAJO'!$A$5:$CY$9142,45,FALSE)</f>
        <v>5340.6</v>
      </c>
      <c r="P277" s="93">
        <f>VLOOKUP($A277, 'Matriz POA 2024-TRABAJO'!$A$5:$CY$9142,46,FALSE)</f>
        <v>0</v>
      </c>
      <c r="Q277" s="93">
        <f>VLOOKUP($A277, 'Matriz POA 2024-TRABAJO'!$A$5:$CY$9142,47,FALSE)</f>
        <v>5340.6</v>
      </c>
      <c r="R277" s="94">
        <f t="shared" si="205"/>
        <v>5344</v>
      </c>
      <c r="S277" s="95">
        <f t="shared" si="206"/>
        <v>-3.3999999999996362</v>
      </c>
      <c r="T277" s="93">
        <f>VLOOKUP($A277, 'Matriz POA 2024-TRABAJO'!$A$5:$CY$9142,72,FALSE)</f>
        <v>5185.8</v>
      </c>
      <c r="U277" s="93" t="str">
        <f>VLOOKUP($A277, 'Matriz POA 2024-TRABAJO'!$A$5:$CY$9142,29,FALSE)</f>
        <v>53</v>
      </c>
      <c r="V277" s="93" t="str">
        <f t="shared" si="207"/>
        <v/>
      </c>
      <c r="W277" s="97" t="s">
        <v>1952</v>
      </c>
      <c r="X277" s="109">
        <v>45443</v>
      </c>
      <c r="Y277" s="99" t="s">
        <v>1953</v>
      </c>
      <c r="Z277" s="109">
        <v>45443</v>
      </c>
      <c r="AA277" s="93">
        <v>5344</v>
      </c>
      <c r="AB277" s="93"/>
      <c r="AC277" s="93">
        <f t="shared" si="208"/>
        <v>0</v>
      </c>
      <c r="AD277" s="93"/>
      <c r="AE277" s="93"/>
      <c r="AF277" s="93"/>
      <c r="AG277" s="93"/>
      <c r="AH277" s="93"/>
      <c r="AI277" s="93"/>
      <c r="AJ277" s="93"/>
      <c r="AK277" s="93">
        <f t="shared" si="209"/>
        <v>0</v>
      </c>
      <c r="AL277" s="93"/>
      <c r="AM277" s="93"/>
      <c r="AN277" s="93"/>
      <c r="AO277" s="93"/>
      <c r="AP277" s="93"/>
      <c r="AQ277" s="93"/>
      <c r="AR277" s="93"/>
      <c r="AS277" s="93">
        <f t="shared" si="210"/>
        <v>0</v>
      </c>
      <c r="AT277" s="93"/>
      <c r="AU277" s="93"/>
      <c r="AV277" s="93"/>
      <c r="AW277" s="93"/>
      <c r="AX277" s="93"/>
      <c r="AY277" s="93"/>
      <c r="AZ277" s="93"/>
      <c r="BA277" s="93"/>
      <c r="BB277" s="93"/>
      <c r="BC277" s="93"/>
      <c r="BD277" s="93"/>
      <c r="BE277" s="93"/>
      <c r="BF277" s="93"/>
      <c r="BG277" s="93"/>
      <c r="BH277" s="93"/>
      <c r="BI277" s="93"/>
      <c r="BJ277" s="93"/>
      <c r="BK277" s="93"/>
      <c r="BL277" s="93"/>
      <c r="BM277" s="93"/>
      <c r="BN277" s="93"/>
      <c r="BO277" s="93"/>
      <c r="BP277" s="93"/>
      <c r="BQ277" s="93"/>
      <c r="BR277" s="93"/>
      <c r="BS277" s="93"/>
      <c r="BT277" s="93"/>
      <c r="BU277" s="93"/>
      <c r="BV277" s="93"/>
      <c r="BW277" s="93"/>
      <c r="BX277" s="93"/>
      <c r="BY277" s="93"/>
      <c r="BZ277" s="93"/>
      <c r="CA277" s="93"/>
      <c r="CB277" s="93"/>
      <c r="CC277" s="93"/>
      <c r="CD277" s="93"/>
      <c r="CE277" s="93"/>
      <c r="CF277" s="93"/>
      <c r="CG277" s="93"/>
      <c r="CH277" s="93"/>
      <c r="CI277" s="93"/>
      <c r="CJ277" s="93"/>
      <c r="CK277" s="93"/>
      <c r="CL277" s="93"/>
      <c r="CM277" s="93"/>
      <c r="CN277" s="93"/>
      <c r="CO277" s="93"/>
      <c r="CP277" s="93"/>
      <c r="CQ277" s="93"/>
      <c r="CR277" s="93"/>
      <c r="CS277" s="93"/>
      <c r="CT277" s="93"/>
      <c r="CU277" s="93"/>
      <c r="CV277" s="93"/>
      <c r="CW277" s="93"/>
      <c r="CX277" s="93"/>
    </row>
    <row r="278" spans="1:102" ht="15" customHeight="1">
      <c r="A278" s="207">
        <v>875</v>
      </c>
      <c r="B278" s="93" t="str">
        <f>VLOOKUP($A278,  'Matriz POA 2024-TRABAJO'!$A$5:$CY$9142,29,FALSE)</f>
        <v>53</v>
      </c>
      <c r="C278" s="93" t="str">
        <f>VLOOKUP($A278, 'Matriz POA 2024-TRABAJO'!$A$5:$CY$9142,11,FALSE)</f>
        <v>Corporación Ciudad Alfaro</v>
      </c>
      <c r="D278" s="93" t="str">
        <f>VLOOKUP($A278, 'Matriz POA 2024-TRABAJO'!$A$5:$CY$9142,14,FALSE)</f>
        <v>N/A</v>
      </c>
      <c r="E278" s="93" t="str">
        <f>VLOOKUP($A278, 'Matriz POA 2024-TRABAJO'!$A$5:$CY$9142,15,FALSE)</f>
        <v>N/A</v>
      </c>
      <c r="F278" s="93" t="str">
        <f>VLOOKUP($A278, 'Matriz POA 2024-TRABAJO'!$A$5:$CY$9142,18,FALSE)</f>
        <v>N/A</v>
      </c>
      <c r="G278" s="93" t="str">
        <f>VLOOKUP($A278, 'Matriz POA 2024-TRABAJO'!$A$5:$CY$9142,23,FALSE)</f>
        <v>PLURIANUAL 2024 - 2025</v>
      </c>
      <c r="H278" s="93" t="str">
        <f>VLOOKUP($A278, 'Matriz POA 2024-TRABAJO'!$A$5:$CY$9142,24,FALSE)</f>
        <v>Contratación del servicio de Aseo y limpieza para el Museo Centro Cultural Manta, durante el período 2024-2025</v>
      </c>
      <c r="I278" s="93" t="str">
        <f>VLOOKUP($A278, 'Matriz POA 2024-TRABAJO'!$A$5:$CY$9142,20,FALSE)</f>
        <v>N/A</v>
      </c>
      <c r="J278" s="93" t="str">
        <f>VLOOKUP($A278, 'Matriz POA 2024-TRABAJO'!$A$5:$CY$9142,26,FALSE)</f>
        <v>80</v>
      </c>
      <c r="K278" s="93" t="str">
        <f>VLOOKUP($A278, 'Matriz POA 2024-TRABAJO'!$A$5:$CY$9142,27,FALSE)</f>
        <v>000</v>
      </c>
      <c r="L278" s="93" t="str">
        <f>VLOOKUP($A278, 'Matriz POA 2024-TRABAJO'!$A$5:$CY$9142,28,FALSE)</f>
        <v>002</v>
      </c>
      <c r="M278" s="93">
        <f>VLOOKUP($A278, 'Matriz POA 2024-TRABAJO'!$A$5:$CY$9142,30,FALSE)</f>
        <v>530209</v>
      </c>
      <c r="N278" s="93" t="str">
        <f>VLOOKUP($A278, 'Matriz POA 2024-TRABAJO'!$A$5:$CY$9142,31,FALSE)</f>
        <v>Servicios de Aseo, Lavado de Vestimenta de Trabajo, Fumigación, Desinfección,  Limpieza de Instalaciones, manejo
de desechos contaminados, recuperación y clasificación de materiales reciclables.</v>
      </c>
      <c r="O278" s="93">
        <f>VLOOKUP($A278, 'Matriz POA 2024-TRABAJO'!$A$5:$CY$9142,45,FALSE)</f>
        <v>5340.6</v>
      </c>
      <c r="P278" s="93">
        <f>VLOOKUP($A278, 'Matriz POA 2024-TRABAJO'!$A$5:$CY$9142,46,FALSE)</f>
        <v>0</v>
      </c>
      <c r="Q278" s="93">
        <f>VLOOKUP($A278, 'Matriz POA 2024-TRABAJO'!$A$5:$CY$9142,47,FALSE)</f>
        <v>5340.6</v>
      </c>
      <c r="R278" s="94">
        <f t="shared" si="205"/>
        <v>5344</v>
      </c>
      <c r="S278" s="95">
        <f t="shared" si="206"/>
        <v>-3.3999999999996362</v>
      </c>
      <c r="T278" s="93">
        <f>VLOOKUP($A278, 'Matriz POA 2024-TRABAJO'!$A$5:$CY$9142,72,FALSE)</f>
        <v>6733.8</v>
      </c>
      <c r="U278" s="93" t="str">
        <f>VLOOKUP($A278, 'Matriz POA 2024-TRABAJO'!$A$5:$CY$9142,29,FALSE)</f>
        <v>53</v>
      </c>
      <c r="V278" s="93" t="str">
        <f t="shared" si="207"/>
        <v/>
      </c>
      <c r="W278" s="97" t="s">
        <v>1952</v>
      </c>
      <c r="X278" s="109">
        <v>45443</v>
      </c>
      <c r="Y278" s="99" t="s">
        <v>1953</v>
      </c>
      <c r="Z278" s="109">
        <v>45443</v>
      </c>
      <c r="AA278" s="93">
        <v>5344</v>
      </c>
      <c r="AB278" s="93"/>
      <c r="AC278" s="93">
        <f t="shared" si="208"/>
        <v>0</v>
      </c>
      <c r="AD278" s="93"/>
      <c r="AE278" s="93"/>
      <c r="AF278" s="93"/>
      <c r="AG278" s="93"/>
      <c r="AH278" s="93"/>
      <c r="AI278" s="93"/>
      <c r="AJ278" s="93"/>
      <c r="AK278" s="93">
        <f t="shared" si="209"/>
        <v>0</v>
      </c>
      <c r="AL278" s="93"/>
      <c r="AM278" s="93"/>
      <c r="AN278" s="93"/>
      <c r="AO278" s="93"/>
      <c r="AP278" s="93"/>
      <c r="AQ278" s="93"/>
      <c r="AR278" s="93"/>
      <c r="AS278" s="93">
        <f t="shared" si="210"/>
        <v>0</v>
      </c>
      <c r="AT278" s="93"/>
      <c r="AU278" s="93"/>
      <c r="AV278" s="93"/>
      <c r="AW278" s="93"/>
      <c r="AX278" s="93"/>
      <c r="AY278" s="93"/>
      <c r="AZ278" s="93"/>
      <c r="BA278" s="93"/>
      <c r="BB278" s="93"/>
      <c r="BC278" s="93"/>
      <c r="BD278" s="93"/>
      <c r="BE278" s="93"/>
      <c r="BF278" s="93"/>
      <c r="BG278" s="93"/>
      <c r="BH278" s="93"/>
      <c r="BI278" s="93"/>
      <c r="BJ278" s="93"/>
      <c r="BK278" s="93"/>
      <c r="BL278" s="93"/>
      <c r="BM278" s="93"/>
      <c r="BN278" s="93"/>
      <c r="BO278" s="93"/>
      <c r="BP278" s="93"/>
      <c r="BQ278" s="93"/>
      <c r="BR278" s="93"/>
      <c r="BS278" s="93"/>
      <c r="BT278" s="93"/>
      <c r="BU278" s="93"/>
      <c r="BV278" s="93"/>
      <c r="BW278" s="93"/>
      <c r="BX278" s="93"/>
      <c r="BY278" s="93"/>
      <c r="BZ278" s="93"/>
      <c r="CA278" s="93"/>
      <c r="CB278" s="93"/>
      <c r="CC278" s="93"/>
      <c r="CD278" s="93"/>
      <c r="CE278" s="93"/>
      <c r="CF278" s="93"/>
      <c r="CG278" s="93"/>
      <c r="CH278" s="93"/>
      <c r="CI278" s="93"/>
      <c r="CJ278" s="93"/>
      <c r="CK278" s="93"/>
      <c r="CL278" s="93"/>
      <c r="CM278" s="93"/>
      <c r="CN278" s="93"/>
      <c r="CO278" s="93"/>
      <c r="CP278" s="93"/>
      <c r="CQ278" s="93"/>
      <c r="CR278" s="93"/>
      <c r="CS278" s="93"/>
      <c r="CT278" s="93"/>
      <c r="CU278" s="93"/>
      <c r="CV278" s="93"/>
      <c r="CW278" s="93"/>
      <c r="CX278" s="93"/>
    </row>
    <row r="279" spans="1:102" ht="15" customHeight="1">
      <c r="A279" s="207">
        <v>876</v>
      </c>
      <c r="B279" s="93" t="str">
        <f>VLOOKUP($A279,  'Matriz POA 2024-TRABAJO'!$A$5:$CY$9142,29,FALSE)</f>
        <v>53</v>
      </c>
      <c r="C279" s="93" t="str">
        <f>VLOOKUP($A279, 'Matriz POA 2024-TRABAJO'!$A$5:$CY$9142,11,FALSE)</f>
        <v>Corporación Ciudad Alfaro</v>
      </c>
      <c r="D279" s="93" t="str">
        <f>VLOOKUP($A279, 'Matriz POA 2024-TRABAJO'!$A$5:$CY$9142,14,FALSE)</f>
        <v>N/A</v>
      </c>
      <c r="E279" s="93" t="str">
        <f>VLOOKUP($A279, 'Matriz POA 2024-TRABAJO'!$A$5:$CY$9142,15,FALSE)</f>
        <v>N/A</v>
      </c>
      <c r="F279" s="93" t="str">
        <f>VLOOKUP($A279, 'Matriz POA 2024-TRABAJO'!$A$5:$CY$9142,18,FALSE)</f>
        <v>N/A</v>
      </c>
      <c r="G279" s="93" t="str">
        <f>VLOOKUP($A279, 'Matriz POA 2024-TRABAJO'!$A$5:$CY$9142,23,FALSE)</f>
        <v>PLURIANUAL 2024 - 2025</v>
      </c>
      <c r="H279" s="93" t="str">
        <f>VLOOKUP($A279, 'Matriz POA 2024-TRABAJO'!$A$5:$CY$9142,24,FALSE)</f>
        <v>Contratación del servicio de Aseo y limpieza para el Museo Bahía de Caráquez, durante el período 2024-2025</v>
      </c>
      <c r="I279" s="93" t="str">
        <f>VLOOKUP($A279, 'Matriz POA 2024-TRABAJO'!$A$5:$CY$9142,20,FALSE)</f>
        <v>N/A</v>
      </c>
      <c r="J279" s="93" t="str">
        <f>VLOOKUP($A279, 'Matriz POA 2024-TRABAJO'!$A$5:$CY$9142,26,FALSE)</f>
        <v>80</v>
      </c>
      <c r="K279" s="93" t="str">
        <f>VLOOKUP($A279, 'Matriz POA 2024-TRABAJO'!$A$5:$CY$9142,27,FALSE)</f>
        <v>000</v>
      </c>
      <c r="L279" s="93" t="str">
        <f>VLOOKUP($A279, 'Matriz POA 2024-TRABAJO'!$A$5:$CY$9142,28,FALSE)</f>
        <v>002</v>
      </c>
      <c r="M279" s="93">
        <f>VLOOKUP($A279, 'Matriz POA 2024-TRABAJO'!$A$5:$CY$9142,30,FALSE)</f>
        <v>530209</v>
      </c>
      <c r="N279" s="93" t="str">
        <f>VLOOKUP($A279, 'Matriz POA 2024-TRABAJO'!$A$5:$CY$9142,31,FALSE)</f>
        <v>Servicios de Aseo, Lavado de Vestimenta de Trabajo, Fumigación, Desinfección,  Limpieza de Instalaciones, manejo
de desechos contaminados, recuperación y clasificación de materiales reciclables.</v>
      </c>
      <c r="O279" s="93">
        <f>VLOOKUP($A279, 'Matriz POA 2024-TRABAJO'!$A$5:$CY$9142,45,FALSE)</f>
        <v>5340.6</v>
      </c>
      <c r="P279" s="93">
        <f>VLOOKUP($A279, 'Matriz POA 2024-TRABAJO'!$A$5:$CY$9142,46,FALSE)</f>
        <v>0</v>
      </c>
      <c r="Q279" s="93">
        <f>VLOOKUP($A279, 'Matriz POA 2024-TRABAJO'!$A$5:$CY$9142,47,FALSE)</f>
        <v>5340.6</v>
      </c>
      <c r="R279" s="94">
        <f t="shared" si="205"/>
        <v>5344</v>
      </c>
      <c r="S279" s="95">
        <f t="shared" si="206"/>
        <v>-3.3999999999996362</v>
      </c>
      <c r="T279" s="93">
        <f>VLOOKUP($A279, 'Matriz POA 2024-TRABAJO'!$A$5:$CY$9142,72,FALSE)</f>
        <v>5185.8</v>
      </c>
      <c r="U279" s="93" t="str">
        <f>VLOOKUP($A279, 'Matriz POA 2024-TRABAJO'!$A$5:$CY$9142,29,FALSE)</f>
        <v>53</v>
      </c>
      <c r="V279" s="93" t="str">
        <f t="shared" si="207"/>
        <v/>
      </c>
      <c r="W279" s="97" t="s">
        <v>1952</v>
      </c>
      <c r="X279" s="109">
        <v>45443</v>
      </c>
      <c r="Y279" s="99" t="s">
        <v>1953</v>
      </c>
      <c r="Z279" s="109">
        <v>45443</v>
      </c>
      <c r="AA279" s="93">
        <v>5344</v>
      </c>
      <c r="AB279" s="93"/>
      <c r="AC279" s="93">
        <f t="shared" si="208"/>
        <v>0</v>
      </c>
      <c r="AD279" s="93"/>
      <c r="AE279" s="93"/>
      <c r="AF279" s="93"/>
      <c r="AG279" s="93"/>
      <c r="AH279" s="93"/>
      <c r="AI279" s="93"/>
      <c r="AJ279" s="93"/>
      <c r="AK279" s="93">
        <f t="shared" si="209"/>
        <v>0</v>
      </c>
      <c r="AL279" s="93"/>
      <c r="AM279" s="93"/>
      <c r="AN279" s="93"/>
      <c r="AO279" s="93"/>
      <c r="AP279" s="93"/>
      <c r="AQ279" s="93"/>
      <c r="AR279" s="93"/>
      <c r="AS279" s="93">
        <f t="shared" si="210"/>
        <v>0</v>
      </c>
      <c r="AT279" s="93"/>
      <c r="AU279" s="93"/>
      <c r="AV279" s="93"/>
      <c r="AW279" s="93"/>
      <c r="AX279" s="93"/>
      <c r="AY279" s="93"/>
      <c r="AZ279" s="93"/>
      <c r="BA279" s="93"/>
      <c r="BB279" s="93"/>
      <c r="BC279" s="93"/>
      <c r="BD279" s="93"/>
      <c r="BE279" s="93"/>
      <c r="BF279" s="93"/>
      <c r="BG279" s="93"/>
      <c r="BH279" s="93"/>
      <c r="BI279" s="93"/>
      <c r="BJ279" s="93"/>
      <c r="BK279" s="93"/>
      <c r="BL279" s="93"/>
      <c r="BM279" s="93"/>
      <c r="BN279" s="93"/>
      <c r="BO279" s="93"/>
      <c r="BP279" s="93"/>
      <c r="BQ279" s="93"/>
      <c r="BR279" s="93"/>
      <c r="BS279" s="93"/>
      <c r="BT279" s="93"/>
      <c r="BU279" s="93"/>
      <c r="BV279" s="93"/>
      <c r="BW279" s="93"/>
      <c r="BX279" s="93"/>
      <c r="BY279" s="93"/>
      <c r="BZ279" s="93"/>
      <c r="CA279" s="93"/>
      <c r="CB279" s="93"/>
      <c r="CC279" s="93"/>
      <c r="CD279" s="93"/>
      <c r="CE279" s="93"/>
      <c r="CF279" s="93"/>
      <c r="CG279" s="93"/>
      <c r="CH279" s="93"/>
      <c r="CI279" s="93"/>
      <c r="CJ279" s="93"/>
      <c r="CK279" s="93"/>
      <c r="CL279" s="93"/>
      <c r="CM279" s="93"/>
      <c r="CN279" s="93"/>
      <c r="CO279" s="93"/>
      <c r="CP279" s="93"/>
      <c r="CQ279" s="93"/>
      <c r="CR279" s="93"/>
      <c r="CS279" s="93"/>
      <c r="CT279" s="93"/>
      <c r="CU279" s="93"/>
      <c r="CV279" s="93"/>
      <c r="CW279" s="93"/>
      <c r="CX279" s="93"/>
    </row>
    <row r="280" spans="1:102" ht="15" customHeight="1">
      <c r="A280" s="207">
        <v>877</v>
      </c>
      <c r="B280" s="93" t="str">
        <f>VLOOKUP($A280,  'Matriz POA 2024-TRABAJO'!$A$5:$CY$9142,29,FALSE)</f>
        <v>53</v>
      </c>
      <c r="C280" s="93" t="str">
        <f>VLOOKUP($A280, 'Matriz POA 2024-TRABAJO'!$A$5:$CY$9142,11,FALSE)</f>
        <v>Corporación Ciudad Alfaro</v>
      </c>
      <c r="D280" s="93" t="str">
        <f>VLOOKUP($A280, 'Matriz POA 2024-TRABAJO'!$A$5:$CY$9142,14,FALSE)</f>
        <v>N/A</v>
      </c>
      <c r="E280" s="93" t="str">
        <f>VLOOKUP($A280, 'Matriz POA 2024-TRABAJO'!$A$5:$CY$9142,15,FALSE)</f>
        <v>N/A</v>
      </c>
      <c r="F280" s="93" t="str">
        <f>VLOOKUP($A280, 'Matriz POA 2024-TRABAJO'!$A$5:$CY$9142,18,FALSE)</f>
        <v>N/A</v>
      </c>
      <c r="G280" s="93" t="str">
        <f>VLOOKUP($A280, 'Matriz POA 2024-TRABAJO'!$A$5:$CY$9142,23,FALSE)</f>
        <v>PLURIANUAL 2024 - 2025</v>
      </c>
      <c r="H280" s="93" t="str">
        <f>VLOOKUP($A280, 'Matriz POA 2024-TRABAJO'!$A$5:$CY$9142,24,FALSE)</f>
        <v>Contratación del servicio de vigilancia y seguridad privada para el Museo Nuclear Corporación Ciudad Alfaro y sus Sedes, durante el período 2024-2025</v>
      </c>
      <c r="I280" s="93" t="str">
        <f>VLOOKUP($A280, 'Matriz POA 2024-TRABAJO'!$A$5:$CY$9142,20,FALSE)</f>
        <v>N/A</v>
      </c>
      <c r="J280" s="93" t="str">
        <f>VLOOKUP($A280, 'Matriz POA 2024-TRABAJO'!$A$5:$CY$9142,26,FALSE)</f>
        <v>80</v>
      </c>
      <c r="K280" s="93" t="str">
        <f>VLOOKUP($A280, 'Matriz POA 2024-TRABAJO'!$A$5:$CY$9142,27,FALSE)</f>
        <v>000</v>
      </c>
      <c r="L280" s="93" t="str">
        <f>VLOOKUP($A280, 'Matriz POA 2024-TRABAJO'!$A$5:$CY$9142,28,FALSE)</f>
        <v>002</v>
      </c>
      <c r="M280" s="93">
        <f>VLOOKUP($A280, 'Matriz POA 2024-TRABAJO'!$A$5:$CY$9142,30,FALSE)</f>
        <v>530208</v>
      </c>
      <c r="N280" s="93" t="str">
        <f>VLOOKUP($A280, 'Matriz POA 2024-TRABAJO'!$A$5:$CY$9142,31,FALSE)</f>
        <v>Servicio de Seguridad y Vigilancia</v>
      </c>
      <c r="O280" s="93">
        <f>VLOOKUP($A280, 'Matriz POA 2024-TRABAJO'!$A$5:$CY$9142,45,FALSE)</f>
        <v>9069.33</v>
      </c>
      <c r="P280" s="93">
        <f>VLOOKUP($A280, 'Matriz POA 2024-TRABAJO'!$A$5:$CY$9142,46,FALSE)</f>
        <v>0</v>
      </c>
      <c r="Q280" s="93">
        <f>VLOOKUP($A280, 'Matriz POA 2024-TRABAJO'!$A$5:$CY$9142,47,FALSE)</f>
        <v>9069.33</v>
      </c>
      <c r="R280" s="94">
        <f t="shared" si="205"/>
        <v>16</v>
      </c>
      <c r="S280" s="95">
        <f t="shared" si="206"/>
        <v>9053.33</v>
      </c>
      <c r="T280" s="93">
        <f>VLOOKUP($A280, 'Matriz POA 2024-TRABAJO'!$A$5:$CY$9142,72,FALSE)</f>
        <v>8053.57</v>
      </c>
      <c r="U280" s="93" t="str">
        <f>VLOOKUP($A280, 'Matriz POA 2024-TRABAJO'!$A$5:$CY$9142,29,FALSE)</f>
        <v>53</v>
      </c>
      <c r="V280" s="93" t="str">
        <f t="shared" si="207"/>
        <v/>
      </c>
      <c r="W280" s="97" t="s">
        <v>1952</v>
      </c>
      <c r="X280" s="109">
        <v>45443</v>
      </c>
      <c r="Y280" s="99" t="s">
        <v>1953</v>
      </c>
      <c r="Z280" s="109">
        <v>45443</v>
      </c>
      <c r="AA280" s="93">
        <v>16</v>
      </c>
      <c r="AB280" s="93"/>
      <c r="AC280" s="93">
        <f t="shared" si="208"/>
        <v>0</v>
      </c>
      <c r="AD280" s="93"/>
      <c r="AE280" s="93"/>
      <c r="AF280" s="93"/>
      <c r="AG280" s="93"/>
      <c r="AH280" s="93"/>
      <c r="AI280" s="93"/>
      <c r="AJ280" s="93"/>
      <c r="AK280" s="93">
        <f t="shared" si="209"/>
        <v>0</v>
      </c>
      <c r="AL280" s="93"/>
      <c r="AM280" s="93"/>
      <c r="AN280" s="93"/>
      <c r="AO280" s="93"/>
      <c r="AP280" s="93"/>
      <c r="AQ280" s="93"/>
      <c r="AR280" s="93"/>
      <c r="AS280" s="93">
        <f t="shared" si="210"/>
        <v>0</v>
      </c>
      <c r="AT280" s="93"/>
      <c r="AU280" s="93"/>
      <c r="AV280" s="93"/>
      <c r="AW280" s="93"/>
      <c r="AX280" s="93"/>
      <c r="AY280" s="93"/>
      <c r="AZ280" s="93"/>
      <c r="BA280" s="93"/>
      <c r="BB280" s="93"/>
      <c r="BC280" s="93"/>
      <c r="BD280" s="93"/>
      <c r="BE280" s="93"/>
      <c r="BF280" s="93"/>
      <c r="BG280" s="93"/>
      <c r="BH280" s="93"/>
      <c r="BI280" s="93"/>
      <c r="BJ280" s="93"/>
      <c r="BK280" s="93"/>
      <c r="BL280" s="93"/>
      <c r="BM280" s="93"/>
      <c r="BN280" s="93"/>
      <c r="BO280" s="93"/>
      <c r="BP280" s="93"/>
      <c r="BQ280" s="93"/>
      <c r="BR280" s="93"/>
      <c r="BS280" s="93"/>
      <c r="BT280" s="93"/>
      <c r="BU280" s="93"/>
      <c r="BV280" s="93"/>
      <c r="BW280" s="93"/>
      <c r="BX280" s="93"/>
      <c r="BY280" s="93"/>
      <c r="BZ280" s="93"/>
      <c r="CA280" s="93"/>
      <c r="CB280" s="93"/>
      <c r="CC280" s="93"/>
      <c r="CD280" s="93"/>
      <c r="CE280" s="93"/>
      <c r="CF280" s="93"/>
      <c r="CG280" s="93"/>
      <c r="CH280" s="93"/>
      <c r="CI280" s="93"/>
      <c r="CJ280" s="93"/>
      <c r="CK280" s="93"/>
      <c r="CL280" s="93"/>
      <c r="CM280" s="93"/>
      <c r="CN280" s="93"/>
      <c r="CO280" s="93"/>
      <c r="CP280" s="93"/>
      <c r="CQ280" s="93"/>
      <c r="CR280" s="93"/>
      <c r="CS280" s="93"/>
      <c r="CT280" s="93"/>
      <c r="CU280" s="93"/>
      <c r="CV280" s="93"/>
      <c r="CW280" s="93"/>
      <c r="CX280" s="93"/>
    </row>
    <row r="281" spans="1:102" ht="15" customHeight="1">
      <c r="A281" s="207">
        <v>469</v>
      </c>
      <c r="B281" s="93" t="str">
        <f>VLOOKUP($A281,  'Matriz POA 2024-TRABAJO'!$A$5:$CY$9142,29,FALSE)</f>
        <v>53</v>
      </c>
      <c r="C281" s="93" t="str">
        <f>VLOOKUP($A281, 'Matriz POA 2024-TRABAJO'!$A$5:$CY$9142,11,FALSE)</f>
        <v>Corporación Ciudad Alfaro</v>
      </c>
      <c r="D281" s="93" t="str">
        <f>VLOOKUP($A281, 'Matriz POA 2024-TRABAJO'!$A$5:$CY$9142,14,FALSE)</f>
        <v>N/A</v>
      </c>
      <c r="E281" s="93" t="str">
        <f>VLOOKUP($A281, 'Matriz POA 2024-TRABAJO'!$A$5:$CY$9142,15,FALSE)</f>
        <v>N/A</v>
      </c>
      <c r="F281" s="93" t="str">
        <f>VLOOKUP($A281, 'Matriz POA 2024-TRABAJO'!$A$5:$CY$9142,18,FALSE)</f>
        <v>N/A</v>
      </c>
      <c r="G281" s="93" t="str">
        <f>VLOOKUP($A281, 'Matriz POA 2024-TRABAJO'!$A$5:$CY$9142,23,FALSE)</f>
        <v>NUEVA</v>
      </c>
      <c r="H281" s="93" t="str">
        <f>VLOOKUP($A281, 'Matriz POA 2024-TRABAJO'!$A$5:$CY$9142,24,FALSE)</f>
        <v>Contratación del servicio de consultas legales en base de datos jurídicas en línea a través de la plataforma Sistema Web de
información jurídica</v>
      </c>
      <c r="I281" s="93" t="str">
        <f>VLOOKUP($A281, 'Matriz POA 2024-TRABAJO'!$A$5:$CY$9142,20,FALSE)</f>
        <v>N/A</v>
      </c>
      <c r="J281" s="93" t="str">
        <f>VLOOKUP($A281, 'Matriz POA 2024-TRABAJO'!$A$5:$CY$9142,26,FALSE)</f>
        <v>80</v>
      </c>
      <c r="K281" s="93" t="str">
        <f>VLOOKUP($A281, 'Matriz POA 2024-TRABAJO'!$A$5:$CY$9142,27,FALSE)</f>
        <v>000</v>
      </c>
      <c r="L281" s="93" t="str">
        <f>VLOOKUP($A281, 'Matriz POA 2024-TRABAJO'!$A$5:$CY$9142,28,FALSE)</f>
        <v>002</v>
      </c>
      <c r="M281" s="93">
        <f>VLOOKUP($A281, 'Matriz POA 2024-TRABAJO'!$A$5:$CY$9142,30,FALSE)</f>
        <v>530701</v>
      </c>
      <c r="N281" s="93" t="str">
        <f>VLOOKUP($A281, 'Matriz POA 2024-TRABAJO'!$A$5:$CY$9142,31,FALSE)</f>
        <v>Desarrollo, Actualización, Asistencia Técnica y Soporte de Sistemas Informáticos</v>
      </c>
      <c r="O281" s="93">
        <f>VLOOKUP($A281, 'Matriz POA 2024-TRABAJO'!$A$5:$CY$9142,45,FALSE)</f>
        <v>400</v>
      </c>
      <c r="P281" s="93">
        <f>VLOOKUP($A281, 'Matriz POA 2024-TRABAJO'!$A$5:$CY$9142,46,FALSE)</f>
        <v>0</v>
      </c>
      <c r="Q281" s="93">
        <f>VLOOKUP($A281, 'Matriz POA 2024-TRABAJO'!$A$5:$CY$9142,47,FALSE)</f>
        <v>400</v>
      </c>
      <c r="R281" s="94">
        <f t="shared" si="205"/>
        <v>400</v>
      </c>
      <c r="S281" s="95">
        <f t="shared" si="206"/>
        <v>0</v>
      </c>
      <c r="T281" s="93" t="str">
        <f>VLOOKUP($A281, 'Matriz POA 2024-TRABAJO'!$A$5:$CY$9142,72,FALSE)</f>
        <v/>
      </c>
      <c r="U281" s="93" t="str">
        <f>VLOOKUP($A281, 'Matriz POA 2024-TRABAJO'!$A$5:$CY$9142,29,FALSE)</f>
        <v>53</v>
      </c>
      <c r="V281" s="93" t="str">
        <f t="shared" si="207"/>
        <v/>
      </c>
      <c r="W281" s="97" t="s">
        <v>1954</v>
      </c>
      <c r="X281" s="109">
        <v>45443</v>
      </c>
      <c r="Y281" s="99" t="s">
        <v>1955</v>
      </c>
      <c r="Z281" s="109">
        <v>45443</v>
      </c>
      <c r="AA281" s="93">
        <v>400</v>
      </c>
      <c r="AB281" s="93"/>
      <c r="AC281" s="93">
        <f t="shared" si="208"/>
        <v>0</v>
      </c>
      <c r="AD281" s="93"/>
      <c r="AE281" s="93"/>
      <c r="AF281" s="93"/>
      <c r="AG281" s="93"/>
      <c r="AH281" s="93"/>
      <c r="AI281" s="93"/>
      <c r="AJ281" s="93"/>
      <c r="AK281" s="93">
        <f t="shared" si="209"/>
        <v>0</v>
      </c>
      <c r="AL281" s="93"/>
      <c r="AM281" s="93"/>
      <c r="AN281" s="93"/>
      <c r="AO281" s="93"/>
      <c r="AP281" s="93"/>
      <c r="AQ281" s="93"/>
      <c r="AR281" s="93"/>
      <c r="AS281" s="93">
        <f t="shared" si="210"/>
        <v>0</v>
      </c>
      <c r="AT281" s="93"/>
      <c r="AU281" s="93"/>
      <c r="AV281" s="93"/>
      <c r="AW281" s="93"/>
      <c r="AX281" s="93"/>
      <c r="AY281" s="93"/>
      <c r="AZ281" s="93"/>
      <c r="BA281" s="93"/>
      <c r="BB281" s="93"/>
      <c r="BC281" s="93"/>
      <c r="BD281" s="93"/>
      <c r="BE281" s="93"/>
      <c r="BF281" s="93"/>
      <c r="BG281" s="93"/>
      <c r="BH281" s="93"/>
      <c r="BI281" s="93"/>
      <c r="BJ281" s="93"/>
      <c r="BK281" s="93"/>
      <c r="BL281" s="93"/>
      <c r="BM281" s="93"/>
      <c r="BN281" s="93"/>
      <c r="BO281" s="93"/>
      <c r="BP281" s="93"/>
      <c r="BQ281" s="93"/>
      <c r="BR281" s="93"/>
      <c r="BS281" s="93"/>
      <c r="BT281" s="93"/>
      <c r="BU281" s="93"/>
      <c r="BV281" s="93"/>
      <c r="BW281" s="93"/>
      <c r="BX281" s="93"/>
      <c r="BY281" s="93"/>
      <c r="BZ281" s="93"/>
      <c r="CA281" s="93"/>
      <c r="CB281" s="93"/>
      <c r="CC281" s="93"/>
      <c r="CD281" s="93"/>
      <c r="CE281" s="93"/>
      <c r="CF281" s="93"/>
      <c r="CG281" s="93"/>
      <c r="CH281" s="93"/>
      <c r="CI281" s="93"/>
      <c r="CJ281" s="93"/>
      <c r="CK281" s="93"/>
      <c r="CL281" s="93"/>
      <c r="CM281" s="93"/>
      <c r="CN281" s="93"/>
      <c r="CO281" s="93"/>
      <c r="CP281" s="93"/>
      <c r="CQ281" s="93"/>
      <c r="CR281" s="93"/>
      <c r="CS281" s="93"/>
      <c r="CT281" s="93"/>
      <c r="CU281" s="93"/>
      <c r="CV281" s="93"/>
      <c r="CW281" s="93"/>
      <c r="CX281" s="93"/>
    </row>
    <row r="282" spans="1:102" ht="15" customHeight="1">
      <c r="A282" s="207">
        <v>470</v>
      </c>
      <c r="B282" s="93" t="str">
        <f>VLOOKUP($A282,  'Matriz POA 2024-TRABAJO'!$A$5:$CY$9142,29,FALSE)</f>
        <v>53</v>
      </c>
      <c r="C282" s="93" t="str">
        <f>VLOOKUP($A282, 'Matriz POA 2024-TRABAJO'!$A$5:$CY$9142,11,FALSE)</f>
        <v>Corporación Ciudad Alfaro</v>
      </c>
      <c r="D282" s="93" t="str">
        <f>VLOOKUP($A282, 'Matriz POA 2024-TRABAJO'!$A$5:$CY$9142,14,FALSE)</f>
        <v>N/A</v>
      </c>
      <c r="E282" s="93" t="str">
        <f>VLOOKUP($A282, 'Matriz POA 2024-TRABAJO'!$A$5:$CY$9142,15,FALSE)</f>
        <v>N/A</v>
      </c>
      <c r="F282" s="93" t="str">
        <f>VLOOKUP($A282, 'Matriz POA 2024-TRABAJO'!$A$5:$CY$9142,18,FALSE)</f>
        <v>N/A</v>
      </c>
      <c r="G282" s="93" t="str">
        <f>VLOOKUP($A282, 'Matriz POA 2024-TRABAJO'!$A$5:$CY$9142,23,FALSE)</f>
        <v>NUEVA</v>
      </c>
      <c r="H282" s="93" t="str">
        <f>VLOOKUP($A282, 'Matriz POA 2024-TRABAJO'!$A$5:$CY$9142,24,FALSE)</f>
        <v>Renovación de dominio web y web hosting para www.ciudadalfaro.gob.ec</v>
      </c>
      <c r="I282" s="93" t="str">
        <f>VLOOKUP($A282, 'Matriz POA 2024-TRABAJO'!$A$5:$CY$9142,20,FALSE)</f>
        <v>N/A</v>
      </c>
      <c r="J282" s="93" t="str">
        <f>VLOOKUP($A282, 'Matriz POA 2024-TRABAJO'!$A$5:$CY$9142,26,FALSE)</f>
        <v>80</v>
      </c>
      <c r="K282" s="93" t="str">
        <f>VLOOKUP($A282, 'Matriz POA 2024-TRABAJO'!$A$5:$CY$9142,27,FALSE)</f>
        <v>000</v>
      </c>
      <c r="L282" s="93" t="str">
        <f>VLOOKUP($A282, 'Matriz POA 2024-TRABAJO'!$A$5:$CY$9142,28,FALSE)</f>
        <v>002</v>
      </c>
      <c r="M282" s="93">
        <f>VLOOKUP($A282, 'Matriz POA 2024-TRABAJO'!$A$5:$CY$9142,30,FALSE)</f>
        <v>530701</v>
      </c>
      <c r="N282" s="93" t="str">
        <f>VLOOKUP($A282, 'Matriz POA 2024-TRABAJO'!$A$5:$CY$9142,31,FALSE)</f>
        <v>Desarrollo, Actualización, Asistencia Técnica y Soporte de Sistemas Informáticos</v>
      </c>
      <c r="O282" s="93">
        <f>VLOOKUP($A282, 'Matriz POA 2024-TRABAJO'!$A$5:$CY$9142,45,FALSE)</f>
        <v>400</v>
      </c>
      <c r="P282" s="93">
        <f>VLOOKUP($A282, 'Matriz POA 2024-TRABAJO'!$A$5:$CY$9142,46,FALSE)</f>
        <v>0</v>
      </c>
      <c r="Q282" s="93">
        <f>VLOOKUP($A282, 'Matriz POA 2024-TRABAJO'!$A$5:$CY$9142,47,FALSE)</f>
        <v>400</v>
      </c>
      <c r="R282" s="94">
        <f t="shared" si="205"/>
        <v>400</v>
      </c>
      <c r="S282" s="95">
        <f t="shared" si="206"/>
        <v>0</v>
      </c>
      <c r="T282" s="93" t="str">
        <f>VLOOKUP($A282, 'Matriz POA 2024-TRABAJO'!$A$5:$CY$9142,72,FALSE)</f>
        <v/>
      </c>
      <c r="U282" s="93" t="str">
        <f>VLOOKUP($A282, 'Matriz POA 2024-TRABAJO'!$A$5:$CY$9142,29,FALSE)</f>
        <v>53</v>
      </c>
      <c r="V282" s="93" t="str">
        <f t="shared" si="207"/>
        <v/>
      </c>
      <c r="W282" s="97" t="s">
        <v>1956</v>
      </c>
      <c r="X282" s="109">
        <v>45443</v>
      </c>
      <c r="Y282" s="99" t="s">
        <v>1955</v>
      </c>
      <c r="Z282" s="109">
        <v>45443</v>
      </c>
      <c r="AA282" s="93">
        <v>400</v>
      </c>
      <c r="AB282" s="93"/>
      <c r="AC282" s="93">
        <f t="shared" si="208"/>
        <v>0</v>
      </c>
      <c r="AD282" s="93"/>
      <c r="AE282" s="93"/>
      <c r="AF282" s="93"/>
      <c r="AG282" s="93"/>
      <c r="AH282" s="93"/>
      <c r="AI282" s="93"/>
      <c r="AJ282" s="93"/>
      <c r="AK282" s="93">
        <f t="shared" si="209"/>
        <v>0</v>
      </c>
      <c r="AL282" s="93"/>
      <c r="AM282" s="93"/>
      <c r="AN282" s="93"/>
      <c r="AO282" s="93"/>
      <c r="AP282" s="93"/>
      <c r="AQ282" s="93"/>
      <c r="AR282" s="93"/>
      <c r="AS282" s="93">
        <f t="shared" si="210"/>
        <v>0</v>
      </c>
      <c r="AT282" s="93"/>
      <c r="AU282" s="93"/>
      <c r="AV282" s="93"/>
      <c r="AW282" s="93"/>
      <c r="AX282" s="93"/>
      <c r="AY282" s="93"/>
      <c r="AZ282" s="93"/>
      <c r="BA282" s="93"/>
      <c r="BB282" s="93"/>
      <c r="BC282" s="93"/>
      <c r="BD282" s="93"/>
      <c r="BE282" s="93"/>
      <c r="BF282" s="93"/>
      <c r="BG282" s="93"/>
      <c r="BH282" s="93"/>
      <c r="BI282" s="93"/>
      <c r="BJ282" s="93"/>
      <c r="BK282" s="93"/>
      <c r="BL282" s="93"/>
      <c r="BM282" s="93"/>
      <c r="BN282" s="93"/>
      <c r="BO282" s="93"/>
      <c r="BP282" s="93"/>
      <c r="BQ282" s="93"/>
      <c r="BR282" s="93"/>
      <c r="BS282" s="93"/>
      <c r="BT282" s="93"/>
      <c r="BU282" s="93"/>
      <c r="BV282" s="93"/>
      <c r="BW282" s="93"/>
      <c r="BX282" s="93"/>
      <c r="BY282" s="93"/>
      <c r="BZ282" s="93"/>
      <c r="CA282" s="93"/>
      <c r="CB282" s="93"/>
      <c r="CC282" s="93"/>
      <c r="CD282" s="93"/>
      <c r="CE282" s="93"/>
      <c r="CF282" s="93"/>
      <c r="CG282" s="93"/>
      <c r="CH282" s="93"/>
      <c r="CI282" s="93"/>
      <c r="CJ282" s="93"/>
      <c r="CK282" s="93"/>
      <c r="CL282" s="93"/>
      <c r="CM282" s="93"/>
      <c r="CN282" s="93"/>
      <c r="CO282" s="93"/>
      <c r="CP282" s="93"/>
      <c r="CQ282" s="93"/>
      <c r="CR282" s="93"/>
      <c r="CS282" s="93"/>
      <c r="CT282" s="93"/>
      <c r="CU282" s="93"/>
      <c r="CV282" s="93"/>
      <c r="CW282" s="93"/>
      <c r="CX282" s="93"/>
    </row>
    <row r="283" spans="1:102" ht="15" customHeight="1">
      <c r="A283" s="93">
        <v>817</v>
      </c>
      <c r="B283" s="93" t="str">
        <f>VLOOKUP($A283,  'Matriz POA 2024-TRABAJO'!$A$5:$CY$9142,29,FALSE)</f>
        <v>53</v>
      </c>
      <c r="C283" s="93" t="str">
        <f>VLOOKUP($A283, 'Matriz POA 2024-TRABAJO'!$A$5:$CY$9142,11,FALSE)</f>
        <v>Corporación Ciudad Alfaro</v>
      </c>
      <c r="D283" s="93" t="str">
        <f>VLOOKUP($A283, 'Matriz POA 2024-TRABAJO'!$A$5:$CY$9142,14,FALSE)</f>
        <v>N/A</v>
      </c>
      <c r="E283" s="93" t="str">
        <f>VLOOKUP($A283, 'Matriz POA 2024-TRABAJO'!$A$5:$CY$9142,15,FALSE)</f>
        <v>N/A</v>
      </c>
      <c r="F283" s="93" t="str">
        <f>VLOOKUP($A283, 'Matriz POA 2024-TRABAJO'!$A$5:$CY$9142,18,FALSE)</f>
        <v>N/A</v>
      </c>
      <c r="G283" s="93" t="str">
        <f>VLOOKUP($A283, 'Matriz POA 2024-TRABAJO'!$A$5:$CY$9142,23,FALSE)</f>
        <v>NUEVA</v>
      </c>
      <c r="H283" s="93" t="str">
        <f>VLOOKUP($A283, 'Matriz POA 2024-TRABAJO'!$A$5:$CY$9142,24,FALSE)</f>
        <v>Contratación del servicio de actualización  de sistemas informáticos de la Corporación Ciudad Alfaro y sus sedes</v>
      </c>
      <c r="I283" s="93" t="str">
        <f>VLOOKUP($A283, 'Matriz POA 2024-TRABAJO'!$A$5:$CY$9142,20,FALSE)</f>
        <v>N/A</v>
      </c>
      <c r="J283" s="93" t="str">
        <f>VLOOKUP($A283, 'Matriz POA 2024-TRABAJO'!$A$5:$CY$9142,26,FALSE)</f>
        <v>80</v>
      </c>
      <c r="K283" s="93" t="str">
        <f>VLOOKUP($A283, 'Matriz POA 2024-TRABAJO'!$A$5:$CY$9142,27,FALSE)</f>
        <v>000</v>
      </c>
      <c r="L283" s="93" t="str">
        <f>VLOOKUP($A283, 'Matriz POA 2024-TRABAJO'!$A$5:$CY$9142,28,FALSE)</f>
        <v>002</v>
      </c>
      <c r="M283" s="93">
        <f>VLOOKUP($A283, 'Matriz POA 2024-TRABAJO'!$A$5:$CY$9142,30,FALSE)</f>
        <v>530701</v>
      </c>
      <c r="N283" s="93" t="str">
        <f>VLOOKUP($A283, 'Matriz POA 2024-TRABAJO'!$A$5:$CY$9142,31,FALSE)</f>
        <v>Desarrollo, Actualización, Asistencia Técnica y Soporte de Sistemas Informáticos</v>
      </c>
      <c r="O283" s="93">
        <f>VLOOKUP($A283, 'Matriz POA 2024-TRABAJO'!$A$5:$CY$9142,45,FALSE)</f>
        <v>0</v>
      </c>
      <c r="P283" s="93">
        <f>VLOOKUP($A283, 'Matriz POA 2024-TRABAJO'!$A$5:$CY$9142,46,FALSE)</f>
        <v>0</v>
      </c>
      <c r="Q283" s="93">
        <f>VLOOKUP($A283, 'Matriz POA 2024-TRABAJO'!$A$5:$CY$9142,47,FALSE)</f>
        <v>0</v>
      </c>
      <c r="R283" s="94">
        <f t="shared" si="205"/>
        <v>400</v>
      </c>
      <c r="S283" s="95">
        <f t="shared" si="206"/>
        <v>-400</v>
      </c>
      <c r="T283" s="93" t="str">
        <f>VLOOKUP($A283, 'Matriz POA 2024-TRABAJO'!$A$5:$CY$9142,72,FALSE)</f>
        <v/>
      </c>
      <c r="U283" s="93" t="str">
        <f>VLOOKUP($A283, 'Matriz POA 2024-TRABAJO'!$A$5:$CY$9142,29,FALSE)</f>
        <v>53</v>
      </c>
      <c r="V283" s="93" t="str">
        <f t="shared" si="207"/>
        <v/>
      </c>
      <c r="W283" s="97" t="s">
        <v>1957</v>
      </c>
      <c r="X283" s="109">
        <v>45443</v>
      </c>
      <c r="Y283" s="99" t="s">
        <v>1955</v>
      </c>
      <c r="Z283" s="109">
        <v>45443</v>
      </c>
      <c r="AA283" s="93">
        <v>400</v>
      </c>
      <c r="AB283" s="93"/>
      <c r="AC283" s="93">
        <f t="shared" si="208"/>
        <v>0</v>
      </c>
      <c r="AD283" s="93"/>
      <c r="AE283" s="93"/>
      <c r="AF283" s="93"/>
      <c r="AG283" s="93"/>
      <c r="AH283" s="93"/>
      <c r="AI283" s="93"/>
      <c r="AJ283" s="93"/>
      <c r="AK283" s="93">
        <f t="shared" si="209"/>
        <v>0</v>
      </c>
      <c r="AL283" s="93"/>
      <c r="AM283" s="93"/>
      <c r="AN283" s="93"/>
      <c r="AO283" s="93"/>
      <c r="AP283" s="93"/>
      <c r="AQ283" s="93"/>
      <c r="AR283" s="93"/>
      <c r="AS283" s="93">
        <f t="shared" si="210"/>
        <v>0</v>
      </c>
      <c r="AT283" s="93"/>
      <c r="AU283" s="93"/>
      <c r="AV283" s="93"/>
      <c r="AW283" s="93"/>
      <c r="AX283" s="93"/>
      <c r="AY283" s="93"/>
      <c r="AZ283" s="93"/>
      <c r="BA283" s="93"/>
      <c r="BB283" s="93"/>
      <c r="BC283" s="93"/>
      <c r="BD283" s="93"/>
      <c r="BE283" s="93"/>
      <c r="BF283" s="93"/>
      <c r="BG283" s="93"/>
      <c r="BH283" s="93"/>
      <c r="BI283" s="93"/>
      <c r="BJ283" s="93"/>
      <c r="BK283" s="93"/>
      <c r="BL283" s="93"/>
      <c r="BM283" s="93"/>
      <c r="BN283" s="93"/>
      <c r="BO283" s="93"/>
      <c r="BP283" s="93"/>
      <c r="BQ283" s="93"/>
      <c r="BR283" s="93"/>
      <c r="BS283" s="93"/>
      <c r="BT283" s="93"/>
      <c r="BU283" s="93"/>
      <c r="BV283" s="93"/>
      <c r="BW283" s="93"/>
      <c r="BX283" s="93"/>
      <c r="BY283" s="93"/>
      <c r="BZ283" s="93"/>
      <c r="CA283" s="93"/>
      <c r="CB283" s="93"/>
      <c r="CC283" s="93"/>
      <c r="CD283" s="93"/>
      <c r="CE283" s="93"/>
      <c r="CF283" s="93"/>
      <c r="CG283" s="93"/>
      <c r="CH283" s="93"/>
      <c r="CI283" s="93"/>
      <c r="CJ283" s="93"/>
      <c r="CK283" s="93"/>
      <c r="CL283" s="93"/>
      <c r="CM283" s="93"/>
      <c r="CN283" s="93"/>
      <c r="CO283" s="93"/>
      <c r="CP283" s="93"/>
      <c r="CQ283" s="93"/>
      <c r="CR283" s="93"/>
      <c r="CS283" s="93"/>
      <c r="CT283" s="93"/>
      <c r="CU283" s="93"/>
      <c r="CV283" s="93"/>
      <c r="CW283" s="93"/>
      <c r="CX283" s="93"/>
    </row>
    <row r="284" spans="1:102" ht="15" hidden="1" customHeight="1">
      <c r="A284" s="93"/>
      <c r="B284" s="93" t="e">
        <f>VLOOKUP($A284,  'Matriz POA 2024-TRABAJO'!$A$5:$CY$9142,29,FALSE)</f>
        <v>#N/A</v>
      </c>
      <c r="C284" s="93" t="e">
        <f>VLOOKUP($A284, 'Matriz POA 2024-TRABAJO'!$A$5:$CY$9142,11,FALSE)</f>
        <v>#N/A</v>
      </c>
      <c r="D284" s="93" t="e">
        <f>VLOOKUP($A284, 'Matriz POA 2024-TRABAJO'!$A$5:$CY$9142,14,FALSE)</f>
        <v>#N/A</v>
      </c>
      <c r="E284" s="93" t="e">
        <f>VLOOKUP($A284, 'Matriz POA 2024-TRABAJO'!$A$5:$CY$9142,15,FALSE)</f>
        <v>#N/A</v>
      </c>
      <c r="F284" s="93" t="e">
        <f>VLOOKUP($A284, 'Matriz POA 2024-TRABAJO'!$A$5:$CY$9142,18,FALSE)</f>
        <v>#N/A</v>
      </c>
      <c r="G284" s="93" t="e">
        <f>VLOOKUP($A284, 'Matriz POA 2024-TRABAJO'!$A$5:$CY$9142,23,FALSE)</f>
        <v>#N/A</v>
      </c>
      <c r="H284" s="93" t="e">
        <f>VLOOKUP($A284, 'Matriz POA 2024-TRABAJO'!$A$5:$CY$9142,24,FALSE)</f>
        <v>#N/A</v>
      </c>
      <c r="I284" s="93" t="e">
        <f>VLOOKUP($A284, 'Matriz POA 2024-TRABAJO'!$A$5:$CY$9142,20,FALSE)</f>
        <v>#N/A</v>
      </c>
      <c r="J284" s="93" t="e">
        <f>VLOOKUP($A284, 'Matriz POA 2024-TRABAJO'!$A$5:$CY$9142,26,FALSE)</f>
        <v>#N/A</v>
      </c>
      <c r="K284" s="93" t="e">
        <f>VLOOKUP($A284, 'Matriz POA 2024-TRABAJO'!$A$5:$CY$9142,27,FALSE)</f>
        <v>#N/A</v>
      </c>
      <c r="L284" s="93" t="e">
        <f>VLOOKUP($A284, 'Matriz POA 2024-TRABAJO'!$A$5:$CY$9142,28,FALSE)</f>
        <v>#N/A</v>
      </c>
      <c r="M284" s="93" t="e">
        <f>VLOOKUP($A284, 'Matriz POA 2024-TRABAJO'!$A$5:$CY$9142,30,FALSE)</f>
        <v>#N/A</v>
      </c>
      <c r="N284" s="93" t="e">
        <f>VLOOKUP($A284, 'Matriz POA 2024-TRABAJO'!$A$5:$CY$9142,31,FALSE)</f>
        <v>#N/A</v>
      </c>
      <c r="O284" s="93" t="e">
        <f>VLOOKUP($A284, 'Matriz POA 2024-TRABAJO'!$A$5:$CY$9142,45,FALSE)</f>
        <v>#N/A</v>
      </c>
      <c r="P284" s="93" t="e">
        <f>VLOOKUP($A284, 'Matriz POA 2024-TRABAJO'!$A$5:$CY$9142,46,FALSE)</f>
        <v>#N/A</v>
      </c>
      <c r="Q284" s="93" t="e">
        <f>VLOOKUP($A284, 'Matriz POA 2024-TRABAJO'!$A$5:$CY$9142,47,FALSE)</f>
        <v>#N/A</v>
      </c>
      <c r="R284" s="94">
        <f t="shared" ref="R284:R347" si="217">AA284+AI284+AQ284+AY284+BG284+BO284+BW284+CE284+CM284+CU284+AB284+AJ284+AR284+AZ284+BH284+BP284</f>
        <v>0</v>
      </c>
      <c r="S284" s="95" t="e">
        <f t="shared" ref="S284:S347" si="218">Q284-R284</f>
        <v>#N/A</v>
      </c>
      <c r="T284" s="93" t="e">
        <f>VLOOKUP($A284, 'Matriz POA 2024-TRABAJO'!$A$5:$CY$9142,72,FALSE)</f>
        <v>#N/A</v>
      </c>
      <c r="U284" s="93" t="e">
        <f>VLOOKUP($A284, 'Matriz POA 2024-TRABAJO'!$A$5:$CY$9142,29,FALSE)</f>
        <v>#N/A</v>
      </c>
      <c r="V284" s="93" t="str">
        <f t="shared" ref="V284:V347" si="219">AD284&amp;AL284&amp;AT284&amp;BB284&amp;BJ284&amp;BR284&amp;BZ284&amp;CH284&amp;CP284&amp;CX284</f>
        <v/>
      </c>
      <c r="W284" s="93"/>
      <c r="X284" s="93"/>
      <c r="Y284" s="93"/>
      <c r="Z284" s="93"/>
      <c r="AA284" s="93"/>
      <c r="AB284" s="93"/>
      <c r="AC284" s="93">
        <f t="shared" ref="AC284:AC347" si="220">Z284-X284</f>
        <v>0</v>
      </c>
      <c r="AD284" s="93"/>
      <c r="AE284" s="93"/>
      <c r="AF284" s="93"/>
      <c r="AG284" s="93"/>
      <c r="AH284" s="93"/>
      <c r="AI284" s="93"/>
      <c r="AJ284" s="93"/>
      <c r="AK284" s="93">
        <f t="shared" ref="AK284:AK347" si="221">AH284-AF284</f>
        <v>0</v>
      </c>
      <c r="AL284" s="93"/>
      <c r="AM284" s="93"/>
      <c r="AN284" s="93"/>
      <c r="AO284" s="93"/>
      <c r="AP284" s="93"/>
      <c r="AQ284" s="93"/>
      <c r="AR284" s="93"/>
      <c r="AS284" s="93">
        <f t="shared" ref="AS284:AS347" si="222">AP284-AN284</f>
        <v>0</v>
      </c>
      <c r="AT284" s="93"/>
      <c r="AU284" s="93"/>
      <c r="AV284" s="93"/>
      <c r="AW284" s="93"/>
      <c r="AX284" s="93"/>
      <c r="AY284" s="93"/>
      <c r="AZ284" s="93"/>
      <c r="BA284" s="93"/>
      <c r="BB284" s="93"/>
      <c r="BC284" s="93"/>
      <c r="BD284" s="93"/>
      <c r="BE284" s="93"/>
      <c r="BF284" s="93"/>
      <c r="BG284" s="93"/>
      <c r="BH284" s="93"/>
      <c r="BI284" s="93"/>
      <c r="BJ284" s="93"/>
      <c r="BK284" s="93"/>
      <c r="BL284" s="93"/>
      <c r="BM284" s="93"/>
      <c r="BN284" s="93"/>
      <c r="BO284" s="93"/>
      <c r="BP284" s="93"/>
      <c r="BQ284" s="93"/>
      <c r="BR284" s="93"/>
      <c r="BS284" s="93"/>
      <c r="BT284" s="93"/>
      <c r="BU284" s="93"/>
      <c r="BV284" s="93"/>
      <c r="BW284" s="93"/>
      <c r="BX284" s="93"/>
      <c r="BY284" s="93"/>
      <c r="BZ284" s="93"/>
      <c r="CA284" s="93"/>
      <c r="CB284" s="93"/>
      <c r="CC284" s="93"/>
      <c r="CD284" s="93"/>
      <c r="CE284" s="93"/>
      <c r="CF284" s="93"/>
      <c r="CG284" s="93"/>
      <c r="CH284" s="93"/>
      <c r="CI284" s="93"/>
      <c r="CJ284" s="93"/>
      <c r="CK284" s="93"/>
      <c r="CL284" s="93"/>
      <c r="CM284" s="93"/>
      <c r="CN284" s="93"/>
      <c r="CO284" s="93"/>
      <c r="CP284" s="93"/>
      <c r="CQ284" s="93"/>
      <c r="CR284" s="93"/>
      <c r="CS284" s="93"/>
      <c r="CT284" s="93"/>
      <c r="CU284" s="93"/>
      <c r="CV284" s="93"/>
      <c r="CW284" s="93"/>
      <c r="CX284" s="93"/>
    </row>
    <row r="285" spans="1:102" ht="15" hidden="1" customHeight="1">
      <c r="A285" s="93"/>
      <c r="B285" s="93" t="e">
        <f>VLOOKUP($A285,  'Matriz POA 2024-TRABAJO'!$A$5:$CY$9142,29,FALSE)</f>
        <v>#N/A</v>
      </c>
      <c r="C285" s="93" t="e">
        <f>VLOOKUP($A285, 'Matriz POA 2024-TRABAJO'!$A$5:$CY$9142,11,FALSE)</f>
        <v>#N/A</v>
      </c>
      <c r="D285" s="93" t="e">
        <f>VLOOKUP($A285, 'Matriz POA 2024-TRABAJO'!$A$5:$CY$9142,14,FALSE)</f>
        <v>#N/A</v>
      </c>
      <c r="E285" s="93" t="e">
        <f>VLOOKUP($A285, 'Matriz POA 2024-TRABAJO'!$A$5:$CY$9142,15,FALSE)</f>
        <v>#N/A</v>
      </c>
      <c r="F285" s="93" t="e">
        <f>VLOOKUP($A285, 'Matriz POA 2024-TRABAJO'!$A$5:$CY$9142,18,FALSE)</f>
        <v>#N/A</v>
      </c>
      <c r="G285" s="93" t="e">
        <f>VLOOKUP($A285, 'Matriz POA 2024-TRABAJO'!$A$5:$CY$9142,23,FALSE)</f>
        <v>#N/A</v>
      </c>
      <c r="H285" s="93" t="e">
        <f>VLOOKUP($A285, 'Matriz POA 2024-TRABAJO'!$A$5:$CY$9142,24,FALSE)</f>
        <v>#N/A</v>
      </c>
      <c r="I285" s="93" t="e">
        <f>VLOOKUP($A285, 'Matriz POA 2024-TRABAJO'!$A$5:$CY$9142,20,FALSE)</f>
        <v>#N/A</v>
      </c>
      <c r="J285" s="93" t="e">
        <f>VLOOKUP($A285, 'Matriz POA 2024-TRABAJO'!$A$5:$CY$9142,26,FALSE)</f>
        <v>#N/A</v>
      </c>
      <c r="K285" s="93" t="e">
        <f>VLOOKUP($A285, 'Matriz POA 2024-TRABAJO'!$A$5:$CY$9142,27,FALSE)</f>
        <v>#N/A</v>
      </c>
      <c r="L285" s="93" t="e">
        <f>VLOOKUP($A285, 'Matriz POA 2024-TRABAJO'!$A$5:$CY$9142,28,FALSE)</f>
        <v>#N/A</v>
      </c>
      <c r="M285" s="93" t="e">
        <f>VLOOKUP($A285, 'Matriz POA 2024-TRABAJO'!$A$5:$CY$9142,30,FALSE)</f>
        <v>#N/A</v>
      </c>
      <c r="N285" s="93" t="e">
        <f>VLOOKUP($A285, 'Matriz POA 2024-TRABAJO'!$A$5:$CY$9142,31,FALSE)</f>
        <v>#N/A</v>
      </c>
      <c r="O285" s="93" t="e">
        <f>VLOOKUP($A285, 'Matriz POA 2024-TRABAJO'!$A$5:$CY$9142,45,FALSE)</f>
        <v>#N/A</v>
      </c>
      <c r="P285" s="93" t="e">
        <f>VLOOKUP($A285, 'Matriz POA 2024-TRABAJO'!$A$5:$CY$9142,46,FALSE)</f>
        <v>#N/A</v>
      </c>
      <c r="Q285" s="93" t="e">
        <f>VLOOKUP($A285, 'Matriz POA 2024-TRABAJO'!$A$5:$CY$9142,47,FALSE)</f>
        <v>#N/A</v>
      </c>
      <c r="R285" s="94">
        <f t="shared" si="217"/>
        <v>0</v>
      </c>
      <c r="S285" s="95" t="e">
        <f t="shared" si="218"/>
        <v>#N/A</v>
      </c>
      <c r="T285" s="93" t="e">
        <f>VLOOKUP($A285, 'Matriz POA 2024-TRABAJO'!$A$5:$CY$9142,72,FALSE)</f>
        <v>#N/A</v>
      </c>
      <c r="U285" s="93" t="e">
        <f>VLOOKUP($A285, 'Matriz POA 2024-TRABAJO'!$A$5:$CY$9142,29,FALSE)</f>
        <v>#N/A</v>
      </c>
      <c r="V285" s="93" t="str">
        <f t="shared" si="219"/>
        <v/>
      </c>
      <c r="W285" s="93"/>
      <c r="X285" s="93"/>
      <c r="Y285" s="93"/>
      <c r="Z285" s="93"/>
      <c r="AA285" s="93"/>
      <c r="AB285" s="93"/>
      <c r="AC285" s="93">
        <f t="shared" si="220"/>
        <v>0</v>
      </c>
      <c r="AD285" s="93"/>
      <c r="AE285" s="93"/>
      <c r="AF285" s="93"/>
      <c r="AG285" s="93"/>
      <c r="AH285" s="93"/>
      <c r="AI285" s="93"/>
      <c r="AJ285" s="93"/>
      <c r="AK285" s="93">
        <f t="shared" si="221"/>
        <v>0</v>
      </c>
      <c r="AL285" s="93"/>
      <c r="AM285" s="93"/>
      <c r="AN285" s="93"/>
      <c r="AO285" s="93"/>
      <c r="AP285" s="93"/>
      <c r="AQ285" s="93"/>
      <c r="AR285" s="93"/>
      <c r="AS285" s="93">
        <f t="shared" si="222"/>
        <v>0</v>
      </c>
      <c r="AT285" s="93"/>
      <c r="AU285" s="93"/>
      <c r="AV285" s="93"/>
      <c r="AW285" s="93"/>
      <c r="AX285" s="93"/>
      <c r="AY285" s="93"/>
      <c r="AZ285" s="93"/>
      <c r="BA285" s="93"/>
      <c r="BB285" s="93"/>
      <c r="BC285" s="93"/>
      <c r="BD285" s="93"/>
      <c r="BE285" s="93"/>
      <c r="BF285" s="93"/>
      <c r="BG285" s="93"/>
      <c r="BH285" s="93"/>
      <c r="BI285" s="93"/>
      <c r="BJ285" s="93"/>
      <c r="BK285" s="93"/>
      <c r="BL285" s="93"/>
      <c r="BM285" s="93"/>
      <c r="BN285" s="93"/>
      <c r="BO285" s="93"/>
      <c r="BP285" s="93"/>
      <c r="BQ285" s="93"/>
      <c r="BR285" s="93"/>
      <c r="BS285" s="93"/>
      <c r="BT285" s="93"/>
      <c r="BU285" s="93"/>
      <c r="BV285" s="93"/>
      <c r="BW285" s="93"/>
      <c r="BX285" s="93"/>
      <c r="BY285" s="93"/>
      <c r="BZ285" s="93"/>
      <c r="CA285" s="93"/>
      <c r="CB285" s="93"/>
      <c r="CC285" s="93"/>
      <c r="CD285" s="93"/>
      <c r="CE285" s="93"/>
      <c r="CF285" s="93"/>
      <c r="CG285" s="93"/>
      <c r="CH285" s="93"/>
      <c r="CI285" s="93"/>
      <c r="CJ285" s="93"/>
      <c r="CK285" s="93"/>
      <c r="CL285" s="93"/>
      <c r="CM285" s="93"/>
      <c r="CN285" s="93"/>
      <c r="CO285" s="93"/>
      <c r="CP285" s="93"/>
      <c r="CQ285" s="93"/>
      <c r="CR285" s="93"/>
      <c r="CS285" s="93"/>
      <c r="CT285" s="93"/>
      <c r="CU285" s="93"/>
      <c r="CV285" s="93"/>
      <c r="CW285" s="93"/>
      <c r="CX285" s="93"/>
    </row>
    <row r="286" spans="1:102" ht="15" hidden="1" customHeight="1">
      <c r="A286" s="93"/>
      <c r="B286" s="93" t="e">
        <f>VLOOKUP($A286,  'Matriz POA 2024-TRABAJO'!$A$5:$CY$9142,29,FALSE)</f>
        <v>#N/A</v>
      </c>
      <c r="C286" s="93" t="e">
        <f>VLOOKUP($A286, 'Matriz POA 2024-TRABAJO'!$A$5:$CY$9142,11,FALSE)</f>
        <v>#N/A</v>
      </c>
      <c r="D286" s="93" t="e">
        <f>VLOOKUP($A286, 'Matriz POA 2024-TRABAJO'!$A$5:$CY$9142,14,FALSE)</f>
        <v>#N/A</v>
      </c>
      <c r="E286" s="93" t="e">
        <f>VLOOKUP($A286, 'Matriz POA 2024-TRABAJO'!$A$5:$CY$9142,15,FALSE)</f>
        <v>#N/A</v>
      </c>
      <c r="F286" s="93" t="e">
        <f>VLOOKUP($A286, 'Matriz POA 2024-TRABAJO'!$A$5:$CY$9142,18,FALSE)</f>
        <v>#N/A</v>
      </c>
      <c r="G286" s="93" t="e">
        <f>VLOOKUP($A286, 'Matriz POA 2024-TRABAJO'!$A$5:$CY$9142,23,FALSE)</f>
        <v>#N/A</v>
      </c>
      <c r="H286" s="93" t="e">
        <f>VLOOKUP($A286, 'Matriz POA 2024-TRABAJO'!$A$5:$CY$9142,24,FALSE)</f>
        <v>#N/A</v>
      </c>
      <c r="I286" s="93" t="e">
        <f>VLOOKUP($A286, 'Matriz POA 2024-TRABAJO'!$A$5:$CY$9142,20,FALSE)</f>
        <v>#N/A</v>
      </c>
      <c r="J286" s="93" t="e">
        <f>VLOOKUP($A286, 'Matriz POA 2024-TRABAJO'!$A$5:$CY$9142,26,FALSE)</f>
        <v>#N/A</v>
      </c>
      <c r="K286" s="93" t="e">
        <f>VLOOKUP($A286, 'Matriz POA 2024-TRABAJO'!$A$5:$CY$9142,27,FALSE)</f>
        <v>#N/A</v>
      </c>
      <c r="L286" s="93" t="e">
        <f>VLOOKUP($A286, 'Matriz POA 2024-TRABAJO'!$A$5:$CY$9142,28,FALSE)</f>
        <v>#N/A</v>
      </c>
      <c r="M286" s="93" t="e">
        <f>VLOOKUP($A286, 'Matriz POA 2024-TRABAJO'!$A$5:$CY$9142,30,FALSE)</f>
        <v>#N/A</v>
      </c>
      <c r="N286" s="93" t="e">
        <f>VLOOKUP($A286, 'Matriz POA 2024-TRABAJO'!$A$5:$CY$9142,31,FALSE)</f>
        <v>#N/A</v>
      </c>
      <c r="O286" s="93" t="e">
        <f>VLOOKUP($A286, 'Matriz POA 2024-TRABAJO'!$A$5:$CY$9142,45,FALSE)</f>
        <v>#N/A</v>
      </c>
      <c r="P286" s="93" t="e">
        <f>VLOOKUP($A286, 'Matriz POA 2024-TRABAJO'!$A$5:$CY$9142,46,FALSE)</f>
        <v>#N/A</v>
      </c>
      <c r="Q286" s="93" t="e">
        <f>VLOOKUP($A286, 'Matriz POA 2024-TRABAJO'!$A$5:$CY$9142,47,FALSE)</f>
        <v>#N/A</v>
      </c>
      <c r="R286" s="94">
        <f t="shared" si="217"/>
        <v>0</v>
      </c>
      <c r="S286" s="95" t="e">
        <f t="shared" si="218"/>
        <v>#N/A</v>
      </c>
      <c r="T286" s="93" t="e">
        <f>VLOOKUP($A286, 'Matriz POA 2024-TRABAJO'!$A$5:$CY$9142,72,FALSE)</f>
        <v>#N/A</v>
      </c>
      <c r="U286" s="93" t="e">
        <f>VLOOKUP($A286, 'Matriz POA 2024-TRABAJO'!$A$5:$CY$9142,29,FALSE)</f>
        <v>#N/A</v>
      </c>
      <c r="V286" s="93" t="str">
        <f t="shared" si="219"/>
        <v/>
      </c>
      <c r="W286" s="93"/>
      <c r="X286" s="93"/>
      <c r="Y286" s="93"/>
      <c r="Z286" s="93"/>
      <c r="AA286" s="93"/>
      <c r="AB286" s="93"/>
      <c r="AC286" s="93">
        <f t="shared" si="220"/>
        <v>0</v>
      </c>
      <c r="AD286" s="93"/>
      <c r="AE286" s="93"/>
      <c r="AF286" s="93"/>
      <c r="AG286" s="93"/>
      <c r="AH286" s="93"/>
      <c r="AI286" s="93"/>
      <c r="AJ286" s="93"/>
      <c r="AK286" s="93">
        <f t="shared" si="221"/>
        <v>0</v>
      </c>
      <c r="AL286" s="93"/>
      <c r="AM286" s="93"/>
      <c r="AN286" s="93"/>
      <c r="AO286" s="93"/>
      <c r="AP286" s="93"/>
      <c r="AQ286" s="93"/>
      <c r="AR286" s="93"/>
      <c r="AS286" s="93">
        <f t="shared" si="222"/>
        <v>0</v>
      </c>
      <c r="AT286" s="93"/>
      <c r="AU286" s="93"/>
      <c r="AV286" s="93"/>
      <c r="AW286" s="93"/>
      <c r="AX286" s="93"/>
      <c r="AY286" s="93"/>
      <c r="AZ286" s="93"/>
      <c r="BA286" s="93"/>
      <c r="BB286" s="93"/>
      <c r="BC286" s="93"/>
      <c r="BD286" s="93"/>
      <c r="BE286" s="93"/>
      <c r="BF286" s="93"/>
      <c r="BG286" s="93"/>
      <c r="BH286" s="93"/>
      <c r="BI286" s="93"/>
      <c r="BJ286" s="93"/>
      <c r="BK286" s="93"/>
      <c r="BL286" s="93"/>
      <c r="BM286" s="93"/>
      <c r="BN286" s="93"/>
      <c r="BO286" s="93"/>
      <c r="BP286" s="93"/>
      <c r="BQ286" s="93"/>
      <c r="BR286" s="93"/>
      <c r="BS286" s="93"/>
      <c r="BT286" s="93"/>
      <c r="BU286" s="93"/>
      <c r="BV286" s="93"/>
      <c r="BW286" s="93"/>
      <c r="BX286" s="93"/>
      <c r="BY286" s="93"/>
      <c r="BZ286" s="93"/>
      <c r="CA286" s="93"/>
      <c r="CB286" s="93"/>
      <c r="CC286" s="93"/>
      <c r="CD286" s="93"/>
      <c r="CE286" s="93"/>
      <c r="CF286" s="93"/>
      <c r="CG286" s="93"/>
      <c r="CH286" s="93"/>
      <c r="CI286" s="93"/>
      <c r="CJ286" s="93"/>
      <c r="CK286" s="93"/>
      <c r="CL286" s="93"/>
      <c r="CM286" s="93"/>
      <c r="CN286" s="93"/>
      <c r="CO286" s="93"/>
      <c r="CP286" s="93"/>
      <c r="CQ286" s="93"/>
      <c r="CR286" s="93"/>
      <c r="CS286" s="93"/>
      <c r="CT286" s="93"/>
      <c r="CU286" s="93"/>
      <c r="CV286" s="93"/>
      <c r="CW286" s="93"/>
      <c r="CX286" s="93"/>
    </row>
    <row r="287" spans="1:102" ht="15" hidden="1" customHeight="1">
      <c r="A287" s="93"/>
      <c r="B287" s="93" t="e">
        <f>VLOOKUP($A287,  'Matriz POA 2024-TRABAJO'!$A$5:$CY$9142,29,FALSE)</f>
        <v>#N/A</v>
      </c>
      <c r="C287" s="93" t="e">
        <f>VLOOKUP($A287, 'Matriz POA 2024-TRABAJO'!$A$5:$CY$9142,11,FALSE)</f>
        <v>#N/A</v>
      </c>
      <c r="D287" s="93" t="e">
        <f>VLOOKUP($A287, 'Matriz POA 2024-TRABAJO'!$A$5:$CY$9142,14,FALSE)</f>
        <v>#N/A</v>
      </c>
      <c r="E287" s="93" t="e">
        <f>VLOOKUP($A287, 'Matriz POA 2024-TRABAJO'!$A$5:$CY$9142,15,FALSE)</f>
        <v>#N/A</v>
      </c>
      <c r="F287" s="93" t="e">
        <f>VLOOKUP($A287, 'Matriz POA 2024-TRABAJO'!$A$5:$CY$9142,18,FALSE)</f>
        <v>#N/A</v>
      </c>
      <c r="G287" s="93" t="e">
        <f>VLOOKUP($A287, 'Matriz POA 2024-TRABAJO'!$A$5:$CY$9142,23,FALSE)</f>
        <v>#N/A</v>
      </c>
      <c r="H287" s="93" t="e">
        <f>VLOOKUP($A287, 'Matriz POA 2024-TRABAJO'!$A$5:$CY$9142,24,FALSE)</f>
        <v>#N/A</v>
      </c>
      <c r="I287" s="93" t="e">
        <f>VLOOKUP($A287, 'Matriz POA 2024-TRABAJO'!$A$5:$CY$9142,20,FALSE)</f>
        <v>#N/A</v>
      </c>
      <c r="J287" s="93" t="e">
        <f>VLOOKUP($A287, 'Matriz POA 2024-TRABAJO'!$A$5:$CY$9142,26,FALSE)</f>
        <v>#N/A</v>
      </c>
      <c r="K287" s="93" t="e">
        <f>VLOOKUP($A287, 'Matriz POA 2024-TRABAJO'!$A$5:$CY$9142,27,FALSE)</f>
        <v>#N/A</v>
      </c>
      <c r="L287" s="93" t="e">
        <f>VLOOKUP($A287, 'Matriz POA 2024-TRABAJO'!$A$5:$CY$9142,28,FALSE)</f>
        <v>#N/A</v>
      </c>
      <c r="M287" s="93" t="e">
        <f>VLOOKUP($A287, 'Matriz POA 2024-TRABAJO'!$A$5:$CY$9142,30,FALSE)</f>
        <v>#N/A</v>
      </c>
      <c r="N287" s="93" t="e">
        <f>VLOOKUP($A287, 'Matriz POA 2024-TRABAJO'!$A$5:$CY$9142,31,FALSE)</f>
        <v>#N/A</v>
      </c>
      <c r="O287" s="93" t="e">
        <f>VLOOKUP($A287, 'Matriz POA 2024-TRABAJO'!$A$5:$CY$9142,45,FALSE)</f>
        <v>#N/A</v>
      </c>
      <c r="P287" s="93" t="e">
        <f>VLOOKUP($A287, 'Matriz POA 2024-TRABAJO'!$A$5:$CY$9142,46,FALSE)</f>
        <v>#N/A</v>
      </c>
      <c r="Q287" s="93" t="e">
        <f>VLOOKUP($A287, 'Matriz POA 2024-TRABAJO'!$A$5:$CY$9142,47,FALSE)</f>
        <v>#N/A</v>
      </c>
      <c r="R287" s="94">
        <f t="shared" si="217"/>
        <v>0</v>
      </c>
      <c r="S287" s="95" t="e">
        <f t="shared" si="218"/>
        <v>#N/A</v>
      </c>
      <c r="T287" s="93" t="e">
        <f>VLOOKUP($A287, 'Matriz POA 2024-TRABAJO'!$A$5:$CY$9142,72,FALSE)</f>
        <v>#N/A</v>
      </c>
      <c r="U287" s="93" t="e">
        <f>VLOOKUP($A287, 'Matriz POA 2024-TRABAJO'!$A$5:$CY$9142,29,FALSE)</f>
        <v>#N/A</v>
      </c>
      <c r="V287" s="93" t="str">
        <f t="shared" si="219"/>
        <v/>
      </c>
      <c r="W287" s="93"/>
      <c r="X287" s="93"/>
      <c r="Y287" s="93"/>
      <c r="Z287" s="93"/>
      <c r="AA287" s="93"/>
      <c r="AB287" s="93"/>
      <c r="AC287" s="93">
        <f t="shared" si="220"/>
        <v>0</v>
      </c>
      <c r="AD287" s="93"/>
      <c r="AE287" s="93"/>
      <c r="AF287" s="93"/>
      <c r="AG287" s="93"/>
      <c r="AH287" s="93"/>
      <c r="AI287" s="93"/>
      <c r="AJ287" s="93"/>
      <c r="AK287" s="93">
        <f t="shared" si="221"/>
        <v>0</v>
      </c>
      <c r="AL287" s="93"/>
      <c r="AM287" s="93"/>
      <c r="AN287" s="93"/>
      <c r="AO287" s="93"/>
      <c r="AP287" s="93"/>
      <c r="AQ287" s="93"/>
      <c r="AR287" s="93"/>
      <c r="AS287" s="93">
        <f t="shared" si="222"/>
        <v>0</v>
      </c>
      <c r="AT287" s="93"/>
      <c r="AU287" s="93"/>
      <c r="AV287" s="93"/>
      <c r="AW287" s="93"/>
      <c r="AX287" s="93"/>
      <c r="AY287" s="93"/>
      <c r="AZ287" s="93"/>
      <c r="BA287" s="93"/>
      <c r="BB287" s="93"/>
      <c r="BC287" s="93"/>
      <c r="BD287" s="93"/>
      <c r="BE287" s="93"/>
      <c r="BF287" s="93"/>
      <c r="BG287" s="93"/>
      <c r="BH287" s="93"/>
      <c r="BI287" s="93"/>
      <c r="BJ287" s="93"/>
      <c r="BK287" s="93"/>
      <c r="BL287" s="93"/>
      <c r="BM287" s="93"/>
      <c r="BN287" s="93"/>
      <c r="BO287" s="93"/>
      <c r="BP287" s="93"/>
      <c r="BQ287" s="93"/>
      <c r="BR287" s="93"/>
      <c r="BS287" s="93"/>
      <c r="BT287" s="93"/>
      <c r="BU287" s="93"/>
      <c r="BV287" s="93"/>
      <c r="BW287" s="93"/>
      <c r="BX287" s="93"/>
      <c r="BY287" s="93"/>
      <c r="BZ287" s="93"/>
      <c r="CA287" s="93"/>
      <c r="CB287" s="93"/>
      <c r="CC287" s="93"/>
      <c r="CD287" s="93"/>
      <c r="CE287" s="93"/>
      <c r="CF287" s="93"/>
      <c r="CG287" s="93"/>
      <c r="CH287" s="93"/>
      <c r="CI287" s="93"/>
      <c r="CJ287" s="93"/>
      <c r="CK287" s="93"/>
      <c r="CL287" s="93"/>
      <c r="CM287" s="93"/>
      <c r="CN287" s="93"/>
      <c r="CO287" s="93"/>
      <c r="CP287" s="93"/>
      <c r="CQ287" s="93"/>
      <c r="CR287" s="93"/>
      <c r="CS287" s="93"/>
      <c r="CT287" s="93"/>
      <c r="CU287" s="93"/>
      <c r="CV287" s="93"/>
      <c r="CW287" s="93"/>
      <c r="CX287" s="93"/>
    </row>
    <row r="288" spans="1:102" ht="15" hidden="1" customHeight="1">
      <c r="A288" s="93"/>
      <c r="B288" s="93" t="e">
        <f>VLOOKUP($A288,  'Matriz POA 2024-TRABAJO'!$A$5:$CY$9142,29,FALSE)</f>
        <v>#N/A</v>
      </c>
      <c r="C288" s="93" t="e">
        <f>VLOOKUP($A288, 'Matriz POA 2024-TRABAJO'!$A$5:$CY$9142,11,FALSE)</f>
        <v>#N/A</v>
      </c>
      <c r="D288" s="93" t="e">
        <f>VLOOKUP($A288, 'Matriz POA 2024-TRABAJO'!$A$5:$CY$9142,14,FALSE)</f>
        <v>#N/A</v>
      </c>
      <c r="E288" s="93" t="e">
        <f>VLOOKUP($A288, 'Matriz POA 2024-TRABAJO'!$A$5:$CY$9142,15,FALSE)</f>
        <v>#N/A</v>
      </c>
      <c r="F288" s="93" t="e">
        <f>VLOOKUP($A288, 'Matriz POA 2024-TRABAJO'!$A$5:$CY$9142,18,FALSE)</f>
        <v>#N/A</v>
      </c>
      <c r="G288" s="93" t="e">
        <f>VLOOKUP($A288, 'Matriz POA 2024-TRABAJO'!$A$5:$CY$9142,23,FALSE)</f>
        <v>#N/A</v>
      </c>
      <c r="H288" s="93" t="e">
        <f>VLOOKUP($A288, 'Matriz POA 2024-TRABAJO'!$A$5:$CY$9142,24,FALSE)</f>
        <v>#N/A</v>
      </c>
      <c r="I288" s="93" t="e">
        <f>VLOOKUP($A288, 'Matriz POA 2024-TRABAJO'!$A$5:$CY$9142,20,FALSE)</f>
        <v>#N/A</v>
      </c>
      <c r="J288" s="93" t="e">
        <f>VLOOKUP($A288, 'Matriz POA 2024-TRABAJO'!$A$5:$CY$9142,26,FALSE)</f>
        <v>#N/A</v>
      </c>
      <c r="K288" s="93" t="e">
        <f>VLOOKUP($A288, 'Matriz POA 2024-TRABAJO'!$A$5:$CY$9142,27,FALSE)</f>
        <v>#N/A</v>
      </c>
      <c r="L288" s="93" t="e">
        <f>VLOOKUP($A288, 'Matriz POA 2024-TRABAJO'!$A$5:$CY$9142,28,FALSE)</f>
        <v>#N/A</v>
      </c>
      <c r="M288" s="93" t="e">
        <f>VLOOKUP($A288, 'Matriz POA 2024-TRABAJO'!$A$5:$CY$9142,30,FALSE)</f>
        <v>#N/A</v>
      </c>
      <c r="N288" s="93" t="e">
        <f>VLOOKUP($A288, 'Matriz POA 2024-TRABAJO'!$A$5:$CY$9142,31,FALSE)</f>
        <v>#N/A</v>
      </c>
      <c r="O288" s="93" t="e">
        <f>VLOOKUP($A288, 'Matriz POA 2024-TRABAJO'!$A$5:$CY$9142,45,FALSE)</f>
        <v>#N/A</v>
      </c>
      <c r="P288" s="93" t="e">
        <f>VLOOKUP($A288, 'Matriz POA 2024-TRABAJO'!$A$5:$CY$9142,46,FALSE)</f>
        <v>#N/A</v>
      </c>
      <c r="Q288" s="93" t="e">
        <f>VLOOKUP($A288, 'Matriz POA 2024-TRABAJO'!$A$5:$CY$9142,47,FALSE)</f>
        <v>#N/A</v>
      </c>
      <c r="R288" s="94">
        <f t="shared" si="217"/>
        <v>0</v>
      </c>
      <c r="S288" s="95" t="e">
        <f t="shared" si="218"/>
        <v>#N/A</v>
      </c>
      <c r="T288" s="93" t="e">
        <f>VLOOKUP($A288, 'Matriz POA 2024-TRABAJO'!$A$5:$CY$9142,72,FALSE)</f>
        <v>#N/A</v>
      </c>
      <c r="U288" s="93" t="e">
        <f>VLOOKUP($A288, 'Matriz POA 2024-TRABAJO'!$A$5:$CY$9142,29,FALSE)</f>
        <v>#N/A</v>
      </c>
      <c r="V288" s="93" t="str">
        <f t="shared" si="219"/>
        <v/>
      </c>
      <c r="W288" s="93"/>
      <c r="X288" s="93"/>
      <c r="Y288" s="93"/>
      <c r="Z288" s="93"/>
      <c r="AA288" s="93"/>
      <c r="AB288" s="93"/>
      <c r="AC288" s="93">
        <f t="shared" si="220"/>
        <v>0</v>
      </c>
      <c r="AD288" s="93"/>
      <c r="AE288" s="93"/>
      <c r="AF288" s="93"/>
      <c r="AG288" s="93"/>
      <c r="AH288" s="93"/>
      <c r="AI288" s="93"/>
      <c r="AJ288" s="93"/>
      <c r="AK288" s="93">
        <f t="shared" si="221"/>
        <v>0</v>
      </c>
      <c r="AL288" s="93"/>
      <c r="AM288" s="93"/>
      <c r="AN288" s="93"/>
      <c r="AO288" s="93"/>
      <c r="AP288" s="93"/>
      <c r="AQ288" s="93"/>
      <c r="AR288" s="93"/>
      <c r="AS288" s="93">
        <f t="shared" si="222"/>
        <v>0</v>
      </c>
      <c r="AT288" s="93"/>
      <c r="AU288" s="93"/>
      <c r="AV288" s="93"/>
      <c r="AW288" s="93"/>
      <c r="AX288" s="93"/>
      <c r="AY288" s="93"/>
      <c r="AZ288" s="93"/>
      <c r="BA288" s="93"/>
      <c r="BB288" s="93"/>
      <c r="BC288" s="93"/>
      <c r="BD288" s="93"/>
      <c r="BE288" s="93"/>
      <c r="BF288" s="93"/>
      <c r="BG288" s="93"/>
      <c r="BH288" s="93"/>
      <c r="BI288" s="93"/>
      <c r="BJ288" s="93"/>
      <c r="BK288" s="93"/>
      <c r="BL288" s="93"/>
      <c r="BM288" s="93"/>
      <c r="BN288" s="93"/>
      <c r="BO288" s="93"/>
      <c r="BP288" s="93"/>
      <c r="BQ288" s="93"/>
      <c r="BR288" s="93"/>
      <c r="BS288" s="93"/>
      <c r="BT288" s="93"/>
      <c r="BU288" s="93"/>
      <c r="BV288" s="93"/>
      <c r="BW288" s="93"/>
      <c r="BX288" s="93"/>
      <c r="BY288" s="93"/>
      <c r="BZ288" s="93"/>
      <c r="CA288" s="93"/>
      <c r="CB288" s="93"/>
      <c r="CC288" s="93"/>
      <c r="CD288" s="93"/>
      <c r="CE288" s="93"/>
      <c r="CF288" s="93"/>
      <c r="CG288" s="93"/>
      <c r="CH288" s="93"/>
      <c r="CI288" s="93"/>
      <c r="CJ288" s="93"/>
      <c r="CK288" s="93"/>
      <c r="CL288" s="93"/>
      <c r="CM288" s="93"/>
      <c r="CN288" s="93"/>
      <c r="CO288" s="93"/>
      <c r="CP288" s="93"/>
      <c r="CQ288" s="93"/>
      <c r="CR288" s="93"/>
      <c r="CS288" s="93"/>
      <c r="CT288" s="93"/>
      <c r="CU288" s="93"/>
      <c r="CV288" s="93"/>
      <c r="CW288" s="93"/>
      <c r="CX288" s="93"/>
    </row>
    <row r="289" spans="1:102" ht="15" hidden="1" customHeight="1">
      <c r="A289" s="93"/>
      <c r="B289" s="93" t="e">
        <f>VLOOKUP($A289,  'Matriz POA 2024-TRABAJO'!$A$5:$CY$9142,29,FALSE)</f>
        <v>#N/A</v>
      </c>
      <c r="C289" s="93" t="e">
        <f>VLOOKUP($A289, 'Matriz POA 2024-TRABAJO'!$A$5:$CY$9142,11,FALSE)</f>
        <v>#N/A</v>
      </c>
      <c r="D289" s="93" t="e">
        <f>VLOOKUP($A289, 'Matriz POA 2024-TRABAJO'!$A$5:$CY$9142,14,FALSE)</f>
        <v>#N/A</v>
      </c>
      <c r="E289" s="93" t="e">
        <f>VLOOKUP($A289, 'Matriz POA 2024-TRABAJO'!$A$5:$CY$9142,15,FALSE)</f>
        <v>#N/A</v>
      </c>
      <c r="F289" s="93" t="e">
        <f>VLOOKUP($A289, 'Matriz POA 2024-TRABAJO'!$A$5:$CY$9142,18,FALSE)</f>
        <v>#N/A</v>
      </c>
      <c r="G289" s="93" t="e">
        <f>VLOOKUP($A289, 'Matriz POA 2024-TRABAJO'!$A$5:$CY$9142,23,FALSE)</f>
        <v>#N/A</v>
      </c>
      <c r="H289" s="93" t="e">
        <f>VLOOKUP($A289, 'Matriz POA 2024-TRABAJO'!$A$5:$CY$9142,24,FALSE)</f>
        <v>#N/A</v>
      </c>
      <c r="I289" s="93" t="e">
        <f>VLOOKUP($A289, 'Matriz POA 2024-TRABAJO'!$A$5:$CY$9142,20,FALSE)</f>
        <v>#N/A</v>
      </c>
      <c r="J289" s="93" t="e">
        <f>VLOOKUP($A289, 'Matriz POA 2024-TRABAJO'!$A$5:$CY$9142,26,FALSE)</f>
        <v>#N/A</v>
      </c>
      <c r="K289" s="93" t="e">
        <f>VLOOKUP($A289, 'Matriz POA 2024-TRABAJO'!$A$5:$CY$9142,27,FALSE)</f>
        <v>#N/A</v>
      </c>
      <c r="L289" s="93" t="e">
        <f>VLOOKUP($A289, 'Matriz POA 2024-TRABAJO'!$A$5:$CY$9142,28,FALSE)</f>
        <v>#N/A</v>
      </c>
      <c r="M289" s="93" t="e">
        <f>VLOOKUP($A289, 'Matriz POA 2024-TRABAJO'!$A$5:$CY$9142,30,FALSE)</f>
        <v>#N/A</v>
      </c>
      <c r="N289" s="93" t="e">
        <f>VLOOKUP($A289, 'Matriz POA 2024-TRABAJO'!$A$5:$CY$9142,31,FALSE)</f>
        <v>#N/A</v>
      </c>
      <c r="O289" s="93" t="e">
        <f>VLOOKUP($A289, 'Matriz POA 2024-TRABAJO'!$A$5:$CY$9142,45,FALSE)</f>
        <v>#N/A</v>
      </c>
      <c r="P289" s="93" t="e">
        <f>VLOOKUP($A289, 'Matriz POA 2024-TRABAJO'!$A$5:$CY$9142,46,FALSE)</f>
        <v>#N/A</v>
      </c>
      <c r="Q289" s="93" t="e">
        <f>VLOOKUP($A289, 'Matriz POA 2024-TRABAJO'!$A$5:$CY$9142,47,FALSE)</f>
        <v>#N/A</v>
      </c>
      <c r="R289" s="94">
        <f t="shared" si="217"/>
        <v>0</v>
      </c>
      <c r="S289" s="95" t="e">
        <f t="shared" si="218"/>
        <v>#N/A</v>
      </c>
      <c r="T289" s="93" t="e">
        <f>VLOOKUP($A289, 'Matriz POA 2024-TRABAJO'!$A$5:$CY$9142,72,FALSE)</f>
        <v>#N/A</v>
      </c>
      <c r="U289" s="93" t="e">
        <f>VLOOKUP($A289, 'Matriz POA 2024-TRABAJO'!$A$5:$CY$9142,29,FALSE)</f>
        <v>#N/A</v>
      </c>
      <c r="V289" s="93" t="str">
        <f t="shared" si="219"/>
        <v/>
      </c>
      <c r="W289" s="93"/>
      <c r="X289" s="93"/>
      <c r="Y289" s="93"/>
      <c r="Z289" s="93"/>
      <c r="AA289" s="93"/>
      <c r="AB289" s="93"/>
      <c r="AC289" s="93">
        <f t="shared" si="220"/>
        <v>0</v>
      </c>
      <c r="AD289" s="93"/>
      <c r="AE289" s="93"/>
      <c r="AF289" s="93"/>
      <c r="AG289" s="93"/>
      <c r="AH289" s="93"/>
      <c r="AI289" s="93"/>
      <c r="AJ289" s="93"/>
      <c r="AK289" s="93">
        <f t="shared" si="221"/>
        <v>0</v>
      </c>
      <c r="AL289" s="93"/>
      <c r="AM289" s="93"/>
      <c r="AN289" s="93"/>
      <c r="AO289" s="93"/>
      <c r="AP289" s="93"/>
      <c r="AQ289" s="93"/>
      <c r="AR289" s="93"/>
      <c r="AS289" s="93">
        <f t="shared" si="222"/>
        <v>0</v>
      </c>
      <c r="AT289" s="93"/>
      <c r="AU289" s="93"/>
      <c r="AV289" s="93"/>
      <c r="AW289" s="93"/>
      <c r="AX289" s="93"/>
      <c r="AY289" s="93"/>
      <c r="AZ289" s="93"/>
      <c r="BA289" s="93"/>
      <c r="BB289" s="93"/>
      <c r="BC289" s="93"/>
      <c r="BD289" s="93"/>
      <c r="BE289" s="93"/>
      <c r="BF289" s="93"/>
      <c r="BG289" s="93"/>
      <c r="BH289" s="93"/>
      <c r="BI289" s="93"/>
      <c r="BJ289" s="93"/>
      <c r="BK289" s="93"/>
      <c r="BL289" s="93"/>
      <c r="BM289" s="93"/>
      <c r="BN289" s="93"/>
      <c r="BO289" s="93"/>
      <c r="BP289" s="93"/>
      <c r="BQ289" s="93"/>
      <c r="BR289" s="93"/>
      <c r="BS289" s="93"/>
      <c r="BT289" s="93"/>
      <c r="BU289" s="93"/>
      <c r="BV289" s="93"/>
      <c r="BW289" s="93"/>
      <c r="BX289" s="93"/>
      <c r="BY289" s="93"/>
      <c r="BZ289" s="93"/>
      <c r="CA289" s="93"/>
      <c r="CB289" s="93"/>
      <c r="CC289" s="93"/>
      <c r="CD289" s="93"/>
      <c r="CE289" s="93"/>
      <c r="CF289" s="93"/>
      <c r="CG289" s="93"/>
      <c r="CH289" s="93"/>
      <c r="CI289" s="93"/>
      <c r="CJ289" s="93"/>
      <c r="CK289" s="93"/>
      <c r="CL289" s="93"/>
      <c r="CM289" s="93"/>
      <c r="CN289" s="93"/>
      <c r="CO289" s="93"/>
      <c r="CP289" s="93"/>
      <c r="CQ289" s="93"/>
      <c r="CR289" s="93"/>
      <c r="CS289" s="93"/>
      <c r="CT289" s="93"/>
      <c r="CU289" s="93"/>
      <c r="CV289" s="93"/>
      <c r="CW289" s="93"/>
      <c r="CX289" s="93"/>
    </row>
    <row r="290" spans="1:102" ht="15" hidden="1" customHeight="1">
      <c r="A290" s="93"/>
      <c r="B290" s="93" t="e">
        <f>VLOOKUP($A290,  'Matriz POA 2024-TRABAJO'!$A$5:$CY$9142,29,FALSE)</f>
        <v>#N/A</v>
      </c>
      <c r="C290" s="93" t="e">
        <f>VLOOKUP($A290, 'Matriz POA 2024-TRABAJO'!$A$5:$CY$9142,11,FALSE)</f>
        <v>#N/A</v>
      </c>
      <c r="D290" s="93" t="e">
        <f>VLOOKUP($A290, 'Matriz POA 2024-TRABAJO'!$A$5:$CY$9142,14,FALSE)</f>
        <v>#N/A</v>
      </c>
      <c r="E290" s="93" t="e">
        <f>VLOOKUP($A290, 'Matriz POA 2024-TRABAJO'!$A$5:$CY$9142,15,FALSE)</f>
        <v>#N/A</v>
      </c>
      <c r="F290" s="93" t="e">
        <f>VLOOKUP($A290, 'Matriz POA 2024-TRABAJO'!$A$5:$CY$9142,18,FALSE)</f>
        <v>#N/A</v>
      </c>
      <c r="G290" s="93" t="e">
        <f>VLOOKUP($A290, 'Matriz POA 2024-TRABAJO'!$A$5:$CY$9142,23,FALSE)</f>
        <v>#N/A</v>
      </c>
      <c r="H290" s="93" t="e">
        <f>VLOOKUP($A290, 'Matriz POA 2024-TRABAJO'!$A$5:$CY$9142,24,FALSE)</f>
        <v>#N/A</v>
      </c>
      <c r="I290" s="93" t="e">
        <f>VLOOKUP($A290, 'Matriz POA 2024-TRABAJO'!$A$5:$CY$9142,20,FALSE)</f>
        <v>#N/A</v>
      </c>
      <c r="J290" s="93" t="e">
        <f>VLOOKUP($A290, 'Matriz POA 2024-TRABAJO'!$A$5:$CY$9142,26,FALSE)</f>
        <v>#N/A</v>
      </c>
      <c r="K290" s="93" t="e">
        <f>VLOOKUP($A290, 'Matriz POA 2024-TRABAJO'!$A$5:$CY$9142,27,FALSE)</f>
        <v>#N/A</v>
      </c>
      <c r="L290" s="93" t="e">
        <f>VLOOKUP($A290, 'Matriz POA 2024-TRABAJO'!$A$5:$CY$9142,28,FALSE)</f>
        <v>#N/A</v>
      </c>
      <c r="M290" s="93" t="e">
        <f>VLOOKUP($A290, 'Matriz POA 2024-TRABAJO'!$A$5:$CY$9142,30,FALSE)</f>
        <v>#N/A</v>
      </c>
      <c r="N290" s="93" t="e">
        <f>VLOOKUP($A290, 'Matriz POA 2024-TRABAJO'!$A$5:$CY$9142,31,FALSE)</f>
        <v>#N/A</v>
      </c>
      <c r="O290" s="93" t="e">
        <f>VLOOKUP($A290, 'Matriz POA 2024-TRABAJO'!$A$5:$CY$9142,45,FALSE)</f>
        <v>#N/A</v>
      </c>
      <c r="P290" s="93" t="e">
        <f>VLOOKUP($A290, 'Matriz POA 2024-TRABAJO'!$A$5:$CY$9142,46,FALSE)</f>
        <v>#N/A</v>
      </c>
      <c r="Q290" s="93" t="e">
        <f>VLOOKUP($A290, 'Matriz POA 2024-TRABAJO'!$A$5:$CY$9142,47,FALSE)</f>
        <v>#N/A</v>
      </c>
      <c r="R290" s="94">
        <f t="shared" si="217"/>
        <v>0</v>
      </c>
      <c r="S290" s="95" t="e">
        <f t="shared" si="218"/>
        <v>#N/A</v>
      </c>
      <c r="T290" s="93" t="e">
        <f>VLOOKUP($A290, 'Matriz POA 2024-TRABAJO'!$A$5:$CY$9142,72,FALSE)</f>
        <v>#N/A</v>
      </c>
      <c r="U290" s="93" t="e">
        <f>VLOOKUP($A290, 'Matriz POA 2024-TRABAJO'!$A$5:$CY$9142,29,FALSE)</f>
        <v>#N/A</v>
      </c>
      <c r="V290" s="93" t="str">
        <f t="shared" si="219"/>
        <v/>
      </c>
      <c r="W290" s="93"/>
      <c r="X290" s="93"/>
      <c r="Y290" s="93"/>
      <c r="Z290" s="93"/>
      <c r="AA290" s="93"/>
      <c r="AB290" s="93"/>
      <c r="AC290" s="93">
        <f t="shared" si="220"/>
        <v>0</v>
      </c>
      <c r="AD290" s="93"/>
      <c r="AE290" s="93"/>
      <c r="AF290" s="93"/>
      <c r="AG290" s="93"/>
      <c r="AH290" s="93"/>
      <c r="AI290" s="93"/>
      <c r="AJ290" s="93"/>
      <c r="AK290" s="93">
        <f t="shared" si="221"/>
        <v>0</v>
      </c>
      <c r="AL290" s="93"/>
      <c r="AM290" s="93"/>
      <c r="AN290" s="93"/>
      <c r="AO290" s="93"/>
      <c r="AP290" s="93"/>
      <c r="AQ290" s="93"/>
      <c r="AR290" s="93"/>
      <c r="AS290" s="93">
        <f t="shared" si="222"/>
        <v>0</v>
      </c>
      <c r="AT290" s="93"/>
      <c r="AU290" s="93"/>
      <c r="AV290" s="93"/>
      <c r="AW290" s="93"/>
      <c r="AX290" s="93"/>
      <c r="AY290" s="93"/>
      <c r="AZ290" s="93"/>
      <c r="BA290" s="93"/>
      <c r="BB290" s="93"/>
      <c r="BC290" s="93"/>
      <c r="BD290" s="93"/>
      <c r="BE290" s="93"/>
      <c r="BF290" s="93"/>
      <c r="BG290" s="93"/>
      <c r="BH290" s="93"/>
      <c r="BI290" s="93"/>
      <c r="BJ290" s="93"/>
      <c r="BK290" s="93"/>
      <c r="BL290" s="93"/>
      <c r="BM290" s="93"/>
      <c r="BN290" s="93"/>
      <c r="BO290" s="93"/>
      <c r="BP290" s="93"/>
      <c r="BQ290" s="93"/>
      <c r="BR290" s="93"/>
      <c r="BS290" s="93"/>
      <c r="BT290" s="93"/>
      <c r="BU290" s="93"/>
      <c r="BV290" s="93"/>
      <c r="BW290" s="93"/>
      <c r="BX290" s="93"/>
      <c r="BY290" s="93"/>
      <c r="BZ290" s="93"/>
      <c r="CA290" s="93"/>
      <c r="CB290" s="93"/>
      <c r="CC290" s="93"/>
      <c r="CD290" s="93"/>
      <c r="CE290" s="93"/>
      <c r="CF290" s="93"/>
      <c r="CG290" s="93"/>
      <c r="CH290" s="93"/>
      <c r="CI290" s="93"/>
      <c r="CJ290" s="93"/>
      <c r="CK290" s="93"/>
      <c r="CL290" s="93"/>
      <c r="CM290" s="93"/>
      <c r="CN290" s="93"/>
      <c r="CO290" s="93"/>
      <c r="CP290" s="93"/>
      <c r="CQ290" s="93"/>
      <c r="CR290" s="93"/>
      <c r="CS290" s="93"/>
      <c r="CT290" s="93"/>
      <c r="CU290" s="93"/>
      <c r="CV290" s="93"/>
      <c r="CW290" s="93"/>
      <c r="CX290" s="93"/>
    </row>
    <row r="291" spans="1:102" ht="15" hidden="1" customHeight="1">
      <c r="A291" s="93"/>
      <c r="B291" s="93" t="e">
        <f>VLOOKUP($A291,  'Matriz POA 2024-TRABAJO'!$A$5:$CY$9142,29,FALSE)</f>
        <v>#N/A</v>
      </c>
      <c r="C291" s="93" t="e">
        <f>VLOOKUP($A291, 'Matriz POA 2024-TRABAJO'!$A$5:$CY$9142,11,FALSE)</f>
        <v>#N/A</v>
      </c>
      <c r="D291" s="93" t="e">
        <f>VLOOKUP($A291, 'Matriz POA 2024-TRABAJO'!$A$5:$CY$9142,14,FALSE)</f>
        <v>#N/A</v>
      </c>
      <c r="E291" s="93" t="e">
        <f>VLOOKUP($A291, 'Matriz POA 2024-TRABAJO'!$A$5:$CY$9142,15,FALSE)</f>
        <v>#N/A</v>
      </c>
      <c r="F291" s="93" t="e">
        <f>VLOOKUP($A291, 'Matriz POA 2024-TRABAJO'!$A$5:$CY$9142,18,FALSE)</f>
        <v>#N/A</v>
      </c>
      <c r="G291" s="93" t="e">
        <f>VLOOKUP($A291, 'Matriz POA 2024-TRABAJO'!$A$5:$CY$9142,23,FALSE)</f>
        <v>#N/A</v>
      </c>
      <c r="H291" s="93" t="e">
        <f>VLOOKUP($A291, 'Matriz POA 2024-TRABAJO'!$A$5:$CY$9142,24,FALSE)</f>
        <v>#N/A</v>
      </c>
      <c r="I291" s="93" t="e">
        <f>VLOOKUP($A291, 'Matriz POA 2024-TRABAJO'!$A$5:$CY$9142,20,FALSE)</f>
        <v>#N/A</v>
      </c>
      <c r="J291" s="93" t="e">
        <f>VLOOKUP($A291, 'Matriz POA 2024-TRABAJO'!$A$5:$CY$9142,26,FALSE)</f>
        <v>#N/A</v>
      </c>
      <c r="K291" s="93" t="e">
        <f>VLOOKUP($A291, 'Matriz POA 2024-TRABAJO'!$A$5:$CY$9142,27,FALSE)</f>
        <v>#N/A</v>
      </c>
      <c r="L291" s="93" t="e">
        <f>VLOOKUP($A291, 'Matriz POA 2024-TRABAJO'!$A$5:$CY$9142,28,FALSE)</f>
        <v>#N/A</v>
      </c>
      <c r="M291" s="93" t="e">
        <f>VLOOKUP($A291, 'Matriz POA 2024-TRABAJO'!$A$5:$CY$9142,30,FALSE)</f>
        <v>#N/A</v>
      </c>
      <c r="N291" s="93" t="e">
        <f>VLOOKUP($A291, 'Matriz POA 2024-TRABAJO'!$A$5:$CY$9142,31,FALSE)</f>
        <v>#N/A</v>
      </c>
      <c r="O291" s="93" t="e">
        <f>VLOOKUP($A291, 'Matriz POA 2024-TRABAJO'!$A$5:$CY$9142,45,FALSE)</f>
        <v>#N/A</v>
      </c>
      <c r="P291" s="93" t="e">
        <f>VLOOKUP($A291, 'Matriz POA 2024-TRABAJO'!$A$5:$CY$9142,46,FALSE)</f>
        <v>#N/A</v>
      </c>
      <c r="Q291" s="93" t="e">
        <f>VLOOKUP($A291, 'Matriz POA 2024-TRABAJO'!$A$5:$CY$9142,47,FALSE)</f>
        <v>#N/A</v>
      </c>
      <c r="R291" s="94">
        <f t="shared" si="217"/>
        <v>0</v>
      </c>
      <c r="S291" s="95" t="e">
        <f t="shared" si="218"/>
        <v>#N/A</v>
      </c>
      <c r="T291" s="93" t="e">
        <f>VLOOKUP($A291, 'Matriz POA 2024-TRABAJO'!$A$5:$CY$9142,72,FALSE)</f>
        <v>#N/A</v>
      </c>
      <c r="U291" s="93" t="e">
        <f>VLOOKUP($A291, 'Matriz POA 2024-TRABAJO'!$A$5:$CY$9142,29,FALSE)</f>
        <v>#N/A</v>
      </c>
      <c r="V291" s="93" t="str">
        <f t="shared" si="219"/>
        <v/>
      </c>
      <c r="W291" s="93"/>
      <c r="X291" s="93"/>
      <c r="Y291" s="93"/>
      <c r="Z291" s="93"/>
      <c r="AA291" s="93"/>
      <c r="AB291" s="93"/>
      <c r="AC291" s="93">
        <f t="shared" si="220"/>
        <v>0</v>
      </c>
      <c r="AD291" s="93"/>
      <c r="AE291" s="93"/>
      <c r="AF291" s="93"/>
      <c r="AG291" s="93"/>
      <c r="AH291" s="93"/>
      <c r="AI291" s="93"/>
      <c r="AJ291" s="93"/>
      <c r="AK291" s="93">
        <f t="shared" si="221"/>
        <v>0</v>
      </c>
      <c r="AL291" s="93"/>
      <c r="AM291" s="93"/>
      <c r="AN291" s="93"/>
      <c r="AO291" s="93"/>
      <c r="AP291" s="93"/>
      <c r="AQ291" s="93"/>
      <c r="AR291" s="93"/>
      <c r="AS291" s="93">
        <f t="shared" si="222"/>
        <v>0</v>
      </c>
      <c r="AT291" s="93"/>
      <c r="AU291" s="93"/>
      <c r="AV291" s="93"/>
      <c r="AW291" s="93"/>
      <c r="AX291" s="93"/>
      <c r="AY291" s="93"/>
      <c r="AZ291" s="93"/>
      <c r="BA291" s="93"/>
      <c r="BB291" s="93"/>
      <c r="BC291" s="93"/>
      <c r="BD291" s="93"/>
      <c r="BE291" s="93"/>
      <c r="BF291" s="93"/>
      <c r="BG291" s="93"/>
      <c r="BH291" s="93"/>
      <c r="BI291" s="93"/>
      <c r="BJ291" s="93"/>
      <c r="BK291" s="93"/>
      <c r="BL291" s="93"/>
      <c r="BM291" s="93"/>
      <c r="BN291" s="93"/>
      <c r="BO291" s="93"/>
      <c r="BP291" s="93"/>
      <c r="BQ291" s="93"/>
      <c r="BR291" s="93"/>
      <c r="BS291" s="93"/>
      <c r="BT291" s="93"/>
      <c r="BU291" s="93"/>
      <c r="BV291" s="93"/>
      <c r="BW291" s="93"/>
      <c r="BX291" s="93"/>
      <c r="BY291" s="93"/>
      <c r="BZ291" s="93"/>
      <c r="CA291" s="93"/>
      <c r="CB291" s="93"/>
      <c r="CC291" s="93"/>
      <c r="CD291" s="93"/>
      <c r="CE291" s="93"/>
      <c r="CF291" s="93"/>
      <c r="CG291" s="93"/>
      <c r="CH291" s="93"/>
      <c r="CI291" s="93"/>
      <c r="CJ291" s="93"/>
      <c r="CK291" s="93"/>
      <c r="CL291" s="93"/>
      <c r="CM291" s="93"/>
      <c r="CN291" s="93"/>
      <c r="CO291" s="93"/>
      <c r="CP291" s="93"/>
      <c r="CQ291" s="93"/>
      <c r="CR291" s="93"/>
      <c r="CS291" s="93"/>
      <c r="CT291" s="93"/>
      <c r="CU291" s="93"/>
      <c r="CV291" s="93"/>
      <c r="CW291" s="93"/>
      <c r="CX291" s="93"/>
    </row>
    <row r="292" spans="1:102" ht="15" hidden="1" customHeight="1">
      <c r="A292" s="93"/>
      <c r="B292" s="93" t="e">
        <f>VLOOKUP($A292,  'Matriz POA 2024-TRABAJO'!$A$5:$CY$9142,29,FALSE)</f>
        <v>#N/A</v>
      </c>
      <c r="C292" s="93" t="e">
        <f>VLOOKUP($A292, 'Matriz POA 2024-TRABAJO'!$A$5:$CY$9142,11,FALSE)</f>
        <v>#N/A</v>
      </c>
      <c r="D292" s="93" t="e">
        <f>VLOOKUP($A292, 'Matriz POA 2024-TRABAJO'!$A$5:$CY$9142,14,FALSE)</f>
        <v>#N/A</v>
      </c>
      <c r="E292" s="93" t="e">
        <f>VLOOKUP($A292, 'Matriz POA 2024-TRABAJO'!$A$5:$CY$9142,15,FALSE)</f>
        <v>#N/A</v>
      </c>
      <c r="F292" s="93" t="e">
        <f>VLOOKUP($A292, 'Matriz POA 2024-TRABAJO'!$A$5:$CY$9142,18,FALSE)</f>
        <v>#N/A</v>
      </c>
      <c r="G292" s="93" t="e">
        <f>VLOOKUP($A292, 'Matriz POA 2024-TRABAJO'!$A$5:$CY$9142,23,FALSE)</f>
        <v>#N/A</v>
      </c>
      <c r="H292" s="93" t="e">
        <f>VLOOKUP($A292, 'Matriz POA 2024-TRABAJO'!$A$5:$CY$9142,24,FALSE)</f>
        <v>#N/A</v>
      </c>
      <c r="I292" s="93" t="e">
        <f>VLOOKUP($A292, 'Matriz POA 2024-TRABAJO'!$A$5:$CY$9142,20,FALSE)</f>
        <v>#N/A</v>
      </c>
      <c r="J292" s="93" t="e">
        <f>VLOOKUP($A292, 'Matriz POA 2024-TRABAJO'!$A$5:$CY$9142,26,FALSE)</f>
        <v>#N/A</v>
      </c>
      <c r="K292" s="93" t="e">
        <f>VLOOKUP($A292, 'Matriz POA 2024-TRABAJO'!$A$5:$CY$9142,27,FALSE)</f>
        <v>#N/A</v>
      </c>
      <c r="L292" s="93" t="e">
        <f>VLOOKUP($A292, 'Matriz POA 2024-TRABAJO'!$A$5:$CY$9142,28,FALSE)</f>
        <v>#N/A</v>
      </c>
      <c r="M292" s="93" t="e">
        <f>VLOOKUP($A292, 'Matriz POA 2024-TRABAJO'!$A$5:$CY$9142,30,FALSE)</f>
        <v>#N/A</v>
      </c>
      <c r="N292" s="93" t="e">
        <f>VLOOKUP($A292, 'Matriz POA 2024-TRABAJO'!$A$5:$CY$9142,31,FALSE)</f>
        <v>#N/A</v>
      </c>
      <c r="O292" s="93" t="e">
        <f>VLOOKUP($A292, 'Matriz POA 2024-TRABAJO'!$A$5:$CY$9142,45,FALSE)</f>
        <v>#N/A</v>
      </c>
      <c r="P292" s="93" t="e">
        <f>VLOOKUP($A292, 'Matriz POA 2024-TRABAJO'!$A$5:$CY$9142,46,FALSE)</f>
        <v>#N/A</v>
      </c>
      <c r="Q292" s="93" t="e">
        <f>VLOOKUP($A292, 'Matriz POA 2024-TRABAJO'!$A$5:$CY$9142,47,FALSE)</f>
        <v>#N/A</v>
      </c>
      <c r="R292" s="94">
        <f t="shared" si="217"/>
        <v>0</v>
      </c>
      <c r="S292" s="95" t="e">
        <f t="shared" si="218"/>
        <v>#N/A</v>
      </c>
      <c r="T292" s="93" t="e">
        <f>VLOOKUP($A292, 'Matriz POA 2024-TRABAJO'!$A$5:$CY$9142,72,FALSE)</f>
        <v>#N/A</v>
      </c>
      <c r="U292" s="93" t="e">
        <f>VLOOKUP($A292, 'Matriz POA 2024-TRABAJO'!$A$5:$CY$9142,29,FALSE)</f>
        <v>#N/A</v>
      </c>
      <c r="V292" s="93" t="str">
        <f t="shared" si="219"/>
        <v/>
      </c>
      <c r="W292" s="93"/>
      <c r="X292" s="93"/>
      <c r="Y292" s="93"/>
      <c r="Z292" s="93"/>
      <c r="AA292" s="93"/>
      <c r="AB292" s="93"/>
      <c r="AC292" s="93">
        <f t="shared" si="220"/>
        <v>0</v>
      </c>
      <c r="AD292" s="93"/>
      <c r="AE292" s="93"/>
      <c r="AF292" s="93"/>
      <c r="AG292" s="93"/>
      <c r="AH292" s="93"/>
      <c r="AI292" s="93"/>
      <c r="AJ292" s="93"/>
      <c r="AK292" s="93">
        <f t="shared" si="221"/>
        <v>0</v>
      </c>
      <c r="AL292" s="93"/>
      <c r="AM292" s="93"/>
      <c r="AN292" s="93"/>
      <c r="AO292" s="93"/>
      <c r="AP292" s="93"/>
      <c r="AQ292" s="93"/>
      <c r="AR292" s="93"/>
      <c r="AS292" s="93">
        <f t="shared" si="222"/>
        <v>0</v>
      </c>
      <c r="AT292" s="93"/>
      <c r="AU292" s="93"/>
      <c r="AV292" s="93"/>
      <c r="AW292" s="93"/>
      <c r="AX292" s="93"/>
      <c r="AY292" s="93"/>
      <c r="AZ292" s="93"/>
      <c r="BA292" s="93"/>
      <c r="BB292" s="93"/>
      <c r="BC292" s="93"/>
      <c r="BD292" s="93"/>
      <c r="BE292" s="93"/>
      <c r="BF292" s="93"/>
      <c r="BG292" s="93"/>
      <c r="BH292" s="93"/>
      <c r="BI292" s="93"/>
      <c r="BJ292" s="93"/>
      <c r="BK292" s="93"/>
      <c r="BL292" s="93"/>
      <c r="BM292" s="93"/>
      <c r="BN292" s="93"/>
      <c r="BO292" s="93"/>
      <c r="BP292" s="93"/>
      <c r="BQ292" s="93"/>
      <c r="BR292" s="93"/>
      <c r="BS292" s="93"/>
      <c r="BT292" s="93"/>
      <c r="BU292" s="93"/>
      <c r="BV292" s="93"/>
      <c r="BW292" s="93"/>
      <c r="BX292" s="93"/>
      <c r="BY292" s="93"/>
      <c r="BZ292" s="93"/>
      <c r="CA292" s="93"/>
      <c r="CB292" s="93"/>
      <c r="CC292" s="93"/>
      <c r="CD292" s="93"/>
      <c r="CE292" s="93"/>
      <c r="CF292" s="93"/>
      <c r="CG292" s="93"/>
      <c r="CH292" s="93"/>
      <c r="CI292" s="93"/>
      <c r="CJ292" s="93"/>
      <c r="CK292" s="93"/>
      <c r="CL292" s="93"/>
      <c r="CM292" s="93"/>
      <c r="CN292" s="93"/>
      <c r="CO292" s="93"/>
      <c r="CP292" s="93"/>
      <c r="CQ292" s="93"/>
      <c r="CR292" s="93"/>
      <c r="CS292" s="93"/>
      <c r="CT292" s="93"/>
      <c r="CU292" s="93"/>
      <c r="CV292" s="93"/>
      <c r="CW292" s="93"/>
      <c r="CX292" s="93"/>
    </row>
    <row r="293" spans="1:102" ht="15" hidden="1" customHeight="1">
      <c r="A293" s="93"/>
      <c r="B293" s="93" t="e">
        <f>VLOOKUP($A293,  'Matriz POA 2024-TRABAJO'!$A$5:$CY$9142,29,FALSE)</f>
        <v>#N/A</v>
      </c>
      <c r="C293" s="93" t="e">
        <f>VLOOKUP($A293, 'Matriz POA 2024-TRABAJO'!$A$5:$CY$9142,11,FALSE)</f>
        <v>#N/A</v>
      </c>
      <c r="D293" s="93" t="e">
        <f>VLOOKUP($A293, 'Matriz POA 2024-TRABAJO'!$A$5:$CY$9142,14,FALSE)</f>
        <v>#N/A</v>
      </c>
      <c r="E293" s="93" t="e">
        <f>VLOOKUP($A293, 'Matriz POA 2024-TRABAJO'!$A$5:$CY$9142,15,FALSE)</f>
        <v>#N/A</v>
      </c>
      <c r="F293" s="93" t="e">
        <f>VLOOKUP($A293, 'Matriz POA 2024-TRABAJO'!$A$5:$CY$9142,18,FALSE)</f>
        <v>#N/A</v>
      </c>
      <c r="G293" s="93" t="e">
        <f>VLOOKUP($A293, 'Matriz POA 2024-TRABAJO'!$A$5:$CY$9142,23,FALSE)</f>
        <v>#N/A</v>
      </c>
      <c r="H293" s="93" t="e">
        <f>VLOOKUP($A293, 'Matriz POA 2024-TRABAJO'!$A$5:$CY$9142,24,FALSE)</f>
        <v>#N/A</v>
      </c>
      <c r="I293" s="93" t="e">
        <f>VLOOKUP($A293, 'Matriz POA 2024-TRABAJO'!$A$5:$CY$9142,20,FALSE)</f>
        <v>#N/A</v>
      </c>
      <c r="J293" s="93" t="e">
        <f>VLOOKUP($A293, 'Matriz POA 2024-TRABAJO'!$A$5:$CY$9142,26,FALSE)</f>
        <v>#N/A</v>
      </c>
      <c r="K293" s="93" t="e">
        <f>VLOOKUP($A293, 'Matriz POA 2024-TRABAJO'!$A$5:$CY$9142,27,FALSE)</f>
        <v>#N/A</v>
      </c>
      <c r="L293" s="93" t="e">
        <f>VLOOKUP($A293, 'Matriz POA 2024-TRABAJO'!$A$5:$CY$9142,28,FALSE)</f>
        <v>#N/A</v>
      </c>
      <c r="M293" s="93" t="e">
        <f>VLOOKUP($A293, 'Matriz POA 2024-TRABAJO'!$A$5:$CY$9142,30,FALSE)</f>
        <v>#N/A</v>
      </c>
      <c r="N293" s="93" t="e">
        <f>VLOOKUP($A293, 'Matriz POA 2024-TRABAJO'!$A$5:$CY$9142,31,FALSE)</f>
        <v>#N/A</v>
      </c>
      <c r="O293" s="93" t="e">
        <f>VLOOKUP($A293, 'Matriz POA 2024-TRABAJO'!$A$5:$CY$9142,45,FALSE)</f>
        <v>#N/A</v>
      </c>
      <c r="P293" s="93" t="e">
        <f>VLOOKUP($A293, 'Matriz POA 2024-TRABAJO'!$A$5:$CY$9142,46,FALSE)</f>
        <v>#N/A</v>
      </c>
      <c r="Q293" s="93" t="e">
        <f>VLOOKUP($A293, 'Matriz POA 2024-TRABAJO'!$A$5:$CY$9142,47,FALSE)</f>
        <v>#N/A</v>
      </c>
      <c r="R293" s="94">
        <f t="shared" si="217"/>
        <v>0</v>
      </c>
      <c r="S293" s="95" t="e">
        <f t="shared" si="218"/>
        <v>#N/A</v>
      </c>
      <c r="T293" s="93" t="e">
        <f>VLOOKUP($A293, 'Matriz POA 2024-TRABAJO'!$A$5:$CY$9142,72,FALSE)</f>
        <v>#N/A</v>
      </c>
      <c r="U293" s="93" t="e">
        <f>VLOOKUP($A293, 'Matriz POA 2024-TRABAJO'!$A$5:$CY$9142,29,FALSE)</f>
        <v>#N/A</v>
      </c>
      <c r="V293" s="93" t="str">
        <f t="shared" si="219"/>
        <v/>
      </c>
      <c r="W293" s="93"/>
      <c r="X293" s="93"/>
      <c r="Y293" s="93"/>
      <c r="Z293" s="93"/>
      <c r="AA293" s="93"/>
      <c r="AB293" s="93"/>
      <c r="AC293" s="93">
        <f t="shared" si="220"/>
        <v>0</v>
      </c>
      <c r="AD293" s="93"/>
      <c r="AE293" s="93"/>
      <c r="AF293" s="93"/>
      <c r="AG293" s="93"/>
      <c r="AH293" s="93"/>
      <c r="AI293" s="93"/>
      <c r="AJ293" s="93"/>
      <c r="AK293" s="93">
        <f t="shared" si="221"/>
        <v>0</v>
      </c>
      <c r="AL293" s="93"/>
      <c r="AM293" s="93"/>
      <c r="AN293" s="93"/>
      <c r="AO293" s="93"/>
      <c r="AP293" s="93"/>
      <c r="AQ293" s="93"/>
      <c r="AR293" s="93"/>
      <c r="AS293" s="93">
        <f t="shared" si="222"/>
        <v>0</v>
      </c>
      <c r="AT293" s="93"/>
      <c r="AU293" s="93"/>
      <c r="AV293" s="93"/>
      <c r="AW293" s="93"/>
      <c r="AX293" s="93"/>
      <c r="AY293" s="93"/>
      <c r="AZ293" s="93"/>
      <c r="BA293" s="93"/>
      <c r="BB293" s="93"/>
      <c r="BC293" s="93"/>
      <c r="BD293" s="93"/>
      <c r="BE293" s="93"/>
      <c r="BF293" s="93"/>
      <c r="BG293" s="93"/>
      <c r="BH293" s="93"/>
      <c r="BI293" s="93"/>
      <c r="BJ293" s="93"/>
      <c r="BK293" s="93"/>
      <c r="BL293" s="93"/>
      <c r="BM293" s="93"/>
      <c r="BN293" s="93"/>
      <c r="BO293" s="93"/>
      <c r="BP293" s="93"/>
      <c r="BQ293" s="93"/>
      <c r="BR293" s="93"/>
      <c r="BS293" s="93"/>
      <c r="BT293" s="93"/>
      <c r="BU293" s="93"/>
      <c r="BV293" s="93"/>
      <c r="BW293" s="93"/>
      <c r="BX293" s="93"/>
      <c r="BY293" s="93"/>
      <c r="BZ293" s="93"/>
      <c r="CA293" s="93"/>
      <c r="CB293" s="93"/>
      <c r="CC293" s="93"/>
      <c r="CD293" s="93"/>
      <c r="CE293" s="93"/>
      <c r="CF293" s="93"/>
      <c r="CG293" s="93"/>
      <c r="CH293" s="93"/>
      <c r="CI293" s="93"/>
      <c r="CJ293" s="93"/>
      <c r="CK293" s="93"/>
      <c r="CL293" s="93"/>
      <c r="CM293" s="93"/>
      <c r="CN293" s="93"/>
      <c r="CO293" s="93"/>
      <c r="CP293" s="93"/>
      <c r="CQ293" s="93"/>
      <c r="CR293" s="93"/>
      <c r="CS293" s="93"/>
      <c r="CT293" s="93"/>
      <c r="CU293" s="93"/>
      <c r="CV293" s="93"/>
      <c r="CW293" s="93"/>
      <c r="CX293" s="93"/>
    </row>
    <row r="294" spans="1:102" ht="15" hidden="1" customHeight="1">
      <c r="A294" s="93"/>
      <c r="B294" s="93" t="e">
        <f>VLOOKUP($A294,  'Matriz POA 2024-TRABAJO'!$A$5:$CY$9142,29,FALSE)</f>
        <v>#N/A</v>
      </c>
      <c r="C294" s="93" t="e">
        <f>VLOOKUP($A294, 'Matriz POA 2024-TRABAJO'!$A$5:$CY$9142,11,FALSE)</f>
        <v>#N/A</v>
      </c>
      <c r="D294" s="93" t="e">
        <f>VLOOKUP($A294, 'Matriz POA 2024-TRABAJO'!$A$5:$CY$9142,14,FALSE)</f>
        <v>#N/A</v>
      </c>
      <c r="E294" s="93" t="e">
        <f>VLOOKUP($A294, 'Matriz POA 2024-TRABAJO'!$A$5:$CY$9142,15,FALSE)</f>
        <v>#N/A</v>
      </c>
      <c r="F294" s="93" t="e">
        <f>VLOOKUP($A294, 'Matriz POA 2024-TRABAJO'!$A$5:$CY$9142,18,FALSE)</f>
        <v>#N/A</v>
      </c>
      <c r="G294" s="93" t="e">
        <f>VLOOKUP($A294, 'Matriz POA 2024-TRABAJO'!$A$5:$CY$9142,23,FALSE)</f>
        <v>#N/A</v>
      </c>
      <c r="H294" s="93" t="e">
        <f>VLOOKUP($A294, 'Matriz POA 2024-TRABAJO'!$A$5:$CY$9142,24,FALSE)</f>
        <v>#N/A</v>
      </c>
      <c r="I294" s="93" t="e">
        <f>VLOOKUP($A294, 'Matriz POA 2024-TRABAJO'!$A$5:$CY$9142,20,FALSE)</f>
        <v>#N/A</v>
      </c>
      <c r="J294" s="93" t="e">
        <f>VLOOKUP($A294, 'Matriz POA 2024-TRABAJO'!$A$5:$CY$9142,26,FALSE)</f>
        <v>#N/A</v>
      </c>
      <c r="K294" s="93" t="e">
        <f>VLOOKUP($A294, 'Matriz POA 2024-TRABAJO'!$A$5:$CY$9142,27,FALSE)</f>
        <v>#N/A</v>
      </c>
      <c r="L294" s="93" t="e">
        <f>VLOOKUP($A294, 'Matriz POA 2024-TRABAJO'!$A$5:$CY$9142,28,FALSE)</f>
        <v>#N/A</v>
      </c>
      <c r="M294" s="93" t="e">
        <f>VLOOKUP($A294, 'Matriz POA 2024-TRABAJO'!$A$5:$CY$9142,30,FALSE)</f>
        <v>#N/A</v>
      </c>
      <c r="N294" s="93" t="e">
        <f>VLOOKUP($A294, 'Matriz POA 2024-TRABAJO'!$A$5:$CY$9142,31,FALSE)</f>
        <v>#N/A</v>
      </c>
      <c r="O294" s="93" t="e">
        <f>VLOOKUP($A294, 'Matriz POA 2024-TRABAJO'!$A$5:$CY$9142,45,FALSE)</f>
        <v>#N/A</v>
      </c>
      <c r="P294" s="93" t="e">
        <f>VLOOKUP($A294, 'Matriz POA 2024-TRABAJO'!$A$5:$CY$9142,46,FALSE)</f>
        <v>#N/A</v>
      </c>
      <c r="Q294" s="93" t="e">
        <f>VLOOKUP($A294, 'Matriz POA 2024-TRABAJO'!$A$5:$CY$9142,47,FALSE)</f>
        <v>#N/A</v>
      </c>
      <c r="R294" s="94">
        <f t="shared" si="217"/>
        <v>0</v>
      </c>
      <c r="S294" s="95" t="e">
        <f t="shared" si="218"/>
        <v>#N/A</v>
      </c>
      <c r="T294" s="93" t="e">
        <f>VLOOKUP($A294, 'Matriz POA 2024-TRABAJO'!$A$5:$CY$9142,72,FALSE)</f>
        <v>#N/A</v>
      </c>
      <c r="U294" s="93" t="e">
        <f>VLOOKUP($A294, 'Matriz POA 2024-TRABAJO'!$A$5:$CY$9142,29,FALSE)</f>
        <v>#N/A</v>
      </c>
      <c r="V294" s="93" t="str">
        <f t="shared" si="219"/>
        <v/>
      </c>
      <c r="W294" s="93"/>
      <c r="X294" s="93"/>
      <c r="Y294" s="93"/>
      <c r="Z294" s="93"/>
      <c r="AA294" s="93"/>
      <c r="AB294" s="93"/>
      <c r="AC294" s="93">
        <f t="shared" si="220"/>
        <v>0</v>
      </c>
      <c r="AD294" s="93"/>
      <c r="AE294" s="93"/>
      <c r="AF294" s="93"/>
      <c r="AG294" s="93"/>
      <c r="AH294" s="93"/>
      <c r="AI294" s="93"/>
      <c r="AJ294" s="93"/>
      <c r="AK294" s="93">
        <f t="shared" si="221"/>
        <v>0</v>
      </c>
      <c r="AL294" s="93"/>
      <c r="AM294" s="93"/>
      <c r="AN294" s="93"/>
      <c r="AO294" s="93"/>
      <c r="AP294" s="93"/>
      <c r="AQ294" s="93"/>
      <c r="AR294" s="93"/>
      <c r="AS294" s="93">
        <f t="shared" si="222"/>
        <v>0</v>
      </c>
      <c r="AT294" s="93"/>
      <c r="AU294" s="93"/>
      <c r="AV294" s="93"/>
      <c r="AW294" s="93"/>
      <c r="AX294" s="93"/>
      <c r="AY294" s="93"/>
      <c r="AZ294" s="93"/>
      <c r="BA294" s="93"/>
      <c r="BB294" s="93"/>
      <c r="BC294" s="93"/>
      <c r="BD294" s="93"/>
      <c r="BE294" s="93"/>
      <c r="BF294" s="93"/>
      <c r="BG294" s="93"/>
      <c r="BH294" s="93"/>
      <c r="BI294" s="93"/>
      <c r="BJ294" s="93"/>
      <c r="BK294" s="93"/>
      <c r="BL294" s="93"/>
      <c r="BM294" s="93"/>
      <c r="BN294" s="93"/>
      <c r="BO294" s="93"/>
      <c r="BP294" s="93"/>
      <c r="BQ294" s="93"/>
      <c r="BR294" s="93"/>
      <c r="BS294" s="93"/>
      <c r="BT294" s="93"/>
      <c r="BU294" s="93"/>
      <c r="BV294" s="93"/>
      <c r="BW294" s="93"/>
      <c r="BX294" s="93"/>
      <c r="BY294" s="93"/>
      <c r="BZ294" s="93"/>
      <c r="CA294" s="93"/>
      <c r="CB294" s="93"/>
      <c r="CC294" s="93"/>
      <c r="CD294" s="93"/>
      <c r="CE294" s="93"/>
      <c r="CF294" s="93"/>
      <c r="CG294" s="93"/>
      <c r="CH294" s="93"/>
      <c r="CI294" s="93"/>
      <c r="CJ294" s="93"/>
      <c r="CK294" s="93"/>
      <c r="CL294" s="93"/>
      <c r="CM294" s="93"/>
      <c r="CN294" s="93"/>
      <c r="CO294" s="93"/>
      <c r="CP294" s="93"/>
      <c r="CQ294" s="93"/>
      <c r="CR294" s="93"/>
      <c r="CS294" s="93"/>
      <c r="CT294" s="93"/>
      <c r="CU294" s="93"/>
      <c r="CV294" s="93"/>
      <c r="CW294" s="93"/>
      <c r="CX294" s="93"/>
    </row>
    <row r="295" spans="1:102" ht="15" hidden="1" customHeight="1">
      <c r="A295" s="93"/>
      <c r="B295" s="93" t="e">
        <f>VLOOKUP($A295,  'Matriz POA 2024-TRABAJO'!$A$5:$CY$9142,29,FALSE)</f>
        <v>#N/A</v>
      </c>
      <c r="C295" s="93" t="e">
        <f>VLOOKUP($A295, 'Matriz POA 2024-TRABAJO'!$A$5:$CY$9142,11,FALSE)</f>
        <v>#N/A</v>
      </c>
      <c r="D295" s="93" t="e">
        <f>VLOOKUP($A295, 'Matriz POA 2024-TRABAJO'!$A$5:$CY$9142,14,FALSE)</f>
        <v>#N/A</v>
      </c>
      <c r="E295" s="93" t="e">
        <f>VLOOKUP($A295, 'Matriz POA 2024-TRABAJO'!$A$5:$CY$9142,15,FALSE)</f>
        <v>#N/A</v>
      </c>
      <c r="F295" s="93" t="e">
        <f>VLOOKUP($A295, 'Matriz POA 2024-TRABAJO'!$A$5:$CY$9142,18,FALSE)</f>
        <v>#N/A</v>
      </c>
      <c r="G295" s="93" t="e">
        <f>VLOOKUP($A295, 'Matriz POA 2024-TRABAJO'!$A$5:$CY$9142,23,FALSE)</f>
        <v>#N/A</v>
      </c>
      <c r="H295" s="93" t="e">
        <f>VLOOKUP($A295, 'Matriz POA 2024-TRABAJO'!$A$5:$CY$9142,24,FALSE)</f>
        <v>#N/A</v>
      </c>
      <c r="I295" s="93" t="e">
        <f>VLOOKUP($A295, 'Matriz POA 2024-TRABAJO'!$A$5:$CY$9142,20,FALSE)</f>
        <v>#N/A</v>
      </c>
      <c r="J295" s="93" t="e">
        <f>VLOOKUP($A295, 'Matriz POA 2024-TRABAJO'!$A$5:$CY$9142,26,FALSE)</f>
        <v>#N/A</v>
      </c>
      <c r="K295" s="93" t="e">
        <f>VLOOKUP($A295, 'Matriz POA 2024-TRABAJO'!$A$5:$CY$9142,27,FALSE)</f>
        <v>#N/A</v>
      </c>
      <c r="L295" s="93" t="e">
        <f>VLOOKUP($A295, 'Matriz POA 2024-TRABAJO'!$A$5:$CY$9142,28,FALSE)</f>
        <v>#N/A</v>
      </c>
      <c r="M295" s="93" t="e">
        <f>VLOOKUP($A295, 'Matriz POA 2024-TRABAJO'!$A$5:$CY$9142,30,FALSE)</f>
        <v>#N/A</v>
      </c>
      <c r="N295" s="93" t="e">
        <f>VLOOKUP($A295, 'Matriz POA 2024-TRABAJO'!$A$5:$CY$9142,31,FALSE)</f>
        <v>#N/A</v>
      </c>
      <c r="O295" s="93" t="e">
        <f>VLOOKUP($A295, 'Matriz POA 2024-TRABAJO'!$A$5:$CY$9142,45,FALSE)</f>
        <v>#N/A</v>
      </c>
      <c r="P295" s="93" t="e">
        <f>VLOOKUP($A295, 'Matriz POA 2024-TRABAJO'!$A$5:$CY$9142,46,FALSE)</f>
        <v>#N/A</v>
      </c>
      <c r="Q295" s="93" t="e">
        <f>VLOOKUP($A295, 'Matriz POA 2024-TRABAJO'!$A$5:$CY$9142,47,FALSE)</f>
        <v>#N/A</v>
      </c>
      <c r="R295" s="94">
        <f t="shared" si="217"/>
        <v>0</v>
      </c>
      <c r="S295" s="95" t="e">
        <f t="shared" si="218"/>
        <v>#N/A</v>
      </c>
      <c r="T295" s="93" t="e">
        <f>VLOOKUP($A295, 'Matriz POA 2024-TRABAJO'!$A$5:$CY$9142,72,FALSE)</f>
        <v>#N/A</v>
      </c>
      <c r="U295" s="93" t="e">
        <f>VLOOKUP($A295, 'Matriz POA 2024-TRABAJO'!$A$5:$CY$9142,29,FALSE)</f>
        <v>#N/A</v>
      </c>
      <c r="V295" s="93" t="str">
        <f t="shared" si="219"/>
        <v/>
      </c>
      <c r="W295" s="93"/>
      <c r="X295" s="93"/>
      <c r="Y295" s="93"/>
      <c r="Z295" s="93"/>
      <c r="AA295" s="93"/>
      <c r="AB295" s="93"/>
      <c r="AC295" s="93">
        <f t="shared" si="220"/>
        <v>0</v>
      </c>
      <c r="AD295" s="93"/>
      <c r="AE295" s="93"/>
      <c r="AF295" s="93"/>
      <c r="AG295" s="93"/>
      <c r="AH295" s="93"/>
      <c r="AI295" s="93"/>
      <c r="AJ295" s="93"/>
      <c r="AK295" s="93">
        <f t="shared" si="221"/>
        <v>0</v>
      </c>
      <c r="AL295" s="93"/>
      <c r="AM295" s="93"/>
      <c r="AN295" s="93"/>
      <c r="AO295" s="93"/>
      <c r="AP295" s="93"/>
      <c r="AQ295" s="93"/>
      <c r="AR295" s="93"/>
      <c r="AS295" s="93">
        <f t="shared" si="222"/>
        <v>0</v>
      </c>
      <c r="AT295" s="93"/>
      <c r="AU295" s="93"/>
      <c r="AV295" s="93"/>
      <c r="AW295" s="93"/>
      <c r="AX295" s="93"/>
      <c r="AY295" s="93"/>
      <c r="AZ295" s="93"/>
      <c r="BA295" s="93"/>
      <c r="BB295" s="93"/>
      <c r="BC295" s="93"/>
      <c r="BD295" s="93"/>
      <c r="BE295" s="93"/>
      <c r="BF295" s="93"/>
      <c r="BG295" s="93"/>
      <c r="BH295" s="93"/>
      <c r="BI295" s="93"/>
      <c r="BJ295" s="93"/>
      <c r="BK295" s="93"/>
      <c r="BL295" s="93"/>
      <c r="BM295" s="93"/>
      <c r="BN295" s="93"/>
      <c r="BO295" s="93"/>
      <c r="BP295" s="93"/>
      <c r="BQ295" s="93"/>
      <c r="BR295" s="93"/>
      <c r="BS295" s="93"/>
      <c r="BT295" s="93"/>
      <c r="BU295" s="93"/>
      <c r="BV295" s="93"/>
      <c r="BW295" s="93"/>
      <c r="BX295" s="93"/>
      <c r="BY295" s="93"/>
      <c r="BZ295" s="93"/>
      <c r="CA295" s="93"/>
      <c r="CB295" s="93"/>
      <c r="CC295" s="93"/>
      <c r="CD295" s="93"/>
      <c r="CE295" s="93"/>
      <c r="CF295" s="93"/>
      <c r="CG295" s="93"/>
      <c r="CH295" s="93"/>
      <c r="CI295" s="93"/>
      <c r="CJ295" s="93"/>
      <c r="CK295" s="93"/>
      <c r="CL295" s="93"/>
      <c r="CM295" s="93"/>
      <c r="CN295" s="93"/>
      <c r="CO295" s="93"/>
      <c r="CP295" s="93"/>
      <c r="CQ295" s="93"/>
      <c r="CR295" s="93"/>
      <c r="CS295" s="93"/>
      <c r="CT295" s="93"/>
      <c r="CU295" s="93"/>
      <c r="CV295" s="93"/>
      <c r="CW295" s="93"/>
      <c r="CX295" s="93"/>
    </row>
    <row r="296" spans="1:102" ht="15" hidden="1" customHeight="1">
      <c r="A296" s="93"/>
      <c r="B296" s="93" t="e">
        <f>VLOOKUP($A296,  'Matriz POA 2024-TRABAJO'!$A$5:$CY$9142,29,FALSE)</f>
        <v>#N/A</v>
      </c>
      <c r="C296" s="93" t="e">
        <f>VLOOKUP($A296, 'Matriz POA 2024-TRABAJO'!$A$5:$CY$9142,11,FALSE)</f>
        <v>#N/A</v>
      </c>
      <c r="D296" s="93" t="e">
        <f>VLOOKUP($A296, 'Matriz POA 2024-TRABAJO'!$A$5:$CY$9142,14,FALSE)</f>
        <v>#N/A</v>
      </c>
      <c r="E296" s="93" t="e">
        <f>VLOOKUP($A296, 'Matriz POA 2024-TRABAJO'!$A$5:$CY$9142,15,FALSE)</f>
        <v>#N/A</v>
      </c>
      <c r="F296" s="93" t="e">
        <f>VLOOKUP($A296, 'Matriz POA 2024-TRABAJO'!$A$5:$CY$9142,18,FALSE)</f>
        <v>#N/A</v>
      </c>
      <c r="G296" s="93" t="e">
        <f>VLOOKUP($A296, 'Matriz POA 2024-TRABAJO'!$A$5:$CY$9142,23,FALSE)</f>
        <v>#N/A</v>
      </c>
      <c r="H296" s="93" t="e">
        <f>VLOOKUP($A296, 'Matriz POA 2024-TRABAJO'!$A$5:$CY$9142,24,FALSE)</f>
        <v>#N/A</v>
      </c>
      <c r="I296" s="93" t="e">
        <f>VLOOKUP($A296, 'Matriz POA 2024-TRABAJO'!$A$5:$CY$9142,20,FALSE)</f>
        <v>#N/A</v>
      </c>
      <c r="J296" s="93" t="e">
        <f>VLOOKUP($A296, 'Matriz POA 2024-TRABAJO'!$A$5:$CY$9142,26,FALSE)</f>
        <v>#N/A</v>
      </c>
      <c r="K296" s="93" t="e">
        <f>VLOOKUP($A296, 'Matriz POA 2024-TRABAJO'!$A$5:$CY$9142,27,FALSE)</f>
        <v>#N/A</v>
      </c>
      <c r="L296" s="93" t="e">
        <f>VLOOKUP($A296, 'Matriz POA 2024-TRABAJO'!$A$5:$CY$9142,28,FALSE)</f>
        <v>#N/A</v>
      </c>
      <c r="M296" s="93" t="e">
        <f>VLOOKUP($A296, 'Matriz POA 2024-TRABAJO'!$A$5:$CY$9142,30,FALSE)</f>
        <v>#N/A</v>
      </c>
      <c r="N296" s="93" t="e">
        <f>VLOOKUP($A296, 'Matriz POA 2024-TRABAJO'!$A$5:$CY$9142,31,FALSE)</f>
        <v>#N/A</v>
      </c>
      <c r="O296" s="93" t="e">
        <f>VLOOKUP($A296, 'Matriz POA 2024-TRABAJO'!$A$5:$CY$9142,45,FALSE)</f>
        <v>#N/A</v>
      </c>
      <c r="P296" s="93" t="e">
        <f>VLOOKUP($A296, 'Matriz POA 2024-TRABAJO'!$A$5:$CY$9142,46,FALSE)</f>
        <v>#N/A</v>
      </c>
      <c r="Q296" s="93" t="e">
        <f>VLOOKUP($A296, 'Matriz POA 2024-TRABAJO'!$A$5:$CY$9142,47,FALSE)</f>
        <v>#N/A</v>
      </c>
      <c r="R296" s="94">
        <f t="shared" si="217"/>
        <v>0</v>
      </c>
      <c r="S296" s="95" t="e">
        <f t="shared" si="218"/>
        <v>#N/A</v>
      </c>
      <c r="T296" s="93" t="e">
        <f>VLOOKUP($A296, 'Matriz POA 2024-TRABAJO'!$A$5:$CY$9142,72,FALSE)</f>
        <v>#N/A</v>
      </c>
      <c r="U296" s="93" t="e">
        <f>VLOOKUP($A296, 'Matriz POA 2024-TRABAJO'!$A$5:$CY$9142,29,FALSE)</f>
        <v>#N/A</v>
      </c>
      <c r="V296" s="93" t="str">
        <f t="shared" si="219"/>
        <v/>
      </c>
      <c r="W296" s="93"/>
      <c r="X296" s="93"/>
      <c r="Y296" s="93"/>
      <c r="Z296" s="93"/>
      <c r="AA296" s="93"/>
      <c r="AB296" s="93"/>
      <c r="AC296" s="93">
        <f t="shared" si="220"/>
        <v>0</v>
      </c>
      <c r="AD296" s="93"/>
      <c r="AE296" s="93"/>
      <c r="AF296" s="93"/>
      <c r="AG296" s="93"/>
      <c r="AH296" s="93"/>
      <c r="AI296" s="93"/>
      <c r="AJ296" s="93"/>
      <c r="AK296" s="93">
        <f t="shared" si="221"/>
        <v>0</v>
      </c>
      <c r="AL296" s="93"/>
      <c r="AM296" s="93"/>
      <c r="AN296" s="93"/>
      <c r="AO296" s="93"/>
      <c r="AP296" s="93"/>
      <c r="AQ296" s="93"/>
      <c r="AR296" s="93"/>
      <c r="AS296" s="93">
        <f t="shared" si="222"/>
        <v>0</v>
      </c>
      <c r="AT296" s="93"/>
      <c r="AU296" s="93"/>
      <c r="AV296" s="93"/>
      <c r="AW296" s="93"/>
      <c r="AX296" s="93"/>
      <c r="AY296" s="93"/>
      <c r="AZ296" s="93"/>
      <c r="BA296" s="93"/>
      <c r="BB296" s="93"/>
      <c r="BC296" s="93"/>
      <c r="BD296" s="93"/>
      <c r="BE296" s="93"/>
      <c r="BF296" s="93"/>
      <c r="BG296" s="93"/>
      <c r="BH296" s="93"/>
      <c r="BI296" s="93"/>
      <c r="BJ296" s="93"/>
      <c r="BK296" s="93"/>
      <c r="BL296" s="93"/>
      <c r="BM296" s="93"/>
      <c r="BN296" s="93"/>
      <c r="BO296" s="93"/>
      <c r="BP296" s="93"/>
      <c r="BQ296" s="93"/>
      <c r="BR296" s="93"/>
      <c r="BS296" s="93"/>
      <c r="BT296" s="93"/>
      <c r="BU296" s="93"/>
      <c r="BV296" s="93"/>
      <c r="BW296" s="93"/>
      <c r="BX296" s="93"/>
      <c r="BY296" s="93"/>
      <c r="BZ296" s="93"/>
      <c r="CA296" s="93"/>
      <c r="CB296" s="93"/>
      <c r="CC296" s="93"/>
      <c r="CD296" s="93"/>
      <c r="CE296" s="93"/>
      <c r="CF296" s="93"/>
      <c r="CG296" s="93"/>
      <c r="CH296" s="93"/>
      <c r="CI296" s="93"/>
      <c r="CJ296" s="93"/>
      <c r="CK296" s="93"/>
      <c r="CL296" s="93"/>
      <c r="CM296" s="93"/>
      <c r="CN296" s="93"/>
      <c r="CO296" s="93"/>
      <c r="CP296" s="93"/>
      <c r="CQ296" s="93"/>
      <c r="CR296" s="93"/>
      <c r="CS296" s="93"/>
      <c r="CT296" s="93"/>
      <c r="CU296" s="93"/>
      <c r="CV296" s="93"/>
      <c r="CW296" s="93"/>
      <c r="CX296" s="93"/>
    </row>
    <row r="297" spans="1:102" ht="15" hidden="1" customHeight="1">
      <c r="A297" s="93"/>
      <c r="B297" s="93" t="e">
        <f>VLOOKUP($A297,  'Matriz POA 2024-TRABAJO'!$A$5:$CY$9142,29,FALSE)</f>
        <v>#N/A</v>
      </c>
      <c r="C297" s="93" t="e">
        <f>VLOOKUP($A297, 'Matriz POA 2024-TRABAJO'!$A$5:$CY$9142,11,FALSE)</f>
        <v>#N/A</v>
      </c>
      <c r="D297" s="93" t="e">
        <f>VLOOKUP($A297, 'Matriz POA 2024-TRABAJO'!$A$5:$CY$9142,14,FALSE)</f>
        <v>#N/A</v>
      </c>
      <c r="E297" s="93" t="e">
        <f>VLOOKUP($A297, 'Matriz POA 2024-TRABAJO'!$A$5:$CY$9142,15,FALSE)</f>
        <v>#N/A</v>
      </c>
      <c r="F297" s="93" t="e">
        <f>VLOOKUP($A297, 'Matriz POA 2024-TRABAJO'!$A$5:$CY$9142,18,FALSE)</f>
        <v>#N/A</v>
      </c>
      <c r="G297" s="93" t="e">
        <f>VLOOKUP($A297, 'Matriz POA 2024-TRABAJO'!$A$5:$CY$9142,23,FALSE)</f>
        <v>#N/A</v>
      </c>
      <c r="H297" s="93" t="e">
        <f>VLOOKUP($A297, 'Matriz POA 2024-TRABAJO'!$A$5:$CY$9142,24,FALSE)</f>
        <v>#N/A</v>
      </c>
      <c r="I297" s="93" t="e">
        <f>VLOOKUP($A297, 'Matriz POA 2024-TRABAJO'!$A$5:$CY$9142,20,FALSE)</f>
        <v>#N/A</v>
      </c>
      <c r="J297" s="93" t="e">
        <f>VLOOKUP($A297, 'Matriz POA 2024-TRABAJO'!$A$5:$CY$9142,26,FALSE)</f>
        <v>#N/A</v>
      </c>
      <c r="K297" s="93" t="e">
        <f>VLOOKUP($A297, 'Matriz POA 2024-TRABAJO'!$A$5:$CY$9142,27,FALSE)</f>
        <v>#N/A</v>
      </c>
      <c r="L297" s="93" t="e">
        <f>VLOOKUP($A297, 'Matriz POA 2024-TRABAJO'!$A$5:$CY$9142,28,FALSE)</f>
        <v>#N/A</v>
      </c>
      <c r="M297" s="93" t="e">
        <f>VLOOKUP($A297, 'Matriz POA 2024-TRABAJO'!$A$5:$CY$9142,30,FALSE)</f>
        <v>#N/A</v>
      </c>
      <c r="N297" s="93" t="e">
        <f>VLOOKUP($A297, 'Matriz POA 2024-TRABAJO'!$A$5:$CY$9142,31,FALSE)</f>
        <v>#N/A</v>
      </c>
      <c r="O297" s="93" t="e">
        <f>VLOOKUP($A297, 'Matriz POA 2024-TRABAJO'!$A$5:$CY$9142,45,FALSE)</f>
        <v>#N/A</v>
      </c>
      <c r="P297" s="93" t="e">
        <f>VLOOKUP($A297, 'Matriz POA 2024-TRABAJO'!$A$5:$CY$9142,46,FALSE)</f>
        <v>#N/A</v>
      </c>
      <c r="Q297" s="93" t="e">
        <f>VLOOKUP($A297, 'Matriz POA 2024-TRABAJO'!$A$5:$CY$9142,47,FALSE)</f>
        <v>#N/A</v>
      </c>
      <c r="R297" s="94">
        <f t="shared" si="217"/>
        <v>0</v>
      </c>
      <c r="S297" s="95" t="e">
        <f t="shared" si="218"/>
        <v>#N/A</v>
      </c>
      <c r="T297" s="93" t="e">
        <f>VLOOKUP($A297, 'Matriz POA 2024-TRABAJO'!$A$5:$CY$9142,72,FALSE)</f>
        <v>#N/A</v>
      </c>
      <c r="U297" s="93" t="e">
        <f>VLOOKUP($A297, 'Matriz POA 2024-TRABAJO'!$A$5:$CY$9142,29,FALSE)</f>
        <v>#N/A</v>
      </c>
      <c r="V297" s="93" t="str">
        <f t="shared" si="219"/>
        <v/>
      </c>
      <c r="W297" s="93"/>
      <c r="X297" s="93"/>
      <c r="Y297" s="93"/>
      <c r="Z297" s="93"/>
      <c r="AA297" s="93"/>
      <c r="AB297" s="93"/>
      <c r="AC297" s="93">
        <f t="shared" si="220"/>
        <v>0</v>
      </c>
      <c r="AD297" s="93"/>
      <c r="AE297" s="93"/>
      <c r="AF297" s="93"/>
      <c r="AG297" s="93"/>
      <c r="AH297" s="93"/>
      <c r="AI297" s="93"/>
      <c r="AJ297" s="93"/>
      <c r="AK297" s="93">
        <f t="shared" si="221"/>
        <v>0</v>
      </c>
      <c r="AL297" s="93"/>
      <c r="AM297" s="93"/>
      <c r="AN297" s="93"/>
      <c r="AO297" s="93"/>
      <c r="AP297" s="93"/>
      <c r="AQ297" s="93"/>
      <c r="AR297" s="93"/>
      <c r="AS297" s="93">
        <f t="shared" si="222"/>
        <v>0</v>
      </c>
      <c r="AT297" s="93"/>
      <c r="AU297" s="93"/>
      <c r="AV297" s="93"/>
      <c r="AW297" s="93"/>
      <c r="AX297" s="93"/>
      <c r="AY297" s="93"/>
      <c r="AZ297" s="93"/>
      <c r="BA297" s="93"/>
      <c r="BB297" s="93"/>
      <c r="BC297" s="93"/>
      <c r="BD297" s="93"/>
      <c r="BE297" s="93"/>
      <c r="BF297" s="93"/>
      <c r="BG297" s="93"/>
      <c r="BH297" s="93"/>
      <c r="BI297" s="93"/>
      <c r="BJ297" s="93"/>
      <c r="BK297" s="93"/>
      <c r="BL297" s="93"/>
      <c r="BM297" s="93"/>
      <c r="BN297" s="93"/>
      <c r="BO297" s="93"/>
      <c r="BP297" s="93"/>
      <c r="BQ297" s="93"/>
      <c r="BR297" s="93"/>
      <c r="BS297" s="93"/>
      <c r="BT297" s="93"/>
      <c r="BU297" s="93"/>
      <c r="BV297" s="93"/>
      <c r="BW297" s="93"/>
      <c r="BX297" s="93"/>
      <c r="BY297" s="93"/>
      <c r="BZ297" s="93"/>
      <c r="CA297" s="93"/>
      <c r="CB297" s="93"/>
      <c r="CC297" s="93"/>
      <c r="CD297" s="93"/>
      <c r="CE297" s="93"/>
      <c r="CF297" s="93"/>
      <c r="CG297" s="93"/>
      <c r="CH297" s="93"/>
      <c r="CI297" s="93"/>
      <c r="CJ297" s="93"/>
      <c r="CK297" s="93"/>
      <c r="CL297" s="93"/>
      <c r="CM297" s="93"/>
      <c r="CN297" s="93"/>
      <c r="CO297" s="93"/>
      <c r="CP297" s="93"/>
      <c r="CQ297" s="93"/>
      <c r="CR297" s="93"/>
      <c r="CS297" s="93"/>
      <c r="CT297" s="93"/>
      <c r="CU297" s="93"/>
      <c r="CV297" s="93"/>
      <c r="CW297" s="93"/>
      <c r="CX297" s="93"/>
    </row>
    <row r="298" spans="1:102" ht="15" hidden="1" customHeight="1">
      <c r="A298" s="93"/>
      <c r="B298" s="93" t="e">
        <f>VLOOKUP($A298,  'Matriz POA 2024-TRABAJO'!$A$5:$CY$9142,29,FALSE)</f>
        <v>#N/A</v>
      </c>
      <c r="C298" s="93" t="e">
        <f>VLOOKUP($A298, 'Matriz POA 2024-TRABAJO'!$A$5:$CY$9142,11,FALSE)</f>
        <v>#N/A</v>
      </c>
      <c r="D298" s="93" t="e">
        <f>VLOOKUP($A298, 'Matriz POA 2024-TRABAJO'!$A$5:$CY$9142,14,FALSE)</f>
        <v>#N/A</v>
      </c>
      <c r="E298" s="93" t="e">
        <f>VLOOKUP($A298, 'Matriz POA 2024-TRABAJO'!$A$5:$CY$9142,15,FALSE)</f>
        <v>#N/A</v>
      </c>
      <c r="F298" s="93" t="e">
        <f>VLOOKUP($A298, 'Matriz POA 2024-TRABAJO'!$A$5:$CY$9142,18,FALSE)</f>
        <v>#N/A</v>
      </c>
      <c r="G298" s="93" t="e">
        <f>VLOOKUP($A298, 'Matriz POA 2024-TRABAJO'!$A$5:$CY$9142,23,FALSE)</f>
        <v>#N/A</v>
      </c>
      <c r="H298" s="93" t="e">
        <f>VLOOKUP($A298, 'Matriz POA 2024-TRABAJO'!$A$5:$CY$9142,24,FALSE)</f>
        <v>#N/A</v>
      </c>
      <c r="I298" s="93" t="e">
        <f>VLOOKUP($A298, 'Matriz POA 2024-TRABAJO'!$A$5:$CY$9142,20,FALSE)</f>
        <v>#N/A</v>
      </c>
      <c r="J298" s="93" t="e">
        <f>VLOOKUP($A298, 'Matriz POA 2024-TRABAJO'!$A$5:$CY$9142,26,FALSE)</f>
        <v>#N/A</v>
      </c>
      <c r="K298" s="93" t="e">
        <f>VLOOKUP($A298, 'Matriz POA 2024-TRABAJO'!$A$5:$CY$9142,27,FALSE)</f>
        <v>#N/A</v>
      </c>
      <c r="L298" s="93" t="e">
        <f>VLOOKUP($A298, 'Matriz POA 2024-TRABAJO'!$A$5:$CY$9142,28,FALSE)</f>
        <v>#N/A</v>
      </c>
      <c r="M298" s="93" t="e">
        <f>VLOOKUP($A298, 'Matriz POA 2024-TRABAJO'!$A$5:$CY$9142,30,FALSE)</f>
        <v>#N/A</v>
      </c>
      <c r="N298" s="93" t="e">
        <f>VLOOKUP($A298, 'Matriz POA 2024-TRABAJO'!$A$5:$CY$9142,31,FALSE)</f>
        <v>#N/A</v>
      </c>
      <c r="O298" s="93" t="e">
        <f>VLOOKUP($A298, 'Matriz POA 2024-TRABAJO'!$A$5:$CY$9142,45,FALSE)</f>
        <v>#N/A</v>
      </c>
      <c r="P298" s="93" t="e">
        <f>VLOOKUP($A298, 'Matriz POA 2024-TRABAJO'!$A$5:$CY$9142,46,FALSE)</f>
        <v>#N/A</v>
      </c>
      <c r="Q298" s="93" t="e">
        <f>VLOOKUP($A298, 'Matriz POA 2024-TRABAJO'!$A$5:$CY$9142,47,FALSE)</f>
        <v>#N/A</v>
      </c>
      <c r="R298" s="94">
        <f t="shared" si="217"/>
        <v>0</v>
      </c>
      <c r="S298" s="95" t="e">
        <f t="shared" si="218"/>
        <v>#N/A</v>
      </c>
      <c r="T298" s="93" t="e">
        <f>VLOOKUP($A298, 'Matriz POA 2024-TRABAJO'!$A$5:$CY$9142,72,FALSE)</f>
        <v>#N/A</v>
      </c>
      <c r="U298" s="93" t="e">
        <f>VLOOKUP($A298, 'Matriz POA 2024-TRABAJO'!$A$5:$CY$9142,29,FALSE)</f>
        <v>#N/A</v>
      </c>
      <c r="V298" s="93" t="str">
        <f t="shared" si="219"/>
        <v/>
      </c>
      <c r="W298" s="93"/>
      <c r="X298" s="93"/>
      <c r="Y298" s="93"/>
      <c r="Z298" s="93"/>
      <c r="AA298" s="93"/>
      <c r="AB298" s="93"/>
      <c r="AC298" s="93">
        <f t="shared" si="220"/>
        <v>0</v>
      </c>
      <c r="AD298" s="93"/>
      <c r="AE298" s="93"/>
      <c r="AF298" s="93"/>
      <c r="AG298" s="93"/>
      <c r="AH298" s="93"/>
      <c r="AI298" s="93"/>
      <c r="AJ298" s="93"/>
      <c r="AK298" s="93">
        <f t="shared" si="221"/>
        <v>0</v>
      </c>
      <c r="AL298" s="93"/>
      <c r="AM298" s="93"/>
      <c r="AN298" s="93"/>
      <c r="AO298" s="93"/>
      <c r="AP298" s="93"/>
      <c r="AQ298" s="93"/>
      <c r="AR298" s="93"/>
      <c r="AS298" s="93">
        <f t="shared" si="222"/>
        <v>0</v>
      </c>
      <c r="AT298" s="93"/>
      <c r="AU298" s="93"/>
      <c r="AV298" s="93"/>
      <c r="AW298" s="93"/>
      <c r="AX298" s="93"/>
      <c r="AY298" s="93"/>
      <c r="AZ298" s="93"/>
      <c r="BA298" s="93"/>
      <c r="BB298" s="93"/>
      <c r="BC298" s="93"/>
      <c r="BD298" s="93"/>
      <c r="BE298" s="93"/>
      <c r="BF298" s="93"/>
      <c r="BG298" s="93"/>
      <c r="BH298" s="93"/>
      <c r="BI298" s="93"/>
      <c r="BJ298" s="93"/>
      <c r="BK298" s="93"/>
      <c r="BL298" s="93"/>
      <c r="BM298" s="93"/>
      <c r="BN298" s="93"/>
      <c r="BO298" s="93"/>
      <c r="BP298" s="93"/>
      <c r="BQ298" s="93"/>
      <c r="BR298" s="93"/>
      <c r="BS298" s="93"/>
      <c r="BT298" s="93"/>
      <c r="BU298" s="93"/>
      <c r="BV298" s="93"/>
      <c r="BW298" s="93"/>
      <c r="BX298" s="93"/>
      <c r="BY298" s="93"/>
      <c r="BZ298" s="93"/>
      <c r="CA298" s="93"/>
      <c r="CB298" s="93"/>
      <c r="CC298" s="93"/>
      <c r="CD298" s="93"/>
      <c r="CE298" s="93"/>
      <c r="CF298" s="93"/>
      <c r="CG298" s="93"/>
      <c r="CH298" s="93"/>
      <c r="CI298" s="93"/>
      <c r="CJ298" s="93"/>
      <c r="CK298" s="93"/>
      <c r="CL298" s="93"/>
      <c r="CM298" s="93"/>
      <c r="CN298" s="93"/>
      <c r="CO298" s="93"/>
      <c r="CP298" s="93"/>
      <c r="CQ298" s="93"/>
      <c r="CR298" s="93"/>
      <c r="CS298" s="93"/>
      <c r="CT298" s="93"/>
      <c r="CU298" s="93"/>
      <c r="CV298" s="93"/>
      <c r="CW298" s="93"/>
      <c r="CX298" s="93"/>
    </row>
    <row r="299" spans="1:102" ht="15" hidden="1" customHeight="1">
      <c r="A299" s="93"/>
      <c r="B299" s="93" t="e">
        <f>VLOOKUP($A299,  'Matriz POA 2024-TRABAJO'!$A$5:$CY$9142,29,FALSE)</f>
        <v>#N/A</v>
      </c>
      <c r="C299" s="93" t="e">
        <f>VLOOKUP($A299, 'Matriz POA 2024-TRABAJO'!$A$5:$CY$9142,11,FALSE)</f>
        <v>#N/A</v>
      </c>
      <c r="D299" s="93" t="e">
        <f>VLOOKUP($A299, 'Matriz POA 2024-TRABAJO'!$A$5:$CY$9142,14,FALSE)</f>
        <v>#N/A</v>
      </c>
      <c r="E299" s="93" t="e">
        <f>VLOOKUP($A299, 'Matriz POA 2024-TRABAJO'!$A$5:$CY$9142,15,FALSE)</f>
        <v>#N/A</v>
      </c>
      <c r="F299" s="93" t="e">
        <f>VLOOKUP($A299, 'Matriz POA 2024-TRABAJO'!$A$5:$CY$9142,18,FALSE)</f>
        <v>#N/A</v>
      </c>
      <c r="G299" s="93" t="e">
        <f>VLOOKUP($A299, 'Matriz POA 2024-TRABAJO'!$A$5:$CY$9142,23,FALSE)</f>
        <v>#N/A</v>
      </c>
      <c r="H299" s="93" t="e">
        <f>VLOOKUP($A299, 'Matriz POA 2024-TRABAJO'!$A$5:$CY$9142,24,FALSE)</f>
        <v>#N/A</v>
      </c>
      <c r="I299" s="93" t="e">
        <f>VLOOKUP($A299, 'Matriz POA 2024-TRABAJO'!$A$5:$CY$9142,20,FALSE)</f>
        <v>#N/A</v>
      </c>
      <c r="J299" s="93" t="e">
        <f>VLOOKUP($A299, 'Matriz POA 2024-TRABAJO'!$A$5:$CY$9142,26,FALSE)</f>
        <v>#N/A</v>
      </c>
      <c r="K299" s="93" t="e">
        <f>VLOOKUP($A299, 'Matriz POA 2024-TRABAJO'!$A$5:$CY$9142,27,FALSE)</f>
        <v>#N/A</v>
      </c>
      <c r="L299" s="93" t="e">
        <f>VLOOKUP($A299, 'Matriz POA 2024-TRABAJO'!$A$5:$CY$9142,28,FALSE)</f>
        <v>#N/A</v>
      </c>
      <c r="M299" s="93" t="e">
        <f>VLOOKUP($A299, 'Matriz POA 2024-TRABAJO'!$A$5:$CY$9142,30,FALSE)</f>
        <v>#N/A</v>
      </c>
      <c r="N299" s="93" t="e">
        <f>VLOOKUP($A299, 'Matriz POA 2024-TRABAJO'!$A$5:$CY$9142,31,FALSE)</f>
        <v>#N/A</v>
      </c>
      <c r="O299" s="93" t="e">
        <f>VLOOKUP($A299, 'Matriz POA 2024-TRABAJO'!$A$5:$CY$9142,45,FALSE)</f>
        <v>#N/A</v>
      </c>
      <c r="P299" s="93" t="e">
        <f>VLOOKUP($A299, 'Matriz POA 2024-TRABAJO'!$A$5:$CY$9142,46,FALSE)</f>
        <v>#N/A</v>
      </c>
      <c r="Q299" s="93" t="e">
        <f>VLOOKUP($A299, 'Matriz POA 2024-TRABAJO'!$A$5:$CY$9142,47,FALSE)</f>
        <v>#N/A</v>
      </c>
      <c r="R299" s="94">
        <f t="shared" si="217"/>
        <v>0</v>
      </c>
      <c r="S299" s="95" t="e">
        <f t="shared" si="218"/>
        <v>#N/A</v>
      </c>
      <c r="T299" s="93" t="e">
        <f>VLOOKUP($A299, 'Matriz POA 2024-TRABAJO'!$A$5:$CY$9142,72,FALSE)</f>
        <v>#N/A</v>
      </c>
      <c r="U299" s="93" t="e">
        <f>VLOOKUP($A299, 'Matriz POA 2024-TRABAJO'!$A$5:$CY$9142,29,FALSE)</f>
        <v>#N/A</v>
      </c>
      <c r="V299" s="93" t="str">
        <f t="shared" si="219"/>
        <v/>
      </c>
      <c r="W299" s="93"/>
      <c r="X299" s="93"/>
      <c r="Y299" s="93"/>
      <c r="Z299" s="93"/>
      <c r="AA299" s="93"/>
      <c r="AB299" s="93"/>
      <c r="AC299" s="93">
        <f t="shared" si="220"/>
        <v>0</v>
      </c>
      <c r="AD299" s="93"/>
      <c r="AE299" s="93"/>
      <c r="AF299" s="93"/>
      <c r="AG299" s="93"/>
      <c r="AH299" s="93"/>
      <c r="AI299" s="93"/>
      <c r="AJ299" s="93"/>
      <c r="AK299" s="93">
        <f t="shared" si="221"/>
        <v>0</v>
      </c>
      <c r="AL299" s="93"/>
      <c r="AM299" s="93"/>
      <c r="AN299" s="93"/>
      <c r="AO299" s="93"/>
      <c r="AP299" s="93"/>
      <c r="AQ299" s="93"/>
      <c r="AR299" s="93"/>
      <c r="AS299" s="93">
        <f t="shared" si="222"/>
        <v>0</v>
      </c>
      <c r="AT299" s="93"/>
      <c r="AU299" s="93"/>
      <c r="AV299" s="93"/>
      <c r="AW299" s="93"/>
      <c r="AX299" s="93"/>
      <c r="AY299" s="93"/>
      <c r="AZ299" s="93"/>
      <c r="BA299" s="93"/>
      <c r="BB299" s="93"/>
      <c r="BC299" s="93"/>
      <c r="BD299" s="93"/>
      <c r="BE299" s="93"/>
      <c r="BF299" s="93"/>
      <c r="BG299" s="93"/>
      <c r="BH299" s="93"/>
      <c r="BI299" s="93"/>
      <c r="BJ299" s="93"/>
      <c r="BK299" s="93"/>
      <c r="BL299" s="93"/>
      <c r="BM299" s="93"/>
      <c r="BN299" s="93"/>
      <c r="BO299" s="93"/>
      <c r="BP299" s="93"/>
      <c r="BQ299" s="93"/>
      <c r="BR299" s="93"/>
      <c r="BS299" s="93"/>
      <c r="BT299" s="93"/>
      <c r="BU299" s="93"/>
      <c r="BV299" s="93"/>
      <c r="BW299" s="93"/>
      <c r="BX299" s="93"/>
      <c r="BY299" s="93"/>
      <c r="BZ299" s="93"/>
      <c r="CA299" s="93"/>
      <c r="CB299" s="93"/>
      <c r="CC299" s="93"/>
      <c r="CD299" s="93"/>
      <c r="CE299" s="93"/>
      <c r="CF299" s="93"/>
      <c r="CG299" s="93"/>
      <c r="CH299" s="93"/>
      <c r="CI299" s="93"/>
      <c r="CJ299" s="93"/>
      <c r="CK299" s="93"/>
      <c r="CL299" s="93"/>
      <c r="CM299" s="93"/>
      <c r="CN299" s="93"/>
      <c r="CO299" s="93"/>
      <c r="CP299" s="93"/>
      <c r="CQ299" s="93"/>
      <c r="CR299" s="93"/>
      <c r="CS299" s="93"/>
      <c r="CT299" s="93"/>
      <c r="CU299" s="93"/>
      <c r="CV299" s="93"/>
      <c r="CW299" s="93"/>
      <c r="CX299" s="93"/>
    </row>
    <row r="300" spans="1:102" ht="15" hidden="1" customHeight="1">
      <c r="A300" s="93"/>
      <c r="B300" s="93" t="e">
        <f>VLOOKUP($A300,  'Matriz POA 2024-TRABAJO'!$A$5:$CY$9142,29,FALSE)</f>
        <v>#N/A</v>
      </c>
      <c r="C300" s="93" t="e">
        <f>VLOOKUP($A300, 'Matriz POA 2024-TRABAJO'!$A$5:$CY$9142,11,FALSE)</f>
        <v>#N/A</v>
      </c>
      <c r="D300" s="93" t="e">
        <f>VLOOKUP($A300, 'Matriz POA 2024-TRABAJO'!$A$5:$CY$9142,14,FALSE)</f>
        <v>#N/A</v>
      </c>
      <c r="E300" s="93" t="e">
        <f>VLOOKUP($A300, 'Matriz POA 2024-TRABAJO'!$A$5:$CY$9142,15,FALSE)</f>
        <v>#N/A</v>
      </c>
      <c r="F300" s="93" t="e">
        <f>VLOOKUP($A300, 'Matriz POA 2024-TRABAJO'!$A$5:$CY$9142,18,FALSE)</f>
        <v>#N/A</v>
      </c>
      <c r="G300" s="93" t="e">
        <f>VLOOKUP($A300, 'Matriz POA 2024-TRABAJO'!$A$5:$CY$9142,23,FALSE)</f>
        <v>#N/A</v>
      </c>
      <c r="H300" s="93" t="e">
        <f>VLOOKUP($A300, 'Matriz POA 2024-TRABAJO'!$A$5:$CY$9142,24,FALSE)</f>
        <v>#N/A</v>
      </c>
      <c r="I300" s="93" t="e">
        <f>VLOOKUP($A300, 'Matriz POA 2024-TRABAJO'!$A$5:$CY$9142,20,FALSE)</f>
        <v>#N/A</v>
      </c>
      <c r="J300" s="93" t="e">
        <f>VLOOKUP($A300, 'Matriz POA 2024-TRABAJO'!$A$5:$CY$9142,26,FALSE)</f>
        <v>#N/A</v>
      </c>
      <c r="K300" s="93" t="e">
        <f>VLOOKUP($A300, 'Matriz POA 2024-TRABAJO'!$A$5:$CY$9142,27,FALSE)</f>
        <v>#N/A</v>
      </c>
      <c r="L300" s="93" t="e">
        <f>VLOOKUP($A300, 'Matriz POA 2024-TRABAJO'!$A$5:$CY$9142,28,FALSE)</f>
        <v>#N/A</v>
      </c>
      <c r="M300" s="93" t="e">
        <f>VLOOKUP($A300, 'Matriz POA 2024-TRABAJO'!$A$5:$CY$9142,30,FALSE)</f>
        <v>#N/A</v>
      </c>
      <c r="N300" s="93" t="e">
        <f>VLOOKUP($A300, 'Matriz POA 2024-TRABAJO'!$A$5:$CY$9142,31,FALSE)</f>
        <v>#N/A</v>
      </c>
      <c r="O300" s="93" t="e">
        <f>VLOOKUP($A300, 'Matriz POA 2024-TRABAJO'!$A$5:$CY$9142,45,FALSE)</f>
        <v>#N/A</v>
      </c>
      <c r="P300" s="93" t="e">
        <f>VLOOKUP($A300, 'Matriz POA 2024-TRABAJO'!$A$5:$CY$9142,46,FALSE)</f>
        <v>#N/A</v>
      </c>
      <c r="Q300" s="93" t="e">
        <f>VLOOKUP($A300, 'Matriz POA 2024-TRABAJO'!$A$5:$CY$9142,47,FALSE)</f>
        <v>#N/A</v>
      </c>
      <c r="R300" s="94">
        <f t="shared" si="217"/>
        <v>0</v>
      </c>
      <c r="S300" s="95" t="e">
        <f t="shared" si="218"/>
        <v>#N/A</v>
      </c>
      <c r="T300" s="93" t="e">
        <f>VLOOKUP($A300, 'Matriz POA 2024-TRABAJO'!$A$5:$CY$9142,72,FALSE)</f>
        <v>#N/A</v>
      </c>
      <c r="U300" s="93" t="e">
        <f>VLOOKUP($A300, 'Matriz POA 2024-TRABAJO'!$A$5:$CY$9142,29,FALSE)</f>
        <v>#N/A</v>
      </c>
      <c r="V300" s="93" t="str">
        <f t="shared" si="219"/>
        <v/>
      </c>
      <c r="W300" s="93"/>
      <c r="X300" s="93"/>
      <c r="Y300" s="93"/>
      <c r="Z300" s="93"/>
      <c r="AA300" s="93"/>
      <c r="AB300" s="93"/>
      <c r="AC300" s="93">
        <f t="shared" si="220"/>
        <v>0</v>
      </c>
      <c r="AD300" s="93"/>
      <c r="AE300" s="93"/>
      <c r="AF300" s="93"/>
      <c r="AG300" s="93"/>
      <c r="AH300" s="93"/>
      <c r="AI300" s="93"/>
      <c r="AJ300" s="93"/>
      <c r="AK300" s="93">
        <f t="shared" si="221"/>
        <v>0</v>
      </c>
      <c r="AL300" s="93"/>
      <c r="AM300" s="93"/>
      <c r="AN300" s="93"/>
      <c r="AO300" s="93"/>
      <c r="AP300" s="93"/>
      <c r="AQ300" s="93"/>
      <c r="AR300" s="93"/>
      <c r="AS300" s="93">
        <f t="shared" si="222"/>
        <v>0</v>
      </c>
      <c r="AT300" s="93"/>
      <c r="AU300" s="93"/>
      <c r="AV300" s="93"/>
      <c r="AW300" s="93"/>
      <c r="AX300" s="93"/>
      <c r="AY300" s="93"/>
      <c r="AZ300" s="93"/>
      <c r="BA300" s="93"/>
      <c r="BB300" s="93"/>
      <c r="BC300" s="93"/>
      <c r="BD300" s="93"/>
      <c r="BE300" s="93"/>
      <c r="BF300" s="93"/>
      <c r="BG300" s="93"/>
      <c r="BH300" s="93"/>
      <c r="BI300" s="93"/>
      <c r="BJ300" s="93"/>
      <c r="BK300" s="93"/>
      <c r="BL300" s="93"/>
      <c r="BM300" s="93"/>
      <c r="BN300" s="93"/>
      <c r="BO300" s="93"/>
      <c r="BP300" s="93"/>
      <c r="BQ300" s="93"/>
      <c r="BR300" s="93"/>
      <c r="BS300" s="93"/>
      <c r="BT300" s="93"/>
      <c r="BU300" s="93"/>
      <c r="BV300" s="93"/>
      <c r="BW300" s="93"/>
      <c r="BX300" s="93"/>
      <c r="BY300" s="93"/>
      <c r="BZ300" s="93"/>
      <c r="CA300" s="93"/>
      <c r="CB300" s="93"/>
      <c r="CC300" s="93"/>
      <c r="CD300" s="93"/>
      <c r="CE300" s="93"/>
      <c r="CF300" s="93"/>
      <c r="CG300" s="93"/>
      <c r="CH300" s="93"/>
      <c r="CI300" s="93"/>
      <c r="CJ300" s="93"/>
      <c r="CK300" s="93"/>
      <c r="CL300" s="93"/>
      <c r="CM300" s="93"/>
      <c r="CN300" s="93"/>
      <c r="CO300" s="93"/>
      <c r="CP300" s="93"/>
      <c r="CQ300" s="93"/>
      <c r="CR300" s="93"/>
      <c r="CS300" s="93"/>
      <c r="CT300" s="93"/>
      <c r="CU300" s="93"/>
      <c r="CV300" s="93"/>
      <c r="CW300" s="93"/>
      <c r="CX300" s="93"/>
    </row>
    <row r="301" spans="1:102" ht="15" hidden="1" customHeight="1">
      <c r="A301" s="93"/>
      <c r="B301" s="93" t="e">
        <f>VLOOKUP($A301,  'Matriz POA 2024-TRABAJO'!$A$5:$CY$9142,29,FALSE)</f>
        <v>#N/A</v>
      </c>
      <c r="C301" s="93" t="e">
        <f>VLOOKUP($A301, 'Matriz POA 2024-TRABAJO'!$A$5:$CY$9142,11,FALSE)</f>
        <v>#N/A</v>
      </c>
      <c r="D301" s="93" t="e">
        <f>VLOOKUP($A301, 'Matriz POA 2024-TRABAJO'!$A$5:$CY$9142,14,FALSE)</f>
        <v>#N/A</v>
      </c>
      <c r="E301" s="93" t="e">
        <f>VLOOKUP($A301, 'Matriz POA 2024-TRABAJO'!$A$5:$CY$9142,15,FALSE)</f>
        <v>#N/A</v>
      </c>
      <c r="F301" s="93" t="e">
        <f>VLOOKUP($A301, 'Matriz POA 2024-TRABAJO'!$A$5:$CY$9142,18,FALSE)</f>
        <v>#N/A</v>
      </c>
      <c r="G301" s="93" t="e">
        <f>VLOOKUP($A301, 'Matriz POA 2024-TRABAJO'!$A$5:$CY$9142,23,FALSE)</f>
        <v>#N/A</v>
      </c>
      <c r="H301" s="93" t="e">
        <f>VLOOKUP($A301, 'Matriz POA 2024-TRABAJO'!$A$5:$CY$9142,24,FALSE)</f>
        <v>#N/A</v>
      </c>
      <c r="I301" s="93" t="e">
        <f>VLOOKUP($A301, 'Matriz POA 2024-TRABAJO'!$A$5:$CY$9142,20,FALSE)</f>
        <v>#N/A</v>
      </c>
      <c r="J301" s="93" t="e">
        <f>VLOOKUP($A301, 'Matriz POA 2024-TRABAJO'!$A$5:$CY$9142,26,FALSE)</f>
        <v>#N/A</v>
      </c>
      <c r="K301" s="93" t="e">
        <f>VLOOKUP($A301, 'Matriz POA 2024-TRABAJO'!$A$5:$CY$9142,27,FALSE)</f>
        <v>#N/A</v>
      </c>
      <c r="L301" s="93" t="e">
        <f>VLOOKUP($A301, 'Matriz POA 2024-TRABAJO'!$A$5:$CY$9142,28,FALSE)</f>
        <v>#N/A</v>
      </c>
      <c r="M301" s="93" t="e">
        <f>VLOOKUP($A301, 'Matriz POA 2024-TRABAJO'!$A$5:$CY$9142,30,FALSE)</f>
        <v>#N/A</v>
      </c>
      <c r="N301" s="93" t="e">
        <f>VLOOKUP($A301, 'Matriz POA 2024-TRABAJO'!$A$5:$CY$9142,31,FALSE)</f>
        <v>#N/A</v>
      </c>
      <c r="O301" s="93" t="e">
        <f>VLOOKUP($A301, 'Matriz POA 2024-TRABAJO'!$A$5:$CY$9142,45,FALSE)</f>
        <v>#N/A</v>
      </c>
      <c r="P301" s="93" t="e">
        <f>VLOOKUP($A301, 'Matriz POA 2024-TRABAJO'!$A$5:$CY$9142,46,FALSE)</f>
        <v>#N/A</v>
      </c>
      <c r="Q301" s="93" t="e">
        <f>VLOOKUP($A301, 'Matriz POA 2024-TRABAJO'!$A$5:$CY$9142,47,FALSE)</f>
        <v>#N/A</v>
      </c>
      <c r="R301" s="94">
        <f t="shared" si="217"/>
        <v>0</v>
      </c>
      <c r="S301" s="95" t="e">
        <f t="shared" si="218"/>
        <v>#N/A</v>
      </c>
      <c r="T301" s="93" t="e">
        <f>VLOOKUP($A301, 'Matriz POA 2024-TRABAJO'!$A$5:$CY$9142,72,FALSE)</f>
        <v>#N/A</v>
      </c>
      <c r="U301" s="93" t="e">
        <f>VLOOKUP($A301, 'Matriz POA 2024-TRABAJO'!$A$5:$CY$9142,29,FALSE)</f>
        <v>#N/A</v>
      </c>
      <c r="V301" s="93" t="str">
        <f t="shared" si="219"/>
        <v/>
      </c>
      <c r="W301" s="93"/>
      <c r="X301" s="93"/>
      <c r="Y301" s="93"/>
      <c r="Z301" s="93"/>
      <c r="AA301" s="93"/>
      <c r="AB301" s="93"/>
      <c r="AC301" s="93">
        <f t="shared" si="220"/>
        <v>0</v>
      </c>
      <c r="AD301" s="93"/>
      <c r="AE301" s="93"/>
      <c r="AF301" s="93"/>
      <c r="AG301" s="93"/>
      <c r="AH301" s="93"/>
      <c r="AI301" s="93"/>
      <c r="AJ301" s="93"/>
      <c r="AK301" s="93">
        <f t="shared" si="221"/>
        <v>0</v>
      </c>
      <c r="AL301" s="93"/>
      <c r="AM301" s="93"/>
      <c r="AN301" s="93"/>
      <c r="AO301" s="93"/>
      <c r="AP301" s="93"/>
      <c r="AQ301" s="93"/>
      <c r="AR301" s="93"/>
      <c r="AS301" s="93">
        <f t="shared" si="222"/>
        <v>0</v>
      </c>
      <c r="AT301" s="93"/>
      <c r="AU301" s="93"/>
      <c r="AV301" s="93"/>
      <c r="AW301" s="93"/>
      <c r="AX301" s="93"/>
      <c r="AY301" s="93"/>
      <c r="AZ301" s="93"/>
      <c r="BA301" s="93"/>
      <c r="BB301" s="93"/>
      <c r="BC301" s="93"/>
      <c r="BD301" s="93"/>
      <c r="BE301" s="93"/>
      <c r="BF301" s="93"/>
      <c r="BG301" s="93"/>
      <c r="BH301" s="93"/>
      <c r="BI301" s="93"/>
      <c r="BJ301" s="93"/>
      <c r="BK301" s="93"/>
      <c r="BL301" s="93"/>
      <c r="BM301" s="93"/>
      <c r="BN301" s="93"/>
      <c r="BO301" s="93"/>
      <c r="BP301" s="93"/>
      <c r="BQ301" s="93"/>
      <c r="BR301" s="93"/>
      <c r="BS301" s="93"/>
      <c r="BT301" s="93"/>
      <c r="BU301" s="93"/>
      <c r="BV301" s="93"/>
      <c r="BW301" s="93"/>
      <c r="BX301" s="93"/>
      <c r="BY301" s="93"/>
      <c r="BZ301" s="93"/>
      <c r="CA301" s="93"/>
      <c r="CB301" s="93"/>
      <c r="CC301" s="93"/>
      <c r="CD301" s="93"/>
      <c r="CE301" s="93"/>
      <c r="CF301" s="93"/>
      <c r="CG301" s="93"/>
      <c r="CH301" s="93"/>
      <c r="CI301" s="93"/>
      <c r="CJ301" s="93"/>
      <c r="CK301" s="93"/>
      <c r="CL301" s="93"/>
      <c r="CM301" s="93"/>
      <c r="CN301" s="93"/>
      <c r="CO301" s="93"/>
      <c r="CP301" s="93"/>
      <c r="CQ301" s="93"/>
      <c r="CR301" s="93"/>
      <c r="CS301" s="93"/>
      <c r="CT301" s="93"/>
      <c r="CU301" s="93"/>
      <c r="CV301" s="93"/>
      <c r="CW301" s="93"/>
      <c r="CX301" s="93"/>
    </row>
    <row r="302" spans="1:102" ht="15" hidden="1" customHeight="1">
      <c r="A302" s="93"/>
      <c r="B302" s="93" t="e">
        <f>VLOOKUP($A302,  'Matriz POA 2024-TRABAJO'!$A$5:$CY$9142,29,FALSE)</f>
        <v>#N/A</v>
      </c>
      <c r="C302" s="93" t="e">
        <f>VLOOKUP($A302, 'Matriz POA 2024-TRABAJO'!$A$5:$CY$9142,11,FALSE)</f>
        <v>#N/A</v>
      </c>
      <c r="D302" s="93" t="e">
        <f>VLOOKUP($A302, 'Matriz POA 2024-TRABAJO'!$A$5:$CY$9142,14,FALSE)</f>
        <v>#N/A</v>
      </c>
      <c r="E302" s="93" t="e">
        <f>VLOOKUP($A302, 'Matriz POA 2024-TRABAJO'!$A$5:$CY$9142,15,FALSE)</f>
        <v>#N/A</v>
      </c>
      <c r="F302" s="93" t="e">
        <f>VLOOKUP($A302, 'Matriz POA 2024-TRABAJO'!$A$5:$CY$9142,18,FALSE)</f>
        <v>#N/A</v>
      </c>
      <c r="G302" s="93" t="e">
        <f>VLOOKUP($A302, 'Matriz POA 2024-TRABAJO'!$A$5:$CY$9142,23,FALSE)</f>
        <v>#N/A</v>
      </c>
      <c r="H302" s="93" t="e">
        <f>VLOOKUP($A302, 'Matriz POA 2024-TRABAJO'!$A$5:$CY$9142,24,FALSE)</f>
        <v>#N/A</v>
      </c>
      <c r="I302" s="93" t="e">
        <f>VLOOKUP($A302, 'Matriz POA 2024-TRABAJO'!$A$5:$CY$9142,20,FALSE)</f>
        <v>#N/A</v>
      </c>
      <c r="J302" s="93" t="e">
        <f>VLOOKUP($A302, 'Matriz POA 2024-TRABAJO'!$A$5:$CY$9142,26,FALSE)</f>
        <v>#N/A</v>
      </c>
      <c r="K302" s="93" t="e">
        <f>VLOOKUP($A302, 'Matriz POA 2024-TRABAJO'!$A$5:$CY$9142,27,FALSE)</f>
        <v>#N/A</v>
      </c>
      <c r="L302" s="93" t="e">
        <f>VLOOKUP($A302, 'Matriz POA 2024-TRABAJO'!$A$5:$CY$9142,28,FALSE)</f>
        <v>#N/A</v>
      </c>
      <c r="M302" s="93" t="e">
        <f>VLOOKUP($A302, 'Matriz POA 2024-TRABAJO'!$A$5:$CY$9142,30,FALSE)</f>
        <v>#N/A</v>
      </c>
      <c r="N302" s="93" t="e">
        <f>VLOOKUP($A302, 'Matriz POA 2024-TRABAJO'!$A$5:$CY$9142,31,FALSE)</f>
        <v>#N/A</v>
      </c>
      <c r="O302" s="93" t="e">
        <f>VLOOKUP($A302, 'Matriz POA 2024-TRABAJO'!$A$5:$CY$9142,45,FALSE)</f>
        <v>#N/A</v>
      </c>
      <c r="P302" s="93" t="e">
        <f>VLOOKUP($A302, 'Matriz POA 2024-TRABAJO'!$A$5:$CY$9142,46,FALSE)</f>
        <v>#N/A</v>
      </c>
      <c r="Q302" s="93" t="e">
        <f>VLOOKUP($A302, 'Matriz POA 2024-TRABAJO'!$A$5:$CY$9142,47,FALSE)</f>
        <v>#N/A</v>
      </c>
      <c r="R302" s="94">
        <f t="shared" si="217"/>
        <v>0</v>
      </c>
      <c r="S302" s="95" t="e">
        <f t="shared" si="218"/>
        <v>#N/A</v>
      </c>
      <c r="T302" s="93" t="e">
        <f>VLOOKUP($A302, 'Matriz POA 2024-TRABAJO'!$A$5:$CY$9142,72,FALSE)</f>
        <v>#N/A</v>
      </c>
      <c r="U302" s="93" t="e">
        <f>VLOOKUP($A302, 'Matriz POA 2024-TRABAJO'!$A$5:$CY$9142,29,FALSE)</f>
        <v>#N/A</v>
      </c>
      <c r="V302" s="93" t="str">
        <f t="shared" si="219"/>
        <v/>
      </c>
      <c r="W302" s="93"/>
      <c r="X302" s="93"/>
      <c r="Y302" s="93"/>
      <c r="Z302" s="93"/>
      <c r="AA302" s="93"/>
      <c r="AB302" s="93"/>
      <c r="AC302" s="93">
        <f t="shared" si="220"/>
        <v>0</v>
      </c>
      <c r="AD302" s="93"/>
      <c r="AE302" s="93"/>
      <c r="AF302" s="93"/>
      <c r="AG302" s="93"/>
      <c r="AH302" s="93"/>
      <c r="AI302" s="93"/>
      <c r="AJ302" s="93"/>
      <c r="AK302" s="93">
        <f t="shared" si="221"/>
        <v>0</v>
      </c>
      <c r="AL302" s="93"/>
      <c r="AM302" s="93"/>
      <c r="AN302" s="93"/>
      <c r="AO302" s="93"/>
      <c r="AP302" s="93"/>
      <c r="AQ302" s="93"/>
      <c r="AR302" s="93"/>
      <c r="AS302" s="93">
        <f t="shared" si="222"/>
        <v>0</v>
      </c>
      <c r="AT302" s="93"/>
      <c r="AU302" s="93"/>
      <c r="AV302" s="93"/>
      <c r="AW302" s="93"/>
      <c r="AX302" s="93"/>
      <c r="AY302" s="93"/>
      <c r="AZ302" s="93"/>
      <c r="BA302" s="93"/>
      <c r="BB302" s="93"/>
      <c r="BC302" s="93"/>
      <c r="BD302" s="93"/>
      <c r="BE302" s="93"/>
      <c r="BF302" s="93"/>
      <c r="BG302" s="93"/>
      <c r="BH302" s="93"/>
      <c r="BI302" s="93"/>
      <c r="BJ302" s="93"/>
      <c r="BK302" s="93"/>
      <c r="BL302" s="93"/>
      <c r="BM302" s="93"/>
      <c r="BN302" s="93"/>
      <c r="BO302" s="93"/>
      <c r="BP302" s="93"/>
      <c r="BQ302" s="93"/>
      <c r="BR302" s="93"/>
      <c r="BS302" s="93"/>
      <c r="BT302" s="93"/>
      <c r="BU302" s="93"/>
      <c r="BV302" s="93"/>
      <c r="BW302" s="93"/>
      <c r="BX302" s="93"/>
      <c r="BY302" s="93"/>
      <c r="BZ302" s="93"/>
      <c r="CA302" s="93"/>
      <c r="CB302" s="93"/>
      <c r="CC302" s="93"/>
      <c r="CD302" s="93"/>
      <c r="CE302" s="93"/>
      <c r="CF302" s="93"/>
      <c r="CG302" s="93"/>
      <c r="CH302" s="93"/>
      <c r="CI302" s="93"/>
      <c r="CJ302" s="93"/>
      <c r="CK302" s="93"/>
      <c r="CL302" s="93"/>
      <c r="CM302" s="93"/>
      <c r="CN302" s="93"/>
      <c r="CO302" s="93"/>
      <c r="CP302" s="93"/>
      <c r="CQ302" s="93"/>
      <c r="CR302" s="93"/>
      <c r="CS302" s="93"/>
      <c r="CT302" s="93"/>
      <c r="CU302" s="93"/>
      <c r="CV302" s="93"/>
      <c r="CW302" s="93"/>
      <c r="CX302" s="93"/>
    </row>
    <row r="303" spans="1:102" ht="15" hidden="1" customHeight="1">
      <c r="A303" s="93"/>
      <c r="B303" s="93" t="e">
        <f>VLOOKUP($A303,  'Matriz POA 2024-TRABAJO'!$A$5:$CY$9142,29,FALSE)</f>
        <v>#N/A</v>
      </c>
      <c r="C303" s="93" t="e">
        <f>VLOOKUP($A303, 'Matriz POA 2024-TRABAJO'!$A$5:$CY$9142,11,FALSE)</f>
        <v>#N/A</v>
      </c>
      <c r="D303" s="93" t="e">
        <f>VLOOKUP($A303, 'Matriz POA 2024-TRABAJO'!$A$5:$CY$9142,14,FALSE)</f>
        <v>#N/A</v>
      </c>
      <c r="E303" s="93" t="e">
        <f>VLOOKUP($A303, 'Matriz POA 2024-TRABAJO'!$A$5:$CY$9142,15,FALSE)</f>
        <v>#N/A</v>
      </c>
      <c r="F303" s="93" t="e">
        <f>VLOOKUP($A303, 'Matriz POA 2024-TRABAJO'!$A$5:$CY$9142,18,FALSE)</f>
        <v>#N/A</v>
      </c>
      <c r="G303" s="93" t="e">
        <f>VLOOKUP($A303, 'Matriz POA 2024-TRABAJO'!$A$5:$CY$9142,23,FALSE)</f>
        <v>#N/A</v>
      </c>
      <c r="H303" s="93" t="e">
        <f>VLOOKUP($A303, 'Matriz POA 2024-TRABAJO'!$A$5:$CY$9142,24,FALSE)</f>
        <v>#N/A</v>
      </c>
      <c r="I303" s="93" t="e">
        <f>VLOOKUP($A303, 'Matriz POA 2024-TRABAJO'!$A$5:$CY$9142,20,FALSE)</f>
        <v>#N/A</v>
      </c>
      <c r="J303" s="93" t="e">
        <f>VLOOKUP($A303, 'Matriz POA 2024-TRABAJO'!$A$5:$CY$9142,26,FALSE)</f>
        <v>#N/A</v>
      </c>
      <c r="K303" s="93" t="e">
        <f>VLOOKUP($A303, 'Matriz POA 2024-TRABAJO'!$A$5:$CY$9142,27,FALSE)</f>
        <v>#N/A</v>
      </c>
      <c r="L303" s="93" t="e">
        <f>VLOOKUP($A303, 'Matriz POA 2024-TRABAJO'!$A$5:$CY$9142,28,FALSE)</f>
        <v>#N/A</v>
      </c>
      <c r="M303" s="93" t="e">
        <f>VLOOKUP($A303, 'Matriz POA 2024-TRABAJO'!$A$5:$CY$9142,30,FALSE)</f>
        <v>#N/A</v>
      </c>
      <c r="N303" s="93" t="e">
        <f>VLOOKUP($A303, 'Matriz POA 2024-TRABAJO'!$A$5:$CY$9142,31,FALSE)</f>
        <v>#N/A</v>
      </c>
      <c r="O303" s="93" t="e">
        <f>VLOOKUP($A303, 'Matriz POA 2024-TRABAJO'!$A$5:$CY$9142,45,FALSE)</f>
        <v>#N/A</v>
      </c>
      <c r="P303" s="93" t="e">
        <f>VLOOKUP($A303, 'Matriz POA 2024-TRABAJO'!$A$5:$CY$9142,46,FALSE)</f>
        <v>#N/A</v>
      </c>
      <c r="Q303" s="93" t="e">
        <f>VLOOKUP($A303, 'Matriz POA 2024-TRABAJO'!$A$5:$CY$9142,47,FALSE)</f>
        <v>#N/A</v>
      </c>
      <c r="R303" s="94">
        <f t="shared" si="217"/>
        <v>0</v>
      </c>
      <c r="S303" s="95" t="e">
        <f t="shared" si="218"/>
        <v>#N/A</v>
      </c>
      <c r="T303" s="93" t="e">
        <f>VLOOKUP($A303, 'Matriz POA 2024-TRABAJO'!$A$5:$CY$9142,72,FALSE)</f>
        <v>#N/A</v>
      </c>
      <c r="U303" s="93" t="e">
        <f>VLOOKUP($A303, 'Matriz POA 2024-TRABAJO'!$A$5:$CY$9142,29,FALSE)</f>
        <v>#N/A</v>
      </c>
      <c r="V303" s="93" t="str">
        <f t="shared" si="219"/>
        <v/>
      </c>
      <c r="W303" s="93"/>
      <c r="X303" s="93"/>
      <c r="Y303" s="93"/>
      <c r="Z303" s="93"/>
      <c r="AA303" s="93"/>
      <c r="AB303" s="93"/>
      <c r="AC303" s="93">
        <f t="shared" si="220"/>
        <v>0</v>
      </c>
      <c r="AD303" s="93"/>
      <c r="AE303" s="93"/>
      <c r="AF303" s="93"/>
      <c r="AG303" s="93"/>
      <c r="AH303" s="93"/>
      <c r="AI303" s="93"/>
      <c r="AJ303" s="93"/>
      <c r="AK303" s="93">
        <f t="shared" si="221"/>
        <v>0</v>
      </c>
      <c r="AL303" s="93"/>
      <c r="AM303" s="93"/>
      <c r="AN303" s="93"/>
      <c r="AO303" s="93"/>
      <c r="AP303" s="93"/>
      <c r="AQ303" s="93"/>
      <c r="AR303" s="93"/>
      <c r="AS303" s="93">
        <f t="shared" si="222"/>
        <v>0</v>
      </c>
      <c r="AT303" s="93"/>
      <c r="AU303" s="93"/>
      <c r="AV303" s="93"/>
      <c r="AW303" s="93"/>
      <c r="AX303" s="93"/>
      <c r="AY303" s="93"/>
      <c r="AZ303" s="93"/>
      <c r="BA303" s="93"/>
      <c r="BB303" s="93"/>
      <c r="BC303" s="93"/>
      <c r="BD303" s="93"/>
      <c r="BE303" s="93"/>
      <c r="BF303" s="93"/>
      <c r="BG303" s="93"/>
      <c r="BH303" s="93"/>
      <c r="BI303" s="93"/>
      <c r="BJ303" s="93"/>
      <c r="BK303" s="93"/>
      <c r="BL303" s="93"/>
      <c r="BM303" s="93"/>
      <c r="BN303" s="93"/>
      <c r="BO303" s="93"/>
      <c r="BP303" s="93"/>
      <c r="BQ303" s="93"/>
      <c r="BR303" s="93"/>
      <c r="BS303" s="93"/>
      <c r="BT303" s="93"/>
      <c r="BU303" s="93"/>
      <c r="BV303" s="93"/>
      <c r="BW303" s="93"/>
      <c r="BX303" s="93"/>
      <c r="BY303" s="93"/>
      <c r="BZ303" s="93"/>
      <c r="CA303" s="93"/>
      <c r="CB303" s="93"/>
      <c r="CC303" s="93"/>
      <c r="CD303" s="93"/>
      <c r="CE303" s="93"/>
      <c r="CF303" s="93"/>
      <c r="CG303" s="93"/>
      <c r="CH303" s="93"/>
      <c r="CI303" s="93"/>
      <c r="CJ303" s="93"/>
      <c r="CK303" s="93"/>
      <c r="CL303" s="93"/>
      <c r="CM303" s="93"/>
      <c r="CN303" s="93"/>
      <c r="CO303" s="93"/>
      <c r="CP303" s="93"/>
      <c r="CQ303" s="93"/>
      <c r="CR303" s="93"/>
      <c r="CS303" s="93"/>
      <c r="CT303" s="93"/>
      <c r="CU303" s="93"/>
      <c r="CV303" s="93"/>
      <c r="CW303" s="93"/>
      <c r="CX303" s="93"/>
    </row>
    <row r="304" spans="1:102" ht="15" hidden="1" customHeight="1">
      <c r="A304" s="93"/>
      <c r="B304" s="93" t="e">
        <f>VLOOKUP($A304,  'Matriz POA 2024-TRABAJO'!$A$5:$CY$9142,29,FALSE)</f>
        <v>#N/A</v>
      </c>
      <c r="C304" s="93" t="e">
        <f>VLOOKUP($A304, 'Matriz POA 2024-TRABAJO'!$A$5:$CY$9142,11,FALSE)</f>
        <v>#N/A</v>
      </c>
      <c r="D304" s="93" t="e">
        <f>VLOOKUP($A304, 'Matriz POA 2024-TRABAJO'!$A$5:$CY$9142,14,FALSE)</f>
        <v>#N/A</v>
      </c>
      <c r="E304" s="93" t="e">
        <f>VLOOKUP($A304, 'Matriz POA 2024-TRABAJO'!$A$5:$CY$9142,15,FALSE)</f>
        <v>#N/A</v>
      </c>
      <c r="F304" s="93" t="e">
        <f>VLOOKUP($A304, 'Matriz POA 2024-TRABAJO'!$A$5:$CY$9142,18,FALSE)</f>
        <v>#N/A</v>
      </c>
      <c r="G304" s="93" t="e">
        <f>VLOOKUP($A304, 'Matriz POA 2024-TRABAJO'!$A$5:$CY$9142,23,FALSE)</f>
        <v>#N/A</v>
      </c>
      <c r="H304" s="93" t="e">
        <f>VLOOKUP($A304, 'Matriz POA 2024-TRABAJO'!$A$5:$CY$9142,24,FALSE)</f>
        <v>#N/A</v>
      </c>
      <c r="I304" s="93" t="e">
        <f>VLOOKUP($A304, 'Matriz POA 2024-TRABAJO'!$A$5:$CY$9142,20,FALSE)</f>
        <v>#N/A</v>
      </c>
      <c r="J304" s="93" t="e">
        <f>VLOOKUP($A304, 'Matriz POA 2024-TRABAJO'!$A$5:$CY$9142,26,FALSE)</f>
        <v>#N/A</v>
      </c>
      <c r="K304" s="93" t="e">
        <f>VLOOKUP($A304, 'Matriz POA 2024-TRABAJO'!$A$5:$CY$9142,27,FALSE)</f>
        <v>#N/A</v>
      </c>
      <c r="L304" s="93" t="e">
        <f>VLOOKUP($A304, 'Matriz POA 2024-TRABAJO'!$A$5:$CY$9142,28,FALSE)</f>
        <v>#N/A</v>
      </c>
      <c r="M304" s="93" t="e">
        <f>VLOOKUP($A304, 'Matriz POA 2024-TRABAJO'!$A$5:$CY$9142,30,FALSE)</f>
        <v>#N/A</v>
      </c>
      <c r="N304" s="93" t="e">
        <f>VLOOKUP($A304, 'Matriz POA 2024-TRABAJO'!$A$5:$CY$9142,31,FALSE)</f>
        <v>#N/A</v>
      </c>
      <c r="O304" s="93" t="e">
        <f>VLOOKUP($A304, 'Matriz POA 2024-TRABAJO'!$A$5:$CY$9142,45,FALSE)</f>
        <v>#N/A</v>
      </c>
      <c r="P304" s="93" t="e">
        <f>VLOOKUP($A304, 'Matriz POA 2024-TRABAJO'!$A$5:$CY$9142,46,FALSE)</f>
        <v>#N/A</v>
      </c>
      <c r="Q304" s="93" t="e">
        <f>VLOOKUP($A304, 'Matriz POA 2024-TRABAJO'!$A$5:$CY$9142,47,FALSE)</f>
        <v>#N/A</v>
      </c>
      <c r="R304" s="94">
        <f t="shared" si="217"/>
        <v>0</v>
      </c>
      <c r="S304" s="95" t="e">
        <f t="shared" si="218"/>
        <v>#N/A</v>
      </c>
      <c r="T304" s="93" t="e">
        <f>VLOOKUP($A304, 'Matriz POA 2024-TRABAJO'!$A$5:$CY$9142,72,FALSE)</f>
        <v>#N/A</v>
      </c>
      <c r="U304" s="93" t="e">
        <f>VLOOKUP($A304, 'Matriz POA 2024-TRABAJO'!$A$5:$CY$9142,29,FALSE)</f>
        <v>#N/A</v>
      </c>
      <c r="V304" s="93" t="str">
        <f t="shared" si="219"/>
        <v/>
      </c>
      <c r="W304" s="93"/>
      <c r="X304" s="93"/>
      <c r="Y304" s="93"/>
      <c r="Z304" s="93"/>
      <c r="AA304" s="93"/>
      <c r="AB304" s="93"/>
      <c r="AC304" s="93">
        <f t="shared" si="220"/>
        <v>0</v>
      </c>
      <c r="AD304" s="93"/>
      <c r="AE304" s="93"/>
      <c r="AF304" s="93"/>
      <c r="AG304" s="93"/>
      <c r="AH304" s="93"/>
      <c r="AI304" s="93"/>
      <c r="AJ304" s="93"/>
      <c r="AK304" s="93">
        <f t="shared" si="221"/>
        <v>0</v>
      </c>
      <c r="AL304" s="93"/>
      <c r="AM304" s="93"/>
      <c r="AN304" s="93"/>
      <c r="AO304" s="93"/>
      <c r="AP304" s="93"/>
      <c r="AQ304" s="93"/>
      <c r="AR304" s="93"/>
      <c r="AS304" s="93">
        <f t="shared" si="222"/>
        <v>0</v>
      </c>
      <c r="AT304" s="93"/>
      <c r="AU304" s="93"/>
      <c r="AV304" s="93"/>
      <c r="AW304" s="93"/>
      <c r="AX304" s="93"/>
      <c r="AY304" s="93"/>
      <c r="AZ304" s="93"/>
      <c r="BA304" s="93"/>
      <c r="BB304" s="93"/>
      <c r="BC304" s="93"/>
      <c r="BD304" s="93"/>
      <c r="BE304" s="93"/>
      <c r="BF304" s="93"/>
      <c r="BG304" s="93"/>
      <c r="BH304" s="93"/>
      <c r="BI304" s="93"/>
      <c r="BJ304" s="93"/>
      <c r="BK304" s="93"/>
      <c r="BL304" s="93"/>
      <c r="BM304" s="93"/>
      <c r="BN304" s="93"/>
      <c r="BO304" s="93"/>
      <c r="BP304" s="93"/>
      <c r="BQ304" s="93"/>
      <c r="BR304" s="93"/>
      <c r="BS304" s="93"/>
      <c r="BT304" s="93"/>
      <c r="BU304" s="93"/>
      <c r="BV304" s="93"/>
      <c r="BW304" s="93"/>
      <c r="BX304" s="93"/>
      <c r="BY304" s="93"/>
      <c r="BZ304" s="93"/>
      <c r="CA304" s="93"/>
      <c r="CB304" s="93"/>
      <c r="CC304" s="93"/>
      <c r="CD304" s="93"/>
      <c r="CE304" s="93"/>
      <c r="CF304" s="93"/>
      <c r="CG304" s="93"/>
      <c r="CH304" s="93"/>
      <c r="CI304" s="93"/>
      <c r="CJ304" s="93"/>
      <c r="CK304" s="93"/>
      <c r="CL304" s="93"/>
      <c r="CM304" s="93"/>
      <c r="CN304" s="93"/>
      <c r="CO304" s="93"/>
      <c r="CP304" s="93"/>
      <c r="CQ304" s="93"/>
      <c r="CR304" s="93"/>
      <c r="CS304" s="93"/>
      <c r="CT304" s="93"/>
      <c r="CU304" s="93"/>
      <c r="CV304" s="93"/>
      <c r="CW304" s="93"/>
      <c r="CX304" s="93"/>
    </row>
    <row r="305" spans="1:102" ht="15" hidden="1" customHeight="1">
      <c r="A305" s="93"/>
      <c r="B305" s="93" t="e">
        <f>VLOOKUP($A305,  'Matriz POA 2024-TRABAJO'!$A$5:$CY$9142,29,FALSE)</f>
        <v>#N/A</v>
      </c>
      <c r="C305" s="93" t="e">
        <f>VLOOKUP($A305, 'Matriz POA 2024-TRABAJO'!$A$5:$CY$9142,11,FALSE)</f>
        <v>#N/A</v>
      </c>
      <c r="D305" s="93" t="e">
        <f>VLOOKUP($A305, 'Matriz POA 2024-TRABAJO'!$A$5:$CY$9142,14,FALSE)</f>
        <v>#N/A</v>
      </c>
      <c r="E305" s="93" t="e">
        <f>VLOOKUP($A305, 'Matriz POA 2024-TRABAJO'!$A$5:$CY$9142,15,FALSE)</f>
        <v>#N/A</v>
      </c>
      <c r="F305" s="93" t="e">
        <f>VLOOKUP($A305, 'Matriz POA 2024-TRABAJO'!$A$5:$CY$9142,18,FALSE)</f>
        <v>#N/A</v>
      </c>
      <c r="G305" s="93" t="e">
        <f>VLOOKUP($A305, 'Matriz POA 2024-TRABAJO'!$A$5:$CY$9142,23,FALSE)</f>
        <v>#N/A</v>
      </c>
      <c r="H305" s="93" t="e">
        <f>VLOOKUP($A305, 'Matriz POA 2024-TRABAJO'!$A$5:$CY$9142,24,FALSE)</f>
        <v>#N/A</v>
      </c>
      <c r="I305" s="93" t="e">
        <f>VLOOKUP($A305, 'Matriz POA 2024-TRABAJO'!$A$5:$CY$9142,20,FALSE)</f>
        <v>#N/A</v>
      </c>
      <c r="J305" s="93" t="e">
        <f>VLOOKUP($A305, 'Matriz POA 2024-TRABAJO'!$A$5:$CY$9142,26,FALSE)</f>
        <v>#N/A</v>
      </c>
      <c r="K305" s="93" t="e">
        <f>VLOOKUP($A305, 'Matriz POA 2024-TRABAJO'!$A$5:$CY$9142,27,FALSE)</f>
        <v>#N/A</v>
      </c>
      <c r="L305" s="93" t="e">
        <f>VLOOKUP($A305, 'Matriz POA 2024-TRABAJO'!$A$5:$CY$9142,28,FALSE)</f>
        <v>#N/A</v>
      </c>
      <c r="M305" s="93" t="e">
        <f>VLOOKUP($A305, 'Matriz POA 2024-TRABAJO'!$A$5:$CY$9142,30,FALSE)</f>
        <v>#N/A</v>
      </c>
      <c r="N305" s="93" t="e">
        <f>VLOOKUP($A305, 'Matriz POA 2024-TRABAJO'!$A$5:$CY$9142,31,FALSE)</f>
        <v>#N/A</v>
      </c>
      <c r="O305" s="93" t="e">
        <f>VLOOKUP($A305, 'Matriz POA 2024-TRABAJO'!$A$5:$CY$9142,45,FALSE)</f>
        <v>#N/A</v>
      </c>
      <c r="P305" s="93" t="e">
        <f>VLOOKUP($A305, 'Matriz POA 2024-TRABAJO'!$A$5:$CY$9142,46,FALSE)</f>
        <v>#N/A</v>
      </c>
      <c r="Q305" s="93" t="e">
        <f>VLOOKUP($A305, 'Matriz POA 2024-TRABAJO'!$A$5:$CY$9142,47,FALSE)</f>
        <v>#N/A</v>
      </c>
      <c r="R305" s="94">
        <f t="shared" si="217"/>
        <v>0</v>
      </c>
      <c r="S305" s="95" t="e">
        <f t="shared" si="218"/>
        <v>#N/A</v>
      </c>
      <c r="T305" s="93" t="e">
        <f>VLOOKUP($A305, 'Matriz POA 2024-TRABAJO'!$A$5:$CY$9142,72,FALSE)</f>
        <v>#N/A</v>
      </c>
      <c r="U305" s="93" t="e">
        <f>VLOOKUP($A305, 'Matriz POA 2024-TRABAJO'!$A$5:$CY$9142,29,FALSE)</f>
        <v>#N/A</v>
      </c>
      <c r="V305" s="93" t="str">
        <f t="shared" si="219"/>
        <v/>
      </c>
      <c r="W305" s="93"/>
      <c r="X305" s="93"/>
      <c r="Y305" s="93"/>
      <c r="Z305" s="93"/>
      <c r="AA305" s="93"/>
      <c r="AB305" s="93"/>
      <c r="AC305" s="93">
        <f t="shared" si="220"/>
        <v>0</v>
      </c>
      <c r="AD305" s="93"/>
      <c r="AE305" s="93"/>
      <c r="AF305" s="93"/>
      <c r="AG305" s="93"/>
      <c r="AH305" s="93"/>
      <c r="AI305" s="93"/>
      <c r="AJ305" s="93"/>
      <c r="AK305" s="93">
        <f t="shared" si="221"/>
        <v>0</v>
      </c>
      <c r="AL305" s="93"/>
      <c r="AM305" s="93"/>
      <c r="AN305" s="93"/>
      <c r="AO305" s="93"/>
      <c r="AP305" s="93"/>
      <c r="AQ305" s="93"/>
      <c r="AR305" s="93"/>
      <c r="AS305" s="93">
        <f t="shared" si="222"/>
        <v>0</v>
      </c>
      <c r="AT305" s="93"/>
      <c r="AU305" s="93"/>
      <c r="AV305" s="93"/>
      <c r="AW305" s="93"/>
      <c r="AX305" s="93"/>
      <c r="AY305" s="93"/>
      <c r="AZ305" s="93"/>
      <c r="BA305" s="93"/>
      <c r="BB305" s="93"/>
      <c r="BC305" s="93"/>
      <c r="BD305" s="93"/>
      <c r="BE305" s="93"/>
      <c r="BF305" s="93"/>
      <c r="BG305" s="93"/>
      <c r="BH305" s="93"/>
      <c r="BI305" s="93"/>
      <c r="BJ305" s="93"/>
      <c r="BK305" s="93"/>
      <c r="BL305" s="93"/>
      <c r="BM305" s="93"/>
      <c r="BN305" s="93"/>
      <c r="BO305" s="93"/>
      <c r="BP305" s="93"/>
      <c r="BQ305" s="93"/>
      <c r="BR305" s="93"/>
      <c r="BS305" s="93"/>
      <c r="BT305" s="93"/>
      <c r="BU305" s="93"/>
      <c r="BV305" s="93"/>
      <c r="BW305" s="93"/>
      <c r="BX305" s="93"/>
      <c r="BY305" s="93"/>
      <c r="BZ305" s="93"/>
      <c r="CA305" s="93"/>
      <c r="CB305" s="93"/>
      <c r="CC305" s="93"/>
      <c r="CD305" s="93"/>
      <c r="CE305" s="93"/>
      <c r="CF305" s="93"/>
      <c r="CG305" s="93"/>
      <c r="CH305" s="93"/>
      <c r="CI305" s="93"/>
      <c r="CJ305" s="93"/>
      <c r="CK305" s="93"/>
      <c r="CL305" s="93"/>
      <c r="CM305" s="93"/>
      <c r="CN305" s="93"/>
      <c r="CO305" s="93"/>
      <c r="CP305" s="93"/>
      <c r="CQ305" s="93"/>
      <c r="CR305" s="93"/>
      <c r="CS305" s="93"/>
      <c r="CT305" s="93"/>
      <c r="CU305" s="93"/>
      <c r="CV305" s="93"/>
      <c r="CW305" s="93"/>
      <c r="CX305" s="93"/>
    </row>
    <row r="306" spans="1:102" ht="15" hidden="1" customHeight="1">
      <c r="A306" s="93"/>
      <c r="B306" s="93" t="e">
        <f>VLOOKUP($A306,  'Matriz POA 2024-TRABAJO'!$A$5:$CY$9142,29,FALSE)</f>
        <v>#N/A</v>
      </c>
      <c r="C306" s="93" t="e">
        <f>VLOOKUP($A306, 'Matriz POA 2024-TRABAJO'!$A$5:$CY$9142,11,FALSE)</f>
        <v>#N/A</v>
      </c>
      <c r="D306" s="93" t="e">
        <f>VLOOKUP($A306, 'Matriz POA 2024-TRABAJO'!$A$5:$CY$9142,14,FALSE)</f>
        <v>#N/A</v>
      </c>
      <c r="E306" s="93" t="e">
        <f>VLOOKUP($A306, 'Matriz POA 2024-TRABAJO'!$A$5:$CY$9142,15,FALSE)</f>
        <v>#N/A</v>
      </c>
      <c r="F306" s="93" t="e">
        <f>VLOOKUP($A306, 'Matriz POA 2024-TRABAJO'!$A$5:$CY$9142,18,FALSE)</f>
        <v>#N/A</v>
      </c>
      <c r="G306" s="93" t="e">
        <f>VLOOKUP($A306, 'Matriz POA 2024-TRABAJO'!$A$5:$CY$9142,23,FALSE)</f>
        <v>#N/A</v>
      </c>
      <c r="H306" s="93" t="e">
        <f>VLOOKUP($A306, 'Matriz POA 2024-TRABAJO'!$A$5:$CY$9142,24,FALSE)</f>
        <v>#N/A</v>
      </c>
      <c r="I306" s="93" t="e">
        <f>VLOOKUP($A306, 'Matriz POA 2024-TRABAJO'!$A$5:$CY$9142,20,FALSE)</f>
        <v>#N/A</v>
      </c>
      <c r="J306" s="93" t="e">
        <f>VLOOKUP($A306, 'Matriz POA 2024-TRABAJO'!$A$5:$CY$9142,26,FALSE)</f>
        <v>#N/A</v>
      </c>
      <c r="K306" s="93" t="e">
        <f>VLOOKUP($A306, 'Matriz POA 2024-TRABAJO'!$A$5:$CY$9142,27,FALSE)</f>
        <v>#N/A</v>
      </c>
      <c r="L306" s="93" t="e">
        <f>VLOOKUP($A306, 'Matriz POA 2024-TRABAJO'!$A$5:$CY$9142,28,FALSE)</f>
        <v>#N/A</v>
      </c>
      <c r="M306" s="93" t="e">
        <f>VLOOKUP($A306, 'Matriz POA 2024-TRABAJO'!$A$5:$CY$9142,30,FALSE)</f>
        <v>#N/A</v>
      </c>
      <c r="N306" s="93" t="e">
        <f>VLOOKUP($A306, 'Matriz POA 2024-TRABAJO'!$A$5:$CY$9142,31,FALSE)</f>
        <v>#N/A</v>
      </c>
      <c r="O306" s="93" t="e">
        <f>VLOOKUP($A306, 'Matriz POA 2024-TRABAJO'!$A$5:$CY$9142,45,FALSE)</f>
        <v>#N/A</v>
      </c>
      <c r="P306" s="93" t="e">
        <f>VLOOKUP($A306, 'Matriz POA 2024-TRABAJO'!$A$5:$CY$9142,46,FALSE)</f>
        <v>#N/A</v>
      </c>
      <c r="Q306" s="93" t="e">
        <f>VLOOKUP($A306, 'Matriz POA 2024-TRABAJO'!$A$5:$CY$9142,47,FALSE)</f>
        <v>#N/A</v>
      </c>
      <c r="R306" s="94">
        <f t="shared" si="217"/>
        <v>0</v>
      </c>
      <c r="S306" s="95" t="e">
        <f t="shared" si="218"/>
        <v>#N/A</v>
      </c>
      <c r="T306" s="93" t="e">
        <f>VLOOKUP($A306, 'Matriz POA 2024-TRABAJO'!$A$5:$CY$9142,72,FALSE)</f>
        <v>#N/A</v>
      </c>
      <c r="U306" s="93" t="e">
        <f>VLOOKUP($A306, 'Matriz POA 2024-TRABAJO'!$A$5:$CY$9142,29,FALSE)</f>
        <v>#N/A</v>
      </c>
      <c r="V306" s="93" t="str">
        <f t="shared" si="219"/>
        <v/>
      </c>
      <c r="W306" s="93"/>
      <c r="X306" s="93"/>
      <c r="Y306" s="93"/>
      <c r="Z306" s="93"/>
      <c r="AA306" s="93"/>
      <c r="AB306" s="93"/>
      <c r="AC306" s="93">
        <f t="shared" si="220"/>
        <v>0</v>
      </c>
      <c r="AD306" s="93"/>
      <c r="AE306" s="93"/>
      <c r="AF306" s="93"/>
      <c r="AG306" s="93"/>
      <c r="AH306" s="93"/>
      <c r="AI306" s="93"/>
      <c r="AJ306" s="93"/>
      <c r="AK306" s="93">
        <f t="shared" si="221"/>
        <v>0</v>
      </c>
      <c r="AL306" s="93"/>
      <c r="AM306" s="93"/>
      <c r="AN306" s="93"/>
      <c r="AO306" s="93"/>
      <c r="AP306" s="93"/>
      <c r="AQ306" s="93"/>
      <c r="AR306" s="93"/>
      <c r="AS306" s="93">
        <f t="shared" si="222"/>
        <v>0</v>
      </c>
      <c r="AT306" s="93"/>
      <c r="AU306" s="93"/>
      <c r="AV306" s="93"/>
      <c r="AW306" s="93"/>
      <c r="AX306" s="93"/>
      <c r="AY306" s="93"/>
      <c r="AZ306" s="93"/>
      <c r="BA306" s="93"/>
      <c r="BB306" s="93"/>
      <c r="BC306" s="93"/>
      <c r="BD306" s="93"/>
      <c r="BE306" s="93"/>
      <c r="BF306" s="93"/>
      <c r="BG306" s="93"/>
      <c r="BH306" s="93"/>
      <c r="BI306" s="93"/>
      <c r="BJ306" s="93"/>
      <c r="BK306" s="93"/>
      <c r="BL306" s="93"/>
      <c r="BM306" s="93"/>
      <c r="BN306" s="93"/>
      <c r="BO306" s="93"/>
      <c r="BP306" s="93"/>
      <c r="BQ306" s="93"/>
      <c r="BR306" s="93"/>
      <c r="BS306" s="93"/>
      <c r="BT306" s="93"/>
      <c r="BU306" s="93"/>
      <c r="BV306" s="93"/>
      <c r="BW306" s="93"/>
      <c r="BX306" s="93"/>
      <c r="BY306" s="93"/>
      <c r="BZ306" s="93"/>
      <c r="CA306" s="93"/>
      <c r="CB306" s="93"/>
      <c r="CC306" s="93"/>
      <c r="CD306" s="93"/>
      <c r="CE306" s="93"/>
      <c r="CF306" s="93"/>
      <c r="CG306" s="93"/>
      <c r="CH306" s="93"/>
      <c r="CI306" s="93"/>
      <c r="CJ306" s="93"/>
      <c r="CK306" s="93"/>
      <c r="CL306" s="93"/>
      <c r="CM306" s="93"/>
      <c r="CN306" s="93"/>
      <c r="CO306" s="93"/>
      <c r="CP306" s="93"/>
      <c r="CQ306" s="93"/>
      <c r="CR306" s="93"/>
      <c r="CS306" s="93"/>
      <c r="CT306" s="93"/>
      <c r="CU306" s="93"/>
      <c r="CV306" s="93"/>
      <c r="CW306" s="93"/>
      <c r="CX306" s="93"/>
    </row>
    <row r="307" spans="1:102" ht="15" hidden="1" customHeight="1">
      <c r="A307" s="93"/>
      <c r="B307" s="93" t="e">
        <f>VLOOKUP($A307,  'Matriz POA 2024-TRABAJO'!$A$5:$CY$9142,29,FALSE)</f>
        <v>#N/A</v>
      </c>
      <c r="C307" s="93" t="e">
        <f>VLOOKUP($A307, 'Matriz POA 2024-TRABAJO'!$A$5:$CY$9142,11,FALSE)</f>
        <v>#N/A</v>
      </c>
      <c r="D307" s="93" t="e">
        <f>VLOOKUP($A307, 'Matriz POA 2024-TRABAJO'!$A$5:$CY$9142,14,FALSE)</f>
        <v>#N/A</v>
      </c>
      <c r="E307" s="93" t="e">
        <f>VLOOKUP($A307, 'Matriz POA 2024-TRABAJO'!$A$5:$CY$9142,15,FALSE)</f>
        <v>#N/A</v>
      </c>
      <c r="F307" s="93" t="e">
        <f>VLOOKUP($A307, 'Matriz POA 2024-TRABAJO'!$A$5:$CY$9142,18,FALSE)</f>
        <v>#N/A</v>
      </c>
      <c r="G307" s="93" t="e">
        <f>VLOOKUP($A307, 'Matriz POA 2024-TRABAJO'!$A$5:$CY$9142,23,FALSE)</f>
        <v>#N/A</v>
      </c>
      <c r="H307" s="93" t="e">
        <f>VLOOKUP($A307, 'Matriz POA 2024-TRABAJO'!$A$5:$CY$9142,24,FALSE)</f>
        <v>#N/A</v>
      </c>
      <c r="I307" s="93" t="e">
        <f>VLOOKUP($A307, 'Matriz POA 2024-TRABAJO'!$A$5:$CY$9142,20,FALSE)</f>
        <v>#N/A</v>
      </c>
      <c r="J307" s="93" t="e">
        <f>VLOOKUP($A307, 'Matriz POA 2024-TRABAJO'!$A$5:$CY$9142,26,FALSE)</f>
        <v>#N/A</v>
      </c>
      <c r="K307" s="93" t="e">
        <f>VLOOKUP($A307, 'Matriz POA 2024-TRABAJO'!$A$5:$CY$9142,27,FALSE)</f>
        <v>#N/A</v>
      </c>
      <c r="L307" s="93" t="e">
        <f>VLOOKUP($A307, 'Matriz POA 2024-TRABAJO'!$A$5:$CY$9142,28,FALSE)</f>
        <v>#N/A</v>
      </c>
      <c r="M307" s="93" t="e">
        <f>VLOOKUP($A307, 'Matriz POA 2024-TRABAJO'!$A$5:$CY$9142,30,FALSE)</f>
        <v>#N/A</v>
      </c>
      <c r="N307" s="93" t="e">
        <f>VLOOKUP($A307, 'Matriz POA 2024-TRABAJO'!$A$5:$CY$9142,31,FALSE)</f>
        <v>#N/A</v>
      </c>
      <c r="O307" s="93" t="e">
        <f>VLOOKUP($A307, 'Matriz POA 2024-TRABAJO'!$A$5:$CY$9142,45,FALSE)</f>
        <v>#N/A</v>
      </c>
      <c r="P307" s="93" t="e">
        <f>VLOOKUP($A307, 'Matriz POA 2024-TRABAJO'!$A$5:$CY$9142,46,FALSE)</f>
        <v>#N/A</v>
      </c>
      <c r="Q307" s="93" t="e">
        <f>VLOOKUP($A307, 'Matriz POA 2024-TRABAJO'!$A$5:$CY$9142,47,FALSE)</f>
        <v>#N/A</v>
      </c>
      <c r="R307" s="94">
        <f t="shared" si="217"/>
        <v>0</v>
      </c>
      <c r="S307" s="95" t="e">
        <f t="shared" si="218"/>
        <v>#N/A</v>
      </c>
      <c r="T307" s="93" t="e">
        <f>VLOOKUP($A307, 'Matriz POA 2024-TRABAJO'!$A$5:$CY$9142,72,FALSE)</f>
        <v>#N/A</v>
      </c>
      <c r="U307" s="93" t="e">
        <f>VLOOKUP($A307, 'Matriz POA 2024-TRABAJO'!$A$5:$CY$9142,29,FALSE)</f>
        <v>#N/A</v>
      </c>
      <c r="V307" s="93" t="str">
        <f t="shared" si="219"/>
        <v/>
      </c>
      <c r="W307" s="93"/>
      <c r="X307" s="93"/>
      <c r="Y307" s="93"/>
      <c r="Z307" s="93"/>
      <c r="AA307" s="93"/>
      <c r="AB307" s="93"/>
      <c r="AC307" s="93">
        <f t="shared" si="220"/>
        <v>0</v>
      </c>
      <c r="AD307" s="93"/>
      <c r="AE307" s="93"/>
      <c r="AF307" s="93"/>
      <c r="AG307" s="93"/>
      <c r="AH307" s="93"/>
      <c r="AI307" s="93"/>
      <c r="AJ307" s="93"/>
      <c r="AK307" s="93">
        <f t="shared" si="221"/>
        <v>0</v>
      </c>
      <c r="AL307" s="93"/>
      <c r="AM307" s="93"/>
      <c r="AN307" s="93"/>
      <c r="AO307" s="93"/>
      <c r="AP307" s="93"/>
      <c r="AQ307" s="93"/>
      <c r="AR307" s="93"/>
      <c r="AS307" s="93">
        <f t="shared" si="222"/>
        <v>0</v>
      </c>
      <c r="AT307" s="93"/>
      <c r="AU307" s="93"/>
      <c r="AV307" s="93"/>
      <c r="AW307" s="93"/>
      <c r="AX307" s="93"/>
      <c r="AY307" s="93"/>
      <c r="AZ307" s="93"/>
      <c r="BA307" s="93"/>
      <c r="BB307" s="93"/>
      <c r="BC307" s="93"/>
      <c r="BD307" s="93"/>
      <c r="BE307" s="93"/>
      <c r="BF307" s="93"/>
      <c r="BG307" s="93"/>
      <c r="BH307" s="93"/>
      <c r="BI307" s="93"/>
      <c r="BJ307" s="93"/>
      <c r="BK307" s="93"/>
      <c r="BL307" s="93"/>
      <c r="BM307" s="93"/>
      <c r="BN307" s="93"/>
      <c r="BO307" s="93"/>
      <c r="BP307" s="93"/>
      <c r="BQ307" s="93"/>
      <c r="BR307" s="93"/>
      <c r="BS307" s="93"/>
      <c r="BT307" s="93"/>
      <c r="BU307" s="93"/>
      <c r="BV307" s="93"/>
      <c r="BW307" s="93"/>
      <c r="BX307" s="93"/>
      <c r="BY307" s="93"/>
      <c r="BZ307" s="93"/>
      <c r="CA307" s="93"/>
      <c r="CB307" s="93"/>
      <c r="CC307" s="93"/>
      <c r="CD307" s="93"/>
      <c r="CE307" s="93"/>
      <c r="CF307" s="93"/>
      <c r="CG307" s="93"/>
      <c r="CH307" s="93"/>
      <c r="CI307" s="93"/>
      <c r="CJ307" s="93"/>
      <c r="CK307" s="93"/>
      <c r="CL307" s="93"/>
      <c r="CM307" s="93"/>
      <c r="CN307" s="93"/>
      <c r="CO307" s="93"/>
      <c r="CP307" s="93"/>
      <c r="CQ307" s="93"/>
      <c r="CR307" s="93"/>
      <c r="CS307" s="93"/>
      <c r="CT307" s="93"/>
      <c r="CU307" s="93"/>
      <c r="CV307" s="93"/>
      <c r="CW307" s="93"/>
      <c r="CX307" s="93"/>
    </row>
    <row r="308" spans="1:102" ht="15" hidden="1" customHeight="1">
      <c r="A308" s="93"/>
      <c r="B308" s="93" t="e">
        <f>VLOOKUP($A308,  'Matriz POA 2024-TRABAJO'!$A$5:$CY$9142,29,FALSE)</f>
        <v>#N/A</v>
      </c>
      <c r="C308" s="93" t="e">
        <f>VLOOKUP($A308, 'Matriz POA 2024-TRABAJO'!$A$5:$CY$9142,11,FALSE)</f>
        <v>#N/A</v>
      </c>
      <c r="D308" s="93" t="e">
        <f>VLOOKUP($A308, 'Matriz POA 2024-TRABAJO'!$A$5:$CY$9142,14,FALSE)</f>
        <v>#N/A</v>
      </c>
      <c r="E308" s="93" t="e">
        <f>VLOOKUP($A308, 'Matriz POA 2024-TRABAJO'!$A$5:$CY$9142,15,FALSE)</f>
        <v>#N/A</v>
      </c>
      <c r="F308" s="93" t="e">
        <f>VLOOKUP($A308, 'Matriz POA 2024-TRABAJO'!$A$5:$CY$9142,18,FALSE)</f>
        <v>#N/A</v>
      </c>
      <c r="G308" s="93" t="e">
        <f>VLOOKUP($A308, 'Matriz POA 2024-TRABAJO'!$A$5:$CY$9142,23,FALSE)</f>
        <v>#N/A</v>
      </c>
      <c r="H308" s="93" t="e">
        <f>VLOOKUP($A308, 'Matriz POA 2024-TRABAJO'!$A$5:$CY$9142,24,FALSE)</f>
        <v>#N/A</v>
      </c>
      <c r="I308" s="93" t="e">
        <f>VLOOKUP($A308, 'Matriz POA 2024-TRABAJO'!$A$5:$CY$9142,20,FALSE)</f>
        <v>#N/A</v>
      </c>
      <c r="J308" s="93" t="e">
        <f>VLOOKUP($A308, 'Matriz POA 2024-TRABAJO'!$A$5:$CY$9142,26,FALSE)</f>
        <v>#N/A</v>
      </c>
      <c r="K308" s="93" t="e">
        <f>VLOOKUP($A308, 'Matriz POA 2024-TRABAJO'!$A$5:$CY$9142,27,FALSE)</f>
        <v>#N/A</v>
      </c>
      <c r="L308" s="93" t="e">
        <f>VLOOKUP($A308, 'Matriz POA 2024-TRABAJO'!$A$5:$CY$9142,28,FALSE)</f>
        <v>#N/A</v>
      </c>
      <c r="M308" s="93" t="e">
        <f>VLOOKUP($A308, 'Matriz POA 2024-TRABAJO'!$A$5:$CY$9142,30,FALSE)</f>
        <v>#N/A</v>
      </c>
      <c r="N308" s="93" t="e">
        <f>VLOOKUP($A308, 'Matriz POA 2024-TRABAJO'!$A$5:$CY$9142,31,FALSE)</f>
        <v>#N/A</v>
      </c>
      <c r="O308" s="93" t="e">
        <f>VLOOKUP($A308, 'Matriz POA 2024-TRABAJO'!$A$5:$CY$9142,45,FALSE)</f>
        <v>#N/A</v>
      </c>
      <c r="P308" s="93" t="e">
        <f>VLOOKUP($A308, 'Matriz POA 2024-TRABAJO'!$A$5:$CY$9142,46,FALSE)</f>
        <v>#N/A</v>
      </c>
      <c r="Q308" s="93" t="e">
        <f>VLOOKUP($A308, 'Matriz POA 2024-TRABAJO'!$A$5:$CY$9142,47,FALSE)</f>
        <v>#N/A</v>
      </c>
      <c r="R308" s="94">
        <f t="shared" si="217"/>
        <v>0</v>
      </c>
      <c r="S308" s="95" t="e">
        <f t="shared" si="218"/>
        <v>#N/A</v>
      </c>
      <c r="T308" s="93" t="e">
        <f>VLOOKUP($A308, 'Matriz POA 2024-TRABAJO'!$A$5:$CY$9142,72,FALSE)</f>
        <v>#N/A</v>
      </c>
      <c r="U308" s="93" t="e">
        <f>VLOOKUP($A308, 'Matriz POA 2024-TRABAJO'!$A$5:$CY$9142,29,FALSE)</f>
        <v>#N/A</v>
      </c>
      <c r="V308" s="93" t="str">
        <f t="shared" si="219"/>
        <v/>
      </c>
      <c r="W308" s="93"/>
      <c r="X308" s="93"/>
      <c r="Y308" s="93"/>
      <c r="Z308" s="93"/>
      <c r="AA308" s="93"/>
      <c r="AB308" s="93"/>
      <c r="AC308" s="93">
        <f t="shared" si="220"/>
        <v>0</v>
      </c>
      <c r="AD308" s="93"/>
      <c r="AE308" s="93"/>
      <c r="AF308" s="93"/>
      <c r="AG308" s="93"/>
      <c r="AH308" s="93"/>
      <c r="AI308" s="93"/>
      <c r="AJ308" s="93"/>
      <c r="AK308" s="93">
        <f t="shared" si="221"/>
        <v>0</v>
      </c>
      <c r="AL308" s="93"/>
      <c r="AM308" s="93"/>
      <c r="AN308" s="93"/>
      <c r="AO308" s="93"/>
      <c r="AP308" s="93"/>
      <c r="AQ308" s="93"/>
      <c r="AR308" s="93"/>
      <c r="AS308" s="93">
        <f t="shared" si="222"/>
        <v>0</v>
      </c>
      <c r="AT308" s="93"/>
      <c r="AU308" s="93"/>
      <c r="AV308" s="93"/>
      <c r="AW308" s="93"/>
      <c r="AX308" s="93"/>
      <c r="AY308" s="93"/>
      <c r="AZ308" s="93"/>
      <c r="BA308" s="93"/>
      <c r="BB308" s="93"/>
      <c r="BC308" s="93"/>
      <c r="BD308" s="93"/>
      <c r="BE308" s="93"/>
      <c r="BF308" s="93"/>
      <c r="BG308" s="93"/>
      <c r="BH308" s="93"/>
      <c r="BI308" s="93"/>
      <c r="BJ308" s="93"/>
      <c r="BK308" s="93"/>
      <c r="BL308" s="93"/>
      <c r="BM308" s="93"/>
      <c r="BN308" s="93"/>
      <c r="BO308" s="93"/>
      <c r="BP308" s="93"/>
      <c r="BQ308" s="93"/>
      <c r="BR308" s="93"/>
      <c r="BS308" s="93"/>
      <c r="BT308" s="93"/>
      <c r="BU308" s="93"/>
      <c r="BV308" s="93"/>
      <c r="BW308" s="93"/>
      <c r="BX308" s="93"/>
      <c r="BY308" s="93"/>
      <c r="BZ308" s="93"/>
      <c r="CA308" s="93"/>
      <c r="CB308" s="93"/>
      <c r="CC308" s="93"/>
      <c r="CD308" s="93"/>
      <c r="CE308" s="93"/>
      <c r="CF308" s="93"/>
      <c r="CG308" s="93"/>
      <c r="CH308" s="93"/>
      <c r="CI308" s="93"/>
      <c r="CJ308" s="93"/>
      <c r="CK308" s="93"/>
      <c r="CL308" s="93"/>
      <c r="CM308" s="93"/>
      <c r="CN308" s="93"/>
      <c r="CO308" s="93"/>
      <c r="CP308" s="93"/>
      <c r="CQ308" s="93"/>
      <c r="CR308" s="93"/>
      <c r="CS308" s="93"/>
      <c r="CT308" s="93"/>
      <c r="CU308" s="93"/>
      <c r="CV308" s="93"/>
      <c r="CW308" s="93"/>
      <c r="CX308" s="93"/>
    </row>
    <row r="309" spans="1:102" ht="15" hidden="1" customHeight="1">
      <c r="A309" s="93"/>
      <c r="B309" s="93" t="e">
        <f>VLOOKUP($A309,  'Matriz POA 2024-TRABAJO'!$A$5:$CY$9142,29,FALSE)</f>
        <v>#N/A</v>
      </c>
      <c r="C309" s="93" t="e">
        <f>VLOOKUP($A309, 'Matriz POA 2024-TRABAJO'!$A$5:$CY$9142,11,FALSE)</f>
        <v>#N/A</v>
      </c>
      <c r="D309" s="93" t="e">
        <f>VLOOKUP($A309, 'Matriz POA 2024-TRABAJO'!$A$5:$CY$9142,14,FALSE)</f>
        <v>#N/A</v>
      </c>
      <c r="E309" s="93" t="e">
        <f>VLOOKUP($A309, 'Matriz POA 2024-TRABAJO'!$A$5:$CY$9142,15,FALSE)</f>
        <v>#N/A</v>
      </c>
      <c r="F309" s="93" t="e">
        <f>VLOOKUP($A309, 'Matriz POA 2024-TRABAJO'!$A$5:$CY$9142,18,FALSE)</f>
        <v>#N/A</v>
      </c>
      <c r="G309" s="93" t="e">
        <f>VLOOKUP($A309, 'Matriz POA 2024-TRABAJO'!$A$5:$CY$9142,23,FALSE)</f>
        <v>#N/A</v>
      </c>
      <c r="H309" s="93" t="e">
        <f>VLOOKUP($A309, 'Matriz POA 2024-TRABAJO'!$A$5:$CY$9142,24,FALSE)</f>
        <v>#N/A</v>
      </c>
      <c r="I309" s="93" t="e">
        <f>VLOOKUP($A309, 'Matriz POA 2024-TRABAJO'!$A$5:$CY$9142,20,FALSE)</f>
        <v>#N/A</v>
      </c>
      <c r="J309" s="93" t="e">
        <f>VLOOKUP($A309, 'Matriz POA 2024-TRABAJO'!$A$5:$CY$9142,26,FALSE)</f>
        <v>#N/A</v>
      </c>
      <c r="K309" s="93" t="e">
        <f>VLOOKUP($A309, 'Matriz POA 2024-TRABAJO'!$A$5:$CY$9142,27,FALSE)</f>
        <v>#N/A</v>
      </c>
      <c r="L309" s="93" t="e">
        <f>VLOOKUP($A309, 'Matriz POA 2024-TRABAJO'!$A$5:$CY$9142,28,FALSE)</f>
        <v>#N/A</v>
      </c>
      <c r="M309" s="93" t="e">
        <f>VLOOKUP($A309, 'Matriz POA 2024-TRABAJO'!$A$5:$CY$9142,30,FALSE)</f>
        <v>#N/A</v>
      </c>
      <c r="N309" s="93" t="e">
        <f>VLOOKUP($A309, 'Matriz POA 2024-TRABAJO'!$A$5:$CY$9142,31,FALSE)</f>
        <v>#N/A</v>
      </c>
      <c r="O309" s="93" t="e">
        <f>VLOOKUP($A309, 'Matriz POA 2024-TRABAJO'!$A$5:$CY$9142,45,FALSE)</f>
        <v>#N/A</v>
      </c>
      <c r="P309" s="93" t="e">
        <f>VLOOKUP($A309, 'Matriz POA 2024-TRABAJO'!$A$5:$CY$9142,46,FALSE)</f>
        <v>#N/A</v>
      </c>
      <c r="Q309" s="93" t="e">
        <f>VLOOKUP($A309, 'Matriz POA 2024-TRABAJO'!$A$5:$CY$9142,47,FALSE)</f>
        <v>#N/A</v>
      </c>
      <c r="R309" s="94">
        <f t="shared" si="217"/>
        <v>0</v>
      </c>
      <c r="S309" s="95" t="e">
        <f t="shared" si="218"/>
        <v>#N/A</v>
      </c>
      <c r="T309" s="93" t="e">
        <f>VLOOKUP($A309, 'Matriz POA 2024-TRABAJO'!$A$5:$CY$9142,72,FALSE)</f>
        <v>#N/A</v>
      </c>
      <c r="U309" s="93" t="e">
        <f>VLOOKUP($A309, 'Matriz POA 2024-TRABAJO'!$A$5:$CY$9142,29,FALSE)</f>
        <v>#N/A</v>
      </c>
      <c r="V309" s="93" t="str">
        <f t="shared" si="219"/>
        <v/>
      </c>
      <c r="W309" s="93"/>
      <c r="X309" s="93"/>
      <c r="Y309" s="93"/>
      <c r="Z309" s="93"/>
      <c r="AA309" s="93"/>
      <c r="AB309" s="93"/>
      <c r="AC309" s="93">
        <f t="shared" si="220"/>
        <v>0</v>
      </c>
      <c r="AD309" s="93"/>
      <c r="AE309" s="93"/>
      <c r="AF309" s="93"/>
      <c r="AG309" s="93"/>
      <c r="AH309" s="93"/>
      <c r="AI309" s="93"/>
      <c r="AJ309" s="93"/>
      <c r="AK309" s="93">
        <f t="shared" si="221"/>
        <v>0</v>
      </c>
      <c r="AL309" s="93"/>
      <c r="AM309" s="93"/>
      <c r="AN309" s="93"/>
      <c r="AO309" s="93"/>
      <c r="AP309" s="93"/>
      <c r="AQ309" s="93"/>
      <c r="AR309" s="93"/>
      <c r="AS309" s="93">
        <f t="shared" si="222"/>
        <v>0</v>
      </c>
      <c r="AT309" s="93"/>
      <c r="AU309" s="93"/>
      <c r="AV309" s="93"/>
      <c r="AW309" s="93"/>
      <c r="AX309" s="93"/>
      <c r="AY309" s="93"/>
      <c r="AZ309" s="93"/>
      <c r="BA309" s="93"/>
      <c r="BB309" s="93"/>
      <c r="BC309" s="93"/>
      <c r="BD309" s="93"/>
      <c r="BE309" s="93"/>
      <c r="BF309" s="93"/>
      <c r="BG309" s="93"/>
      <c r="BH309" s="93"/>
      <c r="BI309" s="93"/>
      <c r="BJ309" s="93"/>
      <c r="BK309" s="93"/>
      <c r="BL309" s="93"/>
      <c r="BM309" s="93"/>
      <c r="BN309" s="93"/>
      <c r="BO309" s="93"/>
      <c r="BP309" s="93"/>
      <c r="BQ309" s="93"/>
      <c r="BR309" s="93"/>
      <c r="BS309" s="93"/>
      <c r="BT309" s="93"/>
      <c r="BU309" s="93"/>
      <c r="BV309" s="93"/>
      <c r="BW309" s="93"/>
      <c r="BX309" s="93"/>
      <c r="BY309" s="93"/>
      <c r="BZ309" s="93"/>
      <c r="CA309" s="93"/>
      <c r="CB309" s="93"/>
      <c r="CC309" s="93"/>
      <c r="CD309" s="93"/>
      <c r="CE309" s="93"/>
      <c r="CF309" s="93"/>
      <c r="CG309" s="93"/>
      <c r="CH309" s="93"/>
      <c r="CI309" s="93"/>
      <c r="CJ309" s="93"/>
      <c r="CK309" s="93"/>
      <c r="CL309" s="93"/>
      <c r="CM309" s="93"/>
      <c r="CN309" s="93"/>
      <c r="CO309" s="93"/>
      <c r="CP309" s="93"/>
      <c r="CQ309" s="93"/>
      <c r="CR309" s="93"/>
      <c r="CS309" s="93"/>
      <c r="CT309" s="93"/>
      <c r="CU309" s="93"/>
      <c r="CV309" s="93"/>
      <c r="CW309" s="93"/>
      <c r="CX309" s="93"/>
    </row>
    <row r="310" spans="1:102" ht="15" hidden="1" customHeight="1">
      <c r="A310" s="93"/>
      <c r="B310" s="93" t="e">
        <f>VLOOKUP($A310,  'Matriz POA 2024-TRABAJO'!$A$5:$CY$9142,29,FALSE)</f>
        <v>#N/A</v>
      </c>
      <c r="C310" s="93" t="e">
        <f>VLOOKUP($A310, 'Matriz POA 2024-TRABAJO'!$A$5:$CY$9142,11,FALSE)</f>
        <v>#N/A</v>
      </c>
      <c r="D310" s="93" t="e">
        <f>VLOOKUP($A310, 'Matriz POA 2024-TRABAJO'!$A$5:$CY$9142,14,FALSE)</f>
        <v>#N/A</v>
      </c>
      <c r="E310" s="93" t="e">
        <f>VLOOKUP($A310, 'Matriz POA 2024-TRABAJO'!$A$5:$CY$9142,15,FALSE)</f>
        <v>#N/A</v>
      </c>
      <c r="F310" s="93" t="e">
        <f>VLOOKUP($A310, 'Matriz POA 2024-TRABAJO'!$A$5:$CY$9142,18,FALSE)</f>
        <v>#N/A</v>
      </c>
      <c r="G310" s="93" t="e">
        <f>VLOOKUP($A310, 'Matriz POA 2024-TRABAJO'!$A$5:$CY$9142,23,FALSE)</f>
        <v>#N/A</v>
      </c>
      <c r="H310" s="93" t="e">
        <f>VLOOKUP($A310, 'Matriz POA 2024-TRABAJO'!$A$5:$CY$9142,24,FALSE)</f>
        <v>#N/A</v>
      </c>
      <c r="I310" s="93" t="e">
        <f>VLOOKUP($A310, 'Matriz POA 2024-TRABAJO'!$A$5:$CY$9142,20,FALSE)</f>
        <v>#N/A</v>
      </c>
      <c r="J310" s="93" t="e">
        <f>VLOOKUP($A310, 'Matriz POA 2024-TRABAJO'!$A$5:$CY$9142,26,FALSE)</f>
        <v>#N/A</v>
      </c>
      <c r="K310" s="93" t="e">
        <f>VLOOKUP($A310, 'Matriz POA 2024-TRABAJO'!$A$5:$CY$9142,27,FALSE)</f>
        <v>#N/A</v>
      </c>
      <c r="L310" s="93" t="e">
        <f>VLOOKUP($A310, 'Matriz POA 2024-TRABAJO'!$A$5:$CY$9142,28,FALSE)</f>
        <v>#N/A</v>
      </c>
      <c r="M310" s="93" t="e">
        <f>VLOOKUP($A310, 'Matriz POA 2024-TRABAJO'!$A$5:$CY$9142,30,FALSE)</f>
        <v>#N/A</v>
      </c>
      <c r="N310" s="93" t="e">
        <f>VLOOKUP($A310, 'Matriz POA 2024-TRABAJO'!$A$5:$CY$9142,31,FALSE)</f>
        <v>#N/A</v>
      </c>
      <c r="O310" s="93" t="e">
        <f>VLOOKUP($A310, 'Matriz POA 2024-TRABAJO'!$A$5:$CY$9142,45,FALSE)</f>
        <v>#N/A</v>
      </c>
      <c r="P310" s="93" t="e">
        <f>VLOOKUP($A310, 'Matriz POA 2024-TRABAJO'!$A$5:$CY$9142,46,FALSE)</f>
        <v>#N/A</v>
      </c>
      <c r="Q310" s="93" t="e">
        <f>VLOOKUP($A310, 'Matriz POA 2024-TRABAJO'!$A$5:$CY$9142,47,FALSE)</f>
        <v>#N/A</v>
      </c>
      <c r="R310" s="94">
        <f t="shared" si="217"/>
        <v>0</v>
      </c>
      <c r="S310" s="95" t="e">
        <f t="shared" si="218"/>
        <v>#N/A</v>
      </c>
      <c r="T310" s="93" t="e">
        <f>VLOOKUP($A310, 'Matriz POA 2024-TRABAJO'!$A$5:$CY$9142,72,FALSE)</f>
        <v>#N/A</v>
      </c>
      <c r="U310" s="93" t="e">
        <f>VLOOKUP($A310, 'Matriz POA 2024-TRABAJO'!$A$5:$CY$9142,29,FALSE)</f>
        <v>#N/A</v>
      </c>
      <c r="V310" s="93" t="str">
        <f t="shared" si="219"/>
        <v/>
      </c>
      <c r="W310" s="93"/>
      <c r="X310" s="93"/>
      <c r="Y310" s="93"/>
      <c r="Z310" s="93"/>
      <c r="AA310" s="93"/>
      <c r="AB310" s="93"/>
      <c r="AC310" s="93">
        <f t="shared" si="220"/>
        <v>0</v>
      </c>
      <c r="AD310" s="93"/>
      <c r="AE310" s="93"/>
      <c r="AF310" s="93"/>
      <c r="AG310" s="93"/>
      <c r="AH310" s="93"/>
      <c r="AI310" s="93"/>
      <c r="AJ310" s="93"/>
      <c r="AK310" s="93">
        <f t="shared" si="221"/>
        <v>0</v>
      </c>
      <c r="AL310" s="93"/>
      <c r="AM310" s="93"/>
      <c r="AN310" s="93"/>
      <c r="AO310" s="93"/>
      <c r="AP310" s="93"/>
      <c r="AQ310" s="93"/>
      <c r="AR310" s="93"/>
      <c r="AS310" s="93">
        <f t="shared" si="222"/>
        <v>0</v>
      </c>
      <c r="AT310" s="93"/>
      <c r="AU310" s="93"/>
      <c r="AV310" s="93"/>
      <c r="AW310" s="93"/>
      <c r="AX310" s="93"/>
      <c r="AY310" s="93"/>
      <c r="AZ310" s="93"/>
      <c r="BA310" s="93"/>
      <c r="BB310" s="93"/>
      <c r="BC310" s="93"/>
      <c r="BD310" s="93"/>
      <c r="BE310" s="93"/>
      <c r="BF310" s="93"/>
      <c r="BG310" s="93"/>
      <c r="BH310" s="93"/>
      <c r="BI310" s="93"/>
      <c r="BJ310" s="93"/>
      <c r="BK310" s="93"/>
      <c r="BL310" s="93"/>
      <c r="BM310" s="93"/>
      <c r="BN310" s="93"/>
      <c r="BO310" s="93"/>
      <c r="BP310" s="93"/>
      <c r="BQ310" s="93"/>
      <c r="BR310" s="93"/>
      <c r="BS310" s="93"/>
      <c r="BT310" s="93"/>
      <c r="BU310" s="93"/>
      <c r="BV310" s="93"/>
      <c r="BW310" s="93"/>
      <c r="BX310" s="93"/>
      <c r="BY310" s="93"/>
      <c r="BZ310" s="93"/>
      <c r="CA310" s="93"/>
      <c r="CB310" s="93"/>
      <c r="CC310" s="93"/>
      <c r="CD310" s="93"/>
      <c r="CE310" s="93"/>
      <c r="CF310" s="93"/>
      <c r="CG310" s="93"/>
      <c r="CH310" s="93"/>
      <c r="CI310" s="93"/>
      <c r="CJ310" s="93"/>
      <c r="CK310" s="93"/>
      <c r="CL310" s="93"/>
      <c r="CM310" s="93"/>
      <c r="CN310" s="93"/>
      <c r="CO310" s="93"/>
      <c r="CP310" s="93"/>
      <c r="CQ310" s="93"/>
      <c r="CR310" s="93"/>
      <c r="CS310" s="93"/>
      <c r="CT310" s="93"/>
      <c r="CU310" s="93"/>
      <c r="CV310" s="93"/>
      <c r="CW310" s="93"/>
      <c r="CX310" s="93"/>
    </row>
    <row r="311" spans="1:102" ht="15" hidden="1" customHeight="1">
      <c r="A311" s="93"/>
      <c r="B311" s="93" t="e">
        <f>VLOOKUP($A311,  'Matriz POA 2024-TRABAJO'!$A$5:$CY$9142,29,FALSE)</f>
        <v>#N/A</v>
      </c>
      <c r="C311" s="93" t="e">
        <f>VLOOKUP($A311, 'Matriz POA 2024-TRABAJO'!$A$5:$CY$9142,11,FALSE)</f>
        <v>#N/A</v>
      </c>
      <c r="D311" s="93" t="e">
        <f>VLOOKUP($A311, 'Matriz POA 2024-TRABAJO'!$A$5:$CY$9142,14,FALSE)</f>
        <v>#N/A</v>
      </c>
      <c r="E311" s="93" t="e">
        <f>VLOOKUP($A311, 'Matriz POA 2024-TRABAJO'!$A$5:$CY$9142,15,FALSE)</f>
        <v>#N/A</v>
      </c>
      <c r="F311" s="93" t="e">
        <f>VLOOKUP($A311, 'Matriz POA 2024-TRABAJO'!$A$5:$CY$9142,18,FALSE)</f>
        <v>#N/A</v>
      </c>
      <c r="G311" s="93" t="e">
        <f>VLOOKUP($A311, 'Matriz POA 2024-TRABAJO'!$A$5:$CY$9142,23,FALSE)</f>
        <v>#N/A</v>
      </c>
      <c r="H311" s="93" t="e">
        <f>VLOOKUP($A311, 'Matriz POA 2024-TRABAJO'!$A$5:$CY$9142,24,FALSE)</f>
        <v>#N/A</v>
      </c>
      <c r="I311" s="93" t="e">
        <f>VLOOKUP($A311, 'Matriz POA 2024-TRABAJO'!$A$5:$CY$9142,20,FALSE)</f>
        <v>#N/A</v>
      </c>
      <c r="J311" s="93" t="e">
        <f>VLOOKUP($A311, 'Matriz POA 2024-TRABAJO'!$A$5:$CY$9142,26,FALSE)</f>
        <v>#N/A</v>
      </c>
      <c r="K311" s="93" t="e">
        <f>VLOOKUP($A311, 'Matriz POA 2024-TRABAJO'!$A$5:$CY$9142,27,FALSE)</f>
        <v>#N/A</v>
      </c>
      <c r="L311" s="93" t="e">
        <f>VLOOKUP($A311, 'Matriz POA 2024-TRABAJO'!$A$5:$CY$9142,28,FALSE)</f>
        <v>#N/A</v>
      </c>
      <c r="M311" s="93" t="e">
        <f>VLOOKUP($A311, 'Matriz POA 2024-TRABAJO'!$A$5:$CY$9142,30,FALSE)</f>
        <v>#N/A</v>
      </c>
      <c r="N311" s="93" t="e">
        <f>VLOOKUP($A311, 'Matriz POA 2024-TRABAJO'!$A$5:$CY$9142,31,FALSE)</f>
        <v>#N/A</v>
      </c>
      <c r="O311" s="93" t="e">
        <f>VLOOKUP($A311, 'Matriz POA 2024-TRABAJO'!$A$5:$CY$9142,45,FALSE)</f>
        <v>#N/A</v>
      </c>
      <c r="P311" s="93" t="e">
        <f>VLOOKUP($A311, 'Matriz POA 2024-TRABAJO'!$A$5:$CY$9142,46,FALSE)</f>
        <v>#N/A</v>
      </c>
      <c r="Q311" s="93" t="e">
        <f>VLOOKUP($A311, 'Matriz POA 2024-TRABAJO'!$A$5:$CY$9142,47,FALSE)</f>
        <v>#N/A</v>
      </c>
      <c r="R311" s="94">
        <f t="shared" si="217"/>
        <v>0</v>
      </c>
      <c r="S311" s="95" t="e">
        <f t="shared" si="218"/>
        <v>#N/A</v>
      </c>
      <c r="T311" s="93" t="e">
        <f>VLOOKUP($A311, 'Matriz POA 2024-TRABAJO'!$A$5:$CY$9142,72,FALSE)</f>
        <v>#N/A</v>
      </c>
      <c r="U311" s="93" t="e">
        <f>VLOOKUP($A311, 'Matriz POA 2024-TRABAJO'!$A$5:$CY$9142,29,FALSE)</f>
        <v>#N/A</v>
      </c>
      <c r="V311" s="93" t="str">
        <f t="shared" si="219"/>
        <v/>
      </c>
      <c r="W311" s="93"/>
      <c r="X311" s="93"/>
      <c r="Y311" s="93"/>
      <c r="Z311" s="93"/>
      <c r="AA311" s="93"/>
      <c r="AB311" s="93"/>
      <c r="AC311" s="93">
        <f t="shared" si="220"/>
        <v>0</v>
      </c>
      <c r="AD311" s="93"/>
      <c r="AE311" s="93"/>
      <c r="AF311" s="93"/>
      <c r="AG311" s="93"/>
      <c r="AH311" s="93"/>
      <c r="AI311" s="93"/>
      <c r="AJ311" s="93"/>
      <c r="AK311" s="93">
        <f t="shared" si="221"/>
        <v>0</v>
      </c>
      <c r="AL311" s="93"/>
      <c r="AM311" s="93"/>
      <c r="AN311" s="93"/>
      <c r="AO311" s="93"/>
      <c r="AP311" s="93"/>
      <c r="AQ311" s="93"/>
      <c r="AR311" s="93"/>
      <c r="AS311" s="93">
        <f t="shared" si="222"/>
        <v>0</v>
      </c>
      <c r="AT311" s="93"/>
      <c r="AU311" s="93"/>
      <c r="AV311" s="93"/>
      <c r="AW311" s="93"/>
      <c r="AX311" s="93"/>
      <c r="AY311" s="93"/>
      <c r="AZ311" s="93"/>
      <c r="BA311" s="93"/>
      <c r="BB311" s="93"/>
      <c r="BC311" s="93"/>
      <c r="BD311" s="93"/>
      <c r="BE311" s="93"/>
      <c r="BF311" s="93"/>
      <c r="BG311" s="93"/>
      <c r="BH311" s="93"/>
      <c r="BI311" s="93"/>
      <c r="BJ311" s="93"/>
      <c r="BK311" s="93"/>
      <c r="BL311" s="93"/>
      <c r="BM311" s="93"/>
      <c r="BN311" s="93"/>
      <c r="BO311" s="93"/>
      <c r="BP311" s="93"/>
      <c r="BQ311" s="93"/>
      <c r="BR311" s="93"/>
      <c r="BS311" s="93"/>
      <c r="BT311" s="93"/>
      <c r="BU311" s="93"/>
      <c r="BV311" s="93"/>
      <c r="BW311" s="93"/>
      <c r="BX311" s="93"/>
      <c r="BY311" s="93"/>
      <c r="BZ311" s="93"/>
      <c r="CA311" s="93"/>
      <c r="CB311" s="93"/>
      <c r="CC311" s="93"/>
      <c r="CD311" s="93"/>
      <c r="CE311" s="93"/>
      <c r="CF311" s="93"/>
      <c r="CG311" s="93"/>
      <c r="CH311" s="93"/>
      <c r="CI311" s="93"/>
      <c r="CJ311" s="93"/>
      <c r="CK311" s="93"/>
      <c r="CL311" s="93"/>
      <c r="CM311" s="93"/>
      <c r="CN311" s="93"/>
      <c r="CO311" s="93"/>
      <c r="CP311" s="93"/>
      <c r="CQ311" s="93"/>
      <c r="CR311" s="93"/>
      <c r="CS311" s="93"/>
      <c r="CT311" s="93"/>
      <c r="CU311" s="93"/>
      <c r="CV311" s="93"/>
      <c r="CW311" s="93"/>
      <c r="CX311" s="93"/>
    </row>
    <row r="312" spans="1:102" ht="15" hidden="1" customHeight="1">
      <c r="A312" s="93"/>
      <c r="B312" s="93" t="e">
        <f>VLOOKUP($A312,  'Matriz POA 2024-TRABAJO'!$A$5:$CY$9142,29,FALSE)</f>
        <v>#N/A</v>
      </c>
      <c r="C312" s="93" t="e">
        <f>VLOOKUP($A312, 'Matriz POA 2024-TRABAJO'!$A$5:$CY$9142,11,FALSE)</f>
        <v>#N/A</v>
      </c>
      <c r="D312" s="93" t="e">
        <f>VLOOKUP($A312, 'Matriz POA 2024-TRABAJO'!$A$5:$CY$9142,14,FALSE)</f>
        <v>#N/A</v>
      </c>
      <c r="E312" s="93" t="e">
        <f>VLOOKUP($A312, 'Matriz POA 2024-TRABAJO'!$A$5:$CY$9142,15,FALSE)</f>
        <v>#N/A</v>
      </c>
      <c r="F312" s="93" t="e">
        <f>VLOOKUP($A312, 'Matriz POA 2024-TRABAJO'!$A$5:$CY$9142,18,FALSE)</f>
        <v>#N/A</v>
      </c>
      <c r="G312" s="93" t="e">
        <f>VLOOKUP($A312, 'Matriz POA 2024-TRABAJO'!$A$5:$CY$9142,23,FALSE)</f>
        <v>#N/A</v>
      </c>
      <c r="H312" s="93" t="e">
        <f>VLOOKUP($A312, 'Matriz POA 2024-TRABAJO'!$A$5:$CY$9142,24,FALSE)</f>
        <v>#N/A</v>
      </c>
      <c r="I312" s="93" t="e">
        <f>VLOOKUP($A312, 'Matriz POA 2024-TRABAJO'!$A$5:$CY$9142,20,FALSE)</f>
        <v>#N/A</v>
      </c>
      <c r="J312" s="93" t="e">
        <f>VLOOKUP($A312, 'Matriz POA 2024-TRABAJO'!$A$5:$CY$9142,26,FALSE)</f>
        <v>#N/A</v>
      </c>
      <c r="K312" s="93" t="e">
        <f>VLOOKUP($A312, 'Matriz POA 2024-TRABAJO'!$A$5:$CY$9142,27,FALSE)</f>
        <v>#N/A</v>
      </c>
      <c r="L312" s="93" t="e">
        <f>VLOOKUP($A312, 'Matriz POA 2024-TRABAJO'!$A$5:$CY$9142,28,FALSE)</f>
        <v>#N/A</v>
      </c>
      <c r="M312" s="93" t="e">
        <f>VLOOKUP($A312, 'Matriz POA 2024-TRABAJO'!$A$5:$CY$9142,30,FALSE)</f>
        <v>#N/A</v>
      </c>
      <c r="N312" s="93" t="e">
        <f>VLOOKUP($A312, 'Matriz POA 2024-TRABAJO'!$A$5:$CY$9142,31,FALSE)</f>
        <v>#N/A</v>
      </c>
      <c r="O312" s="93" t="e">
        <f>VLOOKUP($A312, 'Matriz POA 2024-TRABAJO'!$A$5:$CY$9142,45,FALSE)</f>
        <v>#N/A</v>
      </c>
      <c r="P312" s="93" t="e">
        <f>VLOOKUP($A312, 'Matriz POA 2024-TRABAJO'!$A$5:$CY$9142,46,FALSE)</f>
        <v>#N/A</v>
      </c>
      <c r="Q312" s="93" t="e">
        <f>VLOOKUP($A312, 'Matriz POA 2024-TRABAJO'!$A$5:$CY$9142,47,FALSE)</f>
        <v>#N/A</v>
      </c>
      <c r="R312" s="94">
        <f t="shared" si="217"/>
        <v>0</v>
      </c>
      <c r="S312" s="95" t="e">
        <f t="shared" si="218"/>
        <v>#N/A</v>
      </c>
      <c r="T312" s="93" t="e">
        <f>VLOOKUP($A312, 'Matriz POA 2024-TRABAJO'!$A$5:$CY$9142,72,FALSE)</f>
        <v>#N/A</v>
      </c>
      <c r="U312" s="93" t="e">
        <f>VLOOKUP($A312, 'Matriz POA 2024-TRABAJO'!$A$5:$CY$9142,29,FALSE)</f>
        <v>#N/A</v>
      </c>
      <c r="V312" s="93" t="str">
        <f t="shared" si="219"/>
        <v/>
      </c>
      <c r="W312" s="93"/>
      <c r="X312" s="93"/>
      <c r="Y312" s="93"/>
      <c r="Z312" s="93"/>
      <c r="AA312" s="93"/>
      <c r="AB312" s="93"/>
      <c r="AC312" s="93">
        <f t="shared" si="220"/>
        <v>0</v>
      </c>
      <c r="AD312" s="93"/>
      <c r="AE312" s="93"/>
      <c r="AF312" s="93"/>
      <c r="AG312" s="93"/>
      <c r="AH312" s="93"/>
      <c r="AI312" s="93"/>
      <c r="AJ312" s="93"/>
      <c r="AK312" s="93">
        <f t="shared" si="221"/>
        <v>0</v>
      </c>
      <c r="AL312" s="93"/>
      <c r="AM312" s="93"/>
      <c r="AN312" s="93"/>
      <c r="AO312" s="93"/>
      <c r="AP312" s="93"/>
      <c r="AQ312" s="93"/>
      <c r="AR312" s="93"/>
      <c r="AS312" s="93">
        <f t="shared" si="222"/>
        <v>0</v>
      </c>
      <c r="AT312" s="93"/>
      <c r="AU312" s="93"/>
      <c r="AV312" s="93"/>
      <c r="AW312" s="93"/>
      <c r="AX312" s="93"/>
      <c r="AY312" s="93"/>
      <c r="AZ312" s="93"/>
      <c r="BA312" s="93"/>
      <c r="BB312" s="93"/>
      <c r="BC312" s="93"/>
      <c r="BD312" s="93"/>
      <c r="BE312" s="93"/>
      <c r="BF312" s="93"/>
      <c r="BG312" s="93"/>
      <c r="BH312" s="93"/>
      <c r="BI312" s="93"/>
      <c r="BJ312" s="93"/>
      <c r="BK312" s="93"/>
      <c r="BL312" s="93"/>
      <c r="BM312" s="93"/>
      <c r="BN312" s="93"/>
      <c r="BO312" s="93"/>
      <c r="BP312" s="93"/>
      <c r="BQ312" s="93"/>
      <c r="BR312" s="93"/>
      <c r="BS312" s="93"/>
      <c r="BT312" s="93"/>
      <c r="BU312" s="93"/>
      <c r="BV312" s="93"/>
      <c r="BW312" s="93"/>
      <c r="BX312" s="93"/>
      <c r="BY312" s="93"/>
      <c r="BZ312" s="93"/>
      <c r="CA312" s="93"/>
      <c r="CB312" s="93"/>
      <c r="CC312" s="93"/>
      <c r="CD312" s="93"/>
      <c r="CE312" s="93"/>
      <c r="CF312" s="93"/>
      <c r="CG312" s="93"/>
      <c r="CH312" s="93"/>
      <c r="CI312" s="93"/>
      <c r="CJ312" s="93"/>
      <c r="CK312" s="93"/>
      <c r="CL312" s="93"/>
      <c r="CM312" s="93"/>
      <c r="CN312" s="93"/>
      <c r="CO312" s="93"/>
      <c r="CP312" s="93"/>
      <c r="CQ312" s="93"/>
      <c r="CR312" s="93"/>
      <c r="CS312" s="93"/>
      <c r="CT312" s="93"/>
      <c r="CU312" s="93"/>
      <c r="CV312" s="93"/>
      <c r="CW312" s="93"/>
      <c r="CX312" s="93"/>
    </row>
    <row r="313" spans="1:102" ht="15" hidden="1" customHeight="1">
      <c r="A313" s="93"/>
      <c r="B313" s="93" t="e">
        <f>VLOOKUP($A313,  'Matriz POA 2024-TRABAJO'!$A$5:$CY$9142,29,FALSE)</f>
        <v>#N/A</v>
      </c>
      <c r="C313" s="93" t="e">
        <f>VLOOKUP($A313, 'Matriz POA 2024-TRABAJO'!$A$5:$CY$9142,11,FALSE)</f>
        <v>#N/A</v>
      </c>
      <c r="D313" s="93" t="e">
        <f>VLOOKUP($A313, 'Matriz POA 2024-TRABAJO'!$A$5:$CY$9142,14,FALSE)</f>
        <v>#N/A</v>
      </c>
      <c r="E313" s="93" t="e">
        <f>VLOOKUP($A313, 'Matriz POA 2024-TRABAJO'!$A$5:$CY$9142,15,FALSE)</f>
        <v>#N/A</v>
      </c>
      <c r="F313" s="93" t="e">
        <f>VLOOKUP($A313, 'Matriz POA 2024-TRABAJO'!$A$5:$CY$9142,18,FALSE)</f>
        <v>#N/A</v>
      </c>
      <c r="G313" s="93" t="e">
        <f>VLOOKUP($A313, 'Matriz POA 2024-TRABAJO'!$A$5:$CY$9142,23,FALSE)</f>
        <v>#N/A</v>
      </c>
      <c r="H313" s="93" t="e">
        <f>VLOOKUP($A313, 'Matriz POA 2024-TRABAJO'!$A$5:$CY$9142,24,FALSE)</f>
        <v>#N/A</v>
      </c>
      <c r="I313" s="93" t="e">
        <f>VLOOKUP($A313, 'Matriz POA 2024-TRABAJO'!$A$5:$CY$9142,20,FALSE)</f>
        <v>#N/A</v>
      </c>
      <c r="J313" s="93" t="e">
        <f>VLOOKUP($A313, 'Matriz POA 2024-TRABAJO'!$A$5:$CY$9142,26,FALSE)</f>
        <v>#N/A</v>
      </c>
      <c r="K313" s="93" t="e">
        <f>VLOOKUP($A313, 'Matriz POA 2024-TRABAJO'!$A$5:$CY$9142,27,FALSE)</f>
        <v>#N/A</v>
      </c>
      <c r="L313" s="93" t="e">
        <f>VLOOKUP($A313, 'Matriz POA 2024-TRABAJO'!$A$5:$CY$9142,28,FALSE)</f>
        <v>#N/A</v>
      </c>
      <c r="M313" s="93" t="e">
        <f>VLOOKUP($A313, 'Matriz POA 2024-TRABAJO'!$A$5:$CY$9142,30,FALSE)</f>
        <v>#N/A</v>
      </c>
      <c r="N313" s="93" t="e">
        <f>VLOOKUP($A313, 'Matriz POA 2024-TRABAJO'!$A$5:$CY$9142,31,FALSE)</f>
        <v>#N/A</v>
      </c>
      <c r="O313" s="93" t="e">
        <f>VLOOKUP($A313, 'Matriz POA 2024-TRABAJO'!$A$5:$CY$9142,45,FALSE)</f>
        <v>#N/A</v>
      </c>
      <c r="P313" s="93" t="e">
        <f>VLOOKUP($A313, 'Matriz POA 2024-TRABAJO'!$A$5:$CY$9142,46,FALSE)</f>
        <v>#N/A</v>
      </c>
      <c r="Q313" s="93" t="e">
        <f>VLOOKUP($A313, 'Matriz POA 2024-TRABAJO'!$A$5:$CY$9142,47,FALSE)</f>
        <v>#N/A</v>
      </c>
      <c r="R313" s="94">
        <f t="shared" si="217"/>
        <v>0</v>
      </c>
      <c r="S313" s="95" t="e">
        <f t="shared" si="218"/>
        <v>#N/A</v>
      </c>
      <c r="T313" s="93" t="e">
        <f>VLOOKUP($A313, 'Matriz POA 2024-TRABAJO'!$A$5:$CY$9142,72,FALSE)</f>
        <v>#N/A</v>
      </c>
      <c r="U313" s="93" t="e">
        <f>VLOOKUP($A313, 'Matriz POA 2024-TRABAJO'!$A$5:$CY$9142,29,FALSE)</f>
        <v>#N/A</v>
      </c>
      <c r="V313" s="93" t="str">
        <f t="shared" si="219"/>
        <v/>
      </c>
      <c r="W313" s="93"/>
      <c r="X313" s="93"/>
      <c r="Y313" s="93"/>
      <c r="Z313" s="93"/>
      <c r="AA313" s="93"/>
      <c r="AB313" s="93"/>
      <c r="AC313" s="93">
        <f t="shared" si="220"/>
        <v>0</v>
      </c>
      <c r="AD313" s="93"/>
      <c r="AE313" s="93"/>
      <c r="AF313" s="93"/>
      <c r="AG313" s="93"/>
      <c r="AH313" s="93"/>
      <c r="AI313" s="93"/>
      <c r="AJ313" s="93"/>
      <c r="AK313" s="93">
        <f t="shared" si="221"/>
        <v>0</v>
      </c>
      <c r="AL313" s="93"/>
      <c r="AM313" s="93"/>
      <c r="AN313" s="93"/>
      <c r="AO313" s="93"/>
      <c r="AP313" s="93"/>
      <c r="AQ313" s="93"/>
      <c r="AR313" s="93"/>
      <c r="AS313" s="93">
        <f t="shared" si="222"/>
        <v>0</v>
      </c>
      <c r="AT313" s="93"/>
      <c r="AU313" s="93"/>
      <c r="AV313" s="93"/>
      <c r="AW313" s="93"/>
      <c r="AX313" s="93"/>
      <c r="AY313" s="93"/>
      <c r="AZ313" s="93"/>
      <c r="BA313" s="93"/>
      <c r="BB313" s="93"/>
      <c r="BC313" s="93"/>
      <c r="BD313" s="93"/>
      <c r="BE313" s="93"/>
      <c r="BF313" s="93"/>
      <c r="BG313" s="93"/>
      <c r="BH313" s="93"/>
      <c r="BI313" s="93"/>
      <c r="BJ313" s="93"/>
      <c r="BK313" s="93"/>
      <c r="BL313" s="93"/>
      <c r="BM313" s="93"/>
      <c r="BN313" s="93"/>
      <c r="BO313" s="93"/>
      <c r="BP313" s="93"/>
      <c r="BQ313" s="93"/>
      <c r="BR313" s="93"/>
      <c r="BS313" s="93"/>
      <c r="BT313" s="93"/>
      <c r="BU313" s="93"/>
      <c r="BV313" s="93"/>
      <c r="BW313" s="93"/>
      <c r="BX313" s="93"/>
      <c r="BY313" s="93"/>
      <c r="BZ313" s="93"/>
      <c r="CA313" s="93"/>
      <c r="CB313" s="93"/>
      <c r="CC313" s="93"/>
      <c r="CD313" s="93"/>
      <c r="CE313" s="93"/>
      <c r="CF313" s="93"/>
      <c r="CG313" s="93"/>
      <c r="CH313" s="93"/>
      <c r="CI313" s="93"/>
      <c r="CJ313" s="93"/>
      <c r="CK313" s="93"/>
      <c r="CL313" s="93"/>
      <c r="CM313" s="93"/>
      <c r="CN313" s="93"/>
      <c r="CO313" s="93"/>
      <c r="CP313" s="93"/>
      <c r="CQ313" s="93"/>
      <c r="CR313" s="93"/>
      <c r="CS313" s="93"/>
      <c r="CT313" s="93"/>
      <c r="CU313" s="93"/>
      <c r="CV313" s="93"/>
      <c r="CW313" s="93"/>
      <c r="CX313" s="93"/>
    </row>
    <row r="314" spans="1:102" ht="15" hidden="1" customHeight="1">
      <c r="A314" s="93"/>
      <c r="B314" s="93" t="e">
        <f>VLOOKUP($A314,  'Matriz POA 2024-TRABAJO'!$A$5:$CY$9142,29,FALSE)</f>
        <v>#N/A</v>
      </c>
      <c r="C314" s="93" t="e">
        <f>VLOOKUP($A314, 'Matriz POA 2024-TRABAJO'!$A$5:$CY$9142,11,FALSE)</f>
        <v>#N/A</v>
      </c>
      <c r="D314" s="93" t="e">
        <f>VLOOKUP($A314, 'Matriz POA 2024-TRABAJO'!$A$5:$CY$9142,14,FALSE)</f>
        <v>#N/A</v>
      </c>
      <c r="E314" s="93" t="e">
        <f>VLOOKUP($A314, 'Matriz POA 2024-TRABAJO'!$A$5:$CY$9142,15,FALSE)</f>
        <v>#N/A</v>
      </c>
      <c r="F314" s="93" t="e">
        <f>VLOOKUP($A314, 'Matriz POA 2024-TRABAJO'!$A$5:$CY$9142,18,FALSE)</f>
        <v>#N/A</v>
      </c>
      <c r="G314" s="93" t="e">
        <f>VLOOKUP($A314, 'Matriz POA 2024-TRABAJO'!$A$5:$CY$9142,23,FALSE)</f>
        <v>#N/A</v>
      </c>
      <c r="H314" s="93" t="e">
        <f>VLOOKUP($A314, 'Matriz POA 2024-TRABAJO'!$A$5:$CY$9142,24,FALSE)</f>
        <v>#N/A</v>
      </c>
      <c r="I314" s="93" t="e">
        <f>VLOOKUP($A314, 'Matriz POA 2024-TRABAJO'!$A$5:$CY$9142,20,FALSE)</f>
        <v>#N/A</v>
      </c>
      <c r="J314" s="93" t="e">
        <f>VLOOKUP($A314, 'Matriz POA 2024-TRABAJO'!$A$5:$CY$9142,26,FALSE)</f>
        <v>#N/A</v>
      </c>
      <c r="K314" s="93" t="e">
        <f>VLOOKUP($A314, 'Matriz POA 2024-TRABAJO'!$A$5:$CY$9142,27,FALSE)</f>
        <v>#N/A</v>
      </c>
      <c r="L314" s="93" t="e">
        <f>VLOOKUP($A314, 'Matriz POA 2024-TRABAJO'!$A$5:$CY$9142,28,FALSE)</f>
        <v>#N/A</v>
      </c>
      <c r="M314" s="93" t="e">
        <f>VLOOKUP($A314, 'Matriz POA 2024-TRABAJO'!$A$5:$CY$9142,30,FALSE)</f>
        <v>#N/A</v>
      </c>
      <c r="N314" s="93" t="e">
        <f>VLOOKUP($A314, 'Matriz POA 2024-TRABAJO'!$A$5:$CY$9142,31,FALSE)</f>
        <v>#N/A</v>
      </c>
      <c r="O314" s="93" t="e">
        <f>VLOOKUP($A314, 'Matriz POA 2024-TRABAJO'!$A$5:$CY$9142,45,FALSE)</f>
        <v>#N/A</v>
      </c>
      <c r="P314" s="93" t="e">
        <f>VLOOKUP($A314, 'Matriz POA 2024-TRABAJO'!$A$5:$CY$9142,46,FALSE)</f>
        <v>#N/A</v>
      </c>
      <c r="Q314" s="93" t="e">
        <f>VLOOKUP($A314, 'Matriz POA 2024-TRABAJO'!$A$5:$CY$9142,47,FALSE)</f>
        <v>#N/A</v>
      </c>
      <c r="R314" s="94">
        <f t="shared" si="217"/>
        <v>0</v>
      </c>
      <c r="S314" s="95" t="e">
        <f t="shared" si="218"/>
        <v>#N/A</v>
      </c>
      <c r="T314" s="93" t="e">
        <f>VLOOKUP($A314, 'Matriz POA 2024-TRABAJO'!$A$5:$CY$9142,72,FALSE)</f>
        <v>#N/A</v>
      </c>
      <c r="U314" s="93" t="e">
        <f>VLOOKUP($A314, 'Matriz POA 2024-TRABAJO'!$A$5:$CY$9142,29,FALSE)</f>
        <v>#N/A</v>
      </c>
      <c r="V314" s="93" t="str">
        <f t="shared" si="219"/>
        <v/>
      </c>
      <c r="W314" s="93"/>
      <c r="X314" s="93"/>
      <c r="Y314" s="93"/>
      <c r="Z314" s="93"/>
      <c r="AA314" s="93"/>
      <c r="AB314" s="93"/>
      <c r="AC314" s="93">
        <f t="shared" si="220"/>
        <v>0</v>
      </c>
      <c r="AD314" s="93"/>
      <c r="AE314" s="93"/>
      <c r="AF314" s="93"/>
      <c r="AG314" s="93"/>
      <c r="AH314" s="93"/>
      <c r="AI314" s="93"/>
      <c r="AJ314" s="93"/>
      <c r="AK314" s="93">
        <f t="shared" si="221"/>
        <v>0</v>
      </c>
      <c r="AL314" s="93"/>
      <c r="AM314" s="93"/>
      <c r="AN314" s="93"/>
      <c r="AO314" s="93"/>
      <c r="AP314" s="93"/>
      <c r="AQ314" s="93"/>
      <c r="AR314" s="93"/>
      <c r="AS314" s="93">
        <f t="shared" si="222"/>
        <v>0</v>
      </c>
      <c r="AT314" s="93"/>
      <c r="AU314" s="93"/>
      <c r="AV314" s="93"/>
      <c r="AW314" s="93"/>
      <c r="AX314" s="93"/>
      <c r="AY314" s="93"/>
      <c r="AZ314" s="93"/>
      <c r="BA314" s="93"/>
      <c r="BB314" s="93"/>
      <c r="BC314" s="93"/>
      <c r="BD314" s="93"/>
      <c r="BE314" s="93"/>
      <c r="BF314" s="93"/>
      <c r="BG314" s="93"/>
      <c r="BH314" s="93"/>
      <c r="BI314" s="93"/>
      <c r="BJ314" s="93"/>
      <c r="BK314" s="93"/>
      <c r="BL314" s="93"/>
      <c r="BM314" s="93"/>
      <c r="BN314" s="93"/>
      <c r="BO314" s="93"/>
      <c r="BP314" s="93"/>
      <c r="BQ314" s="93"/>
      <c r="BR314" s="93"/>
      <c r="BS314" s="93"/>
      <c r="BT314" s="93"/>
      <c r="BU314" s="93"/>
      <c r="BV314" s="93"/>
      <c r="BW314" s="93"/>
      <c r="BX314" s="93"/>
      <c r="BY314" s="93"/>
      <c r="BZ314" s="93"/>
      <c r="CA314" s="93"/>
      <c r="CB314" s="93"/>
      <c r="CC314" s="93"/>
      <c r="CD314" s="93"/>
      <c r="CE314" s="93"/>
      <c r="CF314" s="93"/>
      <c r="CG314" s="93"/>
      <c r="CH314" s="93"/>
      <c r="CI314" s="93"/>
      <c r="CJ314" s="93"/>
      <c r="CK314" s="93"/>
      <c r="CL314" s="93"/>
      <c r="CM314" s="93"/>
      <c r="CN314" s="93"/>
      <c r="CO314" s="93"/>
      <c r="CP314" s="93"/>
      <c r="CQ314" s="93"/>
      <c r="CR314" s="93"/>
      <c r="CS314" s="93"/>
      <c r="CT314" s="93"/>
      <c r="CU314" s="93"/>
      <c r="CV314" s="93"/>
      <c r="CW314" s="93"/>
      <c r="CX314" s="93"/>
    </row>
    <row r="315" spans="1:102" ht="15" hidden="1" customHeight="1">
      <c r="A315" s="93"/>
      <c r="B315" s="93" t="e">
        <f>VLOOKUP($A315,  'Matriz POA 2024-TRABAJO'!$A$5:$CY$9142,29,FALSE)</f>
        <v>#N/A</v>
      </c>
      <c r="C315" s="93" t="e">
        <f>VLOOKUP($A315, 'Matriz POA 2024-TRABAJO'!$A$5:$CY$9142,11,FALSE)</f>
        <v>#N/A</v>
      </c>
      <c r="D315" s="93" t="e">
        <f>VLOOKUP($A315, 'Matriz POA 2024-TRABAJO'!$A$5:$CY$9142,14,FALSE)</f>
        <v>#N/A</v>
      </c>
      <c r="E315" s="93" t="e">
        <f>VLOOKUP($A315, 'Matriz POA 2024-TRABAJO'!$A$5:$CY$9142,15,FALSE)</f>
        <v>#N/A</v>
      </c>
      <c r="F315" s="93" t="e">
        <f>VLOOKUP($A315, 'Matriz POA 2024-TRABAJO'!$A$5:$CY$9142,18,FALSE)</f>
        <v>#N/A</v>
      </c>
      <c r="G315" s="93" t="e">
        <f>VLOOKUP($A315, 'Matriz POA 2024-TRABAJO'!$A$5:$CY$9142,23,FALSE)</f>
        <v>#N/A</v>
      </c>
      <c r="H315" s="93" t="e">
        <f>VLOOKUP($A315, 'Matriz POA 2024-TRABAJO'!$A$5:$CY$9142,24,FALSE)</f>
        <v>#N/A</v>
      </c>
      <c r="I315" s="93" t="e">
        <f>VLOOKUP($A315, 'Matriz POA 2024-TRABAJO'!$A$5:$CY$9142,20,FALSE)</f>
        <v>#N/A</v>
      </c>
      <c r="J315" s="93" t="e">
        <f>VLOOKUP($A315, 'Matriz POA 2024-TRABAJO'!$A$5:$CY$9142,26,FALSE)</f>
        <v>#N/A</v>
      </c>
      <c r="K315" s="93" t="e">
        <f>VLOOKUP($A315, 'Matriz POA 2024-TRABAJO'!$A$5:$CY$9142,27,FALSE)</f>
        <v>#N/A</v>
      </c>
      <c r="L315" s="93" t="e">
        <f>VLOOKUP($A315, 'Matriz POA 2024-TRABAJO'!$A$5:$CY$9142,28,FALSE)</f>
        <v>#N/A</v>
      </c>
      <c r="M315" s="93" t="e">
        <f>VLOOKUP($A315, 'Matriz POA 2024-TRABAJO'!$A$5:$CY$9142,30,FALSE)</f>
        <v>#N/A</v>
      </c>
      <c r="N315" s="93" t="e">
        <f>VLOOKUP($A315, 'Matriz POA 2024-TRABAJO'!$A$5:$CY$9142,31,FALSE)</f>
        <v>#N/A</v>
      </c>
      <c r="O315" s="93" t="e">
        <f>VLOOKUP($A315, 'Matriz POA 2024-TRABAJO'!$A$5:$CY$9142,45,FALSE)</f>
        <v>#N/A</v>
      </c>
      <c r="P315" s="93" t="e">
        <f>VLOOKUP($A315, 'Matriz POA 2024-TRABAJO'!$A$5:$CY$9142,46,FALSE)</f>
        <v>#N/A</v>
      </c>
      <c r="Q315" s="93" t="e">
        <f>VLOOKUP($A315, 'Matriz POA 2024-TRABAJO'!$A$5:$CY$9142,47,FALSE)</f>
        <v>#N/A</v>
      </c>
      <c r="R315" s="94">
        <f t="shared" si="217"/>
        <v>0</v>
      </c>
      <c r="S315" s="95" t="e">
        <f t="shared" si="218"/>
        <v>#N/A</v>
      </c>
      <c r="T315" s="93" t="e">
        <f>VLOOKUP($A315, 'Matriz POA 2024-TRABAJO'!$A$5:$CY$9142,72,FALSE)</f>
        <v>#N/A</v>
      </c>
      <c r="U315" s="93" t="e">
        <f>VLOOKUP($A315, 'Matriz POA 2024-TRABAJO'!$A$5:$CY$9142,29,FALSE)</f>
        <v>#N/A</v>
      </c>
      <c r="V315" s="93" t="str">
        <f t="shared" si="219"/>
        <v/>
      </c>
      <c r="W315" s="93"/>
      <c r="X315" s="93"/>
      <c r="Y315" s="93"/>
      <c r="Z315" s="93"/>
      <c r="AA315" s="93"/>
      <c r="AB315" s="93"/>
      <c r="AC315" s="93">
        <f t="shared" si="220"/>
        <v>0</v>
      </c>
      <c r="AD315" s="93"/>
      <c r="AE315" s="93"/>
      <c r="AF315" s="93"/>
      <c r="AG315" s="93"/>
      <c r="AH315" s="93"/>
      <c r="AI315" s="93"/>
      <c r="AJ315" s="93"/>
      <c r="AK315" s="93">
        <f t="shared" si="221"/>
        <v>0</v>
      </c>
      <c r="AL315" s="93"/>
      <c r="AM315" s="93"/>
      <c r="AN315" s="93"/>
      <c r="AO315" s="93"/>
      <c r="AP315" s="93"/>
      <c r="AQ315" s="93"/>
      <c r="AR315" s="93"/>
      <c r="AS315" s="93">
        <f t="shared" si="222"/>
        <v>0</v>
      </c>
      <c r="AT315" s="93"/>
      <c r="AU315" s="93"/>
      <c r="AV315" s="93"/>
      <c r="AW315" s="93"/>
      <c r="AX315" s="93"/>
      <c r="AY315" s="93"/>
      <c r="AZ315" s="93"/>
      <c r="BA315" s="93"/>
      <c r="BB315" s="93"/>
      <c r="BC315" s="93"/>
      <c r="BD315" s="93"/>
      <c r="BE315" s="93"/>
      <c r="BF315" s="93"/>
      <c r="BG315" s="93"/>
      <c r="BH315" s="93"/>
      <c r="BI315" s="93"/>
      <c r="BJ315" s="93"/>
      <c r="BK315" s="93"/>
      <c r="BL315" s="93"/>
      <c r="BM315" s="93"/>
      <c r="BN315" s="93"/>
      <c r="BO315" s="93"/>
      <c r="BP315" s="93"/>
      <c r="BQ315" s="93"/>
      <c r="BR315" s="93"/>
      <c r="BS315" s="93"/>
      <c r="BT315" s="93"/>
      <c r="BU315" s="93"/>
      <c r="BV315" s="93"/>
      <c r="BW315" s="93"/>
      <c r="BX315" s="93"/>
      <c r="BY315" s="93"/>
      <c r="BZ315" s="93"/>
      <c r="CA315" s="93"/>
      <c r="CB315" s="93"/>
      <c r="CC315" s="93"/>
      <c r="CD315" s="93"/>
      <c r="CE315" s="93"/>
      <c r="CF315" s="93"/>
      <c r="CG315" s="93"/>
      <c r="CH315" s="93"/>
      <c r="CI315" s="93"/>
      <c r="CJ315" s="93"/>
      <c r="CK315" s="93"/>
      <c r="CL315" s="93"/>
      <c r="CM315" s="93"/>
      <c r="CN315" s="93"/>
      <c r="CO315" s="93"/>
      <c r="CP315" s="93"/>
      <c r="CQ315" s="93"/>
      <c r="CR315" s="93"/>
      <c r="CS315" s="93"/>
      <c r="CT315" s="93"/>
      <c r="CU315" s="93"/>
      <c r="CV315" s="93"/>
      <c r="CW315" s="93"/>
      <c r="CX315" s="93"/>
    </row>
    <row r="316" spans="1:102" ht="15" hidden="1" customHeight="1">
      <c r="A316" s="93"/>
      <c r="B316" s="93" t="e">
        <f>VLOOKUP($A316,  'Matriz POA 2024-TRABAJO'!$A$5:$CY$9142,29,FALSE)</f>
        <v>#N/A</v>
      </c>
      <c r="C316" s="93" t="e">
        <f>VLOOKUP($A316, 'Matriz POA 2024-TRABAJO'!$A$5:$CY$9142,11,FALSE)</f>
        <v>#N/A</v>
      </c>
      <c r="D316" s="93" t="e">
        <f>VLOOKUP($A316, 'Matriz POA 2024-TRABAJO'!$A$5:$CY$9142,14,FALSE)</f>
        <v>#N/A</v>
      </c>
      <c r="E316" s="93" t="e">
        <f>VLOOKUP($A316, 'Matriz POA 2024-TRABAJO'!$A$5:$CY$9142,15,FALSE)</f>
        <v>#N/A</v>
      </c>
      <c r="F316" s="93" t="e">
        <f>VLOOKUP($A316, 'Matriz POA 2024-TRABAJO'!$A$5:$CY$9142,18,FALSE)</f>
        <v>#N/A</v>
      </c>
      <c r="G316" s="93" t="e">
        <f>VLOOKUP($A316, 'Matriz POA 2024-TRABAJO'!$A$5:$CY$9142,23,FALSE)</f>
        <v>#N/A</v>
      </c>
      <c r="H316" s="93" t="e">
        <f>VLOOKUP($A316, 'Matriz POA 2024-TRABAJO'!$A$5:$CY$9142,24,FALSE)</f>
        <v>#N/A</v>
      </c>
      <c r="I316" s="93" t="e">
        <f>VLOOKUP($A316, 'Matriz POA 2024-TRABAJO'!$A$5:$CY$9142,20,FALSE)</f>
        <v>#N/A</v>
      </c>
      <c r="J316" s="93" t="e">
        <f>VLOOKUP($A316, 'Matriz POA 2024-TRABAJO'!$A$5:$CY$9142,26,FALSE)</f>
        <v>#N/A</v>
      </c>
      <c r="K316" s="93" t="e">
        <f>VLOOKUP($A316, 'Matriz POA 2024-TRABAJO'!$A$5:$CY$9142,27,FALSE)</f>
        <v>#N/A</v>
      </c>
      <c r="L316" s="93" t="e">
        <f>VLOOKUP($A316, 'Matriz POA 2024-TRABAJO'!$A$5:$CY$9142,28,FALSE)</f>
        <v>#N/A</v>
      </c>
      <c r="M316" s="93" t="e">
        <f>VLOOKUP($A316, 'Matriz POA 2024-TRABAJO'!$A$5:$CY$9142,30,FALSE)</f>
        <v>#N/A</v>
      </c>
      <c r="N316" s="93" t="e">
        <f>VLOOKUP($A316, 'Matriz POA 2024-TRABAJO'!$A$5:$CY$9142,31,FALSE)</f>
        <v>#N/A</v>
      </c>
      <c r="O316" s="93" t="e">
        <f>VLOOKUP($A316, 'Matriz POA 2024-TRABAJO'!$A$5:$CY$9142,45,FALSE)</f>
        <v>#N/A</v>
      </c>
      <c r="P316" s="93" t="e">
        <f>VLOOKUP($A316, 'Matriz POA 2024-TRABAJO'!$A$5:$CY$9142,46,FALSE)</f>
        <v>#N/A</v>
      </c>
      <c r="Q316" s="93" t="e">
        <f>VLOOKUP($A316, 'Matriz POA 2024-TRABAJO'!$A$5:$CY$9142,47,FALSE)</f>
        <v>#N/A</v>
      </c>
      <c r="R316" s="94">
        <f t="shared" si="217"/>
        <v>0</v>
      </c>
      <c r="S316" s="95" t="e">
        <f t="shared" si="218"/>
        <v>#N/A</v>
      </c>
      <c r="T316" s="93" t="e">
        <f>VLOOKUP($A316, 'Matriz POA 2024-TRABAJO'!$A$5:$CY$9142,72,FALSE)</f>
        <v>#N/A</v>
      </c>
      <c r="U316" s="93" t="e">
        <f>VLOOKUP($A316, 'Matriz POA 2024-TRABAJO'!$A$5:$CY$9142,29,FALSE)</f>
        <v>#N/A</v>
      </c>
      <c r="V316" s="93" t="str">
        <f t="shared" si="219"/>
        <v/>
      </c>
      <c r="W316" s="93"/>
      <c r="X316" s="93"/>
      <c r="Y316" s="93"/>
      <c r="Z316" s="93"/>
      <c r="AA316" s="93"/>
      <c r="AB316" s="93"/>
      <c r="AC316" s="93">
        <f t="shared" si="220"/>
        <v>0</v>
      </c>
      <c r="AD316" s="93"/>
      <c r="AE316" s="93"/>
      <c r="AF316" s="93"/>
      <c r="AG316" s="93"/>
      <c r="AH316" s="93"/>
      <c r="AI316" s="93"/>
      <c r="AJ316" s="93"/>
      <c r="AK316" s="93">
        <f t="shared" si="221"/>
        <v>0</v>
      </c>
      <c r="AL316" s="93"/>
      <c r="AM316" s="93"/>
      <c r="AN316" s="93"/>
      <c r="AO316" s="93"/>
      <c r="AP316" s="93"/>
      <c r="AQ316" s="93"/>
      <c r="AR316" s="93"/>
      <c r="AS316" s="93">
        <f t="shared" si="222"/>
        <v>0</v>
      </c>
      <c r="AT316" s="93"/>
      <c r="AU316" s="93"/>
      <c r="AV316" s="93"/>
      <c r="AW316" s="93"/>
      <c r="AX316" s="93"/>
      <c r="AY316" s="93"/>
      <c r="AZ316" s="93"/>
      <c r="BA316" s="93"/>
      <c r="BB316" s="93"/>
      <c r="BC316" s="93"/>
      <c r="BD316" s="93"/>
      <c r="BE316" s="93"/>
      <c r="BF316" s="93"/>
      <c r="BG316" s="93"/>
      <c r="BH316" s="93"/>
      <c r="BI316" s="93"/>
      <c r="BJ316" s="93"/>
      <c r="BK316" s="93"/>
      <c r="BL316" s="93"/>
      <c r="BM316" s="93"/>
      <c r="BN316" s="93"/>
      <c r="BO316" s="93"/>
      <c r="BP316" s="93"/>
      <c r="BQ316" s="93"/>
      <c r="BR316" s="93"/>
      <c r="BS316" s="93"/>
      <c r="BT316" s="93"/>
      <c r="BU316" s="93"/>
      <c r="BV316" s="93"/>
      <c r="BW316" s="93"/>
      <c r="BX316" s="93"/>
      <c r="BY316" s="93"/>
      <c r="BZ316" s="93"/>
      <c r="CA316" s="93"/>
      <c r="CB316" s="93"/>
      <c r="CC316" s="93"/>
      <c r="CD316" s="93"/>
      <c r="CE316" s="93"/>
      <c r="CF316" s="93"/>
      <c r="CG316" s="93"/>
      <c r="CH316" s="93"/>
      <c r="CI316" s="93"/>
      <c r="CJ316" s="93"/>
      <c r="CK316" s="93"/>
      <c r="CL316" s="93"/>
      <c r="CM316" s="93"/>
      <c r="CN316" s="93"/>
      <c r="CO316" s="93"/>
      <c r="CP316" s="93"/>
      <c r="CQ316" s="93"/>
      <c r="CR316" s="93"/>
      <c r="CS316" s="93"/>
      <c r="CT316" s="93"/>
      <c r="CU316" s="93"/>
      <c r="CV316" s="93"/>
      <c r="CW316" s="93"/>
      <c r="CX316" s="93"/>
    </row>
    <row r="317" spans="1:102" ht="15" hidden="1" customHeight="1">
      <c r="A317" s="93"/>
      <c r="B317" s="93" t="e">
        <f>VLOOKUP($A317,  'Matriz POA 2024-TRABAJO'!$A$5:$CY$9142,29,FALSE)</f>
        <v>#N/A</v>
      </c>
      <c r="C317" s="93" t="e">
        <f>VLOOKUP($A317, 'Matriz POA 2024-TRABAJO'!$A$5:$CY$9142,11,FALSE)</f>
        <v>#N/A</v>
      </c>
      <c r="D317" s="93" t="e">
        <f>VLOOKUP($A317, 'Matriz POA 2024-TRABAJO'!$A$5:$CY$9142,14,FALSE)</f>
        <v>#N/A</v>
      </c>
      <c r="E317" s="93" t="e">
        <f>VLOOKUP($A317, 'Matriz POA 2024-TRABAJO'!$A$5:$CY$9142,15,FALSE)</f>
        <v>#N/A</v>
      </c>
      <c r="F317" s="93" t="e">
        <f>VLOOKUP($A317, 'Matriz POA 2024-TRABAJO'!$A$5:$CY$9142,18,FALSE)</f>
        <v>#N/A</v>
      </c>
      <c r="G317" s="93" t="e">
        <f>VLOOKUP($A317, 'Matriz POA 2024-TRABAJO'!$A$5:$CY$9142,23,FALSE)</f>
        <v>#N/A</v>
      </c>
      <c r="H317" s="93" t="e">
        <f>VLOOKUP($A317, 'Matriz POA 2024-TRABAJO'!$A$5:$CY$9142,24,FALSE)</f>
        <v>#N/A</v>
      </c>
      <c r="I317" s="93" t="e">
        <f>VLOOKUP($A317, 'Matriz POA 2024-TRABAJO'!$A$5:$CY$9142,20,FALSE)</f>
        <v>#N/A</v>
      </c>
      <c r="J317" s="93" t="e">
        <f>VLOOKUP($A317, 'Matriz POA 2024-TRABAJO'!$A$5:$CY$9142,26,FALSE)</f>
        <v>#N/A</v>
      </c>
      <c r="K317" s="93" t="e">
        <f>VLOOKUP($A317, 'Matriz POA 2024-TRABAJO'!$A$5:$CY$9142,27,FALSE)</f>
        <v>#N/A</v>
      </c>
      <c r="L317" s="93" t="e">
        <f>VLOOKUP($A317, 'Matriz POA 2024-TRABAJO'!$A$5:$CY$9142,28,FALSE)</f>
        <v>#N/A</v>
      </c>
      <c r="M317" s="93" t="e">
        <f>VLOOKUP($A317, 'Matriz POA 2024-TRABAJO'!$A$5:$CY$9142,30,FALSE)</f>
        <v>#N/A</v>
      </c>
      <c r="N317" s="93" t="e">
        <f>VLOOKUP($A317, 'Matriz POA 2024-TRABAJO'!$A$5:$CY$9142,31,FALSE)</f>
        <v>#N/A</v>
      </c>
      <c r="O317" s="93" t="e">
        <f>VLOOKUP($A317, 'Matriz POA 2024-TRABAJO'!$A$5:$CY$9142,45,FALSE)</f>
        <v>#N/A</v>
      </c>
      <c r="P317" s="93" t="e">
        <f>VLOOKUP($A317, 'Matriz POA 2024-TRABAJO'!$A$5:$CY$9142,46,FALSE)</f>
        <v>#N/A</v>
      </c>
      <c r="Q317" s="93" t="e">
        <f>VLOOKUP($A317, 'Matriz POA 2024-TRABAJO'!$A$5:$CY$9142,47,FALSE)</f>
        <v>#N/A</v>
      </c>
      <c r="R317" s="94">
        <f t="shared" si="217"/>
        <v>0</v>
      </c>
      <c r="S317" s="95" t="e">
        <f t="shared" si="218"/>
        <v>#N/A</v>
      </c>
      <c r="T317" s="93" t="e">
        <f>VLOOKUP($A317, 'Matriz POA 2024-TRABAJO'!$A$5:$CY$9142,72,FALSE)</f>
        <v>#N/A</v>
      </c>
      <c r="U317" s="93" t="e">
        <f>VLOOKUP($A317, 'Matriz POA 2024-TRABAJO'!$A$5:$CY$9142,29,FALSE)</f>
        <v>#N/A</v>
      </c>
      <c r="V317" s="93" t="str">
        <f t="shared" si="219"/>
        <v/>
      </c>
      <c r="W317" s="93"/>
      <c r="X317" s="93"/>
      <c r="Y317" s="93"/>
      <c r="Z317" s="93"/>
      <c r="AA317" s="93"/>
      <c r="AB317" s="93"/>
      <c r="AC317" s="93">
        <f t="shared" si="220"/>
        <v>0</v>
      </c>
      <c r="AD317" s="93"/>
      <c r="AE317" s="93"/>
      <c r="AF317" s="93"/>
      <c r="AG317" s="93"/>
      <c r="AH317" s="93"/>
      <c r="AI317" s="93"/>
      <c r="AJ317" s="93"/>
      <c r="AK317" s="93">
        <f t="shared" si="221"/>
        <v>0</v>
      </c>
      <c r="AL317" s="93"/>
      <c r="AM317" s="93"/>
      <c r="AN317" s="93"/>
      <c r="AO317" s="93"/>
      <c r="AP317" s="93"/>
      <c r="AQ317" s="93"/>
      <c r="AR317" s="93"/>
      <c r="AS317" s="93">
        <f t="shared" si="222"/>
        <v>0</v>
      </c>
      <c r="AT317" s="93"/>
      <c r="AU317" s="93"/>
      <c r="AV317" s="93"/>
      <c r="AW317" s="93"/>
      <c r="AX317" s="93"/>
      <c r="AY317" s="93"/>
      <c r="AZ317" s="93"/>
      <c r="BA317" s="93"/>
      <c r="BB317" s="93"/>
      <c r="BC317" s="93"/>
      <c r="BD317" s="93"/>
      <c r="BE317" s="93"/>
      <c r="BF317" s="93"/>
      <c r="BG317" s="93"/>
      <c r="BH317" s="93"/>
      <c r="BI317" s="93"/>
      <c r="BJ317" s="93"/>
      <c r="BK317" s="93"/>
      <c r="BL317" s="93"/>
      <c r="BM317" s="93"/>
      <c r="BN317" s="93"/>
      <c r="BO317" s="93"/>
      <c r="BP317" s="93"/>
      <c r="BQ317" s="93"/>
      <c r="BR317" s="93"/>
      <c r="BS317" s="93"/>
      <c r="BT317" s="93"/>
      <c r="BU317" s="93"/>
      <c r="BV317" s="93"/>
      <c r="BW317" s="93"/>
      <c r="BX317" s="93"/>
      <c r="BY317" s="93"/>
      <c r="BZ317" s="93"/>
      <c r="CA317" s="93"/>
      <c r="CB317" s="93"/>
      <c r="CC317" s="93"/>
      <c r="CD317" s="93"/>
      <c r="CE317" s="93"/>
      <c r="CF317" s="93"/>
      <c r="CG317" s="93"/>
      <c r="CH317" s="93"/>
      <c r="CI317" s="93"/>
      <c r="CJ317" s="93"/>
      <c r="CK317" s="93"/>
      <c r="CL317" s="93"/>
      <c r="CM317" s="93"/>
      <c r="CN317" s="93"/>
      <c r="CO317" s="93"/>
      <c r="CP317" s="93"/>
      <c r="CQ317" s="93"/>
      <c r="CR317" s="93"/>
      <c r="CS317" s="93"/>
      <c r="CT317" s="93"/>
      <c r="CU317" s="93"/>
      <c r="CV317" s="93"/>
      <c r="CW317" s="93"/>
      <c r="CX317" s="93"/>
    </row>
    <row r="318" spans="1:102" ht="15" hidden="1" customHeight="1">
      <c r="A318" s="93"/>
      <c r="B318" s="93" t="e">
        <f>VLOOKUP($A318,  'Matriz POA 2024-TRABAJO'!$A$5:$CY$9142,29,FALSE)</f>
        <v>#N/A</v>
      </c>
      <c r="C318" s="93" t="e">
        <f>VLOOKUP($A318, 'Matriz POA 2024-TRABAJO'!$A$5:$CY$9142,11,FALSE)</f>
        <v>#N/A</v>
      </c>
      <c r="D318" s="93" t="e">
        <f>VLOOKUP($A318, 'Matriz POA 2024-TRABAJO'!$A$5:$CY$9142,14,FALSE)</f>
        <v>#N/A</v>
      </c>
      <c r="E318" s="93" t="e">
        <f>VLOOKUP($A318, 'Matriz POA 2024-TRABAJO'!$A$5:$CY$9142,15,FALSE)</f>
        <v>#N/A</v>
      </c>
      <c r="F318" s="93" t="e">
        <f>VLOOKUP($A318, 'Matriz POA 2024-TRABAJO'!$A$5:$CY$9142,18,FALSE)</f>
        <v>#N/A</v>
      </c>
      <c r="G318" s="93" t="e">
        <f>VLOOKUP($A318, 'Matriz POA 2024-TRABAJO'!$A$5:$CY$9142,23,FALSE)</f>
        <v>#N/A</v>
      </c>
      <c r="H318" s="93" t="e">
        <f>VLOOKUP($A318, 'Matriz POA 2024-TRABAJO'!$A$5:$CY$9142,24,FALSE)</f>
        <v>#N/A</v>
      </c>
      <c r="I318" s="93" t="e">
        <f>VLOOKUP($A318, 'Matriz POA 2024-TRABAJO'!$A$5:$CY$9142,20,FALSE)</f>
        <v>#N/A</v>
      </c>
      <c r="J318" s="93" t="e">
        <f>VLOOKUP($A318, 'Matriz POA 2024-TRABAJO'!$A$5:$CY$9142,26,FALSE)</f>
        <v>#N/A</v>
      </c>
      <c r="K318" s="93" t="e">
        <f>VLOOKUP($A318, 'Matriz POA 2024-TRABAJO'!$A$5:$CY$9142,27,FALSE)</f>
        <v>#N/A</v>
      </c>
      <c r="L318" s="93" t="e">
        <f>VLOOKUP($A318, 'Matriz POA 2024-TRABAJO'!$A$5:$CY$9142,28,FALSE)</f>
        <v>#N/A</v>
      </c>
      <c r="M318" s="93" t="e">
        <f>VLOOKUP($A318, 'Matriz POA 2024-TRABAJO'!$A$5:$CY$9142,30,FALSE)</f>
        <v>#N/A</v>
      </c>
      <c r="N318" s="93" t="e">
        <f>VLOOKUP($A318, 'Matriz POA 2024-TRABAJO'!$A$5:$CY$9142,31,FALSE)</f>
        <v>#N/A</v>
      </c>
      <c r="O318" s="93" t="e">
        <f>VLOOKUP($A318, 'Matriz POA 2024-TRABAJO'!$A$5:$CY$9142,45,FALSE)</f>
        <v>#N/A</v>
      </c>
      <c r="P318" s="93" t="e">
        <f>VLOOKUP($A318, 'Matriz POA 2024-TRABAJO'!$A$5:$CY$9142,46,FALSE)</f>
        <v>#N/A</v>
      </c>
      <c r="Q318" s="93" t="e">
        <f>VLOOKUP($A318, 'Matriz POA 2024-TRABAJO'!$A$5:$CY$9142,47,FALSE)</f>
        <v>#N/A</v>
      </c>
      <c r="R318" s="94">
        <f t="shared" si="217"/>
        <v>0</v>
      </c>
      <c r="S318" s="95" t="e">
        <f t="shared" si="218"/>
        <v>#N/A</v>
      </c>
      <c r="T318" s="93" t="e">
        <f>VLOOKUP($A318, 'Matriz POA 2024-TRABAJO'!$A$5:$CY$9142,72,FALSE)</f>
        <v>#N/A</v>
      </c>
      <c r="U318" s="93" t="e">
        <f>VLOOKUP($A318, 'Matriz POA 2024-TRABAJO'!$A$5:$CY$9142,29,FALSE)</f>
        <v>#N/A</v>
      </c>
      <c r="V318" s="93" t="str">
        <f t="shared" si="219"/>
        <v/>
      </c>
      <c r="W318" s="93"/>
      <c r="X318" s="93"/>
      <c r="Y318" s="93"/>
      <c r="Z318" s="93"/>
      <c r="AA318" s="93"/>
      <c r="AB318" s="93"/>
      <c r="AC318" s="93">
        <f t="shared" si="220"/>
        <v>0</v>
      </c>
      <c r="AD318" s="93"/>
      <c r="AE318" s="93"/>
      <c r="AF318" s="93"/>
      <c r="AG318" s="93"/>
      <c r="AH318" s="93"/>
      <c r="AI318" s="93"/>
      <c r="AJ318" s="93"/>
      <c r="AK318" s="93">
        <f t="shared" si="221"/>
        <v>0</v>
      </c>
      <c r="AL318" s="93"/>
      <c r="AM318" s="93"/>
      <c r="AN318" s="93"/>
      <c r="AO318" s="93"/>
      <c r="AP318" s="93"/>
      <c r="AQ318" s="93"/>
      <c r="AR318" s="93"/>
      <c r="AS318" s="93">
        <f t="shared" si="222"/>
        <v>0</v>
      </c>
      <c r="AT318" s="93"/>
      <c r="AU318" s="93"/>
      <c r="AV318" s="93"/>
      <c r="AW318" s="93"/>
      <c r="AX318" s="93"/>
      <c r="AY318" s="93"/>
      <c r="AZ318" s="93"/>
      <c r="BA318" s="93"/>
      <c r="BB318" s="93"/>
      <c r="BC318" s="93"/>
      <c r="BD318" s="93"/>
      <c r="BE318" s="93"/>
      <c r="BF318" s="93"/>
      <c r="BG318" s="93"/>
      <c r="BH318" s="93"/>
      <c r="BI318" s="93"/>
      <c r="BJ318" s="93"/>
      <c r="BK318" s="93"/>
      <c r="BL318" s="93"/>
      <c r="BM318" s="93"/>
      <c r="BN318" s="93"/>
      <c r="BO318" s="93"/>
      <c r="BP318" s="93"/>
      <c r="BQ318" s="93"/>
      <c r="BR318" s="93"/>
      <c r="BS318" s="93"/>
      <c r="BT318" s="93"/>
      <c r="BU318" s="93"/>
      <c r="BV318" s="93"/>
      <c r="BW318" s="93"/>
      <c r="BX318" s="93"/>
      <c r="BY318" s="93"/>
      <c r="BZ318" s="93"/>
      <c r="CA318" s="93"/>
      <c r="CB318" s="93"/>
      <c r="CC318" s="93"/>
      <c r="CD318" s="93"/>
      <c r="CE318" s="93"/>
      <c r="CF318" s="93"/>
      <c r="CG318" s="93"/>
      <c r="CH318" s="93"/>
      <c r="CI318" s="93"/>
      <c r="CJ318" s="93"/>
      <c r="CK318" s="93"/>
      <c r="CL318" s="93"/>
      <c r="CM318" s="93"/>
      <c r="CN318" s="93"/>
      <c r="CO318" s="93"/>
      <c r="CP318" s="93"/>
      <c r="CQ318" s="93"/>
      <c r="CR318" s="93"/>
      <c r="CS318" s="93"/>
      <c r="CT318" s="93"/>
      <c r="CU318" s="93"/>
      <c r="CV318" s="93"/>
      <c r="CW318" s="93"/>
      <c r="CX318" s="93"/>
    </row>
    <row r="319" spans="1:102" ht="15" hidden="1" customHeight="1">
      <c r="A319" s="93"/>
      <c r="B319" s="93" t="e">
        <f>VLOOKUP($A319,  'Matriz POA 2024-TRABAJO'!$A$5:$CY$9142,29,FALSE)</f>
        <v>#N/A</v>
      </c>
      <c r="C319" s="93" t="e">
        <f>VLOOKUP($A319, 'Matriz POA 2024-TRABAJO'!$A$5:$CY$9142,11,FALSE)</f>
        <v>#N/A</v>
      </c>
      <c r="D319" s="93" t="e">
        <f>VLOOKUP($A319, 'Matriz POA 2024-TRABAJO'!$A$5:$CY$9142,14,FALSE)</f>
        <v>#N/A</v>
      </c>
      <c r="E319" s="93" t="e">
        <f>VLOOKUP($A319, 'Matriz POA 2024-TRABAJO'!$A$5:$CY$9142,15,FALSE)</f>
        <v>#N/A</v>
      </c>
      <c r="F319" s="93" t="e">
        <f>VLOOKUP($A319, 'Matriz POA 2024-TRABAJO'!$A$5:$CY$9142,18,FALSE)</f>
        <v>#N/A</v>
      </c>
      <c r="G319" s="93" t="e">
        <f>VLOOKUP($A319, 'Matriz POA 2024-TRABAJO'!$A$5:$CY$9142,23,FALSE)</f>
        <v>#N/A</v>
      </c>
      <c r="H319" s="93" t="e">
        <f>VLOOKUP($A319, 'Matriz POA 2024-TRABAJO'!$A$5:$CY$9142,24,FALSE)</f>
        <v>#N/A</v>
      </c>
      <c r="I319" s="93" t="e">
        <f>VLOOKUP($A319, 'Matriz POA 2024-TRABAJO'!$A$5:$CY$9142,20,FALSE)</f>
        <v>#N/A</v>
      </c>
      <c r="J319" s="93" t="e">
        <f>VLOOKUP($A319, 'Matriz POA 2024-TRABAJO'!$A$5:$CY$9142,26,FALSE)</f>
        <v>#N/A</v>
      </c>
      <c r="K319" s="93" t="e">
        <f>VLOOKUP($A319, 'Matriz POA 2024-TRABAJO'!$A$5:$CY$9142,27,FALSE)</f>
        <v>#N/A</v>
      </c>
      <c r="L319" s="93" t="e">
        <f>VLOOKUP($A319, 'Matriz POA 2024-TRABAJO'!$A$5:$CY$9142,28,FALSE)</f>
        <v>#N/A</v>
      </c>
      <c r="M319" s="93" t="e">
        <f>VLOOKUP($A319, 'Matriz POA 2024-TRABAJO'!$A$5:$CY$9142,30,FALSE)</f>
        <v>#N/A</v>
      </c>
      <c r="N319" s="93" t="e">
        <f>VLOOKUP($A319, 'Matriz POA 2024-TRABAJO'!$A$5:$CY$9142,31,FALSE)</f>
        <v>#N/A</v>
      </c>
      <c r="O319" s="93" t="e">
        <f>VLOOKUP($A319, 'Matriz POA 2024-TRABAJO'!$A$5:$CY$9142,45,FALSE)</f>
        <v>#N/A</v>
      </c>
      <c r="P319" s="93" t="e">
        <f>VLOOKUP($A319, 'Matriz POA 2024-TRABAJO'!$A$5:$CY$9142,46,FALSE)</f>
        <v>#N/A</v>
      </c>
      <c r="Q319" s="93" t="e">
        <f>VLOOKUP($A319, 'Matriz POA 2024-TRABAJO'!$A$5:$CY$9142,47,FALSE)</f>
        <v>#N/A</v>
      </c>
      <c r="R319" s="94">
        <f t="shared" si="217"/>
        <v>0</v>
      </c>
      <c r="S319" s="95" t="e">
        <f t="shared" si="218"/>
        <v>#N/A</v>
      </c>
      <c r="T319" s="93" t="e">
        <f>VLOOKUP($A319, 'Matriz POA 2024-TRABAJO'!$A$5:$CY$9142,72,FALSE)</f>
        <v>#N/A</v>
      </c>
      <c r="U319" s="93" t="e">
        <f>VLOOKUP($A319, 'Matriz POA 2024-TRABAJO'!$A$5:$CY$9142,29,FALSE)</f>
        <v>#N/A</v>
      </c>
      <c r="V319" s="93" t="str">
        <f t="shared" si="219"/>
        <v/>
      </c>
      <c r="W319" s="93"/>
      <c r="X319" s="93"/>
      <c r="Y319" s="93"/>
      <c r="Z319" s="93"/>
      <c r="AA319" s="93"/>
      <c r="AB319" s="93"/>
      <c r="AC319" s="93">
        <f t="shared" si="220"/>
        <v>0</v>
      </c>
      <c r="AD319" s="93"/>
      <c r="AE319" s="93"/>
      <c r="AF319" s="93"/>
      <c r="AG319" s="93"/>
      <c r="AH319" s="93"/>
      <c r="AI319" s="93"/>
      <c r="AJ319" s="93"/>
      <c r="AK319" s="93">
        <f t="shared" si="221"/>
        <v>0</v>
      </c>
      <c r="AL319" s="93"/>
      <c r="AM319" s="93"/>
      <c r="AN319" s="93"/>
      <c r="AO319" s="93"/>
      <c r="AP319" s="93"/>
      <c r="AQ319" s="93"/>
      <c r="AR319" s="93"/>
      <c r="AS319" s="93">
        <f t="shared" si="222"/>
        <v>0</v>
      </c>
      <c r="AT319" s="93"/>
      <c r="AU319" s="93"/>
      <c r="AV319" s="93"/>
      <c r="AW319" s="93"/>
      <c r="AX319" s="93"/>
      <c r="AY319" s="93"/>
      <c r="AZ319" s="93"/>
      <c r="BA319" s="93"/>
      <c r="BB319" s="93"/>
      <c r="BC319" s="93"/>
      <c r="BD319" s="93"/>
      <c r="BE319" s="93"/>
      <c r="BF319" s="93"/>
      <c r="BG319" s="93"/>
      <c r="BH319" s="93"/>
      <c r="BI319" s="93"/>
      <c r="BJ319" s="93"/>
      <c r="BK319" s="93"/>
      <c r="BL319" s="93"/>
      <c r="BM319" s="93"/>
      <c r="BN319" s="93"/>
      <c r="BO319" s="93"/>
      <c r="BP319" s="93"/>
      <c r="BQ319" s="93"/>
      <c r="BR319" s="93"/>
      <c r="BS319" s="93"/>
      <c r="BT319" s="93"/>
      <c r="BU319" s="93"/>
      <c r="BV319" s="93"/>
      <c r="BW319" s="93"/>
      <c r="BX319" s="93"/>
      <c r="BY319" s="93"/>
      <c r="BZ319" s="93"/>
      <c r="CA319" s="93"/>
      <c r="CB319" s="93"/>
      <c r="CC319" s="93"/>
      <c r="CD319" s="93"/>
      <c r="CE319" s="93"/>
      <c r="CF319" s="93"/>
      <c r="CG319" s="93"/>
      <c r="CH319" s="93"/>
      <c r="CI319" s="93"/>
      <c r="CJ319" s="93"/>
      <c r="CK319" s="93"/>
      <c r="CL319" s="93"/>
      <c r="CM319" s="93"/>
      <c r="CN319" s="93"/>
      <c r="CO319" s="93"/>
      <c r="CP319" s="93"/>
      <c r="CQ319" s="93"/>
      <c r="CR319" s="93"/>
      <c r="CS319" s="93"/>
      <c r="CT319" s="93"/>
      <c r="CU319" s="93"/>
      <c r="CV319" s="93"/>
      <c r="CW319" s="93"/>
      <c r="CX319" s="93"/>
    </row>
    <row r="320" spans="1:102" ht="15" hidden="1" customHeight="1">
      <c r="A320" s="93"/>
      <c r="B320" s="93" t="e">
        <f>VLOOKUP($A320,  'Matriz POA 2024-TRABAJO'!$A$5:$CY$9142,29,FALSE)</f>
        <v>#N/A</v>
      </c>
      <c r="C320" s="93" t="e">
        <f>VLOOKUP($A320, 'Matriz POA 2024-TRABAJO'!$A$5:$CY$9142,11,FALSE)</f>
        <v>#N/A</v>
      </c>
      <c r="D320" s="93" t="e">
        <f>VLOOKUP($A320, 'Matriz POA 2024-TRABAJO'!$A$5:$CY$9142,14,FALSE)</f>
        <v>#N/A</v>
      </c>
      <c r="E320" s="93" t="e">
        <f>VLOOKUP($A320, 'Matriz POA 2024-TRABAJO'!$A$5:$CY$9142,15,FALSE)</f>
        <v>#N/A</v>
      </c>
      <c r="F320" s="93" t="e">
        <f>VLOOKUP($A320, 'Matriz POA 2024-TRABAJO'!$A$5:$CY$9142,18,FALSE)</f>
        <v>#N/A</v>
      </c>
      <c r="G320" s="93" t="e">
        <f>VLOOKUP($A320, 'Matriz POA 2024-TRABAJO'!$A$5:$CY$9142,23,FALSE)</f>
        <v>#N/A</v>
      </c>
      <c r="H320" s="93" t="e">
        <f>VLOOKUP($A320, 'Matriz POA 2024-TRABAJO'!$A$5:$CY$9142,24,FALSE)</f>
        <v>#N/A</v>
      </c>
      <c r="I320" s="93" t="e">
        <f>VLOOKUP($A320, 'Matriz POA 2024-TRABAJO'!$A$5:$CY$9142,20,FALSE)</f>
        <v>#N/A</v>
      </c>
      <c r="J320" s="93" t="e">
        <f>VLOOKUP($A320, 'Matriz POA 2024-TRABAJO'!$A$5:$CY$9142,26,FALSE)</f>
        <v>#N/A</v>
      </c>
      <c r="K320" s="93" t="e">
        <f>VLOOKUP($A320, 'Matriz POA 2024-TRABAJO'!$A$5:$CY$9142,27,FALSE)</f>
        <v>#N/A</v>
      </c>
      <c r="L320" s="93" t="e">
        <f>VLOOKUP($A320, 'Matriz POA 2024-TRABAJO'!$A$5:$CY$9142,28,FALSE)</f>
        <v>#N/A</v>
      </c>
      <c r="M320" s="93" t="e">
        <f>VLOOKUP($A320, 'Matriz POA 2024-TRABAJO'!$A$5:$CY$9142,30,FALSE)</f>
        <v>#N/A</v>
      </c>
      <c r="N320" s="93" t="e">
        <f>VLOOKUP($A320, 'Matriz POA 2024-TRABAJO'!$A$5:$CY$9142,31,FALSE)</f>
        <v>#N/A</v>
      </c>
      <c r="O320" s="93" t="e">
        <f>VLOOKUP($A320, 'Matriz POA 2024-TRABAJO'!$A$5:$CY$9142,45,FALSE)</f>
        <v>#N/A</v>
      </c>
      <c r="P320" s="93" t="e">
        <f>VLOOKUP($A320, 'Matriz POA 2024-TRABAJO'!$A$5:$CY$9142,46,FALSE)</f>
        <v>#N/A</v>
      </c>
      <c r="Q320" s="93" t="e">
        <f>VLOOKUP($A320, 'Matriz POA 2024-TRABAJO'!$A$5:$CY$9142,47,FALSE)</f>
        <v>#N/A</v>
      </c>
      <c r="R320" s="94">
        <f t="shared" si="217"/>
        <v>0</v>
      </c>
      <c r="S320" s="95" t="e">
        <f t="shared" si="218"/>
        <v>#N/A</v>
      </c>
      <c r="T320" s="93" t="e">
        <f>VLOOKUP($A320, 'Matriz POA 2024-TRABAJO'!$A$5:$CY$9142,72,FALSE)</f>
        <v>#N/A</v>
      </c>
      <c r="U320" s="93" t="e">
        <f>VLOOKUP($A320, 'Matriz POA 2024-TRABAJO'!$A$5:$CY$9142,29,FALSE)</f>
        <v>#N/A</v>
      </c>
      <c r="V320" s="93" t="str">
        <f t="shared" si="219"/>
        <v/>
      </c>
      <c r="W320" s="93"/>
      <c r="X320" s="93"/>
      <c r="Y320" s="93"/>
      <c r="Z320" s="93"/>
      <c r="AA320" s="93"/>
      <c r="AB320" s="93"/>
      <c r="AC320" s="93">
        <f t="shared" si="220"/>
        <v>0</v>
      </c>
      <c r="AD320" s="93"/>
      <c r="AE320" s="93"/>
      <c r="AF320" s="93"/>
      <c r="AG320" s="93"/>
      <c r="AH320" s="93"/>
      <c r="AI320" s="93"/>
      <c r="AJ320" s="93"/>
      <c r="AK320" s="93">
        <f t="shared" si="221"/>
        <v>0</v>
      </c>
      <c r="AL320" s="93"/>
      <c r="AM320" s="93"/>
      <c r="AN320" s="93"/>
      <c r="AO320" s="93"/>
      <c r="AP320" s="93"/>
      <c r="AQ320" s="93"/>
      <c r="AR320" s="93"/>
      <c r="AS320" s="93">
        <f t="shared" si="222"/>
        <v>0</v>
      </c>
      <c r="AT320" s="93"/>
      <c r="AU320" s="93"/>
      <c r="AV320" s="93"/>
      <c r="AW320" s="93"/>
      <c r="AX320" s="93"/>
      <c r="AY320" s="93"/>
      <c r="AZ320" s="93"/>
      <c r="BA320" s="93"/>
      <c r="BB320" s="93"/>
      <c r="BC320" s="93"/>
      <c r="BD320" s="93"/>
      <c r="BE320" s="93"/>
      <c r="BF320" s="93"/>
      <c r="BG320" s="93"/>
      <c r="BH320" s="93"/>
      <c r="BI320" s="93"/>
      <c r="BJ320" s="93"/>
      <c r="BK320" s="93"/>
      <c r="BL320" s="93"/>
      <c r="BM320" s="93"/>
      <c r="BN320" s="93"/>
      <c r="BO320" s="93"/>
      <c r="BP320" s="93"/>
      <c r="BQ320" s="93"/>
      <c r="BR320" s="93"/>
      <c r="BS320" s="93"/>
      <c r="BT320" s="93"/>
      <c r="BU320" s="93"/>
      <c r="BV320" s="93"/>
      <c r="BW320" s="93"/>
      <c r="BX320" s="93"/>
      <c r="BY320" s="93"/>
      <c r="BZ320" s="93"/>
      <c r="CA320" s="93"/>
      <c r="CB320" s="93"/>
      <c r="CC320" s="93"/>
      <c r="CD320" s="93"/>
      <c r="CE320" s="93"/>
      <c r="CF320" s="93"/>
      <c r="CG320" s="93"/>
      <c r="CH320" s="93"/>
      <c r="CI320" s="93"/>
      <c r="CJ320" s="93"/>
      <c r="CK320" s="93"/>
      <c r="CL320" s="93"/>
      <c r="CM320" s="93"/>
      <c r="CN320" s="93"/>
      <c r="CO320" s="93"/>
      <c r="CP320" s="93"/>
      <c r="CQ320" s="93"/>
      <c r="CR320" s="93"/>
      <c r="CS320" s="93"/>
      <c r="CT320" s="93"/>
      <c r="CU320" s="93"/>
      <c r="CV320" s="93"/>
      <c r="CW320" s="93"/>
      <c r="CX320" s="93"/>
    </row>
    <row r="321" spans="1:102" ht="15" hidden="1" customHeight="1">
      <c r="A321" s="93"/>
      <c r="B321" s="93" t="e">
        <f>VLOOKUP($A321,  'Matriz POA 2024-TRABAJO'!$A$5:$CY$9142,29,FALSE)</f>
        <v>#N/A</v>
      </c>
      <c r="C321" s="93" t="e">
        <f>VLOOKUP($A321, 'Matriz POA 2024-TRABAJO'!$A$5:$CY$9142,11,FALSE)</f>
        <v>#N/A</v>
      </c>
      <c r="D321" s="93" t="e">
        <f>VLOOKUP($A321, 'Matriz POA 2024-TRABAJO'!$A$5:$CY$9142,14,FALSE)</f>
        <v>#N/A</v>
      </c>
      <c r="E321" s="93" t="e">
        <f>VLOOKUP($A321, 'Matriz POA 2024-TRABAJO'!$A$5:$CY$9142,15,FALSE)</f>
        <v>#N/A</v>
      </c>
      <c r="F321" s="93" t="e">
        <f>VLOOKUP($A321, 'Matriz POA 2024-TRABAJO'!$A$5:$CY$9142,18,FALSE)</f>
        <v>#N/A</v>
      </c>
      <c r="G321" s="93" t="e">
        <f>VLOOKUP($A321, 'Matriz POA 2024-TRABAJO'!$A$5:$CY$9142,23,FALSE)</f>
        <v>#N/A</v>
      </c>
      <c r="H321" s="93" t="e">
        <f>VLOOKUP($A321, 'Matriz POA 2024-TRABAJO'!$A$5:$CY$9142,24,FALSE)</f>
        <v>#N/A</v>
      </c>
      <c r="I321" s="93" t="e">
        <f>VLOOKUP($A321, 'Matriz POA 2024-TRABAJO'!$A$5:$CY$9142,20,FALSE)</f>
        <v>#N/A</v>
      </c>
      <c r="J321" s="93" t="e">
        <f>VLOOKUP($A321, 'Matriz POA 2024-TRABAJO'!$A$5:$CY$9142,26,FALSE)</f>
        <v>#N/A</v>
      </c>
      <c r="K321" s="93" t="e">
        <f>VLOOKUP($A321, 'Matriz POA 2024-TRABAJO'!$A$5:$CY$9142,27,FALSE)</f>
        <v>#N/A</v>
      </c>
      <c r="L321" s="93" t="e">
        <f>VLOOKUP($A321, 'Matriz POA 2024-TRABAJO'!$A$5:$CY$9142,28,FALSE)</f>
        <v>#N/A</v>
      </c>
      <c r="M321" s="93" t="e">
        <f>VLOOKUP($A321, 'Matriz POA 2024-TRABAJO'!$A$5:$CY$9142,30,FALSE)</f>
        <v>#N/A</v>
      </c>
      <c r="N321" s="93" t="e">
        <f>VLOOKUP($A321, 'Matriz POA 2024-TRABAJO'!$A$5:$CY$9142,31,FALSE)</f>
        <v>#N/A</v>
      </c>
      <c r="O321" s="93" t="e">
        <f>VLOOKUP($A321, 'Matriz POA 2024-TRABAJO'!$A$5:$CY$9142,45,FALSE)</f>
        <v>#N/A</v>
      </c>
      <c r="P321" s="93" t="e">
        <f>VLOOKUP($A321, 'Matriz POA 2024-TRABAJO'!$A$5:$CY$9142,46,FALSE)</f>
        <v>#N/A</v>
      </c>
      <c r="Q321" s="93" t="e">
        <f>VLOOKUP($A321, 'Matriz POA 2024-TRABAJO'!$A$5:$CY$9142,47,FALSE)</f>
        <v>#N/A</v>
      </c>
      <c r="R321" s="94">
        <f t="shared" si="217"/>
        <v>0</v>
      </c>
      <c r="S321" s="95" t="e">
        <f t="shared" si="218"/>
        <v>#N/A</v>
      </c>
      <c r="T321" s="93" t="e">
        <f>VLOOKUP($A321, 'Matriz POA 2024-TRABAJO'!$A$5:$CY$9142,72,FALSE)</f>
        <v>#N/A</v>
      </c>
      <c r="U321" s="93" t="e">
        <f>VLOOKUP($A321, 'Matriz POA 2024-TRABAJO'!$A$5:$CY$9142,29,FALSE)</f>
        <v>#N/A</v>
      </c>
      <c r="V321" s="93" t="str">
        <f t="shared" si="219"/>
        <v/>
      </c>
      <c r="W321" s="93"/>
      <c r="X321" s="93"/>
      <c r="Y321" s="93"/>
      <c r="Z321" s="93"/>
      <c r="AA321" s="93"/>
      <c r="AB321" s="93"/>
      <c r="AC321" s="93">
        <f t="shared" si="220"/>
        <v>0</v>
      </c>
      <c r="AD321" s="93"/>
      <c r="AE321" s="93"/>
      <c r="AF321" s="93"/>
      <c r="AG321" s="93"/>
      <c r="AH321" s="93"/>
      <c r="AI321" s="93"/>
      <c r="AJ321" s="93"/>
      <c r="AK321" s="93">
        <f t="shared" si="221"/>
        <v>0</v>
      </c>
      <c r="AL321" s="93"/>
      <c r="AM321" s="93"/>
      <c r="AN321" s="93"/>
      <c r="AO321" s="93"/>
      <c r="AP321" s="93"/>
      <c r="AQ321" s="93"/>
      <c r="AR321" s="93"/>
      <c r="AS321" s="93">
        <f t="shared" si="222"/>
        <v>0</v>
      </c>
      <c r="AT321" s="93"/>
      <c r="AU321" s="93"/>
      <c r="AV321" s="93"/>
      <c r="AW321" s="93"/>
      <c r="AX321" s="93"/>
      <c r="AY321" s="93"/>
      <c r="AZ321" s="93"/>
      <c r="BA321" s="93"/>
      <c r="BB321" s="93"/>
      <c r="BC321" s="93"/>
      <c r="BD321" s="93"/>
      <c r="BE321" s="93"/>
      <c r="BF321" s="93"/>
      <c r="BG321" s="93"/>
      <c r="BH321" s="93"/>
      <c r="BI321" s="93"/>
      <c r="BJ321" s="93"/>
      <c r="BK321" s="93"/>
      <c r="BL321" s="93"/>
      <c r="BM321" s="93"/>
      <c r="BN321" s="93"/>
      <c r="BO321" s="93"/>
      <c r="BP321" s="93"/>
      <c r="BQ321" s="93"/>
      <c r="BR321" s="93"/>
      <c r="BS321" s="93"/>
      <c r="BT321" s="93"/>
      <c r="BU321" s="93"/>
      <c r="BV321" s="93"/>
      <c r="BW321" s="93"/>
      <c r="BX321" s="93"/>
      <c r="BY321" s="93"/>
      <c r="BZ321" s="93"/>
      <c r="CA321" s="93"/>
      <c r="CB321" s="93"/>
      <c r="CC321" s="93"/>
      <c r="CD321" s="93"/>
      <c r="CE321" s="93"/>
      <c r="CF321" s="93"/>
      <c r="CG321" s="93"/>
      <c r="CH321" s="93"/>
      <c r="CI321" s="93"/>
      <c r="CJ321" s="93"/>
      <c r="CK321" s="93"/>
      <c r="CL321" s="93"/>
      <c r="CM321" s="93"/>
      <c r="CN321" s="93"/>
      <c r="CO321" s="93"/>
      <c r="CP321" s="93"/>
      <c r="CQ321" s="93"/>
      <c r="CR321" s="93"/>
      <c r="CS321" s="93"/>
      <c r="CT321" s="93"/>
      <c r="CU321" s="93"/>
      <c r="CV321" s="93"/>
      <c r="CW321" s="93"/>
      <c r="CX321" s="93"/>
    </row>
    <row r="322" spans="1:102" ht="15" hidden="1" customHeight="1">
      <c r="A322" s="93"/>
      <c r="B322" s="93" t="e">
        <f>VLOOKUP($A322,  'Matriz POA 2024-TRABAJO'!$A$5:$CY$9142,29,FALSE)</f>
        <v>#N/A</v>
      </c>
      <c r="C322" s="93" t="e">
        <f>VLOOKUP($A322, 'Matriz POA 2024-TRABAJO'!$A$5:$CY$9142,11,FALSE)</f>
        <v>#N/A</v>
      </c>
      <c r="D322" s="93" t="e">
        <f>VLOOKUP($A322, 'Matriz POA 2024-TRABAJO'!$A$5:$CY$9142,14,FALSE)</f>
        <v>#N/A</v>
      </c>
      <c r="E322" s="93" t="e">
        <f>VLOOKUP($A322, 'Matriz POA 2024-TRABAJO'!$A$5:$CY$9142,15,FALSE)</f>
        <v>#N/A</v>
      </c>
      <c r="F322" s="93" t="e">
        <f>VLOOKUP($A322, 'Matriz POA 2024-TRABAJO'!$A$5:$CY$9142,18,FALSE)</f>
        <v>#N/A</v>
      </c>
      <c r="G322" s="93" t="e">
        <f>VLOOKUP($A322, 'Matriz POA 2024-TRABAJO'!$A$5:$CY$9142,23,FALSE)</f>
        <v>#N/A</v>
      </c>
      <c r="H322" s="93" t="e">
        <f>VLOOKUP($A322, 'Matriz POA 2024-TRABAJO'!$A$5:$CY$9142,24,FALSE)</f>
        <v>#N/A</v>
      </c>
      <c r="I322" s="93" t="e">
        <f>VLOOKUP($A322, 'Matriz POA 2024-TRABAJO'!$A$5:$CY$9142,20,FALSE)</f>
        <v>#N/A</v>
      </c>
      <c r="J322" s="93" t="e">
        <f>VLOOKUP($A322, 'Matriz POA 2024-TRABAJO'!$A$5:$CY$9142,26,FALSE)</f>
        <v>#N/A</v>
      </c>
      <c r="K322" s="93" t="e">
        <f>VLOOKUP($A322, 'Matriz POA 2024-TRABAJO'!$A$5:$CY$9142,27,FALSE)</f>
        <v>#N/A</v>
      </c>
      <c r="L322" s="93" t="e">
        <f>VLOOKUP($A322, 'Matriz POA 2024-TRABAJO'!$A$5:$CY$9142,28,FALSE)</f>
        <v>#N/A</v>
      </c>
      <c r="M322" s="93" t="e">
        <f>VLOOKUP($A322, 'Matriz POA 2024-TRABAJO'!$A$5:$CY$9142,30,FALSE)</f>
        <v>#N/A</v>
      </c>
      <c r="N322" s="93" t="e">
        <f>VLOOKUP($A322, 'Matriz POA 2024-TRABAJO'!$A$5:$CY$9142,31,FALSE)</f>
        <v>#N/A</v>
      </c>
      <c r="O322" s="93" t="e">
        <f>VLOOKUP($A322, 'Matriz POA 2024-TRABAJO'!$A$5:$CY$9142,45,FALSE)</f>
        <v>#N/A</v>
      </c>
      <c r="P322" s="93" t="e">
        <f>VLOOKUP($A322, 'Matriz POA 2024-TRABAJO'!$A$5:$CY$9142,46,FALSE)</f>
        <v>#N/A</v>
      </c>
      <c r="Q322" s="93" t="e">
        <f>VLOOKUP($A322, 'Matriz POA 2024-TRABAJO'!$A$5:$CY$9142,47,FALSE)</f>
        <v>#N/A</v>
      </c>
      <c r="R322" s="94">
        <f t="shared" si="217"/>
        <v>0</v>
      </c>
      <c r="S322" s="95" t="e">
        <f t="shared" si="218"/>
        <v>#N/A</v>
      </c>
      <c r="T322" s="93" t="e">
        <f>VLOOKUP($A322, 'Matriz POA 2024-TRABAJO'!$A$5:$CY$9142,72,FALSE)</f>
        <v>#N/A</v>
      </c>
      <c r="U322" s="93" t="e">
        <f>VLOOKUP($A322, 'Matriz POA 2024-TRABAJO'!$A$5:$CY$9142,29,FALSE)</f>
        <v>#N/A</v>
      </c>
      <c r="V322" s="93" t="str">
        <f t="shared" si="219"/>
        <v/>
      </c>
      <c r="W322" s="93"/>
      <c r="X322" s="93"/>
      <c r="Y322" s="93"/>
      <c r="Z322" s="93"/>
      <c r="AA322" s="93"/>
      <c r="AB322" s="93"/>
      <c r="AC322" s="93">
        <f t="shared" si="220"/>
        <v>0</v>
      </c>
      <c r="AD322" s="93"/>
      <c r="AE322" s="93"/>
      <c r="AF322" s="93"/>
      <c r="AG322" s="93"/>
      <c r="AH322" s="93"/>
      <c r="AI322" s="93"/>
      <c r="AJ322" s="93"/>
      <c r="AK322" s="93">
        <f t="shared" si="221"/>
        <v>0</v>
      </c>
      <c r="AL322" s="93"/>
      <c r="AM322" s="93"/>
      <c r="AN322" s="93"/>
      <c r="AO322" s="93"/>
      <c r="AP322" s="93"/>
      <c r="AQ322" s="93"/>
      <c r="AR322" s="93"/>
      <c r="AS322" s="93">
        <f t="shared" si="222"/>
        <v>0</v>
      </c>
      <c r="AT322" s="93"/>
      <c r="AU322" s="93"/>
      <c r="AV322" s="93"/>
      <c r="AW322" s="93"/>
      <c r="AX322" s="93"/>
      <c r="AY322" s="93"/>
      <c r="AZ322" s="93"/>
      <c r="BA322" s="93"/>
      <c r="BB322" s="93"/>
      <c r="BC322" s="93"/>
      <c r="BD322" s="93"/>
      <c r="BE322" s="93"/>
      <c r="BF322" s="93"/>
      <c r="BG322" s="93"/>
      <c r="BH322" s="93"/>
      <c r="BI322" s="93"/>
      <c r="BJ322" s="93"/>
      <c r="BK322" s="93"/>
      <c r="BL322" s="93"/>
      <c r="BM322" s="93"/>
      <c r="BN322" s="93"/>
      <c r="BO322" s="93"/>
      <c r="BP322" s="93"/>
      <c r="BQ322" s="93"/>
      <c r="BR322" s="93"/>
      <c r="BS322" s="93"/>
      <c r="BT322" s="93"/>
      <c r="BU322" s="93"/>
      <c r="BV322" s="93"/>
      <c r="BW322" s="93"/>
      <c r="BX322" s="93"/>
      <c r="BY322" s="93"/>
      <c r="BZ322" s="93"/>
      <c r="CA322" s="93"/>
      <c r="CB322" s="93"/>
      <c r="CC322" s="93"/>
      <c r="CD322" s="93"/>
      <c r="CE322" s="93"/>
      <c r="CF322" s="93"/>
      <c r="CG322" s="93"/>
      <c r="CH322" s="93"/>
      <c r="CI322" s="93"/>
      <c r="CJ322" s="93"/>
      <c r="CK322" s="93"/>
      <c r="CL322" s="93"/>
      <c r="CM322" s="93"/>
      <c r="CN322" s="93"/>
      <c r="CO322" s="93"/>
      <c r="CP322" s="93"/>
      <c r="CQ322" s="93"/>
      <c r="CR322" s="93"/>
      <c r="CS322" s="93"/>
      <c r="CT322" s="93"/>
      <c r="CU322" s="93"/>
      <c r="CV322" s="93"/>
      <c r="CW322" s="93"/>
      <c r="CX322" s="93"/>
    </row>
    <row r="323" spans="1:102" ht="15" hidden="1" customHeight="1">
      <c r="A323" s="93"/>
      <c r="B323" s="93" t="e">
        <f>VLOOKUP($A323,  'Matriz POA 2024-TRABAJO'!$A$5:$CY$9142,29,FALSE)</f>
        <v>#N/A</v>
      </c>
      <c r="C323" s="93" t="e">
        <f>VLOOKUP($A323, 'Matriz POA 2024-TRABAJO'!$A$5:$CY$9142,11,FALSE)</f>
        <v>#N/A</v>
      </c>
      <c r="D323" s="93" t="e">
        <f>VLOOKUP($A323, 'Matriz POA 2024-TRABAJO'!$A$5:$CY$9142,14,FALSE)</f>
        <v>#N/A</v>
      </c>
      <c r="E323" s="93" t="e">
        <f>VLOOKUP($A323, 'Matriz POA 2024-TRABAJO'!$A$5:$CY$9142,15,FALSE)</f>
        <v>#N/A</v>
      </c>
      <c r="F323" s="93" t="e">
        <f>VLOOKUP($A323, 'Matriz POA 2024-TRABAJO'!$A$5:$CY$9142,18,FALSE)</f>
        <v>#N/A</v>
      </c>
      <c r="G323" s="93" t="e">
        <f>VLOOKUP($A323, 'Matriz POA 2024-TRABAJO'!$A$5:$CY$9142,23,FALSE)</f>
        <v>#N/A</v>
      </c>
      <c r="H323" s="93" t="e">
        <f>VLOOKUP($A323, 'Matriz POA 2024-TRABAJO'!$A$5:$CY$9142,24,FALSE)</f>
        <v>#N/A</v>
      </c>
      <c r="I323" s="93" t="e">
        <f>VLOOKUP($A323, 'Matriz POA 2024-TRABAJO'!$A$5:$CY$9142,20,FALSE)</f>
        <v>#N/A</v>
      </c>
      <c r="J323" s="93" t="e">
        <f>VLOOKUP($A323, 'Matriz POA 2024-TRABAJO'!$A$5:$CY$9142,26,FALSE)</f>
        <v>#N/A</v>
      </c>
      <c r="K323" s="93" t="e">
        <f>VLOOKUP($A323, 'Matriz POA 2024-TRABAJO'!$A$5:$CY$9142,27,FALSE)</f>
        <v>#N/A</v>
      </c>
      <c r="L323" s="93" t="e">
        <f>VLOOKUP($A323, 'Matriz POA 2024-TRABAJO'!$A$5:$CY$9142,28,FALSE)</f>
        <v>#N/A</v>
      </c>
      <c r="M323" s="93" t="e">
        <f>VLOOKUP($A323, 'Matriz POA 2024-TRABAJO'!$A$5:$CY$9142,30,FALSE)</f>
        <v>#N/A</v>
      </c>
      <c r="N323" s="93" t="e">
        <f>VLOOKUP($A323, 'Matriz POA 2024-TRABAJO'!$A$5:$CY$9142,31,FALSE)</f>
        <v>#N/A</v>
      </c>
      <c r="O323" s="93" t="e">
        <f>VLOOKUP($A323, 'Matriz POA 2024-TRABAJO'!$A$5:$CY$9142,45,FALSE)</f>
        <v>#N/A</v>
      </c>
      <c r="P323" s="93" t="e">
        <f>VLOOKUP($A323, 'Matriz POA 2024-TRABAJO'!$A$5:$CY$9142,46,FALSE)</f>
        <v>#N/A</v>
      </c>
      <c r="Q323" s="93" t="e">
        <f>VLOOKUP($A323, 'Matriz POA 2024-TRABAJO'!$A$5:$CY$9142,47,FALSE)</f>
        <v>#N/A</v>
      </c>
      <c r="R323" s="94">
        <f t="shared" si="217"/>
        <v>0</v>
      </c>
      <c r="S323" s="95" t="e">
        <f t="shared" si="218"/>
        <v>#N/A</v>
      </c>
      <c r="T323" s="93" t="e">
        <f>VLOOKUP($A323, 'Matriz POA 2024-TRABAJO'!$A$5:$CY$9142,72,FALSE)</f>
        <v>#N/A</v>
      </c>
      <c r="U323" s="93" t="e">
        <f>VLOOKUP($A323, 'Matriz POA 2024-TRABAJO'!$A$5:$CY$9142,29,FALSE)</f>
        <v>#N/A</v>
      </c>
      <c r="V323" s="93" t="str">
        <f t="shared" si="219"/>
        <v/>
      </c>
      <c r="W323" s="93"/>
      <c r="X323" s="93"/>
      <c r="Y323" s="93"/>
      <c r="Z323" s="93"/>
      <c r="AA323" s="93"/>
      <c r="AB323" s="93"/>
      <c r="AC323" s="93">
        <f t="shared" si="220"/>
        <v>0</v>
      </c>
      <c r="AD323" s="93"/>
      <c r="AE323" s="93"/>
      <c r="AF323" s="93"/>
      <c r="AG323" s="93"/>
      <c r="AH323" s="93"/>
      <c r="AI323" s="93"/>
      <c r="AJ323" s="93"/>
      <c r="AK323" s="93">
        <f t="shared" si="221"/>
        <v>0</v>
      </c>
      <c r="AL323" s="93"/>
      <c r="AM323" s="93"/>
      <c r="AN323" s="93"/>
      <c r="AO323" s="93"/>
      <c r="AP323" s="93"/>
      <c r="AQ323" s="93"/>
      <c r="AR323" s="93"/>
      <c r="AS323" s="93">
        <f t="shared" si="222"/>
        <v>0</v>
      </c>
      <c r="AT323" s="93"/>
      <c r="AU323" s="93"/>
      <c r="AV323" s="93"/>
      <c r="AW323" s="93"/>
      <c r="AX323" s="93"/>
      <c r="AY323" s="93"/>
      <c r="AZ323" s="93"/>
      <c r="BA323" s="93"/>
      <c r="BB323" s="93"/>
      <c r="BC323" s="93"/>
      <c r="BD323" s="93"/>
      <c r="BE323" s="93"/>
      <c r="BF323" s="93"/>
      <c r="BG323" s="93"/>
      <c r="BH323" s="93"/>
      <c r="BI323" s="93"/>
      <c r="BJ323" s="93"/>
      <c r="BK323" s="93"/>
      <c r="BL323" s="93"/>
      <c r="BM323" s="93"/>
      <c r="BN323" s="93"/>
      <c r="BO323" s="93"/>
      <c r="BP323" s="93"/>
      <c r="BQ323" s="93"/>
      <c r="BR323" s="93"/>
      <c r="BS323" s="93"/>
      <c r="BT323" s="93"/>
      <c r="BU323" s="93"/>
      <c r="BV323" s="93"/>
      <c r="BW323" s="93"/>
      <c r="BX323" s="93"/>
      <c r="BY323" s="93"/>
      <c r="BZ323" s="93"/>
      <c r="CA323" s="93"/>
      <c r="CB323" s="93"/>
      <c r="CC323" s="93"/>
      <c r="CD323" s="93"/>
      <c r="CE323" s="93"/>
      <c r="CF323" s="93"/>
      <c r="CG323" s="93"/>
      <c r="CH323" s="93"/>
      <c r="CI323" s="93"/>
      <c r="CJ323" s="93"/>
      <c r="CK323" s="93"/>
      <c r="CL323" s="93"/>
      <c r="CM323" s="93"/>
      <c r="CN323" s="93"/>
      <c r="CO323" s="93"/>
      <c r="CP323" s="93"/>
      <c r="CQ323" s="93"/>
      <c r="CR323" s="93"/>
      <c r="CS323" s="93"/>
      <c r="CT323" s="93"/>
      <c r="CU323" s="93"/>
      <c r="CV323" s="93"/>
      <c r="CW323" s="93"/>
      <c r="CX323" s="93"/>
    </row>
    <row r="324" spans="1:102" ht="15" hidden="1" customHeight="1">
      <c r="A324" s="93"/>
      <c r="B324" s="93" t="e">
        <f>VLOOKUP($A324,  'Matriz POA 2024-TRABAJO'!$A$5:$CY$9142,29,FALSE)</f>
        <v>#N/A</v>
      </c>
      <c r="C324" s="93" t="e">
        <f>VLOOKUP($A324, 'Matriz POA 2024-TRABAJO'!$A$5:$CY$9142,11,FALSE)</f>
        <v>#N/A</v>
      </c>
      <c r="D324" s="93" t="e">
        <f>VLOOKUP($A324, 'Matriz POA 2024-TRABAJO'!$A$5:$CY$9142,14,FALSE)</f>
        <v>#N/A</v>
      </c>
      <c r="E324" s="93" t="e">
        <f>VLOOKUP($A324, 'Matriz POA 2024-TRABAJO'!$A$5:$CY$9142,15,FALSE)</f>
        <v>#N/A</v>
      </c>
      <c r="F324" s="93" t="e">
        <f>VLOOKUP($A324, 'Matriz POA 2024-TRABAJO'!$A$5:$CY$9142,18,FALSE)</f>
        <v>#N/A</v>
      </c>
      <c r="G324" s="93" t="e">
        <f>VLOOKUP($A324, 'Matriz POA 2024-TRABAJO'!$A$5:$CY$9142,23,FALSE)</f>
        <v>#N/A</v>
      </c>
      <c r="H324" s="93" t="e">
        <f>VLOOKUP($A324, 'Matriz POA 2024-TRABAJO'!$A$5:$CY$9142,24,FALSE)</f>
        <v>#N/A</v>
      </c>
      <c r="I324" s="93" t="e">
        <f>VLOOKUP($A324, 'Matriz POA 2024-TRABAJO'!$A$5:$CY$9142,20,FALSE)</f>
        <v>#N/A</v>
      </c>
      <c r="J324" s="93" t="e">
        <f>VLOOKUP($A324, 'Matriz POA 2024-TRABAJO'!$A$5:$CY$9142,26,FALSE)</f>
        <v>#N/A</v>
      </c>
      <c r="K324" s="93" t="e">
        <f>VLOOKUP($A324, 'Matriz POA 2024-TRABAJO'!$A$5:$CY$9142,27,FALSE)</f>
        <v>#N/A</v>
      </c>
      <c r="L324" s="93" t="e">
        <f>VLOOKUP($A324, 'Matriz POA 2024-TRABAJO'!$A$5:$CY$9142,28,FALSE)</f>
        <v>#N/A</v>
      </c>
      <c r="M324" s="93" t="e">
        <f>VLOOKUP($A324, 'Matriz POA 2024-TRABAJO'!$A$5:$CY$9142,30,FALSE)</f>
        <v>#N/A</v>
      </c>
      <c r="N324" s="93" t="e">
        <f>VLOOKUP($A324, 'Matriz POA 2024-TRABAJO'!$A$5:$CY$9142,31,FALSE)</f>
        <v>#N/A</v>
      </c>
      <c r="O324" s="93" t="e">
        <f>VLOOKUP($A324, 'Matriz POA 2024-TRABAJO'!$A$5:$CY$9142,45,FALSE)</f>
        <v>#N/A</v>
      </c>
      <c r="P324" s="93" t="e">
        <f>VLOOKUP($A324, 'Matriz POA 2024-TRABAJO'!$A$5:$CY$9142,46,FALSE)</f>
        <v>#N/A</v>
      </c>
      <c r="Q324" s="93" t="e">
        <f>VLOOKUP($A324, 'Matriz POA 2024-TRABAJO'!$A$5:$CY$9142,47,FALSE)</f>
        <v>#N/A</v>
      </c>
      <c r="R324" s="94">
        <f t="shared" si="217"/>
        <v>0</v>
      </c>
      <c r="S324" s="95" t="e">
        <f t="shared" si="218"/>
        <v>#N/A</v>
      </c>
      <c r="T324" s="93" t="e">
        <f>VLOOKUP($A324, 'Matriz POA 2024-TRABAJO'!$A$5:$CY$9142,72,FALSE)</f>
        <v>#N/A</v>
      </c>
      <c r="U324" s="93" t="e">
        <f>VLOOKUP($A324, 'Matriz POA 2024-TRABAJO'!$A$5:$CY$9142,29,FALSE)</f>
        <v>#N/A</v>
      </c>
      <c r="V324" s="93" t="str">
        <f t="shared" si="219"/>
        <v/>
      </c>
      <c r="W324" s="93"/>
      <c r="X324" s="93"/>
      <c r="Y324" s="93"/>
      <c r="Z324" s="93"/>
      <c r="AA324" s="93"/>
      <c r="AB324" s="93"/>
      <c r="AC324" s="93">
        <f t="shared" si="220"/>
        <v>0</v>
      </c>
      <c r="AD324" s="93"/>
      <c r="AE324" s="93"/>
      <c r="AF324" s="93"/>
      <c r="AG324" s="93"/>
      <c r="AH324" s="93"/>
      <c r="AI324" s="93"/>
      <c r="AJ324" s="93"/>
      <c r="AK324" s="93">
        <f t="shared" si="221"/>
        <v>0</v>
      </c>
      <c r="AL324" s="93"/>
      <c r="AM324" s="93"/>
      <c r="AN324" s="93"/>
      <c r="AO324" s="93"/>
      <c r="AP324" s="93"/>
      <c r="AQ324" s="93"/>
      <c r="AR324" s="93"/>
      <c r="AS324" s="93">
        <f t="shared" si="222"/>
        <v>0</v>
      </c>
      <c r="AT324" s="93"/>
      <c r="AU324" s="93"/>
      <c r="AV324" s="93"/>
      <c r="AW324" s="93"/>
      <c r="AX324" s="93"/>
      <c r="AY324" s="93"/>
      <c r="AZ324" s="93"/>
      <c r="BA324" s="93"/>
      <c r="BB324" s="93"/>
      <c r="BC324" s="93"/>
      <c r="BD324" s="93"/>
      <c r="BE324" s="93"/>
      <c r="BF324" s="93"/>
      <c r="BG324" s="93"/>
      <c r="BH324" s="93"/>
      <c r="BI324" s="93"/>
      <c r="BJ324" s="93"/>
      <c r="BK324" s="93"/>
      <c r="BL324" s="93"/>
      <c r="BM324" s="93"/>
      <c r="BN324" s="93"/>
      <c r="BO324" s="93"/>
      <c r="BP324" s="93"/>
      <c r="BQ324" s="93"/>
      <c r="BR324" s="93"/>
      <c r="BS324" s="93"/>
      <c r="BT324" s="93"/>
      <c r="BU324" s="93"/>
      <c r="BV324" s="93"/>
      <c r="BW324" s="93"/>
      <c r="BX324" s="93"/>
      <c r="BY324" s="93"/>
      <c r="BZ324" s="93"/>
      <c r="CA324" s="93"/>
      <c r="CB324" s="93"/>
      <c r="CC324" s="93"/>
      <c r="CD324" s="93"/>
      <c r="CE324" s="93"/>
      <c r="CF324" s="93"/>
      <c r="CG324" s="93"/>
      <c r="CH324" s="93"/>
      <c r="CI324" s="93"/>
      <c r="CJ324" s="93"/>
      <c r="CK324" s="93"/>
      <c r="CL324" s="93"/>
      <c r="CM324" s="93"/>
      <c r="CN324" s="93"/>
      <c r="CO324" s="93"/>
      <c r="CP324" s="93"/>
      <c r="CQ324" s="93"/>
      <c r="CR324" s="93"/>
      <c r="CS324" s="93"/>
      <c r="CT324" s="93"/>
      <c r="CU324" s="93"/>
      <c r="CV324" s="93"/>
      <c r="CW324" s="93"/>
      <c r="CX324" s="93"/>
    </row>
    <row r="325" spans="1:102" ht="15" hidden="1" customHeight="1">
      <c r="A325" s="93"/>
      <c r="B325" s="93" t="e">
        <f>VLOOKUP($A325,  'Matriz POA 2024-TRABAJO'!$A$5:$CY$9142,29,FALSE)</f>
        <v>#N/A</v>
      </c>
      <c r="C325" s="93" t="e">
        <f>VLOOKUP($A325, 'Matriz POA 2024-TRABAJO'!$A$5:$CY$9142,11,FALSE)</f>
        <v>#N/A</v>
      </c>
      <c r="D325" s="93" t="e">
        <f>VLOOKUP($A325, 'Matriz POA 2024-TRABAJO'!$A$5:$CY$9142,14,FALSE)</f>
        <v>#N/A</v>
      </c>
      <c r="E325" s="93" t="e">
        <f>VLOOKUP($A325, 'Matriz POA 2024-TRABAJO'!$A$5:$CY$9142,15,FALSE)</f>
        <v>#N/A</v>
      </c>
      <c r="F325" s="93" t="e">
        <f>VLOOKUP($A325, 'Matriz POA 2024-TRABAJO'!$A$5:$CY$9142,18,FALSE)</f>
        <v>#N/A</v>
      </c>
      <c r="G325" s="93" t="e">
        <f>VLOOKUP($A325, 'Matriz POA 2024-TRABAJO'!$A$5:$CY$9142,23,FALSE)</f>
        <v>#N/A</v>
      </c>
      <c r="H325" s="93" t="e">
        <f>VLOOKUP($A325, 'Matriz POA 2024-TRABAJO'!$A$5:$CY$9142,24,FALSE)</f>
        <v>#N/A</v>
      </c>
      <c r="I325" s="93" t="e">
        <f>VLOOKUP($A325, 'Matriz POA 2024-TRABAJO'!$A$5:$CY$9142,20,FALSE)</f>
        <v>#N/A</v>
      </c>
      <c r="J325" s="93" t="e">
        <f>VLOOKUP($A325, 'Matriz POA 2024-TRABAJO'!$A$5:$CY$9142,26,FALSE)</f>
        <v>#N/A</v>
      </c>
      <c r="K325" s="93" t="e">
        <f>VLOOKUP($A325, 'Matriz POA 2024-TRABAJO'!$A$5:$CY$9142,27,FALSE)</f>
        <v>#N/A</v>
      </c>
      <c r="L325" s="93" t="e">
        <f>VLOOKUP($A325, 'Matriz POA 2024-TRABAJO'!$A$5:$CY$9142,28,FALSE)</f>
        <v>#N/A</v>
      </c>
      <c r="M325" s="93" t="e">
        <f>VLOOKUP($A325, 'Matriz POA 2024-TRABAJO'!$A$5:$CY$9142,30,FALSE)</f>
        <v>#N/A</v>
      </c>
      <c r="N325" s="93" t="e">
        <f>VLOOKUP($A325, 'Matriz POA 2024-TRABAJO'!$A$5:$CY$9142,31,FALSE)</f>
        <v>#N/A</v>
      </c>
      <c r="O325" s="93" t="e">
        <f>VLOOKUP($A325, 'Matriz POA 2024-TRABAJO'!$A$5:$CY$9142,45,FALSE)</f>
        <v>#N/A</v>
      </c>
      <c r="P325" s="93" t="e">
        <f>VLOOKUP($A325, 'Matriz POA 2024-TRABAJO'!$A$5:$CY$9142,46,FALSE)</f>
        <v>#N/A</v>
      </c>
      <c r="Q325" s="93" t="e">
        <f>VLOOKUP($A325, 'Matriz POA 2024-TRABAJO'!$A$5:$CY$9142,47,FALSE)</f>
        <v>#N/A</v>
      </c>
      <c r="R325" s="94">
        <f t="shared" si="217"/>
        <v>0</v>
      </c>
      <c r="S325" s="95" t="e">
        <f t="shared" si="218"/>
        <v>#N/A</v>
      </c>
      <c r="T325" s="93" t="e">
        <f>VLOOKUP($A325, 'Matriz POA 2024-TRABAJO'!$A$5:$CY$9142,72,FALSE)</f>
        <v>#N/A</v>
      </c>
      <c r="U325" s="93" t="e">
        <f>VLOOKUP($A325, 'Matriz POA 2024-TRABAJO'!$A$5:$CY$9142,29,FALSE)</f>
        <v>#N/A</v>
      </c>
      <c r="V325" s="93" t="str">
        <f t="shared" si="219"/>
        <v/>
      </c>
      <c r="W325" s="93"/>
      <c r="X325" s="93"/>
      <c r="Y325" s="93"/>
      <c r="Z325" s="93"/>
      <c r="AA325" s="93"/>
      <c r="AB325" s="93"/>
      <c r="AC325" s="93">
        <f t="shared" si="220"/>
        <v>0</v>
      </c>
      <c r="AD325" s="93"/>
      <c r="AE325" s="93"/>
      <c r="AF325" s="93"/>
      <c r="AG325" s="93"/>
      <c r="AH325" s="93"/>
      <c r="AI325" s="93"/>
      <c r="AJ325" s="93"/>
      <c r="AK325" s="93">
        <f t="shared" si="221"/>
        <v>0</v>
      </c>
      <c r="AL325" s="93"/>
      <c r="AM325" s="93"/>
      <c r="AN325" s="93"/>
      <c r="AO325" s="93"/>
      <c r="AP325" s="93"/>
      <c r="AQ325" s="93"/>
      <c r="AR325" s="93"/>
      <c r="AS325" s="93">
        <f t="shared" si="222"/>
        <v>0</v>
      </c>
      <c r="AT325" s="93"/>
      <c r="AU325" s="93"/>
      <c r="AV325" s="93"/>
      <c r="AW325" s="93"/>
      <c r="AX325" s="93"/>
      <c r="AY325" s="93"/>
      <c r="AZ325" s="93"/>
      <c r="BA325" s="93"/>
      <c r="BB325" s="93"/>
      <c r="BC325" s="93"/>
      <c r="BD325" s="93"/>
      <c r="BE325" s="93"/>
      <c r="BF325" s="93"/>
      <c r="BG325" s="93"/>
      <c r="BH325" s="93"/>
      <c r="BI325" s="93"/>
      <c r="BJ325" s="93"/>
      <c r="BK325" s="93"/>
      <c r="BL325" s="93"/>
      <c r="BM325" s="93"/>
      <c r="BN325" s="93"/>
      <c r="BO325" s="93"/>
      <c r="BP325" s="93"/>
      <c r="BQ325" s="93"/>
      <c r="BR325" s="93"/>
      <c r="BS325" s="93"/>
      <c r="BT325" s="93"/>
      <c r="BU325" s="93"/>
      <c r="BV325" s="93"/>
      <c r="BW325" s="93"/>
      <c r="BX325" s="93"/>
      <c r="BY325" s="93"/>
      <c r="BZ325" s="93"/>
      <c r="CA325" s="93"/>
      <c r="CB325" s="93"/>
      <c r="CC325" s="93"/>
      <c r="CD325" s="93"/>
      <c r="CE325" s="93"/>
      <c r="CF325" s="93"/>
      <c r="CG325" s="93"/>
      <c r="CH325" s="93"/>
      <c r="CI325" s="93"/>
      <c r="CJ325" s="93"/>
      <c r="CK325" s="93"/>
      <c r="CL325" s="93"/>
      <c r="CM325" s="93"/>
      <c r="CN325" s="93"/>
      <c r="CO325" s="93"/>
      <c r="CP325" s="93"/>
      <c r="CQ325" s="93"/>
      <c r="CR325" s="93"/>
      <c r="CS325" s="93"/>
      <c r="CT325" s="93"/>
      <c r="CU325" s="93"/>
      <c r="CV325" s="93"/>
      <c r="CW325" s="93"/>
      <c r="CX325" s="93"/>
    </row>
    <row r="326" spans="1:102" ht="15" hidden="1" customHeight="1">
      <c r="A326" s="93"/>
      <c r="B326" s="93" t="e">
        <f>VLOOKUP($A326,  'Matriz POA 2024-TRABAJO'!$A$5:$CY$9142,29,FALSE)</f>
        <v>#N/A</v>
      </c>
      <c r="C326" s="93" t="e">
        <f>VLOOKUP($A326, 'Matriz POA 2024-TRABAJO'!$A$5:$CY$9142,11,FALSE)</f>
        <v>#N/A</v>
      </c>
      <c r="D326" s="93" t="e">
        <f>VLOOKUP($A326, 'Matriz POA 2024-TRABAJO'!$A$5:$CY$9142,14,FALSE)</f>
        <v>#N/A</v>
      </c>
      <c r="E326" s="93" t="e">
        <f>VLOOKUP($A326, 'Matriz POA 2024-TRABAJO'!$A$5:$CY$9142,15,FALSE)</f>
        <v>#N/A</v>
      </c>
      <c r="F326" s="93" t="e">
        <f>VLOOKUP($A326, 'Matriz POA 2024-TRABAJO'!$A$5:$CY$9142,18,FALSE)</f>
        <v>#N/A</v>
      </c>
      <c r="G326" s="93" t="e">
        <f>VLOOKUP($A326, 'Matriz POA 2024-TRABAJO'!$A$5:$CY$9142,23,FALSE)</f>
        <v>#N/A</v>
      </c>
      <c r="H326" s="93" t="e">
        <f>VLOOKUP($A326, 'Matriz POA 2024-TRABAJO'!$A$5:$CY$9142,24,FALSE)</f>
        <v>#N/A</v>
      </c>
      <c r="I326" s="93" t="e">
        <f>VLOOKUP($A326, 'Matriz POA 2024-TRABAJO'!$A$5:$CY$9142,20,FALSE)</f>
        <v>#N/A</v>
      </c>
      <c r="J326" s="93" t="e">
        <f>VLOOKUP($A326, 'Matriz POA 2024-TRABAJO'!$A$5:$CY$9142,26,FALSE)</f>
        <v>#N/A</v>
      </c>
      <c r="K326" s="93" t="e">
        <f>VLOOKUP($A326, 'Matriz POA 2024-TRABAJO'!$A$5:$CY$9142,27,FALSE)</f>
        <v>#N/A</v>
      </c>
      <c r="L326" s="93" t="e">
        <f>VLOOKUP($A326, 'Matriz POA 2024-TRABAJO'!$A$5:$CY$9142,28,FALSE)</f>
        <v>#N/A</v>
      </c>
      <c r="M326" s="93" t="e">
        <f>VLOOKUP($A326, 'Matriz POA 2024-TRABAJO'!$A$5:$CY$9142,30,FALSE)</f>
        <v>#N/A</v>
      </c>
      <c r="N326" s="93" t="e">
        <f>VLOOKUP($A326, 'Matriz POA 2024-TRABAJO'!$A$5:$CY$9142,31,FALSE)</f>
        <v>#N/A</v>
      </c>
      <c r="O326" s="93" t="e">
        <f>VLOOKUP($A326, 'Matriz POA 2024-TRABAJO'!$A$5:$CY$9142,45,FALSE)</f>
        <v>#N/A</v>
      </c>
      <c r="P326" s="93" t="e">
        <f>VLOOKUP($A326, 'Matriz POA 2024-TRABAJO'!$A$5:$CY$9142,46,FALSE)</f>
        <v>#N/A</v>
      </c>
      <c r="Q326" s="93" t="e">
        <f>VLOOKUP($A326, 'Matriz POA 2024-TRABAJO'!$A$5:$CY$9142,47,FALSE)</f>
        <v>#N/A</v>
      </c>
      <c r="R326" s="94">
        <f t="shared" si="217"/>
        <v>0</v>
      </c>
      <c r="S326" s="95" t="e">
        <f t="shared" si="218"/>
        <v>#N/A</v>
      </c>
      <c r="T326" s="93" t="e">
        <f>VLOOKUP($A326, 'Matriz POA 2024-TRABAJO'!$A$5:$CY$9142,72,FALSE)</f>
        <v>#N/A</v>
      </c>
      <c r="U326" s="93" t="e">
        <f>VLOOKUP($A326, 'Matriz POA 2024-TRABAJO'!$A$5:$CY$9142,29,FALSE)</f>
        <v>#N/A</v>
      </c>
      <c r="V326" s="93" t="str">
        <f t="shared" si="219"/>
        <v/>
      </c>
      <c r="W326" s="93"/>
      <c r="X326" s="93"/>
      <c r="Y326" s="93"/>
      <c r="Z326" s="93"/>
      <c r="AA326" s="93"/>
      <c r="AB326" s="93"/>
      <c r="AC326" s="93">
        <f t="shared" si="220"/>
        <v>0</v>
      </c>
      <c r="AD326" s="93"/>
      <c r="AE326" s="93"/>
      <c r="AF326" s="93"/>
      <c r="AG326" s="93"/>
      <c r="AH326" s="93"/>
      <c r="AI326" s="93"/>
      <c r="AJ326" s="93"/>
      <c r="AK326" s="93">
        <f t="shared" si="221"/>
        <v>0</v>
      </c>
      <c r="AL326" s="93"/>
      <c r="AM326" s="93"/>
      <c r="AN326" s="93"/>
      <c r="AO326" s="93"/>
      <c r="AP326" s="93"/>
      <c r="AQ326" s="93"/>
      <c r="AR326" s="93"/>
      <c r="AS326" s="93">
        <f t="shared" si="222"/>
        <v>0</v>
      </c>
      <c r="AT326" s="93"/>
      <c r="AU326" s="93"/>
      <c r="AV326" s="93"/>
      <c r="AW326" s="93"/>
      <c r="AX326" s="93"/>
      <c r="AY326" s="93"/>
      <c r="AZ326" s="93"/>
      <c r="BA326" s="93"/>
      <c r="BB326" s="93"/>
      <c r="BC326" s="93"/>
      <c r="BD326" s="93"/>
      <c r="BE326" s="93"/>
      <c r="BF326" s="93"/>
      <c r="BG326" s="93"/>
      <c r="BH326" s="93"/>
      <c r="BI326" s="93"/>
      <c r="BJ326" s="93"/>
      <c r="BK326" s="93"/>
      <c r="BL326" s="93"/>
      <c r="BM326" s="93"/>
      <c r="BN326" s="93"/>
      <c r="BO326" s="93"/>
      <c r="BP326" s="93"/>
      <c r="BQ326" s="93"/>
      <c r="BR326" s="93"/>
      <c r="BS326" s="93"/>
      <c r="BT326" s="93"/>
      <c r="BU326" s="93"/>
      <c r="BV326" s="93"/>
      <c r="BW326" s="93"/>
      <c r="BX326" s="93"/>
      <c r="BY326" s="93"/>
      <c r="BZ326" s="93"/>
      <c r="CA326" s="93"/>
      <c r="CB326" s="93"/>
      <c r="CC326" s="93"/>
      <c r="CD326" s="93"/>
      <c r="CE326" s="93"/>
      <c r="CF326" s="93"/>
      <c r="CG326" s="93"/>
      <c r="CH326" s="93"/>
      <c r="CI326" s="93"/>
      <c r="CJ326" s="93"/>
      <c r="CK326" s="93"/>
      <c r="CL326" s="93"/>
      <c r="CM326" s="93"/>
      <c r="CN326" s="93"/>
      <c r="CO326" s="93"/>
      <c r="CP326" s="93"/>
      <c r="CQ326" s="93"/>
      <c r="CR326" s="93"/>
      <c r="CS326" s="93"/>
      <c r="CT326" s="93"/>
      <c r="CU326" s="93"/>
      <c r="CV326" s="93"/>
      <c r="CW326" s="93"/>
      <c r="CX326" s="93"/>
    </row>
    <row r="327" spans="1:102" ht="15" hidden="1" customHeight="1">
      <c r="A327" s="93"/>
      <c r="B327" s="93" t="e">
        <f>VLOOKUP($A327,  'Matriz POA 2024-TRABAJO'!$A$5:$CY$9142,29,FALSE)</f>
        <v>#N/A</v>
      </c>
      <c r="C327" s="93" t="e">
        <f>VLOOKUP($A327, 'Matriz POA 2024-TRABAJO'!$A$5:$CY$9142,11,FALSE)</f>
        <v>#N/A</v>
      </c>
      <c r="D327" s="93" t="e">
        <f>VLOOKUP($A327, 'Matriz POA 2024-TRABAJO'!$A$5:$CY$9142,14,FALSE)</f>
        <v>#N/A</v>
      </c>
      <c r="E327" s="93" t="e">
        <f>VLOOKUP($A327, 'Matriz POA 2024-TRABAJO'!$A$5:$CY$9142,15,FALSE)</f>
        <v>#N/A</v>
      </c>
      <c r="F327" s="93" t="e">
        <f>VLOOKUP($A327, 'Matriz POA 2024-TRABAJO'!$A$5:$CY$9142,18,FALSE)</f>
        <v>#N/A</v>
      </c>
      <c r="G327" s="93" t="e">
        <f>VLOOKUP($A327, 'Matriz POA 2024-TRABAJO'!$A$5:$CY$9142,23,FALSE)</f>
        <v>#N/A</v>
      </c>
      <c r="H327" s="93" t="e">
        <f>VLOOKUP($A327, 'Matriz POA 2024-TRABAJO'!$A$5:$CY$9142,24,FALSE)</f>
        <v>#N/A</v>
      </c>
      <c r="I327" s="93" t="e">
        <f>VLOOKUP($A327, 'Matriz POA 2024-TRABAJO'!$A$5:$CY$9142,20,FALSE)</f>
        <v>#N/A</v>
      </c>
      <c r="J327" s="93" t="e">
        <f>VLOOKUP($A327, 'Matriz POA 2024-TRABAJO'!$A$5:$CY$9142,26,FALSE)</f>
        <v>#N/A</v>
      </c>
      <c r="K327" s="93" t="e">
        <f>VLOOKUP($A327, 'Matriz POA 2024-TRABAJO'!$A$5:$CY$9142,27,FALSE)</f>
        <v>#N/A</v>
      </c>
      <c r="L327" s="93" t="e">
        <f>VLOOKUP($A327, 'Matriz POA 2024-TRABAJO'!$A$5:$CY$9142,28,FALSE)</f>
        <v>#N/A</v>
      </c>
      <c r="M327" s="93" t="e">
        <f>VLOOKUP($A327, 'Matriz POA 2024-TRABAJO'!$A$5:$CY$9142,30,FALSE)</f>
        <v>#N/A</v>
      </c>
      <c r="N327" s="93" t="e">
        <f>VLOOKUP($A327, 'Matriz POA 2024-TRABAJO'!$A$5:$CY$9142,31,FALSE)</f>
        <v>#N/A</v>
      </c>
      <c r="O327" s="93" t="e">
        <f>VLOOKUP($A327, 'Matriz POA 2024-TRABAJO'!$A$5:$CY$9142,45,FALSE)</f>
        <v>#N/A</v>
      </c>
      <c r="P327" s="93" t="e">
        <f>VLOOKUP($A327, 'Matriz POA 2024-TRABAJO'!$A$5:$CY$9142,46,FALSE)</f>
        <v>#N/A</v>
      </c>
      <c r="Q327" s="93" t="e">
        <f>VLOOKUP($A327, 'Matriz POA 2024-TRABAJO'!$A$5:$CY$9142,47,FALSE)</f>
        <v>#N/A</v>
      </c>
      <c r="R327" s="94">
        <f t="shared" si="217"/>
        <v>0</v>
      </c>
      <c r="S327" s="95" t="e">
        <f t="shared" si="218"/>
        <v>#N/A</v>
      </c>
      <c r="T327" s="93" t="e">
        <f>VLOOKUP($A327, 'Matriz POA 2024-TRABAJO'!$A$5:$CY$9142,72,FALSE)</f>
        <v>#N/A</v>
      </c>
      <c r="U327" s="93" t="e">
        <f>VLOOKUP($A327, 'Matriz POA 2024-TRABAJO'!$A$5:$CY$9142,29,FALSE)</f>
        <v>#N/A</v>
      </c>
      <c r="V327" s="93" t="str">
        <f t="shared" si="219"/>
        <v/>
      </c>
      <c r="W327" s="93"/>
      <c r="X327" s="93"/>
      <c r="Y327" s="93"/>
      <c r="Z327" s="93"/>
      <c r="AA327" s="93"/>
      <c r="AB327" s="93"/>
      <c r="AC327" s="93">
        <f t="shared" si="220"/>
        <v>0</v>
      </c>
      <c r="AD327" s="93"/>
      <c r="AE327" s="93"/>
      <c r="AF327" s="93"/>
      <c r="AG327" s="93"/>
      <c r="AH327" s="93"/>
      <c r="AI327" s="93"/>
      <c r="AJ327" s="93"/>
      <c r="AK327" s="93">
        <f t="shared" si="221"/>
        <v>0</v>
      </c>
      <c r="AL327" s="93"/>
      <c r="AM327" s="93"/>
      <c r="AN327" s="93"/>
      <c r="AO327" s="93"/>
      <c r="AP327" s="93"/>
      <c r="AQ327" s="93"/>
      <c r="AR327" s="93"/>
      <c r="AS327" s="93">
        <f t="shared" si="222"/>
        <v>0</v>
      </c>
      <c r="AT327" s="93"/>
      <c r="AU327" s="93"/>
      <c r="AV327" s="93"/>
      <c r="AW327" s="93"/>
      <c r="AX327" s="93"/>
      <c r="AY327" s="93"/>
      <c r="AZ327" s="93"/>
      <c r="BA327" s="93"/>
      <c r="BB327" s="93"/>
      <c r="BC327" s="93"/>
      <c r="BD327" s="93"/>
      <c r="BE327" s="93"/>
      <c r="BF327" s="93"/>
      <c r="BG327" s="93"/>
      <c r="BH327" s="93"/>
      <c r="BI327" s="93"/>
      <c r="BJ327" s="93"/>
      <c r="BK327" s="93"/>
      <c r="BL327" s="93"/>
      <c r="BM327" s="93"/>
      <c r="BN327" s="93"/>
      <c r="BO327" s="93"/>
      <c r="BP327" s="93"/>
      <c r="BQ327" s="93"/>
      <c r="BR327" s="93"/>
      <c r="BS327" s="93"/>
      <c r="BT327" s="93"/>
      <c r="BU327" s="93"/>
      <c r="BV327" s="93"/>
      <c r="BW327" s="93"/>
      <c r="BX327" s="93"/>
      <c r="BY327" s="93"/>
      <c r="BZ327" s="93"/>
      <c r="CA327" s="93"/>
      <c r="CB327" s="93"/>
      <c r="CC327" s="93"/>
      <c r="CD327" s="93"/>
      <c r="CE327" s="93"/>
      <c r="CF327" s="93"/>
      <c r="CG327" s="93"/>
      <c r="CH327" s="93"/>
      <c r="CI327" s="93"/>
      <c r="CJ327" s="93"/>
      <c r="CK327" s="93"/>
      <c r="CL327" s="93"/>
      <c r="CM327" s="93"/>
      <c r="CN327" s="93"/>
      <c r="CO327" s="93"/>
      <c r="CP327" s="93"/>
      <c r="CQ327" s="93"/>
      <c r="CR327" s="93"/>
      <c r="CS327" s="93"/>
      <c r="CT327" s="93"/>
      <c r="CU327" s="93"/>
      <c r="CV327" s="93"/>
      <c r="CW327" s="93"/>
      <c r="CX327" s="93"/>
    </row>
    <row r="328" spans="1:102" ht="15" hidden="1" customHeight="1">
      <c r="A328" s="93"/>
      <c r="B328" s="93" t="e">
        <f>VLOOKUP($A328,  'Matriz POA 2024-TRABAJO'!$A$5:$CY$9142,29,FALSE)</f>
        <v>#N/A</v>
      </c>
      <c r="C328" s="93" t="e">
        <f>VLOOKUP($A328, 'Matriz POA 2024-TRABAJO'!$A$5:$CY$9142,11,FALSE)</f>
        <v>#N/A</v>
      </c>
      <c r="D328" s="93" t="e">
        <f>VLOOKUP($A328, 'Matriz POA 2024-TRABAJO'!$A$5:$CY$9142,14,FALSE)</f>
        <v>#N/A</v>
      </c>
      <c r="E328" s="93" t="e">
        <f>VLOOKUP($A328, 'Matriz POA 2024-TRABAJO'!$A$5:$CY$9142,15,FALSE)</f>
        <v>#N/A</v>
      </c>
      <c r="F328" s="93" t="e">
        <f>VLOOKUP($A328, 'Matriz POA 2024-TRABAJO'!$A$5:$CY$9142,18,FALSE)</f>
        <v>#N/A</v>
      </c>
      <c r="G328" s="93" t="e">
        <f>VLOOKUP($A328, 'Matriz POA 2024-TRABAJO'!$A$5:$CY$9142,23,FALSE)</f>
        <v>#N/A</v>
      </c>
      <c r="H328" s="93" t="e">
        <f>VLOOKUP($A328, 'Matriz POA 2024-TRABAJO'!$A$5:$CY$9142,24,FALSE)</f>
        <v>#N/A</v>
      </c>
      <c r="I328" s="93" t="e">
        <f>VLOOKUP($A328, 'Matriz POA 2024-TRABAJO'!$A$5:$CY$9142,20,FALSE)</f>
        <v>#N/A</v>
      </c>
      <c r="J328" s="93" t="e">
        <f>VLOOKUP($A328, 'Matriz POA 2024-TRABAJO'!$A$5:$CY$9142,26,FALSE)</f>
        <v>#N/A</v>
      </c>
      <c r="K328" s="93" t="e">
        <f>VLOOKUP($A328, 'Matriz POA 2024-TRABAJO'!$A$5:$CY$9142,27,FALSE)</f>
        <v>#N/A</v>
      </c>
      <c r="L328" s="93" t="e">
        <f>VLOOKUP($A328, 'Matriz POA 2024-TRABAJO'!$A$5:$CY$9142,28,FALSE)</f>
        <v>#N/A</v>
      </c>
      <c r="M328" s="93" t="e">
        <f>VLOOKUP($A328, 'Matriz POA 2024-TRABAJO'!$A$5:$CY$9142,30,FALSE)</f>
        <v>#N/A</v>
      </c>
      <c r="N328" s="93" t="e">
        <f>VLOOKUP($A328, 'Matriz POA 2024-TRABAJO'!$A$5:$CY$9142,31,FALSE)</f>
        <v>#N/A</v>
      </c>
      <c r="O328" s="93" t="e">
        <f>VLOOKUP($A328, 'Matriz POA 2024-TRABAJO'!$A$5:$CY$9142,45,FALSE)</f>
        <v>#N/A</v>
      </c>
      <c r="P328" s="93" t="e">
        <f>VLOOKUP($A328, 'Matriz POA 2024-TRABAJO'!$A$5:$CY$9142,46,FALSE)</f>
        <v>#N/A</v>
      </c>
      <c r="Q328" s="93" t="e">
        <f>VLOOKUP($A328, 'Matriz POA 2024-TRABAJO'!$A$5:$CY$9142,47,FALSE)</f>
        <v>#N/A</v>
      </c>
      <c r="R328" s="94">
        <f t="shared" si="217"/>
        <v>0</v>
      </c>
      <c r="S328" s="95" t="e">
        <f t="shared" si="218"/>
        <v>#N/A</v>
      </c>
      <c r="T328" s="93" t="e">
        <f>VLOOKUP($A328, 'Matriz POA 2024-TRABAJO'!$A$5:$CY$9142,72,FALSE)</f>
        <v>#N/A</v>
      </c>
      <c r="U328" s="93" t="e">
        <f>VLOOKUP($A328, 'Matriz POA 2024-TRABAJO'!$A$5:$CY$9142,29,FALSE)</f>
        <v>#N/A</v>
      </c>
      <c r="V328" s="93" t="str">
        <f t="shared" si="219"/>
        <v/>
      </c>
      <c r="W328" s="93"/>
      <c r="X328" s="93"/>
      <c r="Y328" s="93"/>
      <c r="Z328" s="93"/>
      <c r="AA328" s="93"/>
      <c r="AB328" s="93"/>
      <c r="AC328" s="93">
        <f t="shared" si="220"/>
        <v>0</v>
      </c>
      <c r="AD328" s="93"/>
      <c r="AE328" s="93"/>
      <c r="AF328" s="93"/>
      <c r="AG328" s="93"/>
      <c r="AH328" s="93"/>
      <c r="AI328" s="93"/>
      <c r="AJ328" s="93"/>
      <c r="AK328" s="93">
        <f t="shared" si="221"/>
        <v>0</v>
      </c>
      <c r="AL328" s="93"/>
      <c r="AM328" s="93"/>
      <c r="AN328" s="93"/>
      <c r="AO328" s="93"/>
      <c r="AP328" s="93"/>
      <c r="AQ328" s="93"/>
      <c r="AR328" s="93"/>
      <c r="AS328" s="93">
        <f t="shared" si="222"/>
        <v>0</v>
      </c>
      <c r="AT328" s="93"/>
      <c r="AU328" s="93"/>
      <c r="AV328" s="93"/>
      <c r="AW328" s="93"/>
      <c r="AX328" s="93"/>
      <c r="AY328" s="93"/>
      <c r="AZ328" s="93"/>
      <c r="BA328" s="93"/>
      <c r="BB328" s="93"/>
      <c r="BC328" s="93"/>
      <c r="BD328" s="93"/>
      <c r="BE328" s="93"/>
      <c r="BF328" s="93"/>
      <c r="BG328" s="93"/>
      <c r="BH328" s="93"/>
      <c r="BI328" s="93"/>
      <c r="BJ328" s="93"/>
      <c r="BK328" s="93"/>
      <c r="BL328" s="93"/>
      <c r="BM328" s="93"/>
      <c r="BN328" s="93"/>
      <c r="BO328" s="93"/>
      <c r="BP328" s="93"/>
      <c r="BQ328" s="93"/>
      <c r="BR328" s="93"/>
      <c r="BS328" s="93"/>
      <c r="BT328" s="93"/>
      <c r="BU328" s="93"/>
      <c r="BV328" s="93"/>
      <c r="BW328" s="93"/>
      <c r="BX328" s="93"/>
      <c r="BY328" s="93"/>
      <c r="BZ328" s="93"/>
      <c r="CA328" s="93"/>
      <c r="CB328" s="93"/>
      <c r="CC328" s="93"/>
      <c r="CD328" s="93"/>
      <c r="CE328" s="93"/>
      <c r="CF328" s="93"/>
      <c r="CG328" s="93"/>
      <c r="CH328" s="93"/>
      <c r="CI328" s="93"/>
      <c r="CJ328" s="93"/>
      <c r="CK328" s="93"/>
      <c r="CL328" s="93"/>
      <c r="CM328" s="93"/>
      <c r="CN328" s="93"/>
      <c r="CO328" s="93"/>
      <c r="CP328" s="93"/>
      <c r="CQ328" s="93"/>
      <c r="CR328" s="93"/>
      <c r="CS328" s="93"/>
      <c r="CT328" s="93"/>
      <c r="CU328" s="93"/>
      <c r="CV328" s="93"/>
      <c r="CW328" s="93"/>
      <c r="CX328" s="93"/>
    </row>
    <row r="329" spans="1:102" ht="15" hidden="1" customHeight="1">
      <c r="A329" s="93"/>
      <c r="B329" s="93" t="e">
        <f>VLOOKUP($A329,  'Matriz POA 2024-TRABAJO'!$A$5:$CY$9142,29,FALSE)</f>
        <v>#N/A</v>
      </c>
      <c r="C329" s="93" t="e">
        <f>VLOOKUP($A329, 'Matriz POA 2024-TRABAJO'!$A$5:$CY$9142,11,FALSE)</f>
        <v>#N/A</v>
      </c>
      <c r="D329" s="93" t="e">
        <f>VLOOKUP($A329, 'Matriz POA 2024-TRABAJO'!$A$5:$CY$9142,14,FALSE)</f>
        <v>#N/A</v>
      </c>
      <c r="E329" s="93" t="e">
        <f>VLOOKUP($A329, 'Matriz POA 2024-TRABAJO'!$A$5:$CY$9142,15,FALSE)</f>
        <v>#N/A</v>
      </c>
      <c r="F329" s="93" t="e">
        <f>VLOOKUP($A329, 'Matriz POA 2024-TRABAJO'!$A$5:$CY$9142,18,FALSE)</f>
        <v>#N/A</v>
      </c>
      <c r="G329" s="93" t="e">
        <f>VLOOKUP($A329, 'Matriz POA 2024-TRABAJO'!$A$5:$CY$9142,23,FALSE)</f>
        <v>#N/A</v>
      </c>
      <c r="H329" s="93" t="e">
        <f>VLOOKUP($A329, 'Matriz POA 2024-TRABAJO'!$A$5:$CY$9142,24,FALSE)</f>
        <v>#N/A</v>
      </c>
      <c r="I329" s="93" t="e">
        <f>VLOOKUP($A329, 'Matriz POA 2024-TRABAJO'!$A$5:$CY$9142,20,FALSE)</f>
        <v>#N/A</v>
      </c>
      <c r="J329" s="93" t="e">
        <f>VLOOKUP($A329, 'Matriz POA 2024-TRABAJO'!$A$5:$CY$9142,26,FALSE)</f>
        <v>#N/A</v>
      </c>
      <c r="K329" s="93" t="e">
        <f>VLOOKUP($A329, 'Matriz POA 2024-TRABAJO'!$A$5:$CY$9142,27,FALSE)</f>
        <v>#N/A</v>
      </c>
      <c r="L329" s="93" t="e">
        <f>VLOOKUP($A329, 'Matriz POA 2024-TRABAJO'!$A$5:$CY$9142,28,FALSE)</f>
        <v>#N/A</v>
      </c>
      <c r="M329" s="93" t="e">
        <f>VLOOKUP($A329, 'Matriz POA 2024-TRABAJO'!$A$5:$CY$9142,30,FALSE)</f>
        <v>#N/A</v>
      </c>
      <c r="N329" s="93" t="e">
        <f>VLOOKUP($A329, 'Matriz POA 2024-TRABAJO'!$A$5:$CY$9142,31,FALSE)</f>
        <v>#N/A</v>
      </c>
      <c r="O329" s="93" t="e">
        <f>VLOOKUP($A329, 'Matriz POA 2024-TRABAJO'!$A$5:$CY$9142,45,FALSE)</f>
        <v>#N/A</v>
      </c>
      <c r="P329" s="93" t="e">
        <f>VLOOKUP($A329, 'Matriz POA 2024-TRABAJO'!$A$5:$CY$9142,46,FALSE)</f>
        <v>#N/A</v>
      </c>
      <c r="Q329" s="93" t="e">
        <f>VLOOKUP($A329, 'Matriz POA 2024-TRABAJO'!$A$5:$CY$9142,47,FALSE)</f>
        <v>#N/A</v>
      </c>
      <c r="R329" s="94">
        <f t="shared" si="217"/>
        <v>0</v>
      </c>
      <c r="S329" s="95" t="e">
        <f t="shared" si="218"/>
        <v>#N/A</v>
      </c>
      <c r="T329" s="93" t="e">
        <f>VLOOKUP($A329, 'Matriz POA 2024-TRABAJO'!$A$5:$CY$9142,72,FALSE)</f>
        <v>#N/A</v>
      </c>
      <c r="U329" s="93" t="e">
        <f>VLOOKUP($A329, 'Matriz POA 2024-TRABAJO'!$A$5:$CY$9142,29,FALSE)</f>
        <v>#N/A</v>
      </c>
      <c r="V329" s="93" t="str">
        <f t="shared" si="219"/>
        <v/>
      </c>
      <c r="W329" s="93"/>
      <c r="X329" s="93"/>
      <c r="Y329" s="93"/>
      <c r="Z329" s="93"/>
      <c r="AA329" s="93"/>
      <c r="AB329" s="93"/>
      <c r="AC329" s="93">
        <f t="shared" si="220"/>
        <v>0</v>
      </c>
      <c r="AD329" s="93"/>
      <c r="AE329" s="93"/>
      <c r="AF329" s="93"/>
      <c r="AG329" s="93"/>
      <c r="AH329" s="93"/>
      <c r="AI329" s="93"/>
      <c r="AJ329" s="93"/>
      <c r="AK329" s="93">
        <f t="shared" si="221"/>
        <v>0</v>
      </c>
      <c r="AL329" s="93"/>
      <c r="AM329" s="93"/>
      <c r="AN329" s="93"/>
      <c r="AO329" s="93"/>
      <c r="AP329" s="93"/>
      <c r="AQ329" s="93"/>
      <c r="AR329" s="93"/>
      <c r="AS329" s="93">
        <f t="shared" si="222"/>
        <v>0</v>
      </c>
      <c r="AT329" s="93"/>
      <c r="AU329" s="93"/>
      <c r="AV329" s="93"/>
      <c r="AW329" s="93"/>
      <c r="AX329" s="93"/>
      <c r="AY329" s="93"/>
      <c r="AZ329" s="93"/>
      <c r="BA329" s="93"/>
      <c r="BB329" s="93"/>
      <c r="BC329" s="93"/>
      <c r="BD329" s="93"/>
      <c r="BE329" s="93"/>
      <c r="BF329" s="93"/>
      <c r="BG329" s="93"/>
      <c r="BH329" s="93"/>
      <c r="BI329" s="93"/>
      <c r="BJ329" s="93"/>
      <c r="BK329" s="93"/>
      <c r="BL329" s="93"/>
      <c r="BM329" s="93"/>
      <c r="BN329" s="93"/>
      <c r="BO329" s="93"/>
      <c r="BP329" s="93"/>
      <c r="BQ329" s="93"/>
      <c r="BR329" s="93"/>
      <c r="BS329" s="93"/>
      <c r="BT329" s="93"/>
      <c r="BU329" s="93"/>
      <c r="BV329" s="93"/>
      <c r="BW329" s="93"/>
      <c r="BX329" s="93"/>
      <c r="BY329" s="93"/>
      <c r="BZ329" s="93"/>
      <c r="CA329" s="93"/>
      <c r="CB329" s="93"/>
      <c r="CC329" s="93"/>
      <c r="CD329" s="93"/>
      <c r="CE329" s="93"/>
      <c r="CF329" s="93"/>
      <c r="CG329" s="93"/>
      <c r="CH329" s="93"/>
      <c r="CI329" s="93"/>
      <c r="CJ329" s="93"/>
      <c r="CK329" s="93"/>
      <c r="CL329" s="93"/>
      <c r="CM329" s="93"/>
      <c r="CN329" s="93"/>
      <c r="CO329" s="93"/>
      <c r="CP329" s="93"/>
      <c r="CQ329" s="93"/>
      <c r="CR329" s="93"/>
      <c r="CS329" s="93"/>
      <c r="CT329" s="93"/>
      <c r="CU329" s="93"/>
      <c r="CV329" s="93"/>
      <c r="CW329" s="93"/>
      <c r="CX329" s="93"/>
    </row>
    <row r="330" spans="1:102" ht="15" hidden="1" customHeight="1">
      <c r="A330" s="93"/>
      <c r="B330" s="93" t="e">
        <f>VLOOKUP($A330,  'Matriz POA 2024-TRABAJO'!$A$5:$CY$9142,29,FALSE)</f>
        <v>#N/A</v>
      </c>
      <c r="C330" s="93" t="e">
        <f>VLOOKUP($A330, 'Matriz POA 2024-TRABAJO'!$A$5:$CY$9142,11,FALSE)</f>
        <v>#N/A</v>
      </c>
      <c r="D330" s="93" t="e">
        <f>VLOOKUP($A330, 'Matriz POA 2024-TRABAJO'!$A$5:$CY$9142,14,FALSE)</f>
        <v>#N/A</v>
      </c>
      <c r="E330" s="93" t="e">
        <f>VLOOKUP($A330, 'Matriz POA 2024-TRABAJO'!$A$5:$CY$9142,15,FALSE)</f>
        <v>#N/A</v>
      </c>
      <c r="F330" s="93" t="e">
        <f>VLOOKUP($A330, 'Matriz POA 2024-TRABAJO'!$A$5:$CY$9142,18,FALSE)</f>
        <v>#N/A</v>
      </c>
      <c r="G330" s="93" t="e">
        <f>VLOOKUP($A330, 'Matriz POA 2024-TRABAJO'!$A$5:$CY$9142,23,FALSE)</f>
        <v>#N/A</v>
      </c>
      <c r="H330" s="93" t="e">
        <f>VLOOKUP($A330, 'Matriz POA 2024-TRABAJO'!$A$5:$CY$9142,24,FALSE)</f>
        <v>#N/A</v>
      </c>
      <c r="I330" s="93" t="e">
        <f>VLOOKUP($A330, 'Matriz POA 2024-TRABAJO'!$A$5:$CY$9142,20,FALSE)</f>
        <v>#N/A</v>
      </c>
      <c r="J330" s="93" t="e">
        <f>VLOOKUP($A330, 'Matriz POA 2024-TRABAJO'!$A$5:$CY$9142,26,FALSE)</f>
        <v>#N/A</v>
      </c>
      <c r="K330" s="93" t="e">
        <f>VLOOKUP($A330, 'Matriz POA 2024-TRABAJO'!$A$5:$CY$9142,27,FALSE)</f>
        <v>#N/A</v>
      </c>
      <c r="L330" s="93" t="e">
        <f>VLOOKUP($A330, 'Matriz POA 2024-TRABAJO'!$A$5:$CY$9142,28,FALSE)</f>
        <v>#N/A</v>
      </c>
      <c r="M330" s="93" t="e">
        <f>VLOOKUP($A330, 'Matriz POA 2024-TRABAJO'!$A$5:$CY$9142,30,FALSE)</f>
        <v>#N/A</v>
      </c>
      <c r="N330" s="93" t="e">
        <f>VLOOKUP($A330, 'Matriz POA 2024-TRABAJO'!$A$5:$CY$9142,31,FALSE)</f>
        <v>#N/A</v>
      </c>
      <c r="O330" s="93" t="e">
        <f>VLOOKUP($A330, 'Matriz POA 2024-TRABAJO'!$A$5:$CY$9142,45,FALSE)</f>
        <v>#N/A</v>
      </c>
      <c r="P330" s="93" t="e">
        <f>VLOOKUP($A330, 'Matriz POA 2024-TRABAJO'!$A$5:$CY$9142,46,FALSE)</f>
        <v>#N/A</v>
      </c>
      <c r="Q330" s="93" t="e">
        <f>VLOOKUP($A330, 'Matriz POA 2024-TRABAJO'!$A$5:$CY$9142,47,FALSE)</f>
        <v>#N/A</v>
      </c>
      <c r="R330" s="94">
        <f t="shared" si="217"/>
        <v>0</v>
      </c>
      <c r="S330" s="95" t="e">
        <f t="shared" si="218"/>
        <v>#N/A</v>
      </c>
      <c r="T330" s="93" t="e">
        <f>VLOOKUP($A330, 'Matriz POA 2024-TRABAJO'!$A$5:$CY$9142,72,FALSE)</f>
        <v>#N/A</v>
      </c>
      <c r="U330" s="93" t="e">
        <f>VLOOKUP($A330, 'Matriz POA 2024-TRABAJO'!$A$5:$CY$9142,29,FALSE)</f>
        <v>#N/A</v>
      </c>
      <c r="V330" s="93" t="str">
        <f t="shared" si="219"/>
        <v/>
      </c>
      <c r="W330" s="93"/>
      <c r="X330" s="93"/>
      <c r="Y330" s="93"/>
      <c r="Z330" s="93"/>
      <c r="AA330" s="93"/>
      <c r="AB330" s="93"/>
      <c r="AC330" s="93">
        <f t="shared" si="220"/>
        <v>0</v>
      </c>
      <c r="AD330" s="93"/>
      <c r="AE330" s="93"/>
      <c r="AF330" s="93"/>
      <c r="AG330" s="93"/>
      <c r="AH330" s="93"/>
      <c r="AI330" s="93"/>
      <c r="AJ330" s="93"/>
      <c r="AK330" s="93">
        <f t="shared" si="221"/>
        <v>0</v>
      </c>
      <c r="AL330" s="93"/>
      <c r="AM330" s="93"/>
      <c r="AN330" s="93"/>
      <c r="AO330" s="93"/>
      <c r="AP330" s="93"/>
      <c r="AQ330" s="93"/>
      <c r="AR330" s="93"/>
      <c r="AS330" s="93">
        <f t="shared" si="222"/>
        <v>0</v>
      </c>
      <c r="AT330" s="93"/>
      <c r="AU330" s="93"/>
      <c r="AV330" s="93"/>
      <c r="AW330" s="93"/>
      <c r="AX330" s="93"/>
      <c r="AY330" s="93"/>
      <c r="AZ330" s="93"/>
      <c r="BA330" s="93"/>
      <c r="BB330" s="93"/>
      <c r="BC330" s="93"/>
      <c r="BD330" s="93"/>
      <c r="BE330" s="93"/>
      <c r="BF330" s="93"/>
      <c r="BG330" s="93"/>
      <c r="BH330" s="93"/>
      <c r="BI330" s="93"/>
      <c r="BJ330" s="93"/>
      <c r="BK330" s="93"/>
      <c r="BL330" s="93"/>
      <c r="BM330" s="93"/>
      <c r="BN330" s="93"/>
      <c r="BO330" s="93"/>
      <c r="BP330" s="93"/>
      <c r="BQ330" s="93"/>
      <c r="BR330" s="93"/>
      <c r="BS330" s="93"/>
      <c r="BT330" s="93"/>
      <c r="BU330" s="93"/>
      <c r="BV330" s="93"/>
      <c r="BW330" s="93"/>
      <c r="BX330" s="93"/>
      <c r="BY330" s="93"/>
      <c r="BZ330" s="93"/>
      <c r="CA330" s="93"/>
      <c r="CB330" s="93"/>
      <c r="CC330" s="93"/>
      <c r="CD330" s="93"/>
      <c r="CE330" s="93"/>
      <c r="CF330" s="93"/>
      <c r="CG330" s="93"/>
      <c r="CH330" s="93"/>
      <c r="CI330" s="93"/>
      <c r="CJ330" s="93"/>
      <c r="CK330" s="93"/>
      <c r="CL330" s="93"/>
      <c r="CM330" s="93"/>
      <c r="CN330" s="93"/>
      <c r="CO330" s="93"/>
      <c r="CP330" s="93"/>
      <c r="CQ330" s="93"/>
      <c r="CR330" s="93"/>
      <c r="CS330" s="93"/>
      <c r="CT330" s="93"/>
      <c r="CU330" s="93"/>
      <c r="CV330" s="93"/>
      <c r="CW330" s="93"/>
      <c r="CX330" s="93"/>
    </row>
    <row r="331" spans="1:102" ht="15" hidden="1" customHeight="1">
      <c r="A331" s="93"/>
      <c r="B331" s="93" t="e">
        <f>VLOOKUP($A331,  'Matriz POA 2024-TRABAJO'!$A$5:$CY$9142,29,FALSE)</f>
        <v>#N/A</v>
      </c>
      <c r="C331" s="93" t="e">
        <f>VLOOKUP($A331, 'Matriz POA 2024-TRABAJO'!$A$5:$CY$9142,11,FALSE)</f>
        <v>#N/A</v>
      </c>
      <c r="D331" s="93" t="e">
        <f>VLOOKUP($A331, 'Matriz POA 2024-TRABAJO'!$A$5:$CY$9142,14,FALSE)</f>
        <v>#N/A</v>
      </c>
      <c r="E331" s="93" t="e">
        <f>VLOOKUP($A331, 'Matriz POA 2024-TRABAJO'!$A$5:$CY$9142,15,FALSE)</f>
        <v>#N/A</v>
      </c>
      <c r="F331" s="93" t="e">
        <f>VLOOKUP($A331, 'Matriz POA 2024-TRABAJO'!$A$5:$CY$9142,18,FALSE)</f>
        <v>#N/A</v>
      </c>
      <c r="G331" s="93" t="e">
        <f>VLOOKUP($A331, 'Matriz POA 2024-TRABAJO'!$A$5:$CY$9142,23,FALSE)</f>
        <v>#N/A</v>
      </c>
      <c r="H331" s="93" t="e">
        <f>VLOOKUP($A331, 'Matriz POA 2024-TRABAJO'!$A$5:$CY$9142,24,FALSE)</f>
        <v>#N/A</v>
      </c>
      <c r="I331" s="93" t="e">
        <f>VLOOKUP($A331, 'Matriz POA 2024-TRABAJO'!$A$5:$CY$9142,20,FALSE)</f>
        <v>#N/A</v>
      </c>
      <c r="J331" s="93" t="e">
        <f>VLOOKUP($A331, 'Matriz POA 2024-TRABAJO'!$A$5:$CY$9142,26,FALSE)</f>
        <v>#N/A</v>
      </c>
      <c r="K331" s="93" t="e">
        <f>VLOOKUP($A331, 'Matriz POA 2024-TRABAJO'!$A$5:$CY$9142,27,FALSE)</f>
        <v>#N/A</v>
      </c>
      <c r="L331" s="93" t="e">
        <f>VLOOKUP($A331, 'Matriz POA 2024-TRABAJO'!$A$5:$CY$9142,28,FALSE)</f>
        <v>#N/A</v>
      </c>
      <c r="M331" s="93" t="e">
        <f>VLOOKUP($A331, 'Matriz POA 2024-TRABAJO'!$A$5:$CY$9142,30,FALSE)</f>
        <v>#N/A</v>
      </c>
      <c r="N331" s="93" t="e">
        <f>VLOOKUP($A331, 'Matriz POA 2024-TRABAJO'!$A$5:$CY$9142,31,FALSE)</f>
        <v>#N/A</v>
      </c>
      <c r="O331" s="93" t="e">
        <f>VLOOKUP($A331, 'Matriz POA 2024-TRABAJO'!$A$5:$CY$9142,45,FALSE)</f>
        <v>#N/A</v>
      </c>
      <c r="P331" s="93" t="e">
        <f>VLOOKUP($A331, 'Matriz POA 2024-TRABAJO'!$A$5:$CY$9142,46,FALSE)</f>
        <v>#N/A</v>
      </c>
      <c r="Q331" s="93" t="e">
        <f>VLOOKUP($A331, 'Matriz POA 2024-TRABAJO'!$A$5:$CY$9142,47,FALSE)</f>
        <v>#N/A</v>
      </c>
      <c r="R331" s="94">
        <f t="shared" si="217"/>
        <v>0</v>
      </c>
      <c r="S331" s="95" t="e">
        <f t="shared" si="218"/>
        <v>#N/A</v>
      </c>
      <c r="T331" s="93" t="e">
        <f>VLOOKUP($A331, 'Matriz POA 2024-TRABAJO'!$A$5:$CY$9142,72,FALSE)</f>
        <v>#N/A</v>
      </c>
      <c r="U331" s="93" t="e">
        <f>VLOOKUP($A331, 'Matriz POA 2024-TRABAJO'!$A$5:$CY$9142,29,FALSE)</f>
        <v>#N/A</v>
      </c>
      <c r="V331" s="93" t="str">
        <f t="shared" si="219"/>
        <v/>
      </c>
      <c r="W331" s="93"/>
      <c r="X331" s="93"/>
      <c r="Y331" s="93"/>
      <c r="Z331" s="93"/>
      <c r="AA331" s="93"/>
      <c r="AB331" s="93"/>
      <c r="AC331" s="93">
        <f t="shared" si="220"/>
        <v>0</v>
      </c>
      <c r="AD331" s="93"/>
      <c r="AE331" s="93"/>
      <c r="AF331" s="93"/>
      <c r="AG331" s="93"/>
      <c r="AH331" s="93"/>
      <c r="AI331" s="93"/>
      <c r="AJ331" s="93"/>
      <c r="AK331" s="93">
        <f t="shared" si="221"/>
        <v>0</v>
      </c>
      <c r="AL331" s="93"/>
      <c r="AM331" s="93"/>
      <c r="AN331" s="93"/>
      <c r="AO331" s="93"/>
      <c r="AP331" s="93"/>
      <c r="AQ331" s="93"/>
      <c r="AR331" s="93"/>
      <c r="AS331" s="93">
        <f t="shared" si="222"/>
        <v>0</v>
      </c>
      <c r="AT331" s="93"/>
      <c r="AU331" s="93"/>
      <c r="AV331" s="93"/>
      <c r="AW331" s="93"/>
      <c r="AX331" s="93"/>
      <c r="AY331" s="93"/>
      <c r="AZ331" s="93"/>
      <c r="BA331" s="93"/>
      <c r="BB331" s="93"/>
      <c r="BC331" s="93"/>
      <c r="BD331" s="93"/>
      <c r="BE331" s="93"/>
      <c r="BF331" s="93"/>
      <c r="BG331" s="93"/>
      <c r="BH331" s="93"/>
      <c r="BI331" s="93"/>
      <c r="BJ331" s="93"/>
      <c r="BK331" s="93"/>
      <c r="BL331" s="93"/>
      <c r="BM331" s="93"/>
      <c r="BN331" s="93"/>
      <c r="BO331" s="93"/>
      <c r="BP331" s="93"/>
      <c r="BQ331" s="93"/>
      <c r="BR331" s="93"/>
      <c r="BS331" s="93"/>
      <c r="BT331" s="93"/>
      <c r="BU331" s="93"/>
      <c r="BV331" s="93"/>
      <c r="BW331" s="93"/>
      <c r="BX331" s="93"/>
      <c r="BY331" s="93"/>
      <c r="BZ331" s="93"/>
      <c r="CA331" s="93"/>
      <c r="CB331" s="93"/>
      <c r="CC331" s="93"/>
      <c r="CD331" s="93"/>
      <c r="CE331" s="93"/>
      <c r="CF331" s="93"/>
      <c r="CG331" s="93"/>
      <c r="CH331" s="93"/>
      <c r="CI331" s="93"/>
      <c r="CJ331" s="93"/>
      <c r="CK331" s="93"/>
      <c r="CL331" s="93"/>
      <c r="CM331" s="93"/>
      <c r="CN331" s="93"/>
      <c r="CO331" s="93"/>
      <c r="CP331" s="93"/>
      <c r="CQ331" s="93"/>
      <c r="CR331" s="93"/>
      <c r="CS331" s="93"/>
      <c r="CT331" s="93"/>
      <c r="CU331" s="93"/>
      <c r="CV331" s="93"/>
      <c r="CW331" s="93"/>
      <c r="CX331" s="93"/>
    </row>
    <row r="332" spans="1:102" ht="15" hidden="1" customHeight="1">
      <c r="A332" s="93"/>
      <c r="B332" s="93" t="e">
        <f>VLOOKUP($A332,  'Matriz POA 2024-TRABAJO'!$A$5:$CY$9142,29,FALSE)</f>
        <v>#N/A</v>
      </c>
      <c r="C332" s="93" t="e">
        <f>VLOOKUP($A332, 'Matriz POA 2024-TRABAJO'!$A$5:$CY$9142,11,FALSE)</f>
        <v>#N/A</v>
      </c>
      <c r="D332" s="93" t="e">
        <f>VLOOKUP($A332, 'Matriz POA 2024-TRABAJO'!$A$5:$CY$9142,14,FALSE)</f>
        <v>#N/A</v>
      </c>
      <c r="E332" s="93" t="e">
        <f>VLOOKUP($A332, 'Matriz POA 2024-TRABAJO'!$A$5:$CY$9142,15,FALSE)</f>
        <v>#N/A</v>
      </c>
      <c r="F332" s="93" t="e">
        <f>VLOOKUP($A332, 'Matriz POA 2024-TRABAJO'!$A$5:$CY$9142,18,FALSE)</f>
        <v>#N/A</v>
      </c>
      <c r="G332" s="93" t="e">
        <f>VLOOKUP($A332, 'Matriz POA 2024-TRABAJO'!$A$5:$CY$9142,23,FALSE)</f>
        <v>#N/A</v>
      </c>
      <c r="H332" s="93" t="e">
        <f>VLOOKUP($A332, 'Matriz POA 2024-TRABAJO'!$A$5:$CY$9142,24,FALSE)</f>
        <v>#N/A</v>
      </c>
      <c r="I332" s="93" t="e">
        <f>VLOOKUP($A332, 'Matriz POA 2024-TRABAJO'!$A$5:$CY$9142,20,FALSE)</f>
        <v>#N/A</v>
      </c>
      <c r="J332" s="93" t="e">
        <f>VLOOKUP($A332, 'Matriz POA 2024-TRABAJO'!$A$5:$CY$9142,26,FALSE)</f>
        <v>#N/A</v>
      </c>
      <c r="K332" s="93" t="e">
        <f>VLOOKUP($A332, 'Matriz POA 2024-TRABAJO'!$A$5:$CY$9142,27,FALSE)</f>
        <v>#N/A</v>
      </c>
      <c r="L332" s="93" t="e">
        <f>VLOOKUP($A332, 'Matriz POA 2024-TRABAJO'!$A$5:$CY$9142,28,FALSE)</f>
        <v>#N/A</v>
      </c>
      <c r="M332" s="93" t="e">
        <f>VLOOKUP($A332, 'Matriz POA 2024-TRABAJO'!$A$5:$CY$9142,30,FALSE)</f>
        <v>#N/A</v>
      </c>
      <c r="N332" s="93" t="e">
        <f>VLOOKUP($A332, 'Matriz POA 2024-TRABAJO'!$A$5:$CY$9142,31,FALSE)</f>
        <v>#N/A</v>
      </c>
      <c r="O332" s="93" t="e">
        <f>VLOOKUP($A332, 'Matriz POA 2024-TRABAJO'!$A$5:$CY$9142,45,FALSE)</f>
        <v>#N/A</v>
      </c>
      <c r="P332" s="93" t="e">
        <f>VLOOKUP($A332, 'Matriz POA 2024-TRABAJO'!$A$5:$CY$9142,46,FALSE)</f>
        <v>#N/A</v>
      </c>
      <c r="Q332" s="93" t="e">
        <f>VLOOKUP($A332, 'Matriz POA 2024-TRABAJO'!$A$5:$CY$9142,47,FALSE)</f>
        <v>#N/A</v>
      </c>
      <c r="R332" s="94">
        <f t="shared" si="217"/>
        <v>0</v>
      </c>
      <c r="S332" s="95" t="e">
        <f t="shared" si="218"/>
        <v>#N/A</v>
      </c>
      <c r="T332" s="93" t="e">
        <f>VLOOKUP($A332, 'Matriz POA 2024-TRABAJO'!$A$5:$CY$9142,72,FALSE)</f>
        <v>#N/A</v>
      </c>
      <c r="U332" s="93" t="e">
        <f>VLOOKUP($A332, 'Matriz POA 2024-TRABAJO'!$A$5:$CY$9142,29,FALSE)</f>
        <v>#N/A</v>
      </c>
      <c r="V332" s="93" t="str">
        <f t="shared" si="219"/>
        <v/>
      </c>
      <c r="W332" s="93"/>
      <c r="X332" s="93"/>
      <c r="Y332" s="93"/>
      <c r="Z332" s="93"/>
      <c r="AA332" s="93"/>
      <c r="AB332" s="93"/>
      <c r="AC332" s="93">
        <f t="shared" si="220"/>
        <v>0</v>
      </c>
      <c r="AD332" s="93"/>
      <c r="AE332" s="93"/>
      <c r="AF332" s="93"/>
      <c r="AG332" s="93"/>
      <c r="AH332" s="93"/>
      <c r="AI332" s="93"/>
      <c r="AJ332" s="93"/>
      <c r="AK332" s="93">
        <f t="shared" si="221"/>
        <v>0</v>
      </c>
      <c r="AL332" s="93"/>
      <c r="AM332" s="93"/>
      <c r="AN332" s="93"/>
      <c r="AO332" s="93"/>
      <c r="AP332" s="93"/>
      <c r="AQ332" s="93"/>
      <c r="AR332" s="93"/>
      <c r="AS332" s="93">
        <f t="shared" si="222"/>
        <v>0</v>
      </c>
      <c r="AT332" s="93"/>
      <c r="AU332" s="93"/>
      <c r="AV332" s="93"/>
      <c r="AW332" s="93"/>
      <c r="AX332" s="93"/>
      <c r="AY332" s="93"/>
      <c r="AZ332" s="93"/>
      <c r="BA332" s="93"/>
      <c r="BB332" s="93"/>
      <c r="BC332" s="93"/>
      <c r="BD332" s="93"/>
      <c r="BE332" s="93"/>
      <c r="BF332" s="93"/>
      <c r="BG332" s="93"/>
      <c r="BH332" s="93"/>
      <c r="BI332" s="93"/>
      <c r="BJ332" s="93"/>
      <c r="BK332" s="93"/>
      <c r="BL332" s="93"/>
      <c r="BM332" s="93"/>
      <c r="BN332" s="93"/>
      <c r="BO332" s="93"/>
      <c r="BP332" s="93"/>
      <c r="BQ332" s="93"/>
      <c r="BR332" s="93"/>
      <c r="BS332" s="93"/>
      <c r="BT332" s="93"/>
      <c r="BU332" s="93"/>
      <c r="BV332" s="93"/>
      <c r="BW332" s="93"/>
      <c r="BX332" s="93"/>
      <c r="BY332" s="93"/>
      <c r="BZ332" s="93"/>
      <c r="CA332" s="93"/>
      <c r="CB332" s="93"/>
      <c r="CC332" s="93"/>
      <c r="CD332" s="93"/>
      <c r="CE332" s="93"/>
      <c r="CF332" s="93"/>
      <c r="CG332" s="93"/>
      <c r="CH332" s="93"/>
      <c r="CI332" s="93"/>
      <c r="CJ332" s="93"/>
      <c r="CK332" s="93"/>
      <c r="CL332" s="93"/>
      <c r="CM332" s="93"/>
      <c r="CN332" s="93"/>
      <c r="CO332" s="93"/>
      <c r="CP332" s="93"/>
      <c r="CQ332" s="93"/>
      <c r="CR332" s="93"/>
      <c r="CS332" s="93"/>
      <c r="CT332" s="93"/>
      <c r="CU332" s="93"/>
      <c r="CV332" s="93"/>
      <c r="CW332" s="93"/>
      <c r="CX332" s="93"/>
    </row>
    <row r="333" spans="1:102" ht="15" hidden="1" customHeight="1">
      <c r="A333" s="93"/>
      <c r="B333" s="93" t="e">
        <f>VLOOKUP($A333,  'Matriz POA 2024-TRABAJO'!$A$5:$CY$9142,29,FALSE)</f>
        <v>#N/A</v>
      </c>
      <c r="C333" s="93" t="e">
        <f>VLOOKUP($A333, 'Matriz POA 2024-TRABAJO'!$A$5:$CY$9142,11,FALSE)</f>
        <v>#N/A</v>
      </c>
      <c r="D333" s="93" t="e">
        <f>VLOOKUP($A333, 'Matriz POA 2024-TRABAJO'!$A$5:$CY$9142,14,FALSE)</f>
        <v>#N/A</v>
      </c>
      <c r="E333" s="93" t="e">
        <f>VLOOKUP($A333, 'Matriz POA 2024-TRABAJO'!$A$5:$CY$9142,15,FALSE)</f>
        <v>#N/A</v>
      </c>
      <c r="F333" s="93" t="e">
        <f>VLOOKUP($A333, 'Matriz POA 2024-TRABAJO'!$A$5:$CY$9142,18,FALSE)</f>
        <v>#N/A</v>
      </c>
      <c r="G333" s="93" t="e">
        <f>VLOOKUP($A333, 'Matriz POA 2024-TRABAJO'!$A$5:$CY$9142,23,FALSE)</f>
        <v>#N/A</v>
      </c>
      <c r="H333" s="93" t="e">
        <f>VLOOKUP($A333, 'Matriz POA 2024-TRABAJO'!$A$5:$CY$9142,24,FALSE)</f>
        <v>#N/A</v>
      </c>
      <c r="I333" s="93" t="e">
        <f>VLOOKUP($A333, 'Matriz POA 2024-TRABAJO'!$A$5:$CY$9142,20,FALSE)</f>
        <v>#N/A</v>
      </c>
      <c r="J333" s="93" t="e">
        <f>VLOOKUP($A333, 'Matriz POA 2024-TRABAJO'!$A$5:$CY$9142,26,FALSE)</f>
        <v>#N/A</v>
      </c>
      <c r="K333" s="93" t="e">
        <f>VLOOKUP($A333, 'Matriz POA 2024-TRABAJO'!$A$5:$CY$9142,27,FALSE)</f>
        <v>#N/A</v>
      </c>
      <c r="L333" s="93" t="e">
        <f>VLOOKUP($A333, 'Matriz POA 2024-TRABAJO'!$A$5:$CY$9142,28,FALSE)</f>
        <v>#N/A</v>
      </c>
      <c r="M333" s="93" t="e">
        <f>VLOOKUP($A333, 'Matriz POA 2024-TRABAJO'!$A$5:$CY$9142,30,FALSE)</f>
        <v>#N/A</v>
      </c>
      <c r="N333" s="93" t="e">
        <f>VLOOKUP($A333, 'Matriz POA 2024-TRABAJO'!$A$5:$CY$9142,31,FALSE)</f>
        <v>#N/A</v>
      </c>
      <c r="O333" s="93" t="e">
        <f>VLOOKUP($A333, 'Matriz POA 2024-TRABAJO'!$A$5:$CY$9142,45,FALSE)</f>
        <v>#N/A</v>
      </c>
      <c r="P333" s="93" t="e">
        <f>VLOOKUP($A333, 'Matriz POA 2024-TRABAJO'!$A$5:$CY$9142,46,FALSE)</f>
        <v>#N/A</v>
      </c>
      <c r="Q333" s="93" t="e">
        <f>VLOOKUP($A333, 'Matriz POA 2024-TRABAJO'!$A$5:$CY$9142,47,FALSE)</f>
        <v>#N/A</v>
      </c>
      <c r="R333" s="94">
        <f t="shared" si="217"/>
        <v>0</v>
      </c>
      <c r="S333" s="95" t="e">
        <f t="shared" si="218"/>
        <v>#N/A</v>
      </c>
      <c r="T333" s="93" t="e">
        <f>VLOOKUP($A333, 'Matriz POA 2024-TRABAJO'!$A$5:$CY$9142,72,FALSE)</f>
        <v>#N/A</v>
      </c>
      <c r="U333" s="93" t="e">
        <f>VLOOKUP($A333, 'Matriz POA 2024-TRABAJO'!$A$5:$CY$9142,29,FALSE)</f>
        <v>#N/A</v>
      </c>
      <c r="V333" s="93" t="str">
        <f t="shared" si="219"/>
        <v/>
      </c>
      <c r="W333" s="93"/>
      <c r="X333" s="93"/>
      <c r="Y333" s="93"/>
      <c r="Z333" s="93"/>
      <c r="AA333" s="93"/>
      <c r="AB333" s="93"/>
      <c r="AC333" s="93">
        <f t="shared" si="220"/>
        <v>0</v>
      </c>
      <c r="AD333" s="93"/>
      <c r="AE333" s="93"/>
      <c r="AF333" s="93"/>
      <c r="AG333" s="93"/>
      <c r="AH333" s="93"/>
      <c r="AI333" s="93"/>
      <c r="AJ333" s="93"/>
      <c r="AK333" s="93">
        <f t="shared" si="221"/>
        <v>0</v>
      </c>
      <c r="AL333" s="93"/>
      <c r="AM333" s="93"/>
      <c r="AN333" s="93"/>
      <c r="AO333" s="93"/>
      <c r="AP333" s="93"/>
      <c r="AQ333" s="93"/>
      <c r="AR333" s="93"/>
      <c r="AS333" s="93">
        <f t="shared" si="222"/>
        <v>0</v>
      </c>
      <c r="AT333" s="93"/>
      <c r="AU333" s="93"/>
      <c r="AV333" s="93"/>
      <c r="AW333" s="93"/>
      <c r="AX333" s="93"/>
      <c r="AY333" s="93"/>
      <c r="AZ333" s="93"/>
      <c r="BA333" s="93"/>
      <c r="BB333" s="93"/>
      <c r="BC333" s="93"/>
      <c r="BD333" s="93"/>
      <c r="BE333" s="93"/>
      <c r="BF333" s="93"/>
      <c r="BG333" s="93"/>
      <c r="BH333" s="93"/>
      <c r="BI333" s="93"/>
      <c r="BJ333" s="93"/>
      <c r="BK333" s="93"/>
      <c r="BL333" s="93"/>
      <c r="BM333" s="93"/>
      <c r="BN333" s="93"/>
      <c r="BO333" s="93"/>
      <c r="BP333" s="93"/>
      <c r="BQ333" s="93"/>
      <c r="BR333" s="93"/>
      <c r="BS333" s="93"/>
      <c r="BT333" s="93"/>
      <c r="BU333" s="93"/>
      <c r="BV333" s="93"/>
      <c r="BW333" s="93"/>
      <c r="BX333" s="93"/>
      <c r="BY333" s="93"/>
      <c r="BZ333" s="93"/>
      <c r="CA333" s="93"/>
      <c r="CB333" s="93"/>
      <c r="CC333" s="93"/>
      <c r="CD333" s="93"/>
      <c r="CE333" s="93"/>
      <c r="CF333" s="93"/>
      <c r="CG333" s="93"/>
      <c r="CH333" s="93"/>
      <c r="CI333" s="93"/>
      <c r="CJ333" s="93"/>
      <c r="CK333" s="93"/>
      <c r="CL333" s="93"/>
      <c r="CM333" s="93"/>
      <c r="CN333" s="93"/>
      <c r="CO333" s="93"/>
      <c r="CP333" s="93"/>
      <c r="CQ333" s="93"/>
      <c r="CR333" s="93"/>
      <c r="CS333" s="93"/>
      <c r="CT333" s="93"/>
      <c r="CU333" s="93"/>
      <c r="CV333" s="93"/>
      <c r="CW333" s="93"/>
      <c r="CX333" s="93"/>
    </row>
    <row r="334" spans="1:102" ht="15" hidden="1" customHeight="1">
      <c r="A334" s="93"/>
      <c r="B334" s="93" t="e">
        <f>VLOOKUP($A334,  'Matriz POA 2024-TRABAJO'!$A$5:$CY$9142,29,FALSE)</f>
        <v>#N/A</v>
      </c>
      <c r="C334" s="93" t="e">
        <f>VLOOKUP($A334, 'Matriz POA 2024-TRABAJO'!$A$5:$CY$9142,11,FALSE)</f>
        <v>#N/A</v>
      </c>
      <c r="D334" s="93" t="e">
        <f>VLOOKUP($A334, 'Matriz POA 2024-TRABAJO'!$A$5:$CY$9142,14,FALSE)</f>
        <v>#N/A</v>
      </c>
      <c r="E334" s="93" t="e">
        <f>VLOOKUP($A334, 'Matriz POA 2024-TRABAJO'!$A$5:$CY$9142,15,FALSE)</f>
        <v>#N/A</v>
      </c>
      <c r="F334" s="93" t="e">
        <f>VLOOKUP($A334, 'Matriz POA 2024-TRABAJO'!$A$5:$CY$9142,18,FALSE)</f>
        <v>#N/A</v>
      </c>
      <c r="G334" s="93" t="e">
        <f>VLOOKUP($A334, 'Matriz POA 2024-TRABAJO'!$A$5:$CY$9142,23,FALSE)</f>
        <v>#N/A</v>
      </c>
      <c r="H334" s="93" t="e">
        <f>VLOOKUP($A334, 'Matriz POA 2024-TRABAJO'!$A$5:$CY$9142,24,FALSE)</f>
        <v>#N/A</v>
      </c>
      <c r="I334" s="93" t="e">
        <f>VLOOKUP($A334, 'Matriz POA 2024-TRABAJO'!$A$5:$CY$9142,20,FALSE)</f>
        <v>#N/A</v>
      </c>
      <c r="J334" s="93" t="e">
        <f>VLOOKUP($A334, 'Matriz POA 2024-TRABAJO'!$A$5:$CY$9142,26,FALSE)</f>
        <v>#N/A</v>
      </c>
      <c r="K334" s="93" t="e">
        <f>VLOOKUP($A334, 'Matriz POA 2024-TRABAJO'!$A$5:$CY$9142,27,FALSE)</f>
        <v>#N/A</v>
      </c>
      <c r="L334" s="93" t="e">
        <f>VLOOKUP($A334, 'Matriz POA 2024-TRABAJO'!$A$5:$CY$9142,28,FALSE)</f>
        <v>#N/A</v>
      </c>
      <c r="M334" s="93" t="e">
        <f>VLOOKUP($A334, 'Matriz POA 2024-TRABAJO'!$A$5:$CY$9142,30,FALSE)</f>
        <v>#N/A</v>
      </c>
      <c r="N334" s="93" t="e">
        <f>VLOOKUP($A334, 'Matriz POA 2024-TRABAJO'!$A$5:$CY$9142,31,FALSE)</f>
        <v>#N/A</v>
      </c>
      <c r="O334" s="93" t="e">
        <f>VLOOKUP($A334, 'Matriz POA 2024-TRABAJO'!$A$5:$CY$9142,45,FALSE)</f>
        <v>#N/A</v>
      </c>
      <c r="P334" s="93" t="e">
        <f>VLOOKUP($A334, 'Matriz POA 2024-TRABAJO'!$A$5:$CY$9142,46,FALSE)</f>
        <v>#N/A</v>
      </c>
      <c r="Q334" s="93" t="e">
        <f>VLOOKUP($A334, 'Matriz POA 2024-TRABAJO'!$A$5:$CY$9142,47,FALSE)</f>
        <v>#N/A</v>
      </c>
      <c r="R334" s="94">
        <f t="shared" si="217"/>
        <v>0</v>
      </c>
      <c r="S334" s="95" t="e">
        <f t="shared" si="218"/>
        <v>#N/A</v>
      </c>
      <c r="T334" s="93" t="e">
        <f>VLOOKUP($A334, 'Matriz POA 2024-TRABAJO'!$A$5:$CY$9142,72,FALSE)</f>
        <v>#N/A</v>
      </c>
      <c r="U334" s="93" t="e">
        <f>VLOOKUP($A334, 'Matriz POA 2024-TRABAJO'!$A$5:$CY$9142,29,FALSE)</f>
        <v>#N/A</v>
      </c>
      <c r="V334" s="93" t="str">
        <f t="shared" si="219"/>
        <v/>
      </c>
      <c r="W334" s="93"/>
      <c r="X334" s="93"/>
      <c r="Y334" s="93"/>
      <c r="Z334" s="93"/>
      <c r="AA334" s="93"/>
      <c r="AB334" s="93"/>
      <c r="AC334" s="93">
        <f t="shared" si="220"/>
        <v>0</v>
      </c>
      <c r="AD334" s="93"/>
      <c r="AE334" s="93"/>
      <c r="AF334" s="93"/>
      <c r="AG334" s="93"/>
      <c r="AH334" s="93"/>
      <c r="AI334" s="93"/>
      <c r="AJ334" s="93"/>
      <c r="AK334" s="93">
        <f t="shared" si="221"/>
        <v>0</v>
      </c>
      <c r="AL334" s="93"/>
      <c r="AM334" s="93"/>
      <c r="AN334" s="93"/>
      <c r="AO334" s="93"/>
      <c r="AP334" s="93"/>
      <c r="AQ334" s="93"/>
      <c r="AR334" s="93"/>
      <c r="AS334" s="93">
        <f t="shared" si="222"/>
        <v>0</v>
      </c>
      <c r="AT334" s="93"/>
      <c r="AU334" s="93"/>
      <c r="AV334" s="93"/>
      <c r="AW334" s="93"/>
      <c r="AX334" s="93"/>
      <c r="AY334" s="93"/>
      <c r="AZ334" s="93"/>
      <c r="BA334" s="93"/>
      <c r="BB334" s="93"/>
      <c r="BC334" s="93"/>
      <c r="BD334" s="93"/>
      <c r="BE334" s="93"/>
      <c r="BF334" s="93"/>
      <c r="BG334" s="93"/>
      <c r="BH334" s="93"/>
      <c r="BI334" s="93"/>
      <c r="BJ334" s="93"/>
      <c r="BK334" s="93"/>
      <c r="BL334" s="93"/>
      <c r="BM334" s="93"/>
      <c r="BN334" s="93"/>
      <c r="BO334" s="93"/>
      <c r="BP334" s="93"/>
      <c r="BQ334" s="93"/>
      <c r="BR334" s="93"/>
      <c r="BS334" s="93"/>
      <c r="BT334" s="93"/>
      <c r="BU334" s="93"/>
      <c r="BV334" s="93"/>
      <c r="BW334" s="93"/>
      <c r="BX334" s="93"/>
      <c r="BY334" s="93"/>
      <c r="BZ334" s="93"/>
      <c r="CA334" s="93"/>
      <c r="CB334" s="93"/>
      <c r="CC334" s="93"/>
      <c r="CD334" s="93"/>
      <c r="CE334" s="93"/>
      <c r="CF334" s="93"/>
      <c r="CG334" s="93"/>
      <c r="CH334" s="93"/>
      <c r="CI334" s="93"/>
      <c r="CJ334" s="93"/>
      <c r="CK334" s="93"/>
      <c r="CL334" s="93"/>
      <c r="CM334" s="93"/>
      <c r="CN334" s="93"/>
      <c r="CO334" s="93"/>
      <c r="CP334" s="93"/>
      <c r="CQ334" s="93"/>
      <c r="CR334" s="93"/>
      <c r="CS334" s="93"/>
      <c r="CT334" s="93"/>
      <c r="CU334" s="93"/>
      <c r="CV334" s="93"/>
      <c r="CW334" s="93"/>
      <c r="CX334" s="93"/>
    </row>
    <row r="335" spans="1:102" ht="15" hidden="1" customHeight="1">
      <c r="A335" s="93"/>
      <c r="B335" s="93" t="e">
        <f>VLOOKUP($A335,  'Matriz POA 2024-TRABAJO'!$A$5:$CY$9142,29,FALSE)</f>
        <v>#N/A</v>
      </c>
      <c r="C335" s="93" t="e">
        <f>VLOOKUP($A335, 'Matriz POA 2024-TRABAJO'!$A$5:$CY$9142,11,FALSE)</f>
        <v>#N/A</v>
      </c>
      <c r="D335" s="93" t="e">
        <f>VLOOKUP($A335, 'Matriz POA 2024-TRABAJO'!$A$5:$CY$9142,14,FALSE)</f>
        <v>#N/A</v>
      </c>
      <c r="E335" s="93" t="e">
        <f>VLOOKUP($A335, 'Matriz POA 2024-TRABAJO'!$A$5:$CY$9142,15,FALSE)</f>
        <v>#N/A</v>
      </c>
      <c r="F335" s="93" t="e">
        <f>VLOOKUP($A335, 'Matriz POA 2024-TRABAJO'!$A$5:$CY$9142,18,FALSE)</f>
        <v>#N/A</v>
      </c>
      <c r="G335" s="93" t="e">
        <f>VLOOKUP($A335, 'Matriz POA 2024-TRABAJO'!$A$5:$CY$9142,23,FALSE)</f>
        <v>#N/A</v>
      </c>
      <c r="H335" s="93" t="e">
        <f>VLOOKUP($A335, 'Matriz POA 2024-TRABAJO'!$A$5:$CY$9142,24,FALSE)</f>
        <v>#N/A</v>
      </c>
      <c r="I335" s="93" t="e">
        <f>VLOOKUP($A335, 'Matriz POA 2024-TRABAJO'!$A$5:$CY$9142,20,FALSE)</f>
        <v>#N/A</v>
      </c>
      <c r="J335" s="93" t="e">
        <f>VLOOKUP($A335, 'Matriz POA 2024-TRABAJO'!$A$5:$CY$9142,26,FALSE)</f>
        <v>#N/A</v>
      </c>
      <c r="K335" s="93" t="e">
        <f>VLOOKUP($A335, 'Matriz POA 2024-TRABAJO'!$A$5:$CY$9142,27,FALSE)</f>
        <v>#N/A</v>
      </c>
      <c r="L335" s="93" t="e">
        <f>VLOOKUP($A335, 'Matriz POA 2024-TRABAJO'!$A$5:$CY$9142,28,FALSE)</f>
        <v>#N/A</v>
      </c>
      <c r="M335" s="93" t="e">
        <f>VLOOKUP($A335, 'Matriz POA 2024-TRABAJO'!$A$5:$CY$9142,30,FALSE)</f>
        <v>#N/A</v>
      </c>
      <c r="N335" s="93" t="e">
        <f>VLOOKUP($A335, 'Matriz POA 2024-TRABAJO'!$A$5:$CY$9142,31,FALSE)</f>
        <v>#N/A</v>
      </c>
      <c r="O335" s="93" t="e">
        <f>VLOOKUP($A335, 'Matriz POA 2024-TRABAJO'!$A$5:$CY$9142,45,FALSE)</f>
        <v>#N/A</v>
      </c>
      <c r="P335" s="93" t="e">
        <f>VLOOKUP($A335, 'Matriz POA 2024-TRABAJO'!$A$5:$CY$9142,46,FALSE)</f>
        <v>#N/A</v>
      </c>
      <c r="Q335" s="93" t="e">
        <f>VLOOKUP($A335, 'Matriz POA 2024-TRABAJO'!$A$5:$CY$9142,47,FALSE)</f>
        <v>#N/A</v>
      </c>
      <c r="R335" s="94">
        <f t="shared" si="217"/>
        <v>0</v>
      </c>
      <c r="S335" s="95" t="e">
        <f t="shared" si="218"/>
        <v>#N/A</v>
      </c>
      <c r="T335" s="93" t="e">
        <f>VLOOKUP($A335, 'Matriz POA 2024-TRABAJO'!$A$5:$CY$9142,72,FALSE)</f>
        <v>#N/A</v>
      </c>
      <c r="U335" s="93" t="e">
        <f>VLOOKUP($A335, 'Matriz POA 2024-TRABAJO'!$A$5:$CY$9142,29,FALSE)</f>
        <v>#N/A</v>
      </c>
      <c r="V335" s="93" t="str">
        <f t="shared" si="219"/>
        <v/>
      </c>
      <c r="W335" s="93"/>
      <c r="X335" s="93"/>
      <c r="Y335" s="93"/>
      <c r="Z335" s="93"/>
      <c r="AA335" s="93"/>
      <c r="AB335" s="93"/>
      <c r="AC335" s="93">
        <f t="shared" si="220"/>
        <v>0</v>
      </c>
      <c r="AD335" s="93"/>
      <c r="AE335" s="93"/>
      <c r="AF335" s="93"/>
      <c r="AG335" s="93"/>
      <c r="AH335" s="93"/>
      <c r="AI335" s="93"/>
      <c r="AJ335" s="93"/>
      <c r="AK335" s="93">
        <f t="shared" si="221"/>
        <v>0</v>
      </c>
      <c r="AL335" s="93"/>
      <c r="AM335" s="93"/>
      <c r="AN335" s="93"/>
      <c r="AO335" s="93"/>
      <c r="AP335" s="93"/>
      <c r="AQ335" s="93"/>
      <c r="AR335" s="93"/>
      <c r="AS335" s="93">
        <f t="shared" si="222"/>
        <v>0</v>
      </c>
      <c r="AT335" s="93"/>
      <c r="AU335" s="93"/>
      <c r="AV335" s="93"/>
      <c r="AW335" s="93"/>
      <c r="AX335" s="93"/>
      <c r="AY335" s="93"/>
      <c r="AZ335" s="93"/>
      <c r="BA335" s="93"/>
      <c r="BB335" s="93"/>
      <c r="BC335" s="93"/>
      <c r="BD335" s="93"/>
      <c r="BE335" s="93"/>
      <c r="BF335" s="93"/>
      <c r="BG335" s="93"/>
      <c r="BH335" s="93"/>
      <c r="BI335" s="93"/>
      <c r="BJ335" s="93"/>
      <c r="BK335" s="93"/>
      <c r="BL335" s="93"/>
      <c r="BM335" s="93"/>
      <c r="BN335" s="93"/>
      <c r="BO335" s="93"/>
      <c r="BP335" s="93"/>
      <c r="BQ335" s="93"/>
      <c r="BR335" s="93"/>
      <c r="BS335" s="93"/>
      <c r="BT335" s="93"/>
      <c r="BU335" s="93"/>
      <c r="BV335" s="93"/>
      <c r="BW335" s="93"/>
      <c r="BX335" s="93"/>
      <c r="BY335" s="93"/>
      <c r="BZ335" s="93"/>
      <c r="CA335" s="93"/>
      <c r="CB335" s="93"/>
      <c r="CC335" s="93"/>
      <c r="CD335" s="93"/>
      <c r="CE335" s="93"/>
      <c r="CF335" s="93"/>
      <c r="CG335" s="93"/>
      <c r="CH335" s="93"/>
      <c r="CI335" s="93"/>
      <c r="CJ335" s="93"/>
      <c r="CK335" s="93"/>
      <c r="CL335" s="93"/>
      <c r="CM335" s="93"/>
      <c r="CN335" s="93"/>
      <c r="CO335" s="93"/>
      <c r="CP335" s="93"/>
      <c r="CQ335" s="93"/>
      <c r="CR335" s="93"/>
      <c r="CS335" s="93"/>
      <c r="CT335" s="93"/>
      <c r="CU335" s="93"/>
      <c r="CV335" s="93"/>
      <c r="CW335" s="93"/>
      <c r="CX335" s="93"/>
    </row>
    <row r="336" spans="1:102" ht="15" hidden="1" customHeight="1">
      <c r="A336" s="93"/>
      <c r="B336" s="93" t="e">
        <f>VLOOKUP($A336,  'Matriz POA 2024-TRABAJO'!$A$5:$CY$9142,29,FALSE)</f>
        <v>#N/A</v>
      </c>
      <c r="C336" s="93" t="e">
        <f>VLOOKUP($A336, 'Matriz POA 2024-TRABAJO'!$A$5:$CY$9142,11,FALSE)</f>
        <v>#N/A</v>
      </c>
      <c r="D336" s="93" t="e">
        <f>VLOOKUP($A336, 'Matriz POA 2024-TRABAJO'!$A$5:$CY$9142,14,FALSE)</f>
        <v>#N/A</v>
      </c>
      <c r="E336" s="93" t="e">
        <f>VLOOKUP($A336, 'Matriz POA 2024-TRABAJO'!$A$5:$CY$9142,15,FALSE)</f>
        <v>#N/A</v>
      </c>
      <c r="F336" s="93" t="e">
        <f>VLOOKUP($A336, 'Matriz POA 2024-TRABAJO'!$A$5:$CY$9142,18,FALSE)</f>
        <v>#N/A</v>
      </c>
      <c r="G336" s="93" t="e">
        <f>VLOOKUP($A336, 'Matriz POA 2024-TRABAJO'!$A$5:$CY$9142,23,FALSE)</f>
        <v>#N/A</v>
      </c>
      <c r="H336" s="93" t="e">
        <f>VLOOKUP($A336, 'Matriz POA 2024-TRABAJO'!$A$5:$CY$9142,24,FALSE)</f>
        <v>#N/A</v>
      </c>
      <c r="I336" s="93" t="e">
        <f>VLOOKUP($A336, 'Matriz POA 2024-TRABAJO'!$A$5:$CY$9142,20,FALSE)</f>
        <v>#N/A</v>
      </c>
      <c r="J336" s="93" t="e">
        <f>VLOOKUP($A336, 'Matriz POA 2024-TRABAJO'!$A$5:$CY$9142,26,FALSE)</f>
        <v>#N/A</v>
      </c>
      <c r="K336" s="93" t="e">
        <f>VLOOKUP($A336, 'Matriz POA 2024-TRABAJO'!$A$5:$CY$9142,27,FALSE)</f>
        <v>#N/A</v>
      </c>
      <c r="L336" s="93" t="e">
        <f>VLOOKUP($A336, 'Matriz POA 2024-TRABAJO'!$A$5:$CY$9142,28,FALSE)</f>
        <v>#N/A</v>
      </c>
      <c r="M336" s="93" t="e">
        <f>VLOOKUP($A336, 'Matriz POA 2024-TRABAJO'!$A$5:$CY$9142,30,FALSE)</f>
        <v>#N/A</v>
      </c>
      <c r="N336" s="93" t="e">
        <f>VLOOKUP($A336, 'Matriz POA 2024-TRABAJO'!$A$5:$CY$9142,31,FALSE)</f>
        <v>#N/A</v>
      </c>
      <c r="O336" s="93" t="e">
        <f>VLOOKUP($A336, 'Matriz POA 2024-TRABAJO'!$A$5:$CY$9142,45,FALSE)</f>
        <v>#N/A</v>
      </c>
      <c r="P336" s="93" t="e">
        <f>VLOOKUP($A336, 'Matriz POA 2024-TRABAJO'!$A$5:$CY$9142,46,FALSE)</f>
        <v>#N/A</v>
      </c>
      <c r="Q336" s="93" t="e">
        <f>VLOOKUP($A336, 'Matriz POA 2024-TRABAJO'!$A$5:$CY$9142,47,FALSE)</f>
        <v>#N/A</v>
      </c>
      <c r="R336" s="94">
        <f t="shared" si="217"/>
        <v>0</v>
      </c>
      <c r="S336" s="95" t="e">
        <f t="shared" si="218"/>
        <v>#N/A</v>
      </c>
      <c r="T336" s="93" t="e">
        <f>VLOOKUP($A336, 'Matriz POA 2024-TRABAJO'!$A$5:$CY$9142,72,FALSE)</f>
        <v>#N/A</v>
      </c>
      <c r="U336" s="93" t="e">
        <f>VLOOKUP($A336, 'Matriz POA 2024-TRABAJO'!$A$5:$CY$9142,29,FALSE)</f>
        <v>#N/A</v>
      </c>
      <c r="V336" s="93" t="str">
        <f t="shared" si="219"/>
        <v/>
      </c>
      <c r="W336" s="93"/>
      <c r="X336" s="93"/>
      <c r="Y336" s="93"/>
      <c r="Z336" s="93"/>
      <c r="AA336" s="93"/>
      <c r="AB336" s="93"/>
      <c r="AC336" s="93">
        <f t="shared" si="220"/>
        <v>0</v>
      </c>
      <c r="AD336" s="93"/>
      <c r="AE336" s="93"/>
      <c r="AF336" s="93"/>
      <c r="AG336" s="93"/>
      <c r="AH336" s="93"/>
      <c r="AI336" s="93"/>
      <c r="AJ336" s="93"/>
      <c r="AK336" s="93">
        <f t="shared" si="221"/>
        <v>0</v>
      </c>
      <c r="AL336" s="93"/>
      <c r="AM336" s="93"/>
      <c r="AN336" s="93"/>
      <c r="AO336" s="93"/>
      <c r="AP336" s="93"/>
      <c r="AQ336" s="93"/>
      <c r="AR336" s="93"/>
      <c r="AS336" s="93">
        <f t="shared" si="222"/>
        <v>0</v>
      </c>
      <c r="AT336" s="93"/>
      <c r="AU336" s="93"/>
      <c r="AV336" s="93"/>
      <c r="AW336" s="93"/>
      <c r="AX336" s="93"/>
      <c r="AY336" s="93"/>
      <c r="AZ336" s="93"/>
      <c r="BA336" s="93"/>
      <c r="BB336" s="93"/>
      <c r="BC336" s="93"/>
      <c r="BD336" s="93"/>
      <c r="BE336" s="93"/>
      <c r="BF336" s="93"/>
      <c r="BG336" s="93"/>
      <c r="BH336" s="93"/>
      <c r="BI336" s="93"/>
      <c r="BJ336" s="93"/>
      <c r="BK336" s="93"/>
      <c r="BL336" s="93"/>
      <c r="BM336" s="93"/>
      <c r="BN336" s="93"/>
      <c r="BO336" s="93"/>
      <c r="BP336" s="93"/>
      <c r="BQ336" s="93"/>
      <c r="BR336" s="93"/>
      <c r="BS336" s="93"/>
      <c r="BT336" s="93"/>
      <c r="BU336" s="93"/>
      <c r="BV336" s="93"/>
      <c r="BW336" s="93"/>
      <c r="BX336" s="93"/>
      <c r="BY336" s="93"/>
      <c r="BZ336" s="93"/>
      <c r="CA336" s="93"/>
      <c r="CB336" s="93"/>
      <c r="CC336" s="93"/>
      <c r="CD336" s="93"/>
      <c r="CE336" s="93"/>
      <c r="CF336" s="93"/>
      <c r="CG336" s="93"/>
      <c r="CH336" s="93"/>
      <c r="CI336" s="93"/>
      <c r="CJ336" s="93"/>
      <c r="CK336" s="93"/>
      <c r="CL336" s="93"/>
      <c r="CM336" s="93"/>
      <c r="CN336" s="93"/>
      <c r="CO336" s="93"/>
      <c r="CP336" s="93"/>
      <c r="CQ336" s="93"/>
      <c r="CR336" s="93"/>
      <c r="CS336" s="93"/>
      <c r="CT336" s="93"/>
      <c r="CU336" s="93"/>
      <c r="CV336" s="93"/>
      <c r="CW336" s="93"/>
      <c r="CX336" s="93"/>
    </row>
    <row r="337" spans="1:102" ht="15" hidden="1" customHeight="1">
      <c r="A337" s="93"/>
      <c r="B337" s="93" t="e">
        <f>VLOOKUP($A337,  'Matriz POA 2024-TRABAJO'!$A$5:$CY$9142,29,FALSE)</f>
        <v>#N/A</v>
      </c>
      <c r="C337" s="93" t="e">
        <f>VLOOKUP($A337, 'Matriz POA 2024-TRABAJO'!$A$5:$CY$9142,11,FALSE)</f>
        <v>#N/A</v>
      </c>
      <c r="D337" s="93" t="e">
        <f>VLOOKUP($A337, 'Matriz POA 2024-TRABAJO'!$A$5:$CY$9142,14,FALSE)</f>
        <v>#N/A</v>
      </c>
      <c r="E337" s="93" t="e">
        <f>VLOOKUP($A337, 'Matriz POA 2024-TRABAJO'!$A$5:$CY$9142,15,FALSE)</f>
        <v>#N/A</v>
      </c>
      <c r="F337" s="93" t="e">
        <f>VLOOKUP($A337, 'Matriz POA 2024-TRABAJO'!$A$5:$CY$9142,18,FALSE)</f>
        <v>#N/A</v>
      </c>
      <c r="G337" s="93" t="e">
        <f>VLOOKUP($A337, 'Matriz POA 2024-TRABAJO'!$A$5:$CY$9142,23,FALSE)</f>
        <v>#N/A</v>
      </c>
      <c r="H337" s="93" t="e">
        <f>VLOOKUP($A337, 'Matriz POA 2024-TRABAJO'!$A$5:$CY$9142,24,FALSE)</f>
        <v>#N/A</v>
      </c>
      <c r="I337" s="93" t="e">
        <f>VLOOKUP($A337, 'Matriz POA 2024-TRABAJO'!$A$5:$CY$9142,20,FALSE)</f>
        <v>#N/A</v>
      </c>
      <c r="J337" s="93" t="e">
        <f>VLOOKUP($A337, 'Matriz POA 2024-TRABAJO'!$A$5:$CY$9142,26,FALSE)</f>
        <v>#N/A</v>
      </c>
      <c r="K337" s="93" t="e">
        <f>VLOOKUP($A337, 'Matriz POA 2024-TRABAJO'!$A$5:$CY$9142,27,FALSE)</f>
        <v>#N/A</v>
      </c>
      <c r="L337" s="93" t="e">
        <f>VLOOKUP($A337, 'Matriz POA 2024-TRABAJO'!$A$5:$CY$9142,28,FALSE)</f>
        <v>#N/A</v>
      </c>
      <c r="M337" s="93" t="e">
        <f>VLOOKUP($A337, 'Matriz POA 2024-TRABAJO'!$A$5:$CY$9142,30,FALSE)</f>
        <v>#N/A</v>
      </c>
      <c r="N337" s="93" t="e">
        <f>VLOOKUP($A337, 'Matriz POA 2024-TRABAJO'!$A$5:$CY$9142,31,FALSE)</f>
        <v>#N/A</v>
      </c>
      <c r="O337" s="93" t="e">
        <f>VLOOKUP($A337, 'Matriz POA 2024-TRABAJO'!$A$5:$CY$9142,45,FALSE)</f>
        <v>#N/A</v>
      </c>
      <c r="P337" s="93" t="e">
        <f>VLOOKUP($A337, 'Matriz POA 2024-TRABAJO'!$A$5:$CY$9142,46,FALSE)</f>
        <v>#N/A</v>
      </c>
      <c r="Q337" s="93" t="e">
        <f>VLOOKUP($A337, 'Matriz POA 2024-TRABAJO'!$A$5:$CY$9142,47,FALSE)</f>
        <v>#N/A</v>
      </c>
      <c r="R337" s="94">
        <f t="shared" si="217"/>
        <v>0</v>
      </c>
      <c r="S337" s="95" t="e">
        <f t="shared" si="218"/>
        <v>#N/A</v>
      </c>
      <c r="T337" s="93" t="e">
        <f>VLOOKUP($A337, 'Matriz POA 2024-TRABAJO'!$A$5:$CY$9142,72,FALSE)</f>
        <v>#N/A</v>
      </c>
      <c r="U337" s="93" t="e">
        <f>VLOOKUP($A337, 'Matriz POA 2024-TRABAJO'!$A$5:$CY$9142,29,FALSE)</f>
        <v>#N/A</v>
      </c>
      <c r="V337" s="93" t="str">
        <f t="shared" si="219"/>
        <v/>
      </c>
      <c r="W337" s="93"/>
      <c r="X337" s="93"/>
      <c r="Y337" s="93"/>
      <c r="Z337" s="93"/>
      <c r="AA337" s="93"/>
      <c r="AB337" s="93"/>
      <c r="AC337" s="93">
        <f t="shared" si="220"/>
        <v>0</v>
      </c>
      <c r="AD337" s="93"/>
      <c r="AE337" s="93"/>
      <c r="AF337" s="93"/>
      <c r="AG337" s="93"/>
      <c r="AH337" s="93"/>
      <c r="AI337" s="93"/>
      <c r="AJ337" s="93"/>
      <c r="AK337" s="93">
        <f t="shared" si="221"/>
        <v>0</v>
      </c>
      <c r="AL337" s="93"/>
      <c r="AM337" s="93"/>
      <c r="AN337" s="93"/>
      <c r="AO337" s="93"/>
      <c r="AP337" s="93"/>
      <c r="AQ337" s="93"/>
      <c r="AR337" s="93"/>
      <c r="AS337" s="93">
        <f t="shared" si="222"/>
        <v>0</v>
      </c>
      <c r="AT337" s="93"/>
      <c r="AU337" s="93"/>
      <c r="AV337" s="93"/>
      <c r="AW337" s="93"/>
      <c r="AX337" s="93"/>
      <c r="AY337" s="93"/>
      <c r="AZ337" s="93"/>
      <c r="BA337" s="93"/>
      <c r="BB337" s="93"/>
      <c r="BC337" s="93"/>
      <c r="BD337" s="93"/>
      <c r="BE337" s="93"/>
      <c r="BF337" s="93"/>
      <c r="BG337" s="93"/>
      <c r="BH337" s="93"/>
      <c r="BI337" s="93"/>
      <c r="BJ337" s="93"/>
      <c r="BK337" s="93"/>
      <c r="BL337" s="93"/>
      <c r="BM337" s="93"/>
      <c r="BN337" s="93"/>
      <c r="BO337" s="93"/>
      <c r="BP337" s="93"/>
      <c r="BQ337" s="93"/>
      <c r="BR337" s="93"/>
      <c r="BS337" s="93"/>
      <c r="BT337" s="93"/>
      <c r="BU337" s="93"/>
      <c r="BV337" s="93"/>
      <c r="BW337" s="93"/>
      <c r="BX337" s="93"/>
      <c r="BY337" s="93"/>
      <c r="BZ337" s="93"/>
      <c r="CA337" s="93"/>
      <c r="CB337" s="93"/>
      <c r="CC337" s="93"/>
      <c r="CD337" s="93"/>
      <c r="CE337" s="93"/>
      <c r="CF337" s="93"/>
      <c r="CG337" s="93"/>
      <c r="CH337" s="93"/>
      <c r="CI337" s="93"/>
      <c r="CJ337" s="93"/>
      <c r="CK337" s="93"/>
      <c r="CL337" s="93"/>
      <c r="CM337" s="93"/>
      <c r="CN337" s="93"/>
      <c r="CO337" s="93"/>
      <c r="CP337" s="93"/>
      <c r="CQ337" s="93"/>
      <c r="CR337" s="93"/>
      <c r="CS337" s="93"/>
      <c r="CT337" s="93"/>
      <c r="CU337" s="93"/>
      <c r="CV337" s="93"/>
      <c r="CW337" s="93"/>
      <c r="CX337" s="93"/>
    </row>
    <row r="338" spans="1:102" ht="15" hidden="1" customHeight="1">
      <c r="A338" s="93"/>
      <c r="B338" s="93" t="e">
        <f>VLOOKUP($A338,  'Matriz POA 2024-TRABAJO'!$A$5:$CY$9142,29,FALSE)</f>
        <v>#N/A</v>
      </c>
      <c r="C338" s="93" t="e">
        <f>VLOOKUP($A338, 'Matriz POA 2024-TRABAJO'!$A$5:$CY$9142,11,FALSE)</f>
        <v>#N/A</v>
      </c>
      <c r="D338" s="93" t="e">
        <f>VLOOKUP($A338, 'Matriz POA 2024-TRABAJO'!$A$5:$CY$9142,14,FALSE)</f>
        <v>#N/A</v>
      </c>
      <c r="E338" s="93" t="e">
        <f>VLOOKUP($A338, 'Matriz POA 2024-TRABAJO'!$A$5:$CY$9142,15,FALSE)</f>
        <v>#N/A</v>
      </c>
      <c r="F338" s="93" t="e">
        <f>VLOOKUP($A338, 'Matriz POA 2024-TRABAJO'!$A$5:$CY$9142,18,FALSE)</f>
        <v>#N/A</v>
      </c>
      <c r="G338" s="93" t="e">
        <f>VLOOKUP($A338, 'Matriz POA 2024-TRABAJO'!$A$5:$CY$9142,23,FALSE)</f>
        <v>#N/A</v>
      </c>
      <c r="H338" s="93" t="e">
        <f>VLOOKUP($A338, 'Matriz POA 2024-TRABAJO'!$A$5:$CY$9142,24,FALSE)</f>
        <v>#N/A</v>
      </c>
      <c r="I338" s="93" t="e">
        <f>VLOOKUP($A338, 'Matriz POA 2024-TRABAJO'!$A$5:$CY$9142,20,FALSE)</f>
        <v>#N/A</v>
      </c>
      <c r="J338" s="93" t="e">
        <f>VLOOKUP($A338, 'Matriz POA 2024-TRABAJO'!$A$5:$CY$9142,26,FALSE)</f>
        <v>#N/A</v>
      </c>
      <c r="K338" s="93" t="e">
        <f>VLOOKUP($A338, 'Matriz POA 2024-TRABAJO'!$A$5:$CY$9142,27,FALSE)</f>
        <v>#N/A</v>
      </c>
      <c r="L338" s="93" t="e">
        <f>VLOOKUP($A338, 'Matriz POA 2024-TRABAJO'!$A$5:$CY$9142,28,FALSE)</f>
        <v>#N/A</v>
      </c>
      <c r="M338" s="93" t="e">
        <f>VLOOKUP($A338, 'Matriz POA 2024-TRABAJO'!$A$5:$CY$9142,30,FALSE)</f>
        <v>#N/A</v>
      </c>
      <c r="N338" s="93" t="e">
        <f>VLOOKUP($A338, 'Matriz POA 2024-TRABAJO'!$A$5:$CY$9142,31,FALSE)</f>
        <v>#N/A</v>
      </c>
      <c r="O338" s="93" t="e">
        <f>VLOOKUP($A338, 'Matriz POA 2024-TRABAJO'!$A$5:$CY$9142,45,FALSE)</f>
        <v>#N/A</v>
      </c>
      <c r="P338" s="93" t="e">
        <f>VLOOKUP($A338, 'Matriz POA 2024-TRABAJO'!$A$5:$CY$9142,46,FALSE)</f>
        <v>#N/A</v>
      </c>
      <c r="Q338" s="93" t="e">
        <f>VLOOKUP($A338, 'Matriz POA 2024-TRABAJO'!$A$5:$CY$9142,47,FALSE)</f>
        <v>#N/A</v>
      </c>
      <c r="R338" s="94">
        <f t="shared" si="217"/>
        <v>0</v>
      </c>
      <c r="S338" s="95" t="e">
        <f t="shared" si="218"/>
        <v>#N/A</v>
      </c>
      <c r="T338" s="93" t="e">
        <f>VLOOKUP($A338, 'Matriz POA 2024-TRABAJO'!$A$5:$CY$9142,72,FALSE)</f>
        <v>#N/A</v>
      </c>
      <c r="U338" s="93" t="e">
        <f>VLOOKUP($A338, 'Matriz POA 2024-TRABAJO'!$A$5:$CY$9142,29,FALSE)</f>
        <v>#N/A</v>
      </c>
      <c r="V338" s="93" t="str">
        <f t="shared" si="219"/>
        <v/>
      </c>
      <c r="W338" s="93"/>
      <c r="X338" s="93"/>
      <c r="Y338" s="93"/>
      <c r="Z338" s="93"/>
      <c r="AA338" s="93"/>
      <c r="AB338" s="93"/>
      <c r="AC338" s="93">
        <f t="shared" si="220"/>
        <v>0</v>
      </c>
      <c r="AD338" s="93"/>
      <c r="AE338" s="93"/>
      <c r="AF338" s="93"/>
      <c r="AG338" s="93"/>
      <c r="AH338" s="93"/>
      <c r="AI338" s="93"/>
      <c r="AJ338" s="93"/>
      <c r="AK338" s="93">
        <f t="shared" si="221"/>
        <v>0</v>
      </c>
      <c r="AL338" s="93"/>
      <c r="AM338" s="93"/>
      <c r="AN338" s="93"/>
      <c r="AO338" s="93"/>
      <c r="AP338" s="93"/>
      <c r="AQ338" s="93"/>
      <c r="AR338" s="93"/>
      <c r="AS338" s="93">
        <f t="shared" si="222"/>
        <v>0</v>
      </c>
      <c r="AT338" s="93"/>
      <c r="AU338" s="93"/>
      <c r="AV338" s="93"/>
      <c r="AW338" s="93"/>
      <c r="AX338" s="93"/>
      <c r="AY338" s="93"/>
      <c r="AZ338" s="93"/>
      <c r="BA338" s="93"/>
      <c r="BB338" s="93"/>
      <c r="BC338" s="93"/>
      <c r="BD338" s="93"/>
      <c r="BE338" s="93"/>
      <c r="BF338" s="93"/>
      <c r="BG338" s="93"/>
      <c r="BH338" s="93"/>
      <c r="BI338" s="93"/>
      <c r="BJ338" s="93"/>
      <c r="BK338" s="93"/>
      <c r="BL338" s="93"/>
      <c r="BM338" s="93"/>
      <c r="BN338" s="93"/>
      <c r="BO338" s="93"/>
      <c r="BP338" s="93"/>
      <c r="BQ338" s="93"/>
      <c r="BR338" s="93"/>
      <c r="BS338" s="93"/>
      <c r="BT338" s="93"/>
      <c r="BU338" s="93"/>
      <c r="BV338" s="93"/>
      <c r="BW338" s="93"/>
      <c r="BX338" s="93"/>
      <c r="BY338" s="93"/>
      <c r="BZ338" s="93"/>
      <c r="CA338" s="93"/>
      <c r="CB338" s="93"/>
      <c r="CC338" s="93"/>
      <c r="CD338" s="93"/>
      <c r="CE338" s="93"/>
      <c r="CF338" s="93"/>
      <c r="CG338" s="93"/>
      <c r="CH338" s="93"/>
      <c r="CI338" s="93"/>
      <c r="CJ338" s="93"/>
      <c r="CK338" s="93"/>
      <c r="CL338" s="93"/>
      <c r="CM338" s="93"/>
      <c r="CN338" s="93"/>
      <c r="CO338" s="93"/>
      <c r="CP338" s="93"/>
      <c r="CQ338" s="93"/>
      <c r="CR338" s="93"/>
      <c r="CS338" s="93"/>
      <c r="CT338" s="93"/>
      <c r="CU338" s="93"/>
      <c r="CV338" s="93"/>
      <c r="CW338" s="93"/>
      <c r="CX338" s="93"/>
    </row>
    <row r="339" spans="1:102" ht="15" hidden="1" customHeight="1">
      <c r="A339" s="93"/>
      <c r="B339" s="93" t="e">
        <f>VLOOKUP($A339,  'Matriz POA 2024-TRABAJO'!$A$5:$CY$9142,29,FALSE)</f>
        <v>#N/A</v>
      </c>
      <c r="C339" s="93" t="e">
        <f>VLOOKUP($A339, 'Matriz POA 2024-TRABAJO'!$A$5:$CY$9142,11,FALSE)</f>
        <v>#N/A</v>
      </c>
      <c r="D339" s="93" t="e">
        <f>VLOOKUP($A339, 'Matriz POA 2024-TRABAJO'!$A$5:$CY$9142,14,FALSE)</f>
        <v>#N/A</v>
      </c>
      <c r="E339" s="93" t="e">
        <f>VLOOKUP($A339, 'Matriz POA 2024-TRABAJO'!$A$5:$CY$9142,15,FALSE)</f>
        <v>#N/A</v>
      </c>
      <c r="F339" s="93" t="e">
        <f>VLOOKUP($A339, 'Matriz POA 2024-TRABAJO'!$A$5:$CY$9142,18,FALSE)</f>
        <v>#N/A</v>
      </c>
      <c r="G339" s="93" t="e">
        <f>VLOOKUP($A339, 'Matriz POA 2024-TRABAJO'!$A$5:$CY$9142,23,FALSE)</f>
        <v>#N/A</v>
      </c>
      <c r="H339" s="93" t="e">
        <f>VLOOKUP($A339, 'Matriz POA 2024-TRABAJO'!$A$5:$CY$9142,24,FALSE)</f>
        <v>#N/A</v>
      </c>
      <c r="I339" s="93" t="e">
        <f>VLOOKUP($A339, 'Matriz POA 2024-TRABAJO'!$A$5:$CY$9142,20,FALSE)</f>
        <v>#N/A</v>
      </c>
      <c r="J339" s="93" t="e">
        <f>VLOOKUP($A339, 'Matriz POA 2024-TRABAJO'!$A$5:$CY$9142,26,FALSE)</f>
        <v>#N/A</v>
      </c>
      <c r="K339" s="93" t="e">
        <f>VLOOKUP($A339, 'Matriz POA 2024-TRABAJO'!$A$5:$CY$9142,27,FALSE)</f>
        <v>#N/A</v>
      </c>
      <c r="L339" s="93" t="e">
        <f>VLOOKUP($A339, 'Matriz POA 2024-TRABAJO'!$A$5:$CY$9142,28,FALSE)</f>
        <v>#N/A</v>
      </c>
      <c r="M339" s="93" t="e">
        <f>VLOOKUP($A339, 'Matriz POA 2024-TRABAJO'!$A$5:$CY$9142,30,FALSE)</f>
        <v>#N/A</v>
      </c>
      <c r="N339" s="93" t="e">
        <f>VLOOKUP($A339, 'Matriz POA 2024-TRABAJO'!$A$5:$CY$9142,31,FALSE)</f>
        <v>#N/A</v>
      </c>
      <c r="O339" s="93" t="e">
        <f>VLOOKUP($A339, 'Matriz POA 2024-TRABAJO'!$A$5:$CY$9142,45,FALSE)</f>
        <v>#N/A</v>
      </c>
      <c r="P339" s="93" t="e">
        <f>VLOOKUP($A339, 'Matriz POA 2024-TRABAJO'!$A$5:$CY$9142,46,FALSE)</f>
        <v>#N/A</v>
      </c>
      <c r="Q339" s="93" t="e">
        <f>VLOOKUP($A339, 'Matriz POA 2024-TRABAJO'!$A$5:$CY$9142,47,FALSE)</f>
        <v>#N/A</v>
      </c>
      <c r="R339" s="94">
        <f t="shared" si="217"/>
        <v>0</v>
      </c>
      <c r="S339" s="95" t="e">
        <f t="shared" si="218"/>
        <v>#N/A</v>
      </c>
      <c r="T339" s="93" t="e">
        <f>VLOOKUP($A339, 'Matriz POA 2024-TRABAJO'!$A$5:$CY$9142,72,FALSE)</f>
        <v>#N/A</v>
      </c>
      <c r="U339" s="93" t="e">
        <f>VLOOKUP($A339, 'Matriz POA 2024-TRABAJO'!$A$5:$CY$9142,29,FALSE)</f>
        <v>#N/A</v>
      </c>
      <c r="V339" s="93" t="str">
        <f t="shared" si="219"/>
        <v/>
      </c>
      <c r="W339" s="93"/>
      <c r="X339" s="93"/>
      <c r="Y339" s="93"/>
      <c r="Z339" s="93"/>
      <c r="AA339" s="93"/>
      <c r="AB339" s="93"/>
      <c r="AC339" s="93">
        <f t="shared" si="220"/>
        <v>0</v>
      </c>
      <c r="AD339" s="93"/>
      <c r="AE339" s="93"/>
      <c r="AF339" s="93"/>
      <c r="AG339" s="93"/>
      <c r="AH339" s="93"/>
      <c r="AI339" s="93"/>
      <c r="AJ339" s="93"/>
      <c r="AK339" s="93">
        <f t="shared" si="221"/>
        <v>0</v>
      </c>
      <c r="AL339" s="93"/>
      <c r="AM339" s="93"/>
      <c r="AN339" s="93"/>
      <c r="AO339" s="93"/>
      <c r="AP339" s="93"/>
      <c r="AQ339" s="93"/>
      <c r="AR339" s="93"/>
      <c r="AS339" s="93">
        <f t="shared" si="222"/>
        <v>0</v>
      </c>
      <c r="AT339" s="93"/>
      <c r="AU339" s="93"/>
      <c r="AV339" s="93"/>
      <c r="AW339" s="93"/>
      <c r="AX339" s="93"/>
      <c r="AY339" s="93"/>
      <c r="AZ339" s="93"/>
      <c r="BA339" s="93"/>
      <c r="BB339" s="93"/>
      <c r="BC339" s="93"/>
      <c r="BD339" s="93"/>
      <c r="BE339" s="93"/>
      <c r="BF339" s="93"/>
      <c r="BG339" s="93"/>
      <c r="BH339" s="93"/>
      <c r="BI339" s="93"/>
      <c r="BJ339" s="93"/>
      <c r="BK339" s="93"/>
      <c r="BL339" s="93"/>
      <c r="BM339" s="93"/>
      <c r="BN339" s="93"/>
      <c r="BO339" s="93"/>
      <c r="BP339" s="93"/>
      <c r="BQ339" s="93"/>
      <c r="BR339" s="93"/>
      <c r="BS339" s="93"/>
      <c r="BT339" s="93"/>
      <c r="BU339" s="93"/>
      <c r="BV339" s="93"/>
      <c r="BW339" s="93"/>
      <c r="BX339" s="93"/>
      <c r="BY339" s="93"/>
      <c r="BZ339" s="93"/>
      <c r="CA339" s="93"/>
      <c r="CB339" s="93"/>
      <c r="CC339" s="93"/>
      <c r="CD339" s="93"/>
      <c r="CE339" s="93"/>
      <c r="CF339" s="93"/>
      <c r="CG339" s="93"/>
      <c r="CH339" s="93"/>
      <c r="CI339" s="93"/>
      <c r="CJ339" s="93"/>
      <c r="CK339" s="93"/>
      <c r="CL339" s="93"/>
      <c r="CM339" s="93"/>
      <c r="CN339" s="93"/>
      <c r="CO339" s="93"/>
      <c r="CP339" s="93"/>
      <c r="CQ339" s="93"/>
      <c r="CR339" s="93"/>
      <c r="CS339" s="93"/>
      <c r="CT339" s="93"/>
      <c r="CU339" s="93"/>
      <c r="CV339" s="93"/>
      <c r="CW339" s="93"/>
      <c r="CX339" s="93"/>
    </row>
    <row r="340" spans="1:102" ht="15" hidden="1" customHeight="1">
      <c r="A340" s="93"/>
      <c r="B340" s="93" t="e">
        <f>VLOOKUP($A340,  'Matriz POA 2024-TRABAJO'!$A$5:$CY$9142,29,FALSE)</f>
        <v>#N/A</v>
      </c>
      <c r="C340" s="93" t="e">
        <f>VLOOKUP($A340, 'Matriz POA 2024-TRABAJO'!$A$5:$CY$9142,11,FALSE)</f>
        <v>#N/A</v>
      </c>
      <c r="D340" s="93" t="e">
        <f>VLOOKUP($A340, 'Matriz POA 2024-TRABAJO'!$A$5:$CY$9142,14,FALSE)</f>
        <v>#N/A</v>
      </c>
      <c r="E340" s="93" t="e">
        <f>VLOOKUP($A340, 'Matriz POA 2024-TRABAJO'!$A$5:$CY$9142,15,FALSE)</f>
        <v>#N/A</v>
      </c>
      <c r="F340" s="93" t="e">
        <f>VLOOKUP($A340, 'Matriz POA 2024-TRABAJO'!$A$5:$CY$9142,18,FALSE)</f>
        <v>#N/A</v>
      </c>
      <c r="G340" s="93" t="e">
        <f>VLOOKUP($A340, 'Matriz POA 2024-TRABAJO'!$A$5:$CY$9142,23,FALSE)</f>
        <v>#N/A</v>
      </c>
      <c r="H340" s="93" t="e">
        <f>VLOOKUP($A340, 'Matriz POA 2024-TRABAJO'!$A$5:$CY$9142,24,FALSE)</f>
        <v>#N/A</v>
      </c>
      <c r="I340" s="93" t="e">
        <f>VLOOKUP($A340, 'Matriz POA 2024-TRABAJO'!$A$5:$CY$9142,20,FALSE)</f>
        <v>#N/A</v>
      </c>
      <c r="J340" s="93" t="e">
        <f>VLOOKUP($A340, 'Matriz POA 2024-TRABAJO'!$A$5:$CY$9142,26,FALSE)</f>
        <v>#N/A</v>
      </c>
      <c r="K340" s="93" t="e">
        <f>VLOOKUP($A340, 'Matriz POA 2024-TRABAJO'!$A$5:$CY$9142,27,FALSE)</f>
        <v>#N/A</v>
      </c>
      <c r="L340" s="93" t="e">
        <f>VLOOKUP($A340, 'Matriz POA 2024-TRABAJO'!$A$5:$CY$9142,28,FALSE)</f>
        <v>#N/A</v>
      </c>
      <c r="M340" s="93" t="e">
        <f>VLOOKUP($A340, 'Matriz POA 2024-TRABAJO'!$A$5:$CY$9142,30,FALSE)</f>
        <v>#N/A</v>
      </c>
      <c r="N340" s="93" t="e">
        <f>VLOOKUP($A340, 'Matriz POA 2024-TRABAJO'!$A$5:$CY$9142,31,FALSE)</f>
        <v>#N/A</v>
      </c>
      <c r="O340" s="93" t="e">
        <f>VLOOKUP($A340, 'Matriz POA 2024-TRABAJO'!$A$5:$CY$9142,45,FALSE)</f>
        <v>#N/A</v>
      </c>
      <c r="P340" s="93" t="e">
        <f>VLOOKUP($A340, 'Matriz POA 2024-TRABAJO'!$A$5:$CY$9142,46,FALSE)</f>
        <v>#N/A</v>
      </c>
      <c r="Q340" s="93" t="e">
        <f>VLOOKUP($A340, 'Matriz POA 2024-TRABAJO'!$A$5:$CY$9142,47,FALSE)</f>
        <v>#N/A</v>
      </c>
      <c r="R340" s="94">
        <f t="shared" si="217"/>
        <v>0</v>
      </c>
      <c r="S340" s="95" t="e">
        <f t="shared" si="218"/>
        <v>#N/A</v>
      </c>
      <c r="T340" s="93" t="e">
        <f>VLOOKUP($A340, 'Matriz POA 2024-TRABAJO'!$A$5:$CY$9142,72,FALSE)</f>
        <v>#N/A</v>
      </c>
      <c r="U340" s="93" t="e">
        <f>VLOOKUP($A340, 'Matriz POA 2024-TRABAJO'!$A$5:$CY$9142,29,FALSE)</f>
        <v>#N/A</v>
      </c>
      <c r="V340" s="93" t="str">
        <f t="shared" si="219"/>
        <v/>
      </c>
      <c r="W340" s="93"/>
      <c r="X340" s="93"/>
      <c r="Y340" s="93"/>
      <c r="Z340" s="93"/>
      <c r="AA340" s="93"/>
      <c r="AB340" s="93"/>
      <c r="AC340" s="93">
        <f t="shared" si="220"/>
        <v>0</v>
      </c>
      <c r="AD340" s="93"/>
      <c r="AE340" s="93"/>
      <c r="AF340" s="93"/>
      <c r="AG340" s="93"/>
      <c r="AH340" s="93"/>
      <c r="AI340" s="93"/>
      <c r="AJ340" s="93"/>
      <c r="AK340" s="93">
        <f t="shared" si="221"/>
        <v>0</v>
      </c>
      <c r="AL340" s="93"/>
      <c r="AM340" s="93"/>
      <c r="AN340" s="93"/>
      <c r="AO340" s="93"/>
      <c r="AP340" s="93"/>
      <c r="AQ340" s="93"/>
      <c r="AR340" s="93"/>
      <c r="AS340" s="93">
        <f t="shared" si="222"/>
        <v>0</v>
      </c>
      <c r="AT340" s="93"/>
      <c r="AU340" s="93"/>
      <c r="AV340" s="93"/>
      <c r="AW340" s="93"/>
      <c r="AX340" s="93"/>
      <c r="AY340" s="93"/>
      <c r="AZ340" s="93"/>
      <c r="BA340" s="93"/>
      <c r="BB340" s="93"/>
      <c r="BC340" s="93"/>
      <c r="BD340" s="93"/>
      <c r="BE340" s="93"/>
      <c r="BF340" s="93"/>
      <c r="BG340" s="93"/>
      <c r="BH340" s="93"/>
      <c r="BI340" s="93"/>
      <c r="BJ340" s="93"/>
      <c r="BK340" s="93"/>
      <c r="BL340" s="93"/>
      <c r="BM340" s="93"/>
      <c r="BN340" s="93"/>
      <c r="BO340" s="93"/>
      <c r="BP340" s="93"/>
      <c r="BQ340" s="93"/>
      <c r="BR340" s="93"/>
      <c r="BS340" s="93"/>
      <c r="BT340" s="93"/>
      <c r="BU340" s="93"/>
      <c r="BV340" s="93"/>
      <c r="BW340" s="93"/>
      <c r="BX340" s="93"/>
      <c r="BY340" s="93"/>
      <c r="BZ340" s="93"/>
      <c r="CA340" s="93"/>
      <c r="CB340" s="93"/>
      <c r="CC340" s="93"/>
      <c r="CD340" s="93"/>
      <c r="CE340" s="93"/>
      <c r="CF340" s="93"/>
      <c r="CG340" s="93"/>
      <c r="CH340" s="93"/>
      <c r="CI340" s="93"/>
      <c r="CJ340" s="93"/>
      <c r="CK340" s="93"/>
      <c r="CL340" s="93"/>
      <c r="CM340" s="93"/>
      <c r="CN340" s="93"/>
      <c r="CO340" s="93"/>
      <c r="CP340" s="93"/>
      <c r="CQ340" s="93"/>
      <c r="CR340" s="93"/>
      <c r="CS340" s="93"/>
      <c r="CT340" s="93"/>
      <c r="CU340" s="93"/>
      <c r="CV340" s="93"/>
      <c r="CW340" s="93"/>
      <c r="CX340" s="93"/>
    </row>
    <row r="341" spans="1:102" ht="15" hidden="1" customHeight="1">
      <c r="A341" s="93"/>
      <c r="B341" s="93" t="e">
        <f>VLOOKUP($A341,  'Matriz POA 2024-TRABAJO'!$A$5:$CY$9142,29,FALSE)</f>
        <v>#N/A</v>
      </c>
      <c r="C341" s="93" t="e">
        <f>VLOOKUP($A341, 'Matriz POA 2024-TRABAJO'!$A$5:$CY$9142,11,FALSE)</f>
        <v>#N/A</v>
      </c>
      <c r="D341" s="93" t="e">
        <f>VLOOKUP($A341, 'Matriz POA 2024-TRABAJO'!$A$5:$CY$9142,14,FALSE)</f>
        <v>#N/A</v>
      </c>
      <c r="E341" s="93" t="e">
        <f>VLOOKUP($A341, 'Matriz POA 2024-TRABAJO'!$A$5:$CY$9142,15,FALSE)</f>
        <v>#N/A</v>
      </c>
      <c r="F341" s="93" t="e">
        <f>VLOOKUP($A341, 'Matriz POA 2024-TRABAJO'!$A$5:$CY$9142,18,FALSE)</f>
        <v>#N/A</v>
      </c>
      <c r="G341" s="93" t="e">
        <f>VLOOKUP($A341, 'Matriz POA 2024-TRABAJO'!$A$5:$CY$9142,23,FALSE)</f>
        <v>#N/A</v>
      </c>
      <c r="H341" s="93" t="e">
        <f>VLOOKUP($A341, 'Matriz POA 2024-TRABAJO'!$A$5:$CY$9142,24,FALSE)</f>
        <v>#N/A</v>
      </c>
      <c r="I341" s="93" t="e">
        <f>VLOOKUP($A341, 'Matriz POA 2024-TRABAJO'!$A$5:$CY$9142,20,FALSE)</f>
        <v>#N/A</v>
      </c>
      <c r="J341" s="93" t="e">
        <f>VLOOKUP($A341, 'Matriz POA 2024-TRABAJO'!$A$5:$CY$9142,26,FALSE)</f>
        <v>#N/A</v>
      </c>
      <c r="K341" s="93" t="e">
        <f>VLOOKUP($A341, 'Matriz POA 2024-TRABAJO'!$A$5:$CY$9142,27,FALSE)</f>
        <v>#N/A</v>
      </c>
      <c r="L341" s="93" t="e">
        <f>VLOOKUP($A341, 'Matriz POA 2024-TRABAJO'!$A$5:$CY$9142,28,FALSE)</f>
        <v>#N/A</v>
      </c>
      <c r="M341" s="93" t="e">
        <f>VLOOKUP($A341, 'Matriz POA 2024-TRABAJO'!$A$5:$CY$9142,30,FALSE)</f>
        <v>#N/A</v>
      </c>
      <c r="N341" s="93" t="e">
        <f>VLOOKUP($A341, 'Matriz POA 2024-TRABAJO'!$A$5:$CY$9142,31,FALSE)</f>
        <v>#N/A</v>
      </c>
      <c r="O341" s="93" t="e">
        <f>VLOOKUP($A341, 'Matriz POA 2024-TRABAJO'!$A$5:$CY$9142,45,FALSE)</f>
        <v>#N/A</v>
      </c>
      <c r="P341" s="93" t="e">
        <f>VLOOKUP($A341, 'Matriz POA 2024-TRABAJO'!$A$5:$CY$9142,46,FALSE)</f>
        <v>#N/A</v>
      </c>
      <c r="Q341" s="93" t="e">
        <f>VLOOKUP($A341, 'Matriz POA 2024-TRABAJO'!$A$5:$CY$9142,47,FALSE)</f>
        <v>#N/A</v>
      </c>
      <c r="R341" s="94">
        <f t="shared" si="217"/>
        <v>0</v>
      </c>
      <c r="S341" s="95" t="e">
        <f t="shared" si="218"/>
        <v>#N/A</v>
      </c>
      <c r="T341" s="93" t="e">
        <f>VLOOKUP($A341, 'Matriz POA 2024-TRABAJO'!$A$5:$CY$9142,72,FALSE)</f>
        <v>#N/A</v>
      </c>
      <c r="U341" s="93" t="e">
        <f>VLOOKUP($A341, 'Matriz POA 2024-TRABAJO'!$A$5:$CY$9142,29,FALSE)</f>
        <v>#N/A</v>
      </c>
      <c r="V341" s="93" t="str">
        <f t="shared" si="219"/>
        <v/>
      </c>
      <c r="W341" s="93"/>
      <c r="X341" s="93"/>
      <c r="Y341" s="93"/>
      <c r="Z341" s="93"/>
      <c r="AA341" s="93"/>
      <c r="AB341" s="93"/>
      <c r="AC341" s="93">
        <f t="shared" si="220"/>
        <v>0</v>
      </c>
      <c r="AD341" s="93"/>
      <c r="AE341" s="93"/>
      <c r="AF341" s="93"/>
      <c r="AG341" s="93"/>
      <c r="AH341" s="93"/>
      <c r="AI341" s="93"/>
      <c r="AJ341" s="93"/>
      <c r="AK341" s="93">
        <f t="shared" si="221"/>
        <v>0</v>
      </c>
      <c r="AL341" s="93"/>
      <c r="AM341" s="93"/>
      <c r="AN341" s="93"/>
      <c r="AO341" s="93"/>
      <c r="AP341" s="93"/>
      <c r="AQ341" s="93"/>
      <c r="AR341" s="93"/>
      <c r="AS341" s="93">
        <f t="shared" si="222"/>
        <v>0</v>
      </c>
      <c r="AT341" s="93"/>
      <c r="AU341" s="93"/>
      <c r="AV341" s="93"/>
      <c r="AW341" s="93"/>
      <c r="AX341" s="93"/>
      <c r="AY341" s="93"/>
      <c r="AZ341" s="93"/>
      <c r="BA341" s="93"/>
      <c r="BB341" s="93"/>
      <c r="BC341" s="93"/>
      <c r="BD341" s="93"/>
      <c r="BE341" s="93"/>
      <c r="BF341" s="93"/>
      <c r="BG341" s="93"/>
      <c r="BH341" s="93"/>
      <c r="BI341" s="93"/>
      <c r="BJ341" s="93"/>
      <c r="BK341" s="93"/>
      <c r="BL341" s="93"/>
      <c r="BM341" s="93"/>
      <c r="BN341" s="93"/>
      <c r="BO341" s="93"/>
      <c r="BP341" s="93"/>
      <c r="BQ341" s="93"/>
      <c r="BR341" s="93"/>
      <c r="BS341" s="93"/>
      <c r="BT341" s="93"/>
      <c r="BU341" s="93"/>
      <c r="BV341" s="93"/>
      <c r="BW341" s="93"/>
      <c r="BX341" s="93"/>
      <c r="BY341" s="93"/>
      <c r="BZ341" s="93"/>
      <c r="CA341" s="93"/>
      <c r="CB341" s="93"/>
      <c r="CC341" s="93"/>
      <c r="CD341" s="93"/>
      <c r="CE341" s="93"/>
      <c r="CF341" s="93"/>
      <c r="CG341" s="93"/>
      <c r="CH341" s="93"/>
      <c r="CI341" s="93"/>
      <c r="CJ341" s="93"/>
      <c r="CK341" s="93"/>
      <c r="CL341" s="93"/>
      <c r="CM341" s="93"/>
      <c r="CN341" s="93"/>
      <c r="CO341" s="93"/>
      <c r="CP341" s="93"/>
      <c r="CQ341" s="93"/>
      <c r="CR341" s="93"/>
      <c r="CS341" s="93"/>
      <c r="CT341" s="93"/>
      <c r="CU341" s="93"/>
      <c r="CV341" s="93"/>
      <c r="CW341" s="93"/>
      <c r="CX341" s="93"/>
    </row>
    <row r="342" spans="1:102" ht="15" hidden="1" customHeight="1">
      <c r="A342" s="93"/>
      <c r="B342" s="93" t="e">
        <f>VLOOKUP($A342,  'Matriz POA 2024-TRABAJO'!$A$5:$CY$9142,29,FALSE)</f>
        <v>#N/A</v>
      </c>
      <c r="C342" s="93" t="e">
        <f>VLOOKUP($A342, 'Matriz POA 2024-TRABAJO'!$A$5:$CY$9142,11,FALSE)</f>
        <v>#N/A</v>
      </c>
      <c r="D342" s="93" t="e">
        <f>VLOOKUP($A342, 'Matriz POA 2024-TRABAJO'!$A$5:$CY$9142,14,FALSE)</f>
        <v>#N/A</v>
      </c>
      <c r="E342" s="93" t="e">
        <f>VLOOKUP($A342, 'Matriz POA 2024-TRABAJO'!$A$5:$CY$9142,15,FALSE)</f>
        <v>#N/A</v>
      </c>
      <c r="F342" s="93" t="e">
        <f>VLOOKUP($A342, 'Matriz POA 2024-TRABAJO'!$A$5:$CY$9142,18,FALSE)</f>
        <v>#N/A</v>
      </c>
      <c r="G342" s="93" t="e">
        <f>VLOOKUP($A342, 'Matriz POA 2024-TRABAJO'!$A$5:$CY$9142,23,FALSE)</f>
        <v>#N/A</v>
      </c>
      <c r="H342" s="93" t="e">
        <f>VLOOKUP($A342, 'Matriz POA 2024-TRABAJO'!$A$5:$CY$9142,24,FALSE)</f>
        <v>#N/A</v>
      </c>
      <c r="I342" s="93" t="e">
        <f>VLOOKUP($A342, 'Matriz POA 2024-TRABAJO'!$A$5:$CY$9142,20,FALSE)</f>
        <v>#N/A</v>
      </c>
      <c r="J342" s="93" t="e">
        <f>VLOOKUP($A342, 'Matriz POA 2024-TRABAJO'!$A$5:$CY$9142,26,FALSE)</f>
        <v>#N/A</v>
      </c>
      <c r="K342" s="93" t="e">
        <f>VLOOKUP($A342, 'Matriz POA 2024-TRABAJO'!$A$5:$CY$9142,27,FALSE)</f>
        <v>#N/A</v>
      </c>
      <c r="L342" s="93" t="e">
        <f>VLOOKUP($A342, 'Matriz POA 2024-TRABAJO'!$A$5:$CY$9142,28,FALSE)</f>
        <v>#N/A</v>
      </c>
      <c r="M342" s="93" t="e">
        <f>VLOOKUP($A342, 'Matriz POA 2024-TRABAJO'!$A$5:$CY$9142,30,FALSE)</f>
        <v>#N/A</v>
      </c>
      <c r="N342" s="93" t="e">
        <f>VLOOKUP($A342, 'Matriz POA 2024-TRABAJO'!$A$5:$CY$9142,31,FALSE)</f>
        <v>#N/A</v>
      </c>
      <c r="O342" s="93" t="e">
        <f>VLOOKUP($A342, 'Matriz POA 2024-TRABAJO'!$A$5:$CY$9142,45,FALSE)</f>
        <v>#N/A</v>
      </c>
      <c r="P342" s="93" t="e">
        <f>VLOOKUP($A342, 'Matriz POA 2024-TRABAJO'!$A$5:$CY$9142,46,FALSE)</f>
        <v>#N/A</v>
      </c>
      <c r="Q342" s="93" t="e">
        <f>VLOOKUP($A342, 'Matriz POA 2024-TRABAJO'!$A$5:$CY$9142,47,FALSE)</f>
        <v>#N/A</v>
      </c>
      <c r="R342" s="94">
        <f t="shared" si="217"/>
        <v>0</v>
      </c>
      <c r="S342" s="95" t="e">
        <f t="shared" si="218"/>
        <v>#N/A</v>
      </c>
      <c r="T342" s="93" t="e">
        <f>VLOOKUP($A342, 'Matriz POA 2024-TRABAJO'!$A$5:$CY$9142,72,FALSE)</f>
        <v>#N/A</v>
      </c>
      <c r="U342" s="93" t="e">
        <f>VLOOKUP($A342, 'Matriz POA 2024-TRABAJO'!$A$5:$CY$9142,29,FALSE)</f>
        <v>#N/A</v>
      </c>
      <c r="V342" s="93" t="str">
        <f t="shared" si="219"/>
        <v/>
      </c>
      <c r="W342" s="93"/>
      <c r="X342" s="93"/>
      <c r="Y342" s="93"/>
      <c r="Z342" s="93"/>
      <c r="AA342" s="93"/>
      <c r="AB342" s="93"/>
      <c r="AC342" s="93">
        <f t="shared" si="220"/>
        <v>0</v>
      </c>
      <c r="AD342" s="93"/>
      <c r="AE342" s="93"/>
      <c r="AF342" s="93"/>
      <c r="AG342" s="93"/>
      <c r="AH342" s="93"/>
      <c r="AI342" s="93"/>
      <c r="AJ342" s="93"/>
      <c r="AK342" s="93">
        <f t="shared" si="221"/>
        <v>0</v>
      </c>
      <c r="AL342" s="93"/>
      <c r="AM342" s="93"/>
      <c r="AN342" s="93"/>
      <c r="AO342" s="93"/>
      <c r="AP342" s="93"/>
      <c r="AQ342" s="93"/>
      <c r="AR342" s="93"/>
      <c r="AS342" s="93">
        <f t="shared" si="222"/>
        <v>0</v>
      </c>
      <c r="AT342" s="93"/>
      <c r="AU342" s="93"/>
      <c r="AV342" s="93"/>
      <c r="AW342" s="93"/>
      <c r="AX342" s="93"/>
      <c r="AY342" s="93"/>
      <c r="AZ342" s="93"/>
      <c r="BA342" s="93"/>
      <c r="BB342" s="93"/>
      <c r="BC342" s="93"/>
      <c r="BD342" s="93"/>
      <c r="BE342" s="93"/>
      <c r="BF342" s="93"/>
      <c r="BG342" s="93"/>
      <c r="BH342" s="93"/>
      <c r="BI342" s="93"/>
      <c r="BJ342" s="93"/>
      <c r="BK342" s="93"/>
      <c r="BL342" s="93"/>
      <c r="BM342" s="93"/>
      <c r="BN342" s="93"/>
      <c r="BO342" s="93"/>
      <c r="BP342" s="93"/>
      <c r="BQ342" s="93"/>
      <c r="BR342" s="93"/>
      <c r="BS342" s="93"/>
      <c r="BT342" s="93"/>
      <c r="BU342" s="93"/>
      <c r="BV342" s="93"/>
      <c r="BW342" s="93"/>
      <c r="BX342" s="93"/>
      <c r="BY342" s="93"/>
      <c r="BZ342" s="93"/>
      <c r="CA342" s="93"/>
      <c r="CB342" s="93"/>
      <c r="CC342" s="93"/>
      <c r="CD342" s="93"/>
      <c r="CE342" s="93"/>
      <c r="CF342" s="93"/>
      <c r="CG342" s="93"/>
      <c r="CH342" s="93"/>
      <c r="CI342" s="93"/>
      <c r="CJ342" s="93"/>
      <c r="CK342" s="93"/>
      <c r="CL342" s="93"/>
      <c r="CM342" s="93"/>
      <c r="CN342" s="93"/>
      <c r="CO342" s="93"/>
      <c r="CP342" s="93"/>
      <c r="CQ342" s="93"/>
      <c r="CR342" s="93"/>
      <c r="CS342" s="93"/>
      <c r="CT342" s="93"/>
      <c r="CU342" s="93"/>
      <c r="CV342" s="93"/>
      <c r="CW342" s="93"/>
      <c r="CX342" s="93"/>
    </row>
    <row r="343" spans="1:102" ht="15" hidden="1" customHeight="1">
      <c r="A343" s="93"/>
      <c r="B343" s="93" t="e">
        <f>VLOOKUP($A343,  'Matriz POA 2024-TRABAJO'!$A$5:$CY$9142,29,FALSE)</f>
        <v>#N/A</v>
      </c>
      <c r="C343" s="93" t="e">
        <f>VLOOKUP($A343, 'Matriz POA 2024-TRABAJO'!$A$5:$CY$9142,11,FALSE)</f>
        <v>#N/A</v>
      </c>
      <c r="D343" s="93" t="e">
        <f>VLOOKUP($A343, 'Matriz POA 2024-TRABAJO'!$A$5:$CY$9142,14,FALSE)</f>
        <v>#N/A</v>
      </c>
      <c r="E343" s="93" t="e">
        <f>VLOOKUP($A343, 'Matriz POA 2024-TRABAJO'!$A$5:$CY$9142,15,FALSE)</f>
        <v>#N/A</v>
      </c>
      <c r="F343" s="93" t="e">
        <f>VLOOKUP($A343, 'Matriz POA 2024-TRABAJO'!$A$5:$CY$9142,18,FALSE)</f>
        <v>#N/A</v>
      </c>
      <c r="G343" s="93" t="e">
        <f>VLOOKUP($A343, 'Matriz POA 2024-TRABAJO'!$A$5:$CY$9142,23,FALSE)</f>
        <v>#N/A</v>
      </c>
      <c r="H343" s="93" t="e">
        <f>VLOOKUP($A343, 'Matriz POA 2024-TRABAJO'!$A$5:$CY$9142,24,FALSE)</f>
        <v>#N/A</v>
      </c>
      <c r="I343" s="93" t="e">
        <f>VLOOKUP($A343, 'Matriz POA 2024-TRABAJO'!$A$5:$CY$9142,20,FALSE)</f>
        <v>#N/A</v>
      </c>
      <c r="J343" s="93" t="e">
        <f>VLOOKUP($A343, 'Matriz POA 2024-TRABAJO'!$A$5:$CY$9142,26,FALSE)</f>
        <v>#N/A</v>
      </c>
      <c r="K343" s="93" t="e">
        <f>VLOOKUP($A343, 'Matriz POA 2024-TRABAJO'!$A$5:$CY$9142,27,FALSE)</f>
        <v>#N/A</v>
      </c>
      <c r="L343" s="93" t="e">
        <f>VLOOKUP($A343, 'Matriz POA 2024-TRABAJO'!$A$5:$CY$9142,28,FALSE)</f>
        <v>#N/A</v>
      </c>
      <c r="M343" s="93" t="e">
        <f>VLOOKUP($A343, 'Matriz POA 2024-TRABAJO'!$A$5:$CY$9142,30,FALSE)</f>
        <v>#N/A</v>
      </c>
      <c r="N343" s="93" t="e">
        <f>VLOOKUP($A343, 'Matriz POA 2024-TRABAJO'!$A$5:$CY$9142,31,FALSE)</f>
        <v>#N/A</v>
      </c>
      <c r="O343" s="93" t="e">
        <f>VLOOKUP($A343, 'Matriz POA 2024-TRABAJO'!$A$5:$CY$9142,45,FALSE)</f>
        <v>#N/A</v>
      </c>
      <c r="P343" s="93" t="e">
        <f>VLOOKUP($A343, 'Matriz POA 2024-TRABAJO'!$A$5:$CY$9142,46,FALSE)</f>
        <v>#N/A</v>
      </c>
      <c r="Q343" s="93" t="e">
        <f>VLOOKUP($A343, 'Matriz POA 2024-TRABAJO'!$A$5:$CY$9142,47,FALSE)</f>
        <v>#N/A</v>
      </c>
      <c r="R343" s="94">
        <f t="shared" si="217"/>
        <v>0</v>
      </c>
      <c r="S343" s="95" t="e">
        <f t="shared" si="218"/>
        <v>#N/A</v>
      </c>
      <c r="T343" s="93" t="e">
        <f>VLOOKUP($A343, 'Matriz POA 2024-TRABAJO'!$A$5:$CY$9142,72,FALSE)</f>
        <v>#N/A</v>
      </c>
      <c r="U343" s="93" t="e">
        <f>VLOOKUP($A343, 'Matriz POA 2024-TRABAJO'!$A$5:$CY$9142,29,FALSE)</f>
        <v>#N/A</v>
      </c>
      <c r="V343" s="93" t="str">
        <f t="shared" si="219"/>
        <v/>
      </c>
      <c r="W343" s="93"/>
      <c r="X343" s="93"/>
      <c r="Y343" s="93"/>
      <c r="Z343" s="93"/>
      <c r="AA343" s="93"/>
      <c r="AB343" s="93"/>
      <c r="AC343" s="93">
        <f t="shared" si="220"/>
        <v>0</v>
      </c>
      <c r="AD343" s="93"/>
      <c r="AE343" s="93"/>
      <c r="AF343" s="93"/>
      <c r="AG343" s="93"/>
      <c r="AH343" s="93"/>
      <c r="AI343" s="93"/>
      <c r="AJ343" s="93"/>
      <c r="AK343" s="93">
        <f t="shared" si="221"/>
        <v>0</v>
      </c>
      <c r="AL343" s="93"/>
      <c r="AM343" s="93"/>
      <c r="AN343" s="93"/>
      <c r="AO343" s="93"/>
      <c r="AP343" s="93"/>
      <c r="AQ343" s="93"/>
      <c r="AR343" s="93"/>
      <c r="AS343" s="93">
        <f t="shared" si="222"/>
        <v>0</v>
      </c>
      <c r="AT343" s="93"/>
      <c r="AU343" s="93"/>
      <c r="AV343" s="93"/>
      <c r="AW343" s="93"/>
      <c r="AX343" s="93"/>
      <c r="AY343" s="93"/>
      <c r="AZ343" s="93"/>
      <c r="BA343" s="93"/>
      <c r="BB343" s="93"/>
      <c r="BC343" s="93"/>
      <c r="BD343" s="93"/>
      <c r="BE343" s="93"/>
      <c r="BF343" s="93"/>
      <c r="BG343" s="93"/>
      <c r="BH343" s="93"/>
      <c r="BI343" s="93"/>
      <c r="BJ343" s="93"/>
      <c r="BK343" s="93"/>
      <c r="BL343" s="93"/>
      <c r="BM343" s="93"/>
      <c r="BN343" s="93"/>
      <c r="BO343" s="93"/>
      <c r="BP343" s="93"/>
      <c r="BQ343" s="93"/>
      <c r="BR343" s="93"/>
      <c r="BS343" s="93"/>
      <c r="BT343" s="93"/>
      <c r="BU343" s="93"/>
      <c r="BV343" s="93"/>
      <c r="BW343" s="93"/>
      <c r="BX343" s="93"/>
      <c r="BY343" s="93"/>
      <c r="BZ343" s="93"/>
      <c r="CA343" s="93"/>
      <c r="CB343" s="93"/>
      <c r="CC343" s="93"/>
      <c r="CD343" s="93"/>
      <c r="CE343" s="93"/>
      <c r="CF343" s="93"/>
      <c r="CG343" s="93"/>
      <c r="CH343" s="93"/>
      <c r="CI343" s="93"/>
      <c r="CJ343" s="93"/>
      <c r="CK343" s="93"/>
      <c r="CL343" s="93"/>
      <c r="CM343" s="93"/>
      <c r="CN343" s="93"/>
      <c r="CO343" s="93"/>
      <c r="CP343" s="93"/>
      <c r="CQ343" s="93"/>
      <c r="CR343" s="93"/>
      <c r="CS343" s="93"/>
      <c r="CT343" s="93"/>
      <c r="CU343" s="93"/>
      <c r="CV343" s="93"/>
      <c r="CW343" s="93"/>
      <c r="CX343" s="93"/>
    </row>
    <row r="344" spans="1:102" ht="15" hidden="1" customHeight="1">
      <c r="A344" s="93"/>
      <c r="B344" s="93" t="e">
        <f>VLOOKUP($A344,  'Matriz POA 2024-TRABAJO'!$A$5:$CY$9142,29,FALSE)</f>
        <v>#N/A</v>
      </c>
      <c r="C344" s="93" t="e">
        <f>VLOOKUP($A344, 'Matriz POA 2024-TRABAJO'!$A$5:$CY$9142,11,FALSE)</f>
        <v>#N/A</v>
      </c>
      <c r="D344" s="93" t="e">
        <f>VLOOKUP($A344, 'Matriz POA 2024-TRABAJO'!$A$5:$CY$9142,14,FALSE)</f>
        <v>#N/A</v>
      </c>
      <c r="E344" s="93" t="e">
        <f>VLOOKUP($A344, 'Matriz POA 2024-TRABAJO'!$A$5:$CY$9142,15,FALSE)</f>
        <v>#N/A</v>
      </c>
      <c r="F344" s="93" t="e">
        <f>VLOOKUP($A344, 'Matriz POA 2024-TRABAJO'!$A$5:$CY$9142,18,FALSE)</f>
        <v>#N/A</v>
      </c>
      <c r="G344" s="93" t="e">
        <f>VLOOKUP($A344, 'Matriz POA 2024-TRABAJO'!$A$5:$CY$9142,23,FALSE)</f>
        <v>#N/A</v>
      </c>
      <c r="H344" s="93" t="e">
        <f>VLOOKUP($A344, 'Matriz POA 2024-TRABAJO'!$A$5:$CY$9142,24,FALSE)</f>
        <v>#N/A</v>
      </c>
      <c r="I344" s="93" t="e">
        <f>VLOOKUP($A344, 'Matriz POA 2024-TRABAJO'!$A$5:$CY$9142,20,FALSE)</f>
        <v>#N/A</v>
      </c>
      <c r="J344" s="93" t="e">
        <f>VLOOKUP($A344, 'Matriz POA 2024-TRABAJO'!$A$5:$CY$9142,26,FALSE)</f>
        <v>#N/A</v>
      </c>
      <c r="K344" s="93" t="e">
        <f>VLOOKUP($A344, 'Matriz POA 2024-TRABAJO'!$A$5:$CY$9142,27,FALSE)</f>
        <v>#N/A</v>
      </c>
      <c r="L344" s="93" t="e">
        <f>VLOOKUP($A344, 'Matriz POA 2024-TRABAJO'!$A$5:$CY$9142,28,FALSE)</f>
        <v>#N/A</v>
      </c>
      <c r="M344" s="93" t="e">
        <f>VLOOKUP($A344, 'Matriz POA 2024-TRABAJO'!$A$5:$CY$9142,30,FALSE)</f>
        <v>#N/A</v>
      </c>
      <c r="N344" s="93" t="e">
        <f>VLOOKUP($A344, 'Matriz POA 2024-TRABAJO'!$A$5:$CY$9142,31,FALSE)</f>
        <v>#N/A</v>
      </c>
      <c r="O344" s="93" t="e">
        <f>VLOOKUP($A344, 'Matriz POA 2024-TRABAJO'!$A$5:$CY$9142,45,FALSE)</f>
        <v>#N/A</v>
      </c>
      <c r="P344" s="93" t="e">
        <f>VLOOKUP($A344, 'Matriz POA 2024-TRABAJO'!$A$5:$CY$9142,46,FALSE)</f>
        <v>#N/A</v>
      </c>
      <c r="Q344" s="93" t="e">
        <f>VLOOKUP($A344, 'Matriz POA 2024-TRABAJO'!$A$5:$CY$9142,47,FALSE)</f>
        <v>#N/A</v>
      </c>
      <c r="R344" s="94">
        <f t="shared" si="217"/>
        <v>0</v>
      </c>
      <c r="S344" s="95" t="e">
        <f t="shared" si="218"/>
        <v>#N/A</v>
      </c>
      <c r="T344" s="93" t="e">
        <f>VLOOKUP($A344, 'Matriz POA 2024-TRABAJO'!$A$5:$CY$9142,72,FALSE)</f>
        <v>#N/A</v>
      </c>
      <c r="U344" s="93" t="e">
        <f>VLOOKUP($A344, 'Matriz POA 2024-TRABAJO'!$A$5:$CY$9142,29,FALSE)</f>
        <v>#N/A</v>
      </c>
      <c r="V344" s="93" t="str">
        <f t="shared" si="219"/>
        <v/>
      </c>
      <c r="W344" s="93"/>
      <c r="X344" s="93"/>
      <c r="Y344" s="93"/>
      <c r="Z344" s="93"/>
      <c r="AA344" s="93"/>
      <c r="AB344" s="93"/>
      <c r="AC344" s="93">
        <f t="shared" si="220"/>
        <v>0</v>
      </c>
      <c r="AD344" s="93"/>
      <c r="AE344" s="93"/>
      <c r="AF344" s="93"/>
      <c r="AG344" s="93"/>
      <c r="AH344" s="93"/>
      <c r="AI344" s="93"/>
      <c r="AJ344" s="93"/>
      <c r="AK344" s="93">
        <f t="shared" si="221"/>
        <v>0</v>
      </c>
      <c r="AL344" s="93"/>
      <c r="AM344" s="93"/>
      <c r="AN344" s="93"/>
      <c r="AO344" s="93"/>
      <c r="AP344" s="93"/>
      <c r="AQ344" s="93"/>
      <c r="AR344" s="93"/>
      <c r="AS344" s="93">
        <f t="shared" si="222"/>
        <v>0</v>
      </c>
      <c r="AT344" s="93"/>
      <c r="AU344" s="93"/>
      <c r="AV344" s="93"/>
      <c r="AW344" s="93"/>
      <c r="AX344" s="93"/>
      <c r="AY344" s="93"/>
      <c r="AZ344" s="93"/>
      <c r="BA344" s="93"/>
      <c r="BB344" s="93"/>
      <c r="BC344" s="93"/>
      <c r="BD344" s="93"/>
      <c r="BE344" s="93"/>
      <c r="BF344" s="93"/>
      <c r="BG344" s="93"/>
      <c r="BH344" s="93"/>
      <c r="BI344" s="93"/>
      <c r="BJ344" s="93"/>
      <c r="BK344" s="93"/>
      <c r="BL344" s="93"/>
      <c r="BM344" s="93"/>
      <c r="BN344" s="93"/>
      <c r="BO344" s="93"/>
      <c r="BP344" s="93"/>
      <c r="BQ344" s="93"/>
      <c r="BR344" s="93"/>
      <c r="BS344" s="93"/>
      <c r="BT344" s="93"/>
      <c r="BU344" s="93"/>
      <c r="BV344" s="93"/>
      <c r="BW344" s="93"/>
      <c r="BX344" s="93"/>
      <c r="BY344" s="93"/>
      <c r="BZ344" s="93"/>
      <c r="CA344" s="93"/>
      <c r="CB344" s="93"/>
      <c r="CC344" s="93"/>
      <c r="CD344" s="93"/>
      <c r="CE344" s="93"/>
      <c r="CF344" s="93"/>
      <c r="CG344" s="93"/>
      <c r="CH344" s="93"/>
      <c r="CI344" s="93"/>
      <c r="CJ344" s="93"/>
      <c r="CK344" s="93"/>
      <c r="CL344" s="93"/>
      <c r="CM344" s="93"/>
      <c r="CN344" s="93"/>
      <c r="CO344" s="93"/>
      <c r="CP344" s="93"/>
      <c r="CQ344" s="93"/>
      <c r="CR344" s="93"/>
      <c r="CS344" s="93"/>
      <c r="CT344" s="93"/>
      <c r="CU344" s="93"/>
      <c r="CV344" s="93"/>
      <c r="CW344" s="93"/>
      <c r="CX344" s="93"/>
    </row>
    <row r="345" spans="1:102" ht="15" hidden="1" customHeight="1">
      <c r="A345" s="93"/>
      <c r="B345" s="93" t="e">
        <f>VLOOKUP($A345,  'Matriz POA 2024-TRABAJO'!$A$5:$CY$9142,29,FALSE)</f>
        <v>#N/A</v>
      </c>
      <c r="C345" s="93" t="e">
        <f>VLOOKUP($A345, 'Matriz POA 2024-TRABAJO'!$A$5:$CY$9142,11,FALSE)</f>
        <v>#N/A</v>
      </c>
      <c r="D345" s="93" t="e">
        <f>VLOOKUP($A345, 'Matriz POA 2024-TRABAJO'!$A$5:$CY$9142,14,FALSE)</f>
        <v>#N/A</v>
      </c>
      <c r="E345" s="93" t="e">
        <f>VLOOKUP($A345, 'Matriz POA 2024-TRABAJO'!$A$5:$CY$9142,15,FALSE)</f>
        <v>#N/A</v>
      </c>
      <c r="F345" s="93" t="e">
        <f>VLOOKUP($A345, 'Matriz POA 2024-TRABAJO'!$A$5:$CY$9142,18,FALSE)</f>
        <v>#N/A</v>
      </c>
      <c r="G345" s="93" t="e">
        <f>VLOOKUP($A345, 'Matriz POA 2024-TRABAJO'!$A$5:$CY$9142,23,FALSE)</f>
        <v>#N/A</v>
      </c>
      <c r="H345" s="93" t="e">
        <f>VLOOKUP($A345, 'Matriz POA 2024-TRABAJO'!$A$5:$CY$9142,24,FALSE)</f>
        <v>#N/A</v>
      </c>
      <c r="I345" s="93" t="e">
        <f>VLOOKUP($A345, 'Matriz POA 2024-TRABAJO'!$A$5:$CY$9142,20,FALSE)</f>
        <v>#N/A</v>
      </c>
      <c r="J345" s="93" t="e">
        <f>VLOOKUP($A345, 'Matriz POA 2024-TRABAJO'!$A$5:$CY$9142,26,FALSE)</f>
        <v>#N/A</v>
      </c>
      <c r="K345" s="93" t="e">
        <f>VLOOKUP($A345, 'Matriz POA 2024-TRABAJO'!$A$5:$CY$9142,27,FALSE)</f>
        <v>#N/A</v>
      </c>
      <c r="L345" s="93" t="e">
        <f>VLOOKUP($A345, 'Matriz POA 2024-TRABAJO'!$A$5:$CY$9142,28,FALSE)</f>
        <v>#N/A</v>
      </c>
      <c r="M345" s="93" t="e">
        <f>VLOOKUP($A345, 'Matriz POA 2024-TRABAJO'!$A$5:$CY$9142,30,FALSE)</f>
        <v>#N/A</v>
      </c>
      <c r="N345" s="93" t="e">
        <f>VLOOKUP($A345, 'Matriz POA 2024-TRABAJO'!$A$5:$CY$9142,31,FALSE)</f>
        <v>#N/A</v>
      </c>
      <c r="O345" s="93" t="e">
        <f>VLOOKUP($A345, 'Matriz POA 2024-TRABAJO'!$A$5:$CY$9142,45,FALSE)</f>
        <v>#N/A</v>
      </c>
      <c r="P345" s="93" t="e">
        <f>VLOOKUP($A345, 'Matriz POA 2024-TRABAJO'!$A$5:$CY$9142,46,FALSE)</f>
        <v>#N/A</v>
      </c>
      <c r="Q345" s="93" t="e">
        <f>VLOOKUP($A345, 'Matriz POA 2024-TRABAJO'!$A$5:$CY$9142,47,FALSE)</f>
        <v>#N/A</v>
      </c>
      <c r="R345" s="94">
        <f t="shared" si="217"/>
        <v>0</v>
      </c>
      <c r="S345" s="95" t="e">
        <f t="shared" si="218"/>
        <v>#N/A</v>
      </c>
      <c r="T345" s="93" t="e">
        <f>VLOOKUP($A345, 'Matriz POA 2024-TRABAJO'!$A$5:$CY$9142,72,FALSE)</f>
        <v>#N/A</v>
      </c>
      <c r="U345" s="93" t="e">
        <f>VLOOKUP($A345, 'Matriz POA 2024-TRABAJO'!$A$5:$CY$9142,29,FALSE)</f>
        <v>#N/A</v>
      </c>
      <c r="V345" s="93" t="str">
        <f t="shared" si="219"/>
        <v/>
      </c>
      <c r="W345" s="93"/>
      <c r="X345" s="93"/>
      <c r="Y345" s="93"/>
      <c r="Z345" s="93"/>
      <c r="AA345" s="93"/>
      <c r="AB345" s="93"/>
      <c r="AC345" s="93">
        <f t="shared" si="220"/>
        <v>0</v>
      </c>
      <c r="AD345" s="93"/>
      <c r="AE345" s="93"/>
      <c r="AF345" s="93"/>
      <c r="AG345" s="93"/>
      <c r="AH345" s="93"/>
      <c r="AI345" s="93"/>
      <c r="AJ345" s="93"/>
      <c r="AK345" s="93">
        <f t="shared" si="221"/>
        <v>0</v>
      </c>
      <c r="AL345" s="93"/>
      <c r="AM345" s="93"/>
      <c r="AN345" s="93"/>
      <c r="AO345" s="93"/>
      <c r="AP345" s="93"/>
      <c r="AQ345" s="93"/>
      <c r="AR345" s="93"/>
      <c r="AS345" s="93">
        <f t="shared" si="222"/>
        <v>0</v>
      </c>
      <c r="AT345" s="93"/>
      <c r="AU345" s="93"/>
      <c r="AV345" s="93"/>
      <c r="AW345" s="93"/>
      <c r="AX345" s="93"/>
      <c r="AY345" s="93"/>
      <c r="AZ345" s="93"/>
      <c r="BA345" s="93"/>
      <c r="BB345" s="93"/>
      <c r="BC345" s="93"/>
      <c r="BD345" s="93"/>
      <c r="BE345" s="93"/>
      <c r="BF345" s="93"/>
      <c r="BG345" s="93"/>
      <c r="BH345" s="93"/>
      <c r="BI345" s="93"/>
      <c r="BJ345" s="93"/>
      <c r="BK345" s="93"/>
      <c r="BL345" s="93"/>
      <c r="BM345" s="93"/>
      <c r="BN345" s="93"/>
      <c r="BO345" s="93"/>
      <c r="BP345" s="93"/>
      <c r="BQ345" s="93"/>
      <c r="BR345" s="93"/>
      <c r="BS345" s="93"/>
      <c r="BT345" s="93"/>
      <c r="BU345" s="93"/>
      <c r="BV345" s="93"/>
      <c r="BW345" s="93"/>
      <c r="BX345" s="93"/>
      <c r="BY345" s="93"/>
      <c r="BZ345" s="93"/>
      <c r="CA345" s="93"/>
      <c r="CB345" s="93"/>
      <c r="CC345" s="93"/>
      <c r="CD345" s="93"/>
      <c r="CE345" s="93"/>
      <c r="CF345" s="93"/>
      <c r="CG345" s="93"/>
      <c r="CH345" s="93"/>
      <c r="CI345" s="93"/>
      <c r="CJ345" s="93"/>
      <c r="CK345" s="93"/>
      <c r="CL345" s="93"/>
      <c r="CM345" s="93"/>
      <c r="CN345" s="93"/>
      <c r="CO345" s="93"/>
      <c r="CP345" s="93"/>
      <c r="CQ345" s="93"/>
      <c r="CR345" s="93"/>
      <c r="CS345" s="93"/>
      <c r="CT345" s="93"/>
      <c r="CU345" s="93"/>
      <c r="CV345" s="93"/>
      <c r="CW345" s="93"/>
      <c r="CX345" s="93"/>
    </row>
    <row r="346" spans="1:102" ht="15" hidden="1" customHeight="1">
      <c r="A346" s="93"/>
      <c r="B346" s="93" t="e">
        <f>VLOOKUP($A346,  'Matriz POA 2024-TRABAJO'!$A$5:$CY$9142,29,FALSE)</f>
        <v>#N/A</v>
      </c>
      <c r="C346" s="93" t="e">
        <f>VLOOKUP($A346, 'Matriz POA 2024-TRABAJO'!$A$5:$CY$9142,11,FALSE)</f>
        <v>#N/A</v>
      </c>
      <c r="D346" s="93" t="e">
        <f>VLOOKUP($A346, 'Matriz POA 2024-TRABAJO'!$A$5:$CY$9142,14,FALSE)</f>
        <v>#N/A</v>
      </c>
      <c r="E346" s="93" t="e">
        <f>VLOOKUP($A346, 'Matriz POA 2024-TRABAJO'!$A$5:$CY$9142,15,FALSE)</f>
        <v>#N/A</v>
      </c>
      <c r="F346" s="93" t="e">
        <f>VLOOKUP($A346, 'Matriz POA 2024-TRABAJO'!$A$5:$CY$9142,18,FALSE)</f>
        <v>#N/A</v>
      </c>
      <c r="G346" s="93" t="e">
        <f>VLOOKUP($A346, 'Matriz POA 2024-TRABAJO'!$A$5:$CY$9142,23,FALSE)</f>
        <v>#N/A</v>
      </c>
      <c r="H346" s="93" t="e">
        <f>VLOOKUP($A346, 'Matriz POA 2024-TRABAJO'!$A$5:$CY$9142,24,FALSE)</f>
        <v>#N/A</v>
      </c>
      <c r="I346" s="93" t="e">
        <f>VLOOKUP($A346, 'Matriz POA 2024-TRABAJO'!$A$5:$CY$9142,20,FALSE)</f>
        <v>#N/A</v>
      </c>
      <c r="J346" s="93" t="e">
        <f>VLOOKUP($A346, 'Matriz POA 2024-TRABAJO'!$A$5:$CY$9142,26,FALSE)</f>
        <v>#N/A</v>
      </c>
      <c r="K346" s="93" t="e">
        <f>VLOOKUP($A346, 'Matriz POA 2024-TRABAJO'!$A$5:$CY$9142,27,FALSE)</f>
        <v>#N/A</v>
      </c>
      <c r="L346" s="93" t="e">
        <f>VLOOKUP($A346, 'Matriz POA 2024-TRABAJO'!$A$5:$CY$9142,28,FALSE)</f>
        <v>#N/A</v>
      </c>
      <c r="M346" s="93" t="e">
        <f>VLOOKUP($A346, 'Matriz POA 2024-TRABAJO'!$A$5:$CY$9142,30,FALSE)</f>
        <v>#N/A</v>
      </c>
      <c r="N346" s="93" t="e">
        <f>VLOOKUP($A346, 'Matriz POA 2024-TRABAJO'!$A$5:$CY$9142,31,FALSE)</f>
        <v>#N/A</v>
      </c>
      <c r="O346" s="93" t="e">
        <f>VLOOKUP($A346, 'Matriz POA 2024-TRABAJO'!$A$5:$CY$9142,45,FALSE)</f>
        <v>#N/A</v>
      </c>
      <c r="P346" s="93" t="e">
        <f>VLOOKUP($A346, 'Matriz POA 2024-TRABAJO'!$A$5:$CY$9142,46,FALSE)</f>
        <v>#N/A</v>
      </c>
      <c r="Q346" s="93" t="e">
        <f>VLOOKUP($A346, 'Matriz POA 2024-TRABAJO'!$A$5:$CY$9142,47,FALSE)</f>
        <v>#N/A</v>
      </c>
      <c r="R346" s="94">
        <f t="shared" si="217"/>
        <v>0</v>
      </c>
      <c r="S346" s="95" t="e">
        <f t="shared" si="218"/>
        <v>#N/A</v>
      </c>
      <c r="T346" s="93" t="e">
        <f>VLOOKUP($A346, 'Matriz POA 2024-TRABAJO'!$A$5:$CY$9142,72,FALSE)</f>
        <v>#N/A</v>
      </c>
      <c r="U346" s="93" t="e">
        <f>VLOOKUP($A346, 'Matriz POA 2024-TRABAJO'!$A$5:$CY$9142,29,FALSE)</f>
        <v>#N/A</v>
      </c>
      <c r="V346" s="93" t="str">
        <f t="shared" si="219"/>
        <v/>
      </c>
      <c r="W346" s="93"/>
      <c r="X346" s="93"/>
      <c r="Y346" s="93"/>
      <c r="Z346" s="93"/>
      <c r="AA346" s="93"/>
      <c r="AB346" s="93"/>
      <c r="AC346" s="93">
        <f t="shared" si="220"/>
        <v>0</v>
      </c>
      <c r="AD346" s="93"/>
      <c r="AE346" s="93"/>
      <c r="AF346" s="93"/>
      <c r="AG346" s="93"/>
      <c r="AH346" s="93"/>
      <c r="AI346" s="93"/>
      <c r="AJ346" s="93"/>
      <c r="AK346" s="93">
        <f t="shared" si="221"/>
        <v>0</v>
      </c>
      <c r="AL346" s="93"/>
      <c r="AM346" s="93"/>
      <c r="AN346" s="93"/>
      <c r="AO346" s="93"/>
      <c r="AP346" s="93"/>
      <c r="AQ346" s="93"/>
      <c r="AR346" s="93"/>
      <c r="AS346" s="93">
        <f t="shared" si="222"/>
        <v>0</v>
      </c>
      <c r="AT346" s="93"/>
      <c r="AU346" s="93"/>
      <c r="AV346" s="93"/>
      <c r="AW346" s="93"/>
      <c r="AX346" s="93"/>
      <c r="AY346" s="93"/>
      <c r="AZ346" s="93"/>
      <c r="BA346" s="93"/>
      <c r="BB346" s="93"/>
      <c r="BC346" s="93"/>
      <c r="BD346" s="93"/>
      <c r="BE346" s="93"/>
      <c r="BF346" s="93"/>
      <c r="BG346" s="93"/>
      <c r="BH346" s="93"/>
      <c r="BI346" s="93"/>
      <c r="BJ346" s="93"/>
      <c r="BK346" s="93"/>
      <c r="BL346" s="93"/>
      <c r="BM346" s="93"/>
      <c r="BN346" s="93"/>
      <c r="BO346" s="93"/>
      <c r="BP346" s="93"/>
      <c r="BQ346" s="93"/>
      <c r="BR346" s="93"/>
      <c r="BS346" s="93"/>
      <c r="BT346" s="93"/>
      <c r="BU346" s="93"/>
      <c r="BV346" s="93"/>
      <c r="BW346" s="93"/>
      <c r="BX346" s="93"/>
      <c r="BY346" s="93"/>
      <c r="BZ346" s="93"/>
      <c r="CA346" s="93"/>
      <c r="CB346" s="93"/>
      <c r="CC346" s="93"/>
      <c r="CD346" s="93"/>
      <c r="CE346" s="93"/>
      <c r="CF346" s="93"/>
      <c r="CG346" s="93"/>
      <c r="CH346" s="93"/>
      <c r="CI346" s="93"/>
      <c r="CJ346" s="93"/>
      <c r="CK346" s="93"/>
      <c r="CL346" s="93"/>
      <c r="CM346" s="93"/>
      <c r="CN346" s="93"/>
      <c r="CO346" s="93"/>
      <c r="CP346" s="93"/>
      <c r="CQ346" s="93"/>
      <c r="CR346" s="93"/>
      <c r="CS346" s="93"/>
      <c r="CT346" s="93"/>
      <c r="CU346" s="93"/>
      <c r="CV346" s="93"/>
      <c r="CW346" s="93"/>
      <c r="CX346" s="93"/>
    </row>
    <row r="347" spans="1:102" ht="15" hidden="1" customHeight="1">
      <c r="A347" s="93"/>
      <c r="B347" s="93" t="e">
        <f>VLOOKUP($A347,  'Matriz POA 2024-TRABAJO'!$A$5:$CY$9142,29,FALSE)</f>
        <v>#N/A</v>
      </c>
      <c r="C347" s="93" t="e">
        <f>VLOOKUP($A347, 'Matriz POA 2024-TRABAJO'!$A$5:$CY$9142,11,FALSE)</f>
        <v>#N/A</v>
      </c>
      <c r="D347" s="93" t="e">
        <f>VLOOKUP($A347, 'Matriz POA 2024-TRABAJO'!$A$5:$CY$9142,14,FALSE)</f>
        <v>#N/A</v>
      </c>
      <c r="E347" s="93" t="e">
        <f>VLOOKUP($A347, 'Matriz POA 2024-TRABAJO'!$A$5:$CY$9142,15,FALSE)</f>
        <v>#N/A</v>
      </c>
      <c r="F347" s="93" t="e">
        <f>VLOOKUP($A347, 'Matriz POA 2024-TRABAJO'!$A$5:$CY$9142,18,FALSE)</f>
        <v>#N/A</v>
      </c>
      <c r="G347" s="93" t="e">
        <f>VLOOKUP($A347, 'Matriz POA 2024-TRABAJO'!$A$5:$CY$9142,23,FALSE)</f>
        <v>#N/A</v>
      </c>
      <c r="H347" s="93" t="e">
        <f>VLOOKUP($A347, 'Matriz POA 2024-TRABAJO'!$A$5:$CY$9142,24,FALSE)</f>
        <v>#N/A</v>
      </c>
      <c r="I347" s="93" t="e">
        <f>VLOOKUP($A347, 'Matriz POA 2024-TRABAJO'!$A$5:$CY$9142,20,FALSE)</f>
        <v>#N/A</v>
      </c>
      <c r="J347" s="93" t="e">
        <f>VLOOKUP($A347, 'Matriz POA 2024-TRABAJO'!$A$5:$CY$9142,26,FALSE)</f>
        <v>#N/A</v>
      </c>
      <c r="K347" s="93" t="e">
        <f>VLOOKUP($A347, 'Matriz POA 2024-TRABAJO'!$A$5:$CY$9142,27,FALSE)</f>
        <v>#N/A</v>
      </c>
      <c r="L347" s="93" t="e">
        <f>VLOOKUP($A347, 'Matriz POA 2024-TRABAJO'!$A$5:$CY$9142,28,FALSE)</f>
        <v>#N/A</v>
      </c>
      <c r="M347" s="93" t="e">
        <f>VLOOKUP($A347, 'Matriz POA 2024-TRABAJO'!$A$5:$CY$9142,30,FALSE)</f>
        <v>#N/A</v>
      </c>
      <c r="N347" s="93" t="e">
        <f>VLOOKUP($A347, 'Matriz POA 2024-TRABAJO'!$A$5:$CY$9142,31,FALSE)</f>
        <v>#N/A</v>
      </c>
      <c r="O347" s="93" t="e">
        <f>VLOOKUP($A347, 'Matriz POA 2024-TRABAJO'!$A$5:$CY$9142,45,FALSE)</f>
        <v>#N/A</v>
      </c>
      <c r="P347" s="93" t="e">
        <f>VLOOKUP($A347, 'Matriz POA 2024-TRABAJO'!$A$5:$CY$9142,46,FALSE)</f>
        <v>#N/A</v>
      </c>
      <c r="Q347" s="93" t="e">
        <f>VLOOKUP($A347, 'Matriz POA 2024-TRABAJO'!$A$5:$CY$9142,47,FALSE)</f>
        <v>#N/A</v>
      </c>
      <c r="R347" s="94">
        <f t="shared" si="217"/>
        <v>0</v>
      </c>
      <c r="S347" s="95" t="e">
        <f t="shared" si="218"/>
        <v>#N/A</v>
      </c>
      <c r="T347" s="93" t="e">
        <f>VLOOKUP($A347, 'Matriz POA 2024-TRABAJO'!$A$5:$CY$9142,72,FALSE)</f>
        <v>#N/A</v>
      </c>
      <c r="U347" s="93" t="e">
        <f>VLOOKUP($A347, 'Matriz POA 2024-TRABAJO'!$A$5:$CY$9142,29,FALSE)</f>
        <v>#N/A</v>
      </c>
      <c r="V347" s="93" t="str">
        <f t="shared" si="219"/>
        <v/>
      </c>
      <c r="W347" s="93"/>
      <c r="X347" s="93"/>
      <c r="Y347" s="93"/>
      <c r="Z347" s="93"/>
      <c r="AA347" s="93"/>
      <c r="AB347" s="93"/>
      <c r="AC347" s="93">
        <f t="shared" si="220"/>
        <v>0</v>
      </c>
      <c r="AD347" s="93"/>
      <c r="AE347" s="93"/>
      <c r="AF347" s="93"/>
      <c r="AG347" s="93"/>
      <c r="AH347" s="93"/>
      <c r="AI347" s="93"/>
      <c r="AJ347" s="93"/>
      <c r="AK347" s="93">
        <f t="shared" si="221"/>
        <v>0</v>
      </c>
      <c r="AL347" s="93"/>
      <c r="AM347" s="93"/>
      <c r="AN347" s="93"/>
      <c r="AO347" s="93"/>
      <c r="AP347" s="93"/>
      <c r="AQ347" s="93"/>
      <c r="AR347" s="93"/>
      <c r="AS347" s="93">
        <f t="shared" si="222"/>
        <v>0</v>
      </c>
      <c r="AT347" s="93"/>
      <c r="AU347" s="93"/>
      <c r="AV347" s="93"/>
      <c r="AW347" s="93"/>
      <c r="AX347" s="93"/>
      <c r="AY347" s="93"/>
      <c r="AZ347" s="93"/>
      <c r="BA347" s="93"/>
      <c r="BB347" s="93"/>
      <c r="BC347" s="93"/>
      <c r="BD347" s="93"/>
      <c r="BE347" s="93"/>
      <c r="BF347" s="93"/>
      <c r="BG347" s="93"/>
      <c r="BH347" s="93"/>
      <c r="BI347" s="93"/>
      <c r="BJ347" s="93"/>
      <c r="BK347" s="93"/>
      <c r="BL347" s="93"/>
      <c r="BM347" s="93"/>
      <c r="BN347" s="93"/>
      <c r="BO347" s="93"/>
      <c r="BP347" s="93"/>
      <c r="BQ347" s="93"/>
      <c r="BR347" s="93"/>
      <c r="BS347" s="93"/>
      <c r="BT347" s="93"/>
      <c r="BU347" s="93"/>
      <c r="BV347" s="93"/>
      <c r="BW347" s="93"/>
      <c r="BX347" s="93"/>
      <c r="BY347" s="93"/>
      <c r="BZ347" s="93"/>
      <c r="CA347" s="93"/>
      <c r="CB347" s="93"/>
      <c r="CC347" s="93"/>
      <c r="CD347" s="93"/>
      <c r="CE347" s="93"/>
      <c r="CF347" s="93"/>
      <c r="CG347" s="93"/>
      <c r="CH347" s="93"/>
      <c r="CI347" s="93"/>
      <c r="CJ347" s="93"/>
      <c r="CK347" s="93"/>
      <c r="CL347" s="93"/>
      <c r="CM347" s="93"/>
      <c r="CN347" s="93"/>
      <c r="CO347" s="93"/>
      <c r="CP347" s="93"/>
      <c r="CQ347" s="93"/>
      <c r="CR347" s="93"/>
      <c r="CS347" s="93"/>
      <c r="CT347" s="93"/>
      <c r="CU347" s="93"/>
      <c r="CV347" s="93"/>
      <c r="CW347" s="93"/>
      <c r="CX347" s="93"/>
    </row>
    <row r="348" spans="1:102" ht="15" hidden="1" customHeight="1">
      <c r="A348" s="93"/>
      <c r="B348" s="93" t="e">
        <f>VLOOKUP($A348,  'Matriz POA 2024-TRABAJO'!$A$5:$CY$9142,29,FALSE)</f>
        <v>#N/A</v>
      </c>
      <c r="C348" s="93" t="e">
        <f>VLOOKUP($A348, 'Matriz POA 2024-TRABAJO'!$A$5:$CY$9142,11,FALSE)</f>
        <v>#N/A</v>
      </c>
      <c r="D348" s="93" t="e">
        <f>VLOOKUP($A348, 'Matriz POA 2024-TRABAJO'!$A$5:$CY$9142,14,FALSE)</f>
        <v>#N/A</v>
      </c>
      <c r="E348" s="93" t="e">
        <f>VLOOKUP($A348, 'Matriz POA 2024-TRABAJO'!$A$5:$CY$9142,15,FALSE)</f>
        <v>#N/A</v>
      </c>
      <c r="F348" s="93" t="e">
        <f>VLOOKUP($A348, 'Matriz POA 2024-TRABAJO'!$A$5:$CY$9142,18,FALSE)</f>
        <v>#N/A</v>
      </c>
      <c r="G348" s="93" t="e">
        <f>VLOOKUP($A348, 'Matriz POA 2024-TRABAJO'!$A$5:$CY$9142,23,FALSE)</f>
        <v>#N/A</v>
      </c>
      <c r="H348" s="93" t="e">
        <f>VLOOKUP($A348, 'Matriz POA 2024-TRABAJO'!$A$5:$CY$9142,24,FALSE)</f>
        <v>#N/A</v>
      </c>
      <c r="I348" s="93" t="e">
        <f>VLOOKUP($A348, 'Matriz POA 2024-TRABAJO'!$A$5:$CY$9142,20,FALSE)</f>
        <v>#N/A</v>
      </c>
      <c r="J348" s="93" t="e">
        <f>VLOOKUP($A348, 'Matriz POA 2024-TRABAJO'!$A$5:$CY$9142,26,FALSE)</f>
        <v>#N/A</v>
      </c>
      <c r="K348" s="93" t="e">
        <f>VLOOKUP($A348, 'Matriz POA 2024-TRABAJO'!$A$5:$CY$9142,27,FALSE)</f>
        <v>#N/A</v>
      </c>
      <c r="L348" s="93" t="e">
        <f>VLOOKUP($A348, 'Matriz POA 2024-TRABAJO'!$A$5:$CY$9142,28,FALSE)</f>
        <v>#N/A</v>
      </c>
      <c r="M348" s="93" t="e">
        <f>VLOOKUP($A348, 'Matriz POA 2024-TRABAJO'!$A$5:$CY$9142,30,FALSE)</f>
        <v>#N/A</v>
      </c>
      <c r="N348" s="93" t="e">
        <f>VLOOKUP($A348, 'Matriz POA 2024-TRABAJO'!$A$5:$CY$9142,31,FALSE)</f>
        <v>#N/A</v>
      </c>
      <c r="O348" s="93" t="e">
        <f>VLOOKUP($A348, 'Matriz POA 2024-TRABAJO'!$A$5:$CY$9142,45,FALSE)</f>
        <v>#N/A</v>
      </c>
      <c r="P348" s="93" t="e">
        <f>VLOOKUP($A348, 'Matriz POA 2024-TRABAJO'!$A$5:$CY$9142,46,FALSE)</f>
        <v>#N/A</v>
      </c>
      <c r="Q348" s="93" t="e">
        <f>VLOOKUP($A348, 'Matriz POA 2024-TRABAJO'!$A$5:$CY$9142,47,FALSE)</f>
        <v>#N/A</v>
      </c>
      <c r="R348" s="94">
        <f t="shared" ref="R348:R391" si="223">AA348+AI348+AQ348+AY348+BG348+BO348+BW348+CE348+CM348+CU348+AB348+AJ348+AR348+AZ348+BH348+BP348</f>
        <v>0</v>
      </c>
      <c r="S348" s="95" t="e">
        <f t="shared" ref="S348:S391" si="224">Q348-R348</f>
        <v>#N/A</v>
      </c>
      <c r="T348" s="93" t="e">
        <f>VLOOKUP($A348, 'Matriz POA 2024-TRABAJO'!$A$5:$CY$9142,72,FALSE)</f>
        <v>#N/A</v>
      </c>
      <c r="U348" s="93" t="e">
        <f>VLOOKUP($A348, 'Matriz POA 2024-TRABAJO'!$A$5:$CY$9142,29,FALSE)</f>
        <v>#N/A</v>
      </c>
      <c r="V348" s="93" t="str">
        <f t="shared" ref="V348:V391" si="225">AD348&amp;AL348&amp;AT348&amp;BB348&amp;BJ348&amp;BR348&amp;BZ348&amp;CH348&amp;CP348&amp;CX348</f>
        <v/>
      </c>
      <c r="W348" s="93"/>
      <c r="X348" s="93"/>
      <c r="Y348" s="93"/>
      <c r="Z348" s="93"/>
      <c r="AA348" s="93"/>
      <c r="AB348" s="93"/>
      <c r="AC348" s="93">
        <f t="shared" ref="AC348:AC391" si="226">Z348-X348</f>
        <v>0</v>
      </c>
      <c r="AD348" s="93"/>
      <c r="AE348" s="93"/>
      <c r="AF348" s="93"/>
      <c r="AG348" s="93"/>
      <c r="AH348" s="93"/>
      <c r="AI348" s="93"/>
      <c r="AJ348" s="93"/>
      <c r="AK348" s="93">
        <f t="shared" ref="AK348:AK391" si="227">AH348-AF348</f>
        <v>0</v>
      </c>
      <c r="AL348" s="93"/>
      <c r="AM348" s="93"/>
      <c r="AN348" s="93"/>
      <c r="AO348" s="93"/>
      <c r="AP348" s="93"/>
      <c r="AQ348" s="93"/>
      <c r="AR348" s="93"/>
      <c r="AS348" s="93">
        <f t="shared" ref="AS348:AS391" si="228">AP348-AN348</f>
        <v>0</v>
      </c>
      <c r="AT348" s="93"/>
      <c r="AU348" s="93"/>
      <c r="AV348" s="93"/>
      <c r="AW348" s="93"/>
      <c r="AX348" s="93"/>
      <c r="AY348" s="93"/>
      <c r="AZ348" s="93"/>
      <c r="BA348" s="93"/>
      <c r="BB348" s="93"/>
      <c r="BC348" s="93"/>
      <c r="BD348" s="93"/>
      <c r="BE348" s="93"/>
      <c r="BF348" s="93"/>
      <c r="BG348" s="93"/>
      <c r="BH348" s="93"/>
      <c r="BI348" s="93"/>
      <c r="BJ348" s="93"/>
      <c r="BK348" s="93"/>
      <c r="BL348" s="93"/>
      <c r="BM348" s="93"/>
      <c r="BN348" s="93"/>
      <c r="BO348" s="93"/>
      <c r="BP348" s="93"/>
      <c r="BQ348" s="93"/>
      <c r="BR348" s="93"/>
      <c r="BS348" s="93"/>
      <c r="BT348" s="93"/>
      <c r="BU348" s="93"/>
      <c r="BV348" s="93"/>
      <c r="BW348" s="93"/>
      <c r="BX348" s="93"/>
      <c r="BY348" s="93"/>
      <c r="BZ348" s="93"/>
      <c r="CA348" s="93"/>
      <c r="CB348" s="93"/>
      <c r="CC348" s="93"/>
      <c r="CD348" s="93"/>
      <c r="CE348" s="93"/>
      <c r="CF348" s="93"/>
      <c r="CG348" s="93"/>
      <c r="CH348" s="93"/>
      <c r="CI348" s="93"/>
      <c r="CJ348" s="93"/>
      <c r="CK348" s="93"/>
      <c r="CL348" s="93"/>
      <c r="CM348" s="93"/>
      <c r="CN348" s="93"/>
      <c r="CO348" s="93"/>
      <c r="CP348" s="93"/>
      <c r="CQ348" s="93"/>
      <c r="CR348" s="93"/>
      <c r="CS348" s="93"/>
      <c r="CT348" s="93"/>
      <c r="CU348" s="93"/>
      <c r="CV348" s="93"/>
      <c r="CW348" s="93"/>
      <c r="CX348" s="93"/>
    </row>
    <row r="349" spans="1:102" ht="15" hidden="1" customHeight="1">
      <c r="A349" s="93"/>
      <c r="B349" s="93" t="e">
        <f>VLOOKUP($A349,  'Matriz POA 2024-TRABAJO'!$A$5:$CY$9142,29,FALSE)</f>
        <v>#N/A</v>
      </c>
      <c r="C349" s="93" t="e">
        <f>VLOOKUP($A349, 'Matriz POA 2024-TRABAJO'!$A$5:$CY$9142,11,FALSE)</f>
        <v>#N/A</v>
      </c>
      <c r="D349" s="93" t="e">
        <f>VLOOKUP($A349, 'Matriz POA 2024-TRABAJO'!$A$5:$CY$9142,14,FALSE)</f>
        <v>#N/A</v>
      </c>
      <c r="E349" s="93" t="e">
        <f>VLOOKUP($A349, 'Matriz POA 2024-TRABAJO'!$A$5:$CY$9142,15,FALSE)</f>
        <v>#N/A</v>
      </c>
      <c r="F349" s="93" t="e">
        <f>VLOOKUP($A349, 'Matriz POA 2024-TRABAJO'!$A$5:$CY$9142,18,FALSE)</f>
        <v>#N/A</v>
      </c>
      <c r="G349" s="93" t="e">
        <f>VLOOKUP($A349, 'Matriz POA 2024-TRABAJO'!$A$5:$CY$9142,23,FALSE)</f>
        <v>#N/A</v>
      </c>
      <c r="H349" s="93" t="e">
        <f>VLOOKUP($A349, 'Matriz POA 2024-TRABAJO'!$A$5:$CY$9142,24,FALSE)</f>
        <v>#N/A</v>
      </c>
      <c r="I349" s="93" t="e">
        <f>VLOOKUP($A349, 'Matriz POA 2024-TRABAJO'!$A$5:$CY$9142,20,FALSE)</f>
        <v>#N/A</v>
      </c>
      <c r="J349" s="93" t="e">
        <f>VLOOKUP($A349, 'Matriz POA 2024-TRABAJO'!$A$5:$CY$9142,26,FALSE)</f>
        <v>#N/A</v>
      </c>
      <c r="K349" s="93" t="e">
        <f>VLOOKUP($A349, 'Matriz POA 2024-TRABAJO'!$A$5:$CY$9142,27,FALSE)</f>
        <v>#N/A</v>
      </c>
      <c r="L349" s="93" t="e">
        <f>VLOOKUP($A349, 'Matriz POA 2024-TRABAJO'!$A$5:$CY$9142,28,FALSE)</f>
        <v>#N/A</v>
      </c>
      <c r="M349" s="93" t="e">
        <f>VLOOKUP($A349, 'Matriz POA 2024-TRABAJO'!$A$5:$CY$9142,30,FALSE)</f>
        <v>#N/A</v>
      </c>
      <c r="N349" s="93" t="e">
        <f>VLOOKUP($A349, 'Matriz POA 2024-TRABAJO'!$A$5:$CY$9142,31,FALSE)</f>
        <v>#N/A</v>
      </c>
      <c r="O349" s="93" t="e">
        <f>VLOOKUP($A349, 'Matriz POA 2024-TRABAJO'!$A$5:$CY$9142,45,FALSE)</f>
        <v>#N/A</v>
      </c>
      <c r="P349" s="93" t="e">
        <f>VLOOKUP($A349, 'Matriz POA 2024-TRABAJO'!$A$5:$CY$9142,46,FALSE)</f>
        <v>#N/A</v>
      </c>
      <c r="Q349" s="93" t="e">
        <f>VLOOKUP($A349, 'Matriz POA 2024-TRABAJO'!$A$5:$CY$9142,47,FALSE)</f>
        <v>#N/A</v>
      </c>
      <c r="R349" s="94">
        <f t="shared" si="223"/>
        <v>0</v>
      </c>
      <c r="S349" s="95" t="e">
        <f t="shared" si="224"/>
        <v>#N/A</v>
      </c>
      <c r="T349" s="93" t="e">
        <f>VLOOKUP($A349, 'Matriz POA 2024-TRABAJO'!$A$5:$CY$9142,72,FALSE)</f>
        <v>#N/A</v>
      </c>
      <c r="U349" s="93" t="e">
        <f>VLOOKUP($A349, 'Matriz POA 2024-TRABAJO'!$A$5:$CY$9142,29,FALSE)</f>
        <v>#N/A</v>
      </c>
      <c r="V349" s="93" t="str">
        <f t="shared" si="225"/>
        <v/>
      </c>
      <c r="W349" s="93"/>
      <c r="X349" s="93"/>
      <c r="Y349" s="93"/>
      <c r="Z349" s="93"/>
      <c r="AA349" s="93"/>
      <c r="AB349" s="93"/>
      <c r="AC349" s="93">
        <f t="shared" si="226"/>
        <v>0</v>
      </c>
      <c r="AD349" s="93"/>
      <c r="AE349" s="93"/>
      <c r="AF349" s="93"/>
      <c r="AG349" s="93"/>
      <c r="AH349" s="93"/>
      <c r="AI349" s="93"/>
      <c r="AJ349" s="93"/>
      <c r="AK349" s="93">
        <f t="shared" si="227"/>
        <v>0</v>
      </c>
      <c r="AL349" s="93"/>
      <c r="AM349" s="93"/>
      <c r="AN349" s="93"/>
      <c r="AO349" s="93"/>
      <c r="AP349" s="93"/>
      <c r="AQ349" s="93"/>
      <c r="AR349" s="93"/>
      <c r="AS349" s="93">
        <f t="shared" si="228"/>
        <v>0</v>
      </c>
      <c r="AT349" s="93"/>
      <c r="AU349" s="93"/>
      <c r="AV349" s="93"/>
      <c r="AW349" s="93"/>
      <c r="AX349" s="93"/>
      <c r="AY349" s="93"/>
      <c r="AZ349" s="93"/>
      <c r="BA349" s="93"/>
      <c r="BB349" s="93"/>
      <c r="BC349" s="93"/>
      <c r="BD349" s="93"/>
      <c r="BE349" s="93"/>
      <c r="BF349" s="93"/>
      <c r="BG349" s="93"/>
      <c r="BH349" s="93"/>
      <c r="BI349" s="93"/>
      <c r="BJ349" s="93"/>
      <c r="BK349" s="93"/>
      <c r="BL349" s="93"/>
      <c r="BM349" s="93"/>
      <c r="BN349" s="93"/>
      <c r="BO349" s="93"/>
      <c r="BP349" s="93"/>
      <c r="BQ349" s="93"/>
      <c r="BR349" s="93"/>
      <c r="BS349" s="93"/>
      <c r="BT349" s="93"/>
      <c r="BU349" s="93"/>
      <c r="BV349" s="93"/>
      <c r="BW349" s="93"/>
      <c r="BX349" s="93"/>
      <c r="BY349" s="93"/>
      <c r="BZ349" s="93"/>
      <c r="CA349" s="93"/>
      <c r="CB349" s="93"/>
      <c r="CC349" s="93"/>
      <c r="CD349" s="93"/>
      <c r="CE349" s="93"/>
      <c r="CF349" s="93"/>
      <c r="CG349" s="93"/>
      <c r="CH349" s="93"/>
      <c r="CI349" s="93"/>
      <c r="CJ349" s="93"/>
      <c r="CK349" s="93"/>
      <c r="CL349" s="93"/>
      <c r="CM349" s="93"/>
      <c r="CN349" s="93"/>
      <c r="CO349" s="93"/>
      <c r="CP349" s="93"/>
      <c r="CQ349" s="93"/>
      <c r="CR349" s="93"/>
      <c r="CS349" s="93"/>
      <c r="CT349" s="93"/>
      <c r="CU349" s="93"/>
      <c r="CV349" s="93"/>
      <c r="CW349" s="93"/>
      <c r="CX349" s="93"/>
    </row>
    <row r="350" spans="1:102" ht="15" hidden="1" customHeight="1">
      <c r="A350" s="93"/>
      <c r="B350" s="93" t="e">
        <f>VLOOKUP($A350,  'Matriz POA 2024-TRABAJO'!$A$5:$CY$9142,29,FALSE)</f>
        <v>#N/A</v>
      </c>
      <c r="C350" s="93" t="e">
        <f>VLOOKUP($A350, 'Matriz POA 2024-TRABAJO'!$A$5:$CY$9142,11,FALSE)</f>
        <v>#N/A</v>
      </c>
      <c r="D350" s="93" t="e">
        <f>VLOOKUP($A350, 'Matriz POA 2024-TRABAJO'!$A$5:$CY$9142,14,FALSE)</f>
        <v>#N/A</v>
      </c>
      <c r="E350" s="93" t="e">
        <f>VLOOKUP($A350, 'Matriz POA 2024-TRABAJO'!$A$5:$CY$9142,15,FALSE)</f>
        <v>#N/A</v>
      </c>
      <c r="F350" s="93" t="e">
        <f>VLOOKUP($A350, 'Matriz POA 2024-TRABAJO'!$A$5:$CY$9142,18,FALSE)</f>
        <v>#N/A</v>
      </c>
      <c r="G350" s="93" t="e">
        <f>VLOOKUP($A350, 'Matriz POA 2024-TRABAJO'!$A$5:$CY$9142,23,FALSE)</f>
        <v>#N/A</v>
      </c>
      <c r="H350" s="93" t="e">
        <f>VLOOKUP($A350, 'Matriz POA 2024-TRABAJO'!$A$5:$CY$9142,24,FALSE)</f>
        <v>#N/A</v>
      </c>
      <c r="I350" s="93" t="e">
        <f>VLOOKUP($A350, 'Matriz POA 2024-TRABAJO'!$A$5:$CY$9142,20,FALSE)</f>
        <v>#N/A</v>
      </c>
      <c r="J350" s="93" t="e">
        <f>VLOOKUP($A350, 'Matriz POA 2024-TRABAJO'!$A$5:$CY$9142,26,FALSE)</f>
        <v>#N/A</v>
      </c>
      <c r="K350" s="93" t="e">
        <f>VLOOKUP($A350, 'Matriz POA 2024-TRABAJO'!$A$5:$CY$9142,27,FALSE)</f>
        <v>#N/A</v>
      </c>
      <c r="L350" s="93" t="e">
        <f>VLOOKUP($A350, 'Matriz POA 2024-TRABAJO'!$A$5:$CY$9142,28,FALSE)</f>
        <v>#N/A</v>
      </c>
      <c r="M350" s="93" t="e">
        <f>VLOOKUP($A350, 'Matriz POA 2024-TRABAJO'!$A$5:$CY$9142,30,FALSE)</f>
        <v>#N/A</v>
      </c>
      <c r="N350" s="93" t="e">
        <f>VLOOKUP($A350, 'Matriz POA 2024-TRABAJO'!$A$5:$CY$9142,31,FALSE)</f>
        <v>#N/A</v>
      </c>
      <c r="O350" s="93" t="e">
        <f>VLOOKUP($A350, 'Matriz POA 2024-TRABAJO'!$A$5:$CY$9142,45,FALSE)</f>
        <v>#N/A</v>
      </c>
      <c r="P350" s="93" t="e">
        <f>VLOOKUP($A350, 'Matriz POA 2024-TRABAJO'!$A$5:$CY$9142,46,FALSE)</f>
        <v>#N/A</v>
      </c>
      <c r="Q350" s="93" t="e">
        <f>VLOOKUP($A350, 'Matriz POA 2024-TRABAJO'!$A$5:$CY$9142,47,FALSE)</f>
        <v>#N/A</v>
      </c>
      <c r="R350" s="94">
        <f t="shared" si="223"/>
        <v>0</v>
      </c>
      <c r="S350" s="95" t="e">
        <f t="shared" si="224"/>
        <v>#N/A</v>
      </c>
      <c r="T350" s="93" t="e">
        <f>VLOOKUP($A350, 'Matriz POA 2024-TRABAJO'!$A$5:$CY$9142,72,FALSE)</f>
        <v>#N/A</v>
      </c>
      <c r="U350" s="93" t="e">
        <f>VLOOKUP($A350, 'Matriz POA 2024-TRABAJO'!$A$5:$CY$9142,29,FALSE)</f>
        <v>#N/A</v>
      </c>
      <c r="V350" s="93" t="str">
        <f t="shared" si="225"/>
        <v/>
      </c>
      <c r="W350" s="93"/>
      <c r="X350" s="93"/>
      <c r="Y350" s="93"/>
      <c r="Z350" s="93"/>
      <c r="AA350" s="93"/>
      <c r="AB350" s="93"/>
      <c r="AC350" s="93">
        <f t="shared" si="226"/>
        <v>0</v>
      </c>
      <c r="AD350" s="93"/>
      <c r="AE350" s="93"/>
      <c r="AF350" s="93"/>
      <c r="AG350" s="93"/>
      <c r="AH350" s="93"/>
      <c r="AI350" s="93"/>
      <c r="AJ350" s="93"/>
      <c r="AK350" s="93">
        <f t="shared" si="227"/>
        <v>0</v>
      </c>
      <c r="AL350" s="93"/>
      <c r="AM350" s="93"/>
      <c r="AN350" s="93"/>
      <c r="AO350" s="93"/>
      <c r="AP350" s="93"/>
      <c r="AQ350" s="93"/>
      <c r="AR350" s="93"/>
      <c r="AS350" s="93">
        <f t="shared" si="228"/>
        <v>0</v>
      </c>
      <c r="AT350" s="93"/>
      <c r="AU350" s="93"/>
      <c r="AV350" s="93"/>
      <c r="AW350" s="93"/>
      <c r="AX350" s="93"/>
      <c r="AY350" s="93"/>
      <c r="AZ350" s="93"/>
      <c r="BA350" s="93"/>
      <c r="BB350" s="93"/>
      <c r="BC350" s="93"/>
      <c r="BD350" s="93"/>
      <c r="BE350" s="93"/>
      <c r="BF350" s="93"/>
      <c r="BG350" s="93"/>
      <c r="BH350" s="93"/>
      <c r="BI350" s="93"/>
      <c r="BJ350" s="93"/>
      <c r="BK350" s="93"/>
      <c r="BL350" s="93"/>
      <c r="BM350" s="93"/>
      <c r="BN350" s="93"/>
      <c r="BO350" s="93"/>
      <c r="BP350" s="93"/>
      <c r="BQ350" s="93"/>
      <c r="BR350" s="93"/>
      <c r="BS350" s="93"/>
      <c r="BT350" s="93"/>
      <c r="BU350" s="93"/>
      <c r="BV350" s="93"/>
      <c r="BW350" s="93"/>
      <c r="BX350" s="93"/>
      <c r="BY350" s="93"/>
      <c r="BZ350" s="93"/>
      <c r="CA350" s="93"/>
      <c r="CB350" s="93"/>
      <c r="CC350" s="93"/>
      <c r="CD350" s="93"/>
      <c r="CE350" s="93"/>
      <c r="CF350" s="93"/>
      <c r="CG350" s="93"/>
      <c r="CH350" s="93"/>
      <c r="CI350" s="93"/>
      <c r="CJ350" s="93"/>
      <c r="CK350" s="93"/>
      <c r="CL350" s="93"/>
      <c r="CM350" s="93"/>
      <c r="CN350" s="93"/>
      <c r="CO350" s="93"/>
      <c r="CP350" s="93"/>
      <c r="CQ350" s="93"/>
      <c r="CR350" s="93"/>
      <c r="CS350" s="93"/>
      <c r="CT350" s="93"/>
      <c r="CU350" s="93"/>
      <c r="CV350" s="93"/>
      <c r="CW350" s="93"/>
      <c r="CX350" s="93"/>
    </row>
    <row r="351" spans="1:102" ht="15" hidden="1" customHeight="1">
      <c r="A351" s="93"/>
      <c r="B351" s="93" t="e">
        <f>VLOOKUP($A351,  'Matriz POA 2024-TRABAJO'!$A$5:$CY$9142,29,FALSE)</f>
        <v>#N/A</v>
      </c>
      <c r="C351" s="93" t="e">
        <f>VLOOKUP($A351, 'Matriz POA 2024-TRABAJO'!$A$5:$CY$9142,11,FALSE)</f>
        <v>#N/A</v>
      </c>
      <c r="D351" s="93" t="e">
        <f>VLOOKUP($A351, 'Matriz POA 2024-TRABAJO'!$A$5:$CY$9142,14,FALSE)</f>
        <v>#N/A</v>
      </c>
      <c r="E351" s="93" t="e">
        <f>VLOOKUP($A351, 'Matriz POA 2024-TRABAJO'!$A$5:$CY$9142,15,FALSE)</f>
        <v>#N/A</v>
      </c>
      <c r="F351" s="93" t="e">
        <f>VLOOKUP($A351, 'Matriz POA 2024-TRABAJO'!$A$5:$CY$9142,18,FALSE)</f>
        <v>#N/A</v>
      </c>
      <c r="G351" s="93" t="e">
        <f>VLOOKUP($A351, 'Matriz POA 2024-TRABAJO'!$A$5:$CY$9142,23,FALSE)</f>
        <v>#N/A</v>
      </c>
      <c r="H351" s="93" t="e">
        <f>VLOOKUP($A351, 'Matriz POA 2024-TRABAJO'!$A$5:$CY$9142,24,FALSE)</f>
        <v>#N/A</v>
      </c>
      <c r="I351" s="93" t="e">
        <f>VLOOKUP($A351, 'Matriz POA 2024-TRABAJO'!$A$5:$CY$9142,20,FALSE)</f>
        <v>#N/A</v>
      </c>
      <c r="J351" s="93" t="e">
        <f>VLOOKUP($A351, 'Matriz POA 2024-TRABAJO'!$A$5:$CY$9142,26,FALSE)</f>
        <v>#N/A</v>
      </c>
      <c r="K351" s="93" t="e">
        <f>VLOOKUP($A351, 'Matriz POA 2024-TRABAJO'!$A$5:$CY$9142,27,FALSE)</f>
        <v>#N/A</v>
      </c>
      <c r="L351" s="93" t="e">
        <f>VLOOKUP($A351, 'Matriz POA 2024-TRABAJO'!$A$5:$CY$9142,28,FALSE)</f>
        <v>#N/A</v>
      </c>
      <c r="M351" s="93" t="e">
        <f>VLOOKUP($A351, 'Matriz POA 2024-TRABAJO'!$A$5:$CY$9142,30,FALSE)</f>
        <v>#N/A</v>
      </c>
      <c r="N351" s="93" t="e">
        <f>VLOOKUP($A351, 'Matriz POA 2024-TRABAJO'!$A$5:$CY$9142,31,FALSE)</f>
        <v>#N/A</v>
      </c>
      <c r="O351" s="93" t="e">
        <f>VLOOKUP($A351, 'Matriz POA 2024-TRABAJO'!$A$5:$CY$9142,45,FALSE)</f>
        <v>#N/A</v>
      </c>
      <c r="P351" s="93" t="e">
        <f>VLOOKUP($A351, 'Matriz POA 2024-TRABAJO'!$A$5:$CY$9142,46,FALSE)</f>
        <v>#N/A</v>
      </c>
      <c r="Q351" s="93" t="e">
        <f>VLOOKUP($A351, 'Matriz POA 2024-TRABAJO'!$A$5:$CY$9142,47,FALSE)</f>
        <v>#N/A</v>
      </c>
      <c r="R351" s="94">
        <f t="shared" si="223"/>
        <v>0</v>
      </c>
      <c r="S351" s="95" t="e">
        <f t="shared" si="224"/>
        <v>#N/A</v>
      </c>
      <c r="T351" s="93" t="e">
        <f>VLOOKUP($A351, 'Matriz POA 2024-TRABAJO'!$A$5:$CY$9142,72,FALSE)</f>
        <v>#N/A</v>
      </c>
      <c r="U351" s="93" t="e">
        <f>VLOOKUP($A351, 'Matriz POA 2024-TRABAJO'!$A$5:$CY$9142,29,FALSE)</f>
        <v>#N/A</v>
      </c>
      <c r="V351" s="93" t="str">
        <f t="shared" si="225"/>
        <v/>
      </c>
      <c r="W351" s="93"/>
      <c r="X351" s="93"/>
      <c r="Y351" s="93"/>
      <c r="Z351" s="93"/>
      <c r="AA351" s="93"/>
      <c r="AB351" s="93"/>
      <c r="AC351" s="93">
        <f t="shared" si="226"/>
        <v>0</v>
      </c>
      <c r="AD351" s="93"/>
      <c r="AE351" s="93"/>
      <c r="AF351" s="93"/>
      <c r="AG351" s="93"/>
      <c r="AH351" s="93"/>
      <c r="AI351" s="93"/>
      <c r="AJ351" s="93"/>
      <c r="AK351" s="93">
        <f t="shared" si="227"/>
        <v>0</v>
      </c>
      <c r="AL351" s="93"/>
      <c r="AM351" s="93"/>
      <c r="AN351" s="93"/>
      <c r="AO351" s="93"/>
      <c r="AP351" s="93"/>
      <c r="AQ351" s="93"/>
      <c r="AR351" s="93"/>
      <c r="AS351" s="93">
        <f t="shared" si="228"/>
        <v>0</v>
      </c>
      <c r="AT351" s="93"/>
      <c r="AU351" s="93"/>
      <c r="AV351" s="93"/>
      <c r="AW351" s="93"/>
      <c r="AX351" s="93"/>
      <c r="AY351" s="93"/>
      <c r="AZ351" s="93"/>
      <c r="BA351" s="93"/>
      <c r="BB351" s="93"/>
      <c r="BC351" s="93"/>
      <c r="BD351" s="93"/>
      <c r="BE351" s="93"/>
      <c r="BF351" s="93"/>
      <c r="BG351" s="93"/>
      <c r="BH351" s="93"/>
      <c r="BI351" s="93"/>
      <c r="BJ351" s="93"/>
      <c r="BK351" s="93"/>
      <c r="BL351" s="93"/>
      <c r="BM351" s="93"/>
      <c r="BN351" s="93"/>
      <c r="BO351" s="93"/>
      <c r="BP351" s="93"/>
      <c r="BQ351" s="93"/>
      <c r="BR351" s="93"/>
      <c r="BS351" s="93"/>
      <c r="BT351" s="93"/>
      <c r="BU351" s="93"/>
      <c r="BV351" s="93"/>
      <c r="BW351" s="93"/>
      <c r="BX351" s="93"/>
      <c r="BY351" s="93"/>
      <c r="BZ351" s="93"/>
      <c r="CA351" s="93"/>
      <c r="CB351" s="93"/>
      <c r="CC351" s="93"/>
      <c r="CD351" s="93"/>
      <c r="CE351" s="93"/>
      <c r="CF351" s="93"/>
      <c r="CG351" s="93"/>
      <c r="CH351" s="93"/>
      <c r="CI351" s="93"/>
      <c r="CJ351" s="93"/>
      <c r="CK351" s="93"/>
      <c r="CL351" s="93"/>
      <c r="CM351" s="93"/>
      <c r="CN351" s="93"/>
      <c r="CO351" s="93"/>
      <c r="CP351" s="93"/>
      <c r="CQ351" s="93"/>
      <c r="CR351" s="93"/>
      <c r="CS351" s="93"/>
      <c r="CT351" s="93"/>
      <c r="CU351" s="93"/>
      <c r="CV351" s="93"/>
      <c r="CW351" s="93"/>
      <c r="CX351" s="93"/>
    </row>
    <row r="352" spans="1:102" ht="15" hidden="1" customHeight="1">
      <c r="A352" s="93"/>
      <c r="B352" s="93" t="e">
        <f>VLOOKUP($A352,  'Matriz POA 2024-TRABAJO'!$A$5:$CY$9142,29,FALSE)</f>
        <v>#N/A</v>
      </c>
      <c r="C352" s="93" t="e">
        <f>VLOOKUP($A352, 'Matriz POA 2024-TRABAJO'!$A$5:$CY$9142,11,FALSE)</f>
        <v>#N/A</v>
      </c>
      <c r="D352" s="93" t="e">
        <f>VLOOKUP($A352, 'Matriz POA 2024-TRABAJO'!$A$5:$CY$9142,14,FALSE)</f>
        <v>#N/A</v>
      </c>
      <c r="E352" s="93" t="e">
        <f>VLOOKUP($A352, 'Matriz POA 2024-TRABAJO'!$A$5:$CY$9142,15,FALSE)</f>
        <v>#N/A</v>
      </c>
      <c r="F352" s="93" t="e">
        <f>VLOOKUP($A352, 'Matriz POA 2024-TRABAJO'!$A$5:$CY$9142,18,FALSE)</f>
        <v>#N/A</v>
      </c>
      <c r="G352" s="93" t="e">
        <f>VLOOKUP($A352, 'Matriz POA 2024-TRABAJO'!$A$5:$CY$9142,23,FALSE)</f>
        <v>#N/A</v>
      </c>
      <c r="H352" s="93" t="e">
        <f>VLOOKUP($A352, 'Matriz POA 2024-TRABAJO'!$A$5:$CY$9142,24,FALSE)</f>
        <v>#N/A</v>
      </c>
      <c r="I352" s="93" t="e">
        <f>VLOOKUP($A352, 'Matriz POA 2024-TRABAJO'!$A$5:$CY$9142,20,FALSE)</f>
        <v>#N/A</v>
      </c>
      <c r="J352" s="93" t="e">
        <f>VLOOKUP($A352, 'Matriz POA 2024-TRABAJO'!$A$5:$CY$9142,26,FALSE)</f>
        <v>#N/A</v>
      </c>
      <c r="K352" s="93" t="e">
        <f>VLOOKUP($A352, 'Matriz POA 2024-TRABAJO'!$A$5:$CY$9142,27,FALSE)</f>
        <v>#N/A</v>
      </c>
      <c r="L352" s="93" t="e">
        <f>VLOOKUP($A352, 'Matriz POA 2024-TRABAJO'!$A$5:$CY$9142,28,FALSE)</f>
        <v>#N/A</v>
      </c>
      <c r="M352" s="93" t="e">
        <f>VLOOKUP($A352, 'Matriz POA 2024-TRABAJO'!$A$5:$CY$9142,30,FALSE)</f>
        <v>#N/A</v>
      </c>
      <c r="N352" s="93" t="e">
        <f>VLOOKUP($A352, 'Matriz POA 2024-TRABAJO'!$A$5:$CY$9142,31,FALSE)</f>
        <v>#N/A</v>
      </c>
      <c r="O352" s="93" t="e">
        <f>VLOOKUP($A352, 'Matriz POA 2024-TRABAJO'!$A$5:$CY$9142,45,FALSE)</f>
        <v>#N/A</v>
      </c>
      <c r="P352" s="93" t="e">
        <f>VLOOKUP($A352, 'Matriz POA 2024-TRABAJO'!$A$5:$CY$9142,46,FALSE)</f>
        <v>#N/A</v>
      </c>
      <c r="Q352" s="93" t="e">
        <f>VLOOKUP($A352, 'Matriz POA 2024-TRABAJO'!$A$5:$CY$9142,47,FALSE)</f>
        <v>#N/A</v>
      </c>
      <c r="R352" s="94">
        <f t="shared" si="223"/>
        <v>0</v>
      </c>
      <c r="S352" s="95" t="e">
        <f t="shared" si="224"/>
        <v>#N/A</v>
      </c>
      <c r="T352" s="93" t="e">
        <f>VLOOKUP($A352, 'Matriz POA 2024-TRABAJO'!$A$5:$CY$9142,72,FALSE)</f>
        <v>#N/A</v>
      </c>
      <c r="U352" s="93" t="e">
        <f>VLOOKUP($A352, 'Matriz POA 2024-TRABAJO'!$A$5:$CY$9142,29,FALSE)</f>
        <v>#N/A</v>
      </c>
      <c r="V352" s="93" t="str">
        <f t="shared" si="225"/>
        <v/>
      </c>
      <c r="W352" s="93"/>
      <c r="X352" s="93"/>
      <c r="Y352" s="93"/>
      <c r="Z352" s="93"/>
      <c r="AA352" s="93"/>
      <c r="AB352" s="93"/>
      <c r="AC352" s="93">
        <f t="shared" si="226"/>
        <v>0</v>
      </c>
      <c r="AD352" s="93"/>
      <c r="AE352" s="93"/>
      <c r="AF352" s="93"/>
      <c r="AG352" s="93"/>
      <c r="AH352" s="93"/>
      <c r="AI352" s="93"/>
      <c r="AJ352" s="93"/>
      <c r="AK352" s="93">
        <f t="shared" si="227"/>
        <v>0</v>
      </c>
      <c r="AL352" s="93"/>
      <c r="AM352" s="93"/>
      <c r="AN352" s="93"/>
      <c r="AO352" s="93"/>
      <c r="AP352" s="93"/>
      <c r="AQ352" s="93"/>
      <c r="AR352" s="93"/>
      <c r="AS352" s="93">
        <f t="shared" si="228"/>
        <v>0</v>
      </c>
      <c r="AT352" s="93"/>
      <c r="AU352" s="93"/>
      <c r="AV352" s="93"/>
      <c r="AW352" s="93"/>
      <c r="AX352" s="93"/>
      <c r="AY352" s="93"/>
      <c r="AZ352" s="93"/>
      <c r="BA352" s="93"/>
      <c r="BB352" s="93"/>
      <c r="BC352" s="93"/>
      <c r="BD352" s="93"/>
      <c r="BE352" s="93"/>
      <c r="BF352" s="93"/>
      <c r="BG352" s="93"/>
      <c r="BH352" s="93"/>
      <c r="BI352" s="93"/>
      <c r="BJ352" s="93"/>
      <c r="BK352" s="93"/>
      <c r="BL352" s="93"/>
      <c r="BM352" s="93"/>
      <c r="BN352" s="93"/>
      <c r="BO352" s="93"/>
      <c r="BP352" s="93"/>
      <c r="BQ352" s="93"/>
      <c r="BR352" s="93"/>
      <c r="BS352" s="93"/>
      <c r="BT352" s="93"/>
      <c r="BU352" s="93"/>
      <c r="BV352" s="93"/>
      <c r="BW352" s="93"/>
      <c r="BX352" s="93"/>
      <c r="BY352" s="93"/>
      <c r="BZ352" s="93"/>
      <c r="CA352" s="93"/>
      <c r="CB352" s="93"/>
      <c r="CC352" s="93"/>
      <c r="CD352" s="93"/>
      <c r="CE352" s="93"/>
      <c r="CF352" s="93"/>
      <c r="CG352" s="93"/>
      <c r="CH352" s="93"/>
      <c r="CI352" s="93"/>
      <c r="CJ352" s="93"/>
      <c r="CK352" s="93"/>
      <c r="CL352" s="93"/>
      <c r="CM352" s="93"/>
      <c r="CN352" s="93"/>
      <c r="CO352" s="93"/>
      <c r="CP352" s="93"/>
      <c r="CQ352" s="93"/>
      <c r="CR352" s="93"/>
      <c r="CS352" s="93"/>
      <c r="CT352" s="93"/>
      <c r="CU352" s="93"/>
      <c r="CV352" s="93"/>
      <c r="CW352" s="93"/>
      <c r="CX352" s="93"/>
    </row>
    <row r="353" spans="1:102" ht="15" hidden="1" customHeight="1">
      <c r="A353" s="93"/>
      <c r="B353" s="93" t="e">
        <f>VLOOKUP($A353,  'Matriz POA 2024-TRABAJO'!$A$5:$CY$9142,29,FALSE)</f>
        <v>#N/A</v>
      </c>
      <c r="C353" s="93" t="e">
        <f>VLOOKUP($A353, 'Matriz POA 2024-TRABAJO'!$A$5:$CY$9142,11,FALSE)</f>
        <v>#N/A</v>
      </c>
      <c r="D353" s="93" t="e">
        <f>VLOOKUP($A353, 'Matriz POA 2024-TRABAJO'!$A$5:$CY$9142,14,FALSE)</f>
        <v>#N/A</v>
      </c>
      <c r="E353" s="93" t="e">
        <f>VLOOKUP($A353, 'Matriz POA 2024-TRABAJO'!$A$5:$CY$9142,15,FALSE)</f>
        <v>#N/A</v>
      </c>
      <c r="F353" s="93" t="e">
        <f>VLOOKUP($A353, 'Matriz POA 2024-TRABAJO'!$A$5:$CY$9142,18,FALSE)</f>
        <v>#N/A</v>
      </c>
      <c r="G353" s="93" t="e">
        <f>VLOOKUP($A353, 'Matriz POA 2024-TRABAJO'!$A$5:$CY$9142,23,FALSE)</f>
        <v>#N/A</v>
      </c>
      <c r="H353" s="93" t="e">
        <f>VLOOKUP($A353, 'Matriz POA 2024-TRABAJO'!$A$5:$CY$9142,24,FALSE)</f>
        <v>#N/A</v>
      </c>
      <c r="I353" s="93" t="e">
        <f>VLOOKUP($A353, 'Matriz POA 2024-TRABAJO'!$A$5:$CY$9142,20,FALSE)</f>
        <v>#N/A</v>
      </c>
      <c r="J353" s="93" t="e">
        <f>VLOOKUP($A353, 'Matriz POA 2024-TRABAJO'!$A$5:$CY$9142,26,FALSE)</f>
        <v>#N/A</v>
      </c>
      <c r="K353" s="93" t="e">
        <f>VLOOKUP($A353, 'Matriz POA 2024-TRABAJO'!$A$5:$CY$9142,27,FALSE)</f>
        <v>#N/A</v>
      </c>
      <c r="L353" s="93" t="e">
        <f>VLOOKUP($A353, 'Matriz POA 2024-TRABAJO'!$A$5:$CY$9142,28,FALSE)</f>
        <v>#N/A</v>
      </c>
      <c r="M353" s="93" t="e">
        <f>VLOOKUP($A353, 'Matriz POA 2024-TRABAJO'!$A$5:$CY$9142,30,FALSE)</f>
        <v>#N/A</v>
      </c>
      <c r="N353" s="93" t="e">
        <f>VLOOKUP($A353, 'Matriz POA 2024-TRABAJO'!$A$5:$CY$9142,31,FALSE)</f>
        <v>#N/A</v>
      </c>
      <c r="O353" s="93" t="e">
        <f>VLOOKUP($A353, 'Matriz POA 2024-TRABAJO'!$A$5:$CY$9142,45,FALSE)</f>
        <v>#N/A</v>
      </c>
      <c r="P353" s="93" t="e">
        <f>VLOOKUP($A353, 'Matriz POA 2024-TRABAJO'!$A$5:$CY$9142,46,FALSE)</f>
        <v>#N/A</v>
      </c>
      <c r="Q353" s="93" t="e">
        <f>VLOOKUP($A353, 'Matriz POA 2024-TRABAJO'!$A$5:$CY$9142,47,FALSE)</f>
        <v>#N/A</v>
      </c>
      <c r="R353" s="94">
        <f t="shared" si="223"/>
        <v>0</v>
      </c>
      <c r="S353" s="95" t="e">
        <f t="shared" si="224"/>
        <v>#N/A</v>
      </c>
      <c r="T353" s="93" t="e">
        <f>VLOOKUP($A353, 'Matriz POA 2024-TRABAJO'!$A$5:$CY$9142,72,FALSE)</f>
        <v>#N/A</v>
      </c>
      <c r="U353" s="93" t="e">
        <f>VLOOKUP($A353, 'Matriz POA 2024-TRABAJO'!$A$5:$CY$9142,29,FALSE)</f>
        <v>#N/A</v>
      </c>
      <c r="V353" s="93" t="str">
        <f t="shared" si="225"/>
        <v/>
      </c>
      <c r="W353" s="93"/>
      <c r="X353" s="93"/>
      <c r="Y353" s="93"/>
      <c r="Z353" s="93"/>
      <c r="AA353" s="93"/>
      <c r="AB353" s="93"/>
      <c r="AC353" s="93">
        <f t="shared" si="226"/>
        <v>0</v>
      </c>
      <c r="AD353" s="93"/>
      <c r="AE353" s="93"/>
      <c r="AF353" s="93"/>
      <c r="AG353" s="93"/>
      <c r="AH353" s="93"/>
      <c r="AI353" s="93"/>
      <c r="AJ353" s="93"/>
      <c r="AK353" s="93">
        <f t="shared" si="227"/>
        <v>0</v>
      </c>
      <c r="AL353" s="93"/>
      <c r="AM353" s="93"/>
      <c r="AN353" s="93"/>
      <c r="AO353" s="93"/>
      <c r="AP353" s="93"/>
      <c r="AQ353" s="93"/>
      <c r="AR353" s="93"/>
      <c r="AS353" s="93">
        <f t="shared" si="228"/>
        <v>0</v>
      </c>
      <c r="AT353" s="93"/>
      <c r="AU353" s="93"/>
      <c r="AV353" s="93"/>
      <c r="AW353" s="93"/>
      <c r="AX353" s="93"/>
      <c r="AY353" s="93"/>
      <c r="AZ353" s="93"/>
      <c r="BA353" s="93"/>
      <c r="BB353" s="93"/>
      <c r="BC353" s="93"/>
      <c r="BD353" s="93"/>
      <c r="BE353" s="93"/>
      <c r="BF353" s="93"/>
      <c r="BG353" s="93"/>
      <c r="BH353" s="93"/>
      <c r="BI353" s="93"/>
      <c r="BJ353" s="93"/>
      <c r="BK353" s="93"/>
      <c r="BL353" s="93"/>
      <c r="BM353" s="93"/>
      <c r="BN353" s="93"/>
      <c r="BO353" s="93"/>
      <c r="BP353" s="93"/>
      <c r="BQ353" s="93"/>
      <c r="BR353" s="93"/>
      <c r="BS353" s="93"/>
      <c r="BT353" s="93"/>
      <c r="BU353" s="93"/>
      <c r="BV353" s="93"/>
      <c r="BW353" s="93"/>
      <c r="BX353" s="93"/>
      <c r="BY353" s="93"/>
      <c r="BZ353" s="93"/>
      <c r="CA353" s="93"/>
      <c r="CB353" s="93"/>
      <c r="CC353" s="93"/>
      <c r="CD353" s="93"/>
      <c r="CE353" s="93"/>
      <c r="CF353" s="93"/>
      <c r="CG353" s="93"/>
      <c r="CH353" s="93"/>
      <c r="CI353" s="93"/>
      <c r="CJ353" s="93"/>
      <c r="CK353" s="93"/>
      <c r="CL353" s="93"/>
      <c r="CM353" s="93"/>
      <c r="CN353" s="93"/>
      <c r="CO353" s="93"/>
      <c r="CP353" s="93"/>
      <c r="CQ353" s="93"/>
      <c r="CR353" s="93"/>
      <c r="CS353" s="93"/>
      <c r="CT353" s="93"/>
      <c r="CU353" s="93"/>
      <c r="CV353" s="93"/>
      <c r="CW353" s="93"/>
      <c r="CX353" s="93"/>
    </row>
    <row r="354" spans="1:102" ht="15" hidden="1" customHeight="1">
      <c r="A354" s="93"/>
      <c r="B354" s="93" t="e">
        <f>VLOOKUP($A354,  'Matriz POA 2024-TRABAJO'!$A$5:$CY$9142,29,FALSE)</f>
        <v>#N/A</v>
      </c>
      <c r="C354" s="93" t="e">
        <f>VLOOKUP($A354, 'Matriz POA 2024-TRABAJO'!$A$5:$CY$9142,11,FALSE)</f>
        <v>#N/A</v>
      </c>
      <c r="D354" s="93" t="e">
        <f>VLOOKUP($A354, 'Matriz POA 2024-TRABAJO'!$A$5:$CY$9142,14,FALSE)</f>
        <v>#N/A</v>
      </c>
      <c r="E354" s="93" t="e">
        <f>VLOOKUP($A354, 'Matriz POA 2024-TRABAJO'!$A$5:$CY$9142,15,FALSE)</f>
        <v>#N/A</v>
      </c>
      <c r="F354" s="93" t="e">
        <f>VLOOKUP($A354, 'Matriz POA 2024-TRABAJO'!$A$5:$CY$9142,18,FALSE)</f>
        <v>#N/A</v>
      </c>
      <c r="G354" s="93" t="e">
        <f>VLOOKUP($A354, 'Matriz POA 2024-TRABAJO'!$A$5:$CY$9142,23,FALSE)</f>
        <v>#N/A</v>
      </c>
      <c r="H354" s="93" t="e">
        <f>VLOOKUP($A354, 'Matriz POA 2024-TRABAJO'!$A$5:$CY$9142,24,FALSE)</f>
        <v>#N/A</v>
      </c>
      <c r="I354" s="93" t="e">
        <f>VLOOKUP($A354, 'Matriz POA 2024-TRABAJO'!$A$5:$CY$9142,20,FALSE)</f>
        <v>#N/A</v>
      </c>
      <c r="J354" s="93" t="e">
        <f>VLOOKUP($A354, 'Matriz POA 2024-TRABAJO'!$A$5:$CY$9142,26,FALSE)</f>
        <v>#N/A</v>
      </c>
      <c r="K354" s="93" t="e">
        <f>VLOOKUP($A354, 'Matriz POA 2024-TRABAJO'!$A$5:$CY$9142,27,FALSE)</f>
        <v>#N/A</v>
      </c>
      <c r="L354" s="93" t="e">
        <f>VLOOKUP($A354, 'Matriz POA 2024-TRABAJO'!$A$5:$CY$9142,28,FALSE)</f>
        <v>#N/A</v>
      </c>
      <c r="M354" s="93" t="e">
        <f>VLOOKUP($A354, 'Matriz POA 2024-TRABAJO'!$A$5:$CY$9142,30,FALSE)</f>
        <v>#N/A</v>
      </c>
      <c r="N354" s="93" t="e">
        <f>VLOOKUP($A354, 'Matriz POA 2024-TRABAJO'!$A$5:$CY$9142,31,FALSE)</f>
        <v>#N/A</v>
      </c>
      <c r="O354" s="93" t="e">
        <f>VLOOKUP($A354, 'Matriz POA 2024-TRABAJO'!$A$5:$CY$9142,45,FALSE)</f>
        <v>#N/A</v>
      </c>
      <c r="P354" s="93" t="e">
        <f>VLOOKUP($A354, 'Matriz POA 2024-TRABAJO'!$A$5:$CY$9142,46,FALSE)</f>
        <v>#N/A</v>
      </c>
      <c r="Q354" s="93" t="e">
        <f>VLOOKUP($A354, 'Matriz POA 2024-TRABAJO'!$A$5:$CY$9142,47,FALSE)</f>
        <v>#N/A</v>
      </c>
      <c r="R354" s="94">
        <f t="shared" si="223"/>
        <v>0</v>
      </c>
      <c r="S354" s="95" t="e">
        <f t="shared" si="224"/>
        <v>#N/A</v>
      </c>
      <c r="T354" s="93" t="e">
        <f>VLOOKUP($A354, 'Matriz POA 2024-TRABAJO'!$A$5:$CY$9142,72,FALSE)</f>
        <v>#N/A</v>
      </c>
      <c r="U354" s="93" t="e">
        <f>VLOOKUP($A354, 'Matriz POA 2024-TRABAJO'!$A$5:$CY$9142,29,FALSE)</f>
        <v>#N/A</v>
      </c>
      <c r="V354" s="93" t="str">
        <f t="shared" si="225"/>
        <v/>
      </c>
      <c r="W354" s="93"/>
      <c r="X354" s="93"/>
      <c r="Y354" s="93"/>
      <c r="Z354" s="93"/>
      <c r="AA354" s="93"/>
      <c r="AB354" s="93"/>
      <c r="AC354" s="93">
        <f t="shared" si="226"/>
        <v>0</v>
      </c>
      <c r="AD354" s="93"/>
      <c r="AE354" s="93"/>
      <c r="AF354" s="93"/>
      <c r="AG354" s="93"/>
      <c r="AH354" s="93"/>
      <c r="AI354" s="93"/>
      <c r="AJ354" s="93"/>
      <c r="AK354" s="93">
        <f t="shared" si="227"/>
        <v>0</v>
      </c>
      <c r="AL354" s="93"/>
      <c r="AM354" s="93"/>
      <c r="AN354" s="93"/>
      <c r="AO354" s="93"/>
      <c r="AP354" s="93"/>
      <c r="AQ354" s="93"/>
      <c r="AR354" s="93"/>
      <c r="AS354" s="93">
        <f t="shared" si="228"/>
        <v>0</v>
      </c>
      <c r="AT354" s="93"/>
      <c r="AU354" s="93"/>
      <c r="AV354" s="93"/>
      <c r="AW354" s="93"/>
      <c r="AX354" s="93"/>
      <c r="AY354" s="93"/>
      <c r="AZ354" s="93"/>
      <c r="BA354" s="93"/>
      <c r="BB354" s="93"/>
      <c r="BC354" s="93"/>
      <c r="BD354" s="93"/>
      <c r="BE354" s="93"/>
      <c r="BF354" s="93"/>
      <c r="BG354" s="93"/>
      <c r="BH354" s="93"/>
      <c r="BI354" s="93"/>
      <c r="BJ354" s="93"/>
      <c r="BK354" s="93"/>
      <c r="BL354" s="93"/>
      <c r="BM354" s="93"/>
      <c r="BN354" s="93"/>
      <c r="BO354" s="93"/>
      <c r="BP354" s="93"/>
      <c r="BQ354" s="93"/>
      <c r="BR354" s="93"/>
      <c r="BS354" s="93"/>
      <c r="BT354" s="93"/>
      <c r="BU354" s="93"/>
      <c r="BV354" s="93"/>
      <c r="BW354" s="93"/>
      <c r="BX354" s="93"/>
      <c r="BY354" s="93"/>
      <c r="BZ354" s="93"/>
      <c r="CA354" s="93"/>
      <c r="CB354" s="93"/>
      <c r="CC354" s="93"/>
      <c r="CD354" s="93"/>
      <c r="CE354" s="93"/>
      <c r="CF354" s="93"/>
      <c r="CG354" s="93"/>
      <c r="CH354" s="93"/>
      <c r="CI354" s="93"/>
      <c r="CJ354" s="93"/>
      <c r="CK354" s="93"/>
      <c r="CL354" s="93"/>
      <c r="CM354" s="93"/>
      <c r="CN354" s="93"/>
      <c r="CO354" s="93"/>
      <c r="CP354" s="93"/>
      <c r="CQ354" s="93"/>
      <c r="CR354" s="93"/>
      <c r="CS354" s="93"/>
      <c r="CT354" s="93"/>
      <c r="CU354" s="93"/>
      <c r="CV354" s="93"/>
      <c r="CW354" s="93"/>
      <c r="CX354" s="93"/>
    </row>
    <row r="355" spans="1:102" ht="15" hidden="1" customHeight="1">
      <c r="A355" s="93"/>
      <c r="B355" s="93" t="e">
        <f>VLOOKUP($A355,  'Matriz POA 2024-TRABAJO'!$A$5:$CY$9142,29,FALSE)</f>
        <v>#N/A</v>
      </c>
      <c r="C355" s="93" t="e">
        <f>VLOOKUP($A355, 'Matriz POA 2024-TRABAJO'!$A$5:$CY$9142,11,FALSE)</f>
        <v>#N/A</v>
      </c>
      <c r="D355" s="93" t="e">
        <f>VLOOKUP($A355, 'Matriz POA 2024-TRABAJO'!$A$5:$CY$9142,14,FALSE)</f>
        <v>#N/A</v>
      </c>
      <c r="E355" s="93" t="e">
        <f>VLOOKUP($A355, 'Matriz POA 2024-TRABAJO'!$A$5:$CY$9142,15,FALSE)</f>
        <v>#N/A</v>
      </c>
      <c r="F355" s="93" t="e">
        <f>VLOOKUP($A355, 'Matriz POA 2024-TRABAJO'!$A$5:$CY$9142,18,FALSE)</f>
        <v>#N/A</v>
      </c>
      <c r="G355" s="93" t="e">
        <f>VLOOKUP($A355, 'Matriz POA 2024-TRABAJO'!$A$5:$CY$9142,23,FALSE)</f>
        <v>#N/A</v>
      </c>
      <c r="H355" s="93" t="e">
        <f>VLOOKUP($A355, 'Matriz POA 2024-TRABAJO'!$A$5:$CY$9142,24,FALSE)</f>
        <v>#N/A</v>
      </c>
      <c r="I355" s="93" t="e">
        <f>VLOOKUP($A355, 'Matriz POA 2024-TRABAJO'!$A$5:$CY$9142,20,FALSE)</f>
        <v>#N/A</v>
      </c>
      <c r="J355" s="93" t="e">
        <f>VLOOKUP($A355, 'Matriz POA 2024-TRABAJO'!$A$5:$CY$9142,26,FALSE)</f>
        <v>#N/A</v>
      </c>
      <c r="K355" s="93" t="e">
        <f>VLOOKUP($A355, 'Matriz POA 2024-TRABAJO'!$A$5:$CY$9142,27,FALSE)</f>
        <v>#N/A</v>
      </c>
      <c r="L355" s="93" t="e">
        <f>VLOOKUP($A355, 'Matriz POA 2024-TRABAJO'!$A$5:$CY$9142,28,FALSE)</f>
        <v>#N/A</v>
      </c>
      <c r="M355" s="93" t="e">
        <f>VLOOKUP($A355, 'Matriz POA 2024-TRABAJO'!$A$5:$CY$9142,30,FALSE)</f>
        <v>#N/A</v>
      </c>
      <c r="N355" s="93" t="e">
        <f>VLOOKUP($A355, 'Matriz POA 2024-TRABAJO'!$A$5:$CY$9142,31,FALSE)</f>
        <v>#N/A</v>
      </c>
      <c r="O355" s="93" t="e">
        <f>VLOOKUP($A355, 'Matriz POA 2024-TRABAJO'!$A$5:$CY$9142,45,FALSE)</f>
        <v>#N/A</v>
      </c>
      <c r="P355" s="93" t="e">
        <f>VLOOKUP($A355, 'Matriz POA 2024-TRABAJO'!$A$5:$CY$9142,46,FALSE)</f>
        <v>#N/A</v>
      </c>
      <c r="Q355" s="93" t="e">
        <f>VLOOKUP($A355, 'Matriz POA 2024-TRABAJO'!$A$5:$CY$9142,47,FALSE)</f>
        <v>#N/A</v>
      </c>
      <c r="R355" s="94">
        <f t="shared" si="223"/>
        <v>0</v>
      </c>
      <c r="S355" s="95" t="e">
        <f t="shared" si="224"/>
        <v>#N/A</v>
      </c>
      <c r="T355" s="93" t="e">
        <f>VLOOKUP($A355, 'Matriz POA 2024-TRABAJO'!$A$5:$CY$9142,72,FALSE)</f>
        <v>#N/A</v>
      </c>
      <c r="U355" s="93" t="e">
        <f>VLOOKUP($A355, 'Matriz POA 2024-TRABAJO'!$A$5:$CY$9142,29,FALSE)</f>
        <v>#N/A</v>
      </c>
      <c r="V355" s="93" t="str">
        <f t="shared" si="225"/>
        <v/>
      </c>
      <c r="W355" s="93"/>
      <c r="X355" s="93"/>
      <c r="Y355" s="93"/>
      <c r="Z355" s="93"/>
      <c r="AA355" s="93"/>
      <c r="AB355" s="93"/>
      <c r="AC355" s="93">
        <f t="shared" si="226"/>
        <v>0</v>
      </c>
      <c r="AD355" s="93"/>
      <c r="AE355" s="93"/>
      <c r="AF355" s="93"/>
      <c r="AG355" s="93"/>
      <c r="AH355" s="93"/>
      <c r="AI355" s="93"/>
      <c r="AJ355" s="93"/>
      <c r="AK355" s="93">
        <f t="shared" si="227"/>
        <v>0</v>
      </c>
      <c r="AL355" s="93"/>
      <c r="AM355" s="93"/>
      <c r="AN355" s="93"/>
      <c r="AO355" s="93"/>
      <c r="AP355" s="93"/>
      <c r="AQ355" s="93"/>
      <c r="AR355" s="93"/>
      <c r="AS355" s="93">
        <f t="shared" si="228"/>
        <v>0</v>
      </c>
      <c r="AT355" s="93"/>
      <c r="AU355" s="93"/>
      <c r="AV355" s="93"/>
      <c r="AW355" s="93"/>
      <c r="AX355" s="93"/>
      <c r="AY355" s="93"/>
      <c r="AZ355" s="93"/>
      <c r="BA355" s="93"/>
      <c r="BB355" s="93"/>
      <c r="BC355" s="93"/>
      <c r="BD355" s="93"/>
      <c r="BE355" s="93"/>
      <c r="BF355" s="93"/>
      <c r="BG355" s="93"/>
      <c r="BH355" s="93"/>
      <c r="BI355" s="93"/>
      <c r="BJ355" s="93"/>
      <c r="BK355" s="93"/>
      <c r="BL355" s="93"/>
      <c r="BM355" s="93"/>
      <c r="BN355" s="93"/>
      <c r="BO355" s="93"/>
      <c r="BP355" s="93"/>
      <c r="BQ355" s="93"/>
      <c r="BR355" s="93"/>
      <c r="BS355" s="93"/>
      <c r="BT355" s="93"/>
      <c r="BU355" s="93"/>
      <c r="BV355" s="93"/>
      <c r="BW355" s="93"/>
      <c r="BX355" s="93"/>
      <c r="BY355" s="93"/>
      <c r="BZ355" s="93"/>
      <c r="CA355" s="93"/>
      <c r="CB355" s="93"/>
      <c r="CC355" s="93"/>
      <c r="CD355" s="93"/>
      <c r="CE355" s="93"/>
      <c r="CF355" s="93"/>
      <c r="CG355" s="93"/>
      <c r="CH355" s="93"/>
      <c r="CI355" s="93"/>
      <c r="CJ355" s="93"/>
      <c r="CK355" s="93"/>
      <c r="CL355" s="93"/>
      <c r="CM355" s="93"/>
      <c r="CN355" s="93"/>
      <c r="CO355" s="93"/>
      <c r="CP355" s="93"/>
      <c r="CQ355" s="93"/>
      <c r="CR355" s="93"/>
      <c r="CS355" s="93"/>
      <c r="CT355" s="93"/>
      <c r="CU355" s="93"/>
      <c r="CV355" s="93"/>
      <c r="CW355" s="93"/>
      <c r="CX355" s="93"/>
    </row>
    <row r="356" spans="1:102" ht="15" hidden="1" customHeight="1">
      <c r="A356" s="93"/>
      <c r="B356" s="93" t="e">
        <f>VLOOKUP($A356,  'Matriz POA 2024-TRABAJO'!$A$5:$CY$9142,29,FALSE)</f>
        <v>#N/A</v>
      </c>
      <c r="C356" s="93" t="e">
        <f>VLOOKUP($A356, 'Matriz POA 2024-TRABAJO'!$A$5:$CY$9142,11,FALSE)</f>
        <v>#N/A</v>
      </c>
      <c r="D356" s="93" t="e">
        <f>VLOOKUP($A356, 'Matriz POA 2024-TRABAJO'!$A$5:$CY$9142,14,FALSE)</f>
        <v>#N/A</v>
      </c>
      <c r="E356" s="93" t="e">
        <f>VLOOKUP($A356, 'Matriz POA 2024-TRABAJO'!$A$5:$CY$9142,15,FALSE)</f>
        <v>#N/A</v>
      </c>
      <c r="F356" s="93" t="e">
        <f>VLOOKUP($A356, 'Matriz POA 2024-TRABAJO'!$A$5:$CY$9142,18,FALSE)</f>
        <v>#N/A</v>
      </c>
      <c r="G356" s="93" t="e">
        <f>VLOOKUP($A356, 'Matriz POA 2024-TRABAJO'!$A$5:$CY$9142,23,FALSE)</f>
        <v>#N/A</v>
      </c>
      <c r="H356" s="93" t="e">
        <f>VLOOKUP($A356, 'Matriz POA 2024-TRABAJO'!$A$5:$CY$9142,24,FALSE)</f>
        <v>#N/A</v>
      </c>
      <c r="I356" s="93" t="e">
        <f>VLOOKUP($A356, 'Matriz POA 2024-TRABAJO'!$A$5:$CY$9142,20,FALSE)</f>
        <v>#N/A</v>
      </c>
      <c r="J356" s="93" t="e">
        <f>VLOOKUP($A356, 'Matriz POA 2024-TRABAJO'!$A$5:$CY$9142,26,FALSE)</f>
        <v>#N/A</v>
      </c>
      <c r="K356" s="93" t="e">
        <f>VLOOKUP($A356, 'Matriz POA 2024-TRABAJO'!$A$5:$CY$9142,27,FALSE)</f>
        <v>#N/A</v>
      </c>
      <c r="L356" s="93" t="e">
        <f>VLOOKUP($A356, 'Matriz POA 2024-TRABAJO'!$A$5:$CY$9142,28,FALSE)</f>
        <v>#N/A</v>
      </c>
      <c r="M356" s="93" t="e">
        <f>VLOOKUP($A356, 'Matriz POA 2024-TRABAJO'!$A$5:$CY$9142,30,FALSE)</f>
        <v>#N/A</v>
      </c>
      <c r="N356" s="93" t="e">
        <f>VLOOKUP($A356, 'Matriz POA 2024-TRABAJO'!$A$5:$CY$9142,31,FALSE)</f>
        <v>#N/A</v>
      </c>
      <c r="O356" s="93" t="e">
        <f>VLOOKUP($A356, 'Matriz POA 2024-TRABAJO'!$A$5:$CY$9142,45,FALSE)</f>
        <v>#N/A</v>
      </c>
      <c r="P356" s="93" t="e">
        <f>VLOOKUP($A356, 'Matriz POA 2024-TRABAJO'!$A$5:$CY$9142,46,FALSE)</f>
        <v>#N/A</v>
      </c>
      <c r="Q356" s="93" t="e">
        <f>VLOOKUP($A356, 'Matriz POA 2024-TRABAJO'!$A$5:$CY$9142,47,FALSE)</f>
        <v>#N/A</v>
      </c>
      <c r="R356" s="94">
        <f t="shared" si="223"/>
        <v>0</v>
      </c>
      <c r="S356" s="95" t="e">
        <f t="shared" si="224"/>
        <v>#N/A</v>
      </c>
      <c r="T356" s="93" t="e">
        <f>VLOOKUP($A356, 'Matriz POA 2024-TRABAJO'!$A$5:$CY$9142,72,FALSE)</f>
        <v>#N/A</v>
      </c>
      <c r="U356" s="93" t="e">
        <f>VLOOKUP($A356, 'Matriz POA 2024-TRABAJO'!$A$5:$CY$9142,29,FALSE)</f>
        <v>#N/A</v>
      </c>
      <c r="V356" s="93" t="str">
        <f t="shared" si="225"/>
        <v/>
      </c>
      <c r="W356" s="93"/>
      <c r="X356" s="93"/>
      <c r="Y356" s="93"/>
      <c r="Z356" s="93"/>
      <c r="AA356" s="93"/>
      <c r="AB356" s="93"/>
      <c r="AC356" s="93">
        <f t="shared" si="226"/>
        <v>0</v>
      </c>
      <c r="AD356" s="93"/>
      <c r="AE356" s="93"/>
      <c r="AF356" s="93"/>
      <c r="AG356" s="93"/>
      <c r="AH356" s="93"/>
      <c r="AI356" s="93"/>
      <c r="AJ356" s="93"/>
      <c r="AK356" s="93">
        <f t="shared" si="227"/>
        <v>0</v>
      </c>
      <c r="AL356" s="93"/>
      <c r="AM356" s="93"/>
      <c r="AN356" s="93"/>
      <c r="AO356" s="93"/>
      <c r="AP356" s="93"/>
      <c r="AQ356" s="93"/>
      <c r="AR356" s="93"/>
      <c r="AS356" s="93">
        <f t="shared" si="228"/>
        <v>0</v>
      </c>
      <c r="AT356" s="93"/>
      <c r="AU356" s="93"/>
      <c r="AV356" s="93"/>
      <c r="AW356" s="93"/>
      <c r="AX356" s="93"/>
      <c r="AY356" s="93"/>
      <c r="AZ356" s="93"/>
      <c r="BA356" s="93"/>
      <c r="BB356" s="93"/>
      <c r="BC356" s="93"/>
      <c r="BD356" s="93"/>
      <c r="BE356" s="93"/>
      <c r="BF356" s="93"/>
      <c r="BG356" s="93"/>
      <c r="BH356" s="93"/>
      <c r="BI356" s="93"/>
      <c r="BJ356" s="93"/>
      <c r="BK356" s="93"/>
      <c r="BL356" s="93"/>
      <c r="BM356" s="93"/>
      <c r="BN356" s="93"/>
      <c r="BO356" s="93"/>
      <c r="BP356" s="93"/>
      <c r="BQ356" s="93"/>
      <c r="BR356" s="93"/>
      <c r="BS356" s="93"/>
      <c r="BT356" s="93"/>
      <c r="BU356" s="93"/>
      <c r="BV356" s="93"/>
      <c r="BW356" s="93"/>
      <c r="BX356" s="93"/>
      <c r="BY356" s="93"/>
      <c r="BZ356" s="93"/>
      <c r="CA356" s="93"/>
      <c r="CB356" s="93"/>
      <c r="CC356" s="93"/>
      <c r="CD356" s="93"/>
      <c r="CE356" s="93"/>
      <c r="CF356" s="93"/>
      <c r="CG356" s="93"/>
      <c r="CH356" s="93"/>
      <c r="CI356" s="93"/>
      <c r="CJ356" s="93"/>
      <c r="CK356" s="93"/>
      <c r="CL356" s="93"/>
      <c r="CM356" s="93"/>
      <c r="CN356" s="93"/>
      <c r="CO356" s="93"/>
      <c r="CP356" s="93"/>
      <c r="CQ356" s="93"/>
      <c r="CR356" s="93"/>
      <c r="CS356" s="93"/>
      <c r="CT356" s="93"/>
      <c r="CU356" s="93"/>
      <c r="CV356" s="93"/>
      <c r="CW356" s="93"/>
      <c r="CX356" s="93"/>
    </row>
    <row r="357" spans="1:102" ht="15" hidden="1" customHeight="1">
      <c r="A357" s="93"/>
      <c r="B357" s="93" t="e">
        <f>VLOOKUP($A357,  'Matriz POA 2024-TRABAJO'!$A$5:$CY$9142,29,FALSE)</f>
        <v>#N/A</v>
      </c>
      <c r="C357" s="93" t="e">
        <f>VLOOKUP($A357, 'Matriz POA 2024-TRABAJO'!$A$5:$CY$9142,11,FALSE)</f>
        <v>#N/A</v>
      </c>
      <c r="D357" s="93" t="e">
        <f>VLOOKUP($A357, 'Matriz POA 2024-TRABAJO'!$A$5:$CY$9142,14,FALSE)</f>
        <v>#N/A</v>
      </c>
      <c r="E357" s="93" t="e">
        <f>VLOOKUP($A357, 'Matriz POA 2024-TRABAJO'!$A$5:$CY$9142,15,FALSE)</f>
        <v>#N/A</v>
      </c>
      <c r="F357" s="93" t="e">
        <f>VLOOKUP($A357, 'Matriz POA 2024-TRABAJO'!$A$5:$CY$9142,18,FALSE)</f>
        <v>#N/A</v>
      </c>
      <c r="G357" s="93" t="e">
        <f>VLOOKUP($A357, 'Matriz POA 2024-TRABAJO'!$A$5:$CY$9142,23,FALSE)</f>
        <v>#N/A</v>
      </c>
      <c r="H357" s="93" t="e">
        <f>VLOOKUP($A357, 'Matriz POA 2024-TRABAJO'!$A$5:$CY$9142,24,FALSE)</f>
        <v>#N/A</v>
      </c>
      <c r="I357" s="93" t="e">
        <f>VLOOKUP($A357, 'Matriz POA 2024-TRABAJO'!$A$5:$CY$9142,20,FALSE)</f>
        <v>#N/A</v>
      </c>
      <c r="J357" s="93" t="e">
        <f>VLOOKUP($A357, 'Matriz POA 2024-TRABAJO'!$A$5:$CY$9142,26,FALSE)</f>
        <v>#N/A</v>
      </c>
      <c r="K357" s="93" t="e">
        <f>VLOOKUP($A357, 'Matriz POA 2024-TRABAJO'!$A$5:$CY$9142,27,FALSE)</f>
        <v>#N/A</v>
      </c>
      <c r="L357" s="93" t="e">
        <f>VLOOKUP($A357, 'Matriz POA 2024-TRABAJO'!$A$5:$CY$9142,28,FALSE)</f>
        <v>#N/A</v>
      </c>
      <c r="M357" s="93" t="e">
        <f>VLOOKUP($A357, 'Matriz POA 2024-TRABAJO'!$A$5:$CY$9142,30,FALSE)</f>
        <v>#N/A</v>
      </c>
      <c r="N357" s="93" t="e">
        <f>VLOOKUP($A357, 'Matriz POA 2024-TRABAJO'!$A$5:$CY$9142,31,FALSE)</f>
        <v>#N/A</v>
      </c>
      <c r="O357" s="93" t="e">
        <f>VLOOKUP($A357, 'Matriz POA 2024-TRABAJO'!$A$5:$CY$9142,45,FALSE)</f>
        <v>#N/A</v>
      </c>
      <c r="P357" s="93" t="e">
        <f>VLOOKUP($A357, 'Matriz POA 2024-TRABAJO'!$A$5:$CY$9142,46,FALSE)</f>
        <v>#N/A</v>
      </c>
      <c r="Q357" s="93" t="e">
        <f>VLOOKUP($A357, 'Matriz POA 2024-TRABAJO'!$A$5:$CY$9142,47,FALSE)</f>
        <v>#N/A</v>
      </c>
      <c r="R357" s="94">
        <f t="shared" si="223"/>
        <v>0</v>
      </c>
      <c r="S357" s="95" t="e">
        <f t="shared" si="224"/>
        <v>#N/A</v>
      </c>
      <c r="T357" s="93" t="e">
        <f>VLOOKUP($A357, 'Matriz POA 2024-TRABAJO'!$A$5:$CY$9142,72,FALSE)</f>
        <v>#N/A</v>
      </c>
      <c r="U357" s="93" t="e">
        <f>VLOOKUP($A357, 'Matriz POA 2024-TRABAJO'!$A$5:$CY$9142,29,FALSE)</f>
        <v>#N/A</v>
      </c>
      <c r="V357" s="93" t="str">
        <f t="shared" si="225"/>
        <v/>
      </c>
      <c r="W357" s="93"/>
      <c r="X357" s="93"/>
      <c r="Y357" s="93"/>
      <c r="Z357" s="93"/>
      <c r="AA357" s="93"/>
      <c r="AB357" s="93"/>
      <c r="AC357" s="93">
        <f t="shared" si="226"/>
        <v>0</v>
      </c>
      <c r="AD357" s="93"/>
      <c r="AE357" s="93"/>
      <c r="AF357" s="93"/>
      <c r="AG357" s="93"/>
      <c r="AH357" s="93"/>
      <c r="AI357" s="93"/>
      <c r="AJ357" s="93"/>
      <c r="AK357" s="93">
        <f t="shared" si="227"/>
        <v>0</v>
      </c>
      <c r="AL357" s="93"/>
      <c r="AM357" s="93"/>
      <c r="AN357" s="93"/>
      <c r="AO357" s="93"/>
      <c r="AP357" s="93"/>
      <c r="AQ357" s="93"/>
      <c r="AR357" s="93"/>
      <c r="AS357" s="93">
        <f t="shared" si="228"/>
        <v>0</v>
      </c>
      <c r="AT357" s="93"/>
      <c r="AU357" s="93"/>
      <c r="AV357" s="93"/>
      <c r="AW357" s="93"/>
      <c r="AX357" s="93"/>
      <c r="AY357" s="93"/>
      <c r="AZ357" s="93"/>
      <c r="BA357" s="93"/>
      <c r="BB357" s="93"/>
      <c r="BC357" s="93"/>
      <c r="BD357" s="93"/>
      <c r="BE357" s="93"/>
      <c r="BF357" s="93"/>
      <c r="BG357" s="93"/>
      <c r="BH357" s="93"/>
      <c r="BI357" s="93"/>
      <c r="BJ357" s="93"/>
      <c r="BK357" s="93"/>
      <c r="BL357" s="93"/>
      <c r="BM357" s="93"/>
      <c r="BN357" s="93"/>
      <c r="BO357" s="93"/>
      <c r="BP357" s="93"/>
      <c r="BQ357" s="93"/>
      <c r="BR357" s="93"/>
      <c r="BS357" s="93"/>
      <c r="BT357" s="93"/>
      <c r="BU357" s="93"/>
      <c r="BV357" s="93"/>
      <c r="BW357" s="93"/>
      <c r="BX357" s="93"/>
      <c r="BY357" s="93"/>
      <c r="BZ357" s="93"/>
      <c r="CA357" s="93"/>
      <c r="CB357" s="93"/>
      <c r="CC357" s="93"/>
      <c r="CD357" s="93"/>
      <c r="CE357" s="93"/>
      <c r="CF357" s="93"/>
      <c r="CG357" s="93"/>
      <c r="CH357" s="93"/>
      <c r="CI357" s="93"/>
      <c r="CJ357" s="93"/>
      <c r="CK357" s="93"/>
      <c r="CL357" s="93"/>
      <c r="CM357" s="93"/>
      <c r="CN357" s="93"/>
      <c r="CO357" s="93"/>
      <c r="CP357" s="93"/>
      <c r="CQ357" s="93"/>
      <c r="CR357" s="93"/>
      <c r="CS357" s="93"/>
      <c r="CT357" s="93"/>
      <c r="CU357" s="93"/>
      <c r="CV357" s="93"/>
      <c r="CW357" s="93"/>
      <c r="CX357" s="93"/>
    </row>
    <row r="358" spans="1:102" ht="15" hidden="1" customHeight="1">
      <c r="A358" s="93"/>
      <c r="B358" s="93" t="e">
        <f>VLOOKUP($A358,  'Matriz POA 2024-TRABAJO'!$A$5:$CY$9142,29,FALSE)</f>
        <v>#N/A</v>
      </c>
      <c r="C358" s="93" t="e">
        <f>VLOOKUP($A358, 'Matriz POA 2024-TRABAJO'!$A$5:$CY$9142,11,FALSE)</f>
        <v>#N/A</v>
      </c>
      <c r="D358" s="93" t="e">
        <f>VLOOKUP($A358, 'Matriz POA 2024-TRABAJO'!$A$5:$CY$9142,14,FALSE)</f>
        <v>#N/A</v>
      </c>
      <c r="E358" s="93" t="e">
        <f>VLOOKUP($A358, 'Matriz POA 2024-TRABAJO'!$A$5:$CY$9142,15,FALSE)</f>
        <v>#N/A</v>
      </c>
      <c r="F358" s="93" t="e">
        <f>VLOOKUP($A358, 'Matriz POA 2024-TRABAJO'!$A$5:$CY$9142,18,FALSE)</f>
        <v>#N/A</v>
      </c>
      <c r="G358" s="93" t="e">
        <f>VLOOKUP($A358, 'Matriz POA 2024-TRABAJO'!$A$5:$CY$9142,23,FALSE)</f>
        <v>#N/A</v>
      </c>
      <c r="H358" s="93" t="e">
        <f>VLOOKUP($A358, 'Matriz POA 2024-TRABAJO'!$A$5:$CY$9142,24,FALSE)</f>
        <v>#N/A</v>
      </c>
      <c r="I358" s="93" t="e">
        <f>VLOOKUP($A358, 'Matriz POA 2024-TRABAJO'!$A$5:$CY$9142,20,FALSE)</f>
        <v>#N/A</v>
      </c>
      <c r="J358" s="93" t="e">
        <f>VLOOKUP($A358, 'Matriz POA 2024-TRABAJO'!$A$5:$CY$9142,26,FALSE)</f>
        <v>#N/A</v>
      </c>
      <c r="K358" s="93" t="e">
        <f>VLOOKUP($A358, 'Matriz POA 2024-TRABAJO'!$A$5:$CY$9142,27,FALSE)</f>
        <v>#N/A</v>
      </c>
      <c r="L358" s="93" t="e">
        <f>VLOOKUP($A358, 'Matriz POA 2024-TRABAJO'!$A$5:$CY$9142,28,FALSE)</f>
        <v>#N/A</v>
      </c>
      <c r="M358" s="93" t="e">
        <f>VLOOKUP($A358, 'Matriz POA 2024-TRABAJO'!$A$5:$CY$9142,30,FALSE)</f>
        <v>#N/A</v>
      </c>
      <c r="N358" s="93" t="e">
        <f>VLOOKUP($A358, 'Matriz POA 2024-TRABAJO'!$A$5:$CY$9142,31,FALSE)</f>
        <v>#N/A</v>
      </c>
      <c r="O358" s="93" t="e">
        <f>VLOOKUP($A358, 'Matriz POA 2024-TRABAJO'!$A$5:$CY$9142,45,FALSE)</f>
        <v>#N/A</v>
      </c>
      <c r="P358" s="93" t="e">
        <f>VLOOKUP($A358, 'Matriz POA 2024-TRABAJO'!$A$5:$CY$9142,46,FALSE)</f>
        <v>#N/A</v>
      </c>
      <c r="Q358" s="93" t="e">
        <f>VLOOKUP($A358, 'Matriz POA 2024-TRABAJO'!$A$5:$CY$9142,47,FALSE)</f>
        <v>#N/A</v>
      </c>
      <c r="R358" s="94">
        <f t="shared" si="223"/>
        <v>0</v>
      </c>
      <c r="S358" s="95" t="e">
        <f t="shared" si="224"/>
        <v>#N/A</v>
      </c>
      <c r="T358" s="93" t="e">
        <f>VLOOKUP($A358, 'Matriz POA 2024-TRABAJO'!$A$5:$CY$9142,72,FALSE)</f>
        <v>#N/A</v>
      </c>
      <c r="U358" s="93" t="e">
        <f>VLOOKUP($A358, 'Matriz POA 2024-TRABAJO'!$A$5:$CY$9142,29,FALSE)</f>
        <v>#N/A</v>
      </c>
      <c r="V358" s="93" t="str">
        <f t="shared" si="225"/>
        <v/>
      </c>
      <c r="W358" s="93"/>
      <c r="X358" s="93"/>
      <c r="Y358" s="93"/>
      <c r="Z358" s="93"/>
      <c r="AA358" s="93"/>
      <c r="AB358" s="93"/>
      <c r="AC358" s="93">
        <f t="shared" si="226"/>
        <v>0</v>
      </c>
      <c r="AD358" s="93"/>
      <c r="AE358" s="93"/>
      <c r="AF358" s="93"/>
      <c r="AG358" s="93"/>
      <c r="AH358" s="93"/>
      <c r="AI358" s="93"/>
      <c r="AJ358" s="93"/>
      <c r="AK358" s="93">
        <f t="shared" si="227"/>
        <v>0</v>
      </c>
      <c r="AL358" s="93"/>
      <c r="AM358" s="93"/>
      <c r="AN358" s="93"/>
      <c r="AO358" s="93"/>
      <c r="AP358" s="93"/>
      <c r="AQ358" s="93"/>
      <c r="AR358" s="93"/>
      <c r="AS358" s="93">
        <f t="shared" si="228"/>
        <v>0</v>
      </c>
      <c r="AT358" s="93"/>
      <c r="AU358" s="93"/>
      <c r="AV358" s="93"/>
      <c r="AW358" s="93"/>
      <c r="AX358" s="93"/>
      <c r="AY358" s="93"/>
      <c r="AZ358" s="93"/>
      <c r="BA358" s="93"/>
      <c r="BB358" s="93"/>
      <c r="BC358" s="93"/>
      <c r="BD358" s="93"/>
      <c r="BE358" s="93"/>
      <c r="BF358" s="93"/>
      <c r="BG358" s="93"/>
      <c r="BH358" s="93"/>
      <c r="BI358" s="93"/>
      <c r="BJ358" s="93"/>
      <c r="BK358" s="93"/>
      <c r="BL358" s="93"/>
      <c r="BM358" s="93"/>
      <c r="BN358" s="93"/>
      <c r="BO358" s="93"/>
      <c r="BP358" s="93"/>
      <c r="BQ358" s="93"/>
      <c r="BR358" s="93"/>
      <c r="BS358" s="93"/>
      <c r="BT358" s="93"/>
      <c r="BU358" s="93"/>
      <c r="BV358" s="93"/>
      <c r="BW358" s="93"/>
      <c r="BX358" s="93"/>
      <c r="BY358" s="93"/>
      <c r="BZ358" s="93"/>
      <c r="CA358" s="93"/>
      <c r="CB358" s="93"/>
      <c r="CC358" s="93"/>
      <c r="CD358" s="93"/>
      <c r="CE358" s="93"/>
      <c r="CF358" s="93"/>
      <c r="CG358" s="93"/>
      <c r="CH358" s="93"/>
      <c r="CI358" s="93"/>
      <c r="CJ358" s="93"/>
      <c r="CK358" s="93"/>
      <c r="CL358" s="93"/>
      <c r="CM358" s="93"/>
      <c r="CN358" s="93"/>
      <c r="CO358" s="93"/>
      <c r="CP358" s="93"/>
      <c r="CQ358" s="93"/>
      <c r="CR358" s="93"/>
      <c r="CS358" s="93"/>
      <c r="CT358" s="93"/>
      <c r="CU358" s="93"/>
      <c r="CV358" s="93"/>
      <c r="CW358" s="93"/>
      <c r="CX358" s="93"/>
    </row>
    <row r="359" spans="1:102" ht="15" hidden="1" customHeight="1">
      <c r="A359" s="93"/>
      <c r="B359" s="93" t="e">
        <f>VLOOKUP($A359,  'Matriz POA 2024-TRABAJO'!$A$5:$CY$9142,29,FALSE)</f>
        <v>#N/A</v>
      </c>
      <c r="C359" s="93" t="e">
        <f>VLOOKUP($A359, 'Matriz POA 2024-TRABAJO'!$A$5:$CY$9142,11,FALSE)</f>
        <v>#N/A</v>
      </c>
      <c r="D359" s="93" t="e">
        <f>VLOOKUP($A359, 'Matriz POA 2024-TRABAJO'!$A$5:$CY$9142,14,FALSE)</f>
        <v>#N/A</v>
      </c>
      <c r="E359" s="93" t="e">
        <f>VLOOKUP($A359, 'Matriz POA 2024-TRABAJO'!$A$5:$CY$9142,15,FALSE)</f>
        <v>#N/A</v>
      </c>
      <c r="F359" s="93" t="e">
        <f>VLOOKUP($A359, 'Matriz POA 2024-TRABAJO'!$A$5:$CY$9142,18,FALSE)</f>
        <v>#N/A</v>
      </c>
      <c r="G359" s="93" t="e">
        <f>VLOOKUP($A359, 'Matriz POA 2024-TRABAJO'!$A$5:$CY$9142,23,FALSE)</f>
        <v>#N/A</v>
      </c>
      <c r="H359" s="93" t="e">
        <f>VLOOKUP($A359, 'Matriz POA 2024-TRABAJO'!$A$5:$CY$9142,24,FALSE)</f>
        <v>#N/A</v>
      </c>
      <c r="I359" s="93" t="e">
        <f>VLOOKUP($A359, 'Matriz POA 2024-TRABAJO'!$A$5:$CY$9142,20,FALSE)</f>
        <v>#N/A</v>
      </c>
      <c r="J359" s="93" t="e">
        <f>VLOOKUP($A359, 'Matriz POA 2024-TRABAJO'!$A$5:$CY$9142,26,FALSE)</f>
        <v>#N/A</v>
      </c>
      <c r="K359" s="93" t="e">
        <f>VLOOKUP($A359, 'Matriz POA 2024-TRABAJO'!$A$5:$CY$9142,27,FALSE)</f>
        <v>#N/A</v>
      </c>
      <c r="L359" s="93" t="e">
        <f>VLOOKUP($A359, 'Matriz POA 2024-TRABAJO'!$A$5:$CY$9142,28,FALSE)</f>
        <v>#N/A</v>
      </c>
      <c r="M359" s="93" t="e">
        <f>VLOOKUP($A359, 'Matriz POA 2024-TRABAJO'!$A$5:$CY$9142,30,FALSE)</f>
        <v>#N/A</v>
      </c>
      <c r="N359" s="93" t="e">
        <f>VLOOKUP($A359, 'Matriz POA 2024-TRABAJO'!$A$5:$CY$9142,31,FALSE)</f>
        <v>#N/A</v>
      </c>
      <c r="O359" s="93" t="e">
        <f>VLOOKUP($A359, 'Matriz POA 2024-TRABAJO'!$A$5:$CY$9142,45,FALSE)</f>
        <v>#N/A</v>
      </c>
      <c r="P359" s="93" t="e">
        <f>VLOOKUP($A359, 'Matriz POA 2024-TRABAJO'!$A$5:$CY$9142,46,FALSE)</f>
        <v>#N/A</v>
      </c>
      <c r="Q359" s="93" t="e">
        <f>VLOOKUP($A359, 'Matriz POA 2024-TRABAJO'!$A$5:$CY$9142,47,FALSE)</f>
        <v>#N/A</v>
      </c>
      <c r="R359" s="94">
        <f t="shared" si="223"/>
        <v>0</v>
      </c>
      <c r="S359" s="95" t="e">
        <f t="shared" si="224"/>
        <v>#N/A</v>
      </c>
      <c r="T359" s="93" t="e">
        <f>VLOOKUP($A359, 'Matriz POA 2024-TRABAJO'!$A$5:$CY$9142,72,FALSE)</f>
        <v>#N/A</v>
      </c>
      <c r="U359" s="93" t="e">
        <f>VLOOKUP($A359, 'Matriz POA 2024-TRABAJO'!$A$5:$CY$9142,29,FALSE)</f>
        <v>#N/A</v>
      </c>
      <c r="V359" s="93" t="str">
        <f t="shared" si="225"/>
        <v/>
      </c>
      <c r="W359" s="93"/>
      <c r="X359" s="93"/>
      <c r="Y359" s="93"/>
      <c r="Z359" s="93"/>
      <c r="AA359" s="93"/>
      <c r="AB359" s="93"/>
      <c r="AC359" s="93">
        <f t="shared" si="226"/>
        <v>0</v>
      </c>
      <c r="AD359" s="93"/>
      <c r="AE359" s="93"/>
      <c r="AF359" s="93"/>
      <c r="AG359" s="93"/>
      <c r="AH359" s="93"/>
      <c r="AI359" s="93"/>
      <c r="AJ359" s="93"/>
      <c r="AK359" s="93">
        <f t="shared" si="227"/>
        <v>0</v>
      </c>
      <c r="AL359" s="93"/>
      <c r="AM359" s="93"/>
      <c r="AN359" s="93"/>
      <c r="AO359" s="93"/>
      <c r="AP359" s="93"/>
      <c r="AQ359" s="93"/>
      <c r="AR359" s="93"/>
      <c r="AS359" s="93">
        <f t="shared" si="228"/>
        <v>0</v>
      </c>
      <c r="AT359" s="93"/>
      <c r="AU359" s="93"/>
      <c r="AV359" s="93"/>
      <c r="AW359" s="93"/>
      <c r="AX359" s="93"/>
      <c r="AY359" s="93"/>
      <c r="AZ359" s="93"/>
      <c r="BA359" s="93"/>
      <c r="BB359" s="93"/>
      <c r="BC359" s="93"/>
      <c r="BD359" s="93"/>
      <c r="BE359" s="93"/>
      <c r="BF359" s="93"/>
      <c r="BG359" s="93"/>
      <c r="BH359" s="93"/>
      <c r="BI359" s="93"/>
      <c r="BJ359" s="93"/>
      <c r="BK359" s="93"/>
      <c r="BL359" s="93"/>
      <c r="BM359" s="93"/>
      <c r="BN359" s="93"/>
      <c r="BO359" s="93"/>
      <c r="BP359" s="93"/>
      <c r="BQ359" s="93"/>
      <c r="BR359" s="93"/>
      <c r="BS359" s="93"/>
      <c r="BT359" s="93"/>
      <c r="BU359" s="93"/>
      <c r="BV359" s="93"/>
      <c r="BW359" s="93"/>
      <c r="BX359" s="93"/>
      <c r="BY359" s="93"/>
      <c r="BZ359" s="93"/>
      <c r="CA359" s="93"/>
      <c r="CB359" s="93"/>
      <c r="CC359" s="93"/>
      <c r="CD359" s="93"/>
      <c r="CE359" s="93"/>
      <c r="CF359" s="93"/>
      <c r="CG359" s="93"/>
      <c r="CH359" s="93"/>
      <c r="CI359" s="93"/>
      <c r="CJ359" s="93"/>
      <c r="CK359" s="93"/>
      <c r="CL359" s="93"/>
      <c r="CM359" s="93"/>
      <c r="CN359" s="93"/>
      <c r="CO359" s="93"/>
      <c r="CP359" s="93"/>
      <c r="CQ359" s="93"/>
      <c r="CR359" s="93"/>
      <c r="CS359" s="93"/>
      <c r="CT359" s="93"/>
      <c r="CU359" s="93"/>
      <c r="CV359" s="93"/>
      <c r="CW359" s="93"/>
      <c r="CX359" s="93"/>
    </row>
    <row r="360" spans="1:102" ht="15" hidden="1" customHeight="1">
      <c r="A360" s="93"/>
      <c r="B360" s="93" t="e">
        <f>VLOOKUP($A360,  'Matriz POA 2024-TRABAJO'!$A$5:$CY$9142,29,FALSE)</f>
        <v>#N/A</v>
      </c>
      <c r="C360" s="93" t="e">
        <f>VLOOKUP($A360, 'Matriz POA 2024-TRABAJO'!$A$5:$CY$9142,11,FALSE)</f>
        <v>#N/A</v>
      </c>
      <c r="D360" s="93" t="e">
        <f>VLOOKUP($A360, 'Matriz POA 2024-TRABAJO'!$A$5:$CY$9142,14,FALSE)</f>
        <v>#N/A</v>
      </c>
      <c r="E360" s="93" t="e">
        <f>VLOOKUP($A360, 'Matriz POA 2024-TRABAJO'!$A$5:$CY$9142,15,FALSE)</f>
        <v>#N/A</v>
      </c>
      <c r="F360" s="93" t="e">
        <f>VLOOKUP($A360, 'Matriz POA 2024-TRABAJO'!$A$5:$CY$9142,18,FALSE)</f>
        <v>#N/A</v>
      </c>
      <c r="G360" s="93" t="e">
        <f>VLOOKUP($A360, 'Matriz POA 2024-TRABAJO'!$A$5:$CY$9142,23,FALSE)</f>
        <v>#N/A</v>
      </c>
      <c r="H360" s="93" t="e">
        <f>VLOOKUP($A360, 'Matriz POA 2024-TRABAJO'!$A$5:$CY$9142,24,FALSE)</f>
        <v>#N/A</v>
      </c>
      <c r="I360" s="93" t="e">
        <f>VLOOKUP($A360, 'Matriz POA 2024-TRABAJO'!$A$5:$CY$9142,20,FALSE)</f>
        <v>#N/A</v>
      </c>
      <c r="J360" s="93" t="e">
        <f>VLOOKUP($A360, 'Matriz POA 2024-TRABAJO'!$A$5:$CY$9142,26,FALSE)</f>
        <v>#N/A</v>
      </c>
      <c r="K360" s="93" t="e">
        <f>VLOOKUP($A360, 'Matriz POA 2024-TRABAJO'!$A$5:$CY$9142,27,FALSE)</f>
        <v>#N/A</v>
      </c>
      <c r="L360" s="93" t="e">
        <f>VLOOKUP($A360, 'Matriz POA 2024-TRABAJO'!$A$5:$CY$9142,28,FALSE)</f>
        <v>#N/A</v>
      </c>
      <c r="M360" s="93" t="e">
        <f>VLOOKUP($A360, 'Matriz POA 2024-TRABAJO'!$A$5:$CY$9142,30,FALSE)</f>
        <v>#N/A</v>
      </c>
      <c r="N360" s="93" t="e">
        <f>VLOOKUP($A360, 'Matriz POA 2024-TRABAJO'!$A$5:$CY$9142,31,FALSE)</f>
        <v>#N/A</v>
      </c>
      <c r="O360" s="93" t="e">
        <f>VLOOKUP($A360, 'Matriz POA 2024-TRABAJO'!$A$5:$CY$9142,45,FALSE)</f>
        <v>#N/A</v>
      </c>
      <c r="P360" s="93" t="e">
        <f>VLOOKUP($A360, 'Matriz POA 2024-TRABAJO'!$A$5:$CY$9142,46,FALSE)</f>
        <v>#N/A</v>
      </c>
      <c r="Q360" s="93" t="e">
        <f>VLOOKUP($A360, 'Matriz POA 2024-TRABAJO'!$A$5:$CY$9142,47,FALSE)</f>
        <v>#N/A</v>
      </c>
      <c r="R360" s="94">
        <f t="shared" si="223"/>
        <v>0</v>
      </c>
      <c r="S360" s="95" t="e">
        <f t="shared" si="224"/>
        <v>#N/A</v>
      </c>
      <c r="T360" s="93" t="e">
        <f>VLOOKUP($A360, 'Matriz POA 2024-TRABAJO'!$A$5:$CY$9142,72,FALSE)</f>
        <v>#N/A</v>
      </c>
      <c r="U360" s="93" t="e">
        <f>VLOOKUP($A360, 'Matriz POA 2024-TRABAJO'!$A$5:$CY$9142,29,FALSE)</f>
        <v>#N/A</v>
      </c>
      <c r="V360" s="93" t="str">
        <f t="shared" si="225"/>
        <v/>
      </c>
      <c r="W360" s="93"/>
      <c r="X360" s="93"/>
      <c r="Y360" s="93"/>
      <c r="Z360" s="93"/>
      <c r="AA360" s="93"/>
      <c r="AB360" s="93"/>
      <c r="AC360" s="93">
        <f t="shared" si="226"/>
        <v>0</v>
      </c>
      <c r="AD360" s="93"/>
      <c r="AE360" s="93"/>
      <c r="AF360" s="93"/>
      <c r="AG360" s="93"/>
      <c r="AH360" s="93"/>
      <c r="AI360" s="93"/>
      <c r="AJ360" s="93"/>
      <c r="AK360" s="93">
        <f t="shared" si="227"/>
        <v>0</v>
      </c>
      <c r="AL360" s="93"/>
      <c r="AM360" s="93"/>
      <c r="AN360" s="93"/>
      <c r="AO360" s="93"/>
      <c r="AP360" s="93"/>
      <c r="AQ360" s="93"/>
      <c r="AR360" s="93"/>
      <c r="AS360" s="93">
        <f t="shared" si="228"/>
        <v>0</v>
      </c>
      <c r="AT360" s="93"/>
      <c r="AU360" s="93"/>
      <c r="AV360" s="93"/>
      <c r="AW360" s="93"/>
      <c r="AX360" s="93"/>
      <c r="AY360" s="93"/>
      <c r="AZ360" s="93"/>
      <c r="BA360" s="93"/>
      <c r="BB360" s="93"/>
      <c r="BC360" s="93"/>
      <c r="BD360" s="93"/>
      <c r="BE360" s="93"/>
      <c r="BF360" s="93"/>
      <c r="BG360" s="93"/>
      <c r="BH360" s="93"/>
      <c r="BI360" s="93"/>
      <c r="BJ360" s="93"/>
      <c r="BK360" s="93"/>
      <c r="BL360" s="93"/>
      <c r="BM360" s="93"/>
      <c r="BN360" s="93"/>
      <c r="BO360" s="93"/>
      <c r="BP360" s="93"/>
      <c r="BQ360" s="93"/>
      <c r="BR360" s="93"/>
      <c r="BS360" s="93"/>
      <c r="BT360" s="93"/>
      <c r="BU360" s="93"/>
      <c r="BV360" s="93"/>
      <c r="BW360" s="93"/>
      <c r="BX360" s="93"/>
      <c r="BY360" s="93"/>
      <c r="BZ360" s="93"/>
      <c r="CA360" s="93"/>
      <c r="CB360" s="93"/>
      <c r="CC360" s="93"/>
      <c r="CD360" s="93"/>
      <c r="CE360" s="93"/>
      <c r="CF360" s="93"/>
      <c r="CG360" s="93"/>
      <c r="CH360" s="93"/>
      <c r="CI360" s="93"/>
      <c r="CJ360" s="93"/>
      <c r="CK360" s="93"/>
      <c r="CL360" s="93"/>
      <c r="CM360" s="93"/>
      <c r="CN360" s="93"/>
      <c r="CO360" s="93"/>
      <c r="CP360" s="93"/>
      <c r="CQ360" s="93"/>
      <c r="CR360" s="93"/>
      <c r="CS360" s="93"/>
      <c r="CT360" s="93"/>
      <c r="CU360" s="93"/>
      <c r="CV360" s="93"/>
      <c r="CW360" s="93"/>
      <c r="CX360" s="93"/>
    </row>
    <row r="361" spans="1:102" ht="15" hidden="1" customHeight="1">
      <c r="A361" s="93"/>
      <c r="B361" s="93" t="e">
        <f>VLOOKUP($A361,  'Matriz POA 2024-TRABAJO'!$A$5:$CY$9142,29,FALSE)</f>
        <v>#N/A</v>
      </c>
      <c r="C361" s="93" t="e">
        <f>VLOOKUP($A361, 'Matriz POA 2024-TRABAJO'!$A$5:$CY$9142,11,FALSE)</f>
        <v>#N/A</v>
      </c>
      <c r="D361" s="93" t="e">
        <f>VLOOKUP($A361, 'Matriz POA 2024-TRABAJO'!$A$5:$CY$9142,14,FALSE)</f>
        <v>#N/A</v>
      </c>
      <c r="E361" s="93" t="e">
        <f>VLOOKUP($A361, 'Matriz POA 2024-TRABAJO'!$A$5:$CY$9142,15,FALSE)</f>
        <v>#N/A</v>
      </c>
      <c r="F361" s="93" t="e">
        <f>VLOOKUP($A361, 'Matriz POA 2024-TRABAJO'!$A$5:$CY$9142,18,FALSE)</f>
        <v>#N/A</v>
      </c>
      <c r="G361" s="93" t="e">
        <f>VLOOKUP($A361, 'Matriz POA 2024-TRABAJO'!$A$5:$CY$9142,23,FALSE)</f>
        <v>#N/A</v>
      </c>
      <c r="H361" s="93" t="e">
        <f>VLOOKUP($A361, 'Matriz POA 2024-TRABAJO'!$A$5:$CY$9142,24,FALSE)</f>
        <v>#N/A</v>
      </c>
      <c r="I361" s="93" t="e">
        <f>VLOOKUP($A361, 'Matriz POA 2024-TRABAJO'!$A$5:$CY$9142,20,FALSE)</f>
        <v>#N/A</v>
      </c>
      <c r="J361" s="93" t="e">
        <f>VLOOKUP($A361, 'Matriz POA 2024-TRABAJO'!$A$5:$CY$9142,26,FALSE)</f>
        <v>#N/A</v>
      </c>
      <c r="K361" s="93" t="e">
        <f>VLOOKUP($A361, 'Matriz POA 2024-TRABAJO'!$A$5:$CY$9142,27,FALSE)</f>
        <v>#N/A</v>
      </c>
      <c r="L361" s="93" t="e">
        <f>VLOOKUP($A361, 'Matriz POA 2024-TRABAJO'!$A$5:$CY$9142,28,FALSE)</f>
        <v>#N/A</v>
      </c>
      <c r="M361" s="93" t="e">
        <f>VLOOKUP($A361, 'Matriz POA 2024-TRABAJO'!$A$5:$CY$9142,30,FALSE)</f>
        <v>#N/A</v>
      </c>
      <c r="N361" s="93" t="e">
        <f>VLOOKUP($A361, 'Matriz POA 2024-TRABAJO'!$A$5:$CY$9142,31,FALSE)</f>
        <v>#N/A</v>
      </c>
      <c r="O361" s="93" t="e">
        <f>VLOOKUP($A361, 'Matriz POA 2024-TRABAJO'!$A$5:$CY$9142,45,FALSE)</f>
        <v>#N/A</v>
      </c>
      <c r="P361" s="93" t="e">
        <f>VLOOKUP($A361, 'Matriz POA 2024-TRABAJO'!$A$5:$CY$9142,46,FALSE)</f>
        <v>#N/A</v>
      </c>
      <c r="Q361" s="93" t="e">
        <f>VLOOKUP($A361, 'Matriz POA 2024-TRABAJO'!$A$5:$CY$9142,47,FALSE)</f>
        <v>#N/A</v>
      </c>
      <c r="R361" s="94">
        <f t="shared" si="223"/>
        <v>0</v>
      </c>
      <c r="S361" s="95" t="e">
        <f t="shared" si="224"/>
        <v>#N/A</v>
      </c>
      <c r="T361" s="93" t="e">
        <f>VLOOKUP($A361, 'Matriz POA 2024-TRABAJO'!$A$5:$CY$9142,72,FALSE)</f>
        <v>#N/A</v>
      </c>
      <c r="U361" s="93" t="e">
        <f>VLOOKUP($A361, 'Matriz POA 2024-TRABAJO'!$A$5:$CY$9142,29,FALSE)</f>
        <v>#N/A</v>
      </c>
      <c r="V361" s="93" t="str">
        <f t="shared" si="225"/>
        <v/>
      </c>
      <c r="W361" s="93"/>
      <c r="X361" s="93"/>
      <c r="Y361" s="93"/>
      <c r="Z361" s="93"/>
      <c r="AA361" s="93"/>
      <c r="AB361" s="93"/>
      <c r="AC361" s="93">
        <f t="shared" si="226"/>
        <v>0</v>
      </c>
      <c r="AD361" s="93"/>
      <c r="AE361" s="93"/>
      <c r="AF361" s="93"/>
      <c r="AG361" s="93"/>
      <c r="AH361" s="93"/>
      <c r="AI361" s="93"/>
      <c r="AJ361" s="93"/>
      <c r="AK361" s="93">
        <f t="shared" si="227"/>
        <v>0</v>
      </c>
      <c r="AL361" s="93"/>
      <c r="AM361" s="93"/>
      <c r="AN361" s="93"/>
      <c r="AO361" s="93"/>
      <c r="AP361" s="93"/>
      <c r="AQ361" s="93"/>
      <c r="AR361" s="93"/>
      <c r="AS361" s="93">
        <f t="shared" si="228"/>
        <v>0</v>
      </c>
      <c r="AT361" s="93"/>
      <c r="AU361" s="93"/>
      <c r="AV361" s="93"/>
      <c r="AW361" s="93"/>
      <c r="AX361" s="93"/>
      <c r="AY361" s="93"/>
      <c r="AZ361" s="93"/>
      <c r="BA361" s="93"/>
      <c r="BB361" s="93"/>
      <c r="BC361" s="93"/>
      <c r="BD361" s="93"/>
      <c r="BE361" s="93"/>
      <c r="BF361" s="93"/>
      <c r="BG361" s="93"/>
      <c r="BH361" s="93"/>
      <c r="BI361" s="93"/>
      <c r="BJ361" s="93"/>
      <c r="BK361" s="93"/>
      <c r="BL361" s="93"/>
      <c r="BM361" s="93"/>
      <c r="BN361" s="93"/>
      <c r="BO361" s="93"/>
      <c r="BP361" s="93"/>
      <c r="BQ361" s="93"/>
      <c r="BR361" s="93"/>
      <c r="BS361" s="93"/>
      <c r="BT361" s="93"/>
      <c r="BU361" s="93"/>
      <c r="BV361" s="93"/>
      <c r="BW361" s="93"/>
      <c r="BX361" s="93"/>
      <c r="BY361" s="93"/>
      <c r="BZ361" s="93"/>
      <c r="CA361" s="93"/>
      <c r="CB361" s="93"/>
      <c r="CC361" s="93"/>
      <c r="CD361" s="93"/>
      <c r="CE361" s="93"/>
      <c r="CF361" s="93"/>
      <c r="CG361" s="93"/>
      <c r="CH361" s="93"/>
      <c r="CI361" s="93"/>
      <c r="CJ361" s="93"/>
      <c r="CK361" s="93"/>
      <c r="CL361" s="93"/>
      <c r="CM361" s="93"/>
      <c r="CN361" s="93"/>
      <c r="CO361" s="93"/>
      <c r="CP361" s="93"/>
      <c r="CQ361" s="93"/>
      <c r="CR361" s="93"/>
      <c r="CS361" s="93"/>
      <c r="CT361" s="93"/>
      <c r="CU361" s="93"/>
      <c r="CV361" s="93"/>
      <c r="CW361" s="93"/>
      <c r="CX361" s="93"/>
    </row>
    <row r="362" spans="1:102" ht="15" hidden="1" customHeight="1">
      <c r="A362" s="93"/>
      <c r="B362" s="93" t="e">
        <f>VLOOKUP($A362,  'Matriz POA 2024-TRABAJO'!$A$5:$CY$9142,29,FALSE)</f>
        <v>#N/A</v>
      </c>
      <c r="C362" s="93" t="e">
        <f>VLOOKUP($A362, 'Matriz POA 2024-TRABAJO'!$A$5:$CY$9142,11,FALSE)</f>
        <v>#N/A</v>
      </c>
      <c r="D362" s="93" t="e">
        <f>VLOOKUP($A362, 'Matriz POA 2024-TRABAJO'!$A$5:$CY$9142,14,FALSE)</f>
        <v>#N/A</v>
      </c>
      <c r="E362" s="93" t="e">
        <f>VLOOKUP($A362, 'Matriz POA 2024-TRABAJO'!$A$5:$CY$9142,15,FALSE)</f>
        <v>#N/A</v>
      </c>
      <c r="F362" s="93" t="e">
        <f>VLOOKUP($A362, 'Matriz POA 2024-TRABAJO'!$A$5:$CY$9142,18,FALSE)</f>
        <v>#N/A</v>
      </c>
      <c r="G362" s="93" t="e">
        <f>VLOOKUP($A362, 'Matriz POA 2024-TRABAJO'!$A$5:$CY$9142,23,FALSE)</f>
        <v>#N/A</v>
      </c>
      <c r="H362" s="93" t="e">
        <f>VLOOKUP($A362, 'Matriz POA 2024-TRABAJO'!$A$5:$CY$9142,24,FALSE)</f>
        <v>#N/A</v>
      </c>
      <c r="I362" s="93" t="e">
        <f>VLOOKUP($A362, 'Matriz POA 2024-TRABAJO'!$A$5:$CY$9142,20,FALSE)</f>
        <v>#N/A</v>
      </c>
      <c r="J362" s="93" t="e">
        <f>VLOOKUP($A362, 'Matriz POA 2024-TRABAJO'!$A$5:$CY$9142,26,FALSE)</f>
        <v>#N/A</v>
      </c>
      <c r="K362" s="93" t="e">
        <f>VLOOKUP($A362, 'Matriz POA 2024-TRABAJO'!$A$5:$CY$9142,27,FALSE)</f>
        <v>#N/A</v>
      </c>
      <c r="L362" s="93" t="e">
        <f>VLOOKUP($A362, 'Matriz POA 2024-TRABAJO'!$A$5:$CY$9142,28,FALSE)</f>
        <v>#N/A</v>
      </c>
      <c r="M362" s="93" t="e">
        <f>VLOOKUP($A362, 'Matriz POA 2024-TRABAJO'!$A$5:$CY$9142,30,FALSE)</f>
        <v>#N/A</v>
      </c>
      <c r="N362" s="93" t="e">
        <f>VLOOKUP($A362, 'Matriz POA 2024-TRABAJO'!$A$5:$CY$9142,31,FALSE)</f>
        <v>#N/A</v>
      </c>
      <c r="O362" s="93" t="e">
        <f>VLOOKUP($A362, 'Matriz POA 2024-TRABAJO'!$A$5:$CY$9142,45,FALSE)</f>
        <v>#N/A</v>
      </c>
      <c r="P362" s="93" t="e">
        <f>VLOOKUP($A362, 'Matriz POA 2024-TRABAJO'!$A$5:$CY$9142,46,FALSE)</f>
        <v>#N/A</v>
      </c>
      <c r="Q362" s="93" t="e">
        <f>VLOOKUP($A362, 'Matriz POA 2024-TRABAJO'!$A$5:$CY$9142,47,FALSE)</f>
        <v>#N/A</v>
      </c>
      <c r="R362" s="94">
        <f t="shared" si="223"/>
        <v>0</v>
      </c>
      <c r="S362" s="95" t="e">
        <f t="shared" si="224"/>
        <v>#N/A</v>
      </c>
      <c r="T362" s="93" t="e">
        <f>VLOOKUP($A362, 'Matriz POA 2024-TRABAJO'!$A$5:$CY$9142,72,FALSE)</f>
        <v>#N/A</v>
      </c>
      <c r="U362" s="93" t="e">
        <f>VLOOKUP($A362, 'Matriz POA 2024-TRABAJO'!$A$5:$CY$9142,29,FALSE)</f>
        <v>#N/A</v>
      </c>
      <c r="V362" s="93" t="str">
        <f t="shared" si="225"/>
        <v/>
      </c>
      <c r="W362" s="93"/>
      <c r="X362" s="93"/>
      <c r="Y362" s="93"/>
      <c r="Z362" s="93"/>
      <c r="AA362" s="93"/>
      <c r="AB362" s="93"/>
      <c r="AC362" s="93">
        <f t="shared" si="226"/>
        <v>0</v>
      </c>
      <c r="AD362" s="93"/>
      <c r="AE362" s="93"/>
      <c r="AF362" s="93"/>
      <c r="AG362" s="93"/>
      <c r="AH362" s="93"/>
      <c r="AI362" s="93"/>
      <c r="AJ362" s="93"/>
      <c r="AK362" s="93">
        <f t="shared" si="227"/>
        <v>0</v>
      </c>
      <c r="AL362" s="93"/>
      <c r="AM362" s="93"/>
      <c r="AN362" s="93"/>
      <c r="AO362" s="93"/>
      <c r="AP362" s="93"/>
      <c r="AQ362" s="93"/>
      <c r="AR362" s="93"/>
      <c r="AS362" s="93">
        <f t="shared" si="228"/>
        <v>0</v>
      </c>
      <c r="AT362" s="93"/>
      <c r="AU362" s="93"/>
      <c r="AV362" s="93"/>
      <c r="AW362" s="93"/>
      <c r="AX362" s="93"/>
      <c r="AY362" s="93"/>
      <c r="AZ362" s="93"/>
      <c r="BA362" s="93"/>
      <c r="BB362" s="93"/>
      <c r="BC362" s="93"/>
      <c r="BD362" s="93"/>
      <c r="BE362" s="93"/>
      <c r="BF362" s="93"/>
      <c r="BG362" s="93"/>
      <c r="BH362" s="93"/>
      <c r="BI362" s="93"/>
      <c r="BJ362" s="93"/>
      <c r="BK362" s="93"/>
      <c r="BL362" s="93"/>
      <c r="BM362" s="93"/>
      <c r="BN362" s="93"/>
      <c r="BO362" s="93"/>
      <c r="BP362" s="93"/>
      <c r="BQ362" s="93"/>
      <c r="BR362" s="93"/>
      <c r="BS362" s="93"/>
      <c r="BT362" s="93"/>
      <c r="BU362" s="93"/>
      <c r="BV362" s="93"/>
      <c r="BW362" s="93"/>
      <c r="BX362" s="93"/>
      <c r="BY362" s="93"/>
      <c r="BZ362" s="93"/>
      <c r="CA362" s="93"/>
      <c r="CB362" s="93"/>
      <c r="CC362" s="93"/>
      <c r="CD362" s="93"/>
      <c r="CE362" s="93"/>
      <c r="CF362" s="93"/>
      <c r="CG362" s="93"/>
      <c r="CH362" s="93"/>
      <c r="CI362" s="93"/>
      <c r="CJ362" s="93"/>
      <c r="CK362" s="93"/>
      <c r="CL362" s="93"/>
      <c r="CM362" s="93"/>
      <c r="CN362" s="93"/>
      <c r="CO362" s="93"/>
      <c r="CP362" s="93"/>
      <c r="CQ362" s="93"/>
      <c r="CR362" s="93"/>
      <c r="CS362" s="93"/>
      <c r="CT362" s="93"/>
      <c r="CU362" s="93"/>
      <c r="CV362" s="93"/>
      <c r="CW362" s="93"/>
      <c r="CX362" s="93"/>
    </row>
    <row r="363" spans="1:102" ht="15" hidden="1" customHeight="1">
      <c r="A363" s="93"/>
      <c r="B363" s="93" t="e">
        <f>VLOOKUP($A363,  'Matriz POA 2024-TRABAJO'!$A$5:$CY$9142,29,FALSE)</f>
        <v>#N/A</v>
      </c>
      <c r="C363" s="93" t="e">
        <f>VLOOKUP($A363, 'Matriz POA 2024-TRABAJO'!$A$5:$CY$9142,11,FALSE)</f>
        <v>#N/A</v>
      </c>
      <c r="D363" s="93" t="e">
        <f>VLOOKUP($A363, 'Matriz POA 2024-TRABAJO'!$A$5:$CY$9142,14,FALSE)</f>
        <v>#N/A</v>
      </c>
      <c r="E363" s="93" t="e">
        <f>VLOOKUP($A363, 'Matriz POA 2024-TRABAJO'!$A$5:$CY$9142,15,FALSE)</f>
        <v>#N/A</v>
      </c>
      <c r="F363" s="93" t="e">
        <f>VLOOKUP($A363, 'Matriz POA 2024-TRABAJO'!$A$5:$CY$9142,18,FALSE)</f>
        <v>#N/A</v>
      </c>
      <c r="G363" s="93" t="e">
        <f>VLOOKUP($A363, 'Matriz POA 2024-TRABAJO'!$A$5:$CY$9142,23,FALSE)</f>
        <v>#N/A</v>
      </c>
      <c r="H363" s="93" t="e">
        <f>VLOOKUP($A363, 'Matriz POA 2024-TRABAJO'!$A$5:$CY$9142,24,FALSE)</f>
        <v>#N/A</v>
      </c>
      <c r="I363" s="93" t="e">
        <f>VLOOKUP($A363, 'Matriz POA 2024-TRABAJO'!$A$5:$CY$9142,20,FALSE)</f>
        <v>#N/A</v>
      </c>
      <c r="J363" s="93" t="e">
        <f>VLOOKUP($A363, 'Matriz POA 2024-TRABAJO'!$A$5:$CY$9142,26,FALSE)</f>
        <v>#N/A</v>
      </c>
      <c r="K363" s="93" t="e">
        <f>VLOOKUP($A363, 'Matriz POA 2024-TRABAJO'!$A$5:$CY$9142,27,FALSE)</f>
        <v>#N/A</v>
      </c>
      <c r="L363" s="93" t="e">
        <f>VLOOKUP($A363, 'Matriz POA 2024-TRABAJO'!$A$5:$CY$9142,28,FALSE)</f>
        <v>#N/A</v>
      </c>
      <c r="M363" s="93" t="e">
        <f>VLOOKUP($A363, 'Matriz POA 2024-TRABAJO'!$A$5:$CY$9142,30,FALSE)</f>
        <v>#N/A</v>
      </c>
      <c r="N363" s="93" t="e">
        <f>VLOOKUP($A363, 'Matriz POA 2024-TRABAJO'!$A$5:$CY$9142,31,FALSE)</f>
        <v>#N/A</v>
      </c>
      <c r="O363" s="93" t="e">
        <f>VLOOKUP($A363, 'Matriz POA 2024-TRABAJO'!$A$5:$CY$9142,45,FALSE)</f>
        <v>#N/A</v>
      </c>
      <c r="P363" s="93" t="e">
        <f>VLOOKUP($A363, 'Matriz POA 2024-TRABAJO'!$A$5:$CY$9142,46,FALSE)</f>
        <v>#N/A</v>
      </c>
      <c r="Q363" s="93" t="e">
        <f>VLOOKUP($A363, 'Matriz POA 2024-TRABAJO'!$A$5:$CY$9142,47,FALSE)</f>
        <v>#N/A</v>
      </c>
      <c r="R363" s="94">
        <f t="shared" si="223"/>
        <v>0</v>
      </c>
      <c r="S363" s="95" t="e">
        <f t="shared" si="224"/>
        <v>#N/A</v>
      </c>
      <c r="T363" s="93" t="e">
        <f>VLOOKUP($A363, 'Matriz POA 2024-TRABAJO'!$A$5:$CY$9142,72,FALSE)</f>
        <v>#N/A</v>
      </c>
      <c r="U363" s="93" t="e">
        <f>VLOOKUP($A363, 'Matriz POA 2024-TRABAJO'!$A$5:$CY$9142,29,FALSE)</f>
        <v>#N/A</v>
      </c>
      <c r="V363" s="93" t="str">
        <f t="shared" si="225"/>
        <v/>
      </c>
      <c r="W363" s="93"/>
      <c r="X363" s="93"/>
      <c r="Y363" s="93"/>
      <c r="Z363" s="93"/>
      <c r="AA363" s="93"/>
      <c r="AB363" s="93"/>
      <c r="AC363" s="93">
        <f t="shared" si="226"/>
        <v>0</v>
      </c>
      <c r="AD363" s="93"/>
      <c r="AE363" s="93"/>
      <c r="AF363" s="93"/>
      <c r="AG363" s="93"/>
      <c r="AH363" s="93"/>
      <c r="AI363" s="93"/>
      <c r="AJ363" s="93"/>
      <c r="AK363" s="93">
        <f t="shared" si="227"/>
        <v>0</v>
      </c>
      <c r="AL363" s="93"/>
      <c r="AM363" s="93"/>
      <c r="AN363" s="93"/>
      <c r="AO363" s="93"/>
      <c r="AP363" s="93"/>
      <c r="AQ363" s="93"/>
      <c r="AR363" s="93"/>
      <c r="AS363" s="93">
        <f t="shared" si="228"/>
        <v>0</v>
      </c>
      <c r="AT363" s="93"/>
      <c r="AU363" s="93"/>
      <c r="AV363" s="93"/>
      <c r="AW363" s="93"/>
      <c r="AX363" s="93"/>
      <c r="AY363" s="93"/>
      <c r="AZ363" s="93"/>
      <c r="BA363" s="93"/>
      <c r="BB363" s="93"/>
      <c r="BC363" s="93"/>
      <c r="BD363" s="93"/>
      <c r="BE363" s="93"/>
      <c r="BF363" s="93"/>
      <c r="BG363" s="93"/>
      <c r="BH363" s="93"/>
      <c r="BI363" s="93"/>
      <c r="BJ363" s="93"/>
      <c r="BK363" s="93"/>
      <c r="BL363" s="93"/>
      <c r="BM363" s="93"/>
      <c r="BN363" s="93"/>
      <c r="BO363" s="93"/>
      <c r="BP363" s="93"/>
      <c r="BQ363" s="93"/>
      <c r="BR363" s="93"/>
      <c r="BS363" s="93"/>
      <c r="BT363" s="93"/>
      <c r="BU363" s="93"/>
      <c r="BV363" s="93"/>
      <c r="BW363" s="93"/>
      <c r="BX363" s="93"/>
      <c r="BY363" s="93"/>
      <c r="BZ363" s="93"/>
      <c r="CA363" s="93"/>
      <c r="CB363" s="93"/>
      <c r="CC363" s="93"/>
      <c r="CD363" s="93"/>
      <c r="CE363" s="93"/>
      <c r="CF363" s="93"/>
      <c r="CG363" s="93"/>
      <c r="CH363" s="93"/>
      <c r="CI363" s="93"/>
      <c r="CJ363" s="93"/>
      <c r="CK363" s="93"/>
      <c r="CL363" s="93"/>
      <c r="CM363" s="93"/>
      <c r="CN363" s="93"/>
      <c r="CO363" s="93"/>
      <c r="CP363" s="93"/>
      <c r="CQ363" s="93"/>
      <c r="CR363" s="93"/>
      <c r="CS363" s="93"/>
      <c r="CT363" s="93"/>
      <c r="CU363" s="93"/>
      <c r="CV363" s="93"/>
      <c r="CW363" s="93"/>
      <c r="CX363" s="93"/>
    </row>
    <row r="364" spans="1:102" ht="15" hidden="1" customHeight="1">
      <c r="A364" s="93"/>
      <c r="B364" s="93" t="e">
        <f>VLOOKUP($A364,  'Matriz POA 2024-TRABAJO'!$A$5:$CY$9142,29,FALSE)</f>
        <v>#N/A</v>
      </c>
      <c r="C364" s="93" t="e">
        <f>VLOOKUP($A364, 'Matriz POA 2024-TRABAJO'!$A$5:$CY$9142,11,FALSE)</f>
        <v>#N/A</v>
      </c>
      <c r="D364" s="93" t="e">
        <f>VLOOKUP($A364, 'Matriz POA 2024-TRABAJO'!$A$5:$CY$9142,14,FALSE)</f>
        <v>#N/A</v>
      </c>
      <c r="E364" s="93" t="e">
        <f>VLOOKUP($A364, 'Matriz POA 2024-TRABAJO'!$A$5:$CY$9142,15,FALSE)</f>
        <v>#N/A</v>
      </c>
      <c r="F364" s="93" t="e">
        <f>VLOOKUP($A364, 'Matriz POA 2024-TRABAJO'!$A$5:$CY$9142,18,FALSE)</f>
        <v>#N/A</v>
      </c>
      <c r="G364" s="93" t="e">
        <f>VLOOKUP($A364, 'Matriz POA 2024-TRABAJO'!$A$5:$CY$9142,23,FALSE)</f>
        <v>#N/A</v>
      </c>
      <c r="H364" s="93" t="e">
        <f>VLOOKUP($A364, 'Matriz POA 2024-TRABAJO'!$A$5:$CY$9142,24,FALSE)</f>
        <v>#N/A</v>
      </c>
      <c r="I364" s="93" t="e">
        <f>VLOOKUP($A364, 'Matriz POA 2024-TRABAJO'!$A$5:$CY$9142,20,FALSE)</f>
        <v>#N/A</v>
      </c>
      <c r="J364" s="93" t="e">
        <f>VLOOKUP($A364, 'Matriz POA 2024-TRABAJO'!$A$5:$CY$9142,26,FALSE)</f>
        <v>#N/A</v>
      </c>
      <c r="K364" s="93" t="e">
        <f>VLOOKUP($A364, 'Matriz POA 2024-TRABAJO'!$A$5:$CY$9142,27,FALSE)</f>
        <v>#N/A</v>
      </c>
      <c r="L364" s="93" t="e">
        <f>VLOOKUP($A364, 'Matriz POA 2024-TRABAJO'!$A$5:$CY$9142,28,FALSE)</f>
        <v>#N/A</v>
      </c>
      <c r="M364" s="93" t="e">
        <f>VLOOKUP($A364, 'Matriz POA 2024-TRABAJO'!$A$5:$CY$9142,30,FALSE)</f>
        <v>#N/A</v>
      </c>
      <c r="N364" s="93" t="e">
        <f>VLOOKUP($A364, 'Matriz POA 2024-TRABAJO'!$A$5:$CY$9142,31,FALSE)</f>
        <v>#N/A</v>
      </c>
      <c r="O364" s="93" t="e">
        <f>VLOOKUP($A364, 'Matriz POA 2024-TRABAJO'!$A$5:$CY$9142,45,FALSE)</f>
        <v>#N/A</v>
      </c>
      <c r="P364" s="93" t="e">
        <f>VLOOKUP($A364, 'Matriz POA 2024-TRABAJO'!$A$5:$CY$9142,46,FALSE)</f>
        <v>#N/A</v>
      </c>
      <c r="Q364" s="93" t="e">
        <f>VLOOKUP($A364, 'Matriz POA 2024-TRABAJO'!$A$5:$CY$9142,47,FALSE)</f>
        <v>#N/A</v>
      </c>
      <c r="R364" s="94">
        <f t="shared" si="223"/>
        <v>0</v>
      </c>
      <c r="S364" s="95" t="e">
        <f t="shared" si="224"/>
        <v>#N/A</v>
      </c>
      <c r="T364" s="93" t="e">
        <f>VLOOKUP($A364, 'Matriz POA 2024-TRABAJO'!$A$5:$CY$9142,72,FALSE)</f>
        <v>#N/A</v>
      </c>
      <c r="U364" s="93" t="e">
        <f>VLOOKUP($A364, 'Matriz POA 2024-TRABAJO'!$A$5:$CY$9142,29,FALSE)</f>
        <v>#N/A</v>
      </c>
      <c r="V364" s="93" t="str">
        <f t="shared" si="225"/>
        <v/>
      </c>
      <c r="W364" s="93"/>
      <c r="X364" s="93"/>
      <c r="Y364" s="93"/>
      <c r="Z364" s="93"/>
      <c r="AA364" s="93"/>
      <c r="AB364" s="93"/>
      <c r="AC364" s="93">
        <f t="shared" si="226"/>
        <v>0</v>
      </c>
      <c r="AD364" s="93"/>
      <c r="AE364" s="93"/>
      <c r="AF364" s="93"/>
      <c r="AG364" s="93"/>
      <c r="AH364" s="93"/>
      <c r="AI364" s="93"/>
      <c r="AJ364" s="93"/>
      <c r="AK364" s="93">
        <f t="shared" si="227"/>
        <v>0</v>
      </c>
      <c r="AL364" s="93"/>
      <c r="AM364" s="93"/>
      <c r="AN364" s="93"/>
      <c r="AO364" s="93"/>
      <c r="AP364" s="93"/>
      <c r="AQ364" s="93"/>
      <c r="AR364" s="93"/>
      <c r="AS364" s="93">
        <f t="shared" si="228"/>
        <v>0</v>
      </c>
      <c r="AT364" s="93"/>
      <c r="AU364" s="93"/>
      <c r="AV364" s="93"/>
      <c r="AW364" s="93"/>
      <c r="AX364" s="93"/>
      <c r="AY364" s="93"/>
      <c r="AZ364" s="93"/>
      <c r="BA364" s="93"/>
      <c r="BB364" s="93"/>
      <c r="BC364" s="93"/>
      <c r="BD364" s="93"/>
      <c r="BE364" s="93"/>
      <c r="BF364" s="93"/>
      <c r="BG364" s="93"/>
      <c r="BH364" s="93"/>
      <c r="BI364" s="93"/>
      <c r="BJ364" s="93"/>
      <c r="BK364" s="93"/>
      <c r="BL364" s="93"/>
      <c r="BM364" s="93"/>
      <c r="BN364" s="93"/>
      <c r="BO364" s="93"/>
      <c r="BP364" s="93"/>
      <c r="BQ364" s="93"/>
      <c r="BR364" s="93"/>
      <c r="BS364" s="93"/>
      <c r="BT364" s="93"/>
      <c r="BU364" s="93"/>
      <c r="BV364" s="93"/>
      <c r="BW364" s="93"/>
      <c r="BX364" s="93"/>
      <c r="BY364" s="93"/>
      <c r="BZ364" s="93"/>
      <c r="CA364" s="93"/>
      <c r="CB364" s="93"/>
      <c r="CC364" s="93"/>
      <c r="CD364" s="93"/>
      <c r="CE364" s="93"/>
      <c r="CF364" s="93"/>
      <c r="CG364" s="93"/>
      <c r="CH364" s="93"/>
      <c r="CI364" s="93"/>
      <c r="CJ364" s="93"/>
      <c r="CK364" s="93"/>
      <c r="CL364" s="93"/>
      <c r="CM364" s="93"/>
      <c r="CN364" s="93"/>
      <c r="CO364" s="93"/>
      <c r="CP364" s="93"/>
      <c r="CQ364" s="93"/>
      <c r="CR364" s="93"/>
      <c r="CS364" s="93"/>
      <c r="CT364" s="93"/>
      <c r="CU364" s="93"/>
      <c r="CV364" s="93"/>
      <c r="CW364" s="93"/>
      <c r="CX364" s="93"/>
    </row>
    <row r="365" spans="1:102" ht="15" hidden="1" customHeight="1">
      <c r="A365" s="93"/>
      <c r="B365" s="93" t="e">
        <f>VLOOKUP($A365,  'Matriz POA 2024-TRABAJO'!$A$5:$CY$9142,29,FALSE)</f>
        <v>#N/A</v>
      </c>
      <c r="C365" s="93" t="e">
        <f>VLOOKUP($A365, 'Matriz POA 2024-TRABAJO'!$A$5:$CY$9142,11,FALSE)</f>
        <v>#N/A</v>
      </c>
      <c r="D365" s="93" t="e">
        <f>VLOOKUP($A365, 'Matriz POA 2024-TRABAJO'!$A$5:$CY$9142,14,FALSE)</f>
        <v>#N/A</v>
      </c>
      <c r="E365" s="93" t="e">
        <f>VLOOKUP($A365, 'Matriz POA 2024-TRABAJO'!$A$5:$CY$9142,15,FALSE)</f>
        <v>#N/A</v>
      </c>
      <c r="F365" s="93" t="e">
        <f>VLOOKUP($A365, 'Matriz POA 2024-TRABAJO'!$A$5:$CY$9142,18,FALSE)</f>
        <v>#N/A</v>
      </c>
      <c r="G365" s="93" t="e">
        <f>VLOOKUP($A365, 'Matriz POA 2024-TRABAJO'!$A$5:$CY$9142,23,FALSE)</f>
        <v>#N/A</v>
      </c>
      <c r="H365" s="93" t="e">
        <f>VLOOKUP($A365, 'Matriz POA 2024-TRABAJO'!$A$5:$CY$9142,24,FALSE)</f>
        <v>#N/A</v>
      </c>
      <c r="I365" s="93" t="e">
        <f>VLOOKUP($A365, 'Matriz POA 2024-TRABAJO'!$A$5:$CY$9142,20,FALSE)</f>
        <v>#N/A</v>
      </c>
      <c r="J365" s="93" t="e">
        <f>VLOOKUP($A365, 'Matriz POA 2024-TRABAJO'!$A$5:$CY$9142,26,FALSE)</f>
        <v>#N/A</v>
      </c>
      <c r="K365" s="93" t="e">
        <f>VLOOKUP($A365, 'Matriz POA 2024-TRABAJO'!$A$5:$CY$9142,27,FALSE)</f>
        <v>#N/A</v>
      </c>
      <c r="L365" s="93" t="e">
        <f>VLOOKUP($A365, 'Matriz POA 2024-TRABAJO'!$A$5:$CY$9142,28,FALSE)</f>
        <v>#N/A</v>
      </c>
      <c r="M365" s="93" t="e">
        <f>VLOOKUP($A365, 'Matriz POA 2024-TRABAJO'!$A$5:$CY$9142,30,FALSE)</f>
        <v>#N/A</v>
      </c>
      <c r="N365" s="93" t="e">
        <f>VLOOKUP($A365, 'Matriz POA 2024-TRABAJO'!$A$5:$CY$9142,31,FALSE)</f>
        <v>#N/A</v>
      </c>
      <c r="O365" s="93" t="e">
        <f>VLOOKUP($A365, 'Matriz POA 2024-TRABAJO'!$A$5:$CY$9142,45,FALSE)</f>
        <v>#N/A</v>
      </c>
      <c r="P365" s="93" t="e">
        <f>VLOOKUP($A365, 'Matriz POA 2024-TRABAJO'!$A$5:$CY$9142,46,FALSE)</f>
        <v>#N/A</v>
      </c>
      <c r="Q365" s="93" t="e">
        <f>VLOOKUP($A365, 'Matriz POA 2024-TRABAJO'!$A$5:$CY$9142,47,FALSE)</f>
        <v>#N/A</v>
      </c>
      <c r="R365" s="94">
        <f t="shared" si="223"/>
        <v>0</v>
      </c>
      <c r="S365" s="95" t="e">
        <f t="shared" si="224"/>
        <v>#N/A</v>
      </c>
      <c r="T365" s="93" t="e">
        <f>VLOOKUP($A365, 'Matriz POA 2024-TRABAJO'!$A$5:$CY$9142,72,FALSE)</f>
        <v>#N/A</v>
      </c>
      <c r="U365" s="93" t="e">
        <f>VLOOKUP($A365, 'Matriz POA 2024-TRABAJO'!$A$5:$CY$9142,29,FALSE)</f>
        <v>#N/A</v>
      </c>
      <c r="V365" s="93" t="str">
        <f t="shared" si="225"/>
        <v/>
      </c>
      <c r="W365" s="93"/>
      <c r="X365" s="93"/>
      <c r="Y365" s="93"/>
      <c r="Z365" s="93"/>
      <c r="AA365" s="93"/>
      <c r="AB365" s="93"/>
      <c r="AC365" s="93">
        <f t="shared" si="226"/>
        <v>0</v>
      </c>
      <c r="AD365" s="93"/>
      <c r="AE365" s="93"/>
      <c r="AF365" s="93"/>
      <c r="AG365" s="93"/>
      <c r="AH365" s="93"/>
      <c r="AI365" s="93"/>
      <c r="AJ365" s="93"/>
      <c r="AK365" s="93">
        <f t="shared" si="227"/>
        <v>0</v>
      </c>
      <c r="AL365" s="93"/>
      <c r="AM365" s="93"/>
      <c r="AN365" s="93"/>
      <c r="AO365" s="93"/>
      <c r="AP365" s="93"/>
      <c r="AQ365" s="93"/>
      <c r="AR365" s="93"/>
      <c r="AS365" s="93">
        <f t="shared" si="228"/>
        <v>0</v>
      </c>
      <c r="AT365" s="93"/>
      <c r="AU365" s="93"/>
      <c r="AV365" s="93"/>
      <c r="AW365" s="93"/>
      <c r="AX365" s="93"/>
      <c r="AY365" s="93"/>
      <c r="AZ365" s="93"/>
      <c r="BA365" s="93"/>
      <c r="BB365" s="93"/>
      <c r="BC365" s="93"/>
      <c r="BD365" s="93"/>
      <c r="BE365" s="93"/>
      <c r="BF365" s="93"/>
      <c r="BG365" s="93"/>
      <c r="BH365" s="93"/>
      <c r="BI365" s="93"/>
      <c r="BJ365" s="93"/>
      <c r="BK365" s="93"/>
      <c r="BL365" s="93"/>
      <c r="BM365" s="93"/>
      <c r="BN365" s="93"/>
      <c r="BO365" s="93"/>
      <c r="BP365" s="93"/>
      <c r="BQ365" s="93"/>
      <c r="BR365" s="93"/>
      <c r="BS365" s="93"/>
      <c r="BT365" s="93"/>
      <c r="BU365" s="93"/>
      <c r="BV365" s="93"/>
      <c r="BW365" s="93"/>
      <c r="BX365" s="93"/>
      <c r="BY365" s="93"/>
      <c r="BZ365" s="93"/>
      <c r="CA365" s="93"/>
      <c r="CB365" s="93"/>
      <c r="CC365" s="93"/>
      <c r="CD365" s="93"/>
      <c r="CE365" s="93"/>
      <c r="CF365" s="93"/>
      <c r="CG365" s="93"/>
      <c r="CH365" s="93"/>
      <c r="CI365" s="93"/>
      <c r="CJ365" s="93"/>
      <c r="CK365" s="93"/>
      <c r="CL365" s="93"/>
      <c r="CM365" s="93"/>
      <c r="CN365" s="93"/>
      <c r="CO365" s="93"/>
      <c r="CP365" s="93"/>
      <c r="CQ365" s="93"/>
      <c r="CR365" s="93"/>
      <c r="CS365" s="93"/>
      <c r="CT365" s="93"/>
      <c r="CU365" s="93"/>
      <c r="CV365" s="93"/>
      <c r="CW365" s="93"/>
      <c r="CX365" s="93"/>
    </row>
    <row r="366" spans="1:102" ht="15" hidden="1" customHeight="1">
      <c r="A366" s="93"/>
      <c r="B366" s="93" t="e">
        <f>VLOOKUP($A366,  'Matriz POA 2024-TRABAJO'!$A$5:$CY$9142,29,FALSE)</f>
        <v>#N/A</v>
      </c>
      <c r="C366" s="93" t="e">
        <f>VLOOKUP($A366, 'Matriz POA 2024-TRABAJO'!$A$5:$CY$9142,11,FALSE)</f>
        <v>#N/A</v>
      </c>
      <c r="D366" s="93" t="e">
        <f>VLOOKUP($A366, 'Matriz POA 2024-TRABAJO'!$A$5:$CY$9142,14,FALSE)</f>
        <v>#N/A</v>
      </c>
      <c r="E366" s="93" t="e">
        <f>VLOOKUP($A366, 'Matriz POA 2024-TRABAJO'!$A$5:$CY$9142,15,FALSE)</f>
        <v>#N/A</v>
      </c>
      <c r="F366" s="93" t="e">
        <f>VLOOKUP($A366, 'Matriz POA 2024-TRABAJO'!$A$5:$CY$9142,18,FALSE)</f>
        <v>#N/A</v>
      </c>
      <c r="G366" s="93" t="e">
        <f>VLOOKUP($A366, 'Matriz POA 2024-TRABAJO'!$A$5:$CY$9142,23,FALSE)</f>
        <v>#N/A</v>
      </c>
      <c r="H366" s="93" t="e">
        <f>VLOOKUP($A366, 'Matriz POA 2024-TRABAJO'!$A$5:$CY$9142,24,FALSE)</f>
        <v>#N/A</v>
      </c>
      <c r="I366" s="93" t="e">
        <f>VLOOKUP($A366, 'Matriz POA 2024-TRABAJO'!$A$5:$CY$9142,20,FALSE)</f>
        <v>#N/A</v>
      </c>
      <c r="J366" s="93" t="e">
        <f>VLOOKUP($A366, 'Matriz POA 2024-TRABAJO'!$A$5:$CY$9142,26,FALSE)</f>
        <v>#N/A</v>
      </c>
      <c r="K366" s="93" t="e">
        <f>VLOOKUP($A366, 'Matriz POA 2024-TRABAJO'!$A$5:$CY$9142,27,FALSE)</f>
        <v>#N/A</v>
      </c>
      <c r="L366" s="93" t="e">
        <f>VLOOKUP($A366, 'Matriz POA 2024-TRABAJO'!$A$5:$CY$9142,28,FALSE)</f>
        <v>#N/A</v>
      </c>
      <c r="M366" s="93" t="e">
        <f>VLOOKUP($A366, 'Matriz POA 2024-TRABAJO'!$A$5:$CY$9142,30,FALSE)</f>
        <v>#N/A</v>
      </c>
      <c r="N366" s="93" t="e">
        <f>VLOOKUP($A366, 'Matriz POA 2024-TRABAJO'!$A$5:$CY$9142,31,FALSE)</f>
        <v>#N/A</v>
      </c>
      <c r="O366" s="93" t="e">
        <f>VLOOKUP($A366, 'Matriz POA 2024-TRABAJO'!$A$5:$CY$9142,45,FALSE)</f>
        <v>#N/A</v>
      </c>
      <c r="P366" s="93" t="e">
        <f>VLOOKUP($A366, 'Matriz POA 2024-TRABAJO'!$A$5:$CY$9142,46,FALSE)</f>
        <v>#N/A</v>
      </c>
      <c r="Q366" s="93" t="e">
        <f>VLOOKUP($A366, 'Matriz POA 2024-TRABAJO'!$A$5:$CY$9142,47,FALSE)</f>
        <v>#N/A</v>
      </c>
      <c r="R366" s="94">
        <f t="shared" si="223"/>
        <v>0</v>
      </c>
      <c r="S366" s="95" t="e">
        <f t="shared" si="224"/>
        <v>#N/A</v>
      </c>
      <c r="T366" s="93" t="e">
        <f>VLOOKUP($A366, 'Matriz POA 2024-TRABAJO'!$A$5:$CY$9142,72,FALSE)</f>
        <v>#N/A</v>
      </c>
      <c r="U366" s="93" t="e">
        <f>VLOOKUP($A366, 'Matriz POA 2024-TRABAJO'!$A$5:$CY$9142,29,FALSE)</f>
        <v>#N/A</v>
      </c>
      <c r="V366" s="93" t="str">
        <f t="shared" si="225"/>
        <v/>
      </c>
      <c r="W366" s="93"/>
      <c r="X366" s="93"/>
      <c r="Y366" s="93"/>
      <c r="Z366" s="93"/>
      <c r="AA366" s="93"/>
      <c r="AB366" s="93"/>
      <c r="AC366" s="93">
        <f t="shared" si="226"/>
        <v>0</v>
      </c>
      <c r="AD366" s="93"/>
      <c r="AE366" s="93"/>
      <c r="AF366" s="93"/>
      <c r="AG366" s="93"/>
      <c r="AH366" s="93"/>
      <c r="AI366" s="93"/>
      <c r="AJ366" s="93"/>
      <c r="AK366" s="93">
        <f t="shared" si="227"/>
        <v>0</v>
      </c>
      <c r="AL366" s="93"/>
      <c r="AM366" s="93"/>
      <c r="AN366" s="93"/>
      <c r="AO366" s="93"/>
      <c r="AP366" s="93"/>
      <c r="AQ366" s="93"/>
      <c r="AR366" s="93"/>
      <c r="AS366" s="93">
        <f t="shared" si="228"/>
        <v>0</v>
      </c>
      <c r="AT366" s="93"/>
      <c r="AU366" s="93"/>
      <c r="AV366" s="93"/>
      <c r="AW366" s="93"/>
      <c r="AX366" s="93"/>
      <c r="AY366" s="93"/>
      <c r="AZ366" s="93"/>
      <c r="BA366" s="93"/>
      <c r="BB366" s="93"/>
      <c r="BC366" s="93"/>
      <c r="BD366" s="93"/>
      <c r="BE366" s="93"/>
      <c r="BF366" s="93"/>
      <c r="BG366" s="93"/>
      <c r="BH366" s="93"/>
      <c r="BI366" s="93"/>
      <c r="BJ366" s="93"/>
      <c r="BK366" s="93"/>
      <c r="BL366" s="93"/>
      <c r="BM366" s="93"/>
      <c r="BN366" s="93"/>
      <c r="BO366" s="93"/>
      <c r="BP366" s="93"/>
      <c r="BQ366" s="93"/>
      <c r="BR366" s="93"/>
      <c r="BS366" s="93"/>
      <c r="BT366" s="93"/>
      <c r="BU366" s="93"/>
      <c r="BV366" s="93"/>
      <c r="BW366" s="93"/>
      <c r="BX366" s="93"/>
      <c r="BY366" s="93"/>
      <c r="BZ366" s="93"/>
      <c r="CA366" s="93"/>
      <c r="CB366" s="93"/>
      <c r="CC366" s="93"/>
      <c r="CD366" s="93"/>
      <c r="CE366" s="93"/>
      <c r="CF366" s="93"/>
      <c r="CG366" s="93"/>
      <c r="CH366" s="93"/>
      <c r="CI366" s="93"/>
      <c r="CJ366" s="93"/>
      <c r="CK366" s="93"/>
      <c r="CL366" s="93"/>
      <c r="CM366" s="93"/>
      <c r="CN366" s="93"/>
      <c r="CO366" s="93"/>
      <c r="CP366" s="93"/>
      <c r="CQ366" s="93"/>
      <c r="CR366" s="93"/>
      <c r="CS366" s="93"/>
      <c r="CT366" s="93"/>
      <c r="CU366" s="93"/>
      <c r="CV366" s="93"/>
      <c r="CW366" s="93"/>
      <c r="CX366" s="93"/>
    </row>
    <row r="367" spans="1:102" ht="15" hidden="1" customHeight="1">
      <c r="A367" s="93"/>
      <c r="B367" s="93" t="e">
        <f>VLOOKUP($A367,  'Matriz POA 2024-TRABAJO'!$A$5:$CY$9142,29,FALSE)</f>
        <v>#N/A</v>
      </c>
      <c r="C367" s="93" t="e">
        <f>VLOOKUP($A367, 'Matriz POA 2024-TRABAJO'!$A$5:$CY$9142,11,FALSE)</f>
        <v>#N/A</v>
      </c>
      <c r="D367" s="93" t="e">
        <f>VLOOKUP($A367, 'Matriz POA 2024-TRABAJO'!$A$5:$CY$9142,14,FALSE)</f>
        <v>#N/A</v>
      </c>
      <c r="E367" s="93" t="e">
        <f>VLOOKUP($A367, 'Matriz POA 2024-TRABAJO'!$A$5:$CY$9142,15,FALSE)</f>
        <v>#N/A</v>
      </c>
      <c r="F367" s="93" t="e">
        <f>VLOOKUP($A367, 'Matriz POA 2024-TRABAJO'!$A$5:$CY$9142,18,FALSE)</f>
        <v>#N/A</v>
      </c>
      <c r="G367" s="93" t="e">
        <f>VLOOKUP($A367, 'Matriz POA 2024-TRABAJO'!$A$5:$CY$9142,23,FALSE)</f>
        <v>#N/A</v>
      </c>
      <c r="H367" s="93" t="e">
        <f>VLOOKUP($A367, 'Matriz POA 2024-TRABAJO'!$A$5:$CY$9142,24,FALSE)</f>
        <v>#N/A</v>
      </c>
      <c r="I367" s="93" t="e">
        <f>VLOOKUP($A367, 'Matriz POA 2024-TRABAJO'!$A$5:$CY$9142,20,FALSE)</f>
        <v>#N/A</v>
      </c>
      <c r="J367" s="93" t="e">
        <f>VLOOKUP($A367, 'Matriz POA 2024-TRABAJO'!$A$5:$CY$9142,26,FALSE)</f>
        <v>#N/A</v>
      </c>
      <c r="K367" s="93" t="e">
        <f>VLOOKUP($A367, 'Matriz POA 2024-TRABAJO'!$A$5:$CY$9142,27,FALSE)</f>
        <v>#N/A</v>
      </c>
      <c r="L367" s="93" t="e">
        <f>VLOOKUP($A367, 'Matriz POA 2024-TRABAJO'!$A$5:$CY$9142,28,FALSE)</f>
        <v>#N/A</v>
      </c>
      <c r="M367" s="93" t="e">
        <f>VLOOKUP($A367, 'Matriz POA 2024-TRABAJO'!$A$5:$CY$9142,30,FALSE)</f>
        <v>#N/A</v>
      </c>
      <c r="N367" s="93" t="e">
        <f>VLOOKUP($A367, 'Matriz POA 2024-TRABAJO'!$A$5:$CY$9142,31,FALSE)</f>
        <v>#N/A</v>
      </c>
      <c r="O367" s="93" t="e">
        <f>VLOOKUP($A367, 'Matriz POA 2024-TRABAJO'!$A$5:$CY$9142,45,FALSE)</f>
        <v>#N/A</v>
      </c>
      <c r="P367" s="93" t="e">
        <f>VLOOKUP($A367, 'Matriz POA 2024-TRABAJO'!$A$5:$CY$9142,46,FALSE)</f>
        <v>#N/A</v>
      </c>
      <c r="Q367" s="93" t="e">
        <f>VLOOKUP($A367, 'Matriz POA 2024-TRABAJO'!$A$5:$CY$9142,47,FALSE)</f>
        <v>#N/A</v>
      </c>
      <c r="R367" s="94">
        <f t="shared" si="223"/>
        <v>0</v>
      </c>
      <c r="S367" s="95" t="e">
        <f t="shared" si="224"/>
        <v>#N/A</v>
      </c>
      <c r="T367" s="93" t="e">
        <f>VLOOKUP($A367, 'Matriz POA 2024-TRABAJO'!$A$5:$CY$9142,72,FALSE)</f>
        <v>#N/A</v>
      </c>
      <c r="U367" s="93" t="e">
        <f>VLOOKUP($A367, 'Matriz POA 2024-TRABAJO'!$A$5:$CY$9142,29,FALSE)</f>
        <v>#N/A</v>
      </c>
      <c r="V367" s="93" t="str">
        <f t="shared" si="225"/>
        <v/>
      </c>
      <c r="W367" s="93"/>
      <c r="X367" s="93"/>
      <c r="Y367" s="93"/>
      <c r="Z367" s="93"/>
      <c r="AA367" s="93"/>
      <c r="AB367" s="93"/>
      <c r="AC367" s="93">
        <f t="shared" si="226"/>
        <v>0</v>
      </c>
      <c r="AD367" s="93"/>
      <c r="AE367" s="93"/>
      <c r="AF367" s="93"/>
      <c r="AG367" s="93"/>
      <c r="AH367" s="93"/>
      <c r="AI367" s="93"/>
      <c r="AJ367" s="93"/>
      <c r="AK367" s="93">
        <f t="shared" si="227"/>
        <v>0</v>
      </c>
      <c r="AL367" s="93"/>
      <c r="AM367" s="93"/>
      <c r="AN367" s="93"/>
      <c r="AO367" s="93"/>
      <c r="AP367" s="93"/>
      <c r="AQ367" s="93"/>
      <c r="AR367" s="93"/>
      <c r="AS367" s="93">
        <f t="shared" si="228"/>
        <v>0</v>
      </c>
      <c r="AT367" s="93"/>
      <c r="AU367" s="93"/>
      <c r="AV367" s="93"/>
      <c r="AW367" s="93"/>
      <c r="AX367" s="93"/>
      <c r="AY367" s="93"/>
      <c r="AZ367" s="93"/>
      <c r="BA367" s="93"/>
      <c r="BB367" s="93"/>
      <c r="BC367" s="93"/>
      <c r="BD367" s="93"/>
      <c r="BE367" s="93"/>
      <c r="BF367" s="93"/>
      <c r="BG367" s="93"/>
      <c r="BH367" s="93"/>
      <c r="BI367" s="93"/>
      <c r="BJ367" s="93"/>
      <c r="BK367" s="93"/>
      <c r="BL367" s="93"/>
      <c r="BM367" s="93"/>
      <c r="BN367" s="93"/>
      <c r="BO367" s="93"/>
      <c r="BP367" s="93"/>
      <c r="BQ367" s="93"/>
      <c r="BR367" s="93"/>
      <c r="BS367" s="93"/>
      <c r="BT367" s="93"/>
      <c r="BU367" s="93"/>
      <c r="BV367" s="93"/>
      <c r="BW367" s="93"/>
      <c r="BX367" s="93"/>
      <c r="BY367" s="93"/>
      <c r="BZ367" s="93"/>
      <c r="CA367" s="93"/>
      <c r="CB367" s="93"/>
      <c r="CC367" s="93"/>
      <c r="CD367" s="93"/>
      <c r="CE367" s="93"/>
      <c r="CF367" s="93"/>
      <c r="CG367" s="93"/>
      <c r="CH367" s="93"/>
      <c r="CI367" s="93"/>
      <c r="CJ367" s="93"/>
      <c r="CK367" s="93"/>
      <c r="CL367" s="93"/>
      <c r="CM367" s="93"/>
      <c r="CN367" s="93"/>
      <c r="CO367" s="93"/>
      <c r="CP367" s="93"/>
      <c r="CQ367" s="93"/>
      <c r="CR367" s="93"/>
      <c r="CS367" s="93"/>
      <c r="CT367" s="93"/>
      <c r="CU367" s="93"/>
      <c r="CV367" s="93"/>
      <c r="CW367" s="93"/>
      <c r="CX367" s="93"/>
    </row>
    <row r="368" spans="1:102" ht="15" hidden="1" customHeight="1">
      <c r="A368" s="93"/>
      <c r="B368" s="93" t="e">
        <f>VLOOKUP($A368,  'Matriz POA 2024-TRABAJO'!$A$5:$CY$9142,29,FALSE)</f>
        <v>#N/A</v>
      </c>
      <c r="C368" s="93" t="e">
        <f>VLOOKUP($A368, 'Matriz POA 2024-TRABAJO'!$A$5:$CY$9142,11,FALSE)</f>
        <v>#N/A</v>
      </c>
      <c r="D368" s="93" t="e">
        <f>VLOOKUP($A368, 'Matriz POA 2024-TRABAJO'!$A$5:$CY$9142,14,FALSE)</f>
        <v>#N/A</v>
      </c>
      <c r="E368" s="93" t="e">
        <f>VLOOKUP($A368, 'Matriz POA 2024-TRABAJO'!$A$5:$CY$9142,15,FALSE)</f>
        <v>#N/A</v>
      </c>
      <c r="F368" s="93" t="e">
        <f>VLOOKUP($A368, 'Matriz POA 2024-TRABAJO'!$A$5:$CY$9142,18,FALSE)</f>
        <v>#N/A</v>
      </c>
      <c r="G368" s="93" t="e">
        <f>VLOOKUP($A368, 'Matriz POA 2024-TRABAJO'!$A$5:$CY$9142,23,FALSE)</f>
        <v>#N/A</v>
      </c>
      <c r="H368" s="93" t="e">
        <f>VLOOKUP($A368, 'Matriz POA 2024-TRABAJO'!$A$5:$CY$9142,24,FALSE)</f>
        <v>#N/A</v>
      </c>
      <c r="I368" s="93" t="e">
        <f>VLOOKUP($A368, 'Matriz POA 2024-TRABAJO'!$A$5:$CY$9142,20,FALSE)</f>
        <v>#N/A</v>
      </c>
      <c r="J368" s="93" t="e">
        <f>VLOOKUP($A368, 'Matriz POA 2024-TRABAJO'!$A$5:$CY$9142,26,FALSE)</f>
        <v>#N/A</v>
      </c>
      <c r="K368" s="93" t="e">
        <f>VLOOKUP($A368, 'Matriz POA 2024-TRABAJO'!$A$5:$CY$9142,27,FALSE)</f>
        <v>#N/A</v>
      </c>
      <c r="L368" s="93" t="e">
        <f>VLOOKUP($A368, 'Matriz POA 2024-TRABAJO'!$A$5:$CY$9142,28,FALSE)</f>
        <v>#N/A</v>
      </c>
      <c r="M368" s="93" t="e">
        <f>VLOOKUP($A368, 'Matriz POA 2024-TRABAJO'!$A$5:$CY$9142,30,FALSE)</f>
        <v>#N/A</v>
      </c>
      <c r="N368" s="93" t="e">
        <f>VLOOKUP($A368, 'Matriz POA 2024-TRABAJO'!$A$5:$CY$9142,31,FALSE)</f>
        <v>#N/A</v>
      </c>
      <c r="O368" s="93" t="e">
        <f>VLOOKUP($A368, 'Matriz POA 2024-TRABAJO'!$A$5:$CY$9142,45,FALSE)</f>
        <v>#N/A</v>
      </c>
      <c r="P368" s="93" t="e">
        <f>VLOOKUP($A368, 'Matriz POA 2024-TRABAJO'!$A$5:$CY$9142,46,FALSE)</f>
        <v>#N/A</v>
      </c>
      <c r="Q368" s="93" t="e">
        <f>VLOOKUP($A368, 'Matriz POA 2024-TRABAJO'!$A$5:$CY$9142,47,FALSE)</f>
        <v>#N/A</v>
      </c>
      <c r="R368" s="94">
        <f t="shared" si="223"/>
        <v>0</v>
      </c>
      <c r="S368" s="95" t="e">
        <f t="shared" si="224"/>
        <v>#N/A</v>
      </c>
      <c r="T368" s="93" t="e">
        <f>VLOOKUP($A368, 'Matriz POA 2024-TRABAJO'!$A$5:$CY$9142,72,FALSE)</f>
        <v>#N/A</v>
      </c>
      <c r="U368" s="93" t="e">
        <f>VLOOKUP($A368, 'Matriz POA 2024-TRABAJO'!$A$5:$CY$9142,29,FALSE)</f>
        <v>#N/A</v>
      </c>
      <c r="V368" s="93" t="str">
        <f t="shared" si="225"/>
        <v/>
      </c>
      <c r="W368" s="93"/>
      <c r="X368" s="93"/>
      <c r="Y368" s="93"/>
      <c r="Z368" s="93"/>
      <c r="AA368" s="93"/>
      <c r="AB368" s="93"/>
      <c r="AC368" s="93">
        <f t="shared" si="226"/>
        <v>0</v>
      </c>
      <c r="AD368" s="93"/>
      <c r="AE368" s="93"/>
      <c r="AF368" s="93"/>
      <c r="AG368" s="93"/>
      <c r="AH368" s="93"/>
      <c r="AI368" s="93"/>
      <c r="AJ368" s="93"/>
      <c r="AK368" s="93">
        <f t="shared" si="227"/>
        <v>0</v>
      </c>
      <c r="AL368" s="93"/>
      <c r="AM368" s="93"/>
      <c r="AN368" s="93"/>
      <c r="AO368" s="93"/>
      <c r="AP368" s="93"/>
      <c r="AQ368" s="93"/>
      <c r="AR368" s="93"/>
      <c r="AS368" s="93">
        <f t="shared" si="228"/>
        <v>0</v>
      </c>
      <c r="AT368" s="93"/>
      <c r="AU368" s="93"/>
      <c r="AV368" s="93"/>
      <c r="AW368" s="93"/>
      <c r="AX368" s="93"/>
      <c r="AY368" s="93"/>
      <c r="AZ368" s="93"/>
      <c r="BA368" s="93"/>
      <c r="BB368" s="93"/>
      <c r="BC368" s="93"/>
      <c r="BD368" s="93"/>
      <c r="BE368" s="93"/>
      <c r="BF368" s="93"/>
      <c r="BG368" s="93"/>
      <c r="BH368" s="93"/>
      <c r="BI368" s="93"/>
      <c r="BJ368" s="93"/>
      <c r="BK368" s="93"/>
      <c r="BL368" s="93"/>
      <c r="BM368" s="93"/>
      <c r="BN368" s="93"/>
      <c r="BO368" s="93"/>
      <c r="BP368" s="93"/>
      <c r="BQ368" s="93"/>
      <c r="BR368" s="93"/>
      <c r="BS368" s="93"/>
      <c r="BT368" s="93"/>
      <c r="BU368" s="93"/>
      <c r="BV368" s="93"/>
      <c r="BW368" s="93"/>
      <c r="BX368" s="93"/>
      <c r="BY368" s="93"/>
      <c r="BZ368" s="93"/>
      <c r="CA368" s="93"/>
      <c r="CB368" s="93"/>
      <c r="CC368" s="93"/>
      <c r="CD368" s="93"/>
      <c r="CE368" s="93"/>
      <c r="CF368" s="93"/>
      <c r="CG368" s="93"/>
      <c r="CH368" s="93"/>
      <c r="CI368" s="93"/>
      <c r="CJ368" s="93"/>
      <c r="CK368" s="93"/>
      <c r="CL368" s="93"/>
      <c r="CM368" s="93"/>
      <c r="CN368" s="93"/>
      <c r="CO368" s="93"/>
      <c r="CP368" s="93"/>
      <c r="CQ368" s="93"/>
      <c r="CR368" s="93"/>
      <c r="CS368" s="93"/>
      <c r="CT368" s="93"/>
      <c r="CU368" s="93"/>
      <c r="CV368" s="93"/>
      <c r="CW368" s="93"/>
      <c r="CX368" s="93"/>
    </row>
    <row r="369" spans="1:102" ht="15" hidden="1" customHeight="1">
      <c r="A369" s="93"/>
      <c r="B369" s="93" t="e">
        <f>VLOOKUP($A369,  'Matriz POA 2024-TRABAJO'!$A$5:$CY$9142,29,FALSE)</f>
        <v>#N/A</v>
      </c>
      <c r="C369" s="93" t="e">
        <f>VLOOKUP($A369, 'Matriz POA 2024-TRABAJO'!$A$5:$CY$9142,11,FALSE)</f>
        <v>#N/A</v>
      </c>
      <c r="D369" s="93" t="e">
        <f>VLOOKUP($A369, 'Matriz POA 2024-TRABAJO'!$A$5:$CY$9142,14,FALSE)</f>
        <v>#N/A</v>
      </c>
      <c r="E369" s="93" t="e">
        <f>VLOOKUP($A369, 'Matriz POA 2024-TRABAJO'!$A$5:$CY$9142,15,FALSE)</f>
        <v>#N/A</v>
      </c>
      <c r="F369" s="93" t="e">
        <f>VLOOKUP($A369, 'Matriz POA 2024-TRABAJO'!$A$5:$CY$9142,18,FALSE)</f>
        <v>#N/A</v>
      </c>
      <c r="G369" s="93" t="e">
        <f>VLOOKUP($A369, 'Matriz POA 2024-TRABAJO'!$A$5:$CY$9142,23,FALSE)</f>
        <v>#N/A</v>
      </c>
      <c r="H369" s="93" t="e">
        <f>VLOOKUP($A369, 'Matriz POA 2024-TRABAJO'!$A$5:$CY$9142,24,FALSE)</f>
        <v>#N/A</v>
      </c>
      <c r="I369" s="93" t="e">
        <f>VLOOKUP($A369, 'Matriz POA 2024-TRABAJO'!$A$5:$CY$9142,20,FALSE)</f>
        <v>#N/A</v>
      </c>
      <c r="J369" s="93" t="e">
        <f>VLOOKUP($A369, 'Matriz POA 2024-TRABAJO'!$A$5:$CY$9142,26,FALSE)</f>
        <v>#N/A</v>
      </c>
      <c r="K369" s="93" t="e">
        <f>VLOOKUP($A369, 'Matriz POA 2024-TRABAJO'!$A$5:$CY$9142,27,FALSE)</f>
        <v>#N/A</v>
      </c>
      <c r="L369" s="93" t="e">
        <f>VLOOKUP($A369, 'Matriz POA 2024-TRABAJO'!$A$5:$CY$9142,28,FALSE)</f>
        <v>#N/A</v>
      </c>
      <c r="M369" s="93" t="e">
        <f>VLOOKUP($A369, 'Matriz POA 2024-TRABAJO'!$A$5:$CY$9142,30,FALSE)</f>
        <v>#N/A</v>
      </c>
      <c r="N369" s="93" t="e">
        <f>VLOOKUP($A369, 'Matriz POA 2024-TRABAJO'!$A$5:$CY$9142,31,FALSE)</f>
        <v>#N/A</v>
      </c>
      <c r="O369" s="93" t="e">
        <f>VLOOKUP($A369, 'Matriz POA 2024-TRABAJO'!$A$5:$CY$9142,45,FALSE)</f>
        <v>#N/A</v>
      </c>
      <c r="P369" s="93" t="e">
        <f>VLOOKUP($A369, 'Matriz POA 2024-TRABAJO'!$A$5:$CY$9142,46,FALSE)</f>
        <v>#N/A</v>
      </c>
      <c r="Q369" s="93" t="e">
        <f>VLOOKUP($A369, 'Matriz POA 2024-TRABAJO'!$A$5:$CY$9142,47,FALSE)</f>
        <v>#N/A</v>
      </c>
      <c r="R369" s="94">
        <f t="shared" si="223"/>
        <v>0</v>
      </c>
      <c r="S369" s="95" t="e">
        <f t="shared" si="224"/>
        <v>#N/A</v>
      </c>
      <c r="T369" s="93" t="e">
        <f>VLOOKUP($A369, 'Matriz POA 2024-TRABAJO'!$A$5:$CY$9142,72,FALSE)</f>
        <v>#N/A</v>
      </c>
      <c r="U369" s="93" t="e">
        <f>VLOOKUP($A369, 'Matriz POA 2024-TRABAJO'!$A$5:$CY$9142,29,FALSE)</f>
        <v>#N/A</v>
      </c>
      <c r="V369" s="93" t="str">
        <f t="shared" si="225"/>
        <v/>
      </c>
      <c r="W369" s="93"/>
      <c r="X369" s="93"/>
      <c r="Y369" s="93"/>
      <c r="Z369" s="93"/>
      <c r="AA369" s="93"/>
      <c r="AB369" s="93"/>
      <c r="AC369" s="93">
        <f t="shared" si="226"/>
        <v>0</v>
      </c>
      <c r="AD369" s="93"/>
      <c r="AE369" s="93"/>
      <c r="AF369" s="93"/>
      <c r="AG369" s="93"/>
      <c r="AH369" s="93"/>
      <c r="AI369" s="93"/>
      <c r="AJ369" s="93"/>
      <c r="AK369" s="93">
        <f t="shared" si="227"/>
        <v>0</v>
      </c>
      <c r="AL369" s="93"/>
      <c r="AM369" s="93"/>
      <c r="AN369" s="93"/>
      <c r="AO369" s="93"/>
      <c r="AP369" s="93"/>
      <c r="AQ369" s="93"/>
      <c r="AR369" s="93"/>
      <c r="AS369" s="93">
        <f t="shared" si="228"/>
        <v>0</v>
      </c>
      <c r="AT369" s="93"/>
      <c r="AU369" s="93"/>
      <c r="AV369" s="93"/>
      <c r="AW369" s="93"/>
      <c r="AX369" s="93"/>
      <c r="AY369" s="93"/>
      <c r="AZ369" s="93"/>
      <c r="BA369" s="93"/>
      <c r="BB369" s="93"/>
      <c r="BC369" s="93"/>
      <c r="BD369" s="93"/>
      <c r="BE369" s="93"/>
      <c r="BF369" s="93"/>
      <c r="BG369" s="93"/>
      <c r="BH369" s="93"/>
      <c r="BI369" s="93"/>
      <c r="BJ369" s="93"/>
      <c r="BK369" s="93"/>
      <c r="BL369" s="93"/>
      <c r="BM369" s="93"/>
      <c r="BN369" s="93"/>
      <c r="BO369" s="93"/>
      <c r="BP369" s="93"/>
      <c r="BQ369" s="93"/>
      <c r="BR369" s="93"/>
      <c r="BS369" s="93"/>
      <c r="BT369" s="93"/>
      <c r="BU369" s="93"/>
      <c r="BV369" s="93"/>
      <c r="BW369" s="93"/>
      <c r="BX369" s="93"/>
      <c r="BY369" s="93"/>
      <c r="BZ369" s="93"/>
      <c r="CA369" s="93"/>
      <c r="CB369" s="93"/>
      <c r="CC369" s="93"/>
      <c r="CD369" s="93"/>
      <c r="CE369" s="93"/>
      <c r="CF369" s="93"/>
      <c r="CG369" s="93"/>
      <c r="CH369" s="93"/>
      <c r="CI369" s="93"/>
      <c r="CJ369" s="93"/>
      <c r="CK369" s="93"/>
      <c r="CL369" s="93"/>
      <c r="CM369" s="93"/>
      <c r="CN369" s="93"/>
      <c r="CO369" s="93"/>
      <c r="CP369" s="93"/>
      <c r="CQ369" s="93"/>
      <c r="CR369" s="93"/>
      <c r="CS369" s="93"/>
      <c r="CT369" s="93"/>
      <c r="CU369" s="93"/>
      <c r="CV369" s="93"/>
      <c r="CW369" s="93"/>
      <c r="CX369" s="93"/>
    </row>
    <row r="370" spans="1:102" ht="15" hidden="1" customHeight="1">
      <c r="A370" s="93"/>
      <c r="B370" s="93" t="e">
        <f>VLOOKUP($A370,  'Matriz POA 2024-TRABAJO'!$A$5:$CY$9142,29,FALSE)</f>
        <v>#N/A</v>
      </c>
      <c r="C370" s="93" t="e">
        <f>VLOOKUP($A370, 'Matriz POA 2024-TRABAJO'!$A$5:$CY$9142,11,FALSE)</f>
        <v>#N/A</v>
      </c>
      <c r="D370" s="93" t="e">
        <f>VLOOKUP($A370, 'Matriz POA 2024-TRABAJO'!$A$5:$CY$9142,14,FALSE)</f>
        <v>#N/A</v>
      </c>
      <c r="E370" s="93" t="e">
        <f>VLOOKUP($A370, 'Matriz POA 2024-TRABAJO'!$A$5:$CY$9142,15,FALSE)</f>
        <v>#N/A</v>
      </c>
      <c r="F370" s="93" t="e">
        <f>VLOOKUP($A370, 'Matriz POA 2024-TRABAJO'!$A$5:$CY$9142,18,FALSE)</f>
        <v>#N/A</v>
      </c>
      <c r="G370" s="93" t="e">
        <f>VLOOKUP($A370, 'Matriz POA 2024-TRABAJO'!$A$5:$CY$9142,23,FALSE)</f>
        <v>#N/A</v>
      </c>
      <c r="H370" s="93" t="e">
        <f>VLOOKUP($A370, 'Matriz POA 2024-TRABAJO'!$A$5:$CY$9142,24,FALSE)</f>
        <v>#N/A</v>
      </c>
      <c r="I370" s="93" t="e">
        <f>VLOOKUP($A370, 'Matriz POA 2024-TRABAJO'!$A$5:$CY$9142,20,FALSE)</f>
        <v>#N/A</v>
      </c>
      <c r="J370" s="93" t="e">
        <f>VLOOKUP($A370, 'Matriz POA 2024-TRABAJO'!$A$5:$CY$9142,26,FALSE)</f>
        <v>#N/A</v>
      </c>
      <c r="K370" s="93" t="e">
        <f>VLOOKUP($A370, 'Matriz POA 2024-TRABAJO'!$A$5:$CY$9142,27,FALSE)</f>
        <v>#N/A</v>
      </c>
      <c r="L370" s="93" t="e">
        <f>VLOOKUP($A370, 'Matriz POA 2024-TRABAJO'!$A$5:$CY$9142,28,FALSE)</f>
        <v>#N/A</v>
      </c>
      <c r="M370" s="93" t="e">
        <f>VLOOKUP($A370, 'Matriz POA 2024-TRABAJO'!$A$5:$CY$9142,30,FALSE)</f>
        <v>#N/A</v>
      </c>
      <c r="N370" s="93" t="e">
        <f>VLOOKUP($A370, 'Matriz POA 2024-TRABAJO'!$A$5:$CY$9142,31,FALSE)</f>
        <v>#N/A</v>
      </c>
      <c r="O370" s="93" t="e">
        <f>VLOOKUP($A370, 'Matriz POA 2024-TRABAJO'!$A$5:$CY$9142,45,FALSE)</f>
        <v>#N/A</v>
      </c>
      <c r="P370" s="93" t="e">
        <f>VLOOKUP($A370, 'Matriz POA 2024-TRABAJO'!$A$5:$CY$9142,46,FALSE)</f>
        <v>#N/A</v>
      </c>
      <c r="Q370" s="93" t="e">
        <f>VLOOKUP($A370, 'Matriz POA 2024-TRABAJO'!$A$5:$CY$9142,47,FALSE)</f>
        <v>#N/A</v>
      </c>
      <c r="R370" s="94">
        <f t="shared" si="223"/>
        <v>0</v>
      </c>
      <c r="S370" s="95" t="e">
        <f t="shared" si="224"/>
        <v>#N/A</v>
      </c>
      <c r="T370" s="93" t="e">
        <f>VLOOKUP($A370, 'Matriz POA 2024-TRABAJO'!$A$5:$CY$9142,72,FALSE)</f>
        <v>#N/A</v>
      </c>
      <c r="U370" s="93" t="e">
        <f>VLOOKUP($A370, 'Matriz POA 2024-TRABAJO'!$A$5:$CY$9142,29,FALSE)</f>
        <v>#N/A</v>
      </c>
      <c r="V370" s="93" t="str">
        <f t="shared" si="225"/>
        <v/>
      </c>
      <c r="W370" s="93"/>
      <c r="X370" s="93"/>
      <c r="Y370" s="93"/>
      <c r="Z370" s="93"/>
      <c r="AA370" s="93"/>
      <c r="AB370" s="93"/>
      <c r="AC370" s="93">
        <f t="shared" si="226"/>
        <v>0</v>
      </c>
      <c r="AD370" s="93"/>
      <c r="AE370" s="93"/>
      <c r="AF370" s="93"/>
      <c r="AG370" s="93"/>
      <c r="AH370" s="93"/>
      <c r="AI370" s="93"/>
      <c r="AJ370" s="93"/>
      <c r="AK370" s="93">
        <f t="shared" si="227"/>
        <v>0</v>
      </c>
      <c r="AL370" s="93"/>
      <c r="AM370" s="93"/>
      <c r="AN370" s="93"/>
      <c r="AO370" s="93"/>
      <c r="AP370" s="93"/>
      <c r="AQ370" s="93"/>
      <c r="AR370" s="93"/>
      <c r="AS370" s="93">
        <f t="shared" si="228"/>
        <v>0</v>
      </c>
      <c r="AT370" s="93"/>
      <c r="AU370" s="93"/>
      <c r="AV370" s="93"/>
      <c r="AW370" s="93"/>
      <c r="AX370" s="93"/>
      <c r="AY370" s="93"/>
      <c r="AZ370" s="93"/>
      <c r="BA370" s="93"/>
      <c r="BB370" s="93"/>
      <c r="BC370" s="93"/>
      <c r="BD370" s="93"/>
      <c r="BE370" s="93"/>
      <c r="BF370" s="93"/>
      <c r="BG370" s="93"/>
      <c r="BH370" s="93"/>
      <c r="BI370" s="93"/>
      <c r="BJ370" s="93"/>
      <c r="BK370" s="93"/>
      <c r="BL370" s="93"/>
      <c r="BM370" s="93"/>
      <c r="BN370" s="93"/>
      <c r="BO370" s="93"/>
      <c r="BP370" s="93"/>
      <c r="BQ370" s="93"/>
      <c r="BR370" s="93"/>
      <c r="BS370" s="93"/>
      <c r="BT370" s="93"/>
      <c r="BU370" s="93"/>
      <c r="BV370" s="93"/>
      <c r="BW370" s="93"/>
      <c r="BX370" s="93"/>
      <c r="BY370" s="93"/>
      <c r="BZ370" s="93"/>
      <c r="CA370" s="93"/>
      <c r="CB370" s="93"/>
      <c r="CC370" s="93"/>
      <c r="CD370" s="93"/>
      <c r="CE370" s="93"/>
      <c r="CF370" s="93"/>
      <c r="CG370" s="93"/>
      <c r="CH370" s="93"/>
      <c r="CI370" s="93"/>
      <c r="CJ370" s="93"/>
      <c r="CK370" s="93"/>
      <c r="CL370" s="93"/>
      <c r="CM370" s="93"/>
      <c r="CN370" s="93"/>
      <c r="CO370" s="93"/>
      <c r="CP370" s="93"/>
      <c r="CQ370" s="93"/>
      <c r="CR370" s="93"/>
      <c r="CS370" s="93"/>
      <c r="CT370" s="93"/>
      <c r="CU370" s="93"/>
      <c r="CV370" s="93"/>
      <c r="CW370" s="93"/>
      <c r="CX370" s="93"/>
    </row>
    <row r="371" spans="1:102" ht="15" hidden="1" customHeight="1">
      <c r="A371" s="93"/>
      <c r="B371" s="93" t="e">
        <f>VLOOKUP($A371,  'Matriz POA 2024-TRABAJO'!$A$5:$CY$9142,29,FALSE)</f>
        <v>#N/A</v>
      </c>
      <c r="C371" s="93" t="e">
        <f>VLOOKUP($A371, 'Matriz POA 2024-TRABAJO'!$A$5:$CY$9142,11,FALSE)</f>
        <v>#N/A</v>
      </c>
      <c r="D371" s="93" t="e">
        <f>VLOOKUP($A371, 'Matriz POA 2024-TRABAJO'!$A$5:$CY$9142,14,FALSE)</f>
        <v>#N/A</v>
      </c>
      <c r="E371" s="93" t="e">
        <f>VLOOKUP($A371, 'Matriz POA 2024-TRABAJO'!$A$5:$CY$9142,15,FALSE)</f>
        <v>#N/A</v>
      </c>
      <c r="F371" s="93" t="e">
        <f>VLOOKUP($A371, 'Matriz POA 2024-TRABAJO'!$A$5:$CY$9142,18,FALSE)</f>
        <v>#N/A</v>
      </c>
      <c r="G371" s="93" t="e">
        <f>VLOOKUP($A371, 'Matriz POA 2024-TRABAJO'!$A$5:$CY$9142,23,FALSE)</f>
        <v>#N/A</v>
      </c>
      <c r="H371" s="93" t="e">
        <f>VLOOKUP($A371, 'Matriz POA 2024-TRABAJO'!$A$5:$CY$9142,24,FALSE)</f>
        <v>#N/A</v>
      </c>
      <c r="I371" s="93" t="e">
        <f>VLOOKUP($A371, 'Matriz POA 2024-TRABAJO'!$A$5:$CY$9142,20,FALSE)</f>
        <v>#N/A</v>
      </c>
      <c r="J371" s="93" t="e">
        <f>VLOOKUP($A371, 'Matriz POA 2024-TRABAJO'!$A$5:$CY$9142,26,FALSE)</f>
        <v>#N/A</v>
      </c>
      <c r="K371" s="93" t="e">
        <f>VLOOKUP($A371, 'Matriz POA 2024-TRABAJO'!$A$5:$CY$9142,27,FALSE)</f>
        <v>#N/A</v>
      </c>
      <c r="L371" s="93" t="e">
        <f>VLOOKUP($A371, 'Matriz POA 2024-TRABAJO'!$A$5:$CY$9142,28,FALSE)</f>
        <v>#N/A</v>
      </c>
      <c r="M371" s="93" t="e">
        <f>VLOOKUP($A371, 'Matriz POA 2024-TRABAJO'!$A$5:$CY$9142,30,FALSE)</f>
        <v>#N/A</v>
      </c>
      <c r="N371" s="93" t="e">
        <f>VLOOKUP($A371, 'Matriz POA 2024-TRABAJO'!$A$5:$CY$9142,31,FALSE)</f>
        <v>#N/A</v>
      </c>
      <c r="O371" s="93" t="e">
        <f>VLOOKUP($A371, 'Matriz POA 2024-TRABAJO'!$A$5:$CY$9142,45,FALSE)</f>
        <v>#N/A</v>
      </c>
      <c r="P371" s="93" t="e">
        <f>VLOOKUP($A371, 'Matriz POA 2024-TRABAJO'!$A$5:$CY$9142,46,FALSE)</f>
        <v>#N/A</v>
      </c>
      <c r="Q371" s="93" t="e">
        <f>VLOOKUP($A371, 'Matriz POA 2024-TRABAJO'!$A$5:$CY$9142,47,FALSE)</f>
        <v>#N/A</v>
      </c>
      <c r="R371" s="94">
        <f t="shared" si="223"/>
        <v>0</v>
      </c>
      <c r="S371" s="95" t="e">
        <f t="shared" si="224"/>
        <v>#N/A</v>
      </c>
      <c r="T371" s="93" t="e">
        <f>VLOOKUP($A371, 'Matriz POA 2024-TRABAJO'!$A$5:$CY$9142,72,FALSE)</f>
        <v>#N/A</v>
      </c>
      <c r="U371" s="93" t="e">
        <f>VLOOKUP($A371, 'Matriz POA 2024-TRABAJO'!$A$5:$CY$9142,29,FALSE)</f>
        <v>#N/A</v>
      </c>
      <c r="V371" s="93" t="str">
        <f t="shared" si="225"/>
        <v/>
      </c>
      <c r="W371" s="93"/>
      <c r="X371" s="93"/>
      <c r="Y371" s="93"/>
      <c r="Z371" s="93"/>
      <c r="AA371" s="93"/>
      <c r="AB371" s="93"/>
      <c r="AC371" s="93">
        <f t="shared" si="226"/>
        <v>0</v>
      </c>
      <c r="AD371" s="93"/>
      <c r="AE371" s="93"/>
      <c r="AF371" s="93"/>
      <c r="AG371" s="93"/>
      <c r="AH371" s="93"/>
      <c r="AI371" s="93"/>
      <c r="AJ371" s="93"/>
      <c r="AK371" s="93">
        <f t="shared" si="227"/>
        <v>0</v>
      </c>
      <c r="AL371" s="93"/>
      <c r="AM371" s="93"/>
      <c r="AN371" s="93"/>
      <c r="AO371" s="93"/>
      <c r="AP371" s="93"/>
      <c r="AQ371" s="93"/>
      <c r="AR371" s="93"/>
      <c r="AS371" s="93">
        <f t="shared" si="228"/>
        <v>0</v>
      </c>
      <c r="AT371" s="93"/>
      <c r="AU371" s="93"/>
      <c r="AV371" s="93"/>
      <c r="AW371" s="93"/>
      <c r="AX371" s="93"/>
      <c r="AY371" s="93"/>
      <c r="AZ371" s="93"/>
      <c r="BA371" s="93"/>
      <c r="BB371" s="93"/>
      <c r="BC371" s="93"/>
      <c r="BD371" s="93"/>
      <c r="BE371" s="93"/>
      <c r="BF371" s="93"/>
      <c r="BG371" s="93"/>
      <c r="BH371" s="93"/>
      <c r="BI371" s="93"/>
      <c r="BJ371" s="93"/>
      <c r="BK371" s="93"/>
      <c r="BL371" s="93"/>
      <c r="BM371" s="93"/>
      <c r="BN371" s="93"/>
      <c r="BO371" s="93"/>
      <c r="BP371" s="93"/>
      <c r="BQ371" s="93"/>
      <c r="BR371" s="93"/>
      <c r="BS371" s="93"/>
      <c r="BT371" s="93"/>
      <c r="BU371" s="93"/>
      <c r="BV371" s="93"/>
      <c r="BW371" s="93"/>
      <c r="BX371" s="93"/>
      <c r="BY371" s="93"/>
      <c r="BZ371" s="93"/>
      <c r="CA371" s="93"/>
      <c r="CB371" s="93"/>
      <c r="CC371" s="93"/>
      <c r="CD371" s="93"/>
      <c r="CE371" s="93"/>
      <c r="CF371" s="93"/>
      <c r="CG371" s="93"/>
      <c r="CH371" s="93"/>
      <c r="CI371" s="93"/>
      <c r="CJ371" s="93"/>
      <c r="CK371" s="93"/>
      <c r="CL371" s="93"/>
      <c r="CM371" s="93"/>
      <c r="CN371" s="93"/>
      <c r="CO371" s="93"/>
      <c r="CP371" s="93"/>
      <c r="CQ371" s="93"/>
      <c r="CR371" s="93"/>
      <c r="CS371" s="93"/>
      <c r="CT371" s="93"/>
      <c r="CU371" s="93"/>
      <c r="CV371" s="93"/>
      <c r="CW371" s="93"/>
      <c r="CX371" s="93"/>
    </row>
    <row r="372" spans="1:102" ht="15" hidden="1" customHeight="1">
      <c r="A372" s="93"/>
      <c r="B372" s="93" t="e">
        <f>VLOOKUP($A372,  'Matriz POA 2024-TRABAJO'!$A$5:$CY$9142,29,FALSE)</f>
        <v>#N/A</v>
      </c>
      <c r="C372" s="93" t="e">
        <f>VLOOKUP($A372, 'Matriz POA 2024-TRABAJO'!$A$5:$CY$9142,11,FALSE)</f>
        <v>#N/A</v>
      </c>
      <c r="D372" s="93" t="e">
        <f>VLOOKUP($A372, 'Matriz POA 2024-TRABAJO'!$A$5:$CY$9142,14,FALSE)</f>
        <v>#N/A</v>
      </c>
      <c r="E372" s="93" t="e">
        <f>VLOOKUP($A372, 'Matriz POA 2024-TRABAJO'!$A$5:$CY$9142,15,FALSE)</f>
        <v>#N/A</v>
      </c>
      <c r="F372" s="93" t="e">
        <f>VLOOKUP($A372, 'Matriz POA 2024-TRABAJO'!$A$5:$CY$9142,18,FALSE)</f>
        <v>#N/A</v>
      </c>
      <c r="G372" s="93" t="e">
        <f>VLOOKUP($A372, 'Matriz POA 2024-TRABAJO'!$A$5:$CY$9142,23,FALSE)</f>
        <v>#N/A</v>
      </c>
      <c r="H372" s="93" t="e">
        <f>VLOOKUP($A372, 'Matriz POA 2024-TRABAJO'!$A$5:$CY$9142,24,FALSE)</f>
        <v>#N/A</v>
      </c>
      <c r="I372" s="93" t="e">
        <f>VLOOKUP($A372, 'Matriz POA 2024-TRABAJO'!$A$5:$CY$9142,20,FALSE)</f>
        <v>#N/A</v>
      </c>
      <c r="J372" s="93" t="e">
        <f>VLOOKUP($A372, 'Matriz POA 2024-TRABAJO'!$A$5:$CY$9142,26,FALSE)</f>
        <v>#N/A</v>
      </c>
      <c r="K372" s="93" t="e">
        <f>VLOOKUP($A372, 'Matriz POA 2024-TRABAJO'!$A$5:$CY$9142,27,FALSE)</f>
        <v>#N/A</v>
      </c>
      <c r="L372" s="93" t="e">
        <f>VLOOKUP($A372, 'Matriz POA 2024-TRABAJO'!$A$5:$CY$9142,28,FALSE)</f>
        <v>#N/A</v>
      </c>
      <c r="M372" s="93" t="e">
        <f>VLOOKUP($A372, 'Matriz POA 2024-TRABAJO'!$A$5:$CY$9142,30,FALSE)</f>
        <v>#N/A</v>
      </c>
      <c r="N372" s="93" t="e">
        <f>VLOOKUP($A372, 'Matriz POA 2024-TRABAJO'!$A$5:$CY$9142,31,FALSE)</f>
        <v>#N/A</v>
      </c>
      <c r="O372" s="93" t="e">
        <f>VLOOKUP($A372, 'Matriz POA 2024-TRABAJO'!$A$5:$CY$9142,45,FALSE)</f>
        <v>#N/A</v>
      </c>
      <c r="P372" s="93" t="e">
        <f>VLOOKUP($A372, 'Matriz POA 2024-TRABAJO'!$A$5:$CY$9142,46,FALSE)</f>
        <v>#N/A</v>
      </c>
      <c r="Q372" s="93" t="e">
        <f>VLOOKUP($A372, 'Matriz POA 2024-TRABAJO'!$A$5:$CY$9142,47,FALSE)</f>
        <v>#N/A</v>
      </c>
      <c r="R372" s="94">
        <f t="shared" si="223"/>
        <v>0</v>
      </c>
      <c r="S372" s="95" t="e">
        <f t="shared" si="224"/>
        <v>#N/A</v>
      </c>
      <c r="T372" s="93" t="e">
        <f>VLOOKUP($A372, 'Matriz POA 2024-TRABAJO'!$A$5:$CY$9142,72,FALSE)</f>
        <v>#N/A</v>
      </c>
      <c r="U372" s="93" t="e">
        <f>VLOOKUP($A372, 'Matriz POA 2024-TRABAJO'!$A$5:$CY$9142,29,FALSE)</f>
        <v>#N/A</v>
      </c>
      <c r="V372" s="93" t="str">
        <f t="shared" si="225"/>
        <v/>
      </c>
      <c r="W372" s="93"/>
      <c r="X372" s="93"/>
      <c r="Y372" s="93"/>
      <c r="Z372" s="93"/>
      <c r="AA372" s="93"/>
      <c r="AB372" s="93"/>
      <c r="AC372" s="93">
        <f t="shared" si="226"/>
        <v>0</v>
      </c>
      <c r="AD372" s="93"/>
      <c r="AE372" s="93"/>
      <c r="AF372" s="93"/>
      <c r="AG372" s="93"/>
      <c r="AH372" s="93"/>
      <c r="AI372" s="93"/>
      <c r="AJ372" s="93"/>
      <c r="AK372" s="93">
        <f t="shared" si="227"/>
        <v>0</v>
      </c>
      <c r="AL372" s="93"/>
      <c r="AM372" s="93"/>
      <c r="AN372" s="93"/>
      <c r="AO372" s="93"/>
      <c r="AP372" s="93"/>
      <c r="AQ372" s="93"/>
      <c r="AR372" s="93"/>
      <c r="AS372" s="93">
        <f t="shared" si="228"/>
        <v>0</v>
      </c>
      <c r="AT372" s="93"/>
      <c r="AU372" s="93"/>
      <c r="AV372" s="93"/>
      <c r="AW372" s="93"/>
      <c r="AX372" s="93"/>
      <c r="AY372" s="93"/>
      <c r="AZ372" s="93"/>
      <c r="BA372" s="93"/>
      <c r="BB372" s="93"/>
      <c r="BC372" s="93"/>
      <c r="BD372" s="93"/>
      <c r="BE372" s="93"/>
      <c r="BF372" s="93"/>
      <c r="BG372" s="93"/>
      <c r="BH372" s="93"/>
      <c r="BI372" s="93"/>
      <c r="BJ372" s="93"/>
      <c r="BK372" s="93"/>
      <c r="BL372" s="93"/>
      <c r="BM372" s="93"/>
      <c r="BN372" s="93"/>
      <c r="BO372" s="93"/>
      <c r="BP372" s="93"/>
      <c r="BQ372" s="93"/>
      <c r="BR372" s="93"/>
      <c r="BS372" s="93"/>
      <c r="BT372" s="93"/>
      <c r="BU372" s="93"/>
      <c r="BV372" s="93"/>
      <c r="BW372" s="93"/>
      <c r="BX372" s="93"/>
      <c r="BY372" s="93"/>
      <c r="BZ372" s="93"/>
      <c r="CA372" s="93"/>
      <c r="CB372" s="93"/>
      <c r="CC372" s="93"/>
      <c r="CD372" s="93"/>
      <c r="CE372" s="93"/>
      <c r="CF372" s="93"/>
      <c r="CG372" s="93"/>
      <c r="CH372" s="93"/>
      <c r="CI372" s="93"/>
      <c r="CJ372" s="93"/>
      <c r="CK372" s="93"/>
      <c r="CL372" s="93"/>
      <c r="CM372" s="93"/>
      <c r="CN372" s="93"/>
      <c r="CO372" s="93"/>
      <c r="CP372" s="93"/>
      <c r="CQ372" s="93"/>
      <c r="CR372" s="93"/>
      <c r="CS372" s="93"/>
      <c r="CT372" s="93"/>
      <c r="CU372" s="93"/>
      <c r="CV372" s="93"/>
      <c r="CW372" s="93"/>
      <c r="CX372" s="93"/>
    </row>
    <row r="373" spans="1:102" ht="15" hidden="1" customHeight="1">
      <c r="A373" s="93"/>
      <c r="B373" s="93" t="e">
        <f>VLOOKUP($A373,  'Matriz POA 2024-TRABAJO'!$A$5:$CY$9142,29,FALSE)</f>
        <v>#N/A</v>
      </c>
      <c r="C373" s="93" t="e">
        <f>VLOOKUP($A373, 'Matriz POA 2024-TRABAJO'!$A$5:$CY$9142,11,FALSE)</f>
        <v>#N/A</v>
      </c>
      <c r="D373" s="93" t="e">
        <f>VLOOKUP($A373, 'Matriz POA 2024-TRABAJO'!$A$5:$CY$9142,14,FALSE)</f>
        <v>#N/A</v>
      </c>
      <c r="E373" s="93" t="e">
        <f>VLOOKUP($A373, 'Matriz POA 2024-TRABAJO'!$A$5:$CY$9142,15,FALSE)</f>
        <v>#N/A</v>
      </c>
      <c r="F373" s="93" t="e">
        <f>VLOOKUP($A373, 'Matriz POA 2024-TRABAJO'!$A$5:$CY$9142,18,FALSE)</f>
        <v>#N/A</v>
      </c>
      <c r="G373" s="93" t="e">
        <f>VLOOKUP($A373, 'Matriz POA 2024-TRABAJO'!$A$5:$CY$9142,23,FALSE)</f>
        <v>#N/A</v>
      </c>
      <c r="H373" s="93" t="e">
        <f>VLOOKUP($A373, 'Matriz POA 2024-TRABAJO'!$A$5:$CY$9142,24,FALSE)</f>
        <v>#N/A</v>
      </c>
      <c r="I373" s="93" t="e">
        <f>VLOOKUP($A373, 'Matriz POA 2024-TRABAJO'!$A$5:$CY$9142,20,FALSE)</f>
        <v>#N/A</v>
      </c>
      <c r="J373" s="93" t="e">
        <f>VLOOKUP($A373, 'Matriz POA 2024-TRABAJO'!$A$5:$CY$9142,26,FALSE)</f>
        <v>#N/A</v>
      </c>
      <c r="K373" s="93" t="e">
        <f>VLOOKUP($A373, 'Matriz POA 2024-TRABAJO'!$A$5:$CY$9142,27,FALSE)</f>
        <v>#N/A</v>
      </c>
      <c r="L373" s="93" t="e">
        <f>VLOOKUP($A373, 'Matriz POA 2024-TRABAJO'!$A$5:$CY$9142,28,FALSE)</f>
        <v>#N/A</v>
      </c>
      <c r="M373" s="93" t="e">
        <f>VLOOKUP($A373, 'Matriz POA 2024-TRABAJO'!$A$5:$CY$9142,30,FALSE)</f>
        <v>#N/A</v>
      </c>
      <c r="N373" s="93" t="e">
        <f>VLOOKUP($A373, 'Matriz POA 2024-TRABAJO'!$A$5:$CY$9142,31,FALSE)</f>
        <v>#N/A</v>
      </c>
      <c r="O373" s="93" t="e">
        <f>VLOOKUP($A373, 'Matriz POA 2024-TRABAJO'!$A$5:$CY$9142,45,FALSE)</f>
        <v>#N/A</v>
      </c>
      <c r="P373" s="93" t="e">
        <f>VLOOKUP($A373, 'Matriz POA 2024-TRABAJO'!$A$5:$CY$9142,46,FALSE)</f>
        <v>#N/A</v>
      </c>
      <c r="Q373" s="93" t="e">
        <f>VLOOKUP($A373, 'Matriz POA 2024-TRABAJO'!$A$5:$CY$9142,47,FALSE)</f>
        <v>#N/A</v>
      </c>
      <c r="R373" s="94">
        <f t="shared" si="223"/>
        <v>0</v>
      </c>
      <c r="S373" s="95" t="e">
        <f t="shared" si="224"/>
        <v>#N/A</v>
      </c>
      <c r="T373" s="93" t="e">
        <f>VLOOKUP($A373, 'Matriz POA 2024-TRABAJO'!$A$5:$CY$9142,72,FALSE)</f>
        <v>#N/A</v>
      </c>
      <c r="U373" s="93" t="e">
        <f>VLOOKUP($A373, 'Matriz POA 2024-TRABAJO'!$A$5:$CY$9142,29,FALSE)</f>
        <v>#N/A</v>
      </c>
      <c r="V373" s="93" t="str">
        <f t="shared" si="225"/>
        <v/>
      </c>
      <c r="W373" s="93"/>
      <c r="X373" s="93"/>
      <c r="Y373" s="93"/>
      <c r="Z373" s="93"/>
      <c r="AA373" s="93"/>
      <c r="AB373" s="93"/>
      <c r="AC373" s="93">
        <f t="shared" si="226"/>
        <v>0</v>
      </c>
      <c r="AD373" s="93"/>
      <c r="AE373" s="93"/>
      <c r="AF373" s="93"/>
      <c r="AG373" s="93"/>
      <c r="AH373" s="93"/>
      <c r="AI373" s="93"/>
      <c r="AJ373" s="93"/>
      <c r="AK373" s="93">
        <f t="shared" si="227"/>
        <v>0</v>
      </c>
      <c r="AL373" s="93"/>
      <c r="AM373" s="93"/>
      <c r="AN373" s="93"/>
      <c r="AO373" s="93"/>
      <c r="AP373" s="93"/>
      <c r="AQ373" s="93"/>
      <c r="AR373" s="93"/>
      <c r="AS373" s="93">
        <f t="shared" si="228"/>
        <v>0</v>
      </c>
      <c r="AT373" s="93"/>
      <c r="AU373" s="93"/>
      <c r="AV373" s="93"/>
      <c r="AW373" s="93"/>
      <c r="AX373" s="93"/>
      <c r="AY373" s="93"/>
      <c r="AZ373" s="93"/>
      <c r="BA373" s="93"/>
      <c r="BB373" s="93"/>
      <c r="BC373" s="93"/>
      <c r="BD373" s="93"/>
      <c r="BE373" s="93"/>
      <c r="BF373" s="93"/>
      <c r="BG373" s="93"/>
      <c r="BH373" s="93"/>
      <c r="BI373" s="93"/>
      <c r="BJ373" s="93"/>
      <c r="BK373" s="93"/>
      <c r="BL373" s="93"/>
      <c r="BM373" s="93"/>
      <c r="BN373" s="93"/>
      <c r="BO373" s="93"/>
      <c r="BP373" s="93"/>
      <c r="BQ373" s="93"/>
      <c r="BR373" s="93"/>
      <c r="BS373" s="93"/>
      <c r="BT373" s="93"/>
      <c r="BU373" s="93"/>
      <c r="BV373" s="93"/>
      <c r="BW373" s="93"/>
      <c r="BX373" s="93"/>
      <c r="BY373" s="93"/>
      <c r="BZ373" s="93"/>
      <c r="CA373" s="93"/>
      <c r="CB373" s="93"/>
      <c r="CC373" s="93"/>
      <c r="CD373" s="93"/>
      <c r="CE373" s="93"/>
      <c r="CF373" s="93"/>
      <c r="CG373" s="93"/>
      <c r="CH373" s="93"/>
      <c r="CI373" s="93"/>
      <c r="CJ373" s="93"/>
      <c r="CK373" s="93"/>
      <c r="CL373" s="93"/>
      <c r="CM373" s="93"/>
      <c r="CN373" s="93"/>
      <c r="CO373" s="93"/>
      <c r="CP373" s="93"/>
      <c r="CQ373" s="93"/>
      <c r="CR373" s="93"/>
      <c r="CS373" s="93"/>
      <c r="CT373" s="93"/>
      <c r="CU373" s="93"/>
      <c r="CV373" s="93"/>
      <c r="CW373" s="93"/>
      <c r="CX373" s="93"/>
    </row>
    <row r="374" spans="1:102" ht="15" hidden="1" customHeight="1">
      <c r="A374" s="93"/>
      <c r="B374" s="93" t="e">
        <f>VLOOKUP($A374,  'Matriz POA 2024-TRABAJO'!$A$5:$CY$9142,29,FALSE)</f>
        <v>#N/A</v>
      </c>
      <c r="C374" s="93" t="e">
        <f>VLOOKUP($A374, 'Matriz POA 2024-TRABAJO'!$A$5:$CY$9142,11,FALSE)</f>
        <v>#N/A</v>
      </c>
      <c r="D374" s="93" t="e">
        <f>VLOOKUP($A374, 'Matriz POA 2024-TRABAJO'!$A$5:$CY$9142,14,FALSE)</f>
        <v>#N/A</v>
      </c>
      <c r="E374" s="93" t="e">
        <f>VLOOKUP($A374, 'Matriz POA 2024-TRABAJO'!$A$5:$CY$9142,15,FALSE)</f>
        <v>#N/A</v>
      </c>
      <c r="F374" s="93" t="e">
        <f>VLOOKUP($A374, 'Matriz POA 2024-TRABAJO'!$A$5:$CY$9142,18,FALSE)</f>
        <v>#N/A</v>
      </c>
      <c r="G374" s="93" t="e">
        <f>VLOOKUP($A374, 'Matriz POA 2024-TRABAJO'!$A$5:$CY$9142,23,FALSE)</f>
        <v>#N/A</v>
      </c>
      <c r="H374" s="93" t="e">
        <f>VLOOKUP($A374, 'Matriz POA 2024-TRABAJO'!$A$5:$CY$9142,24,FALSE)</f>
        <v>#N/A</v>
      </c>
      <c r="I374" s="93" t="e">
        <f>VLOOKUP($A374, 'Matriz POA 2024-TRABAJO'!$A$5:$CY$9142,20,FALSE)</f>
        <v>#N/A</v>
      </c>
      <c r="J374" s="93" t="e">
        <f>VLOOKUP($A374, 'Matriz POA 2024-TRABAJO'!$A$5:$CY$9142,26,FALSE)</f>
        <v>#N/A</v>
      </c>
      <c r="K374" s="93" t="e">
        <f>VLOOKUP($A374, 'Matriz POA 2024-TRABAJO'!$A$5:$CY$9142,27,FALSE)</f>
        <v>#N/A</v>
      </c>
      <c r="L374" s="93" t="e">
        <f>VLOOKUP($A374, 'Matriz POA 2024-TRABAJO'!$A$5:$CY$9142,28,FALSE)</f>
        <v>#N/A</v>
      </c>
      <c r="M374" s="93" t="e">
        <f>VLOOKUP($A374, 'Matriz POA 2024-TRABAJO'!$A$5:$CY$9142,30,FALSE)</f>
        <v>#N/A</v>
      </c>
      <c r="N374" s="93" t="e">
        <f>VLOOKUP($A374, 'Matriz POA 2024-TRABAJO'!$A$5:$CY$9142,31,FALSE)</f>
        <v>#N/A</v>
      </c>
      <c r="O374" s="93" t="e">
        <f>VLOOKUP($A374, 'Matriz POA 2024-TRABAJO'!$A$5:$CY$9142,45,FALSE)</f>
        <v>#N/A</v>
      </c>
      <c r="P374" s="93" t="e">
        <f>VLOOKUP($A374, 'Matriz POA 2024-TRABAJO'!$A$5:$CY$9142,46,FALSE)</f>
        <v>#N/A</v>
      </c>
      <c r="Q374" s="93" t="e">
        <f>VLOOKUP($A374, 'Matriz POA 2024-TRABAJO'!$A$5:$CY$9142,47,FALSE)</f>
        <v>#N/A</v>
      </c>
      <c r="R374" s="94">
        <f t="shared" si="223"/>
        <v>0</v>
      </c>
      <c r="S374" s="95" t="e">
        <f t="shared" si="224"/>
        <v>#N/A</v>
      </c>
      <c r="T374" s="93" t="e">
        <f>VLOOKUP($A374, 'Matriz POA 2024-TRABAJO'!$A$5:$CY$9142,72,FALSE)</f>
        <v>#N/A</v>
      </c>
      <c r="U374" s="93" t="e">
        <f>VLOOKUP($A374, 'Matriz POA 2024-TRABAJO'!$A$5:$CY$9142,29,FALSE)</f>
        <v>#N/A</v>
      </c>
      <c r="V374" s="93" t="str">
        <f t="shared" si="225"/>
        <v/>
      </c>
      <c r="W374" s="93"/>
      <c r="X374" s="93"/>
      <c r="Y374" s="93"/>
      <c r="Z374" s="93"/>
      <c r="AA374" s="93"/>
      <c r="AB374" s="93"/>
      <c r="AC374" s="93">
        <f t="shared" si="226"/>
        <v>0</v>
      </c>
      <c r="AD374" s="93"/>
      <c r="AE374" s="93"/>
      <c r="AF374" s="93"/>
      <c r="AG374" s="93"/>
      <c r="AH374" s="93"/>
      <c r="AI374" s="93"/>
      <c r="AJ374" s="93"/>
      <c r="AK374" s="93">
        <f t="shared" si="227"/>
        <v>0</v>
      </c>
      <c r="AL374" s="93"/>
      <c r="AM374" s="93"/>
      <c r="AN374" s="93"/>
      <c r="AO374" s="93"/>
      <c r="AP374" s="93"/>
      <c r="AQ374" s="93"/>
      <c r="AR374" s="93"/>
      <c r="AS374" s="93">
        <f t="shared" si="228"/>
        <v>0</v>
      </c>
      <c r="AT374" s="93"/>
      <c r="AU374" s="93"/>
      <c r="AV374" s="93"/>
      <c r="AW374" s="93"/>
      <c r="AX374" s="93"/>
      <c r="AY374" s="93"/>
      <c r="AZ374" s="93"/>
      <c r="BA374" s="93"/>
      <c r="BB374" s="93"/>
      <c r="BC374" s="93"/>
      <c r="BD374" s="93"/>
      <c r="BE374" s="93"/>
      <c r="BF374" s="93"/>
      <c r="BG374" s="93"/>
      <c r="BH374" s="93"/>
      <c r="BI374" s="93"/>
      <c r="BJ374" s="93"/>
      <c r="BK374" s="93"/>
      <c r="BL374" s="93"/>
      <c r="BM374" s="93"/>
      <c r="BN374" s="93"/>
      <c r="BO374" s="93"/>
      <c r="BP374" s="93"/>
      <c r="BQ374" s="93"/>
      <c r="BR374" s="93"/>
      <c r="BS374" s="93"/>
      <c r="BT374" s="93"/>
      <c r="BU374" s="93"/>
      <c r="BV374" s="93"/>
      <c r="BW374" s="93"/>
      <c r="BX374" s="93"/>
      <c r="BY374" s="93"/>
      <c r="BZ374" s="93"/>
      <c r="CA374" s="93"/>
      <c r="CB374" s="93"/>
      <c r="CC374" s="93"/>
      <c r="CD374" s="93"/>
      <c r="CE374" s="93"/>
      <c r="CF374" s="93"/>
      <c r="CG374" s="93"/>
      <c r="CH374" s="93"/>
      <c r="CI374" s="93"/>
      <c r="CJ374" s="93"/>
      <c r="CK374" s="93"/>
      <c r="CL374" s="93"/>
      <c r="CM374" s="93"/>
      <c r="CN374" s="93"/>
      <c r="CO374" s="93"/>
      <c r="CP374" s="93"/>
      <c r="CQ374" s="93"/>
      <c r="CR374" s="93"/>
      <c r="CS374" s="93"/>
      <c r="CT374" s="93"/>
      <c r="CU374" s="93"/>
      <c r="CV374" s="93"/>
      <c r="CW374" s="93"/>
      <c r="CX374" s="93"/>
    </row>
    <row r="375" spans="1:102" ht="15" hidden="1" customHeight="1">
      <c r="A375" s="93"/>
      <c r="B375" s="93" t="e">
        <f>VLOOKUP($A375,  'Matriz POA 2024-TRABAJO'!$A$5:$CY$9142,29,FALSE)</f>
        <v>#N/A</v>
      </c>
      <c r="C375" s="93" t="e">
        <f>VLOOKUP($A375, 'Matriz POA 2024-TRABAJO'!$A$5:$CY$9142,11,FALSE)</f>
        <v>#N/A</v>
      </c>
      <c r="D375" s="93" t="e">
        <f>VLOOKUP($A375, 'Matriz POA 2024-TRABAJO'!$A$5:$CY$9142,14,FALSE)</f>
        <v>#N/A</v>
      </c>
      <c r="E375" s="93" t="e">
        <f>VLOOKUP($A375, 'Matriz POA 2024-TRABAJO'!$A$5:$CY$9142,15,FALSE)</f>
        <v>#N/A</v>
      </c>
      <c r="F375" s="93" t="e">
        <f>VLOOKUP($A375, 'Matriz POA 2024-TRABAJO'!$A$5:$CY$9142,18,FALSE)</f>
        <v>#N/A</v>
      </c>
      <c r="G375" s="93" t="e">
        <f>VLOOKUP($A375, 'Matriz POA 2024-TRABAJO'!$A$5:$CY$9142,23,FALSE)</f>
        <v>#N/A</v>
      </c>
      <c r="H375" s="93" t="e">
        <f>VLOOKUP($A375, 'Matriz POA 2024-TRABAJO'!$A$5:$CY$9142,24,FALSE)</f>
        <v>#N/A</v>
      </c>
      <c r="I375" s="93" t="e">
        <f>VLOOKUP($A375, 'Matriz POA 2024-TRABAJO'!$A$5:$CY$9142,20,FALSE)</f>
        <v>#N/A</v>
      </c>
      <c r="J375" s="93" t="e">
        <f>VLOOKUP($A375, 'Matriz POA 2024-TRABAJO'!$A$5:$CY$9142,26,FALSE)</f>
        <v>#N/A</v>
      </c>
      <c r="K375" s="93" t="e">
        <f>VLOOKUP($A375, 'Matriz POA 2024-TRABAJO'!$A$5:$CY$9142,27,FALSE)</f>
        <v>#N/A</v>
      </c>
      <c r="L375" s="93" t="e">
        <f>VLOOKUP($A375, 'Matriz POA 2024-TRABAJO'!$A$5:$CY$9142,28,FALSE)</f>
        <v>#N/A</v>
      </c>
      <c r="M375" s="93" t="e">
        <f>VLOOKUP($A375, 'Matriz POA 2024-TRABAJO'!$A$5:$CY$9142,30,FALSE)</f>
        <v>#N/A</v>
      </c>
      <c r="N375" s="93" t="e">
        <f>VLOOKUP($A375, 'Matriz POA 2024-TRABAJO'!$A$5:$CY$9142,31,FALSE)</f>
        <v>#N/A</v>
      </c>
      <c r="O375" s="93" t="e">
        <f>VLOOKUP($A375, 'Matriz POA 2024-TRABAJO'!$A$5:$CY$9142,45,FALSE)</f>
        <v>#N/A</v>
      </c>
      <c r="P375" s="93" t="e">
        <f>VLOOKUP($A375, 'Matriz POA 2024-TRABAJO'!$A$5:$CY$9142,46,FALSE)</f>
        <v>#N/A</v>
      </c>
      <c r="Q375" s="93" t="e">
        <f>VLOOKUP($A375, 'Matriz POA 2024-TRABAJO'!$A$5:$CY$9142,47,FALSE)</f>
        <v>#N/A</v>
      </c>
      <c r="R375" s="94">
        <f t="shared" si="223"/>
        <v>0</v>
      </c>
      <c r="S375" s="95" t="e">
        <f t="shared" si="224"/>
        <v>#N/A</v>
      </c>
      <c r="T375" s="93" t="e">
        <f>VLOOKUP($A375, 'Matriz POA 2024-TRABAJO'!$A$5:$CY$9142,72,FALSE)</f>
        <v>#N/A</v>
      </c>
      <c r="U375" s="93" t="e">
        <f>VLOOKUP($A375, 'Matriz POA 2024-TRABAJO'!$A$5:$CY$9142,29,FALSE)</f>
        <v>#N/A</v>
      </c>
      <c r="V375" s="93" t="str">
        <f t="shared" si="225"/>
        <v/>
      </c>
      <c r="W375" s="93"/>
      <c r="X375" s="93"/>
      <c r="Y375" s="93"/>
      <c r="Z375" s="93"/>
      <c r="AA375" s="93"/>
      <c r="AB375" s="93"/>
      <c r="AC375" s="93">
        <f t="shared" si="226"/>
        <v>0</v>
      </c>
      <c r="AD375" s="93"/>
      <c r="AE375" s="93"/>
      <c r="AF375" s="93"/>
      <c r="AG375" s="93"/>
      <c r="AH375" s="93"/>
      <c r="AI375" s="93"/>
      <c r="AJ375" s="93"/>
      <c r="AK375" s="93">
        <f t="shared" si="227"/>
        <v>0</v>
      </c>
      <c r="AL375" s="93"/>
      <c r="AM375" s="93"/>
      <c r="AN375" s="93"/>
      <c r="AO375" s="93"/>
      <c r="AP375" s="93"/>
      <c r="AQ375" s="93"/>
      <c r="AR375" s="93"/>
      <c r="AS375" s="93">
        <f t="shared" si="228"/>
        <v>0</v>
      </c>
      <c r="AT375" s="93"/>
      <c r="AU375" s="93"/>
      <c r="AV375" s="93"/>
      <c r="AW375" s="93"/>
      <c r="AX375" s="93"/>
      <c r="AY375" s="93"/>
      <c r="AZ375" s="93"/>
      <c r="BA375" s="93"/>
      <c r="BB375" s="93"/>
      <c r="BC375" s="93"/>
      <c r="BD375" s="93"/>
      <c r="BE375" s="93"/>
      <c r="BF375" s="93"/>
      <c r="BG375" s="93"/>
      <c r="BH375" s="93"/>
      <c r="BI375" s="93"/>
      <c r="BJ375" s="93"/>
      <c r="BK375" s="93"/>
      <c r="BL375" s="93"/>
      <c r="BM375" s="93"/>
      <c r="BN375" s="93"/>
      <c r="BO375" s="93"/>
      <c r="BP375" s="93"/>
      <c r="BQ375" s="93"/>
      <c r="BR375" s="93"/>
      <c r="BS375" s="93"/>
      <c r="BT375" s="93"/>
      <c r="BU375" s="93"/>
      <c r="BV375" s="93"/>
      <c r="BW375" s="93"/>
      <c r="BX375" s="93"/>
      <c r="BY375" s="93"/>
      <c r="BZ375" s="93"/>
      <c r="CA375" s="93"/>
      <c r="CB375" s="93"/>
      <c r="CC375" s="93"/>
      <c r="CD375" s="93"/>
      <c r="CE375" s="93"/>
      <c r="CF375" s="93"/>
      <c r="CG375" s="93"/>
      <c r="CH375" s="93"/>
      <c r="CI375" s="93"/>
      <c r="CJ375" s="93"/>
      <c r="CK375" s="93"/>
      <c r="CL375" s="93"/>
      <c r="CM375" s="93"/>
      <c r="CN375" s="93"/>
      <c r="CO375" s="93"/>
      <c r="CP375" s="93"/>
      <c r="CQ375" s="93"/>
      <c r="CR375" s="93"/>
      <c r="CS375" s="93"/>
      <c r="CT375" s="93"/>
      <c r="CU375" s="93"/>
      <c r="CV375" s="93"/>
      <c r="CW375" s="93"/>
      <c r="CX375" s="93"/>
    </row>
    <row r="376" spans="1:102" ht="15" hidden="1" customHeight="1">
      <c r="A376" s="93"/>
      <c r="B376" s="93" t="e">
        <f>VLOOKUP($A376,  'Matriz POA 2024-TRABAJO'!$A$5:$CY$9142,29,FALSE)</f>
        <v>#N/A</v>
      </c>
      <c r="C376" s="93" t="e">
        <f>VLOOKUP($A376, 'Matriz POA 2024-TRABAJO'!$A$5:$CY$9142,11,FALSE)</f>
        <v>#N/A</v>
      </c>
      <c r="D376" s="93" t="e">
        <f>VLOOKUP($A376, 'Matriz POA 2024-TRABAJO'!$A$5:$CY$9142,14,FALSE)</f>
        <v>#N/A</v>
      </c>
      <c r="E376" s="93" t="e">
        <f>VLOOKUP($A376, 'Matriz POA 2024-TRABAJO'!$A$5:$CY$9142,15,FALSE)</f>
        <v>#N/A</v>
      </c>
      <c r="F376" s="93" t="e">
        <f>VLOOKUP($A376, 'Matriz POA 2024-TRABAJO'!$A$5:$CY$9142,18,FALSE)</f>
        <v>#N/A</v>
      </c>
      <c r="G376" s="93" t="e">
        <f>VLOOKUP($A376, 'Matriz POA 2024-TRABAJO'!$A$5:$CY$9142,23,FALSE)</f>
        <v>#N/A</v>
      </c>
      <c r="H376" s="93" t="e">
        <f>VLOOKUP($A376, 'Matriz POA 2024-TRABAJO'!$A$5:$CY$9142,24,FALSE)</f>
        <v>#N/A</v>
      </c>
      <c r="I376" s="93" t="e">
        <f>VLOOKUP($A376, 'Matriz POA 2024-TRABAJO'!$A$5:$CY$9142,20,FALSE)</f>
        <v>#N/A</v>
      </c>
      <c r="J376" s="93" t="e">
        <f>VLOOKUP($A376, 'Matriz POA 2024-TRABAJO'!$A$5:$CY$9142,26,FALSE)</f>
        <v>#N/A</v>
      </c>
      <c r="K376" s="93" t="e">
        <f>VLOOKUP($A376, 'Matriz POA 2024-TRABAJO'!$A$5:$CY$9142,27,FALSE)</f>
        <v>#N/A</v>
      </c>
      <c r="L376" s="93" t="e">
        <f>VLOOKUP($A376, 'Matriz POA 2024-TRABAJO'!$A$5:$CY$9142,28,FALSE)</f>
        <v>#N/A</v>
      </c>
      <c r="M376" s="93" t="e">
        <f>VLOOKUP($A376, 'Matriz POA 2024-TRABAJO'!$A$5:$CY$9142,30,FALSE)</f>
        <v>#N/A</v>
      </c>
      <c r="N376" s="93" t="e">
        <f>VLOOKUP($A376, 'Matriz POA 2024-TRABAJO'!$A$5:$CY$9142,31,FALSE)</f>
        <v>#N/A</v>
      </c>
      <c r="O376" s="93" t="e">
        <f>VLOOKUP($A376, 'Matriz POA 2024-TRABAJO'!$A$5:$CY$9142,45,FALSE)</f>
        <v>#N/A</v>
      </c>
      <c r="P376" s="93" t="e">
        <f>VLOOKUP($A376, 'Matriz POA 2024-TRABAJO'!$A$5:$CY$9142,46,FALSE)</f>
        <v>#N/A</v>
      </c>
      <c r="Q376" s="93" t="e">
        <f>VLOOKUP($A376, 'Matriz POA 2024-TRABAJO'!$A$5:$CY$9142,47,FALSE)</f>
        <v>#N/A</v>
      </c>
      <c r="R376" s="94">
        <f t="shared" si="223"/>
        <v>0</v>
      </c>
      <c r="S376" s="95" t="e">
        <f t="shared" si="224"/>
        <v>#N/A</v>
      </c>
      <c r="T376" s="93" t="e">
        <f>VLOOKUP($A376, 'Matriz POA 2024-TRABAJO'!$A$5:$CY$9142,72,FALSE)</f>
        <v>#N/A</v>
      </c>
      <c r="U376" s="93" t="e">
        <f>VLOOKUP($A376, 'Matriz POA 2024-TRABAJO'!$A$5:$CY$9142,29,FALSE)</f>
        <v>#N/A</v>
      </c>
      <c r="V376" s="93" t="str">
        <f t="shared" si="225"/>
        <v/>
      </c>
      <c r="W376" s="93"/>
      <c r="X376" s="93"/>
      <c r="Y376" s="93"/>
      <c r="Z376" s="93"/>
      <c r="AA376" s="93"/>
      <c r="AB376" s="93"/>
      <c r="AC376" s="93">
        <f t="shared" si="226"/>
        <v>0</v>
      </c>
      <c r="AD376" s="93"/>
      <c r="AE376" s="93"/>
      <c r="AF376" s="93"/>
      <c r="AG376" s="93"/>
      <c r="AH376" s="93"/>
      <c r="AI376" s="93"/>
      <c r="AJ376" s="93"/>
      <c r="AK376" s="93">
        <f t="shared" si="227"/>
        <v>0</v>
      </c>
      <c r="AL376" s="93"/>
      <c r="AM376" s="93"/>
      <c r="AN376" s="93"/>
      <c r="AO376" s="93"/>
      <c r="AP376" s="93"/>
      <c r="AQ376" s="93"/>
      <c r="AR376" s="93"/>
      <c r="AS376" s="93">
        <f t="shared" si="228"/>
        <v>0</v>
      </c>
      <c r="AT376" s="93"/>
      <c r="AU376" s="93"/>
      <c r="AV376" s="93"/>
      <c r="AW376" s="93"/>
      <c r="AX376" s="93"/>
      <c r="AY376" s="93"/>
      <c r="AZ376" s="93"/>
      <c r="BA376" s="93"/>
      <c r="BB376" s="93"/>
      <c r="BC376" s="93"/>
      <c r="BD376" s="93"/>
      <c r="BE376" s="93"/>
      <c r="BF376" s="93"/>
      <c r="BG376" s="93"/>
      <c r="BH376" s="93"/>
      <c r="BI376" s="93"/>
      <c r="BJ376" s="93"/>
      <c r="BK376" s="93"/>
      <c r="BL376" s="93"/>
      <c r="BM376" s="93"/>
      <c r="BN376" s="93"/>
      <c r="BO376" s="93"/>
      <c r="BP376" s="93"/>
      <c r="BQ376" s="93"/>
      <c r="BR376" s="93"/>
      <c r="BS376" s="93"/>
      <c r="BT376" s="93"/>
      <c r="BU376" s="93"/>
      <c r="BV376" s="93"/>
      <c r="BW376" s="93"/>
      <c r="BX376" s="93"/>
      <c r="BY376" s="93"/>
      <c r="BZ376" s="93"/>
      <c r="CA376" s="93"/>
      <c r="CB376" s="93"/>
      <c r="CC376" s="93"/>
      <c r="CD376" s="93"/>
      <c r="CE376" s="93"/>
      <c r="CF376" s="93"/>
      <c r="CG376" s="93"/>
      <c r="CH376" s="93"/>
      <c r="CI376" s="93"/>
      <c r="CJ376" s="93"/>
      <c r="CK376" s="93"/>
      <c r="CL376" s="93"/>
      <c r="CM376" s="93"/>
      <c r="CN376" s="93"/>
      <c r="CO376" s="93"/>
      <c r="CP376" s="93"/>
      <c r="CQ376" s="93"/>
      <c r="CR376" s="93"/>
      <c r="CS376" s="93"/>
      <c r="CT376" s="93"/>
      <c r="CU376" s="93"/>
      <c r="CV376" s="93"/>
      <c r="CW376" s="93"/>
      <c r="CX376" s="93"/>
    </row>
    <row r="377" spans="1:102" ht="15" hidden="1" customHeight="1">
      <c r="A377" s="93"/>
      <c r="B377" s="93" t="e">
        <f>VLOOKUP($A377,  'Matriz POA 2024-TRABAJO'!$A$5:$CY$9142,29,FALSE)</f>
        <v>#N/A</v>
      </c>
      <c r="C377" s="93" t="e">
        <f>VLOOKUP($A377, 'Matriz POA 2024-TRABAJO'!$A$5:$CY$9142,11,FALSE)</f>
        <v>#N/A</v>
      </c>
      <c r="D377" s="93" t="e">
        <f>VLOOKUP($A377, 'Matriz POA 2024-TRABAJO'!$A$5:$CY$9142,14,FALSE)</f>
        <v>#N/A</v>
      </c>
      <c r="E377" s="93" t="e">
        <f>VLOOKUP($A377, 'Matriz POA 2024-TRABAJO'!$A$5:$CY$9142,15,FALSE)</f>
        <v>#N/A</v>
      </c>
      <c r="F377" s="93" t="e">
        <f>VLOOKUP($A377, 'Matriz POA 2024-TRABAJO'!$A$5:$CY$9142,18,FALSE)</f>
        <v>#N/A</v>
      </c>
      <c r="G377" s="93" t="e">
        <f>VLOOKUP($A377, 'Matriz POA 2024-TRABAJO'!$A$5:$CY$9142,23,FALSE)</f>
        <v>#N/A</v>
      </c>
      <c r="H377" s="93" t="e">
        <f>VLOOKUP($A377, 'Matriz POA 2024-TRABAJO'!$A$5:$CY$9142,24,FALSE)</f>
        <v>#N/A</v>
      </c>
      <c r="I377" s="93" t="e">
        <f>VLOOKUP($A377, 'Matriz POA 2024-TRABAJO'!$A$5:$CY$9142,20,FALSE)</f>
        <v>#N/A</v>
      </c>
      <c r="J377" s="93" t="e">
        <f>VLOOKUP($A377, 'Matriz POA 2024-TRABAJO'!$A$5:$CY$9142,26,FALSE)</f>
        <v>#N/A</v>
      </c>
      <c r="K377" s="93" t="e">
        <f>VLOOKUP($A377, 'Matriz POA 2024-TRABAJO'!$A$5:$CY$9142,27,FALSE)</f>
        <v>#N/A</v>
      </c>
      <c r="L377" s="93" t="e">
        <f>VLOOKUP($A377, 'Matriz POA 2024-TRABAJO'!$A$5:$CY$9142,28,FALSE)</f>
        <v>#N/A</v>
      </c>
      <c r="M377" s="93" t="e">
        <f>VLOOKUP($A377, 'Matriz POA 2024-TRABAJO'!$A$5:$CY$9142,30,FALSE)</f>
        <v>#N/A</v>
      </c>
      <c r="N377" s="93" t="e">
        <f>VLOOKUP($A377, 'Matriz POA 2024-TRABAJO'!$A$5:$CY$9142,31,FALSE)</f>
        <v>#N/A</v>
      </c>
      <c r="O377" s="93" t="e">
        <f>VLOOKUP($A377, 'Matriz POA 2024-TRABAJO'!$A$5:$CY$9142,45,FALSE)</f>
        <v>#N/A</v>
      </c>
      <c r="P377" s="93" t="e">
        <f>VLOOKUP($A377, 'Matriz POA 2024-TRABAJO'!$A$5:$CY$9142,46,FALSE)</f>
        <v>#N/A</v>
      </c>
      <c r="Q377" s="93" t="e">
        <f>VLOOKUP($A377, 'Matriz POA 2024-TRABAJO'!$A$5:$CY$9142,47,FALSE)</f>
        <v>#N/A</v>
      </c>
      <c r="R377" s="94">
        <f t="shared" si="223"/>
        <v>0</v>
      </c>
      <c r="S377" s="95" t="e">
        <f t="shared" si="224"/>
        <v>#N/A</v>
      </c>
      <c r="T377" s="93" t="e">
        <f>VLOOKUP($A377, 'Matriz POA 2024-TRABAJO'!$A$5:$CY$9142,72,FALSE)</f>
        <v>#N/A</v>
      </c>
      <c r="U377" s="93" t="e">
        <f>VLOOKUP($A377, 'Matriz POA 2024-TRABAJO'!$A$5:$CY$9142,29,FALSE)</f>
        <v>#N/A</v>
      </c>
      <c r="V377" s="93" t="str">
        <f t="shared" si="225"/>
        <v/>
      </c>
      <c r="W377" s="93"/>
      <c r="X377" s="93"/>
      <c r="Y377" s="93"/>
      <c r="Z377" s="93"/>
      <c r="AA377" s="93"/>
      <c r="AB377" s="93"/>
      <c r="AC377" s="93">
        <f t="shared" si="226"/>
        <v>0</v>
      </c>
      <c r="AD377" s="93"/>
      <c r="AE377" s="93"/>
      <c r="AF377" s="93"/>
      <c r="AG377" s="93"/>
      <c r="AH377" s="93"/>
      <c r="AI377" s="93"/>
      <c r="AJ377" s="93"/>
      <c r="AK377" s="93">
        <f t="shared" si="227"/>
        <v>0</v>
      </c>
      <c r="AL377" s="93"/>
      <c r="AM377" s="93"/>
      <c r="AN377" s="93"/>
      <c r="AO377" s="93"/>
      <c r="AP377" s="93"/>
      <c r="AQ377" s="93"/>
      <c r="AR377" s="93"/>
      <c r="AS377" s="93">
        <f t="shared" si="228"/>
        <v>0</v>
      </c>
      <c r="AT377" s="93"/>
      <c r="AU377" s="93"/>
      <c r="AV377" s="93"/>
      <c r="AW377" s="93"/>
      <c r="AX377" s="93"/>
      <c r="AY377" s="93"/>
      <c r="AZ377" s="93"/>
      <c r="BA377" s="93"/>
      <c r="BB377" s="93"/>
      <c r="BC377" s="93"/>
      <c r="BD377" s="93"/>
      <c r="BE377" s="93"/>
      <c r="BF377" s="93"/>
      <c r="BG377" s="93"/>
      <c r="BH377" s="93"/>
      <c r="BI377" s="93"/>
      <c r="BJ377" s="93"/>
      <c r="BK377" s="93"/>
      <c r="BL377" s="93"/>
      <c r="BM377" s="93"/>
      <c r="BN377" s="93"/>
      <c r="BO377" s="93"/>
      <c r="BP377" s="93"/>
      <c r="BQ377" s="93"/>
      <c r="BR377" s="93"/>
      <c r="BS377" s="93"/>
      <c r="BT377" s="93"/>
      <c r="BU377" s="93"/>
      <c r="BV377" s="93"/>
      <c r="BW377" s="93"/>
      <c r="BX377" s="93"/>
      <c r="BY377" s="93"/>
      <c r="BZ377" s="93"/>
      <c r="CA377" s="93"/>
      <c r="CB377" s="93"/>
      <c r="CC377" s="93"/>
      <c r="CD377" s="93"/>
      <c r="CE377" s="93"/>
      <c r="CF377" s="93"/>
      <c r="CG377" s="93"/>
      <c r="CH377" s="93"/>
      <c r="CI377" s="93"/>
      <c r="CJ377" s="93"/>
      <c r="CK377" s="93"/>
      <c r="CL377" s="93"/>
      <c r="CM377" s="93"/>
      <c r="CN377" s="93"/>
      <c r="CO377" s="93"/>
      <c r="CP377" s="93"/>
      <c r="CQ377" s="93"/>
      <c r="CR377" s="93"/>
      <c r="CS377" s="93"/>
      <c r="CT377" s="93"/>
      <c r="CU377" s="93"/>
      <c r="CV377" s="93"/>
      <c r="CW377" s="93"/>
      <c r="CX377" s="93"/>
    </row>
    <row r="378" spans="1:102" ht="15" hidden="1" customHeight="1">
      <c r="A378" s="93"/>
      <c r="B378" s="93" t="e">
        <f>VLOOKUP($A378,  'Matriz POA 2024-TRABAJO'!$A$5:$CY$9142,29,FALSE)</f>
        <v>#N/A</v>
      </c>
      <c r="C378" s="93" t="e">
        <f>VLOOKUP($A378, 'Matriz POA 2024-TRABAJO'!$A$5:$CY$9142,11,FALSE)</f>
        <v>#N/A</v>
      </c>
      <c r="D378" s="93" t="e">
        <f>VLOOKUP($A378, 'Matriz POA 2024-TRABAJO'!$A$5:$CY$9142,14,FALSE)</f>
        <v>#N/A</v>
      </c>
      <c r="E378" s="93" t="e">
        <f>VLOOKUP($A378, 'Matriz POA 2024-TRABAJO'!$A$5:$CY$9142,15,FALSE)</f>
        <v>#N/A</v>
      </c>
      <c r="F378" s="93" t="e">
        <f>VLOOKUP($A378, 'Matriz POA 2024-TRABAJO'!$A$5:$CY$9142,18,FALSE)</f>
        <v>#N/A</v>
      </c>
      <c r="G378" s="93" t="e">
        <f>VLOOKUP($A378, 'Matriz POA 2024-TRABAJO'!$A$5:$CY$9142,23,FALSE)</f>
        <v>#N/A</v>
      </c>
      <c r="H378" s="93" t="e">
        <f>VLOOKUP($A378, 'Matriz POA 2024-TRABAJO'!$A$5:$CY$9142,24,FALSE)</f>
        <v>#N/A</v>
      </c>
      <c r="I378" s="93" t="e">
        <f>VLOOKUP($A378, 'Matriz POA 2024-TRABAJO'!$A$5:$CY$9142,20,FALSE)</f>
        <v>#N/A</v>
      </c>
      <c r="J378" s="93" t="e">
        <f>VLOOKUP($A378, 'Matriz POA 2024-TRABAJO'!$A$5:$CY$9142,26,FALSE)</f>
        <v>#N/A</v>
      </c>
      <c r="K378" s="93" t="e">
        <f>VLOOKUP($A378, 'Matriz POA 2024-TRABAJO'!$A$5:$CY$9142,27,FALSE)</f>
        <v>#N/A</v>
      </c>
      <c r="L378" s="93" t="e">
        <f>VLOOKUP($A378, 'Matriz POA 2024-TRABAJO'!$A$5:$CY$9142,28,FALSE)</f>
        <v>#N/A</v>
      </c>
      <c r="M378" s="93" t="e">
        <f>VLOOKUP($A378, 'Matriz POA 2024-TRABAJO'!$A$5:$CY$9142,30,FALSE)</f>
        <v>#N/A</v>
      </c>
      <c r="N378" s="93" t="e">
        <f>VLOOKUP($A378, 'Matriz POA 2024-TRABAJO'!$A$5:$CY$9142,31,FALSE)</f>
        <v>#N/A</v>
      </c>
      <c r="O378" s="93" t="e">
        <f>VLOOKUP($A378, 'Matriz POA 2024-TRABAJO'!$A$5:$CY$9142,45,FALSE)</f>
        <v>#N/A</v>
      </c>
      <c r="P378" s="93" t="e">
        <f>VLOOKUP($A378, 'Matriz POA 2024-TRABAJO'!$A$5:$CY$9142,46,FALSE)</f>
        <v>#N/A</v>
      </c>
      <c r="Q378" s="93" t="e">
        <f>VLOOKUP($A378, 'Matriz POA 2024-TRABAJO'!$A$5:$CY$9142,47,FALSE)</f>
        <v>#N/A</v>
      </c>
      <c r="R378" s="94">
        <f t="shared" si="223"/>
        <v>0</v>
      </c>
      <c r="S378" s="95" t="e">
        <f t="shared" si="224"/>
        <v>#N/A</v>
      </c>
      <c r="T378" s="93" t="e">
        <f>VLOOKUP($A378, 'Matriz POA 2024-TRABAJO'!$A$5:$CY$9142,72,FALSE)</f>
        <v>#N/A</v>
      </c>
      <c r="U378" s="93" t="e">
        <f>VLOOKUP($A378, 'Matriz POA 2024-TRABAJO'!$A$5:$CY$9142,29,FALSE)</f>
        <v>#N/A</v>
      </c>
      <c r="V378" s="93" t="str">
        <f t="shared" si="225"/>
        <v/>
      </c>
      <c r="W378" s="93"/>
      <c r="X378" s="93"/>
      <c r="Y378" s="93"/>
      <c r="Z378" s="93"/>
      <c r="AA378" s="93"/>
      <c r="AB378" s="93"/>
      <c r="AC378" s="93">
        <f t="shared" si="226"/>
        <v>0</v>
      </c>
      <c r="AD378" s="93"/>
      <c r="AE378" s="93"/>
      <c r="AF378" s="93"/>
      <c r="AG378" s="93"/>
      <c r="AH378" s="93"/>
      <c r="AI378" s="93"/>
      <c r="AJ378" s="93"/>
      <c r="AK378" s="93">
        <f t="shared" si="227"/>
        <v>0</v>
      </c>
      <c r="AL378" s="93"/>
      <c r="AM378" s="93"/>
      <c r="AN378" s="93"/>
      <c r="AO378" s="93"/>
      <c r="AP378" s="93"/>
      <c r="AQ378" s="93"/>
      <c r="AR378" s="93"/>
      <c r="AS378" s="93">
        <f t="shared" si="228"/>
        <v>0</v>
      </c>
      <c r="AT378" s="93"/>
      <c r="AU378" s="93"/>
      <c r="AV378" s="93"/>
      <c r="AW378" s="93"/>
      <c r="AX378" s="93"/>
      <c r="AY378" s="93"/>
      <c r="AZ378" s="93"/>
      <c r="BA378" s="93"/>
      <c r="BB378" s="93"/>
      <c r="BC378" s="93"/>
      <c r="BD378" s="93"/>
      <c r="BE378" s="93"/>
      <c r="BF378" s="93"/>
      <c r="BG378" s="93"/>
      <c r="BH378" s="93"/>
      <c r="BI378" s="93"/>
      <c r="BJ378" s="93"/>
      <c r="BK378" s="93"/>
      <c r="BL378" s="93"/>
      <c r="BM378" s="93"/>
      <c r="BN378" s="93"/>
      <c r="BO378" s="93"/>
      <c r="BP378" s="93"/>
      <c r="BQ378" s="93"/>
      <c r="BR378" s="93"/>
      <c r="BS378" s="93"/>
      <c r="BT378" s="93"/>
      <c r="BU378" s="93"/>
      <c r="BV378" s="93"/>
      <c r="BW378" s="93"/>
      <c r="BX378" s="93"/>
      <c r="BY378" s="93"/>
      <c r="BZ378" s="93"/>
      <c r="CA378" s="93"/>
      <c r="CB378" s="93"/>
      <c r="CC378" s="93"/>
      <c r="CD378" s="93"/>
      <c r="CE378" s="93"/>
      <c r="CF378" s="93"/>
      <c r="CG378" s="93"/>
      <c r="CH378" s="93"/>
      <c r="CI378" s="93"/>
      <c r="CJ378" s="93"/>
      <c r="CK378" s="93"/>
      <c r="CL378" s="93"/>
      <c r="CM378" s="93"/>
      <c r="CN378" s="93"/>
      <c r="CO378" s="93"/>
      <c r="CP378" s="93"/>
      <c r="CQ378" s="93"/>
      <c r="CR378" s="93"/>
      <c r="CS378" s="93"/>
      <c r="CT378" s="93"/>
      <c r="CU378" s="93"/>
      <c r="CV378" s="93"/>
      <c r="CW378" s="93"/>
      <c r="CX378" s="93"/>
    </row>
    <row r="379" spans="1:102" ht="15" hidden="1" customHeight="1">
      <c r="A379" s="93"/>
      <c r="B379" s="93" t="e">
        <f>VLOOKUP($A379,  'Matriz POA 2024-TRABAJO'!$A$5:$CY$9142,29,FALSE)</f>
        <v>#N/A</v>
      </c>
      <c r="C379" s="93" t="e">
        <f>VLOOKUP($A379, 'Matriz POA 2024-TRABAJO'!$A$5:$CY$9142,11,FALSE)</f>
        <v>#N/A</v>
      </c>
      <c r="D379" s="93" t="e">
        <f>VLOOKUP($A379, 'Matriz POA 2024-TRABAJO'!$A$5:$CY$9142,14,FALSE)</f>
        <v>#N/A</v>
      </c>
      <c r="E379" s="93" t="e">
        <f>VLOOKUP($A379, 'Matriz POA 2024-TRABAJO'!$A$5:$CY$9142,15,FALSE)</f>
        <v>#N/A</v>
      </c>
      <c r="F379" s="93" t="e">
        <f>VLOOKUP($A379, 'Matriz POA 2024-TRABAJO'!$A$5:$CY$9142,18,FALSE)</f>
        <v>#N/A</v>
      </c>
      <c r="G379" s="93" t="e">
        <f>VLOOKUP($A379, 'Matriz POA 2024-TRABAJO'!$A$5:$CY$9142,23,FALSE)</f>
        <v>#N/A</v>
      </c>
      <c r="H379" s="93" t="e">
        <f>VLOOKUP($A379, 'Matriz POA 2024-TRABAJO'!$A$5:$CY$9142,24,FALSE)</f>
        <v>#N/A</v>
      </c>
      <c r="I379" s="93" t="e">
        <f>VLOOKUP($A379, 'Matriz POA 2024-TRABAJO'!$A$5:$CY$9142,20,FALSE)</f>
        <v>#N/A</v>
      </c>
      <c r="J379" s="93" t="e">
        <f>VLOOKUP($A379, 'Matriz POA 2024-TRABAJO'!$A$5:$CY$9142,26,FALSE)</f>
        <v>#N/A</v>
      </c>
      <c r="K379" s="93" t="e">
        <f>VLOOKUP($A379, 'Matriz POA 2024-TRABAJO'!$A$5:$CY$9142,27,FALSE)</f>
        <v>#N/A</v>
      </c>
      <c r="L379" s="93" t="e">
        <f>VLOOKUP($A379, 'Matriz POA 2024-TRABAJO'!$A$5:$CY$9142,28,FALSE)</f>
        <v>#N/A</v>
      </c>
      <c r="M379" s="93" t="e">
        <f>VLOOKUP($A379, 'Matriz POA 2024-TRABAJO'!$A$5:$CY$9142,30,FALSE)</f>
        <v>#N/A</v>
      </c>
      <c r="N379" s="93" t="e">
        <f>VLOOKUP($A379, 'Matriz POA 2024-TRABAJO'!$A$5:$CY$9142,31,FALSE)</f>
        <v>#N/A</v>
      </c>
      <c r="O379" s="93" t="e">
        <f>VLOOKUP($A379, 'Matriz POA 2024-TRABAJO'!$A$5:$CY$9142,45,FALSE)</f>
        <v>#N/A</v>
      </c>
      <c r="P379" s="93" t="e">
        <f>VLOOKUP($A379, 'Matriz POA 2024-TRABAJO'!$A$5:$CY$9142,46,FALSE)</f>
        <v>#N/A</v>
      </c>
      <c r="Q379" s="93" t="e">
        <f>VLOOKUP($A379, 'Matriz POA 2024-TRABAJO'!$A$5:$CY$9142,47,FALSE)</f>
        <v>#N/A</v>
      </c>
      <c r="R379" s="94">
        <f t="shared" si="223"/>
        <v>0</v>
      </c>
      <c r="S379" s="95" t="e">
        <f t="shared" si="224"/>
        <v>#N/A</v>
      </c>
      <c r="T379" s="93" t="e">
        <f>VLOOKUP($A379, 'Matriz POA 2024-TRABAJO'!$A$5:$CY$9142,72,FALSE)</f>
        <v>#N/A</v>
      </c>
      <c r="U379" s="93" t="e">
        <f>VLOOKUP($A379, 'Matriz POA 2024-TRABAJO'!$A$5:$CY$9142,29,FALSE)</f>
        <v>#N/A</v>
      </c>
      <c r="V379" s="93" t="str">
        <f t="shared" si="225"/>
        <v/>
      </c>
      <c r="W379" s="93"/>
      <c r="X379" s="93"/>
      <c r="Y379" s="93"/>
      <c r="Z379" s="93"/>
      <c r="AA379" s="93"/>
      <c r="AB379" s="93"/>
      <c r="AC379" s="93">
        <f t="shared" si="226"/>
        <v>0</v>
      </c>
      <c r="AD379" s="93"/>
      <c r="AE379" s="93"/>
      <c r="AF379" s="93"/>
      <c r="AG379" s="93"/>
      <c r="AH379" s="93"/>
      <c r="AI379" s="93"/>
      <c r="AJ379" s="93"/>
      <c r="AK379" s="93">
        <f t="shared" si="227"/>
        <v>0</v>
      </c>
      <c r="AL379" s="93"/>
      <c r="AM379" s="93"/>
      <c r="AN379" s="93"/>
      <c r="AO379" s="93"/>
      <c r="AP379" s="93"/>
      <c r="AQ379" s="93"/>
      <c r="AR379" s="93"/>
      <c r="AS379" s="93">
        <f t="shared" si="228"/>
        <v>0</v>
      </c>
      <c r="AT379" s="93"/>
      <c r="AU379" s="93"/>
      <c r="AV379" s="93"/>
      <c r="AW379" s="93"/>
      <c r="AX379" s="93"/>
      <c r="AY379" s="93"/>
      <c r="AZ379" s="93"/>
      <c r="BA379" s="93"/>
      <c r="BB379" s="93"/>
      <c r="BC379" s="93"/>
      <c r="BD379" s="93"/>
      <c r="BE379" s="93"/>
      <c r="BF379" s="93"/>
      <c r="BG379" s="93"/>
      <c r="BH379" s="93"/>
      <c r="BI379" s="93"/>
      <c r="BJ379" s="93"/>
      <c r="BK379" s="93"/>
      <c r="BL379" s="93"/>
      <c r="BM379" s="93"/>
      <c r="BN379" s="93"/>
      <c r="BO379" s="93"/>
      <c r="BP379" s="93"/>
      <c r="BQ379" s="93"/>
      <c r="BR379" s="93"/>
      <c r="BS379" s="93"/>
      <c r="BT379" s="93"/>
      <c r="BU379" s="93"/>
      <c r="BV379" s="93"/>
      <c r="BW379" s="93"/>
      <c r="BX379" s="93"/>
      <c r="BY379" s="93"/>
      <c r="BZ379" s="93"/>
      <c r="CA379" s="93"/>
      <c r="CB379" s="93"/>
      <c r="CC379" s="93"/>
      <c r="CD379" s="93"/>
      <c r="CE379" s="93"/>
      <c r="CF379" s="93"/>
      <c r="CG379" s="93"/>
      <c r="CH379" s="93"/>
      <c r="CI379" s="93"/>
      <c r="CJ379" s="93"/>
      <c r="CK379" s="93"/>
      <c r="CL379" s="93"/>
      <c r="CM379" s="93"/>
      <c r="CN379" s="93"/>
      <c r="CO379" s="93"/>
      <c r="CP379" s="93"/>
      <c r="CQ379" s="93"/>
      <c r="CR379" s="93"/>
      <c r="CS379" s="93"/>
      <c r="CT379" s="93"/>
      <c r="CU379" s="93"/>
      <c r="CV379" s="93"/>
      <c r="CW379" s="93"/>
      <c r="CX379" s="93"/>
    </row>
    <row r="380" spans="1:102" ht="13.5" hidden="1" customHeight="1">
      <c r="A380" s="93"/>
      <c r="B380" s="93" t="e">
        <f>VLOOKUP($A380,  'Matriz POA 2024-TRABAJO'!$A$5:$CY$9142,29,FALSE)</f>
        <v>#N/A</v>
      </c>
      <c r="C380" s="93" t="e">
        <f>VLOOKUP($A380, 'Matriz POA 2024-TRABAJO'!$A$5:$CY$9142,11,FALSE)</f>
        <v>#N/A</v>
      </c>
      <c r="D380" s="93" t="e">
        <f>VLOOKUP($A380, 'Matriz POA 2024-TRABAJO'!$A$5:$CY$9142,14,FALSE)</f>
        <v>#N/A</v>
      </c>
      <c r="E380" s="93" t="e">
        <f>VLOOKUP($A380, 'Matriz POA 2024-TRABAJO'!$A$5:$CY$9142,15,FALSE)</f>
        <v>#N/A</v>
      </c>
      <c r="F380" s="93" t="e">
        <f>VLOOKUP($A380, 'Matriz POA 2024-TRABAJO'!$A$5:$CY$9142,18,FALSE)</f>
        <v>#N/A</v>
      </c>
      <c r="G380" s="93" t="e">
        <f>VLOOKUP($A380, 'Matriz POA 2024-TRABAJO'!$A$5:$CY$9142,23,FALSE)</f>
        <v>#N/A</v>
      </c>
      <c r="H380" s="93" t="e">
        <f>VLOOKUP($A380, 'Matriz POA 2024-TRABAJO'!$A$5:$CY$9142,24,FALSE)</f>
        <v>#N/A</v>
      </c>
      <c r="I380" s="93" t="e">
        <f>VLOOKUP($A380, 'Matriz POA 2024-TRABAJO'!$A$5:$CY$9142,20,FALSE)</f>
        <v>#N/A</v>
      </c>
      <c r="J380" s="93" t="e">
        <f>VLOOKUP($A380, 'Matriz POA 2024-TRABAJO'!$A$5:$CY$9142,26,FALSE)</f>
        <v>#N/A</v>
      </c>
      <c r="K380" s="93" t="e">
        <f>VLOOKUP($A380, 'Matriz POA 2024-TRABAJO'!$A$5:$CY$9142,27,FALSE)</f>
        <v>#N/A</v>
      </c>
      <c r="L380" s="93" t="e">
        <f>VLOOKUP($A380, 'Matriz POA 2024-TRABAJO'!$A$5:$CY$9142,28,FALSE)</f>
        <v>#N/A</v>
      </c>
      <c r="M380" s="93" t="e">
        <f>VLOOKUP($A380, 'Matriz POA 2024-TRABAJO'!$A$5:$CY$9142,30,FALSE)</f>
        <v>#N/A</v>
      </c>
      <c r="N380" s="93" t="e">
        <f>VLOOKUP($A380, 'Matriz POA 2024-TRABAJO'!$A$5:$CY$9142,31,FALSE)</f>
        <v>#N/A</v>
      </c>
      <c r="O380" s="93" t="e">
        <f>VLOOKUP($A380, 'Matriz POA 2024-TRABAJO'!$A$5:$CY$9142,45,FALSE)</f>
        <v>#N/A</v>
      </c>
      <c r="P380" s="93" t="e">
        <f>VLOOKUP($A380, 'Matriz POA 2024-TRABAJO'!$A$5:$CY$9142,46,FALSE)</f>
        <v>#N/A</v>
      </c>
      <c r="Q380" s="93" t="e">
        <f>VLOOKUP($A380, 'Matriz POA 2024-TRABAJO'!$A$5:$CY$9142,47,FALSE)</f>
        <v>#N/A</v>
      </c>
      <c r="R380" s="94">
        <f t="shared" si="223"/>
        <v>0</v>
      </c>
      <c r="S380" s="95" t="e">
        <f t="shared" si="224"/>
        <v>#N/A</v>
      </c>
      <c r="T380" s="93" t="e">
        <f>VLOOKUP($A380, 'Matriz POA 2024-TRABAJO'!$A$5:$CY$9142,72,FALSE)</f>
        <v>#N/A</v>
      </c>
      <c r="U380" s="93" t="e">
        <f>VLOOKUP($A380, 'Matriz POA 2024-TRABAJO'!$A$5:$CY$9142,29,FALSE)</f>
        <v>#N/A</v>
      </c>
      <c r="V380" s="93" t="str">
        <f t="shared" si="225"/>
        <v/>
      </c>
      <c r="W380" s="93"/>
      <c r="X380" s="93"/>
      <c r="Y380" s="93"/>
      <c r="Z380" s="93"/>
      <c r="AA380" s="93"/>
      <c r="AB380" s="93"/>
      <c r="AC380" s="93">
        <f t="shared" si="226"/>
        <v>0</v>
      </c>
      <c r="AD380" s="93"/>
      <c r="AE380" s="93"/>
      <c r="AF380" s="93"/>
      <c r="AG380" s="93"/>
      <c r="AH380" s="93"/>
      <c r="AI380" s="93"/>
      <c r="AJ380" s="93"/>
      <c r="AK380" s="93">
        <f t="shared" si="227"/>
        <v>0</v>
      </c>
      <c r="AL380" s="93"/>
      <c r="AM380" s="93"/>
      <c r="AN380" s="93"/>
      <c r="AO380" s="93"/>
      <c r="AP380" s="93"/>
      <c r="AQ380" s="93"/>
      <c r="AR380" s="93"/>
      <c r="AS380" s="93">
        <f t="shared" si="228"/>
        <v>0</v>
      </c>
      <c r="AT380" s="93"/>
      <c r="AU380" s="93"/>
      <c r="AV380" s="93"/>
      <c r="AW380" s="93"/>
      <c r="AX380" s="93"/>
      <c r="AY380" s="93"/>
      <c r="AZ380" s="93"/>
      <c r="BA380" s="93"/>
      <c r="BB380" s="93"/>
      <c r="BC380" s="93"/>
      <c r="BD380" s="93"/>
      <c r="BE380" s="93"/>
      <c r="BF380" s="93"/>
      <c r="BG380" s="93"/>
      <c r="BH380" s="93"/>
      <c r="BI380" s="93"/>
      <c r="BJ380" s="93"/>
      <c r="BK380" s="93"/>
      <c r="BL380" s="93"/>
      <c r="BM380" s="93"/>
      <c r="BN380" s="93"/>
      <c r="BO380" s="93"/>
      <c r="BP380" s="93"/>
      <c r="BQ380" s="93"/>
      <c r="BR380" s="93"/>
      <c r="BS380" s="93"/>
      <c r="BT380" s="93"/>
      <c r="BU380" s="93"/>
      <c r="BV380" s="93"/>
      <c r="BW380" s="93"/>
      <c r="BX380" s="93"/>
      <c r="BY380" s="93"/>
      <c r="BZ380" s="93"/>
      <c r="CA380" s="93"/>
      <c r="CB380" s="93"/>
      <c r="CC380" s="93"/>
      <c r="CD380" s="93"/>
      <c r="CE380" s="93"/>
      <c r="CF380" s="93"/>
      <c r="CG380" s="93"/>
      <c r="CH380" s="93"/>
      <c r="CI380" s="93"/>
      <c r="CJ380" s="93"/>
      <c r="CK380" s="93"/>
      <c r="CL380" s="93"/>
      <c r="CM380" s="93"/>
      <c r="CN380" s="93"/>
      <c r="CO380" s="93"/>
      <c r="CP380" s="93"/>
      <c r="CQ380" s="93"/>
      <c r="CR380" s="93"/>
      <c r="CS380" s="93"/>
      <c r="CT380" s="93"/>
      <c r="CU380" s="93"/>
      <c r="CV380" s="93"/>
      <c r="CW380" s="93"/>
      <c r="CX380" s="93"/>
    </row>
    <row r="381" spans="1:102" ht="13.5" hidden="1" customHeight="1">
      <c r="A381" s="93"/>
      <c r="B381" s="93" t="e">
        <f>VLOOKUP($A381,  'Matriz POA 2024-TRABAJO'!$A$5:$CY$9142,29,FALSE)</f>
        <v>#N/A</v>
      </c>
      <c r="C381" s="93" t="e">
        <f>VLOOKUP($A381, 'Matriz POA 2024-TRABAJO'!$A$5:$CY$9142,11,FALSE)</f>
        <v>#N/A</v>
      </c>
      <c r="D381" s="93" t="e">
        <f>VLOOKUP($A381, 'Matriz POA 2024-TRABAJO'!$A$5:$CY$9142,14,FALSE)</f>
        <v>#N/A</v>
      </c>
      <c r="E381" s="93" t="e">
        <f>VLOOKUP($A381, 'Matriz POA 2024-TRABAJO'!$A$5:$CY$9142,15,FALSE)</f>
        <v>#N/A</v>
      </c>
      <c r="F381" s="93" t="e">
        <f>VLOOKUP($A381, 'Matriz POA 2024-TRABAJO'!$A$5:$CY$9142,18,FALSE)</f>
        <v>#N/A</v>
      </c>
      <c r="G381" s="93" t="e">
        <f>VLOOKUP($A381, 'Matriz POA 2024-TRABAJO'!$A$5:$CY$9142,23,FALSE)</f>
        <v>#N/A</v>
      </c>
      <c r="H381" s="93" t="e">
        <f>VLOOKUP($A381, 'Matriz POA 2024-TRABAJO'!$A$5:$CY$9142,24,FALSE)</f>
        <v>#N/A</v>
      </c>
      <c r="I381" s="93" t="e">
        <f>VLOOKUP($A381, 'Matriz POA 2024-TRABAJO'!$A$5:$CY$9142,20,FALSE)</f>
        <v>#N/A</v>
      </c>
      <c r="J381" s="93" t="e">
        <f>VLOOKUP($A381, 'Matriz POA 2024-TRABAJO'!$A$5:$CY$9142,26,FALSE)</f>
        <v>#N/A</v>
      </c>
      <c r="K381" s="93" t="e">
        <f>VLOOKUP($A381, 'Matriz POA 2024-TRABAJO'!$A$5:$CY$9142,27,FALSE)</f>
        <v>#N/A</v>
      </c>
      <c r="L381" s="93" t="e">
        <f>VLOOKUP($A381, 'Matriz POA 2024-TRABAJO'!$A$5:$CY$9142,28,FALSE)</f>
        <v>#N/A</v>
      </c>
      <c r="M381" s="93" t="e">
        <f>VLOOKUP($A381, 'Matriz POA 2024-TRABAJO'!$A$5:$CY$9142,30,FALSE)</f>
        <v>#N/A</v>
      </c>
      <c r="N381" s="93" t="e">
        <f>VLOOKUP($A381, 'Matriz POA 2024-TRABAJO'!$A$5:$CY$9142,31,FALSE)</f>
        <v>#N/A</v>
      </c>
      <c r="O381" s="93" t="e">
        <f>VLOOKUP($A381, 'Matriz POA 2024-TRABAJO'!$A$5:$CY$9142,45,FALSE)</f>
        <v>#N/A</v>
      </c>
      <c r="P381" s="93" t="e">
        <f>VLOOKUP($A381, 'Matriz POA 2024-TRABAJO'!$A$5:$CY$9142,46,FALSE)</f>
        <v>#N/A</v>
      </c>
      <c r="Q381" s="93" t="e">
        <f>VLOOKUP($A381, 'Matriz POA 2024-TRABAJO'!$A$5:$CY$9142,47,FALSE)</f>
        <v>#N/A</v>
      </c>
      <c r="R381" s="94">
        <f t="shared" si="223"/>
        <v>0</v>
      </c>
      <c r="S381" s="95" t="e">
        <f t="shared" si="224"/>
        <v>#N/A</v>
      </c>
      <c r="T381" s="93" t="e">
        <f>VLOOKUP($A381, 'Matriz POA 2024-TRABAJO'!$A$5:$CY$9142,72,FALSE)</f>
        <v>#N/A</v>
      </c>
      <c r="U381" s="93" t="e">
        <f>VLOOKUP($A381, 'Matriz POA 2024-TRABAJO'!$A$5:$CY$9142,29,FALSE)</f>
        <v>#N/A</v>
      </c>
      <c r="V381" s="93" t="str">
        <f t="shared" si="225"/>
        <v/>
      </c>
      <c r="W381" s="93"/>
      <c r="X381" s="93"/>
      <c r="Y381" s="93"/>
      <c r="Z381" s="93"/>
      <c r="AA381" s="93"/>
      <c r="AB381" s="93"/>
      <c r="AC381" s="93">
        <f t="shared" si="226"/>
        <v>0</v>
      </c>
      <c r="AD381" s="93"/>
      <c r="AE381" s="93"/>
      <c r="AF381" s="93"/>
      <c r="AG381" s="93"/>
      <c r="AH381" s="93"/>
      <c r="AI381" s="93"/>
      <c r="AJ381" s="93"/>
      <c r="AK381" s="93">
        <f t="shared" si="227"/>
        <v>0</v>
      </c>
      <c r="AL381" s="93"/>
      <c r="AM381" s="93"/>
      <c r="AN381" s="93"/>
      <c r="AO381" s="93"/>
      <c r="AP381" s="93"/>
      <c r="AQ381" s="93"/>
      <c r="AR381" s="93"/>
      <c r="AS381" s="93">
        <f t="shared" si="228"/>
        <v>0</v>
      </c>
      <c r="AT381" s="93"/>
      <c r="AU381" s="93"/>
      <c r="AV381" s="93"/>
      <c r="AW381" s="93"/>
      <c r="AX381" s="93"/>
      <c r="AY381" s="93"/>
      <c r="AZ381" s="93"/>
      <c r="BA381" s="93"/>
      <c r="BB381" s="93"/>
      <c r="BC381" s="93"/>
      <c r="BD381" s="93"/>
      <c r="BE381" s="93"/>
      <c r="BF381" s="93"/>
      <c r="BG381" s="93"/>
      <c r="BH381" s="93"/>
      <c r="BI381" s="93"/>
      <c r="BJ381" s="93"/>
      <c r="BK381" s="93"/>
      <c r="BL381" s="93"/>
      <c r="BM381" s="93"/>
      <c r="BN381" s="93"/>
      <c r="BO381" s="93"/>
      <c r="BP381" s="93"/>
      <c r="BQ381" s="93"/>
      <c r="BR381" s="93"/>
      <c r="BS381" s="93"/>
      <c r="BT381" s="93"/>
      <c r="BU381" s="93"/>
      <c r="BV381" s="93"/>
      <c r="BW381" s="93"/>
      <c r="BX381" s="93"/>
      <c r="BY381" s="93"/>
      <c r="BZ381" s="93"/>
      <c r="CA381" s="93"/>
      <c r="CB381" s="93"/>
      <c r="CC381" s="93"/>
      <c r="CD381" s="93"/>
      <c r="CE381" s="93"/>
      <c r="CF381" s="93"/>
      <c r="CG381" s="93"/>
      <c r="CH381" s="93"/>
      <c r="CI381" s="93"/>
      <c r="CJ381" s="93"/>
      <c r="CK381" s="93"/>
      <c r="CL381" s="93"/>
      <c r="CM381" s="93"/>
      <c r="CN381" s="93"/>
      <c r="CO381" s="93"/>
      <c r="CP381" s="93"/>
      <c r="CQ381" s="93"/>
      <c r="CR381" s="93"/>
      <c r="CS381" s="93"/>
      <c r="CT381" s="93"/>
      <c r="CU381" s="93"/>
      <c r="CV381" s="93"/>
      <c r="CW381" s="93"/>
      <c r="CX381" s="93"/>
    </row>
    <row r="382" spans="1:102" ht="15" hidden="1" customHeight="1">
      <c r="A382" s="93"/>
      <c r="B382" s="93" t="e">
        <f>VLOOKUP($A382,  'Matriz POA 2024-TRABAJO'!$A$5:$CY$9142,29,FALSE)</f>
        <v>#N/A</v>
      </c>
      <c r="C382" s="93" t="e">
        <f>VLOOKUP($A382, 'Matriz POA 2024-TRABAJO'!$A$5:$CY$9142,11,FALSE)</f>
        <v>#N/A</v>
      </c>
      <c r="D382" s="93" t="e">
        <f>VLOOKUP($A382, 'Matriz POA 2024-TRABAJO'!$A$5:$CY$9142,14,FALSE)</f>
        <v>#N/A</v>
      </c>
      <c r="E382" s="93" t="e">
        <f>VLOOKUP($A382, 'Matriz POA 2024-TRABAJO'!$A$5:$CY$9142,15,FALSE)</f>
        <v>#N/A</v>
      </c>
      <c r="F382" s="93" t="e">
        <f>VLOOKUP($A382, 'Matriz POA 2024-TRABAJO'!$A$5:$CY$9142,18,FALSE)</f>
        <v>#N/A</v>
      </c>
      <c r="G382" s="93" t="e">
        <f>VLOOKUP($A382, 'Matriz POA 2024-TRABAJO'!$A$5:$CY$9142,23,FALSE)</f>
        <v>#N/A</v>
      </c>
      <c r="H382" s="93" t="e">
        <f>VLOOKUP($A382, 'Matriz POA 2024-TRABAJO'!$A$5:$CY$9142,24,FALSE)</f>
        <v>#N/A</v>
      </c>
      <c r="I382" s="93" t="e">
        <f>VLOOKUP($A382, 'Matriz POA 2024-TRABAJO'!$A$5:$CY$9142,20,FALSE)</f>
        <v>#N/A</v>
      </c>
      <c r="J382" s="93" t="e">
        <f>VLOOKUP($A382, 'Matriz POA 2024-TRABAJO'!$A$5:$CY$9142,26,FALSE)</f>
        <v>#N/A</v>
      </c>
      <c r="K382" s="93" t="e">
        <f>VLOOKUP($A382, 'Matriz POA 2024-TRABAJO'!$A$5:$CY$9142,27,FALSE)</f>
        <v>#N/A</v>
      </c>
      <c r="L382" s="93" t="e">
        <f>VLOOKUP($A382, 'Matriz POA 2024-TRABAJO'!$A$5:$CY$9142,28,FALSE)</f>
        <v>#N/A</v>
      </c>
      <c r="M382" s="93" t="e">
        <f>VLOOKUP($A382, 'Matriz POA 2024-TRABAJO'!$A$5:$CY$9142,30,FALSE)</f>
        <v>#N/A</v>
      </c>
      <c r="N382" s="93" t="e">
        <f>VLOOKUP($A382, 'Matriz POA 2024-TRABAJO'!$A$5:$CY$9142,31,FALSE)</f>
        <v>#N/A</v>
      </c>
      <c r="O382" s="93" t="e">
        <f>VLOOKUP($A382, 'Matriz POA 2024-TRABAJO'!$A$5:$CY$9142,45,FALSE)</f>
        <v>#N/A</v>
      </c>
      <c r="P382" s="93" t="e">
        <f>VLOOKUP($A382, 'Matriz POA 2024-TRABAJO'!$A$5:$CY$9142,46,FALSE)</f>
        <v>#N/A</v>
      </c>
      <c r="Q382" s="93" t="e">
        <f>VLOOKUP($A382, 'Matriz POA 2024-TRABAJO'!$A$5:$CY$9142,47,FALSE)</f>
        <v>#N/A</v>
      </c>
      <c r="R382" s="94">
        <f t="shared" si="223"/>
        <v>0</v>
      </c>
      <c r="S382" s="95" t="e">
        <f t="shared" si="224"/>
        <v>#N/A</v>
      </c>
      <c r="T382" s="93" t="e">
        <f>VLOOKUP($A382, 'Matriz POA 2024-TRABAJO'!$A$5:$CY$9142,72,FALSE)</f>
        <v>#N/A</v>
      </c>
      <c r="U382" s="93" t="e">
        <f>VLOOKUP($A382, 'Matriz POA 2024-TRABAJO'!$A$5:$CY$9142,29,FALSE)</f>
        <v>#N/A</v>
      </c>
      <c r="V382" s="93" t="str">
        <f t="shared" si="225"/>
        <v/>
      </c>
      <c r="W382" s="93"/>
      <c r="X382" s="93"/>
      <c r="Y382" s="93"/>
      <c r="Z382" s="93"/>
      <c r="AA382" s="93"/>
      <c r="AB382" s="93"/>
      <c r="AC382" s="93">
        <f t="shared" si="226"/>
        <v>0</v>
      </c>
      <c r="AD382" s="93"/>
      <c r="AE382" s="93"/>
      <c r="AF382" s="93"/>
      <c r="AG382" s="93"/>
      <c r="AH382" s="93"/>
      <c r="AI382" s="93"/>
      <c r="AJ382" s="93"/>
      <c r="AK382" s="93">
        <f t="shared" si="227"/>
        <v>0</v>
      </c>
      <c r="AL382" s="93"/>
      <c r="AM382" s="93"/>
      <c r="AN382" s="93"/>
      <c r="AO382" s="93"/>
      <c r="AP382" s="93"/>
      <c r="AQ382" s="93"/>
      <c r="AR382" s="93"/>
      <c r="AS382" s="93">
        <f t="shared" si="228"/>
        <v>0</v>
      </c>
      <c r="AT382" s="93"/>
      <c r="AU382" s="93"/>
      <c r="AV382" s="93"/>
      <c r="AW382" s="93"/>
      <c r="AX382" s="93"/>
      <c r="AY382" s="93"/>
      <c r="AZ382" s="93"/>
      <c r="BA382" s="93"/>
      <c r="BB382" s="93"/>
      <c r="BC382" s="93"/>
      <c r="BD382" s="93"/>
      <c r="BE382" s="93"/>
      <c r="BF382" s="93"/>
      <c r="BG382" s="93"/>
      <c r="BH382" s="93"/>
      <c r="BI382" s="93"/>
      <c r="BJ382" s="93"/>
      <c r="BK382" s="93"/>
      <c r="BL382" s="93"/>
      <c r="BM382" s="93"/>
      <c r="BN382" s="93"/>
      <c r="BO382" s="93"/>
      <c r="BP382" s="93"/>
      <c r="BQ382" s="93"/>
      <c r="BR382" s="93"/>
      <c r="BS382" s="93"/>
      <c r="BT382" s="93"/>
      <c r="BU382" s="93"/>
      <c r="BV382" s="93"/>
      <c r="BW382" s="93"/>
      <c r="BX382" s="93"/>
      <c r="BY382" s="93"/>
      <c r="BZ382" s="93"/>
      <c r="CA382" s="93"/>
      <c r="CB382" s="93"/>
      <c r="CC382" s="93"/>
      <c r="CD382" s="93"/>
      <c r="CE382" s="93"/>
      <c r="CF382" s="93"/>
      <c r="CG382" s="93"/>
      <c r="CH382" s="93"/>
      <c r="CI382" s="93"/>
      <c r="CJ382" s="93"/>
      <c r="CK382" s="93"/>
      <c r="CL382" s="93"/>
      <c r="CM382" s="93"/>
      <c r="CN382" s="93"/>
      <c r="CO382" s="93"/>
      <c r="CP382" s="93"/>
      <c r="CQ382" s="93"/>
      <c r="CR382" s="93"/>
      <c r="CS382" s="93"/>
      <c r="CT382" s="93"/>
      <c r="CU382" s="93"/>
      <c r="CV382" s="93"/>
      <c r="CW382" s="93"/>
      <c r="CX382" s="93"/>
    </row>
    <row r="383" spans="1:102" ht="15.75" hidden="1" customHeight="1">
      <c r="A383" s="93"/>
      <c r="B383" s="93" t="e">
        <f>VLOOKUP($A383,  'Matriz POA 2024-TRABAJO'!$A$5:$CY$9142,29,FALSE)</f>
        <v>#N/A</v>
      </c>
      <c r="C383" s="93" t="e">
        <f>VLOOKUP($A383, 'Matriz POA 2024-TRABAJO'!$A$5:$CY$9142,11,FALSE)</f>
        <v>#N/A</v>
      </c>
      <c r="D383" s="93" t="e">
        <f>VLOOKUP($A383, 'Matriz POA 2024-TRABAJO'!$A$5:$CY$9142,14,FALSE)</f>
        <v>#N/A</v>
      </c>
      <c r="E383" s="93" t="e">
        <f>VLOOKUP($A383, 'Matriz POA 2024-TRABAJO'!$A$5:$CY$9142,15,FALSE)</f>
        <v>#N/A</v>
      </c>
      <c r="F383" s="93" t="e">
        <f>VLOOKUP($A383, 'Matriz POA 2024-TRABAJO'!$A$5:$CY$9142,18,FALSE)</f>
        <v>#N/A</v>
      </c>
      <c r="G383" s="93" t="e">
        <f>VLOOKUP($A383, 'Matriz POA 2024-TRABAJO'!$A$5:$CY$9142,23,FALSE)</f>
        <v>#N/A</v>
      </c>
      <c r="H383" s="93" t="e">
        <f>VLOOKUP($A383, 'Matriz POA 2024-TRABAJO'!$A$5:$CY$9142,24,FALSE)</f>
        <v>#N/A</v>
      </c>
      <c r="I383" s="93" t="e">
        <f>VLOOKUP($A383, 'Matriz POA 2024-TRABAJO'!$A$5:$CY$9142,20,FALSE)</f>
        <v>#N/A</v>
      </c>
      <c r="J383" s="93" t="e">
        <f>VLOOKUP($A383, 'Matriz POA 2024-TRABAJO'!$A$5:$CY$9142,26,FALSE)</f>
        <v>#N/A</v>
      </c>
      <c r="K383" s="93" t="e">
        <f>VLOOKUP($A383, 'Matriz POA 2024-TRABAJO'!$A$5:$CY$9142,27,FALSE)</f>
        <v>#N/A</v>
      </c>
      <c r="L383" s="93" t="e">
        <f>VLOOKUP($A383, 'Matriz POA 2024-TRABAJO'!$A$5:$CY$9142,28,FALSE)</f>
        <v>#N/A</v>
      </c>
      <c r="M383" s="93" t="e">
        <f>VLOOKUP($A383, 'Matriz POA 2024-TRABAJO'!$A$5:$CY$9142,30,FALSE)</f>
        <v>#N/A</v>
      </c>
      <c r="N383" s="93" t="e">
        <f>VLOOKUP($A383, 'Matriz POA 2024-TRABAJO'!$A$5:$CY$9142,31,FALSE)</f>
        <v>#N/A</v>
      </c>
      <c r="O383" s="93" t="e">
        <f>VLOOKUP($A383, 'Matriz POA 2024-TRABAJO'!$A$5:$CY$9142,45,FALSE)</f>
        <v>#N/A</v>
      </c>
      <c r="P383" s="93" t="e">
        <f>VLOOKUP($A383, 'Matriz POA 2024-TRABAJO'!$A$5:$CY$9142,46,FALSE)</f>
        <v>#N/A</v>
      </c>
      <c r="Q383" s="93" t="e">
        <f>VLOOKUP($A383, 'Matriz POA 2024-TRABAJO'!$A$5:$CY$9142,47,FALSE)</f>
        <v>#N/A</v>
      </c>
      <c r="R383" s="94">
        <f t="shared" si="223"/>
        <v>0</v>
      </c>
      <c r="S383" s="95" t="e">
        <f t="shared" si="224"/>
        <v>#N/A</v>
      </c>
      <c r="T383" s="93" t="e">
        <f>VLOOKUP($A383, 'Matriz POA 2024-TRABAJO'!$A$5:$CY$9142,72,FALSE)</f>
        <v>#N/A</v>
      </c>
      <c r="U383" s="93" t="e">
        <f>VLOOKUP($A383, 'Matriz POA 2024-TRABAJO'!$A$5:$CY$9142,29,FALSE)</f>
        <v>#N/A</v>
      </c>
      <c r="V383" s="93" t="str">
        <f t="shared" si="225"/>
        <v/>
      </c>
      <c r="W383" s="93"/>
      <c r="X383" s="93"/>
      <c r="Y383" s="93"/>
      <c r="Z383" s="93"/>
      <c r="AA383" s="93"/>
      <c r="AB383" s="93"/>
      <c r="AC383" s="93">
        <f t="shared" si="226"/>
        <v>0</v>
      </c>
      <c r="AD383" s="93"/>
      <c r="AE383" s="93"/>
      <c r="AF383" s="93"/>
      <c r="AG383" s="93"/>
      <c r="AH383" s="93"/>
      <c r="AI383" s="93"/>
      <c r="AJ383" s="93"/>
      <c r="AK383" s="93">
        <f t="shared" si="227"/>
        <v>0</v>
      </c>
      <c r="AL383" s="93"/>
      <c r="AM383" s="93"/>
      <c r="AN383" s="93"/>
      <c r="AO383" s="93"/>
      <c r="AP383" s="93"/>
      <c r="AQ383" s="93"/>
      <c r="AR383" s="93"/>
      <c r="AS383" s="93">
        <f t="shared" si="228"/>
        <v>0</v>
      </c>
      <c r="AT383" s="93"/>
      <c r="AU383" s="93"/>
      <c r="AV383" s="93"/>
      <c r="AW383" s="93"/>
      <c r="AX383" s="93"/>
      <c r="AY383" s="93"/>
      <c r="AZ383" s="93"/>
      <c r="BA383" s="93"/>
      <c r="BB383" s="93"/>
      <c r="BC383" s="93"/>
      <c r="BD383" s="93"/>
      <c r="BE383" s="93"/>
      <c r="BF383" s="93"/>
      <c r="BG383" s="93"/>
      <c r="BH383" s="93"/>
      <c r="BI383" s="93"/>
      <c r="BJ383" s="93"/>
      <c r="BK383" s="93"/>
      <c r="BL383" s="93"/>
      <c r="BM383" s="93"/>
      <c r="BN383" s="93"/>
      <c r="BO383" s="93"/>
      <c r="BP383" s="93"/>
      <c r="BQ383" s="93"/>
      <c r="BR383" s="93"/>
      <c r="BS383" s="93"/>
      <c r="BT383" s="93"/>
      <c r="BU383" s="93"/>
      <c r="BV383" s="93"/>
      <c r="BW383" s="93"/>
      <c r="BX383" s="93"/>
      <c r="BY383" s="93"/>
      <c r="BZ383" s="93"/>
      <c r="CA383" s="93"/>
      <c r="CB383" s="93"/>
      <c r="CC383" s="93"/>
      <c r="CD383" s="93"/>
      <c r="CE383" s="93"/>
      <c r="CF383" s="93"/>
      <c r="CG383" s="93"/>
      <c r="CH383" s="93"/>
      <c r="CI383" s="93"/>
      <c r="CJ383" s="93"/>
      <c r="CK383" s="93"/>
      <c r="CL383" s="93"/>
      <c r="CM383" s="93"/>
      <c r="CN383" s="93"/>
      <c r="CO383" s="93"/>
      <c r="CP383" s="93"/>
      <c r="CQ383" s="93"/>
      <c r="CR383" s="93"/>
      <c r="CS383" s="93"/>
      <c r="CT383" s="93"/>
      <c r="CU383" s="93"/>
      <c r="CV383" s="93"/>
      <c r="CW383" s="93"/>
      <c r="CX383" s="93"/>
    </row>
    <row r="384" spans="1:102" ht="15" hidden="1" customHeight="1">
      <c r="A384" s="93"/>
      <c r="B384" s="93" t="e">
        <f>VLOOKUP($A384,  'Matriz POA 2024-TRABAJO'!$A$5:$CY$9142,29,FALSE)</f>
        <v>#N/A</v>
      </c>
      <c r="C384" s="93" t="e">
        <f>VLOOKUP($A384, 'Matriz POA 2024-TRABAJO'!$A$5:$CY$9142,11,FALSE)</f>
        <v>#N/A</v>
      </c>
      <c r="D384" s="93" t="e">
        <f>VLOOKUP($A384, 'Matriz POA 2024-TRABAJO'!$A$5:$CY$9142,14,FALSE)</f>
        <v>#N/A</v>
      </c>
      <c r="E384" s="93" t="e">
        <f>VLOOKUP($A384, 'Matriz POA 2024-TRABAJO'!$A$5:$CY$9142,15,FALSE)</f>
        <v>#N/A</v>
      </c>
      <c r="F384" s="93" t="e">
        <f>VLOOKUP($A384, 'Matriz POA 2024-TRABAJO'!$A$5:$CY$9142,18,FALSE)</f>
        <v>#N/A</v>
      </c>
      <c r="G384" s="93" t="e">
        <f>VLOOKUP($A384, 'Matriz POA 2024-TRABAJO'!$A$5:$CY$9142,23,FALSE)</f>
        <v>#N/A</v>
      </c>
      <c r="H384" s="93" t="e">
        <f>VLOOKUP($A384, 'Matriz POA 2024-TRABAJO'!$A$5:$CY$9142,24,FALSE)</f>
        <v>#N/A</v>
      </c>
      <c r="I384" s="93" t="e">
        <f>VLOOKUP($A384, 'Matriz POA 2024-TRABAJO'!$A$5:$CY$9142,20,FALSE)</f>
        <v>#N/A</v>
      </c>
      <c r="J384" s="93" t="e">
        <f>VLOOKUP($A384, 'Matriz POA 2024-TRABAJO'!$A$5:$CY$9142,26,FALSE)</f>
        <v>#N/A</v>
      </c>
      <c r="K384" s="93" t="e">
        <f>VLOOKUP($A384, 'Matriz POA 2024-TRABAJO'!$A$5:$CY$9142,27,FALSE)</f>
        <v>#N/A</v>
      </c>
      <c r="L384" s="93" t="e">
        <f>VLOOKUP($A384, 'Matriz POA 2024-TRABAJO'!$A$5:$CY$9142,28,FALSE)</f>
        <v>#N/A</v>
      </c>
      <c r="M384" s="93" t="e">
        <f>VLOOKUP($A384, 'Matriz POA 2024-TRABAJO'!$A$5:$CY$9142,30,FALSE)</f>
        <v>#N/A</v>
      </c>
      <c r="N384" s="93" t="e">
        <f>VLOOKUP($A384, 'Matriz POA 2024-TRABAJO'!$A$5:$CY$9142,31,FALSE)</f>
        <v>#N/A</v>
      </c>
      <c r="O384" s="93" t="e">
        <f>VLOOKUP($A384, 'Matriz POA 2024-TRABAJO'!$A$5:$CY$9142,45,FALSE)</f>
        <v>#N/A</v>
      </c>
      <c r="P384" s="93" t="e">
        <f>VLOOKUP($A384, 'Matriz POA 2024-TRABAJO'!$A$5:$CY$9142,46,FALSE)</f>
        <v>#N/A</v>
      </c>
      <c r="Q384" s="93" t="e">
        <f>VLOOKUP($A384, 'Matriz POA 2024-TRABAJO'!$A$5:$CY$9142,47,FALSE)</f>
        <v>#N/A</v>
      </c>
      <c r="R384" s="94">
        <f t="shared" si="223"/>
        <v>0</v>
      </c>
      <c r="S384" s="95" t="e">
        <f t="shared" si="224"/>
        <v>#N/A</v>
      </c>
      <c r="T384" s="93" t="e">
        <f>VLOOKUP($A384, 'Matriz POA 2024-TRABAJO'!$A$5:$CY$9142,72,FALSE)</f>
        <v>#N/A</v>
      </c>
      <c r="U384" s="93" t="e">
        <f>VLOOKUP($A384, 'Matriz POA 2024-TRABAJO'!$A$5:$CY$9142,29,FALSE)</f>
        <v>#N/A</v>
      </c>
      <c r="V384" s="93" t="str">
        <f t="shared" si="225"/>
        <v/>
      </c>
      <c r="W384" s="93"/>
      <c r="X384" s="93"/>
      <c r="Y384" s="93"/>
      <c r="Z384" s="93"/>
      <c r="AA384" s="93"/>
      <c r="AB384" s="93"/>
      <c r="AC384" s="93">
        <f t="shared" si="226"/>
        <v>0</v>
      </c>
      <c r="AD384" s="93"/>
      <c r="AE384" s="93"/>
      <c r="AF384" s="93"/>
      <c r="AG384" s="93"/>
      <c r="AH384" s="93"/>
      <c r="AI384" s="93"/>
      <c r="AJ384" s="93"/>
      <c r="AK384" s="93">
        <f t="shared" si="227"/>
        <v>0</v>
      </c>
      <c r="AL384" s="93"/>
      <c r="AM384" s="93"/>
      <c r="AN384" s="93"/>
      <c r="AO384" s="93"/>
      <c r="AP384" s="93"/>
      <c r="AQ384" s="93"/>
      <c r="AR384" s="93"/>
      <c r="AS384" s="93">
        <f t="shared" si="228"/>
        <v>0</v>
      </c>
      <c r="AT384" s="93"/>
      <c r="AU384" s="93"/>
      <c r="AV384" s="93"/>
      <c r="AW384" s="93"/>
      <c r="AX384" s="93"/>
      <c r="AY384" s="93"/>
      <c r="AZ384" s="93"/>
      <c r="BA384" s="93"/>
      <c r="BB384" s="93"/>
      <c r="BC384" s="93"/>
      <c r="BD384" s="93"/>
      <c r="BE384" s="93"/>
      <c r="BF384" s="93"/>
      <c r="BG384" s="93"/>
      <c r="BH384" s="93"/>
      <c r="BI384" s="93"/>
      <c r="BJ384" s="93"/>
      <c r="BK384" s="93"/>
      <c r="BL384" s="93"/>
      <c r="BM384" s="93"/>
      <c r="BN384" s="93"/>
      <c r="BO384" s="93"/>
      <c r="BP384" s="93"/>
      <c r="BQ384" s="93"/>
      <c r="BR384" s="93"/>
      <c r="BS384" s="93"/>
      <c r="BT384" s="93"/>
      <c r="BU384" s="93"/>
      <c r="BV384" s="93"/>
      <c r="BW384" s="93"/>
      <c r="BX384" s="93"/>
      <c r="BY384" s="93"/>
      <c r="BZ384" s="93"/>
      <c r="CA384" s="93"/>
      <c r="CB384" s="93"/>
      <c r="CC384" s="93"/>
      <c r="CD384" s="93"/>
      <c r="CE384" s="93"/>
      <c r="CF384" s="93"/>
      <c r="CG384" s="93"/>
      <c r="CH384" s="93"/>
      <c r="CI384" s="93"/>
      <c r="CJ384" s="93"/>
      <c r="CK384" s="93"/>
      <c r="CL384" s="93"/>
      <c r="CM384" s="93"/>
      <c r="CN384" s="93"/>
      <c r="CO384" s="93"/>
      <c r="CP384" s="93"/>
      <c r="CQ384" s="93"/>
      <c r="CR384" s="93"/>
      <c r="CS384" s="93"/>
      <c r="CT384" s="93"/>
      <c r="CU384" s="93"/>
      <c r="CV384" s="93"/>
      <c r="CW384" s="93"/>
      <c r="CX384" s="93"/>
    </row>
    <row r="385" spans="1:102" ht="15" hidden="1" customHeight="1">
      <c r="A385" s="93"/>
      <c r="B385" s="93" t="e">
        <f>VLOOKUP($A385,  'Matriz POA 2024-TRABAJO'!$A$5:$CY$9142,29,FALSE)</f>
        <v>#N/A</v>
      </c>
      <c r="C385" s="93" t="e">
        <f>VLOOKUP($A385, 'Matriz POA 2024-TRABAJO'!$A$5:$CY$9142,11,FALSE)</f>
        <v>#N/A</v>
      </c>
      <c r="D385" s="93" t="e">
        <f>VLOOKUP($A385, 'Matriz POA 2024-TRABAJO'!$A$5:$CY$9142,14,FALSE)</f>
        <v>#N/A</v>
      </c>
      <c r="E385" s="93" t="e">
        <f>VLOOKUP($A385, 'Matriz POA 2024-TRABAJO'!$A$5:$CY$9142,15,FALSE)</f>
        <v>#N/A</v>
      </c>
      <c r="F385" s="93" t="e">
        <f>VLOOKUP($A385, 'Matriz POA 2024-TRABAJO'!$A$5:$CY$9142,18,FALSE)</f>
        <v>#N/A</v>
      </c>
      <c r="G385" s="93" t="e">
        <f>VLOOKUP($A385, 'Matriz POA 2024-TRABAJO'!$A$5:$CY$9142,23,FALSE)</f>
        <v>#N/A</v>
      </c>
      <c r="H385" s="93" t="e">
        <f>VLOOKUP($A385, 'Matriz POA 2024-TRABAJO'!$A$5:$CY$9142,24,FALSE)</f>
        <v>#N/A</v>
      </c>
      <c r="I385" s="93" t="e">
        <f>VLOOKUP($A385, 'Matriz POA 2024-TRABAJO'!$A$5:$CY$9142,20,FALSE)</f>
        <v>#N/A</v>
      </c>
      <c r="J385" s="93" t="e">
        <f>VLOOKUP($A385, 'Matriz POA 2024-TRABAJO'!$A$5:$CY$9142,26,FALSE)</f>
        <v>#N/A</v>
      </c>
      <c r="K385" s="93" t="e">
        <f>VLOOKUP($A385, 'Matriz POA 2024-TRABAJO'!$A$5:$CY$9142,27,FALSE)</f>
        <v>#N/A</v>
      </c>
      <c r="L385" s="93" t="e">
        <f>VLOOKUP($A385, 'Matriz POA 2024-TRABAJO'!$A$5:$CY$9142,28,FALSE)</f>
        <v>#N/A</v>
      </c>
      <c r="M385" s="93" t="e">
        <f>VLOOKUP($A385, 'Matriz POA 2024-TRABAJO'!$A$5:$CY$9142,30,FALSE)</f>
        <v>#N/A</v>
      </c>
      <c r="N385" s="93" t="e">
        <f>VLOOKUP($A385, 'Matriz POA 2024-TRABAJO'!$A$5:$CY$9142,31,FALSE)</f>
        <v>#N/A</v>
      </c>
      <c r="O385" s="93" t="e">
        <f>VLOOKUP($A385, 'Matriz POA 2024-TRABAJO'!$A$5:$CY$9142,45,FALSE)</f>
        <v>#N/A</v>
      </c>
      <c r="P385" s="93" t="e">
        <f>VLOOKUP($A385, 'Matriz POA 2024-TRABAJO'!$A$5:$CY$9142,46,FALSE)</f>
        <v>#N/A</v>
      </c>
      <c r="Q385" s="93" t="e">
        <f>VLOOKUP($A385, 'Matriz POA 2024-TRABAJO'!$A$5:$CY$9142,47,FALSE)</f>
        <v>#N/A</v>
      </c>
      <c r="R385" s="94">
        <f t="shared" si="223"/>
        <v>0</v>
      </c>
      <c r="S385" s="95" t="e">
        <f t="shared" si="224"/>
        <v>#N/A</v>
      </c>
      <c r="T385" s="93" t="e">
        <f>VLOOKUP($A385, 'Matriz POA 2024-TRABAJO'!$A$5:$CY$9142,72,FALSE)</f>
        <v>#N/A</v>
      </c>
      <c r="U385" s="93" t="e">
        <f>VLOOKUP($A385, 'Matriz POA 2024-TRABAJO'!$A$5:$CY$9142,29,FALSE)</f>
        <v>#N/A</v>
      </c>
      <c r="V385" s="93" t="str">
        <f t="shared" si="225"/>
        <v/>
      </c>
      <c r="W385" s="93"/>
      <c r="X385" s="93"/>
      <c r="Y385" s="93"/>
      <c r="Z385" s="93"/>
      <c r="AA385" s="93"/>
      <c r="AB385" s="93"/>
      <c r="AC385" s="93">
        <f t="shared" si="226"/>
        <v>0</v>
      </c>
      <c r="AD385" s="93"/>
      <c r="AE385" s="93"/>
      <c r="AF385" s="93"/>
      <c r="AG385" s="93"/>
      <c r="AH385" s="93"/>
      <c r="AI385" s="93"/>
      <c r="AJ385" s="93"/>
      <c r="AK385" s="93">
        <f t="shared" si="227"/>
        <v>0</v>
      </c>
      <c r="AL385" s="93"/>
      <c r="AM385" s="93"/>
      <c r="AN385" s="93"/>
      <c r="AO385" s="93"/>
      <c r="AP385" s="93"/>
      <c r="AQ385" s="93"/>
      <c r="AR385" s="93"/>
      <c r="AS385" s="93">
        <f t="shared" si="228"/>
        <v>0</v>
      </c>
      <c r="AT385" s="93"/>
      <c r="AU385" s="93"/>
      <c r="AV385" s="93"/>
      <c r="AW385" s="93"/>
      <c r="AX385" s="93"/>
      <c r="AY385" s="93"/>
      <c r="AZ385" s="93"/>
      <c r="BA385" s="93"/>
      <c r="BB385" s="93"/>
      <c r="BC385" s="93"/>
      <c r="BD385" s="93"/>
      <c r="BE385" s="93"/>
      <c r="BF385" s="93"/>
      <c r="BG385" s="93"/>
      <c r="BH385" s="93"/>
      <c r="BI385" s="93"/>
      <c r="BJ385" s="93"/>
      <c r="BK385" s="93"/>
      <c r="BL385" s="93"/>
      <c r="BM385" s="93"/>
      <c r="BN385" s="93"/>
      <c r="BO385" s="93"/>
      <c r="BP385" s="93"/>
      <c r="BQ385" s="93"/>
      <c r="BR385" s="93"/>
      <c r="BS385" s="93"/>
      <c r="BT385" s="93"/>
      <c r="BU385" s="93"/>
      <c r="BV385" s="93"/>
      <c r="BW385" s="93"/>
      <c r="BX385" s="93"/>
      <c r="BY385" s="93"/>
      <c r="BZ385" s="93"/>
      <c r="CA385" s="93"/>
      <c r="CB385" s="93"/>
      <c r="CC385" s="93"/>
      <c r="CD385" s="93"/>
      <c r="CE385" s="93"/>
      <c r="CF385" s="93"/>
      <c r="CG385" s="93"/>
      <c r="CH385" s="93"/>
      <c r="CI385" s="93"/>
      <c r="CJ385" s="93"/>
      <c r="CK385" s="93"/>
      <c r="CL385" s="93"/>
      <c r="CM385" s="93"/>
      <c r="CN385" s="93"/>
      <c r="CO385" s="93"/>
      <c r="CP385" s="93"/>
      <c r="CQ385" s="93"/>
      <c r="CR385" s="93"/>
      <c r="CS385" s="93"/>
      <c r="CT385" s="93"/>
      <c r="CU385" s="93"/>
      <c r="CV385" s="93"/>
      <c r="CW385" s="93"/>
      <c r="CX385" s="93"/>
    </row>
    <row r="386" spans="1:102" ht="15" hidden="1" customHeight="1">
      <c r="A386" s="93"/>
      <c r="B386" s="93" t="e">
        <f>VLOOKUP($A386,  'Matriz POA 2024-TRABAJO'!$A$5:$CY$9142,29,FALSE)</f>
        <v>#N/A</v>
      </c>
      <c r="C386" s="93" t="e">
        <f>VLOOKUP($A386, 'Matriz POA 2024-TRABAJO'!$A$5:$CY$9142,11,FALSE)</f>
        <v>#N/A</v>
      </c>
      <c r="D386" s="93" t="e">
        <f>VLOOKUP($A386, 'Matriz POA 2024-TRABAJO'!$A$5:$CY$9142,14,FALSE)</f>
        <v>#N/A</v>
      </c>
      <c r="E386" s="93" t="e">
        <f>VLOOKUP($A386, 'Matriz POA 2024-TRABAJO'!$A$5:$CY$9142,15,FALSE)</f>
        <v>#N/A</v>
      </c>
      <c r="F386" s="93" t="e">
        <f>VLOOKUP($A386, 'Matriz POA 2024-TRABAJO'!$A$5:$CY$9142,18,FALSE)</f>
        <v>#N/A</v>
      </c>
      <c r="G386" s="93" t="e">
        <f>VLOOKUP($A386, 'Matriz POA 2024-TRABAJO'!$A$5:$CY$9142,23,FALSE)</f>
        <v>#N/A</v>
      </c>
      <c r="H386" s="93" t="e">
        <f>VLOOKUP($A386, 'Matriz POA 2024-TRABAJO'!$A$5:$CY$9142,24,FALSE)</f>
        <v>#N/A</v>
      </c>
      <c r="I386" s="93" t="e">
        <f>VLOOKUP($A386, 'Matriz POA 2024-TRABAJO'!$A$5:$CY$9142,20,FALSE)</f>
        <v>#N/A</v>
      </c>
      <c r="J386" s="93" t="e">
        <f>VLOOKUP($A386, 'Matriz POA 2024-TRABAJO'!$A$5:$CY$9142,26,FALSE)</f>
        <v>#N/A</v>
      </c>
      <c r="K386" s="93" t="e">
        <f>VLOOKUP($A386, 'Matriz POA 2024-TRABAJO'!$A$5:$CY$9142,27,FALSE)</f>
        <v>#N/A</v>
      </c>
      <c r="L386" s="93" t="e">
        <f>VLOOKUP($A386, 'Matriz POA 2024-TRABAJO'!$A$5:$CY$9142,28,FALSE)</f>
        <v>#N/A</v>
      </c>
      <c r="M386" s="93" t="e">
        <f>VLOOKUP($A386, 'Matriz POA 2024-TRABAJO'!$A$5:$CY$9142,30,FALSE)</f>
        <v>#N/A</v>
      </c>
      <c r="N386" s="93" t="e">
        <f>VLOOKUP($A386, 'Matriz POA 2024-TRABAJO'!$A$5:$CY$9142,31,FALSE)</f>
        <v>#N/A</v>
      </c>
      <c r="O386" s="93" t="e">
        <f>VLOOKUP($A386, 'Matriz POA 2024-TRABAJO'!$A$5:$CY$9142,45,FALSE)</f>
        <v>#N/A</v>
      </c>
      <c r="P386" s="93" t="e">
        <f>VLOOKUP($A386, 'Matriz POA 2024-TRABAJO'!$A$5:$CY$9142,46,FALSE)</f>
        <v>#N/A</v>
      </c>
      <c r="Q386" s="93" t="e">
        <f>VLOOKUP($A386, 'Matriz POA 2024-TRABAJO'!$A$5:$CY$9142,47,FALSE)</f>
        <v>#N/A</v>
      </c>
      <c r="R386" s="94">
        <f t="shared" si="223"/>
        <v>0</v>
      </c>
      <c r="S386" s="95" t="e">
        <f t="shared" si="224"/>
        <v>#N/A</v>
      </c>
      <c r="T386" s="93" t="e">
        <f>VLOOKUP($A386, 'Matriz POA 2024-TRABAJO'!$A$5:$CY$9142,72,FALSE)</f>
        <v>#N/A</v>
      </c>
      <c r="U386" s="93" t="e">
        <f>VLOOKUP($A386, 'Matriz POA 2024-TRABAJO'!$A$5:$CY$9142,29,FALSE)</f>
        <v>#N/A</v>
      </c>
      <c r="V386" s="93" t="str">
        <f t="shared" si="225"/>
        <v/>
      </c>
      <c r="W386" s="93"/>
      <c r="X386" s="93"/>
      <c r="Y386" s="93"/>
      <c r="Z386" s="93"/>
      <c r="AA386" s="93"/>
      <c r="AB386" s="93"/>
      <c r="AC386" s="93">
        <f t="shared" si="226"/>
        <v>0</v>
      </c>
      <c r="AD386" s="93"/>
      <c r="AE386" s="93"/>
      <c r="AF386" s="93"/>
      <c r="AG386" s="93"/>
      <c r="AH386" s="93"/>
      <c r="AI386" s="93"/>
      <c r="AJ386" s="93"/>
      <c r="AK386" s="93">
        <f t="shared" si="227"/>
        <v>0</v>
      </c>
      <c r="AL386" s="93"/>
      <c r="AM386" s="93"/>
      <c r="AN386" s="93"/>
      <c r="AO386" s="93"/>
      <c r="AP386" s="93"/>
      <c r="AQ386" s="93"/>
      <c r="AR386" s="93"/>
      <c r="AS386" s="93">
        <f t="shared" si="228"/>
        <v>0</v>
      </c>
      <c r="AT386" s="93"/>
      <c r="AU386" s="93"/>
      <c r="AV386" s="93"/>
      <c r="AW386" s="93"/>
      <c r="AX386" s="93"/>
      <c r="AY386" s="93"/>
      <c r="AZ386" s="93"/>
      <c r="BA386" s="93"/>
      <c r="BB386" s="93"/>
      <c r="BC386" s="93"/>
      <c r="BD386" s="93"/>
      <c r="BE386" s="93"/>
      <c r="BF386" s="93"/>
      <c r="BG386" s="93"/>
      <c r="BH386" s="93"/>
      <c r="BI386" s="93"/>
      <c r="BJ386" s="93"/>
      <c r="BK386" s="93"/>
      <c r="BL386" s="93"/>
      <c r="BM386" s="93"/>
      <c r="BN386" s="93"/>
      <c r="BO386" s="93"/>
      <c r="BP386" s="93"/>
      <c r="BQ386" s="93"/>
      <c r="BR386" s="93"/>
      <c r="BS386" s="93"/>
      <c r="BT386" s="93"/>
      <c r="BU386" s="93"/>
      <c r="BV386" s="93"/>
      <c r="BW386" s="93"/>
      <c r="BX386" s="93"/>
      <c r="BY386" s="93"/>
      <c r="BZ386" s="93"/>
      <c r="CA386" s="93"/>
      <c r="CB386" s="93"/>
      <c r="CC386" s="93"/>
      <c r="CD386" s="93"/>
      <c r="CE386" s="93"/>
      <c r="CF386" s="93"/>
      <c r="CG386" s="93"/>
      <c r="CH386" s="93"/>
      <c r="CI386" s="93"/>
      <c r="CJ386" s="93"/>
      <c r="CK386" s="93"/>
      <c r="CL386" s="93"/>
      <c r="CM386" s="93"/>
      <c r="CN386" s="93"/>
      <c r="CO386" s="93"/>
      <c r="CP386" s="93"/>
      <c r="CQ386" s="93"/>
      <c r="CR386" s="93"/>
      <c r="CS386" s="93"/>
      <c r="CT386" s="93"/>
      <c r="CU386" s="93"/>
      <c r="CV386" s="93"/>
      <c r="CW386" s="93"/>
      <c r="CX386" s="93"/>
    </row>
    <row r="387" spans="1:102" ht="15" hidden="1" customHeight="1">
      <c r="A387" s="93"/>
      <c r="B387" s="93" t="e">
        <f>VLOOKUP($A387,  'Matriz POA 2024-TRABAJO'!$A$5:$CY$9142,29,FALSE)</f>
        <v>#N/A</v>
      </c>
      <c r="C387" s="93" t="e">
        <f>VLOOKUP($A387, 'Matriz POA 2024-TRABAJO'!$A$5:$CY$9142,11,FALSE)</f>
        <v>#N/A</v>
      </c>
      <c r="D387" s="93" t="e">
        <f>VLOOKUP($A387, 'Matriz POA 2024-TRABAJO'!$A$5:$CY$9142,14,FALSE)</f>
        <v>#N/A</v>
      </c>
      <c r="E387" s="93" t="e">
        <f>VLOOKUP($A387, 'Matriz POA 2024-TRABAJO'!$A$5:$CY$9142,15,FALSE)</f>
        <v>#N/A</v>
      </c>
      <c r="F387" s="93" t="e">
        <f>VLOOKUP($A387, 'Matriz POA 2024-TRABAJO'!$A$5:$CY$9142,18,FALSE)</f>
        <v>#N/A</v>
      </c>
      <c r="G387" s="93" t="e">
        <f>VLOOKUP($A387, 'Matriz POA 2024-TRABAJO'!$A$5:$CY$9142,23,FALSE)</f>
        <v>#N/A</v>
      </c>
      <c r="H387" s="93" t="e">
        <f>VLOOKUP($A387, 'Matriz POA 2024-TRABAJO'!$A$5:$CY$9142,24,FALSE)</f>
        <v>#N/A</v>
      </c>
      <c r="I387" s="93" t="e">
        <f>VLOOKUP($A387, 'Matriz POA 2024-TRABAJO'!$A$5:$CY$9142,20,FALSE)</f>
        <v>#N/A</v>
      </c>
      <c r="J387" s="93" t="e">
        <f>VLOOKUP($A387, 'Matriz POA 2024-TRABAJO'!$A$5:$CY$9142,26,FALSE)</f>
        <v>#N/A</v>
      </c>
      <c r="K387" s="93" t="e">
        <f>VLOOKUP($A387, 'Matriz POA 2024-TRABAJO'!$A$5:$CY$9142,27,FALSE)</f>
        <v>#N/A</v>
      </c>
      <c r="L387" s="93" t="e">
        <f>VLOOKUP($A387, 'Matriz POA 2024-TRABAJO'!$A$5:$CY$9142,28,FALSE)</f>
        <v>#N/A</v>
      </c>
      <c r="M387" s="93" t="e">
        <f>VLOOKUP($A387, 'Matriz POA 2024-TRABAJO'!$A$5:$CY$9142,30,FALSE)</f>
        <v>#N/A</v>
      </c>
      <c r="N387" s="93" t="e">
        <f>VLOOKUP($A387, 'Matriz POA 2024-TRABAJO'!$A$5:$CY$9142,31,FALSE)</f>
        <v>#N/A</v>
      </c>
      <c r="O387" s="93" t="e">
        <f>VLOOKUP($A387, 'Matriz POA 2024-TRABAJO'!$A$5:$CY$9142,45,FALSE)</f>
        <v>#N/A</v>
      </c>
      <c r="P387" s="93" t="e">
        <f>VLOOKUP($A387, 'Matriz POA 2024-TRABAJO'!$A$5:$CY$9142,46,FALSE)</f>
        <v>#N/A</v>
      </c>
      <c r="Q387" s="93" t="e">
        <f>VLOOKUP($A387, 'Matriz POA 2024-TRABAJO'!$A$5:$CY$9142,47,FALSE)</f>
        <v>#N/A</v>
      </c>
      <c r="R387" s="94">
        <f t="shared" si="223"/>
        <v>0</v>
      </c>
      <c r="S387" s="95" t="e">
        <f t="shared" si="224"/>
        <v>#N/A</v>
      </c>
      <c r="T387" s="93" t="e">
        <f>VLOOKUP($A387, 'Matriz POA 2024-TRABAJO'!$A$5:$CY$9142,72,FALSE)</f>
        <v>#N/A</v>
      </c>
      <c r="U387" s="93" t="e">
        <f>VLOOKUP($A387, 'Matriz POA 2024-TRABAJO'!$A$5:$CY$9142,29,FALSE)</f>
        <v>#N/A</v>
      </c>
      <c r="V387" s="93" t="str">
        <f t="shared" si="225"/>
        <v/>
      </c>
      <c r="W387" s="93"/>
      <c r="X387" s="93"/>
      <c r="Y387" s="93"/>
      <c r="Z387" s="93"/>
      <c r="AA387" s="93"/>
      <c r="AB387" s="93"/>
      <c r="AC387" s="93">
        <f t="shared" si="226"/>
        <v>0</v>
      </c>
      <c r="AD387" s="93"/>
      <c r="AE387" s="93"/>
      <c r="AF387" s="93"/>
      <c r="AG387" s="93"/>
      <c r="AH387" s="93"/>
      <c r="AI387" s="93"/>
      <c r="AJ387" s="93"/>
      <c r="AK387" s="93">
        <f t="shared" si="227"/>
        <v>0</v>
      </c>
      <c r="AL387" s="93"/>
      <c r="AM387" s="93"/>
      <c r="AN387" s="93"/>
      <c r="AO387" s="93"/>
      <c r="AP387" s="93"/>
      <c r="AQ387" s="93"/>
      <c r="AR387" s="93"/>
      <c r="AS387" s="93">
        <f t="shared" si="228"/>
        <v>0</v>
      </c>
      <c r="AT387" s="93"/>
      <c r="AU387" s="93"/>
      <c r="AV387" s="93"/>
      <c r="AW387" s="93"/>
      <c r="AX387" s="93"/>
      <c r="AY387" s="93"/>
      <c r="AZ387" s="93"/>
      <c r="BA387" s="93"/>
      <c r="BB387" s="93"/>
      <c r="BC387" s="93"/>
      <c r="BD387" s="93"/>
      <c r="BE387" s="93"/>
      <c r="BF387" s="93"/>
      <c r="BG387" s="93"/>
      <c r="BH387" s="93"/>
      <c r="BI387" s="93"/>
      <c r="BJ387" s="93"/>
      <c r="BK387" s="93"/>
      <c r="BL387" s="93"/>
      <c r="BM387" s="93"/>
      <c r="BN387" s="93"/>
      <c r="BO387" s="93"/>
      <c r="BP387" s="93"/>
      <c r="BQ387" s="93"/>
      <c r="BR387" s="93"/>
      <c r="BS387" s="93"/>
      <c r="BT387" s="93"/>
      <c r="BU387" s="93"/>
      <c r="BV387" s="93"/>
      <c r="BW387" s="93"/>
      <c r="BX387" s="93"/>
      <c r="BY387" s="93"/>
      <c r="BZ387" s="93"/>
      <c r="CA387" s="93"/>
      <c r="CB387" s="93"/>
      <c r="CC387" s="93"/>
      <c r="CD387" s="93"/>
      <c r="CE387" s="93"/>
      <c r="CF387" s="93"/>
      <c r="CG387" s="93"/>
      <c r="CH387" s="93"/>
      <c r="CI387" s="93"/>
      <c r="CJ387" s="93"/>
      <c r="CK387" s="93"/>
      <c r="CL387" s="93"/>
      <c r="CM387" s="93"/>
      <c r="CN387" s="93"/>
      <c r="CO387" s="93"/>
      <c r="CP387" s="93"/>
      <c r="CQ387" s="93"/>
      <c r="CR387" s="93"/>
      <c r="CS387" s="93"/>
      <c r="CT387" s="93"/>
      <c r="CU387" s="93"/>
      <c r="CV387" s="93"/>
      <c r="CW387" s="93"/>
      <c r="CX387" s="93"/>
    </row>
    <row r="388" spans="1:102" ht="16.5" hidden="1" customHeight="1">
      <c r="A388" s="93"/>
      <c r="B388" s="93" t="e">
        <f>VLOOKUP($A388,  'Matriz POA 2024-TRABAJO'!$A$5:$CY$9142,29,FALSE)</f>
        <v>#N/A</v>
      </c>
      <c r="C388" s="93" t="e">
        <f>VLOOKUP($A388, 'Matriz POA 2024-TRABAJO'!$A$5:$CY$9142,11,FALSE)</f>
        <v>#N/A</v>
      </c>
      <c r="D388" s="93" t="e">
        <f>VLOOKUP($A388, 'Matriz POA 2024-TRABAJO'!$A$5:$CY$9142,14,FALSE)</f>
        <v>#N/A</v>
      </c>
      <c r="E388" s="93" t="e">
        <f>VLOOKUP($A388, 'Matriz POA 2024-TRABAJO'!$A$5:$CY$9142,15,FALSE)</f>
        <v>#N/A</v>
      </c>
      <c r="F388" s="93" t="e">
        <f>VLOOKUP($A388, 'Matriz POA 2024-TRABAJO'!$A$5:$CY$9142,18,FALSE)</f>
        <v>#N/A</v>
      </c>
      <c r="G388" s="93" t="e">
        <f>VLOOKUP($A388, 'Matriz POA 2024-TRABAJO'!$A$5:$CY$9142,23,FALSE)</f>
        <v>#N/A</v>
      </c>
      <c r="H388" s="93" t="e">
        <f>VLOOKUP($A388, 'Matriz POA 2024-TRABAJO'!$A$5:$CY$9142,24,FALSE)</f>
        <v>#N/A</v>
      </c>
      <c r="I388" s="93" t="e">
        <f>VLOOKUP($A388, 'Matriz POA 2024-TRABAJO'!$A$5:$CY$9142,20,FALSE)</f>
        <v>#N/A</v>
      </c>
      <c r="J388" s="93" t="e">
        <f>VLOOKUP($A388, 'Matriz POA 2024-TRABAJO'!$A$5:$CY$9142,26,FALSE)</f>
        <v>#N/A</v>
      </c>
      <c r="K388" s="93" t="e">
        <f>VLOOKUP($A388, 'Matriz POA 2024-TRABAJO'!$A$5:$CY$9142,27,FALSE)</f>
        <v>#N/A</v>
      </c>
      <c r="L388" s="93" t="e">
        <f>VLOOKUP($A388, 'Matriz POA 2024-TRABAJO'!$A$5:$CY$9142,28,FALSE)</f>
        <v>#N/A</v>
      </c>
      <c r="M388" s="93" t="e">
        <f>VLOOKUP($A388, 'Matriz POA 2024-TRABAJO'!$A$5:$CY$9142,30,FALSE)</f>
        <v>#N/A</v>
      </c>
      <c r="N388" s="93" t="e">
        <f>VLOOKUP($A388, 'Matriz POA 2024-TRABAJO'!$A$5:$CY$9142,31,FALSE)</f>
        <v>#N/A</v>
      </c>
      <c r="O388" s="93" t="e">
        <f>VLOOKUP($A388, 'Matriz POA 2024-TRABAJO'!$A$5:$CY$9142,45,FALSE)</f>
        <v>#N/A</v>
      </c>
      <c r="P388" s="93" t="e">
        <f>VLOOKUP($A388, 'Matriz POA 2024-TRABAJO'!$A$5:$CY$9142,46,FALSE)</f>
        <v>#N/A</v>
      </c>
      <c r="Q388" s="93" t="e">
        <f>VLOOKUP($A388, 'Matriz POA 2024-TRABAJO'!$A$5:$CY$9142,47,FALSE)</f>
        <v>#N/A</v>
      </c>
      <c r="R388" s="94">
        <f t="shared" si="223"/>
        <v>0</v>
      </c>
      <c r="S388" s="95" t="e">
        <f t="shared" si="224"/>
        <v>#N/A</v>
      </c>
      <c r="T388" s="93" t="e">
        <f>VLOOKUP($A388, 'Matriz POA 2024-TRABAJO'!$A$5:$CY$9142,72,FALSE)</f>
        <v>#N/A</v>
      </c>
      <c r="U388" s="93" t="e">
        <f>VLOOKUP($A388, 'Matriz POA 2024-TRABAJO'!$A$5:$CY$9142,29,FALSE)</f>
        <v>#N/A</v>
      </c>
      <c r="V388" s="93" t="str">
        <f t="shared" si="225"/>
        <v/>
      </c>
      <c r="W388" s="93"/>
      <c r="X388" s="93"/>
      <c r="Y388" s="93"/>
      <c r="Z388" s="93"/>
      <c r="AA388" s="93"/>
      <c r="AB388" s="93"/>
      <c r="AC388" s="93">
        <f t="shared" si="226"/>
        <v>0</v>
      </c>
      <c r="AD388" s="93"/>
      <c r="AE388" s="93"/>
      <c r="AF388" s="93"/>
      <c r="AG388" s="93"/>
      <c r="AH388" s="93"/>
      <c r="AI388" s="93"/>
      <c r="AJ388" s="93"/>
      <c r="AK388" s="93">
        <f t="shared" si="227"/>
        <v>0</v>
      </c>
      <c r="AL388" s="93"/>
      <c r="AM388" s="93"/>
      <c r="AN388" s="93"/>
      <c r="AO388" s="93"/>
      <c r="AP388" s="93"/>
      <c r="AQ388" s="93"/>
      <c r="AR388" s="93"/>
      <c r="AS388" s="93">
        <f t="shared" si="228"/>
        <v>0</v>
      </c>
      <c r="AT388" s="93"/>
      <c r="AU388" s="93"/>
      <c r="AV388" s="93"/>
      <c r="AW388" s="93"/>
      <c r="AX388" s="93"/>
      <c r="AY388" s="93"/>
      <c r="AZ388" s="93"/>
      <c r="BA388" s="93"/>
      <c r="BB388" s="93"/>
      <c r="BC388" s="93"/>
      <c r="BD388" s="93"/>
      <c r="BE388" s="93"/>
      <c r="BF388" s="93"/>
      <c r="BG388" s="93"/>
      <c r="BH388" s="93"/>
      <c r="BI388" s="93"/>
      <c r="BJ388" s="93"/>
      <c r="BK388" s="93"/>
      <c r="BL388" s="93"/>
      <c r="BM388" s="93"/>
      <c r="BN388" s="93"/>
      <c r="BO388" s="93"/>
      <c r="BP388" s="93"/>
      <c r="BQ388" s="93"/>
      <c r="BR388" s="93"/>
      <c r="BS388" s="93"/>
      <c r="BT388" s="93"/>
      <c r="BU388" s="93"/>
      <c r="BV388" s="93"/>
      <c r="BW388" s="93"/>
      <c r="BX388" s="93"/>
      <c r="BY388" s="93"/>
      <c r="BZ388" s="93"/>
      <c r="CA388" s="93"/>
      <c r="CB388" s="93"/>
      <c r="CC388" s="93"/>
      <c r="CD388" s="93"/>
      <c r="CE388" s="93"/>
      <c r="CF388" s="93"/>
      <c r="CG388" s="93"/>
      <c r="CH388" s="93"/>
      <c r="CI388" s="93"/>
      <c r="CJ388" s="93"/>
      <c r="CK388" s="93"/>
      <c r="CL388" s="93"/>
      <c r="CM388" s="93"/>
      <c r="CN388" s="93"/>
      <c r="CO388" s="93"/>
      <c r="CP388" s="93"/>
      <c r="CQ388" s="93"/>
      <c r="CR388" s="93"/>
      <c r="CS388" s="93"/>
      <c r="CT388" s="93"/>
      <c r="CU388" s="93"/>
      <c r="CV388" s="93"/>
      <c r="CW388" s="93"/>
      <c r="CX388" s="93"/>
    </row>
    <row r="389" spans="1:102" ht="17.25" hidden="1" customHeight="1">
      <c r="A389" s="93"/>
      <c r="B389" s="93" t="e">
        <f>VLOOKUP($A389,  'Matriz POA 2024-TRABAJO'!$A$5:$CY$9142,29,FALSE)</f>
        <v>#N/A</v>
      </c>
      <c r="C389" s="93" t="e">
        <f>VLOOKUP($A389, 'Matriz POA 2024-TRABAJO'!$A$5:$CY$9142,11,FALSE)</f>
        <v>#N/A</v>
      </c>
      <c r="D389" s="93" t="e">
        <f>VLOOKUP($A389, 'Matriz POA 2024-TRABAJO'!$A$5:$CY$9142,14,FALSE)</f>
        <v>#N/A</v>
      </c>
      <c r="E389" s="93" t="e">
        <f>VLOOKUP($A389, 'Matriz POA 2024-TRABAJO'!$A$5:$CY$9142,15,FALSE)</f>
        <v>#N/A</v>
      </c>
      <c r="F389" s="93" t="e">
        <f>VLOOKUP($A389, 'Matriz POA 2024-TRABAJO'!$A$5:$CY$9142,18,FALSE)</f>
        <v>#N/A</v>
      </c>
      <c r="G389" s="93" t="e">
        <f>VLOOKUP($A389, 'Matriz POA 2024-TRABAJO'!$A$5:$CY$9142,23,FALSE)</f>
        <v>#N/A</v>
      </c>
      <c r="H389" s="93" t="e">
        <f>VLOOKUP($A389, 'Matriz POA 2024-TRABAJO'!$A$5:$CY$9142,24,FALSE)</f>
        <v>#N/A</v>
      </c>
      <c r="I389" s="93" t="e">
        <f>VLOOKUP($A389, 'Matriz POA 2024-TRABAJO'!$A$5:$CY$9142,20,FALSE)</f>
        <v>#N/A</v>
      </c>
      <c r="J389" s="93" t="e">
        <f>VLOOKUP($A389, 'Matriz POA 2024-TRABAJO'!$A$5:$CY$9142,26,FALSE)</f>
        <v>#N/A</v>
      </c>
      <c r="K389" s="93" t="e">
        <f>VLOOKUP($A389, 'Matriz POA 2024-TRABAJO'!$A$5:$CY$9142,27,FALSE)</f>
        <v>#N/A</v>
      </c>
      <c r="L389" s="93" t="e">
        <f>VLOOKUP($A389, 'Matriz POA 2024-TRABAJO'!$A$5:$CY$9142,28,FALSE)</f>
        <v>#N/A</v>
      </c>
      <c r="M389" s="93" t="e">
        <f>VLOOKUP($A389, 'Matriz POA 2024-TRABAJO'!$A$5:$CY$9142,30,FALSE)</f>
        <v>#N/A</v>
      </c>
      <c r="N389" s="93" t="e">
        <f>VLOOKUP($A389, 'Matriz POA 2024-TRABAJO'!$A$5:$CY$9142,31,FALSE)</f>
        <v>#N/A</v>
      </c>
      <c r="O389" s="93" t="e">
        <f>VLOOKUP($A389, 'Matriz POA 2024-TRABAJO'!$A$5:$CY$9142,45,FALSE)</f>
        <v>#N/A</v>
      </c>
      <c r="P389" s="93" t="e">
        <f>VLOOKUP($A389, 'Matriz POA 2024-TRABAJO'!$A$5:$CY$9142,46,FALSE)</f>
        <v>#N/A</v>
      </c>
      <c r="Q389" s="93" t="e">
        <f>VLOOKUP($A389, 'Matriz POA 2024-TRABAJO'!$A$5:$CY$9142,47,FALSE)</f>
        <v>#N/A</v>
      </c>
      <c r="R389" s="94">
        <f t="shared" si="223"/>
        <v>0</v>
      </c>
      <c r="S389" s="95" t="e">
        <f t="shared" si="224"/>
        <v>#N/A</v>
      </c>
      <c r="T389" s="93" t="e">
        <f>VLOOKUP($A389, 'Matriz POA 2024-TRABAJO'!$A$5:$CY$9142,72,FALSE)</f>
        <v>#N/A</v>
      </c>
      <c r="U389" s="93" t="e">
        <f>VLOOKUP($A389, 'Matriz POA 2024-TRABAJO'!$A$5:$CY$9142,29,FALSE)</f>
        <v>#N/A</v>
      </c>
      <c r="V389" s="93" t="str">
        <f t="shared" si="225"/>
        <v/>
      </c>
      <c r="W389" s="93"/>
      <c r="X389" s="93"/>
      <c r="Y389" s="93"/>
      <c r="Z389" s="93"/>
      <c r="AA389" s="93"/>
      <c r="AB389" s="93"/>
      <c r="AC389" s="93">
        <f t="shared" si="226"/>
        <v>0</v>
      </c>
      <c r="AD389" s="93"/>
      <c r="AE389" s="93"/>
      <c r="AF389" s="93"/>
      <c r="AG389" s="93"/>
      <c r="AH389" s="93"/>
      <c r="AI389" s="93"/>
      <c r="AJ389" s="93"/>
      <c r="AK389" s="93">
        <f t="shared" si="227"/>
        <v>0</v>
      </c>
      <c r="AL389" s="93"/>
      <c r="AM389" s="93"/>
      <c r="AN389" s="93"/>
      <c r="AO389" s="93"/>
      <c r="AP389" s="93"/>
      <c r="AQ389" s="93"/>
      <c r="AR389" s="93"/>
      <c r="AS389" s="93">
        <f t="shared" si="228"/>
        <v>0</v>
      </c>
      <c r="AT389" s="93"/>
      <c r="AU389" s="93"/>
      <c r="AV389" s="93"/>
      <c r="AW389" s="93"/>
      <c r="AX389" s="93"/>
      <c r="AY389" s="93"/>
      <c r="AZ389" s="93"/>
      <c r="BA389" s="93"/>
      <c r="BB389" s="93"/>
      <c r="BC389" s="93"/>
      <c r="BD389" s="93"/>
      <c r="BE389" s="93"/>
      <c r="BF389" s="93"/>
      <c r="BG389" s="93"/>
      <c r="BH389" s="93"/>
      <c r="BI389" s="93"/>
      <c r="BJ389" s="93"/>
      <c r="BK389" s="93"/>
      <c r="BL389" s="93"/>
      <c r="BM389" s="93"/>
      <c r="BN389" s="93"/>
      <c r="BO389" s="93"/>
      <c r="BP389" s="93"/>
      <c r="BQ389" s="93"/>
      <c r="BR389" s="93"/>
      <c r="BS389" s="93"/>
      <c r="BT389" s="93"/>
      <c r="BU389" s="93"/>
      <c r="BV389" s="93"/>
      <c r="BW389" s="93"/>
      <c r="BX389" s="93"/>
      <c r="BY389" s="93"/>
      <c r="BZ389" s="93"/>
      <c r="CA389" s="93"/>
      <c r="CB389" s="93"/>
      <c r="CC389" s="93"/>
      <c r="CD389" s="93"/>
      <c r="CE389" s="93"/>
      <c r="CF389" s="93"/>
      <c r="CG389" s="93"/>
      <c r="CH389" s="93"/>
      <c r="CI389" s="93"/>
      <c r="CJ389" s="93"/>
      <c r="CK389" s="93"/>
      <c r="CL389" s="93"/>
      <c r="CM389" s="93"/>
      <c r="CN389" s="93"/>
      <c r="CO389" s="93"/>
      <c r="CP389" s="93"/>
      <c r="CQ389" s="93"/>
      <c r="CR389" s="93"/>
      <c r="CS389" s="93"/>
      <c r="CT389" s="93"/>
      <c r="CU389" s="93"/>
      <c r="CV389" s="93"/>
      <c r="CW389" s="93"/>
      <c r="CX389" s="93"/>
    </row>
    <row r="390" spans="1:102" ht="15.75" hidden="1" customHeight="1">
      <c r="A390" s="93"/>
      <c r="B390" s="93" t="e">
        <f>VLOOKUP($A390,  'Matriz POA 2024-TRABAJO'!$A$5:$CY$9142,29,FALSE)</f>
        <v>#N/A</v>
      </c>
      <c r="C390" s="93" t="e">
        <f>VLOOKUP($A390, 'Matriz POA 2024-TRABAJO'!$A$5:$CY$9142,11,FALSE)</f>
        <v>#N/A</v>
      </c>
      <c r="D390" s="93" t="e">
        <f>VLOOKUP($A390, 'Matriz POA 2024-TRABAJO'!$A$5:$CY$9142,14,FALSE)</f>
        <v>#N/A</v>
      </c>
      <c r="E390" s="93" t="e">
        <f>VLOOKUP($A390, 'Matriz POA 2024-TRABAJO'!$A$5:$CY$9142,15,FALSE)</f>
        <v>#N/A</v>
      </c>
      <c r="F390" s="93" t="e">
        <f>VLOOKUP($A390, 'Matriz POA 2024-TRABAJO'!$A$5:$CY$9142,18,FALSE)</f>
        <v>#N/A</v>
      </c>
      <c r="G390" s="93" t="e">
        <f>VLOOKUP($A390, 'Matriz POA 2024-TRABAJO'!$A$5:$CY$9142,23,FALSE)</f>
        <v>#N/A</v>
      </c>
      <c r="H390" s="93" t="e">
        <f>VLOOKUP($A390, 'Matriz POA 2024-TRABAJO'!$A$5:$CY$9142,24,FALSE)</f>
        <v>#N/A</v>
      </c>
      <c r="I390" s="93" t="e">
        <f>VLOOKUP($A390, 'Matriz POA 2024-TRABAJO'!$A$5:$CY$9142,20,FALSE)</f>
        <v>#N/A</v>
      </c>
      <c r="J390" s="93" t="e">
        <f>VLOOKUP($A390, 'Matriz POA 2024-TRABAJO'!$A$5:$CY$9142,26,FALSE)</f>
        <v>#N/A</v>
      </c>
      <c r="K390" s="93" t="e">
        <f>VLOOKUP($A390, 'Matriz POA 2024-TRABAJO'!$A$5:$CY$9142,27,FALSE)</f>
        <v>#N/A</v>
      </c>
      <c r="L390" s="93" t="e">
        <f>VLOOKUP($A390, 'Matriz POA 2024-TRABAJO'!$A$5:$CY$9142,28,FALSE)</f>
        <v>#N/A</v>
      </c>
      <c r="M390" s="93" t="e">
        <f>VLOOKUP($A390, 'Matriz POA 2024-TRABAJO'!$A$5:$CY$9142,30,FALSE)</f>
        <v>#N/A</v>
      </c>
      <c r="N390" s="93" t="e">
        <f>VLOOKUP($A390, 'Matriz POA 2024-TRABAJO'!$A$5:$CY$9142,31,FALSE)</f>
        <v>#N/A</v>
      </c>
      <c r="O390" s="93" t="e">
        <f>VLOOKUP($A390, 'Matriz POA 2024-TRABAJO'!$A$5:$CY$9142,45,FALSE)</f>
        <v>#N/A</v>
      </c>
      <c r="P390" s="93" t="e">
        <f>VLOOKUP($A390, 'Matriz POA 2024-TRABAJO'!$A$5:$CY$9142,46,FALSE)</f>
        <v>#N/A</v>
      </c>
      <c r="Q390" s="93" t="e">
        <f>VLOOKUP($A390, 'Matriz POA 2024-TRABAJO'!$A$5:$CY$9142,47,FALSE)</f>
        <v>#N/A</v>
      </c>
      <c r="R390" s="94">
        <f t="shared" si="223"/>
        <v>0</v>
      </c>
      <c r="S390" s="95" t="e">
        <f t="shared" si="224"/>
        <v>#N/A</v>
      </c>
      <c r="T390" s="93" t="e">
        <f>VLOOKUP($A390, 'Matriz POA 2024-TRABAJO'!$A$5:$CY$9142,72,FALSE)</f>
        <v>#N/A</v>
      </c>
      <c r="U390" s="93" t="e">
        <f>VLOOKUP($A390, 'Matriz POA 2024-TRABAJO'!$A$5:$CY$9142,29,FALSE)</f>
        <v>#N/A</v>
      </c>
      <c r="V390" s="93" t="str">
        <f t="shared" si="225"/>
        <v/>
      </c>
      <c r="W390" s="93"/>
      <c r="X390" s="93"/>
      <c r="Y390" s="93"/>
      <c r="Z390" s="93"/>
      <c r="AA390" s="93"/>
      <c r="AB390" s="93"/>
      <c r="AC390" s="93">
        <f t="shared" si="226"/>
        <v>0</v>
      </c>
      <c r="AD390" s="93"/>
      <c r="AE390" s="93"/>
      <c r="AF390" s="93"/>
      <c r="AG390" s="93"/>
      <c r="AH390" s="93"/>
      <c r="AI390" s="93"/>
      <c r="AJ390" s="93"/>
      <c r="AK390" s="93">
        <f t="shared" si="227"/>
        <v>0</v>
      </c>
      <c r="AL390" s="93"/>
      <c r="AM390" s="93"/>
      <c r="AN390" s="93"/>
      <c r="AO390" s="93"/>
      <c r="AP390" s="93"/>
      <c r="AQ390" s="93"/>
      <c r="AR390" s="93"/>
      <c r="AS390" s="93">
        <f t="shared" si="228"/>
        <v>0</v>
      </c>
      <c r="AT390" s="93"/>
      <c r="AU390" s="93"/>
      <c r="AV390" s="93"/>
      <c r="AW390" s="93"/>
      <c r="AX390" s="93"/>
      <c r="AY390" s="93"/>
      <c r="AZ390" s="93"/>
      <c r="BA390" s="93"/>
      <c r="BB390" s="93"/>
      <c r="BC390" s="93"/>
      <c r="BD390" s="93"/>
      <c r="BE390" s="93"/>
      <c r="BF390" s="93"/>
      <c r="BG390" s="93"/>
      <c r="BH390" s="93"/>
      <c r="BI390" s="93"/>
      <c r="BJ390" s="93"/>
      <c r="BK390" s="93"/>
      <c r="BL390" s="93"/>
      <c r="BM390" s="93"/>
      <c r="BN390" s="93"/>
      <c r="BO390" s="93"/>
      <c r="BP390" s="93"/>
      <c r="BQ390" s="93"/>
      <c r="BR390" s="93"/>
      <c r="BS390" s="93"/>
      <c r="BT390" s="93"/>
      <c r="BU390" s="93"/>
      <c r="BV390" s="93"/>
      <c r="BW390" s="93"/>
      <c r="BX390" s="93"/>
      <c r="BY390" s="93"/>
      <c r="BZ390" s="93"/>
      <c r="CA390" s="93"/>
      <c r="CB390" s="93"/>
      <c r="CC390" s="93"/>
      <c r="CD390" s="93"/>
      <c r="CE390" s="93"/>
      <c r="CF390" s="93"/>
      <c r="CG390" s="93"/>
      <c r="CH390" s="93"/>
      <c r="CI390" s="93"/>
      <c r="CJ390" s="93"/>
      <c r="CK390" s="93"/>
      <c r="CL390" s="93"/>
      <c r="CM390" s="93"/>
      <c r="CN390" s="93"/>
      <c r="CO390" s="93"/>
      <c r="CP390" s="93"/>
      <c r="CQ390" s="93"/>
      <c r="CR390" s="93"/>
      <c r="CS390" s="93"/>
      <c r="CT390" s="93"/>
      <c r="CU390" s="93"/>
      <c r="CV390" s="93"/>
      <c r="CW390" s="93"/>
      <c r="CX390" s="93"/>
    </row>
    <row r="391" spans="1:102" ht="14.25" hidden="1" customHeight="1">
      <c r="A391" s="93"/>
      <c r="B391" s="93" t="e">
        <f>VLOOKUP($A391,  'Matriz POA 2024-TRABAJO'!$A$5:$CY$9142,29,FALSE)</f>
        <v>#N/A</v>
      </c>
      <c r="C391" s="93" t="e">
        <f>VLOOKUP($A391, 'Matriz POA 2024-TRABAJO'!$A$5:$CY$9142,11,FALSE)</f>
        <v>#N/A</v>
      </c>
      <c r="D391" s="93" t="e">
        <f>VLOOKUP($A391, 'Matriz POA 2024-TRABAJO'!$A$5:$CY$9142,14,FALSE)</f>
        <v>#N/A</v>
      </c>
      <c r="E391" s="93" t="e">
        <f>VLOOKUP($A391, 'Matriz POA 2024-TRABAJO'!$A$5:$CY$9142,15,FALSE)</f>
        <v>#N/A</v>
      </c>
      <c r="F391" s="93" t="e">
        <f>VLOOKUP($A391, 'Matriz POA 2024-TRABAJO'!$A$5:$CY$9142,18,FALSE)</f>
        <v>#N/A</v>
      </c>
      <c r="G391" s="93" t="e">
        <f>VLOOKUP($A391, 'Matriz POA 2024-TRABAJO'!$A$5:$CY$9142,23,FALSE)</f>
        <v>#N/A</v>
      </c>
      <c r="H391" s="93" t="e">
        <f>VLOOKUP($A391, 'Matriz POA 2024-TRABAJO'!$A$5:$CY$9142,24,FALSE)</f>
        <v>#N/A</v>
      </c>
      <c r="I391" s="93" t="e">
        <f>VLOOKUP($A391, 'Matriz POA 2024-TRABAJO'!$A$5:$CY$9142,20,FALSE)</f>
        <v>#N/A</v>
      </c>
      <c r="J391" s="93" t="e">
        <f>VLOOKUP($A391, 'Matriz POA 2024-TRABAJO'!$A$5:$CY$9142,26,FALSE)</f>
        <v>#N/A</v>
      </c>
      <c r="K391" s="93" t="e">
        <f>VLOOKUP($A391, 'Matriz POA 2024-TRABAJO'!$A$5:$CY$9142,27,FALSE)</f>
        <v>#N/A</v>
      </c>
      <c r="L391" s="93" t="e">
        <f>VLOOKUP($A391, 'Matriz POA 2024-TRABAJO'!$A$5:$CY$9142,28,FALSE)</f>
        <v>#N/A</v>
      </c>
      <c r="M391" s="93" t="e">
        <f>VLOOKUP($A391, 'Matriz POA 2024-TRABAJO'!$A$5:$CY$9142,30,FALSE)</f>
        <v>#N/A</v>
      </c>
      <c r="N391" s="93" t="e">
        <f>VLOOKUP($A391, 'Matriz POA 2024-TRABAJO'!$A$5:$CY$9142,31,FALSE)</f>
        <v>#N/A</v>
      </c>
      <c r="O391" s="93" t="e">
        <f>VLOOKUP($A391, 'Matriz POA 2024-TRABAJO'!$A$5:$CY$9142,45,FALSE)</f>
        <v>#N/A</v>
      </c>
      <c r="P391" s="93" t="e">
        <f>VLOOKUP($A391, 'Matriz POA 2024-TRABAJO'!$A$5:$CY$9142,46,FALSE)</f>
        <v>#N/A</v>
      </c>
      <c r="Q391" s="93" t="e">
        <f>VLOOKUP($A391, 'Matriz POA 2024-TRABAJO'!$A$5:$CY$9142,47,FALSE)</f>
        <v>#N/A</v>
      </c>
      <c r="R391" s="94">
        <f t="shared" si="223"/>
        <v>0</v>
      </c>
      <c r="S391" s="95" t="e">
        <f t="shared" si="224"/>
        <v>#N/A</v>
      </c>
      <c r="T391" s="93" t="e">
        <f>VLOOKUP($A391, 'Matriz POA 2024-TRABAJO'!$A$5:$CY$9142,72,FALSE)</f>
        <v>#N/A</v>
      </c>
      <c r="U391" s="93" t="e">
        <f>VLOOKUP($A391, 'Matriz POA 2024-TRABAJO'!$A$5:$CY$9142,29,FALSE)</f>
        <v>#N/A</v>
      </c>
      <c r="V391" s="93" t="str">
        <f t="shared" si="225"/>
        <v/>
      </c>
      <c r="W391" s="93"/>
      <c r="X391" s="93"/>
      <c r="Y391" s="93"/>
      <c r="Z391" s="93"/>
      <c r="AA391" s="93"/>
      <c r="AB391" s="93"/>
      <c r="AC391" s="93">
        <f t="shared" si="226"/>
        <v>0</v>
      </c>
      <c r="AD391" s="93"/>
      <c r="AE391" s="93"/>
      <c r="AF391" s="93"/>
      <c r="AG391" s="93"/>
      <c r="AH391" s="93"/>
      <c r="AI391" s="93"/>
      <c r="AJ391" s="93"/>
      <c r="AK391" s="93">
        <f t="shared" si="227"/>
        <v>0</v>
      </c>
      <c r="AL391" s="93"/>
      <c r="AM391" s="93"/>
      <c r="AN391" s="93"/>
      <c r="AO391" s="93"/>
      <c r="AP391" s="93"/>
      <c r="AQ391" s="93"/>
      <c r="AR391" s="93"/>
      <c r="AS391" s="93">
        <f t="shared" si="228"/>
        <v>0</v>
      </c>
      <c r="AT391" s="93"/>
      <c r="AU391" s="93"/>
      <c r="AV391" s="93"/>
      <c r="AW391" s="93"/>
      <c r="AX391" s="93"/>
      <c r="AY391" s="93"/>
      <c r="AZ391" s="93"/>
      <c r="BA391" s="93"/>
      <c r="BB391" s="93"/>
      <c r="BC391" s="93"/>
      <c r="BD391" s="93"/>
      <c r="BE391" s="93"/>
      <c r="BF391" s="93"/>
      <c r="BG391" s="93"/>
      <c r="BH391" s="93"/>
      <c r="BI391" s="93"/>
      <c r="BJ391" s="93"/>
      <c r="BK391" s="93"/>
      <c r="BL391" s="93"/>
      <c r="BM391" s="93"/>
      <c r="BN391" s="93"/>
      <c r="BO391" s="93"/>
      <c r="BP391" s="93"/>
      <c r="BQ391" s="93"/>
      <c r="BR391" s="93"/>
      <c r="BS391" s="93"/>
      <c r="BT391" s="93"/>
      <c r="BU391" s="93"/>
      <c r="BV391" s="93"/>
      <c r="BW391" s="93"/>
      <c r="BX391" s="93"/>
      <c r="BY391" s="93"/>
      <c r="BZ391" s="93"/>
      <c r="CA391" s="93"/>
      <c r="CB391" s="93"/>
      <c r="CC391" s="93"/>
      <c r="CD391" s="93"/>
      <c r="CE391" s="93"/>
      <c r="CF391" s="93"/>
      <c r="CG391" s="93"/>
      <c r="CH391" s="93"/>
      <c r="CI391" s="93"/>
      <c r="CJ391" s="93"/>
      <c r="CK391" s="93"/>
      <c r="CL391" s="93"/>
      <c r="CM391" s="93"/>
      <c r="CN391" s="93"/>
      <c r="CO391" s="93"/>
      <c r="CP391" s="93"/>
      <c r="CQ391" s="93"/>
      <c r="CR391" s="93"/>
      <c r="CS391" s="93"/>
      <c r="CT391" s="93"/>
      <c r="CU391" s="93"/>
      <c r="CV391" s="93"/>
      <c r="CW391" s="93"/>
      <c r="CX391" s="93"/>
    </row>
  </sheetData>
  <autoFilter ref="A1:DH391">
    <filterColumn colId="2">
      <filters>
        <filter val="Corporación Ciudad Alfaro"/>
      </filters>
    </filterColumn>
  </autoFilter>
  <conditionalFormatting sqref="A1:A5">
    <cfRule type="duplicateValues" dxfId="153" priority="1579"/>
  </conditionalFormatting>
  <conditionalFormatting sqref="A1:A144 A151 A155:A201 A392:A65430">
    <cfRule type="expression" dxfId="152" priority="1603" stopIfTrue="1">
      <formula>AND(COUNTIF($A$4:$A$65430,A1)+COUNTIF($A$1:$A$3,A1)&gt;1,NOT(ISBLANK(A1)))</formula>
    </cfRule>
  </conditionalFormatting>
  <conditionalFormatting sqref="A1:A144 A151 A155:A201 A392:A65586">
    <cfRule type="expression" dxfId="151" priority="1684" stopIfTrue="1">
      <formula>AND(COUNTIF($A$151:$A$151, A1)+COUNTIF($A$1:$A$144, A1)+COUNTIF(#REF!, A1)&gt;1,NOT(ISBLANK(A1)))</formula>
    </cfRule>
  </conditionalFormatting>
  <conditionalFormatting sqref="A2:A144 A151 A155:A201 A392:A65430">
    <cfRule type="expression" dxfId="150" priority="1685" stopIfTrue="1">
      <formula>AND(COUNTIF($A$151:$A$151, A2)+COUNTIF($A$2:$A$144, A2)+COUNTIF($A$155:$A$65430, A2)&gt;1,NOT(ISBLANK(A2)))</formula>
    </cfRule>
  </conditionalFormatting>
  <conditionalFormatting sqref="A7:A8">
    <cfRule type="duplicateValues" dxfId="149" priority="330"/>
  </conditionalFormatting>
  <conditionalFormatting sqref="A9">
    <cfRule type="duplicateValues" dxfId="148" priority="329"/>
  </conditionalFormatting>
  <conditionalFormatting sqref="A11:A12">
    <cfRule type="duplicateValues" dxfId="147" priority="328"/>
  </conditionalFormatting>
  <conditionalFormatting sqref="A13">
    <cfRule type="duplicateValues" dxfId="146" priority="327"/>
  </conditionalFormatting>
  <conditionalFormatting sqref="A15:A16">
    <cfRule type="duplicateValues" dxfId="145" priority="326"/>
  </conditionalFormatting>
  <conditionalFormatting sqref="A17">
    <cfRule type="duplicateValues" dxfId="144" priority="325"/>
  </conditionalFormatting>
  <conditionalFormatting sqref="A18">
    <cfRule type="duplicateValues" dxfId="143" priority="1594"/>
  </conditionalFormatting>
  <conditionalFormatting sqref="A19">
    <cfRule type="duplicateValues" dxfId="142" priority="323"/>
  </conditionalFormatting>
  <conditionalFormatting sqref="A21:A22">
    <cfRule type="duplicateValues" dxfId="141" priority="322"/>
  </conditionalFormatting>
  <conditionalFormatting sqref="A23">
    <cfRule type="duplicateValues" dxfId="140" priority="321"/>
  </conditionalFormatting>
  <conditionalFormatting sqref="A25:A26">
    <cfRule type="duplicateValues" dxfId="139" priority="320"/>
  </conditionalFormatting>
  <conditionalFormatting sqref="A27">
    <cfRule type="duplicateValues" dxfId="138" priority="319"/>
  </conditionalFormatting>
  <conditionalFormatting sqref="A28:A29">
    <cfRule type="duplicateValues" dxfId="137" priority="318"/>
  </conditionalFormatting>
  <conditionalFormatting sqref="A30">
    <cfRule type="duplicateValues" dxfId="136" priority="317"/>
  </conditionalFormatting>
  <conditionalFormatting sqref="A32:A33">
    <cfRule type="duplicateValues" dxfId="135" priority="316"/>
  </conditionalFormatting>
  <conditionalFormatting sqref="A34">
    <cfRule type="duplicateValues" dxfId="134" priority="315"/>
  </conditionalFormatting>
  <conditionalFormatting sqref="A36:A37">
    <cfRule type="duplicateValues" dxfId="133" priority="314"/>
  </conditionalFormatting>
  <conditionalFormatting sqref="A38:A39">
    <cfRule type="duplicateValues" dxfId="132" priority="313"/>
  </conditionalFormatting>
  <conditionalFormatting sqref="A40">
    <cfRule type="duplicateValues" dxfId="131" priority="312"/>
  </conditionalFormatting>
  <conditionalFormatting sqref="A42:A43">
    <cfRule type="duplicateValues" dxfId="130" priority="311"/>
  </conditionalFormatting>
  <conditionalFormatting sqref="A44">
    <cfRule type="duplicateValues" dxfId="129" priority="310"/>
  </conditionalFormatting>
  <conditionalFormatting sqref="A46:A47">
    <cfRule type="duplicateValues" dxfId="128" priority="309"/>
  </conditionalFormatting>
  <conditionalFormatting sqref="A48">
    <cfRule type="duplicateValues" dxfId="127" priority="308"/>
  </conditionalFormatting>
  <conditionalFormatting sqref="A50:A51">
    <cfRule type="duplicateValues" dxfId="126" priority="307"/>
  </conditionalFormatting>
  <conditionalFormatting sqref="A52">
    <cfRule type="duplicateValues" dxfId="125" priority="306"/>
  </conditionalFormatting>
  <conditionalFormatting sqref="A54:A55">
    <cfRule type="duplicateValues" dxfId="124" priority="305"/>
  </conditionalFormatting>
  <conditionalFormatting sqref="A56">
    <cfRule type="duplicateValues" dxfId="123" priority="304"/>
  </conditionalFormatting>
  <conditionalFormatting sqref="A58:A59">
    <cfRule type="duplicateValues" dxfId="122" priority="303"/>
  </conditionalFormatting>
  <conditionalFormatting sqref="A60">
    <cfRule type="duplicateValues" dxfId="121" priority="302"/>
  </conditionalFormatting>
  <conditionalFormatting sqref="A62:A63">
    <cfRule type="duplicateValues" dxfId="120" priority="301"/>
  </conditionalFormatting>
  <conditionalFormatting sqref="A64">
    <cfRule type="duplicateValues" dxfId="119" priority="300"/>
  </conditionalFormatting>
  <conditionalFormatting sqref="A66:A67">
    <cfRule type="duplicateValues" dxfId="118" priority="299"/>
  </conditionalFormatting>
  <conditionalFormatting sqref="A68">
    <cfRule type="duplicateValues" dxfId="117" priority="298"/>
  </conditionalFormatting>
  <conditionalFormatting sqref="A70:A71">
    <cfRule type="duplicateValues" dxfId="116" priority="297"/>
  </conditionalFormatting>
  <conditionalFormatting sqref="A72">
    <cfRule type="duplicateValues" dxfId="115" priority="296"/>
  </conditionalFormatting>
  <conditionalFormatting sqref="A74:A75">
    <cfRule type="duplicateValues" dxfId="114" priority="295"/>
  </conditionalFormatting>
  <conditionalFormatting sqref="A76">
    <cfRule type="duplicateValues" dxfId="113" priority="294"/>
  </conditionalFormatting>
  <conditionalFormatting sqref="A78:A79">
    <cfRule type="duplicateValues" dxfId="112" priority="293"/>
  </conditionalFormatting>
  <conditionalFormatting sqref="A80">
    <cfRule type="duplicateValues" dxfId="111" priority="292"/>
  </conditionalFormatting>
  <conditionalFormatting sqref="A82:A83">
    <cfRule type="duplicateValues" dxfId="110" priority="291"/>
  </conditionalFormatting>
  <conditionalFormatting sqref="A84">
    <cfRule type="duplicateValues" dxfId="109" priority="290"/>
  </conditionalFormatting>
  <conditionalFormatting sqref="A86:A87">
    <cfRule type="duplicateValues" dxfId="108" priority="289"/>
  </conditionalFormatting>
  <conditionalFormatting sqref="A88">
    <cfRule type="duplicateValues" dxfId="107" priority="288"/>
  </conditionalFormatting>
  <conditionalFormatting sqref="A90:A91">
    <cfRule type="duplicateValues" dxfId="106" priority="287"/>
  </conditionalFormatting>
  <conditionalFormatting sqref="A92">
    <cfRule type="duplicateValues" dxfId="105" priority="286"/>
  </conditionalFormatting>
  <conditionalFormatting sqref="A94:A95">
    <cfRule type="duplicateValues" dxfId="104" priority="285"/>
  </conditionalFormatting>
  <conditionalFormatting sqref="A96">
    <cfRule type="duplicateValues" dxfId="103" priority="284"/>
  </conditionalFormatting>
  <conditionalFormatting sqref="A98:A99">
    <cfRule type="duplicateValues" dxfId="102" priority="283"/>
  </conditionalFormatting>
  <conditionalFormatting sqref="A100">
    <cfRule type="duplicateValues" dxfId="101" priority="282"/>
  </conditionalFormatting>
  <conditionalFormatting sqref="A102:A103">
    <cfRule type="duplicateValues" dxfId="100" priority="281"/>
  </conditionalFormatting>
  <conditionalFormatting sqref="A104:A105">
    <cfRule type="duplicateValues" dxfId="99" priority="280"/>
  </conditionalFormatting>
  <conditionalFormatting sqref="A106">
    <cfRule type="duplicateValues" dxfId="98" priority="279"/>
  </conditionalFormatting>
  <conditionalFormatting sqref="A108:A109">
    <cfRule type="duplicateValues" dxfId="97" priority="278"/>
  </conditionalFormatting>
  <conditionalFormatting sqref="A110:A111">
    <cfRule type="duplicateValues" dxfId="96" priority="277"/>
  </conditionalFormatting>
  <conditionalFormatting sqref="A112">
    <cfRule type="duplicateValues" dxfId="95" priority="276"/>
  </conditionalFormatting>
  <conditionalFormatting sqref="A114:A115">
    <cfRule type="duplicateValues" dxfId="94" priority="275"/>
  </conditionalFormatting>
  <conditionalFormatting sqref="A116:A117">
    <cfRule type="duplicateValues" dxfId="93" priority="274"/>
  </conditionalFormatting>
  <conditionalFormatting sqref="A118">
    <cfRule type="duplicateValues" dxfId="92" priority="273"/>
  </conditionalFormatting>
  <conditionalFormatting sqref="A120:A121">
    <cfRule type="duplicateValues" dxfId="91" priority="272"/>
  </conditionalFormatting>
  <conditionalFormatting sqref="A122:A123">
    <cfRule type="duplicateValues" dxfId="90" priority="271"/>
  </conditionalFormatting>
  <conditionalFormatting sqref="A124">
    <cfRule type="duplicateValues" dxfId="89" priority="270"/>
  </conditionalFormatting>
  <conditionalFormatting sqref="A126:A127">
    <cfRule type="duplicateValues" dxfId="88" priority="269"/>
  </conditionalFormatting>
  <conditionalFormatting sqref="A128:A129">
    <cfRule type="duplicateValues" dxfId="87" priority="268"/>
  </conditionalFormatting>
  <conditionalFormatting sqref="A130">
    <cfRule type="duplicateValues" dxfId="86" priority="267"/>
  </conditionalFormatting>
  <conditionalFormatting sqref="A132:A133">
    <cfRule type="duplicateValues" dxfId="85" priority="266"/>
  </conditionalFormatting>
  <conditionalFormatting sqref="A134:A135">
    <cfRule type="duplicateValues" dxfId="84" priority="265"/>
  </conditionalFormatting>
  <conditionalFormatting sqref="A136">
    <cfRule type="duplicateValues" dxfId="83" priority="264"/>
  </conditionalFormatting>
  <conditionalFormatting sqref="A138:A144 A151 A155:A166">
    <cfRule type="expression" dxfId="82" priority="1686" stopIfTrue="1">
      <formula>AND(COUNTIF($A$151:$A$151, A138)+COUNTIF($A$138:$A$144, A138)+COUNTIF($A$155:$A$166, A138)&gt;1,NOT(ISBLANK(A138)))</formula>
    </cfRule>
  </conditionalFormatting>
  <conditionalFormatting sqref="A145:A150">
    <cfRule type="duplicateValues" dxfId="81" priority="1896"/>
    <cfRule type="duplicateValues" dxfId="80" priority="1897"/>
    <cfRule type="duplicateValues" dxfId="79" priority="1898"/>
    <cfRule type="expression" dxfId="78" priority="1899" stopIfTrue="1">
      <formula>AND(COUNTIF($A$4:$A$65429,A145)+COUNTIF($A$1:$A$3,A145)&gt;1,NOT(ISBLANK(A145)))</formula>
    </cfRule>
  </conditionalFormatting>
  <conditionalFormatting sqref="A202:A203">
    <cfRule type="duplicateValues" dxfId="77" priority="33"/>
  </conditionalFormatting>
  <conditionalFormatting sqref="A202:A206">
    <cfRule type="duplicateValues" dxfId="76" priority="34"/>
  </conditionalFormatting>
  <conditionalFormatting sqref="A202:A260">
    <cfRule type="expression" dxfId="75" priority="1900" stopIfTrue="1">
      <formula>AND(COUNTIF($A$39:$A$65550,A202)+COUNTIF($A$1:$A$38,A202)&gt;1,NOT(ISBLANK(A202)))</formula>
    </cfRule>
  </conditionalFormatting>
  <conditionalFormatting sqref="A207:A208">
    <cfRule type="duplicateValues" dxfId="74" priority="36"/>
  </conditionalFormatting>
  <conditionalFormatting sqref="A207:A211">
    <cfRule type="duplicateValues" dxfId="73" priority="37"/>
  </conditionalFormatting>
  <conditionalFormatting sqref="A212:A213">
    <cfRule type="duplicateValues" dxfId="72" priority="39"/>
  </conditionalFormatting>
  <conditionalFormatting sqref="A212:A216">
    <cfRule type="duplicateValues" dxfId="71" priority="40"/>
  </conditionalFormatting>
  <conditionalFormatting sqref="A217:A218">
    <cfRule type="duplicateValues" dxfId="70" priority="42"/>
  </conditionalFormatting>
  <conditionalFormatting sqref="A217:A221">
    <cfRule type="duplicateValues" dxfId="69" priority="43"/>
  </conditionalFormatting>
  <conditionalFormatting sqref="A222:A223">
    <cfRule type="duplicateValues" dxfId="68" priority="45"/>
  </conditionalFormatting>
  <conditionalFormatting sqref="A222:A226">
    <cfRule type="duplicateValues" dxfId="67" priority="46"/>
  </conditionalFormatting>
  <conditionalFormatting sqref="A227:A228">
    <cfRule type="duplicateValues" dxfId="66" priority="48"/>
  </conditionalFormatting>
  <conditionalFormatting sqref="A227:A231">
    <cfRule type="duplicateValues" dxfId="65" priority="49"/>
  </conditionalFormatting>
  <conditionalFormatting sqref="A232:A233">
    <cfRule type="duplicateValues" dxfId="64" priority="51"/>
  </conditionalFormatting>
  <conditionalFormatting sqref="A232:A236">
    <cfRule type="duplicateValues" dxfId="63" priority="52"/>
  </conditionalFormatting>
  <conditionalFormatting sqref="A237:A238">
    <cfRule type="duplicateValues" dxfId="62" priority="54"/>
  </conditionalFormatting>
  <conditionalFormatting sqref="A237:A239">
    <cfRule type="duplicateValues" dxfId="61" priority="55"/>
  </conditionalFormatting>
  <conditionalFormatting sqref="A240:A241">
    <cfRule type="duplicateValues" dxfId="60" priority="11"/>
  </conditionalFormatting>
  <conditionalFormatting sqref="A242:A243">
    <cfRule type="duplicateValues" dxfId="59" priority="13"/>
  </conditionalFormatting>
  <conditionalFormatting sqref="A244:A245">
    <cfRule type="duplicateValues" dxfId="58" priority="15"/>
  </conditionalFormatting>
  <conditionalFormatting sqref="A246:A247">
    <cfRule type="duplicateValues" dxfId="57" priority="17"/>
  </conditionalFormatting>
  <conditionalFormatting sqref="A248:A249">
    <cfRule type="duplicateValues" dxfId="56" priority="19"/>
  </conditionalFormatting>
  <conditionalFormatting sqref="A250:A251">
    <cfRule type="duplicateValues" dxfId="55" priority="21"/>
  </conditionalFormatting>
  <conditionalFormatting sqref="A252:A253">
    <cfRule type="duplicateValues" dxfId="54" priority="23"/>
  </conditionalFormatting>
  <conditionalFormatting sqref="A254:A255">
    <cfRule type="duplicateValues" dxfId="53" priority="25"/>
  </conditionalFormatting>
  <conditionalFormatting sqref="A256:A257">
    <cfRule type="duplicateValues" dxfId="52" priority="27"/>
  </conditionalFormatting>
  <conditionalFormatting sqref="A258:A259">
    <cfRule type="duplicateValues" dxfId="51" priority="29"/>
  </conditionalFormatting>
  <conditionalFormatting sqref="A260">
    <cfRule type="duplicateValues" dxfId="50" priority="31"/>
  </conditionalFormatting>
  <conditionalFormatting sqref="A283">
    <cfRule type="duplicateValues" dxfId="49" priority="101"/>
    <cfRule type="expression" dxfId="48" priority="103" stopIfTrue="1">
      <formula>AND(COUNTIF($A$4:$A$65430,A283)+COUNTIF($A$1:$A$3,A283)&gt;1,NOT(ISBLANK(A283)))</formula>
    </cfRule>
    <cfRule type="expression" dxfId="47" priority="104" stopIfTrue="1">
      <formula>AND(COUNTIF($A$151:$A$151, A283)+COUNTIF($A$1:$A$144, A283)+COUNTIF(#REF!, A283)&gt;1,NOT(ISBLANK(A283)))</formula>
    </cfRule>
    <cfRule type="expression" dxfId="46" priority="105" stopIfTrue="1">
      <formula>AND(COUNTIF($A$151:$A$151, A283)+COUNTIF($A$2:$A$144, A283)+COUNTIF($A$155:$A$65430, A283)&gt;1,NOT(ISBLANK(A283)))</formula>
    </cfRule>
  </conditionalFormatting>
  <conditionalFormatting sqref="A284:A295">
    <cfRule type="duplicateValues" dxfId="45" priority="96"/>
    <cfRule type="expression" dxfId="44" priority="98" stopIfTrue="1">
      <formula>AND(COUNTIF($A$4:$A$65430,A284)+COUNTIF($A$1:$A$3,A284)&gt;1,NOT(ISBLANK(A284)))</formula>
    </cfRule>
    <cfRule type="expression" dxfId="43" priority="99" stopIfTrue="1">
      <formula>AND(COUNTIF($A$151:$A$151, A284)+COUNTIF($A$1:$A$144, A284)+COUNTIF(#REF!, A284)&gt;1,NOT(ISBLANK(A284)))</formula>
    </cfRule>
    <cfRule type="expression" dxfId="42" priority="100" stopIfTrue="1">
      <formula>AND(COUNTIF($A$151:$A$151, A284)+COUNTIF($A$2:$A$144, A284)+COUNTIF($A$155:$A$65430, A284)&gt;1,NOT(ISBLANK(A284)))</formula>
    </cfRule>
  </conditionalFormatting>
  <conditionalFormatting sqref="A296:A307">
    <cfRule type="duplicateValues" dxfId="41" priority="91"/>
    <cfRule type="expression" dxfId="40" priority="93" stopIfTrue="1">
      <formula>AND(COUNTIF($A$4:$A$65430,A296)+COUNTIF($A$1:$A$3,A296)&gt;1,NOT(ISBLANK(A296)))</formula>
    </cfRule>
    <cfRule type="expression" dxfId="39" priority="94" stopIfTrue="1">
      <formula>AND(COUNTIF($A$151:$A$151, A296)+COUNTIF($A$1:$A$144, A296)+COUNTIF(#REF!, A296)&gt;1,NOT(ISBLANK(A296)))</formula>
    </cfRule>
    <cfRule type="expression" dxfId="38" priority="95" stopIfTrue="1">
      <formula>AND(COUNTIF($A$151:$A$151, A296)+COUNTIF($A$2:$A$144, A296)+COUNTIF($A$155:$A$65430, A296)&gt;1,NOT(ISBLANK(A296)))</formula>
    </cfRule>
  </conditionalFormatting>
  <conditionalFormatting sqref="A308:A319">
    <cfRule type="duplicateValues" dxfId="37" priority="86"/>
    <cfRule type="expression" dxfId="36" priority="88" stopIfTrue="1">
      <formula>AND(COUNTIF($A$4:$A$65430,A308)+COUNTIF($A$1:$A$3,A308)&gt;1,NOT(ISBLANK(A308)))</formula>
    </cfRule>
    <cfRule type="expression" dxfId="35" priority="89" stopIfTrue="1">
      <formula>AND(COUNTIF($A$151:$A$151, A308)+COUNTIF($A$1:$A$144, A308)+COUNTIF(#REF!, A308)&gt;1,NOT(ISBLANK(A308)))</formula>
    </cfRule>
    <cfRule type="expression" dxfId="34" priority="90" stopIfTrue="1">
      <formula>AND(COUNTIF($A$151:$A$151, A308)+COUNTIF($A$2:$A$144, A308)+COUNTIF($A$155:$A$65430, A308)&gt;1,NOT(ISBLANK(A308)))</formula>
    </cfRule>
  </conditionalFormatting>
  <conditionalFormatting sqref="A320:A331">
    <cfRule type="duplicateValues" dxfId="33" priority="81"/>
    <cfRule type="expression" dxfId="32" priority="83" stopIfTrue="1">
      <formula>AND(COUNTIF($A$4:$A$65430,A320)+COUNTIF($A$1:$A$3,A320)&gt;1,NOT(ISBLANK(A320)))</formula>
    </cfRule>
    <cfRule type="expression" dxfId="31" priority="84" stopIfTrue="1">
      <formula>AND(COUNTIF($A$151:$A$151, A320)+COUNTIF($A$1:$A$144, A320)+COUNTIF(#REF!, A320)&gt;1,NOT(ISBLANK(A320)))</formula>
    </cfRule>
    <cfRule type="expression" dxfId="30" priority="85" stopIfTrue="1">
      <formula>AND(COUNTIF($A$151:$A$151, A320)+COUNTIF($A$2:$A$144, A320)+COUNTIF($A$155:$A$65430, A320)&gt;1,NOT(ISBLANK(A320)))</formula>
    </cfRule>
  </conditionalFormatting>
  <conditionalFormatting sqref="A332:A343">
    <cfRule type="duplicateValues" dxfId="29" priority="76"/>
    <cfRule type="expression" dxfId="28" priority="78" stopIfTrue="1">
      <formula>AND(COUNTIF($A$4:$A$65430,A332)+COUNTIF($A$1:$A$3,A332)&gt;1,NOT(ISBLANK(A332)))</formula>
    </cfRule>
    <cfRule type="expression" dxfId="27" priority="79" stopIfTrue="1">
      <formula>AND(COUNTIF($A$151:$A$151, A332)+COUNTIF($A$1:$A$144, A332)+COUNTIF(#REF!, A332)&gt;1,NOT(ISBLANK(A332)))</formula>
    </cfRule>
    <cfRule type="expression" dxfId="26" priority="80" stopIfTrue="1">
      <formula>AND(COUNTIF($A$151:$A$151, A332)+COUNTIF($A$2:$A$144, A332)+COUNTIF($A$155:$A$65430, A332)&gt;1,NOT(ISBLANK(A332)))</formula>
    </cfRule>
  </conditionalFormatting>
  <conditionalFormatting sqref="A344:A355">
    <cfRule type="duplicateValues" dxfId="25" priority="71"/>
    <cfRule type="expression" dxfId="24" priority="73" stopIfTrue="1">
      <formula>AND(COUNTIF($A$4:$A$65430,A344)+COUNTIF($A$1:$A$3,A344)&gt;1,NOT(ISBLANK(A344)))</formula>
    </cfRule>
    <cfRule type="expression" dxfId="23" priority="74" stopIfTrue="1">
      <formula>AND(COUNTIF($A$151:$A$151, A344)+COUNTIF($A$1:$A$144, A344)+COUNTIF(#REF!, A344)&gt;1,NOT(ISBLANK(A344)))</formula>
    </cfRule>
    <cfRule type="expression" dxfId="22" priority="75" stopIfTrue="1">
      <formula>AND(COUNTIF($A$151:$A$151, A344)+COUNTIF($A$2:$A$144, A344)+COUNTIF($A$155:$A$65430, A344)&gt;1,NOT(ISBLANK(A344)))</formula>
    </cfRule>
  </conditionalFormatting>
  <conditionalFormatting sqref="A356:A367">
    <cfRule type="duplicateValues" dxfId="21" priority="66"/>
    <cfRule type="expression" dxfId="20" priority="68" stopIfTrue="1">
      <formula>AND(COUNTIF($A$4:$A$65430,A356)+COUNTIF($A$1:$A$3,A356)&gt;1,NOT(ISBLANK(A356)))</formula>
    </cfRule>
    <cfRule type="expression" dxfId="19" priority="69" stopIfTrue="1">
      <formula>AND(COUNTIF($A$151:$A$151, A356)+COUNTIF($A$1:$A$144, A356)+COUNTIF(#REF!, A356)&gt;1,NOT(ISBLANK(A356)))</formula>
    </cfRule>
    <cfRule type="expression" dxfId="18" priority="70" stopIfTrue="1">
      <formula>AND(COUNTIF($A$151:$A$151, A356)+COUNTIF($A$2:$A$144, A356)+COUNTIF($A$155:$A$65430, A356)&gt;1,NOT(ISBLANK(A356)))</formula>
    </cfRule>
  </conditionalFormatting>
  <conditionalFormatting sqref="A368:A379">
    <cfRule type="duplicateValues" dxfId="17" priority="61"/>
    <cfRule type="expression" dxfId="16" priority="63" stopIfTrue="1">
      <formula>AND(COUNTIF($A$4:$A$65430,A368)+COUNTIF($A$1:$A$3,A368)&gt;1,NOT(ISBLANK(A368)))</formula>
    </cfRule>
    <cfRule type="expression" dxfId="15" priority="64" stopIfTrue="1">
      <formula>AND(COUNTIF($A$151:$A$151, A368)+COUNTIF($A$1:$A$144, A368)+COUNTIF(#REF!, A368)&gt;1,NOT(ISBLANK(A368)))</formula>
    </cfRule>
    <cfRule type="expression" dxfId="14" priority="65" stopIfTrue="1">
      <formula>AND(COUNTIF($A$151:$A$151, A368)+COUNTIF($A$2:$A$144, A368)+COUNTIF($A$155:$A$65430, A368)&gt;1,NOT(ISBLANK(A368)))</formula>
    </cfRule>
  </conditionalFormatting>
  <conditionalFormatting sqref="A380:A391">
    <cfRule type="duplicateValues" dxfId="13" priority="56"/>
    <cfRule type="expression" dxfId="12" priority="58" stopIfTrue="1">
      <formula>AND(COUNTIF($A$4:$A$65430,A380)+COUNTIF($A$1:$A$3,A380)&gt;1,NOT(ISBLANK(A380)))</formula>
    </cfRule>
    <cfRule type="expression" dxfId="11" priority="59" stopIfTrue="1">
      <formula>AND(COUNTIF($A$151:$A$151, A380)+COUNTIF($A$1:$A$144, A380)+COUNTIF(#REF!, A380)&gt;1,NOT(ISBLANK(A380)))</formula>
    </cfRule>
    <cfRule type="expression" dxfId="10" priority="60" stopIfTrue="1">
      <formula>AND(COUNTIF($A$151:$A$151, A380)+COUNTIF($A$2:$A$144, A380)+COUNTIF($A$155:$A$65430, A380)&gt;1,NOT(ISBLANK(A380)))</formula>
    </cfRule>
  </conditionalFormatting>
  <conditionalFormatting sqref="A392:A1048576 A1:A201">
    <cfRule type="duplicateValues" dxfId="9" priority="255"/>
  </conditionalFormatting>
  <conditionalFormatting sqref="C1">
    <cfRule type="expression" dxfId="8" priority="1582" stopIfTrue="1">
      <formula>AND(COUNTIF($A:$A,C1)&gt;1,NOT(ISBLANK(C1)))</formula>
    </cfRule>
    <cfRule type="expression" dxfId="7" priority="1583" stopIfTrue="1">
      <formula>AND(COUNTIF($A$1,C1)+COUNTIF($C$1,C1)+COUNTIF(#REF!,C1)&gt;1,NOT(ISBLANK(C1)))</formula>
    </cfRule>
    <cfRule type="expression" dxfId="6" priority="1584" stopIfTrue="1">
      <formula>AND(COUNTIF(#REF!,C1)+COUNTIF($A$1:$A$3,C1)+COUNTIF(#REF!,C1)+COUNTIF(#REF!,C1)&gt;1,NOT(ISBLANK(C1)))</formula>
    </cfRule>
  </conditionalFormatting>
  <conditionalFormatting sqref="S2:S391">
    <cfRule type="cellIs" dxfId="5" priority="1" stopIfTrue="1" operator="lessThan">
      <formula>0</formula>
    </cfRule>
  </conditionalFormatting>
  <conditionalFormatting sqref="AA129:AA130">
    <cfRule type="cellIs" dxfId="4" priority="262" stopIfTrue="1" operator="lessThan">
      <formula>0</formula>
    </cfRule>
  </conditionalFormatting>
  <conditionalFormatting sqref="AQ7">
    <cfRule type="cellIs" dxfId="3" priority="256" stopIfTrue="1" operator="lessThan">
      <formula>0</formula>
    </cfRule>
  </conditionalFormatting>
  <pageMargins left="0.7" right="0.7" top="0.75" bottom="0.75" header="0.3" footer="0.3"/>
  <pageSetup paperSize="9" scale="90" orientation="portrait" horizontalDpi="360" verticalDpi="36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filterMode="1"/>
  <dimension ref="A1:EY99"/>
  <sheetViews>
    <sheetView topLeftCell="R1" zoomScale="83" zoomScaleNormal="83" workbookViewId="0">
      <pane ySplit="1" topLeftCell="A90" activePane="bottomLeft" state="frozen"/>
      <selection pane="bottomLeft" activeCell="AG100" sqref="AG100"/>
    </sheetView>
  </sheetViews>
  <sheetFormatPr baseColWidth="10" defaultRowHeight="23.25" customHeight="1"/>
  <cols>
    <col min="1" max="1" width="5.28515625" style="2" customWidth="1"/>
    <col min="2" max="2" width="11.42578125" style="2" customWidth="1"/>
    <col min="3" max="3" width="25.7109375" style="2" customWidth="1"/>
    <col min="4" max="6" width="11.42578125" style="2" customWidth="1"/>
    <col min="7" max="7" width="32.5703125" style="53" customWidth="1"/>
    <col min="8" max="13" width="11.42578125" style="2" customWidth="1"/>
    <col min="14" max="16" width="6.28515625" style="2" customWidth="1"/>
    <col min="17" max="17" width="15.140625" style="2" customWidth="1"/>
    <col min="18" max="18" width="16.28515625" style="74" customWidth="1"/>
    <col min="19" max="19" width="17" style="74" customWidth="1"/>
    <col min="20" max="20" width="15.28515625" style="74" customWidth="1"/>
    <col min="21" max="22" width="17.42578125" style="74" customWidth="1"/>
    <col min="23" max="23" width="14.85546875" style="74" customWidth="1"/>
    <col min="24" max="24" width="12.28515625" style="74" customWidth="1"/>
    <col min="25" max="25" width="11" style="74" customWidth="1"/>
    <col min="26" max="26" width="15.42578125" style="74" customWidth="1"/>
    <col min="27" max="27" width="16.85546875" style="74" customWidth="1"/>
    <col min="28" max="28" width="10.7109375" style="74" customWidth="1"/>
    <col min="29" max="29" width="11.42578125" style="74" customWidth="1"/>
    <col min="30" max="30" width="10.85546875" style="74" customWidth="1"/>
    <col min="31" max="31" width="11.42578125" style="74" customWidth="1"/>
    <col min="32" max="32" width="14.28515625" style="74" customWidth="1"/>
    <col min="33" max="52" width="11.42578125" style="74"/>
    <col min="53" max="53" width="11.85546875" style="74" customWidth="1"/>
    <col min="54" max="84" width="11.42578125" style="74"/>
    <col min="85" max="156" width="11.42578125" style="2"/>
    <col min="157" max="157" width="14.5703125" style="2" customWidth="1"/>
    <col min="158" max="16384" width="11.42578125" style="2"/>
  </cols>
  <sheetData>
    <row r="1" spans="1:155" s="92" customFormat="1" ht="34.5" customHeight="1">
      <c r="A1" s="54" t="s">
        <v>1278</v>
      </c>
      <c r="B1" s="55" t="s">
        <v>1014</v>
      </c>
      <c r="C1" s="55" t="s">
        <v>1279</v>
      </c>
      <c r="D1" s="55" t="s">
        <v>6</v>
      </c>
      <c r="E1" s="55" t="s">
        <v>9</v>
      </c>
      <c r="F1" s="55" t="s">
        <v>1280</v>
      </c>
      <c r="G1" s="55" t="s">
        <v>1281</v>
      </c>
      <c r="H1" s="55" t="s">
        <v>1014</v>
      </c>
      <c r="I1" s="55" t="s">
        <v>1282</v>
      </c>
      <c r="J1" s="56" t="s">
        <v>922</v>
      </c>
      <c r="K1" s="56" t="s">
        <v>1283</v>
      </c>
      <c r="L1" s="56" t="s">
        <v>1284</v>
      </c>
      <c r="M1" s="55" t="s">
        <v>21</v>
      </c>
      <c r="N1" s="55" t="s">
        <v>1285</v>
      </c>
      <c r="O1" s="56" t="s">
        <v>1286</v>
      </c>
      <c r="P1" s="56" t="s">
        <v>1287</v>
      </c>
      <c r="Q1" s="55" t="s">
        <v>1288</v>
      </c>
      <c r="R1" s="68" t="s">
        <v>1289</v>
      </c>
      <c r="S1" s="68" t="s">
        <v>51</v>
      </c>
      <c r="T1" s="68" t="s">
        <v>1290</v>
      </c>
      <c r="U1" s="68" t="s">
        <v>1291</v>
      </c>
      <c r="V1" s="68"/>
      <c r="W1" s="69" t="s">
        <v>1292</v>
      </c>
      <c r="X1" s="70" t="s">
        <v>1293</v>
      </c>
      <c r="Y1" s="70" t="s">
        <v>1854</v>
      </c>
      <c r="Z1" s="71" t="s">
        <v>1295</v>
      </c>
      <c r="AA1" s="71" t="s">
        <v>1296</v>
      </c>
      <c r="AB1" s="71" t="s">
        <v>1297</v>
      </c>
      <c r="AC1" s="72" t="s">
        <v>1292</v>
      </c>
      <c r="AD1" s="73" t="s">
        <v>1293</v>
      </c>
      <c r="AE1" s="73" t="s">
        <v>1855</v>
      </c>
      <c r="AF1" s="73" t="s">
        <v>1295</v>
      </c>
      <c r="AG1" s="73" t="s">
        <v>1296</v>
      </c>
      <c r="AH1" s="73" t="s">
        <v>1297</v>
      </c>
      <c r="AI1" s="69" t="s">
        <v>1292</v>
      </c>
      <c r="AJ1" s="70" t="s">
        <v>1293</v>
      </c>
      <c r="AK1" s="70" t="s">
        <v>1856</v>
      </c>
      <c r="AL1" s="71" t="s">
        <v>1295</v>
      </c>
      <c r="AM1" s="71" t="s">
        <v>1296</v>
      </c>
      <c r="AN1" s="71" t="s">
        <v>1297</v>
      </c>
      <c r="AO1" s="73" t="s">
        <v>1292</v>
      </c>
      <c r="AP1" s="73" t="s">
        <v>1293</v>
      </c>
      <c r="AQ1" s="73" t="s">
        <v>1857</v>
      </c>
      <c r="AR1" s="73" t="s">
        <v>1295</v>
      </c>
      <c r="AS1" s="73" t="s">
        <v>1296</v>
      </c>
      <c r="AT1" s="73" t="s">
        <v>1297</v>
      </c>
      <c r="AU1" s="70" t="s">
        <v>1292</v>
      </c>
      <c r="AV1" s="70" t="s">
        <v>1293</v>
      </c>
      <c r="AW1" s="70" t="s">
        <v>1858</v>
      </c>
      <c r="AX1" s="71" t="s">
        <v>1295</v>
      </c>
      <c r="AY1" s="71" t="s">
        <v>1296</v>
      </c>
      <c r="AZ1" s="71" t="s">
        <v>1297</v>
      </c>
      <c r="BA1" s="73" t="s">
        <v>1292</v>
      </c>
      <c r="BB1" s="73" t="s">
        <v>1293</v>
      </c>
      <c r="BC1" s="73" t="s">
        <v>1859</v>
      </c>
      <c r="BD1" s="73" t="s">
        <v>1295</v>
      </c>
      <c r="BE1" s="73" t="s">
        <v>1296</v>
      </c>
      <c r="BF1" s="73" t="s">
        <v>1297</v>
      </c>
      <c r="BG1" s="70" t="s">
        <v>1292</v>
      </c>
      <c r="BH1" s="70" t="s">
        <v>1293</v>
      </c>
      <c r="BI1" s="70" t="s">
        <v>1860</v>
      </c>
      <c r="BJ1" s="71" t="s">
        <v>1295</v>
      </c>
      <c r="BK1" s="71" t="s">
        <v>1296</v>
      </c>
      <c r="BL1" s="71" t="s">
        <v>1297</v>
      </c>
      <c r="BM1" s="73" t="s">
        <v>1292</v>
      </c>
      <c r="BN1" s="73" t="s">
        <v>1293</v>
      </c>
      <c r="BO1" s="73" t="s">
        <v>1294</v>
      </c>
      <c r="BP1" s="73" t="s">
        <v>1295</v>
      </c>
      <c r="BQ1" s="73" t="s">
        <v>1296</v>
      </c>
      <c r="BR1" s="73" t="s">
        <v>1297</v>
      </c>
      <c r="BS1" s="70" t="s">
        <v>1292</v>
      </c>
      <c r="BT1" s="70" t="s">
        <v>1293</v>
      </c>
      <c r="BU1" s="70" t="s">
        <v>1294</v>
      </c>
      <c r="BV1" s="71" t="s">
        <v>1295</v>
      </c>
      <c r="BW1" s="71" t="s">
        <v>1296</v>
      </c>
      <c r="BX1" s="71" t="s">
        <v>1297</v>
      </c>
      <c r="BY1" s="73" t="s">
        <v>1292</v>
      </c>
      <c r="BZ1" s="73" t="s">
        <v>1293</v>
      </c>
      <c r="CA1" s="73" t="s">
        <v>1294</v>
      </c>
      <c r="CB1" s="73" t="s">
        <v>1295</v>
      </c>
      <c r="CC1" s="73" t="s">
        <v>1296</v>
      </c>
      <c r="CD1" s="73" t="s">
        <v>1297</v>
      </c>
      <c r="CE1" s="70" t="s">
        <v>1292</v>
      </c>
      <c r="CF1" s="70" t="s">
        <v>1293</v>
      </c>
      <c r="CG1" s="57" t="s">
        <v>1294</v>
      </c>
      <c r="CH1" s="58" t="s">
        <v>1295</v>
      </c>
      <c r="CI1" s="58" t="s">
        <v>1296</v>
      </c>
      <c r="CJ1" s="58" t="s">
        <v>1297</v>
      </c>
      <c r="CK1" s="59" t="s">
        <v>1292</v>
      </c>
      <c r="CL1" s="59" t="s">
        <v>1293</v>
      </c>
      <c r="CM1" s="59" t="s">
        <v>1294</v>
      </c>
      <c r="CN1" s="59" t="s">
        <v>1295</v>
      </c>
      <c r="CO1" s="59" t="s">
        <v>1296</v>
      </c>
      <c r="CP1" s="59" t="s">
        <v>1297</v>
      </c>
      <c r="CQ1" s="57" t="s">
        <v>1292</v>
      </c>
      <c r="CR1" s="57" t="s">
        <v>1293</v>
      </c>
      <c r="CS1" s="57" t="s">
        <v>1294</v>
      </c>
      <c r="CT1" s="58" t="s">
        <v>1295</v>
      </c>
      <c r="CU1" s="58" t="s">
        <v>1296</v>
      </c>
      <c r="CV1" s="58" t="s">
        <v>1297</v>
      </c>
      <c r="CW1" s="59" t="s">
        <v>1292</v>
      </c>
      <c r="CX1" s="59" t="s">
        <v>1293</v>
      </c>
      <c r="CY1" s="59" t="s">
        <v>1294</v>
      </c>
      <c r="CZ1" s="59" t="s">
        <v>1295</v>
      </c>
      <c r="DA1" s="59" t="s">
        <v>1296</v>
      </c>
      <c r="DB1" s="59" t="s">
        <v>1297</v>
      </c>
      <c r="DC1" s="57" t="s">
        <v>1292</v>
      </c>
      <c r="DD1" s="57" t="s">
        <v>1293</v>
      </c>
      <c r="DE1" s="57" t="s">
        <v>1294</v>
      </c>
      <c r="DF1" s="58" t="s">
        <v>1295</v>
      </c>
      <c r="DG1" s="58" t="s">
        <v>1296</v>
      </c>
      <c r="DH1" s="58" t="s">
        <v>1297</v>
      </c>
      <c r="DI1" s="59" t="s">
        <v>1292</v>
      </c>
      <c r="DJ1" s="59" t="s">
        <v>1293</v>
      </c>
      <c r="DK1" s="59" t="s">
        <v>1294</v>
      </c>
      <c r="DL1" s="59" t="s">
        <v>1295</v>
      </c>
      <c r="DM1" s="59" t="s">
        <v>1296</v>
      </c>
      <c r="DN1" s="59" t="s">
        <v>1297</v>
      </c>
      <c r="DO1" s="57" t="s">
        <v>1292</v>
      </c>
      <c r="DP1" s="57" t="s">
        <v>1293</v>
      </c>
      <c r="DQ1" s="57" t="s">
        <v>1294</v>
      </c>
      <c r="DR1" s="58" t="s">
        <v>1295</v>
      </c>
      <c r="DS1" s="58" t="s">
        <v>1296</v>
      </c>
      <c r="DT1" s="58" t="s">
        <v>1297</v>
      </c>
      <c r="DU1" s="59" t="s">
        <v>1292</v>
      </c>
      <c r="DV1" s="59" t="s">
        <v>1293</v>
      </c>
      <c r="DW1" s="59" t="s">
        <v>1294</v>
      </c>
      <c r="DX1" s="59" t="s">
        <v>1295</v>
      </c>
      <c r="DY1" s="59" t="s">
        <v>1296</v>
      </c>
      <c r="DZ1" s="59" t="s">
        <v>1297</v>
      </c>
      <c r="EA1" s="57" t="s">
        <v>1292</v>
      </c>
      <c r="EB1" s="57" t="s">
        <v>1293</v>
      </c>
      <c r="EC1" s="57" t="s">
        <v>1294</v>
      </c>
      <c r="ED1" s="58" t="s">
        <v>1295</v>
      </c>
      <c r="EE1" s="58" t="s">
        <v>1296</v>
      </c>
      <c r="EF1" s="58" t="s">
        <v>1297</v>
      </c>
      <c r="EG1" s="59" t="s">
        <v>1292</v>
      </c>
      <c r="EH1" s="59" t="s">
        <v>1293</v>
      </c>
      <c r="EI1" s="59" t="s">
        <v>1294</v>
      </c>
      <c r="EJ1" s="59" t="s">
        <v>1295</v>
      </c>
      <c r="EK1" s="59" t="s">
        <v>1296</v>
      </c>
      <c r="EL1" s="59" t="s">
        <v>1297</v>
      </c>
      <c r="EM1" s="57" t="s">
        <v>1292</v>
      </c>
      <c r="EN1" s="57" t="s">
        <v>1293</v>
      </c>
      <c r="EO1" s="57" t="s">
        <v>1294</v>
      </c>
      <c r="EP1" s="58" t="s">
        <v>1295</v>
      </c>
      <c r="EQ1" s="58" t="s">
        <v>1296</v>
      </c>
      <c r="ER1" s="58" t="s">
        <v>1297</v>
      </c>
      <c r="ES1" s="59" t="s">
        <v>1292</v>
      </c>
      <c r="ET1" s="59" t="s">
        <v>1293</v>
      </c>
      <c r="EU1" s="59" t="s">
        <v>1294</v>
      </c>
      <c r="EV1" s="59" t="s">
        <v>1295</v>
      </c>
      <c r="EW1" s="59" t="s">
        <v>1296</v>
      </c>
      <c r="EX1" s="59" t="s">
        <v>1297</v>
      </c>
      <c r="EY1" s="60" t="s">
        <v>1298</v>
      </c>
    </row>
    <row r="2" spans="1:155" ht="23.25" hidden="1" customHeight="1">
      <c r="A2" s="341">
        <v>452</v>
      </c>
      <c r="B2" s="442" t="str">
        <f>VLOOKUP($A2,  'Matriz POA 2024-TRABAJO'!$A$5:$CY$9142,11,FALSE)</f>
        <v>Corporación Ciudad Alfaro</v>
      </c>
      <c r="C2" s="442" t="str">
        <f>VLOOKUP($A2, 'Matriz POA 2024-TRABAJO'!$A$5:$CY$9142,14,FALSE)</f>
        <v>N/A</v>
      </c>
      <c r="D2" s="442" t="str">
        <f>VLOOKUP($A2, 'Matriz POA 2024-TRABAJO'!$A$5:$CY$9142,15,FALSE)</f>
        <v>N/A</v>
      </c>
      <c r="E2" s="442" t="str">
        <f>VLOOKUP($A2, 'Matriz POA 2024-TRABAJO'!$A$5:$CY$9142,18,FALSE)</f>
        <v>N/A</v>
      </c>
      <c r="F2" s="442" t="str">
        <f>VLOOKUP($A2, 'Matriz POA 2024-TRABAJO'!$A$5:$CY$9142,23,FALSE)</f>
        <v>ARRASTRE</v>
      </c>
      <c r="G2" s="443" t="str">
        <f>VLOOKUP($A2, 'Matriz POA 2024-TRABAJO'!$A$5:$CY$9142,24,FALSE)</f>
        <v>Pago Mensual del servicio de Energía Eléctrica de los meses de Noviembre y Diciembre del 2023 del Museo Bahía de Caráquez</v>
      </c>
      <c r="H2" s="442" t="str">
        <f>VLOOKUP($A2, 'Matriz POA 2024-TRABAJO'!$A$5:$CY$9142,25,FALSE)</f>
        <v>0035</v>
      </c>
      <c r="I2" s="442" t="str">
        <f>VLOOKUP($A2, 'Matriz POA 2024-TRABAJO'!$A$5:$CY$9142,26,FALSE)</f>
        <v>80</v>
      </c>
      <c r="J2" s="442" t="str">
        <f>VLOOKUP($A2, 'Matriz POA 2024-TRABAJO'!$A$5:$CY$9142,27,FALSE)</f>
        <v>000</v>
      </c>
      <c r="K2" s="444" t="str">
        <f>VLOOKUP($A2, 'Matriz POA 2024-TRABAJO'!$A$5:$CY$9142,28,FALSE)</f>
        <v>002</v>
      </c>
      <c r="L2" s="444" t="str">
        <f>VLOOKUP($A2, 'Matriz POA 2024-TRABAJO'!$A$5:$CY$9142,29,FALSE)</f>
        <v>53</v>
      </c>
      <c r="M2" s="444">
        <f>VLOOKUP($A2, 'Matriz POA 2024-TRABAJO'!$A$5:$CY$9142,30,FALSE)</f>
        <v>530104</v>
      </c>
      <c r="N2" s="444" t="str">
        <f>VLOOKUP($A2, 'Matriz POA 2024-TRABAJO'!$A$5:$CY$9142,33,FALSE)</f>
        <v>001</v>
      </c>
      <c r="O2" s="444" t="str">
        <f>VLOOKUP($A2, 'Matriz POA 2024-TRABAJO'!$A$5:$CY$9142,34,FALSE)</f>
        <v>0000</v>
      </c>
      <c r="P2" s="444" t="str">
        <f>VLOOKUP($A2, 'Matriz POA 2024-TRABAJO'!$A$5:$CY$9142,35,FALSE)</f>
        <v>0000</v>
      </c>
      <c r="Q2" s="445">
        <f>VLOOKUP($A2, 'Matriz POA 2024-TRABAJO'!$A$5:$CY$9142,47,FALSE)</f>
        <v>1600</v>
      </c>
      <c r="R2" s="446">
        <f t="shared" ref="R2:R30" si="0">Z2+AF2+AL2+AR2+AX2+BD2+BJ2+BP2+BV2+CB2+CH2+CN2+CT2+CZ2+DF2+DL2+DR2+DX2+ED2+EJ2+EP2+EV2</f>
        <v>1600</v>
      </c>
      <c r="S2" s="446">
        <f t="shared" ref="S2:S30" si="1">AA2+AG2+AM2+AS2+AY2+BE2+BK2+BQ2+BW2+CC2+CI2+CO2+CU2+DA2+DG2+DM2+DS2+DY2+EE2+EK2+EQ2+EW2</f>
        <v>1600</v>
      </c>
      <c r="T2" s="446">
        <f t="shared" ref="T2:T30" si="2">AB2+AH2+AN2+AT2+AZ2+BF2+BL2+BR2+BX2+CD2+CJ2+CP2+CV2+DB2+DH2+DN2+DT2+DZ2+EF2+EL2+ER2+EX2</f>
        <v>0</v>
      </c>
      <c r="U2" s="446">
        <f t="shared" ref="U2:U30" si="3">Q2-(S2+T2)</f>
        <v>0</v>
      </c>
      <c r="V2" s="446" t="str">
        <f t="shared" ref="V2:V30" si="4">W2&amp;AC2&amp;AI2&amp;AO2&amp;AU2&amp;BA2&amp;BG2&amp;BM2&amp;BS2&amp;BY2&amp;CE2&amp;CK2&amp;CQ2&amp;CW2&amp;DC2&amp;DI2&amp;DO2&amp;DU2&amp;EA2&amp;EG2&amp;ES2</f>
        <v>1</v>
      </c>
      <c r="W2" s="511">
        <v>1</v>
      </c>
      <c r="X2" s="404" t="s">
        <v>1299</v>
      </c>
      <c r="Y2" s="404" t="s">
        <v>1300</v>
      </c>
      <c r="Z2" s="404">
        <v>1600</v>
      </c>
      <c r="AA2" s="404">
        <v>1600</v>
      </c>
      <c r="AB2" s="398">
        <f t="shared" ref="AB2:AB24" si="5">IF(X2="APROBADO",Z2-AA2,0)</f>
        <v>0</v>
      </c>
      <c r="AC2" s="403"/>
      <c r="AD2" s="404"/>
      <c r="AE2" s="404"/>
      <c r="AF2" s="404"/>
      <c r="AG2" s="398"/>
      <c r="AH2" s="398">
        <f>IF(AD2="APROBADO",AF2-AG2,0)</f>
        <v>0</v>
      </c>
      <c r="AI2" s="405"/>
      <c r="AJ2" s="404"/>
      <c r="AK2" s="404"/>
      <c r="AL2" s="404"/>
      <c r="AM2" s="398"/>
      <c r="AN2" s="398">
        <f t="shared" ref="AN2:AN23" si="6">IF(AJ2="APROBADO",AL2-AM2,0)</f>
        <v>0</v>
      </c>
      <c r="AO2" s="398"/>
      <c r="AP2" s="404"/>
      <c r="AQ2" s="404"/>
      <c r="AR2" s="404"/>
      <c r="AS2" s="398"/>
      <c r="AT2" s="398">
        <f t="shared" ref="AT2:AT23" si="7">IF(AP2="APROBADO",AR2-AS2,0)</f>
        <v>0</v>
      </c>
      <c r="AU2" s="398"/>
      <c r="AV2" s="404"/>
      <c r="AW2" s="404"/>
      <c r="AX2" s="404"/>
      <c r="AY2" s="404"/>
      <c r="AZ2" s="398">
        <f t="shared" ref="AZ2:AZ23" si="8">IF(AV2="APROBADO",AX2-AY2,0)</f>
        <v>0</v>
      </c>
      <c r="BA2" s="398"/>
      <c r="BB2" s="404"/>
      <c r="BC2" s="404"/>
      <c r="BD2" s="404"/>
      <c r="BE2" s="398"/>
      <c r="BF2" s="398">
        <f t="shared" ref="BF2:BF23" si="9">IF(BB2="APROBADO",BD2-BE2,0)</f>
        <v>0</v>
      </c>
      <c r="BG2" s="398"/>
      <c r="BH2" s="404"/>
      <c r="BI2" s="404"/>
      <c r="BJ2" s="404"/>
      <c r="BK2" s="398"/>
      <c r="BL2" s="398">
        <f t="shared" ref="BL2:BL30" si="10">IF(BH2="APROBADO",BJ2-BK2,0)</f>
        <v>0</v>
      </c>
      <c r="BM2" s="398"/>
      <c r="BN2" s="404"/>
      <c r="BO2" s="404"/>
      <c r="BP2" s="404"/>
      <c r="BQ2" s="398"/>
      <c r="BR2" s="398">
        <f t="shared" ref="BR2:BR30" si="11">IF(BN2="APROBADO",BP2-BQ2,0)</f>
        <v>0</v>
      </c>
      <c r="BS2" s="398"/>
      <c r="BT2" s="404"/>
      <c r="BU2" s="404"/>
      <c r="BV2" s="404"/>
      <c r="BW2" s="398"/>
      <c r="BX2" s="398">
        <f t="shared" ref="BX2:BX30" si="12">IF(BT2="APROBADO",BV2-BW2,0)</f>
        <v>0</v>
      </c>
      <c r="BY2" s="398"/>
      <c r="BZ2" s="404"/>
      <c r="CA2" s="404"/>
      <c r="CB2" s="404"/>
      <c r="CC2" s="398"/>
      <c r="CD2" s="398">
        <f t="shared" ref="CD2:CD30" si="13">IF(BZ2="APROBADO",CB2-CC2,0)</f>
        <v>0</v>
      </c>
      <c r="CE2" s="398"/>
      <c r="CF2" s="404"/>
      <c r="CG2" s="404"/>
      <c r="CH2" s="404"/>
      <c r="CI2" s="398"/>
      <c r="CJ2" s="398">
        <f t="shared" ref="CJ2:CJ30" si="14">IF(CF2="APROBADO",CH2-CI2,0)</f>
        <v>0</v>
      </c>
      <c r="CK2" s="398"/>
      <c r="CL2" s="404"/>
      <c r="CM2" s="404"/>
      <c r="CN2" s="404"/>
      <c r="CO2" s="398"/>
      <c r="CP2" s="398">
        <f t="shared" ref="CP2:CP30" si="15">IF(CL2="APROBADO",CN2-CO2,0)</f>
        <v>0</v>
      </c>
      <c r="CQ2" s="398"/>
      <c r="CR2" s="404"/>
      <c r="CS2" s="404"/>
      <c r="CT2" s="404"/>
      <c r="CU2" s="398"/>
      <c r="CV2" s="398">
        <f t="shared" ref="CV2:CV30" si="16">IF(CR2="APROBADO",CT2-CU2,0)</f>
        <v>0</v>
      </c>
      <c r="CW2" s="398"/>
      <c r="CX2" s="404"/>
      <c r="CY2" s="404"/>
      <c r="CZ2" s="404"/>
      <c r="DA2" s="398"/>
      <c r="DB2" s="398">
        <f t="shared" ref="DB2:DB30" si="17">IF(CX2="APROBADO",CZ2-DA2,0)</f>
        <v>0</v>
      </c>
      <c r="DC2" s="398"/>
      <c r="DD2" s="404"/>
      <c r="DE2" s="404"/>
      <c r="DF2" s="404"/>
      <c r="DG2" s="398"/>
      <c r="DH2" s="398">
        <f t="shared" ref="DH2:DH30" si="18">IF(DD2="APROBADO",DF2-DG2,0)</f>
        <v>0</v>
      </c>
      <c r="DI2" s="398"/>
      <c r="DJ2" s="404"/>
      <c r="DK2" s="404"/>
      <c r="DL2" s="404"/>
      <c r="DM2" s="398"/>
      <c r="DN2" s="398">
        <f t="shared" ref="DN2:DN30" si="19">IF(DJ2="APROBADO",DL2-DM2,0)</f>
        <v>0</v>
      </c>
      <c r="DO2" s="398"/>
      <c r="DP2" s="404"/>
      <c r="DQ2" s="404"/>
      <c r="DR2" s="404"/>
      <c r="DS2" s="398"/>
      <c r="DT2" s="398">
        <f t="shared" ref="DT2:DT30" si="20">IF(DP2="APROBADO",DR2-DS2,0)</f>
        <v>0</v>
      </c>
      <c r="DU2" s="398"/>
      <c r="DV2" s="404"/>
      <c r="DW2" s="404"/>
      <c r="DX2" s="404"/>
      <c r="DY2" s="398"/>
      <c r="DZ2" s="398">
        <f t="shared" ref="DZ2:DZ30" si="21">IF(DV2="APROBADO",DX2-DY2,0)</f>
        <v>0</v>
      </c>
      <c r="EA2" s="398"/>
      <c r="EB2" s="404"/>
      <c r="EC2" s="404"/>
      <c r="ED2" s="404"/>
      <c r="EE2" s="398"/>
      <c r="EF2" s="398">
        <f t="shared" ref="EF2:EF30" si="22">IF(EB2="APROBADO",ED2-EE2,0)</f>
        <v>0</v>
      </c>
      <c r="EG2" s="398"/>
      <c r="EH2" s="404"/>
      <c r="EI2" s="404"/>
      <c r="EJ2" s="404"/>
      <c r="EK2" s="398"/>
      <c r="EL2" s="398">
        <f t="shared" ref="EL2:EL30" si="23">IF(EH2="APROBADO",EJ2-EK2,0)</f>
        <v>0</v>
      </c>
      <c r="EM2" s="398"/>
      <c r="EN2" s="404"/>
      <c r="EO2" s="404"/>
      <c r="EP2" s="404"/>
      <c r="EQ2" s="398"/>
      <c r="ER2" s="398">
        <f t="shared" ref="ER2:ER30" si="24">IF(EN2="APROBADO",EP2-EQ2,0)</f>
        <v>0</v>
      </c>
      <c r="ES2" s="398"/>
      <c r="ET2" s="404"/>
      <c r="EU2" s="404"/>
      <c r="EV2" s="404"/>
      <c r="EW2" s="398"/>
      <c r="EX2" s="398">
        <f t="shared" ref="EX2:EX30" si="25">IF(ET2="APROBADO",EV2-EW2,0)</f>
        <v>0</v>
      </c>
      <c r="EY2" s="398">
        <f>VLOOKUP($A2,[2]Devengado!$A$1:$AI$3,35,FALSE)</f>
        <v>847.41000000000008</v>
      </c>
    </row>
    <row r="3" spans="1:155" ht="23.25" hidden="1" customHeight="1">
      <c r="A3" s="341">
        <v>453</v>
      </c>
      <c r="B3" s="442" t="str">
        <f>VLOOKUP($A3,  'Matriz POA 2024-TRABAJO'!$A$5:$CY$9142,11,FALSE)</f>
        <v>Corporación Ciudad Alfaro</v>
      </c>
      <c r="C3" s="442" t="str">
        <f>VLOOKUP($A3, 'Matriz POA 2024-TRABAJO'!$A$5:$CY$9142,14,FALSE)</f>
        <v>N/A</v>
      </c>
      <c r="D3" s="442" t="str">
        <f>VLOOKUP($A3, 'Matriz POA 2024-TRABAJO'!$A$5:$CY$9142,15,FALSE)</f>
        <v>N/A</v>
      </c>
      <c r="E3" s="442" t="str">
        <f>VLOOKUP($A3, 'Matriz POA 2024-TRABAJO'!$A$5:$CY$9142,18,FALSE)</f>
        <v>N/A</v>
      </c>
      <c r="F3" s="442" t="str">
        <f>VLOOKUP($A3, 'Matriz POA 2024-TRABAJO'!$A$5:$CY$9142,23,FALSE)</f>
        <v>NUEVA</v>
      </c>
      <c r="G3" s="443" t="str">
        <f>VLOOKUP($A3, 'Matriz POA 2024-TRABAJO'!$A$5:$CY$9142,24,FALSE)</f>
        <v>Pago Mensual del servicio de Energía Eléctrica del Museo Bahía de Caráquez</v>
      </c>
      <c r="H3" s="442" t="str">
        <f>VLOOKUP($A3, 'Matriz POA 2024-TRABAJO'!$A$5:$CY$9142,25,FALSE)</f>
        <v>0035</v>
      </c>
      <c r="I3" s="442" t="str">
        <f>VLOOKUP($A3, 'Matriz POA 2024-TRABAJO'!$A$5:$CY$9142,26,FALSE)</f>
        <v>80</v>
      </c>
      <c r="J3" s="442" t="str">
        <f>VLOOKUP($A3, 'Matriz POA 2024-TRABAJO'!$A$5:$CY$9142,27,FALSE)</f>
        <v>000</v>
      </c>
      <c r="K3" s="444" t="str">
        <f>VLOOKUP($A3, 'Matriz POA 2024-TRABAJO'!$A$5:$CY$9142,28,FALSE)</f>
        <v>002</v>
      </c>
      <c r="L3" s="444" t="str">
        <f>VLOOKUP($A3, 'Matriz POA 2024-TRABAJO'!$A$5:$CY$9142,29,FALSE)</f>
        <v>53</v>
      </c>
      <c r="M3" s="444">
        <f>VLOOKUP($A3, 'Matriz POA 2024-TRABAJO'!$A$5:$CY$9142,30,FALSE)</f>
        <v>530104</v>
      </c>
      <c r="N3" s="444" t="str">
        <f>VLOOKUP($A3, 'Matriz POA 2024-TRABAJO'!$A$5:$CY$9142,33,FALSE)</f>
        <v>001</v>
      </c>
      <c r="O3" s="444" t="str">
        <f>VLOOKUP($A3, 'Matriz POA 2024-TRABAJO'!$A$5:$CY$9142,34,FALSE)</f>
        <v>0000</v>
      </c>
      <c r="P3" s="444" t="str">
        <f>VLOOKUP($A3, 'Matriz POA 2024-TRABAJO'!$A$5:$CY$9142,35,FALSE)</f>
        <v>0000</v>
      </c>
      <c r="Q3" s="445">
        <f>VLOOKUP($A3, 'Matriz POA 2024-TRABAJO'!$A$5:$CY$9142,47,FALSE)</f>
        <v>6402.17</v>
      </c>
      <c r="R3" s="446">
        <f t="shared" si="0"/>
        <v>0</v>
      </c>
      <c r="S3" s="446">
        <f t="shared" si="1"/>
        <v>6402.17</v>
      </c>
      <c r="T3" s="446">
        <f t="shared" si="2"/>
        <v>0</v>
      </c>
      <c r="U3" s="446">
        <f t="shared" si="3"/>
        <v>0</v>
      </c>
      <c r="V3" s="446" t="str">
        <f t="shared" si="4"/>
        <v>259</v>
      </c>
      <c r="W3" s="511">
        <v>2</v>
      </c>
      <c r="X3" s="404" t="s">
        <v>1305</v>
      </c>
      <c r="Y3" s="404" t="s">
        <v>1300</v>
      </c>
      <c r="Z3" s="404">
        <f>9000-9000</f>
        <v>0</v>
      </c>
      <c r="AA3" s="404">
        <f>9000-9000</f>
        <v>0</v>
      </c>
      <c r="AB3" s="398">
        <f t="shared" si="5"/>
        <v>0</v>
      </c>
      <c r="AC3" s="512">
        <v>59</v>
      </c>
      <c r="AD3" s="404" t="s">
        <v>1305</v>
      </c>
      <c r="AE3" s="404" t="s">
        <v>1302</v>
      </c>
      <c r="AF3" s="404">
        <f>9000-9000</f>
        <v>0</v>
      </c>
      <c r="AG3" s="398">
        <f>9000-2597.83</f>
        <v>6402.17</v>
      </c>
      <c r="AH3" s="398">
        <f t="shared" ref="AH3" si="26">IF(AD3="APROBADO",AF3-AG3,0)</f>
        <v>0</v>
      </c>
      <c r="AI3" s="405"/>
      <c r="AJ3" s="404"/>
      <c r="AK3" s="404"/>
      <c r="AL3" s="404"/>
      <c r="AM3" s="398"/>
      <c r="AN3" s="398">
        <f t="shared" si="6"/>
        <v>0</v>
      </c>
      <c r="AO3" s="398"/>
      <c r="AP3" s="404"/>
      <c r="AQ3" s="404"/>
      <c r="AR3" s="404"/>
      <c r="AS3" s="398"/>
      <c r="AT3" s="398">
        <f t="shared" si="7"/>
        <v>0</v>
      </c>
      <c r="AU3" s="398"/>
      <c r="AV3" s="404"/>
      <c r="AW3" s="404"/>
      <c r="AX3" s="404"/>
      <c r="AY3" s="404"/>
      <c r="AZ3" s="398">
        <f t="shared" si="8"/>
        <v>0</v>
      </c>
      <c r="BA3" s="398"/>
      <c r="BB3" s="404"/>
      <c r="BC3" s="404"/>
      <c r="BD3" s="404"/>
      <c r="BE3" s="398"/>
      <c r="BF3" s="398">
        <f t="shared" si="9"/>
        <v>0</v>
      </c>
      <c r="BG3" s="398"/>
      <c r="BH3" s="404"/>
      <c r="BI3" s="404"/>
      <c r="BJ3" s="404"/>
      <c r="BK3" s="398"/>
      <c r="BL3" s="398">
        <f t="shared" si="10"/>
        <v>0</v>
      </c>
      <c r="BM3" s="398"/>
      <c r="BN3" s="404"/>
      <c r="BO3" s="404"/>
      <c r="BP3" s="404"/>
      <c r="BQ3" s="398"/>
      <c r="BR3" s="398">
        <f t="shared" si="11"/>
        <v>0</v>
      </c>
      <c r="BS3" s="398"/>
      <c r="BT3" s="404"/>
      <c r="BU3" s="404"/>
      <c r="BV3" s="404"/>
      <c r="BW3" s="398"/>
      <c r="BX3" s="398">
        <f t="shared" si="12"/>
        <v>0</v>
      </c>
      <c r="BY3" s="398"/>
      <c r="BZ3" s="404"/>
      <c r="CA3" s="404"/>
      <c r="CB3" s="404"/>
      <c r="CC3" s="398"/>
      <c r="CD3" s="398">
        <f t="shared" si="13"/>
        <v>0</v>
      </c>
      <c r="CE3" s="398"/>
      <c r="CF3" s="404"/>
      <c r="CG3" s="404"/>
      <c r="CH3" s="404"/>
      <c r="CI3" s="398"/>
      <c r="CJ3" s="398">
        <f t="shared" si="14"/>
        <v>0</v>
      </c>
      <c r="CK3" s="398"/>
      <c r="CL3" s="404"/>
      <c r="CM3" s="404"/>
      <c r="CN3" s="404"/>
      <c r="CO3" s="398"/>
      <c r="CP3" s="398">
        <f t="shared" si="15"/>
        <v>0</v>
      </c>
      <c r="CQ3" s="398"/>
      <c r="CR3" s="404"/>
      <c r="CS3" s="404"/>
      <c r="CT3" s="404"/>
      <c r="CU3" s="398"/>
      <c r="CV3" s="398">
        <f t="shared" si="16"/>
        <v>0</v>
      </c>
      <c r="CW3" s="398"/>
      <c r="CX3" s="404"/>
      <c r="CY3" s="404"/>
      <c r="CZ3" s="404"/>
      <c r="DA3" s="398"/>
      <c r="DB3" s="398">
        <f t="shared" si="17"/>
        <v>0</v>
      </c>
      <c r="DC3" s="398"/>
      <c r="DD3" s="404"/>
      <c r="DE3" s="404"/>
      <c r="DF3" s="404"/>
      <c r="DG3" s="398"/>
      <c r="DH3" s="398">
        <f t="shared" si="18"/>
        <v>0</v>
      </c>
      <c r="DI3" s="398"/>
      <c r="DJ3" s="404"/>
      <c r="DK3" s="404"/>
      <c r="DL3" s="404"/>
      <c r="DM3" s="398"/>
      <c r="DN3" s="398">
        <f t="shared" si="19"/>
        <v>0</v>
      </c>
      <c r="DO3" s="398"/>
      <c r="DP3" s="404"/>
      <c r="DQ3" s="404"/>
      <c r="DR3" s="404"/>
      <c r="DS3" s="398"/>
      <c r="DT3" s="398">
        <f t="shared" si="20"/>
        <v>0</v>
      </c>
      <c r="DU3" s="398"/>
      <c r="DV3" s="404"/>
      <c r="DW3" s="404"/>
      <c r="DX3" s="404"/>
      <c r="DY3" s="398"/>
      <c r="DZ3" s="398">
        <f t="shared" si="21"/>
        <v>0</v>
      </c>
      <c r="EA3" s="398"/>
      <c r="EB3" s="404"/>
      <c r="EC3" s="404"/>
      <c r="ED3" s="404"/>
      <c r="EE3" s="398"/>
      <c r="EF3" s="398">
        <f t="shared" si="22"/>
        <v>0</v>
      </c>
      <c r="EG3" s="398"/>
      <c r="EH3" s="404"/>
      <c r="EI3" s="404"/>
      <c r="EJ3" s="404"/>
      <c r="EK3" s="398"/>
      <c r="EL3" s="398">
        <f t="shared" si="23"/>
        <v>0</v>
      </c>
      <c r="EM3" s="398"/>
      <c r="EN3" s="404"/>
      <c r="EO3" s="404"/>
      <c r="EP3" s="404"/>
      <c r="EQ3" s="398"/>
      <c r="ER3" s="398">
        <f t="shared" si="24"/>
        <v>0</v>
      </c>
      <c r="ES3" s="398"/>
      <c r="ET3" s="404"/>
      <c r="EU3" s="404"/>
      <c r="EV3" s="404"/>
      <c r="EW3" s="398"/>
      <c r="EX3" s="398">
        <f t="shared" si="25"/>
        <v>0</v>
      </c>
      <c r="EY3" s="398" t="e">
        <f>VLOOKUP($A3,[2]Devengado!$A$1:$AI$3,35,FALSE)</f>
        <v>#N/A</v>
      </c>
    </row>
    <row r="4" spans="1:155" ht="23.25" hidden="1" customHeight="1">
      <c r="A4" s="341">
        <v>430</v>
      </c>
      <c r="B4" s="442" t="str">
        <f>VLOOKUP($A4,  'Matriz POA 2024-TRABAJO'!$A$5:$CY$9142,11,FALSE)</f>
        <v>Corporación Ciudad Alfaro</v>
      </c>
      <c r="C4" s="442" t="str">
        <f>VLOOKUP($A4, 'Matriz POA 2024-TRABAJO'!$A$5:$CY$9142,14,FALSE)</f>
        <v>N/A</v>
      </c>
      <c r="D4" s="442" t="str">
        <f>VLOOKUP($A4, 'Matriz POA 2024-TRABAJO'!$A$5:$CY$9142,15,FALSE)</f>
        <v>N/A</v>
      </c>
      <c r="E4" s="442" t="str">
        <f>VLOOKUP($A4, 'Matriz POA 2024-TRABAJO'!$A$5:$CY$9142,18,FALSE)</f>
        <v>N/A</v>
      </c>
      <c r="F4" s="442" t="str">
        <f>VLOOKUP($A4, 'Matriz POA 2024-TRABAJO'!$A$5:$CY$9142,23,FALSE)</f>
        <v>NUEVA</v>
      </c>
      <c r="G4" s="443" t="str">
        <f>VLOOKUP($A4, 'Matriz POA 2024-TRABAJO'!$A$5:$CY$9142,24,FALSE)</f>
        <v>Pago del servicio de telefonía fija  de las Sedes Museo y Centro Cultural de Manta, Museo Portoviejo y Archivo Histórico, y Museo Bahía de Caráquez de los años 2022 y 2023 cuya razón social se encuentra a nombre del Ministerio de Cultura y Patrimonio</v>
      </c>
      <c r="H4" s="442" t="str">
        <f>VLOOKUP($A4, 'Matriz POA 2024-TRABAJO'!$A$5:$CY$9142,25,FALSE)</f>
        <v>0035</v>
      </c>
      <c r="I4" s="442" t="str">
        <f>VLOOKUP($A4, 'Matriz POA 2024-TRABAJO'!$A$5:$CY$9142,26,FALSE)</f>
        <v>80</v>
      </c>
      <c r="J4" s="442" t="str">
        <f>VLOOKUP($A4, 'Matriz POA 2024-TRABAJO'!$A$5:$CY$9142,27,FALSE)</f>
        <v>000</v>
      </c>
      <c r="K4" s="444" t="str">
        <f>VLOOKUP($A4, 'Matriz POA 2024-TRABAJO'!$A$5:$CY$9142,28,FALSE)</f>
        <v>002</v>
      </c>
      <c r="L4" s="444" t="str">
        <f>VLOOKUP($A4, 'Matriz POA 2024-TRABAJO'!$A$5:$CY$9142,29,FALSE)</f>
        <v>53</v>
      </c>
      <c r="M4" s="444">
        <f>VLOOKUP($A4, 'Matriz POA 2024-TRABAJO'!$A$5:$CY$9142,30,FALSE)</f>
        <v>530105</v>
      </c>
      <c r="N4" s="444" t="str">
        <f>VLOOKUP($A4, 'Matriz POA 2024-TRABAJO'!$A$5:$CY$9142,33,FALSE)</f>
        <v>001</v>
      </c>
      <c r="O4" s="444" t="str">
        <f>VLOOKUP($A4, 'Matriz POA 2024-TRABAJO'!$A$5:$CY$9142,34,FALSE)</f>
        <v>0000</v>
      </c>
      <c r="P4" s="444" t="str">
        <f>VLOOKUP($A4, 'Matriz POA 2024-TRABAJO'!$A$5:$CY$9142,35,FALSE)</f>
        <v>0000</v>
      </c>
      <c r="Q4" s="445">
        <f>VLOOKUP($A4, 'Matriz POA 2024-TRABAJO'!$A$5:$CY$9142,47,FALSE)</f>
        <v>0</v>
      </c>
      <c r="R4" s="446">
        <f t="shared" si="0"/>
        <v>0</v>
      </c>
      <c r="S4" s="446">
        <f t="shared" si="1"/>
        <v>0</v>
      </c>
      <c r="T4" s="446">
        <f t="shared" si="2"/>
        <v>0</v>
      </c>
      <c r="U4" s="446">
        <f t="shared" si="3"/>
        <v>0</v>
      </c>
      <c r="V4" s="446" t="str">
        <f t="shared" si="4"/>
        <v>4</v>
      </c>
      <c r="W4" s="511">
        <v>4</v>
      </c>
      <c r="X4" s="404" t="s">
        <v>1305</v>
      </c>
      <c r="Y4" s="404" t="s">
        <v>1300</v>
      </c>
      <c r="Z4" s="404">
        <f>3000-3000</f>
        <v>0</v>
      </c>
      <c r="AA4" s="404">
        <f>3000-3000</f>
        <v>0</v>
      </c>
      <c r="AB4" s="398">
        <f t="shared" si="5"/>
        <v>0</v>
      </c>
      <c r="AC4" s="403"/>
      <c r="AD4" s="404"/>
      <c r="AE4" s="404"/>
      <c r="AF4" s="404"/>
      <c r="AG4" s="398"/>
      <c r="AH4" s="398">
        <f>IF(AD4="APROBADO",AF4-AG4,0)</f>
        <v>0</v>
      </c>
      <c r="AI4" s="405"/>
      <c r="AJ4" s="404"/>
      <c r="AK4" s="404"/>
      <c r="AL4" s="404"/>
      <c r="AM4" s="398"/>
      <c r="AN4" s="398">
        <f t="shared" si="6"/>
        <v>0</v>
      </c>
      <c r="AO4" s="398"/>
      <c r="AP4" s="404"/>
      <c r="AQ4" s="404"/>
      <c r="AR4" s="404"/>
      <c r="AS4" s="398"/>
      <c r="AT4" s="398">
        <f t="shared" si="7"/>
        <v>0</v>
      </c>
      <c r="AU4" s="398"/>
      <c r="AV4" s="404"/>
      <c r="AW4" s="404"/>
      <c r="AX4" s="404"/>
      <c r="AY4" s="404"/>
      <c r="AZ4" s="398">
        <f t="shared" si="8"/>
        <v>0</v>
      </c>
      <c r="BA4" s="398"/>
      <c r="BB4" s="404"/>
      <c r="BC4" s="404"/>
      <c r="BD4" s="404"/>
      <c r="BE4" s="398"/>
      <c r="BF4" s="398">
        <f t="shared" si="9"/>
        <v>0</v>
      </c>
      <c r="BG4" s="398"/>
      <c r="BH4" s="404"/>
      <c r="BI4" s="404"/>
      <c r="BJ4" s="404"/>
      <c r="BK4" s="398"/>
      <c r="BL4" s="398">
        <f t="shared" si="10"/>
        <v>0</v>
      </c>
      <c r="BM4" s="398"/>
      <c r="BN4" s="404"/>
      <c r="BO4" s="404"/>
      <c r="BP4" s="404"/>
      <c r="BQ4" s="398"/>
      <c r="BR4" s="398">
        <f t="shared" si="11"/>
        <v>0</v>
      </c>
      <c r="BS4" s="398"/>
      <c r="BT4" s="404"/>
      <c r="BU4" s="404"/>
      <c r="BV4" s="404"/>
      <c r="BW4" s="398"/>
      <c r="BX4" s="398">
        <f t="shared" si="12"/>
        <v>0</v>
      </c>
      <c r="BY4" s="398"/>
      <c r="BZ4" s="404"/>
      <c r="CA4" s="404"/>
      <c r="CB4" s="404"/>
      <c r="CC4" s="398"/>
      <c r="CD4" s="398">
        <f t="shared" si="13"/>
        <v>0</v>
      </c>
      <c r="CE4" s="398"/>
      <c r="CF4" s="404"/>
      <c r="CG4" s="404"/>
      <c r="CH4" s="404"/>
      <c r="CI4" s="398"/>
      <c r="CJ4" s="398">
        <f t="shared" si="14"/>
        <v>0</v>
      </c>
      <c r="CK4" s="398"/>
      <c r="CL4" s="404"/>
      <c r="CM4" s="404"/>
      <c r="CN4" s="404"/>
      <c r="CO4" s="398"/>
      <c r="CP4" s="398">
        <f t="shared" si="15"/>
        <v>0</v>
      </c>
      <c r="CQ4" s="398"/>
      <c r="CR4" s="404"/>
      <c r="CS4" s="404"/>
      <c r="CT4" s="404"/>
      <c r="CU4" s="398"/>
      <c r="CV4" s="398">
        <f t="shared" si="16"/>
        <v>0</v>
      </c>
      <c r="CW4" s="398"/>
      <c r="CX4" s="404"/>
      <c r="CY4" s="404"/>
      <c r="CZ4" s="404"/>
      <c r="DA4" s="398"/>
      <c r="DB4" s="398">
        <f t="shared" si="17"/>
        <v>0</v>
      </c>
      <c r="DC4" s="398"/>
      <c r="DD4" s="404"/>
      <c r="DE4" s="404"/>
      <c r="DF4" s="404"/>
      <c r="DG4" s="398"/>
      <c r="DH4" s="398">
        <f t="shared" si="18"/>
        <v>0</v>
      </c>
      <c r="DI4" s="398"/>
      <c r="DJ4" s="404"/>
      <c r="DK4" s="404"/>
      <c r="DL4" s="404"/>
      <c r="DM4" s="398"/>
      <c r="DN4" s="398">
        <f t="shared" si="19"/>
        <v>0</v>
      </c>
      <c r="DO4" s="398"/>
      <c r="DP4" s="404"/>
      <c r="DQ4" s="404"/>
      <c r="DR4" s="404"/>
      <c r="DS4" s="398"/>
      <c r="DT4" s="398">
        <f t="shared" si="20"/>
        <v>0</v>
      </c>
      <c r="DU4" s="398"/>
      <c r="DV4" s="404"/>
      <c r="DW4" s="404"/>
      <c r="DX4" s="404"/>
      <c r="DY4" s="398"/>
      <c r="DZ4" s="398">
        <f t="shared" si="21"/>
        <v>0</v>
      </c>
      <c r="EA4" s="398"/>
      <c r="EB4" s="404"/>
      <c r="EC4" s="404"/>
      <c r="ED4" s="404"/>
      <c r="EE4" s="398"/>
      <c r="EF4" s="398">
        <f t="shared" si="22"/>
        <v>0</v>
      </c>
      <c r="EG4" s="398"/>
      <c r="EH4" s="404"/>
      <c r="EI4" s="404"/>
      <c r="EJ4" s="404"/>
      <c r="EK4" s="398"/>
      <c r="EL4" s="398">
        <f t="shared" si="23"/>
        <v>0</v>
      </c>
      <c r="EM4" s="398"/>
      <c r="EN4" s="404"/>
      <c r="EO4" s="404"/>
      <c r="EP4" s="404"/>
      <c r="EQ4" s="398"/>
      <c r="ER4" s="398">
        <f t="shared" si="24"/>
        <v>0</v>
      </c>
      <c r="ES4" s="398"/>
      <c r="ET4" s="404"/>
      <c r="EU4" s="404"/>
      <c r="EV4" s="404"/>
      <c r="EW4" s="398"/>
      <c r="EX4" s="398">
        <f t="shared" si="25"/>
        <v>0</v>
      </c>
      <c r="EY4" s="398" t="e">
        <f>VLOOKUP($A4,[2]Devengado!$A$1:$AI$3,35,FALSE)</f>
        <v>#N/A</v>
      </c>
    </row>
    <row r="5" spans="1:155" ht="23.25" hidden="1" customHeight="1">
      <c r="A5" s="341">
        <v>432</v>
      </c>
      <c r="B5" s="442" t="str">
        <f>VLOOKUP($A5,  'Matriz POA 2024-TRABAJO'!$A$5:$CY$9142,11,FALSE)</f>
        <v>Corporación Ciudad Alfaro</v>
      </c>
      <c r="C5" s="442" t="str">
        <f>VLOOKUP($A5, 'Matriz POA 2024-TRABAJO'!$A$5:$CY$9142,14,FALSE)</f>
        <v>N/A</v>
      </c>
      <c r="D5" s="442" t="str">
        <f>VLOOKUP($A5, 'Matriz POA 2024-TRABAJO'!$A$5:$CY$9142,15,FALSE)</f>
        <v>N/A</v>
      </c>
      <c r="E5" s="442" t="str">
        <f>VLOOKUP($A5, 'Matriz POA 2024-TRABAJO'!$A$5:$CY$9142,18,FALSE)</f>
        <v>N/A</v>
      </c>
      <c r="F5" s="442" t="str">
        <f>VLOOKUP($A5, 'Matriz POA 2024-TRABAJO'!$A$5:$CY$9142,23,FALSE)</f>
        <v>NUEVA</v>
      </c>
      <c r="G5" s="443" t="str">
        <f>VLOOKUP($A5, 'Matriz POA 2024-TRABAJO'!$A$5:$CY$9142,24,FALSE)</f>
        <v>Pago del servicio de telefonía fija e internet de la Corporación Ciudad Alfaro</v>
      </c>
      <c r="H5" s="442" t="str">
        <f>VLOOKUP($A5, 'Matriz POA 2024-TRABAJO'!$A$5:$CY$9142,25,FALSE)</f>
        <v>0035</v>
      </c>
      <c r="I5" s="442" t="str">
        <f>VLOOKUP($A5, 'Matriz POA 2024-TRABAJO'!$A$5:$CY$9142,26,FALSE)</f>
        <v>80</v>
      </c>
      <c r="J5" s="442" t="str">
        <f>VLOOKUP($A5, 'Matriz POA 2024-TRABAJO'!$A$5:$CY$9142,27,FALSE)</f>
        <v>000</v>
      </c>
      <c r="K5" s="444" t="str">
        <f>VLOOKUP($A5, 'Matriz POA 2024-TRABAJO'!$A$5:$CY$9142,28,FALSE)</f>
        <v>002</v>
      </c>
      <c r="L5" s="444" t="str">
        <f>VLOOKUP($A5, 'Matriz POA 2024-TRABAJO'!$A$5:$CY$9142,29,FALSE)</f>
        <v>53</v>
      </c>
      <c r="M5" s="444">
        <f>VLOOKUP($A5, 'Matriz POA 2024-TRABAJO'!$A$5:$CY$9142,30,FALSE)</f>
        <v>530105</v>
      </c>
      <c r="N5" s="444" t="str">
        <f>VLOOKUP($A5, 'Matriz POA 2024-TRABAJO'!$A$5:$CY$9142,33,FALSE)</f>
        <v>001</v>
      </c>
      <c r="O5" s="444" t="str">
        <f>VLOOKUP($A5, 'Matriz POA 2024-TRABAJO'!$A$5:$CY$9142,34,FALSE)</f>
        <v>0000</v>
      </c>
      <c r="P5" s="444" t="str">
        <f>VLOOKUP($A5, 'Matriz POA 2024-TRABAJO'!$A$5:$CY$9142,35,FALSE)</f>
        <v>0000</v>
      </c>
      <c r="Q5" s="445">
        <f>VLOOKUP($A5, 'Matriz POA 2024-TRABAJO'!$A$5:$CY$9142,47,FALSE)</f>
        <v>7438.36</v>
      </c>
      <c r="R5" s="446">
        <f t="shared" si="0"/>
        <v>1300</v>
      </c>
      <c r="S5" s="446">
        <f t="shared" si="1"/>
        <v>7438.36</v>
      </c>
      <c r="T5" s="446">
        <f t="shared" si="2"/>
        <v>0</v>
      </c>
      <c r="U5" s="446">
        <f t="shared" si="3"/>
        <v>0</v>
      </c>
      <c r="V5" s="446" t="str">
        <f t="shared" si="4"/>
        <v>598125</v>
      </c>
      <c r="W5" s="511">
        <v>5</v>
      </c>
      <c r="X5" s="404" t="s">
        <v>1305</v>
      </c>
      <c r="Y5" s="404" t="s">
        <v>1300</v>
      </c>
      <c r="Z5" s="404">
        <f>8000-8000</f>
        <v>0</v>
      </c>
      <c r="AA5" s="404">
        <f>8000-4183.88</f>
        <v>3816.12</v>
      </c>
      <c r="AB5" s="398">
        <f t="shared" si="5"/>
        <v>0</v>
      </c>
      <c r="AC5" s="512">
        <v>98</v>
      </c>
      <c r="AD5" s="404" t="s">
        <v>1305</v>
      </c>
      <c r="AE5" s="404" t="s">
        <v>1997</v>
      </c>
      <c r="AF5" s="404">
        <f>4183.88-4183.88</f>
        <v>0</v>
      </c>
      <c r="AG5" s="398">
        <f>4183.88-1861.64</f>
        <v>2322.2399999999998</v>
      </c>
      <c r="AH5" s="398">
        <f t="shared" ref="AH5" si="27">IF(AD5="APROBADO",AF5-AG5,0)</f>
        <v>0</v>
      </c>
      <c r="AI5" s="405">
        <v>125</v>
      </c>
      <c r="AJ5" s="404" t="s">
        <v>1299</v>
      </c>
      <c r="AK5" s="404" t="s">
        <v>2030</v>
      </c>
      <c r="AL5" s="404">
        <v>1300</v>
      </c>
      <c r="AM5" s="398">
        <v>1300</v>
      </c>
      <c r="AN5" s="398">
        <f t="shared" si="6"/>
        <v>0</v>
      </c>
      <c r="AO5" s="398"/>
      <c r="AP5" s="404"/>
      <c r="AQ5" s="404"/>
      <c r="AR5" s="404"/>
      <c r="AS5" s="398"/>
      <c r="AT5" s="398">
        <f t="shared" si="7"/>
        <v>0</v>
      </c>
      <c r="AU5" s="398"/>
      <c r="AV5" s="404"/>
      <c r="AW5" s="404"/>
      <c r="AX5" s="404"/>
      <c r="AY5" s="404"/>
      <c r="AZ5" s="398">
        <f t="shared" si="8"/>
        <v>0</v>
      </c>
      <c r="BA5" s="398"/>
      <c r="BB5" s="404"/>
      <c r="BC5" s="404"/>
      <c r="BD5" s="404"/>
      <c r="BE5" s="398"/>
      <c r="BF5" s="398">
        <f t="shared" si="9"/>
        <v>0</v>
      </c>
      <c r="BG5" s="398"/>
      <c r="BH5" s="404"/>
      <c r="BI5" s="404"/>
      <c r="BJ5" s="404"/>
      <c r="BK5" s="398"/>
      <c r="BL5" s="398">
        <f t="shared" si="10"/>
        <v>0</v>
      </c>
      <c r="BM5" s="398"/>
      <c r="BN5" s="404"/>
      <c r="BO5" s="404"/>
      <c r="BP5" s="404"/>
      <c r="BQ5" s="398"/>
      <c r="BR5" s="398">
        <f t="shared" si="11"/>
        <v>0</v>
      </c>
      <c r="BS5" s="398"/>
      <c r="BT5" s="404"/>
      <c r="BU5" s="404"/>
      <c r="BV5" s="404"/>
      <c r="BW5" s="398"/>
      <c r="BX5" s="398">
        <f t="shared" si="12"/>
        <v>0</v>
      </c>
      <c r="BY5" s="398"/>
      <c r="BZ5" s="404"/>
      <c r="CA5" s="404"/>
      <c r="CB5" s="404"/>
      <c r="CC5" s="398"/>
      <c r="CD5" s="398">
        <f t="shared" si="13"/>
        <v>0</v>
      </c>
      <c r="CE5" s="398"/>
      <c r="CF5" s="404"/>
      <c r="CG5" s="404"/>
      <c r="CH5" s="404"/>
      <c r="CI5" s="398"/>
      <c r="CJ5" s="398">
        <f t="shared" si="14"/>
        <v>0</v>
      </c>
      <c r="CK5" s="398"/>
      <c r="CL5" s="404"/>
      <c r="CM5" s="404"/>
      <c r="CN5" s="404"/>
      <c r="CO5" s="398"/>
      <c r="CP5" s="398">
        <f t="shared" si="15"/>
        <v>0</v>
      </c>
      <c r="CQ5" s="398"/>
      <c r="CR5" s="404"/>
      <c r="CS5" s="404"/>
      <c r="CT5" s="404"/>
      <c r="CU5" s="398"/>
      <c r="CV5" s="398">
        <f t="shared" si="16"/>
        <v>0</v>
      </c>
      <c r="CW5" s="398"/>
      <c r="CX5" s="404"/>
      <c r="CY5" s="404"/>
      <c r="CZ5" s="404"/>
      <c r="DA5" s="398"/>
      <c r="DB5" s="398">
        <f t="shared" si="17"/>
        <v>0</v>
      </c>
      <c r="DC5" s="398"/>
      <c r="DD5" s="404"/>
      <c r="DE5" s="404"/>
      <c r="DF5" s="404"/>
      <c r="DG5" s="398"/>
      <c r="DH5" s="398">
        <f t="shared" si="18"/>
        <v>0</v>
      </c>
      <c r="DI5" s="398"/>
      <c r="DJ5" s="404"/>
      <c r="DK5" s="404"/>
      <c r="DL5" s="404"/>
      <c r="DM5" s="398"/>
      <c r="DN5" s="398">
        <f t="shared" si="19"/>
        <v>0</v>
      </c>
      <c r="DO5" s="398"/>
      <c r="DP5" s="404"/>
      <c r="DQ5" s="404"/>
      <c r="DR5" s="404"/>
      <c r="DS5" s="398"/>
      <c r="DT5" s="398">
        <f t="shared" si="20"/>
        <v>0</v>
      </c>
      <c r="DU5" s="398"/>
      <c r="DV5" s="404"/>
      <c r="DW5" s="404"/>
      <c r="DX5" s="404"/>
      <c r="DY5" s="398"/>
      <c r="DZ5" s="398">
        <f t="shared" si="21"/>
        <v>0</v>
      </c>
      <c r="EA5" s="398"/>
      <c r="EB5" s="404"/>
      <c r="EC5" s="404"/>
      <c r="ED5" s="404"/>
      <c r="EE5" s="398"/>
      <c r="EF5" s="398">
        <f t="shared" si="22"/>
        <v>0</v>
      </c>
      <c r="EG5" s="398"/>
      <c r="EH5" s="404"/>
      <c r="EI5" s="404"/>
      <c r="EJ5" s="404"/>
      <c r="EK5" s="398"/>
      <c r="EL5" s="398">
        <f t="shared" si="23"/>
        <v>0</v>
      </c>
      <c r="EM5" s="398"/>
      <c r="EN5" s="404"/>
      <c r="EO5" s="404"/>
      <c r="EP5" s="404"/>
      <c r="EQ5" s="398"/>
      <c r="ER5" s="398">
        <f t="shared" si="24"/>
        <v>0</v>
      </c>
      <c r="ES5" s="398"/>
      <c r="ET5" s="404"/>
      <c r="EU5" s="404"/>
      <c r="EV5" s="404"/>
      <c r="EW5" s="398"/>
      <c r="EX5" s="398">
        <f t="shared" si="25"/>
        <v>0</v>
      </c>
      <c r="EY5" s="398" t="e">
        <f>VLOOKUP($A5,[2]Devengado!$A$1:$AI$3,35,FALSE)</f>
        <v>#N/A</v>
      </c>
    </row>
    <row r="6" spans="1:155" ht="23.25" hidden="1" customHeight="1">
      <c r="A6" s="341">
        <v>442</v>
      </c>
      <c r="B6" s="442" t="str">
        <f>VLOOKUP($A6,  'Matriz POA 2024-TRABAJO'!$A$5:$CY$9142,11,FALSE)</f>
        <v>Corporación Ciudad Alfaro</v>
      </c>
      <c r="C6" s="442" t="str">
        <f>VLOOKUP($A6, 'Matriz POA 2024-TRABAJO'!$A$5:$CY$9142,14,FALSE)</f>
        <v>N/A</v>
      </c>
      <c r="D6" s="442" t="str">
        <f>VLOOKUP($A6, 'Matriz POA 2024-TRABAJO'!$A$5:$CY$9142,15,FALSE)</f>
        <v>N/A</v>
      </c>
      <c r="E6" s="442" t="str">
        <f>VLOOKUP($A6, 'Matriz POA 2024-TRABAJO'!$A$5:$CY$9142,18,FALSE)</f>
        <v>N/A</v>
      </c>
      <c r="F6" s="442" t="str">
        <f>VLOOKUP($A6, 'Matriz POA 2024-TRABAJO'!$A$5:$CY$9142,23,FALSE)</f>
        <v>ARRASTRE</v>
      </c>
      <c r="G6" s="443" t="str">
        <f>VLOOKUP($A6, 'Matriz POA 2024-TRABAJO'!$A$5:$CY$9142,24,FALSE)</f>
        <v>Pago del servicio de agua potable de los meses de Octubre, Noviembre y Diciembre del 2023 de la Corporación Ciudad Alfaro</v>
      </c>
      <c r="H6" s="442" t="str">
        <f>VLOOKUP($A6, 'Matriz POA 2024-TRABAJO'!$A$5:$CY$9142,25,FALSE)</f>
        <v>0035</v>
      </c>
      <c r="I6" s="442" t="str">
        <f>VLOOKUP($A6, 'Matriz POA 2024-TRABAJO'!$A$5:$CY$9142,26,FALSE)</f>
        <v>80</v>
      </c>
      <c r="J6" s="442" t="str">
        <f>VLOOKUP($A6, 'Matriz POA 2024-TRABAJO'!$A$5:$CY$9142,27,FALSE)</f>
        <v>000</v>
      </c>
      <c r="K6" s="444" t="str">
        <f>VLOOKUP($A6, 'Matriz POA 2024-TRABAJO'!$A$5:$CY$9142,28,FALSE)</f>
        <v>002</v>
      </c>
      <c r="L6" s="444" t="str">
        <f>VLOOKUP($A6, 'Matriz POA 2024-TRABAJO'!$A$5:$CY$9142,29,FALSE)</f>
        <v>53</v>
      </c>
      <c r="M6" s="444">
        <f>VLOOKUP($A6, 'Matriz POA 2024-TRABAJO'!$A$5:$CY$9142,30,FALSE)</f>
        <v>530101</v>
      </c>
      <c r="N6" s="444" t="str">
        <f>VLOOKUP($A6, 'Matriz POA 2024-TRABAJO'!$A$5:$CY$9142,33,FALSE)</f>
        <v>001</v>
      </c>
      <c r="O6" s="444" t="str">
        <f>VLOOKUP($A6, 'Matriz POA 2024-TRABAJO'!$A$5:$CY$9142,34,FALSE)</f>
        <v>0000</v>
      </c>
      <c r="P6" s="444" t="str">
        <f>VLOOKUP($A6, 'Matriz POA 2024-TRABAJO'!$A$5:$CY$9142,35,FALSE)</f>
        <v>0000</v>
      </c>
      <c r="Q6" s="445">
        <f>VLOOKUP($A6, 'Matriz POA 2024-TRABAJO'!$A$5:$CY$9142,47,FALSE)</f>
        <v>3.7000000000000455</v>
      </c>
      <c r="R6" s="446">
        <f t="shared" si="0"/>
        <v>0</v>
      </c>
      <c r="S6" s="446">
        <f t="shared" si="1"/>
        <v>3.7000000000000455</v>
      </c>
      <c r="T6" s="446">
        <f t="shared" si="2"/>
        <v>0</v>
      </c>
      <c r="U6" s="446">
        <f t="shared" si="3"/>
        <v>0</v>
      </c>
      <c r="V6" s="446" t="str">
        <f t="shared" si="4"/>
        <v>6</v>
      </c>
      <c r="W6" s="511">
        <v>6</v>
      </c>
      <c r="X6" s="404" t="s">
        <v>1305</v>
      </c>
      <c r="Y6" s="404" t="s">
        <v>1300</v>
      </c>
      <c r="Z6" s="404">
        <f>600-600</f>
        <v>0</v>
      </c>
      <c r="AA6" s="404">
        <f>600-596.3</f>
        <v>3.7000000000000455</v>
      </c>
      <c r="AB6" s="398">
        <f t="shared" si="5"/>
        <v>0</v>
      </c>
      <c r="AC6" s="403"/>
      <c r="AD6" s="404"/>
      <c r="AE6" s="404"/>
      <c r="AF6" s="404"/>
      <c r="AG6" s="398"/>
      <c r="AH6" s="398">
        <f>IF(AD6="APROBADO",AF6-AG6,0)</f>
        <v>0</v>
      </c>
      <c r="AI6" s="405"/>
      <c r="AJ6" s="404"/>
      <c r="AK6" s="404"/>
      <c r="AL6" s="404"/>
      <c r="AM6" s="398"/>
      <c r="AN6" s="398">
        <f t="shared" si="6"/>
        <v>0</v>
      </c>
      <c r="AO6" s="398"/>
      <c r="AP6" s="404"/>
      <c r="AQ6" s="404"/>
      <c r="AR6" s="404"/>
      <c r="AS6" s="398"/>
      <c r="AT6" s="398">
        <f t="shared" si="7"/>
        <v>0</v>
      </c>
      <c r="AU6" s="398"/>
      <c r="AV6" s="404"/>
      <c r="AW6" s="404"/>
      <c r="AX6" s="404"/>
      <c r="AY6" s="404"/>
      <c r="AZ6" s="398">
        <f t="shared" si="8"/>
        <v>0</v>
      </c>
      <c r="BA6" s="398"/>
      <c r="BB6" s="404"/>
      <c r="BC6" s="404"/>
      <c r="BD6" s="404"/>
      <c r="BE6" s="398"/>
      <c r="BF6" s="398">
        <f t="shared" si="9"/>
        <v>0</v>
      </c>
      <c r="BG6" s="398"/>
      <c r="BH6" s="404"/>
      <c r="BI6" s="404"/>
      <c r="BJ6" s="404"/>
      <c r="BK6" s="398"/>
      <c r="BL6" s="398">
        <f t="shared" si="10"/>
        <v>0</v>
      </c>
      <c r="BM6" s="398"/>
      <c r="BN6" s="404"/>
      <c r="BO6" s="404"/>
      <c r="BP6" s="404"/>
      <c r="BQ6" s="398"/>
      <c r="BR6" s="398">
        <f t="shared" si="11"/>
        <v>0</v>
      </c>
      <c r="BS6" s="398"/>
      <c r="BT6" s="404"/>
      <c r="BU6" s="404"/>
      <c r="BV6" s="404"/>
      <c r="BW6" s="398"/>
      <c r="BX6" s="398">
        <f t="shared" si="12"/>
        <v>0</v>
      </c>
      <c r="BY6" s="398"/>
      <c r="BZ6" s="404"/>
      <c r="CA6" s="404"/>
      <c r="CB6" s="404"/>
      <c r="CC6" s="398"/>
      <c r="CD6" s="398">
        <f t="shared" si="13"/>
        <v>0</v>
      </c>
      <c r="CE6" s="398"/>
      <c r="CF6" s="404"/>
      <c r="CG6" s="404"/>
      <c r="CH6" s="404"/>
      <c r="CI6" s="398"/>
      <c r="CJ6" s="398">
        <f t="shared" si="14"/>
        <v>0</v>
      </c>
      <c r="CK6" s="398"/>
      <c r="CL6" s="404"/>
      <c r="CM6" s="404"/>
      <c r="CN6" s="404"/>
      <c r="CO6" s="398"/>
      <c r="CP6" s="398">
        <f t="shared" si="15"/>
        <v>0</v>
      </c>
      <c r="CQ6" s="398"/>
      <c r="CR6" s="404"/>
      <c r="CS6" s="404"/>
      <c r="CT6" s="404"/>
      <c r="CU6" s="398"/>
      <c r="CV6" s="398">
        <f t="shared" si="16"/>
        <v>0</v>
      </c>
      <c r="CW6" s="398"/>
      <c r="CX6" s="404"/>
      <c r="CY6" s="404"/>
      <c r="CZ6" s="404"/>
      <c r="DA6" s="398"/>
      <c r="DB6" s="398">
        <f t="shared" si="17"/>
        <v>0</v>
      </c>
      <c r="DC6" s="398"/>
      <c r="DD6" s="404"/>
      <c r="DE6" s="404"/>
      <c r="DF6" s="404"/>
      <c r="DG6" s="398"/>
      <c r="DH6" s="398">
        <f t="shared" si="18"/>
        <v>0</v>
      </c>
      <c r="DI6" s="398"/>
      <c r="DJ6" s="404"/>
      <c r="DK6" s="404"/>
      <c r="DL6" s="404"/>
      <c r="DM6" s="398"/>
      <c r="DN6" s="398">
        <f t="shared" si="19"/>
        <v>0</v>
      </c>
      <c r="DO6" s="398"/>
      <c r="DP6" s="404"/>
      <c r="DQ6" s="404"/>
      <c r="DR6" s="404"/>
      <c r="DS6" s="398"/>
      <c r="DT6" s="398">
        <f t="shared" si="20"/>
        <v>0</v>
      </c>
      <c r="DU6" s="398"/>
      <c r="DV6" s="404"/>
      <c r="DW6" s="404"/>
      <c r="DX6" s="404"/>
      <c r="DY6" s="398"/>
      <c r="DZ6" s="398">
        <f t="shared" si="21"/>
        <v>0</v>
      </c>
      <c r="EA6" s="398"/>
      <c r="EB6" s="404"/>
      <c r="EC6" s="404"/>
      <c r="ED6" s="404"/>
      <c r="EE6" s="398"/>
      <c r="EF6" s="398">
        <f t="shared" si="22"/>
        <v>0</v>
      </c>
      <c r="EG6" s="398"/>
      <c r="EH6" s="404"/>
      <c r="EI6" s="404"/>
      <c r="EJ6" s="404"/>
      <c r="EK6" s="398"/>
      <c r="EL6" s="398">
        <f t="shared" si="23"/>
        <v>0</v>
      </c>
      <c r="EM6" s="398"/>
      <c r="EN6" s="404"/>
      <c r="EO6" s="404"/>
      <c r="EP6" s="404"/>
      <c r="EQ6" s="398"/>
      <c r="ER6" s="398">
        <f t="shared" si="24"/>
        <v>0</v>
      </c>
      <c r="ES6" s="398"/>
      <c r="ET6" s="404"/>
      <c r="EU6" s="404"/>
      <c r="EV6" s="404"/>
      <c r="EW6" s="398"/>
      <c r="EX6" s="398">
        <f t="shared" si="25"/>
        <v>0</v>
      </c>
      <c r="EY6" s="398" t="e">
        <f>VLOOKUP($A6,[2]Devengado!$A$1:$AI$3,35,FALSE)</f>
        <v>#N/A</v>
      </c>
    </row>
    <row r="7" spans="1:155" ht="23.25" hidden="1" customHeight="1">
      <c r="A7" s="341">
        <v>443</v>
      </c>
      <c r="B7" s="442" t="str">
        <f>VLOOKUP($A7,  'Matriz POA 2024-TRABAJO'!$A$5:$CY$9142,11,FALSE)</f>
        <v>Corporación Ciudad Alfaro</v>
      </c>
      <c r="C7" s="442" t="str">
        <f>VLOOKUP($A7, 'Matriz POA 2024-TRABAJO'!$A$5:$CY$9142,14,FALSE)</f>
        <v>N/A</v>
      </c>
      <c r="D7" s="442" t="str">
        <f>VLOOKUP($A7, 'Matriz POA 2024-TRABAJO'!$A$5:$CY$9142,15,FALSE)</f>
        <v>N/A</v>
      </c>
      <c r="E7" s="442" t="str">
        <f>VLOOKUP($A7, 'Matriz POA 2024-TRABAJO'!$A$5:$CY$9142,18,FALSE)</f>
        <v>N/A</v>
      </c>
      <c r="F7" s="442" t="str">
        <f>VLOOKUP($A7, 'Matriz POA 2024-TRABAJO'!$A$5:$CY$9142,23,FALSE)</f>
        <v>NUEVA</v>
      </c>
      <c r="G7" s="443" t="str">
        <f>VLOOKUP($A7, 'Matriz POA 2024-TRABAJO'!$A$5:$CY$9142,24,FALSE)</f>
        <v>Pago del servicio de agua potable de la Corporación Ciudad Alfaro</v>
      </c>
      <c r="H7" s="442" t="str">
        <f>VLOOKUP($A7, 'Matriz POA 2024-TRABAJO'!$A$5:$CY$9142,25,FALSE)</f>
        <v>0035</v>
      </c>
      <c r="I7" s="442" t="str">
        <f>VLOOKUP($A7, 'Matriz POA 2024-TRABAJO'!$A$5:$CY$9142,26,FALSE)</f>
        <v>80</v>
      </c>
      <c r="J7" s="442" t="str">
        <f>VLOOKUP($A7, 'Matriz POA 2024-TRABAJO'!$A$5:$CY$9142,27,FALSE)</f>
        <v>000</v>
      </c>
      <c r="K7" s="444" t="str">
        <f>VLOOKUP($A7, 'Matriz POA 2024-TRABAJO'!$A$5:$CY$9142,28,FALSE)</f>
        <v>002</v>
      </c>
      <c r="L7" s="444" t="str">
        <f>VLOOKUP($A7, 'Matriz POA 2024-TRABAJO'!$A$5:$CY$9142,29,FALSE)</f>
        <v>53</v>
      </c>
      <c r="M7" s="444">
        <f>VLOOKUP($A7, 'Matriz POA 2024-TRABAJO'!$A$5:$CY$9142,30,FALSE)</f>
        <v>530101</v>
      </c>
      <c r="N7" s="444" t="str">
        <f>VLOOKUP($A7, 'Matriz POA 2024-TRABAJO'!$A$5:$CY$9142,33,FALSE)</f>
        <v>001</v>
      </c>
      <c r="O7" s="444" t="str">
        <f>VLOOKUP($A7, 'Matriz POA 2024-TRABAJO'!$A$5:$CY$9142,34,FALSE)</f>
        <v>0000</v>
      </c>
      <c r="P7" s="444" t="str">
        <f>VLOOKUP($A7, 'Matriz POA 2024-TRABAJO'!$A$5:$CY$9142,35,FALSE)</f>
        <v>0000</v>
      </c>
      <c r="Q7" s="445">
        <f>VLOOKUP($A7, 'Matriz POA 2024-TRABAJO'!$A$5:$CY$9142,47,FALSE)</f>
        <v>2600</v>
      </c>
      <c r="R7" s="446">
        <f t="shared" si="0"/>
        <v>1029.0999999999999</v>
      </c>
      <c r="S7" s="446">
        <f t="shared" si="1"/>
        <v>2600</v>
      </c>
      <c r="T7" s="446">
        <f t="shared" si="2"/>
        <v>0</v>
      </c>
      <c r="U7" s="446">
        <f t="shared" si="3"/>
        <v>0</v>
      </c>
      <c r="V7" s="446" t="str">
        <f t="shared" si="4"/>
        <v>7120</v>
      </c>
      <c r="W7" s="511">
        <v>7</v>
      </c>
      <c r="X7" s="404" t="s">
        <v>1305</v>
      </c>
      <c r="Y7" s="404" t="s">
        <v>1300</v>
      </c>
      <c r="Z7" s="404">
        <f>1800-1800</f>
        <v>0</v>
      </c>
      <c r="AA7" s="404">
        <f>1800-229.1</f>
        <v>1570.9</v>
      </c>
      <c r="AB7" s="398">
        <f t="shared" si="5"/>
        <v>0</v>
      </c>
      <c r="AC7" s="512">
        <v>120</v>
      </c>
      <c r="AD7" s="404" t="s">
        <v>1299</v>
      </c>
      <c r="AE7" s="404" t="s">
        <v>2030</v>
      </c>
      <c r="AF7" s="404">
        <v>1029.0999999999999</v>
      </c>
      <c r="AG7" s="398">
        <v>1029.0999999999999</v>
      </c>
      <c r="AH7" s="398">
        <f t="shared" ref="AH7" si="28">IF(AD7="APROBADO",AF7-AG7,0)</f>
        <v>0</v>
      </c>
      <c r="AI7" s="405"/>
      <c r="AJ7" s="404"/>
      <c r="AK7" s="404"/>
      <c r="AL7" s="404"/>
      <c r="AM7" s="398"/>
      <c r="AN7" s="398">
        <f t="shared" si="6"/>
        <v>0</v>
      </c>
      <c r="AO7" s="398"/>
      <c r="AP7" s="404"/>
      <c r="AQ7" s="404"/>
      <c r="AR7" s="404"/>
      <c r="AS7" s="398"/>
      <c r="AT7" s="398">
        <f t="shared" si="7"/>
        <v>0</v>
      </c>
      <c r="AU7" s="398"/>
      <c r="AV7" s="404"/>
      <c r="AW7" s="404"/>
      <c r="AX7" s="404"/>
      <c r="AY7" s="404"/>
      <c r="AZ7" s="398">
        <f t="shared" si="8"/>
        <v>0</v>
      </c>
      <c r="BA7" s="398"/>
      <c r="BB7" s="404"/>
      <c r="BC7" s="404"/>
      <c r="BD7" s="404"/>
      <c r="BE7" s="398"/>
      <c r="BF7" s="398">
        <f t="shared" si="9"/>
        <v>0</v>
      </c>
      <c r="BG7" s="398"/>
      <c r="BH7" s="404"/>
      <c r="BI7" s="404"/>
      <c r="BJ7" s="404"/>
      <c r="BK7" s="398"/>
      <c r="BL7" s="398">
        <f t="shared" si="10"/>
        <v>0</v>
      </c>
      <c r="BM7" s="398"/>
      <c r="BN7" s="404"/>
      <c r="BO7" s="404"/>
      <c r="BP7" s="404"/>
      <c r="BQ7" s="398"/>
      <c r="BR7" s="398">
        <f t="shared" si="11"/>
        <v>0</v>
      </c>
      <c r="BS7" s="398"/>
      <c r="BT7" s="404"/>
      <c r="BU7" s="404"/>
      <c r="BV7" s="404"/>
      <c r="BW7" s="398"/>
      <c r="BX7" s="398">
        <f t="shared" si="12"/>
        <v>0</v>
      </c>
      <c r="BY7" s="398"/>
      <c r="BZ7" s="404"/>
      <c r="CA7" s="404"/>
      <c r="CB7" s="404"/>
      <c r="CC7" s="398"/>
      <c r="CD7" s="398">
        <f t="shared" si="13"/>
        <v>0</v>
      </c>
      <c r="CE7" s="398"/>
      <c r="CF7" s="404"/>
      <c r="CG7" s="404"/>
      <c r="CH7" s="404"/>
      <c r="CI7" s="398"/>
      <c r="CJ7" s="398">
        <f t="shared" si="14"/>
        <v>0</v>
      </c>
      <c r="CK7" s="398"/>
      <c r="CL7" s="404"/>
      <c r="CM7" s="404"/>
      <c r="CN7" s="404"/>
      <c r="CO7" s="398"/>
      <c r="CP7" s="398">
        <f t="shared" si="15"/>
        <v>0</v>
      </c>
      <c r="CQ7" s="398"/>
      <c r="CR7" s="404"/>
      <c r="CS7" s="404"/>
      <c r="CT7" s="404"/>
      <c r="CU7" s="398"/>
      <c r="CV7" s="398">
        <f t="shared" si="16"/>
        <v>0</v>
      </c>
      <c r="CW7" s="398"/>
      <c r="CX7" s="404"/>
      <c r="CY7" s="404"/>
      <c r="CZ7" s="404"/>
      <c r="DA7" s="398"/>
      <c r="DB7" s="398">
        <f t="shared" si="17"/>
        <v>0</v>
      </c>
      <c r="DC7" s="398"/>
      <c r="DD7" s="404"/>
      <c r="DE7" s="404"/>
      <c r="DF7" s="404"/>
      <c r="DG7" s="398"/>
      <c r="DH7" s="398">
        <f t="shared" si="18"/>
        <v>0</v>
      </c>
      <c r="DI7" s="398"/>
      <c r="DJ7" s="404"/>
      <c r="DK7" s="404"/>
      <c r="DL7" s="404"/>
      <c r="DM7" s="398"/>
      <c r="DN7" s="398">
        <f t="shared" si="19"/>
        <v>0</v>
      </c>
      <c r="DO7" s="398"/>
      <c r="DP7" s="404"/>
      <c r="DQ7" s="404"/>
      <c r="DR7" s="404"/>
      <c r="DS7" s="398"/>
      <c r="DT7" s="398">
        <f t="shared" si="20"/>
        <v>0</v>
      </c>
      <c r="DU7" s="398"/>
      <c r="DV7" s="404"/>
      <c r="DW7" s="404"/>
      <c r="DX7" s="404"/>
      <c r="DY7" s="398"/>
      <c r="DZ7" s="398">
        <f t="shared" si="21"/>
        <v>0</v>
      </c>
      <c r="EA7" s="398"/>
      <c r="EB7" s="404"/>
      <c r="EC7" s="404"/>
      <c r="ED7" s="404"/>
      <c r="EE7" s="398"/>
      <c r="EF7" s="398">
        <f t="shared" si="22"/>
        <v>0</v>
      </c>
      <c r="EG7" s="398"/>
      <c r="EH7" s="404"/>
      <c r="EI7" s="404"/>
      <c r="EJ7" s="404"/>
      <c r="EK7" s="398"/>
      <c r="EL7" s="398">
        <f t="shared" si="23"/>
        <v>0</v>
      </c>
      <c r="EM7" s="398"/>
      <c r="EN7" s="404"/>
      <c r="EO7" s="404"/>
      <c r="EP7" s="404"/>
      <c r="EQ7" s="398"/>
      <c r="ER7" s="398">
        <f t="shared" si="24"/>
        <v>0</v>
      </c>
      <c r="ES7" s="398"/>
      <c r="ET7" s="404"/>
      <c r="EU7" s="404"/>
      <c r="EV7" s="404"/>
      <c r="EW7" s="398"/>
      <c r="EX7" s="398">
        <f t="shared" si="25"/>
        <v>0</v>
      </c>
      <c r="EY7" s="398" t="e">
        <f>VLOOKUP($A7,[2]Devengado!$A$1:$AI$3,35,FALSE)</f>
        <v>#N/A</v>
      </c>
    </row>
    <row r="8" spans="1:155" ht="23.25" hidden="1" customHeight="1">
      <c r="A8" s="341">
        <v>444</v>
      </c>
      <c r="B8" s="442" t="str">
        <f>VLOOKUP($A8,  'Matriz POA 2024-TRABAJO'!$A$5:$CY$9142,11,FALSE)</f>
        <v>Corporación Ciudad Alfaro</v>
      </c>
      <c r="C8" s="442" t="str">
        <f>VLOOKUP($A8, 'Matriz POA 2024-TRABAJO'!$A$5:$CY$9142,14,FALSE)</f>
        <v>N/A</v>
      </c>
      <c r="D8" s="442" t="str">
        <f>VLOOKUP($A8, 'Matriz POA 2024-TRABAJO'!$A$5:$CY$9142,15,FALSE)</f>
        <v>N/A</v>
      </c>
      <c r="E8" s="442" t="str">
        <f>VLOOKUP($A8, 'Matriz POA 2024-TRABAJO'!$A$5:$CY$9142,18,FALSE)</f>
        <v>N/A</v>
      </c>
      <c r="F8" s="442" t="str">
        <f>VLOOKUP($A8, 'Matriz POA 2024-TRABAJO'!$A$5:$CY$9142,23,FALSE)</f>
        <v>ARRASTRE</v>
      </c>
      <c r="G8" s="443" t="str">
        <f>VLOOKUP($A8, 'Matriz POA 2024-TRABAJO'!$A$5:$CY$9142,24,FALSE)</f>
        <v>Pago del servicio de energía eléctrica de los meses de Noviembre y Diciembre del 2023 de la Corporación Ciudad Alfaro</v>
      </c>
      <c r="H8" s="442" t="str">
        <f>VLOOKUP($A8, 'Matriz POA 2024-TRABAJO'!$A$5:$CY$9142,25,FALSE)</f>
        <v>0035</v>
      </c>
      <c r="I8" s="442" t="str">
        <f>VLOOKUP($A8, 'Matriz POA 2024-TRABAJO'!$A$5:$CY$9142,26,FALSE)</f>
        <v>80</v>
      </c>
      <c r="J8" s="442" t="str">
        <f>VLOOKUP($A8, 'Matriz POA 2024-TRABAJO'!$A$5:$CY$9142,27,FALSE)</f>
        <v>000</v>
      </c>
      <c r="K8" s="444" t="str">
        <f>VLOOKUP($A8, 'Matriz POA 2024-TRABAJO'!$A$5:$CY$9142,28,FALSE)</f>
        <v>002</v>
      </c>
      <c r="L8" s="444" t="str">
        <f>VLOOKUP($A8, 'Matriz POA 2024-TRABAJO'!$A$5:$CY$9142,29,FALSE)</f>
        <v>53</v>
      </c>
      <c r="M8" s="444">
        <f>VLOOKUP($A8, 'Matriz POA 2024-TRABAJO'!$A$5:$CY$9142,30,FALSE)</f>
        <v>530104</v>
      </c>
      <c r="N8" s="444" t="str">
        <f>VLOOKUP($A8, 'Matriz POA 2024-TRABAJO'!$A$5:$CY$9142,33,FALSE)</f>
        <v>001</v>
      </c>
      <c r="O8" s="444" t="str">
        <f>VLOOKUP($A8, 'Matriz POA 2024-TRABAJO'!$A$5:$CY$9142,34,FALSE)</f>
        <v>0000</v>
      </c>
      <c r="P8" s="444" t="str">
        <f>VLOOKUP($A8, 'Matriz POA 2024-TRABAJO'!$A$5:$CY$9142,35,FALSE)</f>
        <v>0000</v>
      </c>
      <c r="Q8" s="445">
        <f>VLOOKUP($A8, 'Matriz POA 2024-TRABAJO'!$A$5:$CY$9142,47,FALSE)</f>
        <v>2447.1799999999998</v>
      </c>
      <c r="R8" s="446">
        <f t="shared" si="0"/>
        <v>0</v>
      </c>
      <c r="S8" s="446">
        <f t="shared" si="1"/>
        <v>2447.1799999999998</v>
      </c>
      <c r="T8" s="446">
        <f t="shared" si="2"/>
        <v>0</v>
      </c>
      <c r="U8" s="446">
        <f t="shared" si="3"/>
        <v>0</v>
      </c>
      <c r="V8" s="446" t="str">
        <f t="shared" si="4"/>
        <v>8</v>
      </c>
      <c r="W8" s="511">
        <v>8</v>
      </c>
      <c r="X8" s="404" t="s">
        <v>1303</v>
      </c>
      <c r="Y8" s="404" t="s">
        <v>1300</v>
      </c>
      <c r="Z8" s="404">
        <f>6000-6000</f>
        <v>0</v>
      </c>
      <c r="AA8" s="404">
        <f>6000-3552.82</f>
        <v>2447.1799999999998</v>
      </c>
      <c r="AB8" s="398">
        <f t="shared" si="5"/>
        <v>0</v>
      </c>
      <c r="AC8" s="403"/>
      <c r="AD8" s="404"/>
      <c r="AE8" s="404"/>
      <c r="AF8" s="404"/>
      <c r="AG8" s="398"/>
      <c r="AH8" s="398">
        <f>IF(AD8="APROBADO",AF8-AG8,0)</f>
        <v>0</v>
      </c>
      <c r="AI8" s="405"/>
      <c r="AJ8" s="404"/>
      <c r="AK8" s="404"/>
      <c r="AL8" s="404"/>
      <c r="AM8" s="398"/>
      <c r="AN8" s="398">
        <f t="shared" si="6"/>
        <v>0</v>
      </c>
      <c r="AO8" s="398"/>
      <c r="AP8" s="404"/>
      <c r="AQ8" s="404"/>
      <c r="AR8" s="404"/>
      <c r="AS8" s="398"/>
      <c r="AT8" s="398">
        <f t="shared" si="7"/>
        <v>0</v>
      </c>
      <c r="AU8" s="398"/>
      <c r="AV8" s="404"/>
      <c r="AW8" s="404"/>
      <c r="AX8" s="404"/>
      <c r="AY8" s="404"/>
      <c r="AZ8" s="398">
        <f t="shared" si="8"/>
        <v>0</v>
      </c>
      <c r="BA8" s="398"/>
      <c r="BB8" s="404"/>
      <c r="BC8" s="404"/>
      <c r="BD8" s="404"/>
      <c r="BE8" s="398"/>
      <c r="BF8" s="398">
        <f t="shared" si="9"/>
        <v>0</v>
      </c>
      <c r="BG8" s="398"/>
      <c r="BH8" s="404"/>
      <c r="BI8" s="404"/>
      <c r="BJ8" s="404"/>
      <c r="BK8" s="398"/>
      <c r="BL8" s="398">
        <f t="shared" si="10"/>
        <v>0</v>
      </c>
      <c r="BM8" s="398"/>
      <c r="BN8" s="404"/>
      <c r="BO8" s="404"/>
      <c r="BP8" s="404"/>
      <c r="BQ8" s="398"/>
      <c r="BR8" s="398">
        <f t="shared" si="11"/>
        <v>0</v>
      </c>
      <c r="BS8" s="398"/>
      <c r="BT8" s="404"/>
      <c r="BU8" s="404"/>
      <c r="BV8" s="404"/>
      <c r="BW8" s="398"/>
      <c r="BX8" s="398">
        <f t="shared" si="12"/>
        <v>0</v>
      </c>
      <c r="BY8" s="398"/>
      <c r="BZ8" s="404"/>
      <c r="CA8" s="404"/>
      <c r="CB8" s="404"/>
      <c r="CC8" s="398"/>
      <c r="CD8" s="398">
        <f t="shared" si="13"/>
        <v>0</v>
      </c>
      <c r="CE8" s="398"/>
      <c r="CF8" s="404"/>
      <c r="CG8" s="404"/>
      <c r="CH8" s="404"/>
      <c r="CI8" s="398"/>
      <c r="CJ8" s="398">
        <f t="shared" si="14"/>
        <v>0</v>
      </c>
      <c r="CK8" s="398"/>
      <c r="CL8" s="404"/>
      <c r="CM8" s="404"/>
      <c r="CN8" s="404"/>
      <c r="CO8" s="398"/>
      <c r="CP8" s="398">
        <f t="shared" si="15"/>
        <v>0</v>
      </c>
      <c r="CQ8" s="398"/>
      <c r="CR8" s="404"/>
      <c r="CS8" s="404"/>
      <c r="CT8" s="404"/>
      <c r="CU8" s="398"/>
      <c r="CV8" s="398">
        <f t="shared" si="16"/>
        <v>0</v>
      </c>
      <c r="CW8" s="398"/>
      <c r="CX8" s="404"/>
      <c r="CY8" s="404"/>
      <c r="CZ8" s="404"/>
      <c r="DA8" s="398"/>
      <c r="DB8" s="398">
        <f t="shared" si="17"/>
        <v>0</v>
      </c>
      <c r="DC8" s="398"/>
      <c r="DD8" s="404"/>
      <c r="DE8" s="404"/>
      <c r="DF8" s="404"/>
      <c r="DG8" s="398"/>
      <c r="DH8" s="398">
        <f t="shared" si="18"/>
        <v>0</v>
      </c>
      <c r="DI8" s="398"/>
      <c r="DJ8" s="404"/>
      <c r="DK8" s="404"/>
      <c r="DL8" s="404"/>
      <c r="DM8" s="398"/>
      <c r="DN8" s="398">
        <f t="shared" si="19"/>
        <v>0</v>
      </c>
      <c r="DO8" s="398"/>
      <c r="DP8" s="404"/>
      <c r="DQ8" s="404"/>
      <c r="DR8" s="404"/>
      <c r="DS8" s="398"/>
      <c r="DT8" s="398">
        <f t="shared" si="20"/>
        <v>0</v>
      </c>
      <c r="DU8" s="398"/>
      <c r="DV8" s="404"/>
      <c r="DW8" s="404"/>
      <c r="DX8" s="404"/>
      <c r="DY8" s="398"/>
      <c r="DZ8" s="398">
        <f t="shared" si="21"/>
        <v>0</v>
      </c>
      <c r="EA8" s="398"/>
      <c r="EB8" s="404"/>
      <c r="EC8" s="404"/>
      <c r="ED8" s="404"/>
      <c r="EE8" s="398"/>
      <c r="EF8" s="398">
        <f t="shared" si="22"/>
        <v>0</v>
      </c>
      <c r="EG8" s="398"/>
      <c r="EH8" s="404"/>
      <c r="EI8" s="404"/>
      <c r="EJ8" s="404"/>
      <c r="EK8" s="398"/>
      <c r="EL8" s="398">
        <f t="shared" si="23"/>
        <v>0</v>
      </c>
      <c r="EM8" s="398"/>
      <c r="EN8" s="404"/>
      <c r="EO8" s="404"/>
      <c r="EP8" s="404"/>
      <c r="EQ8" s="398"/>
      <c r="ER8" s="398">
        <f t="shared" si="24"/>
        <v>0</v>
      </c>
      <c r="ES8" s="398"/>
      <c r="ET8" s="404"/>
      <c r="EU8" s="404"/>
      <c r="EV8" s="404"/>
      <c r="EW8" s="398"/>
      <c r="EX8" s="398">
        <f t="shared" si="25"/>
        <v>0</v>
      </c>
      <c r="EY8" s="398" t="e">
        <f>VLOOKUP($A8,[2]Devengado!$A$1:$AI$3,35,FALSE)</f>
        <v>#N/A</v>
      </c>
    </row>
    <row r="9" spans="1:155" ht="23.25" hidden="1" customHeight="1">
      <c r="A9" s="341">
        <v>445</v>
      </c>
      <c r="B9" s="442" t="str">
        <f>VLOOKUP($A9,  'Matriz POA 2024-TRABAJO'!$A$5:$CY$9142,11,FALSE)</f>
        <v>Corporación Ciudad Alfaro</v>
      </c>
      <c r="C9" s="442" t="str">
        <f>VLOOKUP($A9, 'Matriz POA 2024-TRABAJO'!$A$5:$CY$9142,14,FALSE)</f>
        <v>N/A</v>
      </c>
      <c r="D9" s="442" t="str">
        <f>VLOOKUP($A9, 'Matriz POA 2024-TRABAJO'!$A$5:$CY$9142,15,FALSE)</f>
        <v>N/A</v>
      </c>
      <c r="E9" s="442" t="str">
        <f>VLOOKUP($A9, 'Matriz POA 2024-TRABAJO'!$A$5:$CY$9142,18,FALSE)</f>
        <v>N/A</v>
      </c>
      <c r="F9" s="442" t="str">
        <f>VLOOKUP($A9, 'Matriz POA 2024-TRABAJO'!$A$5:$CY$9142,23,FALSE)</f>
        <v>NUEVA</v>
      </c>
      <c r="G9" s="443" t="str">
        <f>VLOOKUP($A9, 'Matriz POA 2024-TRABAJO'!$A$5:$CY$9142,24,FALSE)</f>
        <v>Pago del servicio de energía eléctrica de la Corporación Ciudad Alfaro</v>
      </c>
      <c r="H9" s="442" t="str">
        <f>VLOOKUP($A9, 'Matriz POA 2024-TRABAJO'!$A$5:$CY$9142,25,FALSE)</f>
        <v>0035</v>
      </c>
      <c r="I9" s="442" t="str">
        <f>VLOOKUP($A9, 'Matriz POA 2024-TRABAJO'!$A$5:$CY$9142,26,FALSE)</f>
        <v>80</v>
      </c>
      <c r="J9" s="442" t="str">
        <f>VLOOKUP($A9, 'Matriz POA 2024-TRABAJO'!$A$5:$CY$9142,27,FALSE)</f>
        <v>000</v>
      </c>
      <c r="K9" s="444" t="str">
        <f>VLOOKUP($A9, 'Matriz POA 2024-TRABAJO'!$A$5:$CY$9142,28,FALSE)</f>
        <v>002</v>
      </c>
      <c r="L9" s="444" t="str">
        <f>VLOOKUP($A9, 'Matriz POA 2024-TRABAJO'!$A$5:$CY$9142,29,FALSE)</f>
        <v>53</v>
      </c>
      <c r="M9" s="444">
        <f>VLOOKUP($A9, 'Matriz POA 2024-TRABAJO'!$A$5:$CY$9142,30,FALSE)</f>
        <v>530104</v>
      </c>
      <c r="N9" s="444" t="str">
        <f>VLOOKUP($A9, 'Matriz POA 2024-TRABAJO'!$A$5:$CY$9142,33,FALSE)</f>
        <v>001</v>
      </c>
      <c r="O9" s="444" t="str">
        <f>VLOOKUP($A9, 'Matriz POA 2024-TRABAJO'!$A$5:$CY$9142,34,FALSE)</f>
        <v>0000</v>
      </c>
      <c r="P9" s="444" t="str">
        <f>VLOOKUP($A9, 'Matriz POA 2024-TRABAJO'!$A$5:$CY$9142,35,FALSE)</f>
        <v>0000</v>
      </c>
      <c r="Q9" s="445">
        <f>VLOOKUP($A9, 'Matriz POA 2024-TRABAJO'!$A$5:$CY$9142,47,FALSE)</f>
        <v>15500</v>
      </c>
      <c r="R9" s="446">
        <f t="shared" si="0"/>
        <v>500</v>
      </c>
      <c r="S9" s="446">
        <f t="shared" si="1"/>
        <v>15000</v>
      </c>
      <c r="T9" s="446">
        <f t="shared" si="2"/>
        <v>500</v>
      </c>
      <c r="U9" s="446">
        <f t="shared" si="3"/>
        <v>0</v>
      </c>
      <c r="V9" s="446" t="str">
        <f t="shared" si="4"/>
        <v>9126</v>
      </c>
      <c r="W9" s="511">
        <v>9</v>
      </c>
      <c r="X9" s="404" t="s">
        <v>1303</v>
      </c>
      <c r="Y9" s="404" t="s">
        <v>1300</v>
      </c>
      <c r="Z9" s="404">
        <f>27000-27000</f>
        <v>0</v>
      </c>
      <c r="AA9" s="404">
        <f>27000-12000</f>
        <v>15000</v>
      </c>
      <c r="AB9" s="398">
        <f t="shared" si="5"/>
        <v>0</v>
      </c>
      <c r="AC9" s="405">
        <v>126</v>
      </c>
      <c r="AD9" s="404" t="s">
        <v>1299</v>
      </c>
      <c r="AE9" s="404" t="s">
        <v>2030</v>
      </c>
      <c r="AF9" s="404">
        <v>500</v>
      </c>
      <c r="AG9" s="398"/>
      <c r="AH9" s="398">
        <f t="shared" ref="AH9" si="29">IF(AD9="APROBADO",AF9-AG9,0)</f>
        <v>500</v>
      </c>
      <c r="AI9" s="405"/>
      <c r="AJ9" s="404"/>
      <c r="AK9" s="404"/>
      <c r="AL9" s="404"/>
      <c r="AM9" s="398"/>
      <c r="AN9" s="398">
        <f t="shared" si="6"/>
        <v>0</v>
      </c>
      <c r="AO9" s="398"/>
      <c r="AP9" s="404"/>
      <c r="AQ9" s="404"/>
      <c r="AR9" s="404"/>
      <c r="AS9" s="398"/>
      <c r="AT9" s="398">
        <f t="shared" si="7"/>
        <v>0</v>
      </c>
      <c r="AU9" s="398"/>
      <c r="AV9" s="404"/>
      <c r="AW9" s="404"/>
      <c r="AX9" s="404"/>
      <c r="AY9" s="404"/>
      <c r="AZ9" s="398">
        <f t="shared" si="8"/>
        <v>0</v>
      </c>
      <c r="BA9" s="398"/>
      <c r="BB9" s="404"/>
      <c r="BC9" s="404"/>
      <c r="BD9" s="404"/>
      <c r="BE9" s="398"/>
      <c r="BF9" s="398">
        <f t="shared" si="9"/>
        <v>0</v>
      </c>
      <c r="BG9" s="398"/>
      <c r="BH9" s="404"/>
      <c r="BI9" s="404"/>
      <c r="BJ9" s="404"/>
      <c r="BK9" s="398"/>
      <c r="BL9" s="398">
        <f t="shared" si="10"/>
        <v>0</v>
      </c>
      <c r="BM9" s="398"/>
      <c r="BN9" s="404"/>
      <c r="BO9" s="404"/>
      <c r="BP9" s="404"/>
      <c r="BQ9" s="398"/>
      <c r="BR9" s="398">
        <f t="shared" si="11"/>
        <v>0</v>
      </c>
      <c r="BS9" s="398"/>
      <c r="BT9" s="404"/>
      <c r="BU9" s="404"/>
      <c r="BV9" s="404"/>
      <c r="BW9" s="398"/>
      <c r="BX9" s="398">
        <f t="shared" si="12"/>
        <v>0</v>
      </c>
      <c r="BY9" s="398"/>
      <c r="BZ9" s="404"/>
      <c r="CA9" s="404"/>
      <c r="CB9" s="404"/>
      <c r="CC9" s="398"/>
      <c r="CD9" s="398">
        <f t="shared" si="13"/>
        <v>0</v>
      </c>
      <c r="CE9" s="398"/>
      <c r="CF9" s="404"/>
      <c r="CG9" s="404"/>
      <c r="CH9" s="404"/>
      <c r="CI9" s="398"/>
      <c r="CJ9" s="398">
        <f t="shared" si="14"/>
        <v>0</v>
      </c>
      <c r="CK9" s="398"/>
      <c r="CL9" s="404"/>
      <c r="CM9" s="404"/>
      <c r="CN9" s="404"/>
      <c r="CO9" s="398"/>
      <c r="CP9" s="398">
        <f t="shared" si="15"/>
        <v>0</v>
      </c>
      <c r="CQ9" s="398"/>
      <c r="CR9" s="404"/>
      <c r="CS9" s="404"/>
      <c r="CT9" s="404"/>
      <c r="CU9" s="398"/>
      <c r="CV9" s="398">
        <f t="shared" si="16"/>
        <v>0</v>
      </c>
      <c r="CW9" s="398"/>
      <c r="CX9" s="404"/>
      <c r="CY9" s="404"/>
      <c r="CZ9" s="404"/>
      <c r="DA9" s="398"/>
      <c r="DB9" s="398">
        <f t="shared" si="17"/>
        <v>0</v>
      </c>
      <c r="DC9" s="398"/>
      <c r="DD9" s="404"/>
      <c r="DE9" s="404"/>
      <c r="DF9" s="404"/>
      <c r="DG9" s="398"/>
      <c r="DH9" s="398">
        <f t="shared" si="18"/>
        <v>0</v>
      </c>
      <c r="DI9" s="398"/>
      <c r="DJ9" s="404"/>
      <c r="DK9" s="404"/>
      <c r="DL9" s="404"/>
      <c r="DM9" s="398"/>
      <c r="DN9" s="398">
        <f t="shared" si="19"/>
        <v>0</v>
      </c>
      <c r="DO9" s="398"/>
      <c r="DP9" s="404"/>
      <c r="DQ9" s="404"/>
      <c r="DR9" s="404"/>
      <c r="DS9" s="398"/>
      <c r="DT9" s="398">
        <f t="shared" si="20"/>
        <v>0</v>
      </c>
      <c r="DU9" s="398"/>
      <c r="DV9" s="404"/>
      <c r="DW9" s="404"/>
      <c r="DX9" s="404"/>
      <c r="DY9" s="398"/>
      <c r="DZ9" s="398">
        <f t="shared" si="21"/>
        <v>0</v>
      </c>
      <c r="EA9" s="398"/>
      <c r="EB9" s="404"/>
      <c r="EC9" s="404"/>
      <c r="ED9" s="404"/>
      <c r="EE9" s="398"/>
      <c r="EF9" s="398">
        <f t="shared" si="22"/>
        <v>0</v>
      </c>
      <c r="EG9" s="398"/>
      <c r="EH9" s="404"/>
      <c r="EI9" s="404"/>
      <c r="EJ9" s="404"/>
      <c r="EK9" s="398"/>
      <c r="EL9" s="398">
        <f t="shared" si="23"/>
        <v>0</v>
      </c>
      <c r="EM9" s="398"/>
      <c r="EN9" s="404"/>
      <c r="EO9" s="404"/>
      <c r="EP9" s="404"/>
      <c r="EQ9" s="398"/>
      <c r="ER9" s="398">
        <f t="shared" si="24"/>
        <v>0</v>
      </c>
      <c r="ES9" s="398"/>
      <c r="ET9" s="404"/>
      <c r="EU9" s="404"/>
      <c r="EV9" s="404"/>
      <c r="EW9" s="398"/>
      <c r="EX9" s="398">
        <f t="shared" si="25"/>
        <v>0</v>
      </c>
      <c r="EY9" s="398" t="e">
        <f>VLOOKUP($A9,[2]Devengado!$A$1:$AI$3,35,FALSE)</f>
        <v>#N/A</v>
      </c>
    </row>
    <row r="10" spans="1:155" ht="23.25" hidden="1" customHeight="1">
      <c r="A10" s="341">
        <v>458</v>
      </c>
      <c r="B10" s="442" t="str">
        <f>VLOOKUP($A10,  'Matriz POA 2024-TRABAJO'!$A$5:$CY$9142,11,FALSE)</f>
        <v>Corporación Ciudad Alfaro</v>
      </c>
      <c r="C10" s="442" t="str">
        <f>VLOOKUP($A10, 'Matriz POA 2024-TRABAJO'!$A$5:$CY$9142,14,FALSE)</f>
        <v>N/A</v>
      </c>
      <c r="D10" s="442" t="str">
        <f>VLOOKUP($A10, 'Matriz POA 2024-TRABAJO'!$A$5:$CY$9142,15,FALSE)</f>
        <v>N/A</v>
      </c>
      <c r="E10" s="442" t="str">
        <f>VLOOKUP($A10, 'Matriz POA 2024-TRABAJO'!$A$5:$CY$9142,18,FALSE)</f>
        <v>N/A</v>
      </c>
      <c r="F10" s="442" t="str">
        <f>VLOOKUP($A10, 'Matriz POA 2024-TRABAJO'!$A$5:$CY$9142,23,FALSE)</f>
        <v>NUEVA</v>
      </c>
      <c r="G10" s="443" t="str">
        <f>VLOOKUP($A10, 'Matriz POA 2024-TRABAJO'!$A$5:$CY$9142,24,FALSE)</f>
        <v>Reintegro de gastos por peajes para los Servidores y Trabajadores de la Corporación Ciudad Alfaro y sus Sedes en comisión de servicios institucionales</v>
      </c>
      <c r="H10" s="442" t="str">
        <f>VLOOKUP($A10, 'Matriz POA 2024-TRABAJO'!$A$5:$CY$9142,25,FALSE)</f>
        <v>0035</v>
      </c>
      <c r="I10" s="442" t="str">
        <f>VLOOKUP($A10, 'Matriz POA 2024-TRABAJO'!$A$5:$CY$9142,26,FALSE)</f>
        <v>80</v>
      </c>
      <c r="J10" s="442" t="str">
        <f>VLOOKUP($A10, 'Matriz POA 2024-TRABAJO'!$A$5:$CY$9142,27,FALSE)</f>
        <v>000</v>
      </c>
      <c r="K10" s="444" t="str">
        <f>VLOOKUP($A10, 'Matriz POA 2024-TRABAJO'!$A$5:$CY$9142,28,FALSE)</f>
        <v>002</v>
      </c>
      <c r="L10" s="444" t="str">
        <f>VLOOKUP($A10, 'Matriz POA 2024-TRABAJO'!$A$5:$CY$9142,29,FALSE)</f>
        <v>57</v>
      </c>
      <c r="M10" s="444">
        <f>VLOOKUP($A10, 'Matriz POA 2024-TRABAJO'!$A$5:$CY$9142,30,FALSE)</f>
        <v>570102</v>
      </c>
      <c r="N10" s="444" t="str">
        <f>VLOOKUP($A10, 'Matriz POA 2024-TRABAJO'!$A$5:$CY$9142,33,FALSE)</f>
        <v>001</v>
      </c>
      <c r="O10" s="444" t="str">
        <f>VLOOKUP($A10, 'Matriz POA 2024-TRABAJO'!$A$5:$CY$9142,34,FALSE)</f>
        <v>0000</v>
      </c>
      <c r="P10" s="444" t="str">
        <f>VLOOKUP($A10, 'Matriz POA 2024-TRABAJO'!$A$5:$CY$9142,35,FALSE)</f>
        <v>0000</v>
      </c>
      <c r="Q10" s="445">
        <f>VLOOKUP($A10, 'Matriz POA 2024-TRABAJO'!$A$5:$CY$9142,47,FALSE)</f>
        <v>150</v>
      </c>
      <c r="R10" s="446">
        <f t="shared" si="0"/>
        <v>150</v>
      </c>
      <c r="S10" s="446">
        <f t="shared" si="1"/>
        <v>27</v>
      </c>
      <c r="T10" s="446">
        <f t="shared" si="2"/>
        <v>123</v>
      </c>
      <c r="U10" s="446">
        <f t="shared" si="3"/>
        <v>0</v>
      </c>
      <c r="V10" s="446" t="str">
        <f t="shared" si="4"/>
        <v>10</v>
      </c>
      <c r="W10" s="511">
        <v>10</v>
      </c>
      <c r="X10" s="404" t="s">
        <v>1299</v>
      </c>
      <c r="Y10" s="404" t="s">
        <v>1300</v>
      </c>
      <c r="Z10" s="404">
        <f>150</f>
        <v>150</v>
      </c>
      <c r="AA10" s="404">
        <v>27</v>
      </c>
      <c r="AB10" s="398">
        <f t="shared" si="5"/>
        <v>123</v>
      </c>
      <c r="AC10" s="403"/>
      <c r="AD10" s="404"/>
      <c r="AE10" s="404"/>
      <c r="AF10" s="404"/>
      <c r="AG10" s="398"/>
      <c r="AH10" s="398">
        <f>IF(AD10="APROBADO",AF10-AG10,0)</f>
        <v>0</v>
      </c>
      <c r="AI10" s="405"/>
      <c r="AJ10" s="404"/>
      <c r="AK10" s="404"/>
      <c r="AL10" s="404"/>
      <c r="AM10" s="398"/>
      <c r="AN10" s="398">
        <f t="shared" si="6"/>
        <v>0</v>
      </c>
      <c r="AO10" s="398"/>
      <c r="AP10" s="404"/>
      <c r="AQ10" s="404"/>
      <c r="AR10" s="404"/>
      <c r="AS10" s="398"/>
      <c r="AT10" s="398">
        <f t="shared" si="7"/>
        <v>0</v>
      </c>
      <c r="AU10" s="398"/>
      <c r="AV10" s="404"/>
      <c r="AW10" s="404"/>
      <c r="AX10" s="404"/>
      <c r="AY10" s="404"/>
      <c r="AZ10" s="398">
        <f t="shared" si="8"/>
        <v>0</v>
      </c>
      <c r="BA10" s="398"/>
      <c r="BB10" s="404"/>
      <c r="BC10" s="404"/>
      <c r="BD10" s="404"/>
      <c r="BE10" s="398"/>
      <c r="BF10" s="398">
        <f t="shared" si="9"/>
        <v>0</v>
      </c>
      <c r="BG10" s="398"/>
      <c r="BH10" s="404"/>
      <c r="BI10" s="404"/>
      <c r="BJ10" s="404"/>
      <c r="BK10" s="398"/>
      <c r="BL10" s="398">
        <f t="shared" si="10"/>
        <v>0</v>
      </c>
      <c r="BM10" s="398"/>
      <c r="BN10" s="404"/>
      <c r="BO10" s="404"/>
      <c r="BP10" s="404"/>
      <c r="BQ10" s="398"/>
      <c r="BR10" s="398">
        <f t="shared" si="11"/>
        <v>0</v>
      </c>
      <c r="BS10" s="398"/>
      <c r="BT10" s="404"/>
      <c r="BU10" s="404"/>
      <c r="BV10" s="404"/>
      <c r="BW10" s="398"/>
      <c r="BX10" s="398">
        <f t="shared" si="12"/>
        <v>0</v>
      </c>
      <c r="BY10" s="398"/>
      <c r="BZ10" s="404"/>
      <c r="CA10" s="404"/>
      <c r="CB10" s="404"/>
      <c r="CC10" s="398"/>
      <c r="CD10" s="398">
        <f t="shared" si="13"/>
        <v>0</v>
      </c>
      <c r="CE10" s="398"/>
      <c r="CF10" s="404"/>
      <c r="CG10" s="404"/>
      <c r="CH10" s="404"/>
      <c r="CI10" s="398"/>
      <c r="CJ10" s="398">
        <f t="shared" si="14"/>
        <v>0</v>
      </c>
      <c r="CK10" s="398"/>
      <c r="CL10" s="404"/>
      <c r="CM10" s="404"/>
      <c r="CN10" s="404"/>
      <c r="CO10" s="398"/>
      <c r="CP10" s="398">
        <f t="shared" si="15"/>
        <v>0</v>
      </c>
      <c r="CQ10" s="398"/>
      <c r="CR10" s="404"/>
      <c r="CS10" s="404"/>
      <c r="CT10" s="404"/>
      <c r="CU10" s="398"/>
      <c r="CV10" s="398">
        <f t="shared" si="16"/>
        <v>0</v>
      </c>
      <c r="CW10" s="398"/>
      <c r="CX10" s="404"/>
      <c r="CY10" s="404"/>
      <c r="CZ10" s="404"/>
      <c r="DA10" s="398"/>
      <c r="DB10" s="398">
        <f t="shared" si="17"/>
        <v>0</v>
      </c>
      <c r="DC10" s="398"/>
      <c r="DD10" s="404"/>
      <c r="DE10" s="404"/>
      <c r="DF10" s="404"/>
      <c r="DG10" s="398"/>
      <c r="DH10" s="398">
        <f t="shared" si="18"/>
        <v>0</v>
      </c>
      <c r="DI10" s="398"/>
      <c r="DJ10" s="404"/>
      <c r="DK10" s="404"/>
      <c r="DL10" s="404"/>
      <c r="DM10" s="398"/>
      <c r="DN10" s="398">
        <f t="shared" si="19"/>
        <v>0</v>
      </c>
      <c r="DO10" s="398"/>
      <c r="DP10" s="404"/>
      <c r="DQ10" s="404"/>
      <c r="DR10" s="404"/>
      <c r="DS10" s="398"/>
      <c r="DT10" s="398">
        <f t="shared" si="20"/>
        <v>0</v>
      </c>
      <c r="DU10" s="398"/>
      <c r="DV10" s="404"/>
      <c r="DW10" s="404"/>
      <c r="DX10" s="404"/>
      <c r="DY10" s="398"/>
      <c r="DZ10" s="398">
        <f t="shared" si="21"/>
        <v>0</v>
      </c>
      <c r="EA10" s="398"/>
      <c r="EB10" s="404"/>
      <c r="EC10" s="404"/>
      <c r="ED10" s="404"/>
      <c r="EE10" s="398"/>
      <c r="EF10" s="398">
        <f t="shared" si="22"/>
        <v>0</v>
      </c>
      <c r="EG10" s="398"/>
      <c r="EH10" s="404"/>
      <c r="EI10" s="404"/>
      <c r="EJ10" s="404"/>
      <c r="EK10" s="398"/>
      <c r="EL10" s="398">
        <f t="shared" si="23"/>
        <v>0</v>
      </c>
      <c r="EM10" s="398"/>
      <c r="EN10" s="404"/>
      <c r="EO10" s="404"/>
      <c r="EP10" s="404"/>
      <c r="EQ10" s="398"/>
      <c r="ER10" s="398">
        <f t="shared" si="24"/>
        <v>0</v>
      </c>
      <c r="ES10" s="398"/>
      <c r="ET10" s="404"/>
      <c r="EU10" s="404"/>
      <c r="EV10" s="404"/>
      <c r="EW10" s="398"/>
      <c r="EX10" s="398">
        <f t="shared" si="25"/>
        <v>0</v>
      </c>
      <c r="EY10" s="398" t="e">
        <f>VLOOKUP($A10,[2]Devengado!$A$1:$AI$3,35,FALSE)</f>
        <v>#N/A</v>
      </c>
    </row>
    <row r="11" spans="1:155" ht="23.25" hidden="1" customHeight="1">
      <c r="A11" s="341">
        <v>440</v>
      </c>
      <c r="B11" s="442" t="str">
        <f>VLOOKUP($A11,  'Matriz POA 2024-TRABAJO'!$A$5:$CY$9142,11,FALSE)</f>
        <v>Corporación Ciudad Alfaro</v>
      </c>
      <c r="C11" s="442" t="str">
        <f>VLOOKUP($A11, 'Matriz POA 2024-TRABAJO'!$A$5:$CY$9142,14,FALSE)</f>
        <v>N/A</v>
      </c>
      <c r="D11" s="442" t="str">
        <f>VLOOKUP($A11, 'Matriz POA 2024-TRABAJO'!$A$5:$CY$9142,15,FALSE)</f>
        <v>N/A</v>
      </c>
      <c r="E11" s="442" t="str">
        <f>VLOOKUP($A11, 'Matriz POA 2024-TRABAJO'!$A$5:$CY$9142,18,FALSE)</f>
        <v>N/A</v>
      </c>
      <c r="F11" s="442" t="str">
        <f>VLOOKUP($A11, 'Matriz POA 2024-TRABAJO'!$A$5:$CY$9142,23,FALSE)</f>
        <v>PLURIANUAL 2023-2024</v>
      </c>
      <c r="G11" s="443" t="str">
        <f>VLOOKUP($A11, 'Matriz POA 2024-TRABAJO'!$A$5:$CY$9142,24,FALSE)</f>
        <v>Pago del servicio de seguridad y vigilancia de la Corporación Alfaro y sus Sedes</v>
      </c>
      <c r="H11" s="442" t="str">
        <f>VLOOKUP($A11, 'Matriz POA 2024-TRABAJO'!$A$5:$CY$9142,25,FALSE)</f>
        <v>0035</v>
      </c>
      <c r="I11" s="442" t="str">
        <f>VLOOKUP($A11, 'Matriz POA 2024-TRABAJO'!$A$5:$CY$9142,26,FALSE)</f>
        <v>80</v>
      </c>
      <c r="J11" s="442" t="str">
        <f>VLOOKUP($A11, 'Matriz POA 2024-TRABAJO'!$A$5:$CY$9142,27,FALSE)</f>
        <v>000</v>
      </c>
      <c r="K11" s="444" t="str">
        <f>VLOOKUP($A11, 'Matriz POA 2024-TRABAJO'!$A$5:$CY$9142,28,FALSE)</f>
        <v>002</v>
      </c>
      <c r="L11" s="444" t="str">
        <f>VLOOKUP($A11, 'Matriz POA 2024-TRABAJO'!$A$5:$CY$9142,29,FALSE)</f>
        <v>53</v>
      </c>
      <c r="M11" s="444">
        <f>VLOOKUP($A11, 'Matriz POA 2024-TRABAJO'!$A$5:$CY$9142,30,FALSE)</f>
        <v>530208</v>
      </c>
      <c r="N11" s="444" t="str">
        <f>VLOOKUP($A11, 'Matriz POA 2024-TRABAJO'!$A$5:$CY$9142,33,FALSE)</f>
        <v>001</v>
      </c>
      <c r="O11" s="444" t="str">
        <f>VLOOKUP($A11, 'Matriz POA 2024-TRABAJO'!$A$5:$CY$9142,34,FALSE)</f>
        <v>0000</v>
      </c>
      <c r="P11" s="444" t="str">
        <f>VLOOKUP($A11, 'Matriz POA 2024-TRABAJO'!$A$5:$CY$9142,35,FALSE)</f>
        <v>0000</v>
      </c>
      <c r="Q11" s="445">
        <f>VLOOKUP($A11, 'Matriz POA 2024-TRABAJO'!$A$5:$CY$9142,47,FALSE)</f>
        <v>171800</v>
      </c>
      <c r="R11" s="446">
        <f t="shared" si="0"/>
        <v>0</v>
      </c>
      <c r="S11" s="446">
        <f t="shared" si="1"/>
        <v>171800</v>
      </c>
      <c r="T11" s="446">
        <f t="shared" si="2"/>
        <v>0</v>
      </c>
      <c r="U11" s="446">
        <f t="shared" si="3"/>
        <v>0</v>
      </c>
      <c r="V11" s="446" t="str">
        <f t="shared" si="4"/>
        <v>11</v>
      </c>
      <c r="W11" s="511">
        <v>11</v>
      </c>
      <c r="X11" s="404" t="s">
        <v>1303</v>
      </c>
      <c r="Y11" s="404" t="s">
        <v>1300</v>
      </c>
      <c r="Z11" s="404">
        <f>178957-178957</f>
        <v>0</v>
      </c>
      <c r="AA11" s="404">
        <f>178957-7157</f>
        <v>171800</v>
      </c>
      <c r="AB11" s="398">
        <f t="shared" si="5"/>
        <v>0</v>
      </c>
      <c r="AC11" s="405"/>
      <c r="AD11" s="404"/>
      <c r="AE11" s="404"/>
      <c r="AF11" s="404"/>
      <c r="AG11" s="398"/>
      <c r="AH11" s="398">
        <f t="shared" ref="AH11" si="30">IF(AD11="APROBADO",AF11-AG11,0)</f>
        <v>0</v>
      </c>
      <c r="AI11" s="405"/>
      <c r="AJ11" s="404"/>
      <c r="AK11" s="404"/>
      <c r="AL11" s="404"/>
      <c r="AM11" s="398"/>
      <c r="AN11" s="398">
        <f t="shared" si="6"/>
        <v>0</v>
      </c>
      <c r="AO11" s="398"/>
      <c r="AP11" s="404"/>
      <c r="AQ11" s="404"/>
      <c r="AR11" s="404"/>
      <c r="AS11" s="398"/>
      <c r="AT11" s="398">
        <f t="shared" si="7"/>
        <v>0</v>
      </c>
      <c r="AU11" s="398"/>
      <c r="AV11" s="404"/>
      <c r="AW11" s="404"/>
      <c r="AX11" s="404"/>
      <c r="AY11" s="404"/>
      <c r="AZ11" s="398">
        <f t="shared" si="8"/>
        <v>0</v>
      </c>
      <c r="BA11" s="398"/>
      <c r="BB11" s="404"/>
      <c r="BC11" s="404"/>
      <c r="BD11" s="404"/>
      <c r="BE11" s="398"/>
      <c r="BF11" s="398">
        <f t="shared" si="9"/>
        <v>0</v>
      </c>
      <c r="BG11" s="398"/>
      <c r="BH11" s="404"/>
      <c r="BI11" s="404"/>
      <c r="BJ11" s="404"/>
      <c r="BK11" s="398"/>
      <c r="BL11" s="398">
        <f t="shared" si="10"/>
        <v>0</v>
      </c>
      <c r="BM11" s="398"/>
      <c r="BN11" s="404"/>
      <c r="BO11" s="404"/>
      <c r="BP11" s="404"/>
      <c r="BQ11" s="398"/>
      <c r="BR11" s="398">
        <f t="shared" si="11"/>
        <v>0</v>
      </c>
      <c r="BS11" s="398"/>
      <c r="BT11" s="404"/>
      <c r="BU11" s="404"/>
      <c r="BV11" s="404"/>
      <c r="BW11" s="398"/>
      <c r="BX11" s="398">
        <f t="shared" si="12"/>
        <v>0</v>
      </c>
      <c r="BY11" s="398"/>
      <c r="BZ11" s="404"/>
      <c r="CA11" s="404"/>
      <c r="CB11" s="404"/>
      <c r="CC11" s="398"/>
      <c r="CD11" s="398">
        <f t="shared" si="13"/>
        <v>0</v>
      </c>
      <c r="CE11" s="398"/>
      <c r="CF11" s="404"/>
      <c r="CG11" s="404"/>
      <c r="CH11" s="404"/>
      <c r="CI11" s="398"/>
      <c r="CJ11" s="398">
        <f t="shared" si="14"/>
        <v>0</v>
      </c>
      <c r="CK11" s="398"/>
      <c r="CL11" s="404"/>
      <c r="CM11" s="404"/>
      <c r="CN11" s="404"/>
      <c r="CO11" s="398"/>
      <c r="CP11" s="398">
        <f t="shared" si="15"/>
        <v>0</v>
      </c>
      <c r="CQ11" s="398"/>
      <c r="CR11" s="404"/>
      <c r="CS11" s="404"/>
      <c r="CT11" s="404"/>
      <c r="CU11" s="398"/>
      <c r="CV11" s="398">
        <f t="shared" si="16"/>
        <v>0</v>
      </c>
      <c r="CW11" s="398"/>
      <c r="CX11" s="404"/>
      <c r="CY11" s="404"/>
      <c r="CZ11" s="404"/>
      <c r="DA11" s="398"/>
      <c r="DB11" s="398">
        <f t="shared" si="17"/>
        <v>0</v>
      </c>
      <c r="DC11" s="398"/>
      <c r="DD11" s="404"/>
      <c r="DE11" s="404"/>
      <c r="DF11" s="404"/>
      <c r="DG11" s="398"/>
      <c r="DH11" s="398">
        <f t="shared" si="18"/>
        <v>0</v>
      </c>
      <c r="DI11" s="398"/>
      <c r="DJ11" s="404"/>
      <c r="DK11" s="404"/>
      <c r="DL11" s="404"/>
      <c r="DM11" s="398"/>
      <c r="DN11" s="398">
        <f t="shared" si="19"/>
        <v>0</v>
      </c>
      <c r="DO11" s="398"/>
      <c r="DP11" s="404"/>
      <c r="DQ11" s="404"/>
      <c r="DR11" s="404"/>
      <c r="DS11" s="398"/>
      <c r="DT11" s="398">
        <f t="shared" si="20"/>
        <v>0</v>
      </c>
      <c r="DU11" s="398"/>
      <c r="DV11" s="404"/>
      <c r="DW11" s="404"/>
      <c r="DX11" s="404"/>
      <c r="DY11" s="398"/>
      <c r="DZ11" s="398">
        <f t="shared" si="21"/>
        <v>0</v>
      </c>
      <c r="EA11" s="398"/>
      <c r="EB11" s="404"/>
      <c r="EC11" s="404"/>
      <c r="ED11" s="404"/>
      <c r="EE11" s="398"/>
      <c r="EF11" s="398">
        <f t="shared" si="22"/>
        <v>0</v>
      </c>
      <c r="EG11" s="398"/>
      <c r="EH11" s="404"/>
      <c r="EI11" s="404"/>
      <c r="EJ11" s="404"/>
      <c r="EK11" s="398"/>
      <c r="EL11" s="398">
        <f t="shared" si="23"/>
        <v>0</v>
      </c>
      <c r="EM11" s="398"/>
      <c r="EN11" s="404"/>
      <c r="EO11" s="404"/>
      <c r="EP11" s="404"/>
      <c r="EQ11" s="398"/>
      <c r="ER11" s="398">
        <f t="shared" si="24"/>
        <v>0</v>
      </c>
      <c r="ES11" s="398"/>
      <c r="ET11" s="404"/>
      <c r="EU11" s="404"/>
      <c r="EV11" s="404"/>
      <c r="EW11" s="398"/>
      <c r="EX11" s="398">
        <f t="shared" si="25"/>
        <v>0</v>
      </c>
      <c r="EY11" s="398" t="e">
        <f>VLOOKUP($A11,[2]Devengado!$A$1:$AI$3,35,FALSE)</f>
        <v>#N/A</v>
      </c>
    </row>
    <row r="12" spans="1:155" ht="23.25" hidden="1" customHeight="1">
      <c r="A12" s="341">
        <v>460</v>
      </c>
      <c r="B12" s="442" t="str">
        <f>VLOOKUP($A12,  'Matriz POA 2024-TRABAJO'!$A$5:$CY$9142,11,FALSE)</f>
        <v>Corporación Ciudad Alfaro</v>
      </c>
      <c r="C12" s="442" t="str">
        <f>VLOOKUP($A12, 'Matriz POA 2024-TRABAJO'!$A$5:$CY$9142,14,FALSE)</f>
        <v>N/A</v>
      </c>
      <c r="D12" s="442" t="str">
        <f>VLOOKUP($A12, 'Matriz POA 2024-TRABAJO'!$A$5:$CY$9142,15,FALSE)</f>
        <v>N/A</v>
      </c>
      <c r="E12" s="442" t="str">
        <f>VLOOKUP($A12, 'Matriz POA 2024-TRABAJO'!$A$5:$CY$9142,18,FALSE)</f>
        <v>N/A</v>
      </c>
      <c r="F12" s="442" t="str">
        <f>VLOOKUP($A12, 'Matriz POA 2024-TRABAJO'!$A$5:$CY$9142,23,FALSE)</f>
        <v>NUEVA</v>
      </c>
      <c r="G12" s="443" t="str">
        <f>VLOOKUP($A12, 'Matriz POA 2024-TRABAJO'!$A$5:$CY$9142,24,FALSE)</f>
        <v xml:space="preserve">Reintegro de gastos por trámite de tasas de contribución especial en la matriculación vehicular por rodaje cantonal </v>
      </c>
      <c r="H12" s="442" t="str">
        <f>VLOOKUP($A12, 'Matriz POA 2024-TRABAJO'!$A$5:$CY$9142,25,FALSE)</f>
        <v>0035</v>
      </c>
      <c r="I12" s="442" t="str">
        <f>VLOOKUP($A12, 'Matriz POA 2024-TRABAJO'!$A$5:$CY$9142,26,FALSE)</f>
        <v>80</v>
      </c>
      <c r="J12" s="442" t="str">
        <f>VLOOKUP($A12, 'Matriz POA 2024-TRABAJO'!$A$5:$CY$9142,27,FALSE)</f>
        <v>000</v>
      </c>
      <c r="K12" s="444" t="str">
        <f>VLOOKUP($A12, 'Matriz POA 2024-TRABAJO'!$A$5:$CY$9142,28,FALSE)</f>
        <v>002</v>
      </c>
      <c r="L12" s="444" t="str">
        <f>VLOOKUP($A12, 'Matriz POA 2024-TRABAJO'!$A$5:$CY$9142,29,FALSE)</f>
        <v>57</v>
      </c>
      <c r="M12" s="444">
        <f>VLOOKUP($A12, 'Matriz POA 2024-TRABAJO'!$A$5:$CY$9142,30,FALSE)</f>
        <v>570102</v>
      </c>
      <c r="N12" s="444" t="str">
        <f>VLOOKUP($A12, 'Matriz POA 2024-TRABAJO'!$A$5:$CY$9142,33,FALSE)</f>
        <v>001</v>
      </c>
      <c r="O12" s="444" t="str">
        <f>VLOOKUP($A12, 'Matriz POA 2024-TRABAJO'!$A$5:$CY$9142,34,FALSE)</f>
        <v>0000</v>
      </c>
      <c r="P12" s="444" t="str">
        <f>VLOOKUP($A12, 'Matriz POA 2024-TRABAJO'!$A$5:$CY$9142,35,FALSE)</f>
        <v>0000</v>
      </c>
      <c r="Q12" s="445">
        <f>VLOOKUP($A12, 'Matriz POA 2024-TRABAJO'!$A$5:$CY$9142,47,FALSE)</f>
        <v>200</v>
      </c>
      <c r="R12" s="446">
        <f t="shared" si="0"/>
        <v>0</v>
      </c>
      <c r="S12" s="446">
        <f t="shared" si="1"/>
        <v>0</v>
      </c>
      <c r="T12" s="446">
        <f t="shared" si="2"/>
        <v>0</v>
      </c>
      <c r="U12" s="446">
        <f t="shared" si="3"/>
        <v>200</v>
      </c>
      <c r="V12" s="446" t="str">
        <f t="shared" si="4"/>
        <v>14</v>
      </c>
      <c r="W12" s="511">
        <v>14</v>
      </c>
      <c r="X12" s="404" t="s">
        <v>1303</v>
      </c>
      <c r="Y12" s="404" t="s">
        <v>1300</v>
      </c>
      <c r="Z12" s="404">
        <f>200-200</f>
        <v>0</v>
      </c>
      <c r="AA12" s="404">
        <f>200-200</f>
        <v>0</v>
      </c>
      <c r="AB12" s="398">
        <f t="shared" si="5"/>
        <v>0</v>
      </c>
      <c r="AC12" s="403"/>
      <c r="AD12" s="404"/>
      <c r="AE12" s="404"/>
      <c r="AF12" s="404"/>
      <c r="AG12" s="398"/>
      <c r="AH12" s="398">
        <f>IF(AD12="APROBADO",AF12-AG12,0)</f>
        <v>0</v>
      </c>
      <c r="AI12" s="405"/>
      <c r="AJ12" s="404"/>
      <c r="AK12" s="404"/>
      <c r="AL12" s="404"/>
      <c r="AM12" s="398"/>
      <c r="AN12" s="398">
        <f t="shared" si="6"/>
        <v>0</v>
      </c>
      <c r="AO12" s="398"/>
      <c r="AP12" s="404"/>
      <c r="AQ12" s="404"/>
      <c r="AR12" s="404"/>
      <c r="AS12" s="398"/>
      <c r="AT12" s="398">
        <f t="shared" si="7"/>
        <v>0</v>
      </c>
      <c r="AU12" s="398"/>
      <c r="AV12" s="404"/>
      <c r="AW12" s="404"/>
      <c r="AX12" s="404"/>
      <c r="AY12" s="404"/>
      <c r="AZ12" s="398">
        <f t="shared" si="8"/>
        <v>0</v>
      </c>
      <c r="BA12" s="398"/>
      <c r="BB12" s="404"/>
      <c r="BC12" s="404"/>
      <c r="BD12" s="404"/>
      <c r="BE12" s="398"/>
      <c r="BF12" s="398">
        <f t="shared" si="9"/>
        <v>0</v>
      </c>
      <c r="BG12" s="398"/>
      <c r="BH12" s="404"/>
      <c r="BI12" s="404"/>
      <c r="BJ12" s="404"/>
      <c r="BK12" s="398"/>
      <c r="BL12" s="398">
        <f t="shared" si="10"/>
        <v>0</v>
      </c>
      <c r="BM12" s="398"/>
      <c r="BN12" s="404"/>
      <c r="BO12" s="404"/>
      <c r="BP12" s="404"/>
      <c r="BQ12" s="398"/>
      <c r="BR12" s="398">
        <f t="shared" si="11"/>
        <v>0</v>
      </c>
      <c r="BS12" s="398"/>
      <c r="BT12" s="404"/>
      <c r="BU12" s="404"/>
      <c r="BV12" s="404"/>
      <c r="BW12" s="398"/>
      <c r="BX12" s="398">
        <f t="shared" si="12"/>
        <v>0</v>
      </c>
      <c r="BY12" s="398"/>
      <c r="BZ12" s="404"/>
      <c r="CA12" s="404"/>
      <c r="CB12" s="404"/>
      <c r="CC12" s="398"/>
      <c r="CD12" s="398">
        <f t="shared" si="13"/>
        <v>0</v>
      </c>
      <c r="CE12" s="398"/>
      <c r="CF12" s="404"/>
      <c r="CG12" s="404"/>
      <c r="CH12" s="404"/>
      <c r="CI12" s="398"/>
      <c r="CJ12" s="398">
        <f t="shared" si="14"/>
        <v>0</v>
      </c>
      <c r="CK12" s="398"/>
      <c r="CL12" s="404"/>
      <c r="CM12" s="404"/>
      <c r="CN12" s="404"/>
      <c r="CO12" s="398"/>
      <c r="CP12" s="398">
        <f t="shared" si="15"/>
        <v>0</v>
      </c>
      <c r="CQ12" s="398"/>
      <c r="CR12" s="404"/>
      <c r="CS12" s="404"/>
      <c r="CT12" s="404"/>
      <c r="CU12" s="398"/>
      <c r="CV12" s="398">
        <f t="shared" si="16"/>
        <v>0</v>
      </c>
      <c r="CW12" s="398"/>
      <c r="CX12" s="404"/>
      <c r="CY12" s="404"/>
      <c r="CZ12" s="404"/>
      <c r="DA12" s="398"/>
      <c r="DB12" s="398">
        <f t="shared" si="17"/>
        <v>0</v>
      </c>
      <c r="DC12" s="398"/>
      <c r="DD12" s="404"/>
      <c r="DE12" s="404"/>
      <c r="DF12" s="404"/>
      <c r="DG12" s="398"/>
      <c r="DH12" s="398">
        <f t="shared" si="18"/>
        <v>0</v>
      </c>
      <c r="DI12" s="398"/>
      <c r="DJ12" s="404"/>
      <c r="DK12" s="404"/>
      <c r="DL12" s="404"/>
      <c r="DM12" s="398"/>
      <c r="DN12" s="398">
        <f t="shared" si="19"/>
        <v>0</v>
      </c>
      <c r="DO12" s="398"/>
      <c r="DP12" s="404"/>
      <c r="DQ12" s="404"/>
      <c r="DR12" s="404"/>
      <c r="DS12" s="398"/>
      <c r="DT12" s="398">
        <f t="shared" si="20"/>
        <v>0</v>
      </c>
      <c r="DU12" s="398"/>
      <c r="DV12" s="404"/>
      <c r="DW12" s="404"/>
      <c r="DX12" s="404"/>
      <c r="DY12" s="398"/>
      <c r="DZ12" s="398">
        <f t="shared" si="21"/>
        <v>0</v>
      </c>
      <c r="EA12" s="398"/>
      <c r="EB12" s="404"/>
      <c r="EC12" s="404"/>
      <c r="ED12" s="404"/>
      <c r="EE12" s="398"/>
      <c r="EF12" s="398">
        <f t="shared" si="22"/>
        <v>0</v>
      </c>
      <c r="EG12" s="398"/>
      <c r="EH12" s="404"/>
      <c r="EI12" s="404"/>
      <c r="EJ12" s="404"/>
      <c r="EK12" s="398"/>
      <c r="EL12" s="398">
        <f t="shared" si="23"/>
        <v>0</v>
      </c>
      <c r="EM12" s="398"/>
      <c r="EN12" s="404"/>
      <c r="EO12" s="404"/>
      <c r="EP12" s="404"/>
      <c r="EQ12" s="398"/>
      <c r="ER12" s="398">
        <f t="shared" si="24"/>
        <v>0</v>
      </c>
      <c r="ES12" s="398"/>
      <c r="ET12" s="404"/>
      <c r="EU12" s="404"/>
      <c r="EV12" s="404"/>
      <c r="EW12" s="398"/>
      <c r="EX12" s="398">
        <f t="shared" si="25"/>
        <v>0</v>
      </c>
      <c r="EY12" s="398" t="e">
        <f>VLOOKUP($A12,[2]Devengado!$A$1:$AI$3,35,FALSE)</f>
        <v>#N/A</v>
      </c>
    </row>
    <row r="13" spans="1:155" ht="23.25" hidden="1" customHeight="1">
      <c r="A13" s="341">
        <v>461</v>
      </c>
      <c r="B13" s="442" t="str">
        <f>VLOOKUP($A13,  'Matriz POA 2024-TRABAJO'!$A$5:$CY$9142,11,FALSE)</f>
        <v>Corporación Ciudad Alfaro</v>
      </c>
      <c r="C13" s="442" t="str">
        <f>VLOOKUP($A13, 'Matriz POA 2024-TRABAJO'!$A$5:$CY$9142,14,FALSE)</f>
        <v>N/A</v>
      </c>
      <c r="D13" s="442" t="str">
        <f>VLOOKUP($A13, 'Matriz POA 2024-TRABAJO'!$A$5:$CY$9142,15,FALSE)</f>
        <v>N/A</v>
      </c>
      <c r="E13" s="442" t="str">
        <f>VLOOKUP($A13, 'Matriz POA 2024-TRABAJO'!$A$5:$CY$9142,18,FALSE)</f>
        <v>N/A</v>
      </c>
      <c r="F13" s="442" t="str">
        <f>VLOOKUP($A13, 'Matriz POA 2024-TRABAJO'!$A$5:$CY$9142,23,FALSE)</f>
        <v>NUEVA</v>
      </c>
      <c r="G13" s="443" t="str">
        <f>VLOOKUP($A13, 'Matriz POA 2024-TRABAJO'!$A$5:$CY$9142,24,FALSE)</f>
        <v>Pago de contribución especial por mejoramiento vial rural de los vehículos de la Corporación Ciudad Alfaro</v>
      </c>
      <c r="H13" s="442" t="str">
        <f>VLOOKUP($A13, 'Matriz POA 2024-TRABAJO'!$A$5:$CY$9142,25,FALSE)</f>
        <v>0035</v>
      </c>
      <c r="I13" s="442" t="str">
        <f>VLOOKUP($A13, 'Matriz POA 2024-TRABAJO'!$A$5:$CY$9142,26,FALSE)</f>
        <v>80</v>
      </c>
      <c r="J13" s="442" t="str">
        <f>VLOOKUP($A13, 'Matriz POA 2024-TRABAJO'!$A$5:$CY$9142,27,FALSE)</f>
        <v>000</v>
      </c>
      <c r="K13" s="444" t="str">
        <f>VLOOKUP($A13, 'Matriz POA 2024-TRABAJO'!$A$5:$CY$9142,28,FALSE)</f>
        <v>002</v>
      </c>
      <c r="L13" s="444" t="str">
        <f>VLOOKUP($A13, 'Matriz POA 2024-TRABAJO'!$A$5:$CY$9142,29,FALSE)</f>
        <v>57</v>
      </c>
      <c r="M13" s="444">
        <f>VLOOKUP($A13, 'Matriz POA 2024-TRABAJO'!$A$5:$CY$9142,30,FALSE)</f>
        <v>570102</v>
      </c>
      <c r="N13" s="444" t="str">
        <f>VLOOKUP($A13, 'Matriz POA 2024-TRABAJO'!$A$5:$CY$9142,33,FALSE)</f>
        <v>001</v>
      </c>
      <c r="O13" s="444" t="str">
        <f>VLOOKUP($A13, 'Matriz POA 2024-TRABAJO'!$A$5:$CY$9142,34,FALSE)</f>
        <v>0000</v>
      </c>
      <c r="P13" s="444" t="str">
        <f>VLOOKUP($A13, 'Matriz POA 2024-TRABAJO'!$A$5:$CY$9142,35,FALSE)</f>
        <v>0000</v>
      </c>
      <c r="Q13" s="445">
        <f>VLOOKUP($A13, 'Matriz POA 2024-TRABAJO'!$A$5:$CY$9142,47,FALSE)</f>
        <v>65.16</v>
      </c>
      <c r="R13" s="446">
        <f t="shared" si="0"/>
        <v>0</v>
      </c>
      <c r="S13" s="446">
        <f t="shared" si="1"/>
        <v>65.16</v>
      </c>
      <c r="T13" s="446">
        <f t="shared" si="2"/>
        <v>0</v>
      </c>
      <c r="U13" s="446">
        <f t="shared" si="3"/>
        <v>0</v>
      </c>
      <c r="V13" s="446" t="str">
        <f t="shared" si="4"/>
        <v>15</v>
      </c>
      <c r="W13" s="511">
        <v>15</v>
      </c>
      <c r="X13" s="404" t="s">
        <v>1303</v>
      </c>
      <c r="Y13" s="404" t="s">
        <v>1300</v>
      </c>
      <c r="Z13" s="404">
        <f>250-250</f>
        <v>0</v>
      </c>
      <c r="AA13" s="404">
        <f>250-184.84</f>
        <v>65.16</v>
      </c>
      <c r="AB13" s="398">
        <f t="shared" si="5"/>
        <v>0</v>
      </c>
      <c r="AC13" s="405"/>
      <c r="AD13" s="404"/>
      <c r="AE13" s="404"/>
      <c r="AF13" s="404"/>
      <c r="AG13" s="398"/>
      <c r="AH13" s="398">
        <f t="shared" ref="AH13" si="31">IF(AD13="APROBADO",AF13-AG13,0)</f>
        <v>0</v>
      </c>
      <c r="AI13" s="405"/>
      <c r="AJ13" s="404"/>
      <c r="AK13" s="404"/>
      <c r="AL13" s="404"/>
      <c r="AM13" s="398"/>
      <c r="AN13" s="398">
        <f t="shared" si="6"/>
        <v>0</v>
      </c>
      <c r="AO13" s="398"/>
      <c r="AP13" s="404"/>
      <c r="AQ13" s="404"/>
      <c r="AR13" s="404"/>
      <c r="AS13" s="398"/>
      <c r="AT13" s="398">
        <f t="shared" si="7"/>
        <v>0</v>
      </c>
      <c r="AU13" s="398"/>
      <c r="AV13" s="404"/>
      <c r="AW13" s="404"/>
      <c r="AX13" s="404"/>
      <c r="AY13" s="404"/>
      <c r="AZ13" s="398">
        <f t="shared" si="8"/>
        <v>0</v>
      </c>
      <c r="BA13" s="398"/>
      <c r="BB13" s="404"/>
      <c r="BC13" s="404"/>
      <c r="BD13" s="404"/>
      <c r="BE13" s="398"/>
      <c r="BF13" s="398">
        <f t="shared" si="9"/>
        <v>0</v>
      </c>
      <c r="BG13" s="398"/>
      <c r="BH13" s="404"/>
      <c r="BI13" s="404"/>
      <c r="BJ13" s="404"/>
      <c r="BK13" s="398"/>
      <c r="BL13" s="398">
        <f t="shared" si="10"/>
        <v>0</v>
      </c>
      <c r="BM13" s="398"/>
      <c r="BN13" s="404"/>
      <c r="BO13" s="404"/>
      <c r="BP13" s="404"/>
      <c r="BQ13" s="398"/>
      <c r="BR13" s="398">
        <f t="shared" si="11"/>
        <v>0</v>
      </c>
      <c r="BS13" s="398"/>
      <c r="BT13" s="404"/>
      <c r="BU13" s="404"/>
      <c r="BV13" s="404"/>
      <c r="BW13" s="398"/>
      <c r="BX13" s="398">
        <f t="shared" si="12"/>
        <v>0</v>
      </c>
      <c r="BY13" s="398"/>
      <c r="BZ13" s="404"/>
      <c r="CA13" s="404"/>
      <c r="CB13" s="404"/>
      <c r="CC13" s="398"/>
      <c r="CD13" s="398">
        <f t="shared" si="13"/>
        <v>0</v>
      </c>
      <c r="CE13" s="398"/>
      <c r="CF13" s="404"/>
      <c r="CG13" s="404"/>
      <c r="CH13" s="404"/>
      <c r="CI13" s="398"/>
      <c r="CJ13" s="398">
        <f t="shared" si="14"/>
        <v>0</v>
      </c>
      <c r="CK13" s="398"/>
      <c r="CL13" s="404"/>
      <c r="CM13" s="404"/>
      <c r="CN13" s="404"/>
      <c r="CO13" s="398"/>
      <c r="CP13" s="398">
        <f t="shared" si="15"/>
        <v>0</v>
      </c>
      <c r="CQ13" s="398"/>
      <c r="CR13" s="404"/>
      <c r="CS13" s="404"/>
      <c r="CT13" s="404"/>
      <c r="CU13" s="398"/>
      <c r="CV13" s="398">
        <f t="shared" si="16"/>
        <v>0</v>
      </c>
      <c r="CW13" s="398"/>
      <c r="CX13" s="404"/>
      <c r="CY13" s="404"/>
      <c r="CZ13" s="404"/>
      <c r="DA13" s="398"/>
      <c r="DB13" s="398">
        <f t="shared" si="17"/>
        <v>0</v>
      </c>
      <c r="DC13" s="398"/>
      <c r="DD13" s="404"/>
      <c r="DE13" s="404"/>
      <c r="DF13" s="404"/>
      <c r="DG13" s="398"/>
      <c r="DH13" s="398">
        <f t="shared" si="18"/>
        <v>0</v>
      </c>
      <c r="DI13" s="398"/>
      <c r="DJ13" s="404"/>
      <c r="DK13" s="404"/>
      <c r="DL13" s="404"/>
      <c r="DM13" s="398"/>
      <c r="DN13" s="398">
        <f t="shared" si="19"/>
        <v>0</v>
      </c>
      <c r="DO13" s="398"/>
      <c r="DP13" s="404"/>
      <c r="DQ13" s="404"/>
      <c r="DR13" s="404"/>
      <c r="DS13" s="398"/>
      <c r="DT13" s="398">
        <f t="shared" si="20"/>
        <v>0</v>
      </c>
      <c r="DU13" s="398"/>
      <c r="DV13" s="404"/>
      <c r="DW13" s="404"/>
      <c r="DX13" s="404"/>
      <c r="DY13" s="398"/>
      <c r="DZ13" s="398">
        <f t="shared" si="21"/>
        <v>0</v>
      </c>
      <c r="EA13" s="398"/>
      <c r="EB13" s="404"/>
      <c r="EC13" s="404"/>
      <c r="ED13" s="404"/>
      <c r="EE13" s="398"/>
      <c r="EF13" s="398">
        <f t="shared" si="22"/>
        <v>0</v>
      </c>
      <c r="EG13" s="398"/>
      <c r="EH13" s="404"/>
      <c r="EI13" s="404"/>
      <c r="EJ13" s="404"/>
      <c r="EK13" s="398"/>
      <c r="EL13" s="398">
        <f t="shared" si="23"/>
        <v>0</v>
      </c>
      <c r="EM13" s="398"/>
      <c r="EN13" s="404"/>
      <c r="EO13" s="404"/>
      <c r="EP13" s="404"/>
      <c r="EQ13" s="398"/>
      <c r="ER13" s="398">
        <f t="shared" si="24"/>
        <v>0</v>
      </c>
      <c r="ES13" s="398"/>
      <c r="ET13" s="404"/>
      <c r="EU13" s="404"/>
      <c r="EV13" s="404"/>
      <c r="EW13" s="398"/>
      <c r="EX13" s="398">
        <f t="shared" si="25"/>
        <v>0</v>
      </c>
      <c r="EY13" s="398" t="e">
        <f>VLOOKUP($A13,[2]Devengado!$A$1:$AI$3,35,FALSE)</f>
        <v>#N/A</v>
      </c>
    </row>
    <row r="14" spans="1:155" ht="23.25" hidden="1" customHeight="1">
      <c r="A14" s="341">
        <v>462</v>
      </c>
      <c r="B14" s="442" t="str">
        <f>VLOOKUP($A14,  'Matriz POA 2024-TRABAJO'!$A$5:$CY$9142,11,FALSE)</f>
        <v>Corporación Ciudad Alfaro</v>
      </c>
      <c r="C14" s="442" t="str">
        <f>VLOOKUP($A14, 'Matriz POA 2024-TRABAJO'!$A$5:$CY$9142,14,FALSE)</f>
        <v>N/A</v>
      </c>
      <c r="D14" s="442" t="str">
        <f>VLOOKUP($A14, 'Matriz POA 2024-TRABAJO'!$A$5:$CY$9142,15,FALSE)</f>
        <v>N/A</v>
      </c>
      <c r="E14" s="442" t="str">
        <f>VLOOKUP($A14, 'Matriz POA 2024-TRABAJO'!$A$5:$CY$9142,18,FALSE)</f>
        <v>N/A</v>
      </c>
      <c r="F14" s="442" t="str">
        <f>VLOOKUP($A14, 'Matriz POA 2024-TRABAJO'!$A$5:$CY$9142,23,FALSE)</f>
        <v>NUEVA</v>
      </c>
      <c r="G14" s="443" t="str">
        <f>VLOOKUP($A14, 'Matriz POA 2024-TRABAJO'!$A$5:$CY$9142,24,FALSE)</f>
        <v>Pago de matriculación 2024 de los vehículos de la Corporación Ciudad Alfaro y sus sedes</v>
      </c>
      <c r="H14" s="442" t="str">
        <f>VLOOKUP($A14, 'Matriz POA 2024-TRABAJO'!$A$5:$CY$9142,25,FALSE)</f>
        <v>0035</v>
      </c>
      <c r="I14" s="442" t="str">
        <f>VLOOKUP($A14, 'Matriz POA 2024-TRABAJO'!$A$5:$CY$9142,26,FALSE)</f>
        <v>80</v>
      </c>
      <c r="J14" s="442" t="str">
        <f>VLOOKUP($A14, 'Matriz POA 2024-TRABAJO'!$A$5:$CY$9142,27,FALSE)</f>
        <v>000</v>
      </c>
      <c r="K14" s="444" t="str">
        <f>VLOOKUP($A14, 'Matriz POA 2024-TRABAJO'!$A$5:$CY$9142,28,FALSE)</f>
        <v>002</v>
      </c>
      <c r="L14" s="444" t="str">
        <f>VLOOKUP($A14, 'Matriz POA 2024-TRABAJO'!$A$5:$CY$9142,29,FALSE)</f>
        <v>57</v>
      </c>
      <c r="M14" s="444">
        <f>VLOOKUP($A14, 'Matriz POA 2024-TRABAJO'!$A$5:$CY$9142,30,FALSE)</f>
        <v>570102</v>
      </c>
      <c r="N14" s="444" t="str">
        <f>VLOOKUP($A14, 'Matriz POA 2024-TRABAJO'!$A$5:$CY$9142,33,FALSE)</f>
        <v>001</v>
      </c>
      <c r="O14" s="444" t="str">
        <f>VLOOKUP($A14, 'Matriz POA 2024-TRABAJO'!$A$5:$CY$9142,34,FALSE)</f>
        <v>0000</v>
      </c>
      <c r="P14" s="444" t="str">
        <f>VLOOKUP($A14, 'Matriz POA 2024-TRABAJO'!$A$5:$CY$9142,35,FALSE)</f>
        <v>0000</v>
      </c>
      <c r="Q14" s="445">
        <f>VLOOKUP($A14, 'Matriz POA 2024-TRABAJO'!$A$5:$CY$9142,47,FALSE)</f>
        <v>622.08000000000004</v>
      </c>
      <c r="R14" s="446">
        <f t="shared" si="0"/>
        <v>0</v>
      </c>
      <c r="S14" s="446">
        <f t="shared" si="1"/>
        <v>622.08000000000004</v>
      </c>
      <c r="T14" s="446">
        <f t="shared" si="2"/>
        <v>0</v>
      </c>
      <c r="U14" s="446">
        <f t="shared" si="3"/>
        <v>0</v>
      </c>
      <c r="V14" s="446" t="str">
        <f t="shared" si="4"/>
        <v>16</v>
      </c>
      <c r="W14" s="511">
        <v>16</v>
      </c>
      <c r="X14" s="404" t="s">
        <v>1303</v>
      </c>
      <c r="Y14" s="404" t="s">
        <v>1300</v>
      </c>
      <c r="Z14" s="404">
        <f>800-800</f>
        <v>0</v>
      </c>
      <c r="AA14" s="404">
        <f>800-177.92</f>
        <v>622.08000000000004</v>
      </c>
      <c r="AB14" s="398">
        <f t="shared" si="5"/>
        <v>0</v>
      </c>
      <c r="AC14" s="403"/>
      <c r="AD14" s="404"/>
      <c r="AE14" s="404"/>
      <c r="AF14" s="404"/>
      <c r="AG14" s="398"/>
      <c r="AH14" s="398">
        <f>IF(AD14="APROBADO",AF14-AG14,0)</f>
        <v>0</v>
      </c>
      <c r="AI14" s="405"/>
      <c r="AJ14" s="404"/>
      <c r="AK14" s="404"/>
      <c r="AL14" s="404"/>
      <c r="AM14" s="398"/>
      <c r="AN14" s="398">
        <f t="shared" si="6"/>
        <v>0</v>
      </c>
      <c r="AO14" s="398"/>
      <c r="AP14" s="404"/>
      <c r="AQ14" s="404"/>
      <c r="AR14" s="404"/>
      <c r="AS14" s="398"/>
      <c r="AT14" s="398">
        <f t="shared" si="7"/>
        <v>0</v>
      </c>
      <c r="AU14" s="398"/>
      <c r="AV14" s="404"/>
      <c r="AW14" s="404"/>
      <c r="AX14" s="404"/>
      <c r="AY14" s="404"/>
      <c r="AZ14" s="398">
        <f t="shared" si="8"/>
        <v>0</v>
      </c>
      <c r="BA14" s="398"/>
      <c r="BB14" s="404"/>
      <c r="BC14" s="404"/>
      <c r="BD14" s="404"/>
      <c r="BE14" s="398"/>
      <c r="BF14" s="398">
        <f t="shared" si="9"/>
        <v>0</v>
      </c>
      <c r="BG14" s="398"/>
      <c r="BH14" s="404"/>
      <c r="BI14" s="404"/>
      <c r="BJ14" s="404"/>
      <c r="BK14" s="398"/>
      <c r="BL14" s="398">
        <f t="shared" si="10"/>
        <v>0</v>
      </c>
      <c r="BM14" s="398"/>
      <c r="BN14" s="404"/>
      <c r="BO14" s="404"/>
      <c r="BP14" s="404"/>
      <c r="BQ14" s="398"/>
      <c r="BR14" s="398">
        <f t="shared" si="11"/>
        <v>0</v>
      </c>
      <c r="BS14" s="398"/>
      <c r="BT14" s="404"/>
      <c r="BU14" s="404"/>
      <c r="BV14" s="404"/>
      <c r="BW14" s="398"/>
      <c r="BX14" s="398">
        <f t="shared" si="12"/>
        <v>0</v>
      </c>
      <c r="BY14" s="398"/>
      <c r="BZ14" s="404"/>
      <c r="CA14" s="404"/>
      <c r="CB14" s="404"/>
      <c r="CC14" s="398"/>
      <c r="CD14" s="398">
        <f t="shared" si="13"/>
        <v>0</v>
      </c>
      <c r="CE14" s="398"/>
      <c r="CF14" s="404"/>
      <c r="CG14" s="404"/>
      <c r="CH14" s="404"/>
      <c r="CI14" s="398"/>
      <c r="CJ14" s="398">
        <f t="shared" si="14"/>
        <v>0</v>
      </c>
      <c r="CK14" s="398"/>
      <c r="CL14" s="404"/>
      <c r="CM14" s="404"/>
      <c r="CN14" s="404"/>
      <c r="CO14" s="398"/>
      <c r="CP14" s="398">
        <f t="shared" si="15"/>
        <v>0</v>
      </c>
      <c r="CQ14" s="398"/>
      <c r="CR14" s="404"/>
      <c r="CS14" s="404"/>
      <c r="CT14" s="404"/>
      <c r="CU14" s="398"/>
      <c r="CV14" s="398">
        <f t="shared" si="16"/>
        <v>0</v>
      </c>
      <c r="CW14" s="398"/>
      <c r="CX14" s="404"/>
      <c r="CY14" s="404"/>
      <c r="CZ14" s="404"/>
      <c r="DA14" s="398"/>
      <c r="DB14" s="398">
        <f t="shared" si="17"/>
        <v>0</v>
      </c>
      <c r="DC14" s="398"/>
      <c r="DD14" s="404"/>
      <c r="DE14" s="404"/>
      <c r="DF14" s="404"/>
      <c r="DG14" s="398"/>
      <c r="DH14" s="398">
        <f t="shared" si="18"/>
        <v>0</v>
      </c>
      <c r="DI14" s="398"/>
      <c r="DJ14" s="404"/>
      <c r="DK14" s="404"/>
      <c r="DL14" s="404"/>
      <c r="DM14" s="398"/>
      <c r="DN14" s="398">
        <f t="shared" si="19"/>
        <v>0</v>
      </c>
      <c r="DO14" s="398"/>
      <c r="DP14" s="404"/>
      <c r="DQ14" s="404"/>
      <c r="DR14" s="404"/>
      <c r="DS14" s="398"/>
      <c r="DT14" s="398">
        <f t="shared" si="20"/>
        <v>0</v>
      </c>
      <c r="DU14" s="398"/>
      <c r="DV14" s="404"/>
      <c r="DW14" s="404"/>
      <c r="DX14" s="404"/>
      <c r="DY14" s="398"/>
      <c r="DZ14" s="398">
        <f t="shared" si="21"/>
        <v>0</v>
      </c>
      <c r="EA14" s="398"/>
      <c r="EB14" s="404"/>
      <c r="EC14" s="404"/>
      <c r="ED14" s="404"/>
      <c r="EE14" s="398"/>
      <c r="EF14" s="398">
        <f t="shared" si="22"/>
        <v>0</v>
      </c>
      <c r="EG14" s="398"/>
      <c r="EH14" s="404"/>
      <c r="EI14" s="404"/>
      <c r="EJ14" s="404"/>
      <c r="EK14" s="398"/>
      <c r="EL14" s="398">
        <f t="shared" si="23"/>
        <v>0</v>
      </c>
      <c r="EM14" s="398"/>
      <c r="EN14" s="404"/>
      <c r="EO14" s="404"/>
      <c r="EP14" s="404"/>
      <c r="EQ14" s="398"/>
      <c r="ER14" s="398">
        <f t="shared" si="24"/>
        <v>0</v>
      </c>
      <c r="ES14" s="398"/>
      <c r="ET14" s="404"/>
      <c r="EU14" s="404"/>
      <c r="EV14" s="404"/>
      <c r="EW14" s="398"/>
      <c r="EX14" s="398">
        <f t="shared" si="25"/>
        <v>0</v>
      </c>
      <c r="EY14" s="398" t="e">
        <f>VLOOKUP($A14,[2]Devengado!$A$1:$AI$3,35,FALSE)</f>
        <v>#N/A</v>
      </c>
    </row>
    <row r="15" spans="1:155" ht="23.25" hidden="1" customHeight="1">
      <c r="A15" s="341">
        <v>464</v>
      </c>
      <c r="B15" s="442" t="str">
        <f>VLOOKUP($A15,  'Matriz POA 2024-TRABAJO'!$A$5:$CY$9142,11,FALSE)</f>
        <v>Corporación Ciudad Alfaro</v>
      </c>
      <c r="C15" s="442" t="str">
        <f>VLOOKUP($A15, 'Matriz POA 2024-TRABAJO'!$A$5:$CY$9142,14,FALSE)</f>
        <v>N/A</v>
      </c>
      <c r="D15" s="442" t="str">
        <f>VLOOKUP($A15, 'Matriz POA 2024-TRABAJO'!$A$5:$CY$9142,15,FALSE)</f>
        <v>N/A</v>
      </c>
      <c r="E15" s="442" t="str">
        <f>VLOOKUP($A15, 'Matriz POA 2024-TRABAJO'!$A$5:$CY$9142,18,FALSE)</f>
        <v>N/A</v>
      </c>
      <c r="F15" s="442" t="str">
        <f>VLOOKUP($A15, 'Matriz POA 2024-TRABAJO'!$A$5:$CY$9142,23,FALSE)</f>
        <v>NUEVA</v>
      </c>
      <c r="G15" s="443" t="str">
        <f>VLOOKUP($A15, 'Matriz POA 2024-TRABAJO'!$A$5:$CY$9142,24,FALSE)</f>
        <v>Pago de tasas y contribuciones a los predios urbanos y cuerpo de bomberos de la Corporación Ciudad Alfaro</v>
      </c>
      <c r="H15" s="442" t="str">
        <f>VLOOKUP($A15, 'Matriz POA 2024-TRABAJO'!$A$5:$CY$9142,25,FALSE)</f>
        <v>0035</v>
      </c>
      <c r="I15" s="442" t="str">
        <f>VLOOKUP($A15, 'Matriz POA 2024-TRABAJO'!$A$5:$CY$9142,26,FALSE)</f>
        <v>80</v>
      </c>
      <c r="J15" s="442" t="str">
        <f>VLOOKUP($A15, 'Matriz POA 2024-TRABAJO'!$A$5:$CY$9142,27,FALSE)</f>
        <v>000</v>
      </c>
      <c r="K15" s="444" t="str">
        <f>VLOOKUP($A15, 'Matriz POA 2024-TRABAJO'!$A$5:$CY$9142,28,FALSE)</f>
        <v>002</v>
      </c>
      <c r="L15" s="444" t="str">
        <f>VLOOKUP($A15, 'Matriz POA 2024-TRABAJO'!$A$5:$CY$9142,29,FALSE)</f>
        <v>57</v>
      </c>
      <c r="M15" s="444">
        <f>VLOOKUP($A15, 'Matriz POA 2024-TRABAJO'!$A$5:$CY$9142,30,FALSE)</f>
        <v>570102</v>
      </c>
      <c r="N15" s="444" t="str">
        <f>VLOOKUP($A15, 'Matriz POA 2024-TRABAJO'!$A$5:$CY$9142,33,FALSE)</f>
        <v>001</v>
      </c>
      <c r="O15" s="444" t="str">
        <f>VLOOKUP($A15, 'Matriz POA 2024-TRABAJO'!$A$5:$CY$9142,34,FALSE)</f>
        <v>0000</v>
      </c>
      <c r="P15" s="444" t="str">
        <f>VLOOKUP($A15, 'Matriz POA 2024-TRABAJO'!$A$5:$CY$9142,35,FALSE)</f>
        <v>0000</v>
      </c>
      <c r="Q15" s="445">
        <f>VLOOKUP($A15, 'Matriz POA 2024-TRABAJO'!$A$5:$CY$9142,47,FALSE)</f>
        <v>575.36000000000013</v>
      </c>
      <c r="R15" s="446">
        <f t="shared" si="0"/>
        <v>0</v>
      </c>
      <c r="S15" s="446">
        <f t="shared" si="1"/>
        <v>575.36000000000013</v>
      </c>
      <c r="T15" s="446">
        <f t="shared" si="2"/>
        <v>0</v>
      </c>
      <c r="U15" s="446">
        <f t="shared" si="3"/>
        <v>0</v>
      </c>
      <c r="V15" s="446" t="str">
        <f t="shared" si="4"/>
        <v>17</v>
      </c>
      <c r="W15" s="511">
        <v>17</v>
      </c>
      <c r="X15" s="404" t="s">
        <v>1303</v>
      </c>
      <c r="Y15" s="404" t="s">
        <v>1300</v>
      </c>
      <c r="Z15" s="404">
        <f>3000-3000</f>
        <v>0</v>
      </c>
      <c r="AA15" s="404">
        <f>3000-2424.64</f>
        <v>575.36000000000013</v>
      </c>
      <c r="AB15" s="398">
        <f t="shared" si="5"/>
        <v>0</v>
      </c>
      <c r="AC15" s="405"/>
      <c r="AD15" s="404"/>
      <c r="AE15" s="404"/>
      <c r="AF15" s="404"/>
      <c r="AG15" s="398"/>
      <c r="AH15" s="398">
        <f t="shared" ref="AH15" si="32">IF(AD15="APROBADO",AF15-AG15,0)</f>
        <v>0</v>
      </c>
      <c r="AI15" s="405"/>
      <c r="AJ15" s="404"/>
      <c r="AK15" s="404"/>
      <c r="AL15" s="404"/>
      <c r="AM15" s="398"/>
      <c r="AN15" s="398">
        <f t="shared" si="6"/>
        <v>0</v>
      </c>
      <c r="AO15" s="398"/>
      <c r="AP15" s="404"/>
      <c r="AQ15" s="404"/>
      <c r="AR15" s="404"/>
      <c r="AS15" s="398"/>
      <c r="AT15" s="398">
        <f t="shared" si="7"/>
        <v>0</v>
      </c>
      <c r="AU15" s="398"/>
      <c r="AV15" s="404"/>
      <c r="AW15" s="404"/>
      <c r="AX15" s="404"/>
      <c r="AY15" s="404"/>
      <c r="AZ15" s="398">
        <f t="shared" si="8"/>
        <v>0</v>
      </c>
      <c r="BA15" s="398"/>
      <c r="BB15" s="404"/>
      <c r="BC15" s="404"/>
      <c r="BD15" s="404"/>
      <c r="BE15" s="398"/>
      <c r="BF15" s="398">
        <f t="shared" si="9"/>
        <v>0</v>
      </c>
      <c r="BG15" s="398"/>
      <c r="BH15" s="404"/>
      <c r="BI15" s="404"/>
      <c r="BJ15" s="404"/>
      <c r="BK15" s="398"/>
      <c r="BL15" s="398">
        <f t="shared" si="10"/>
        <v>0</v>
      </c>
      <c r="BM15" s="398"/>
      <c r="BN15" s="404"/>
      <c r="BO15" s="404"/>
      <c r="BP15" s="404"/>
      <c r="BQ15" s="398"/>
      <c r="BR15" s="398">
        <f t="shared" si="11"/>
        <v>0</v>
      </c>
      <c r="BS15" s="398"/>
      <c r="BT15" s="404"/>
      <c r="BU15" s="404"/>
      <c r="BV15" s="404"/>
      <c r="BW15" s="398"/>
      <c r="BX15" s="398">
        <f t="shared" si="12"/>
        <v>0</v>
      </c>
      <c r="BY15" s="398"/>
      <c r="BZ15" s="404"/>
      <c r="CA15" s="404"/>
      <c r="CB15" s="404"/>
      <c r="CC15" s="398"/>
      <c r="CD15" s="398">
        <f t="shared" si="13"/>
        <v>0</v>
      </c>
      <c r="CE15" s="398"/>
      <c r="CF15" s="404"/>
      <c r="CG15" s="404"/>
      <c r="CH15" s="404"/>
      <c r="CI15" s="398"/>
      <c r="CJ15" s="398">
        <f t="shared" si="14"/>
        <v>0</v>
      </c>
      <c r="CK15" s="398"/>
      <c r="CL15" s="404"/>
      <c r="CM15" s="404"/>
      <c r="CN15" s="404"/>
      <c r="CO15" s="398"/>
      <c r="CP15" s="398">
        <f t="shared" si="15"/>
        <v>0</v>
      </c>
      <c r="CQ15" s="398"/>
      <c r="CR15" s="404"/>
      <c r="CS15" s="404"/>
      <c r="CT15" s="404"/>
      <c r="CU15" s="398"/>
      <c r="CV15" s="398">
        <f t="shared" si="16"/>
        <v>0</v>
      </c>
      <c r="CW15" s="398"/>
      <c r="CX15" s="404"/>
      <c r="CY15" s="404"/>
      <c r="CZ15" s="404"/>
      <c r="DA15" s="398"/>
      <c r="DB15" s="398">
        <f t="shared" si="17"/>
        <v>0</v>
      </c>
      <c r="DC15" s="398"/>
      <c r="DD15" s="404"/>
      <c r="DE15" s="404"/>
      <c r="DF15" s="404"/>
      <c r="DG15" s="398"/>
      <c r="DH15" s="398">
        <f t="shared" si="18"/>
        <v>0</v>
      </c>
      <c r="DI15" s="398"/>
      <c r="DJ15" s="404"/>
      <c r="DK15" s="404"/>
      <c r="DL15" s="404"/>
      <c r="DM15" s="398"/>
      <c r="DN15" s="398">
        <f t="shared" si="19"/>
        <v>0</v>
      </c>
      <c r="DO15" s="398"/>
      <c r="DP15" s="404"/>
      <c r="DQ15" s="404"/>
      <c r="DR15" s="404"/>
      <c r="DS15" s="398"/>
      <c r="DT15" s="398">
        <f t="shared" si="20"/>
        <v>0</v>
      </c>
      <c r="DU15" s="398"/>
      <c r="DV15" s="404"/>
      <c r="DW15" s="404"/>
      <c r="DX15" s="404"/>
      <c r="DY15" s="398"/>
      <c r="DZ15" s="398">
        <f t="shared" si="21"/>
        <v>0</v>
      </c>
      <c r="EA15" s="398"/>
      <c r="EB15" s="404"/>
      <c r="EC15" s="404"/>
      <c r="ED15" s="404"/>
      <c r="EE15" s="398"/>
      <c r="EF15" s="398">
        <f t="shared" si="22"/>
        <v>0</v>
      </c>
      <c r="EG15" s="398"/>
      <c r="EH15" s="404"/>
      <c r="EI15" s="404"/>
      <c r="EJ15" s="404"/>
      <c r="EK15" s="398"/>
      <c r="EL15" s="398">
        <f t="shared" si="23"/>
        <v>0</v>
      </c>
      <c r="EM15" s="398"/>
      <c r="EN15" s="404"/>
      <c r="EO15" s="404"/>
      <c r="EP15" s="404"/>
      <c r="EQ15" s="398"/>
      <c r="ER15" s="398">
        <f t="shared" si="24"/>
        <v>0</v>
      </c>
      <c r="ES15" s="398"/>
      <c r="ET15" s="404"/>
      <c r="EU15" s="404"/>
      <c r="EV15" s="404"/>
      <c r="EW15" s="398"/>
      <c r="EX15" s="398">
        <f t="shared" si="25"/>
        <v>0</v>
      </c>
      <c r="EY15" s="398" t="e">
        <f>VLOOKUP($A15,[2]Devengado!$A$1:$AI$3,35,FALSE)</f>
        <v>#N/A</v>
      </c>
    </row>
    <row r="16" spans="1:155" ht="23.25" hidden="1" customHeight="1">
      <c r="A16" s="341">
        <v>486</v>
      </c>
      <c r="B16" s="442" t="str">
        <f>VLOOKUP($A16,  'Matriz POA 2024-TRABAJO'!$A$5:$CY$9142,11,FALSE)</f>
        <v>Corporación Ciudad Alfaro</v>
      </c>
      <c r="C16" s="442" t="str">
        <f>VLOOKUP($A16, 'Matriz POA 2024-TRABAJO'!$A$5:$CY$9142,14,FALSE)</f>
        <v>N/A</v>
      </c>
      <c r="D16" s="442" t="str">
        <f>VLOOKUP($A16, 'Matriz POA 2024-TRABAJO'!$A$5:$CY$9142,15,FALSE)</f>
        <v>N/A</v>
      </c>
      <c r="E16" s="442" t="str">
        <f>VLOOKUP($A16, 'Matriz POA 2024-TRABAJO'!$A$5:$CY$9142,18,FALSE)</f>
        <v>N/A</v>
      </c>
      <c r="F16" s="442" t="str">
        <f>VLOOKUP($A16, 'Matriz POA 2024-TRABAJO'!$A$5:$CY$9142,23,FALSE)</f>
        <v>NUEVA</v>
      </c>
      <c r="G16" s="443" t="str">
        <f>VLOOKUP($A16, 'Matriz POA 2024-TRABAJO'!$A$5:$CY$9142,24,FALSE)</f>
        <v>Pago de pasajes en el interior para el personal de la Corporación Ciudad Alfaro y sus sedes</v>
      </c>
      <c r="H16" s="442" t="str">
        <f>VLOOKUP($A16, 'Matriz POA 2024-TRABAJO'!$A$5:$CY$9142,25,FALSE)</f>
        <v>0035</v>
      </c>
      <c r="I16" s="442" t="str">
        <f>VLOOKUP($A16, 'Matriz POA 2024-TRABAJO'!$A$5:$CY$9142,26,FALSE)</f>
        <v>80</v>
      </c>
      <c r="J16" s="442" t="str">
        <f>VLOOKUP($A16, 'Matriz POA 2024-TRABAJO'!$A$5:$CY$9142,27,FALSE)</f>
        <v>000</v>
      </c>
      <c r="K16" s="444" t="str">
        <f>VLOOKUP($A16, 'Matriz POA 2024-TRABAJO'!$A$5:$CY$9142,28,FALSE)</f>
        <v>002</v>
      </c>
      <c r="L16" s="444" t="str">
        <f>VLOOKUP($A16, 'Matriz POA 2024-TRABAJO'!$A$5:$CY$9142,29,FALSE)</f>
        <v>53</v>
      </c>
      <c r="M16" s="444">
        <f>VLOOKUP($A16, 'Matriz POA 2024-TRABAJO'!$A$5:$CY$9142,30,FALSE)</f>
        <v>530301</v>
      </c>
      <c r="N16" s="444" t="str">
        <f>VLOOKUP($A16, 'Matriz POA 2024-TRABAJO'!$A$5:$CY$9142,33,FALSE)</f>
        <v>001</v>
      </c>
      <c r="O16" s="444" t="str">
        <f>VLOOKUP($A16, 'Matriz POA 2024-TRABAJO'!$A$5:$CY$9142,34,FALSE)</f>
        <v>0000</v>
      </c>
      <c r="P16" s="444" t="str">
        <f>VLOOKUP($A16, 'Matriz POA 2024-TRABAJO'!$A$5:$CY$9142,35,FALSE)</f>
        <v>0000</v>
      </c>
      <c r="Q16" s="445">
        <f>VLOOKUP($A16, 'Matriz POA 2024-TRABAJO'!$A$5:$CY$9142,47,FALSE)</f>
        <v>0</v>
      </c>
      <c r="R16" s="446">
        <f t="shared" si="0"/>
        <v>0</v>
      </c>
      <c r="S16" s="446">
        <f t="shared" si="1"/>
        <v>0</v>
      </c>
      <c r="T16" s="446">
        <f t="shared" si="2"/>
        <v>0</v>
      </c>
      <c r="U16" s="446">
        <f t="shared" si="3"/>
        <v>0</v>
      </c>
      <c r="V16" s="446" t="str">
        <f t="shared" si="4"/>
        <v>19</v>
      </c>
      <c r="W16" s="511">
        <v>19</v>
      </c>
      <c r="X16" s="404" t="s">
        <v>1303</v>
      </c>
      <c r="Y16" s="404" t="s">
        <v>1300</v>
      </c>
      <c r="Z16" s="404">
        <f>500-500</f>
        <v>0</v>
      </c>
      <c r="AA16" s="404">
        <f>500-500</f>
        <v>0</v>
      </c>
      <c r="AB16" s="398">
        <f t="shared" si="5"/>
        <v>0</v>
      </c>
      <c r="AC16" s="403"/>
      <c r="AD16" s="404"/>
      <c r="AE16" s="404"/>
      <c r="AF16" s="404"/>
      <c r="AG16" s="398"/>
      <c r="AH16" s="398">
        <f>IF(AD16="APROBADO",AF16-AG16,0)</f>
        <v>0</v>
      </c>
      <c r="AI16" s="405"/>
      <c r="AJ16" s="404"/>
      <c r="AK16" s="404"/>
      <c r="AL16" s="404"/>
      <c r="AM16" s="398"/>
      <c r="AN16" s="398">
        <f t="shared" si="6"/>
        <v>0</v>
      </c>
      <c r="AO16" s="398"/>
      <c r="AP16" s="404"/>
      <c r="AQ16" s="404"/>
      <c r="AR16" s="404"/>
      <c r="AS16" s="398"/>
      <c r="AT16" s="398">
        <f t="shared" si="7"/>
        <v>0</v>
      </c>
      <c r="AU16" s="398"/>
      <c r="AV16" s="404"/>
      <c r="AW16" s="404"/>
      <c r="AX16" s="404"/>
      <c r="AY16" s="404"/>
      <c r="AZ16" s="398">
        <f t="shared" si="8"/>
        <v>0</v>
      </c>
      <c r="BA16" s="398"/>
      <c r="BB16" s="404"/>
      <c r="BC16" s="404"/>
      <c r="BD16" s="404"/>
      <c r="BE16" s="398"/>
      <c r="BF16" s="398">
        <f t="shared" si="9"/>
        <v>0</v>
      </c>
      <c r="BG16" s="398"/>
      <c r="BH16" s="404"/>
      <c r="BI16" s="404"/>
      <c r="BJ16" s="404"/>
      <c r="BK16" s="398"/>
      <c r="BL16" s="398">
        <f t="shared" si="10"/>
        <v>0</v>
      </c>
      <c r="BM16" s="398"/>
      <c r="BN16" s="404"/>
      <c r="BO16" s="404"/>
      <c r="BP16" s="404"/>
      <c r="BQ16" s="398"/>
      <c r="BR16" s="398">
        <f t="shared" si="11"/>
        <v>0</v>
      </c>
      <c r="BS16" s="398"/>
      <c r="BT16" s="404"/>
      <c r="BU16" s="404"/>
      <c r="BV16" s="404"/>
      <c r="BW16" s="398"/>
      <c r="BX16" s="398">
        <f t="shared" si="12"/>
        <v>0</v>
      </c>
      <c r="BY16" s="398"/>
      <c r="BZ16" s="404"/>
      <c r="CA16" s="404"/>
      <c r="CB16" s="404"/>
      <c r="CC16" s="398"/>
      <c r="CD16" s="398">
        <f t="shared" si="13"/>
        <v>0</v>
      </c>
      <c r="CE16" s="398"/>
      <c r="CF16" s="404"/>
      <c r="CG16" s="404"/>
      <c r="CH16" s="404"/>
      <c r="CI16" s="398"/>
      <c r="CJ16" s="398">
        <f t="shared" si="14"/>
        <v>0</v>
      </c>
      <c r="CK16" s="398"/>
      <c r="CL16" s="404"/>
      <c r="CM16" s="404"/>
      <c r="CN16" s="404"/>
      <c r="CO16" s="398"/>
      <c r="CP16" s="398">
        <f t="shared" si="15"/>
        <v>0</v>
      </c>
      <c r="CQ16" s="398"/>
      <c r="CR16" s="404"/>
      <c r="CS16" s="404"/>
      <c r="CT16" s="404"/>
      <c r="CU16" s="398"/>
      <c r="CV16" s="398">
        <f t="shared" si="16"/>
        <v>0</v>
      </c>
      <c r="CW16" s="398"/>
      <c r="CX16" s="404"/>
      <c r="CY16" s="404"/>
      <c r="CZ16" s="404"/>
      <c r="DA16" s="398"/>
      <c r="DB16" s="398">
        <f t="shared" si="17"/>
        <v>0</v>
      </c>
      <c r="DC16" s="398"/>
      <c r="DD16" s="404"/>
      <c r="DE16" s="404"/>
      <c r="DF16" s="404"/>
      <c r="DG16" s="398"/>
      <c r="DH16" s="398">
        <f t="shared" si="18"/>
        <v>0</v>
      </c>
      <c r="DI16" s="398"/>
      <c r="DJ16" s="404"/>
      <c r="DK16" s="404"/>
      <c r="DL16" s="404"/>
      <c r="DM16" s="398"/>
      <c r="DN16" s="398">
        <f t="shared" si="19"/>
        <v>0</v>
      </c>
      <c r="DO16" s="398"/>
      <c r="DP16" s="404"/>
      <c r="DQ16" s="404"/>
      <c r="DR16" s="404"/>
      <c r="DS16" s="398"/>
      <c r="DT16" s="398">
        <f t="shared" si="20"/>
        <v>0</v>
      </c>
      <c r="DU16" s="398"/>
      <c r="DV16" s="404"/>
      <c r="DW16" s="404"/>
      <c r="DX16" s="404"/>
      <c r="DY16" s="398"/>
      <c r="DZ16" s="398">
        <f t="shared" si="21"/>
        <v>0</v>
      </c>
      <c r="EA16" s="398"/>
      <c r="EB16" s="404"/>
      <c r="EC16" s="404"/>
      <c r="ED16" s="404"/>
      <c r="EE16" s="398"/>
      <c r="EF16" s="398">
        <f t="shared" si="22"/>
        <v>0</v>
      </c>
      <c r="EG16" s="398"/>
      <c r="EH16" s="404"/>
      <c r="EI16" s="404"/>
      <c r="EJ16" s="404"/>
      <c r="EK16" s="398"/>
      <c r="EL16" s="398">
        <f t="shared" si="23"/>
        <v>0</v>
      </c>
      <c r="EM16" s="398"/>
      <c r="EN16" s="404"/>
      <c r="EO16" s="404"/>
      <c r="EP16" s="404"/>
      <c r="EQ16" s="398"/>
      <c r="ER16" s="398">
        <f t="shared" si="24"/>
        <v>0</v>
      </c>
      <c r="ES16" s="398"/>
      <c r="ET16" s="404"/>
      <c r="EU16" s="404"/>
      <c r="EV16" s="404"/>
      <c r="EW16" s="398"/>
      <c r="EX16" s="398">
        <f t="shared" si="25"/>
        <v>0</v>
      </c>
      <c r="EY16" s="398" t="e">
        <f>VLOOKUP($A16,[2]Devengado!$A$1:$AI$3,35,FALSE)</f>
        <v>#N/A</v>
      </c>
    </row>
    <row r="17" spans="1:155" ht="23.25" hidden="1" customHeight="1">
      <c r="A17" s="341">
        <v>487</v>
      </c>
      <c r="B17" s="442" t="str">
        <f>VLOOKUP($A17,  'Matriz POA 2024-TRABAJO'!$A$5:$CY$9142,11,FALSE)</f>
        <v>Corporación Ciudad Alfaro</v>
      </c>
      <c r="C17" s="442" t="str">
        <f>VLOOKUP($A17, 'Matriz POA 2024-TRABAJO'!$A$5:$CY$9142,14,FALSE)</f>
        <v>N/A</v>
      </c>
      <c r="D17" s="442" t="str">
        <f>VLOOKUP($A17, 'Matriz POA 2024-TRABAJO'!$A$5:$CY$9142,15,FALSE)</f>
        <v>N/A</v>
      </c>
      <c r="E17" s="442" t="str">
        <f>VLOOKUP($A17, 'Matriz POA 2024-TRABAJO'!$A$5:$CY$9142,18,FALSE)</f>
        <v>N/A</v>
      </c>
      <c r="F17" s="442" t="str">
        <f>VLOOKUP($A17, 'Matriz POA 2024-TRABAJO'!$A$5:$CY$9142,23,FALSE)</f>
        <v>NUEVA</v>
      </c>
      <c r="G17" s="443" t="str">
        <f>VLOOKUP($A17, 'Matriz POA 2024-TRABAJO'!$A$5:$CY$9142,24,FALSE)</f>
        <v>Pago de viáticos para el personal de la Corporación Ciudad Alfaro y sus sedes</v>
      </c>
      <c r="H17" s="442" t="str">
        <f>VLOOKUP($A17, 'Matriz POA 2024-TRABAJO'!$A$5:$CY$9142,25,FALSE)</f>
        <v>0035</v>
      </c>
      <c r="I17" s="442" t="str">
        <f>VLOOKUP($A17, 'Matriz POA 2024-TRABAJO'!$A$5:$CY$9142,26,FALSE)</f>
        <v>80</v>
      </c>
      <c r="J17" s="442" t="str">
        <f>VLOOKUP($A17, 'Matriz POA 2024-TRABAJO'!$A$5:$CY$9142,27,FALSE)</f>
        <v>000</v>
      </c>
      <c r="K17" s="444" t="str">
        <f>VLOOKUP($A17, 'Matriz POA 2024-TRABAJO'!$A$5:$CY$9142,28,FALSE)</f>
        <v>002</v>
      </c>
      <c r="L17" s="444" t="str">
        <f>VLOOKUP($A17, 'Matriz POA 2024-TRABAJO'!$A$5:$CY$9142,29,FALSE)</f>
        <v>53</v>
      </c>
      <c r="M17" s="444">
        <f>VLOOKUP($A17, 'Matriz POA 2024-TRABAJO'!$A$5:$CY$9142,30,FALSE)</f>
        <v>530303</v>
      </c>
      <c r="N17" s="444" t="str">
        <f>VLOOKUP($A17, 'Matriz POA 2024-TRABAJO'!$A$5:$CY$9142,33,FALSE)</f>
        <v>001</v>
      </c>
      <c r="O17" s="444" t="str">
        <f>VLOOKUP($A17, 'Matriz POA 2024-TRABAJO'!$A$5:$CY$9142,34,FALSE)</f>
        <v>0000</v>
      </c>
      <c r="P17" s="444" t="str">
        <f>VLOOKUP($A17, 'Matriz POA 2024-TRABAJO'!$A$5:$CY$9142,35,FALSE)</f>
        <v>0000</v>
      </c>
      <c r="Q17" s="445">
        <f>VLOOKUP($A17, 'Matriz POA 2024-TRABAJO'!$A$5:$CY$9142,47,FALSE)</f>
        <v>4770.26</v>
      </c>
      <c r="R17" s="446">
        <f t="shared" si="0"/>
        <v>4110.26</v>
      </c>
      <c r="S17" s="446">
        <f t="shared" si="1"/>
        <v>3260</v>
      </c>
      <c r="T17" s="446">
        <f t="shared" si="2"/>
        <v>0</v>
      </c>
      <c r="U17" s="446">
        <f t="shared" si="3"/>
        <v>1510.2600000000002</v>
      </c>
      <c r="V17" s="446" t="str">
        <f t="shared" si="4"/>
        <v>2196</v>
      </c>
      <c r="W17" s="511">
        <v>21</v>
      </c>
      <c r="X17" s="404" t="s">
        <v>1303</v>
      </c>
      <c r="Y17" s="404" t="s">
        <v>1300</v>
      </c>
      <c r="Z17" s="404">
        <f>1085.88-1085.88</f>
        <v>0</v>
      </c>
      <c r="AA17" s="404">
        <f>1085.88-425.88</f>
        <v>660.00000000000011</v>
      </c>
      <c r="AB17" s="398">
        <f t="shared" si="5"/>
        <v>0</v>
      </c>
      <c r="AC17" s="512">
        <v>96</v>
      </c>
      <c r="AD17" s="404" t="s">
        <v>1996</v>
      </c>
      <c r="AE17" s="404" t="s">
        <v>1997</v>
      </c>
      <c r="AF17" s="404">
        <v>4110.26</v>
      </c>
      <c r="AG17" s="398">
        <v>2600</v>
      </c>
      <c r="AH17" s="398">
        <f t="shared" ref="AH17" si="33">IF(AD17="APROBADO",AF17-AG17,0)</f>
        <v>0</v>
      </c>
      <c r="AI17" s="405"/>
      <c r="AJ17" s="404"/>
      <c r="AK17" s="404"/>
      <c r="AL17" s="404"/>
      <c r="AM17" s="398"/>
      <c r="AN17" s="398">
        <f t="shared" si="6"/>
        <v>0</v>
      </c>
      <c r="AO17" s="398"/>
      <c r="AP17" s="404"/>
      <c r="AQ17" s="404"/>
      <c r="AR17" s="404"/>
      <c r="AS17" s="398"/>
      <c r="AT17" s="398">
        <f t="shared" si="7"/>
        <v>0</v>
      </c>
      <c r="AU17" s="398"/>
      <c r="AV17" s="404"/>
      <c r="AW17" s="404"/>
      <c r="AX17" s="404"/>
      <c r="AY17" s="404"/>
      <c r="AZ17" s="398">
        <f t="shared" si="8"/>
        <v>0</v>
      </c>
      <c r="BA17" s="398"/>
      <c r="BB17" s="404"/>
      <c r="BC17" s="404"/>
      <c r="BD17" s="404"/>
      <c r="BE17" s="398"/>
      <c r="BF17" s="398">
        <f t="shared" si="9"/>
        <v>0</v>
      </c>
      <c r="BG17" s="398"/>
      <c r="BH17" s="404"/>
      <c r="BI17" s="404"/>
      <c r="BJ17" s="404"/>
      <c r="BK17" s="398"/>
      <c r="BL17" s="398">
        <f t="shared" si="10"/>
        <v>0</v>
      </c>
      <c r="BM17" s="398"/>
      <c r="BN17" s="404"/>
      <c r="BO17" s="404"/>
      <c r="BP17" s="404"/>
      <c r="BQ17" s="398"/>
      <c r="BR17" s="398">
        <f t="shared" si="11"/>
        <v>0</v>
      </c>
      <c r="BS17" s="398"/>
      <c r="BT17" s="404"/>
      <c r="BU17" s="404"/>
      <c r="BV17" s="404"/>
      <c r="BW17" s="398"/>
      <c r="BX17" s="398">
        <f t="shared" si="12"/>
        <v>0</v>
      </c>
      <c r="BY17" s="398"/>
      <c r="BZ17" s="404"/>
      <c r="CA17" s="404"/>
      <c r="CB17" s="404"/>
      <c r="CC17" s="398"/>
      <c r="CD17" s="398">
        <f t="shared" si="13"/>
        <v>0</v>
      </c>
      <c r="CE17" s="398"/>
      <c r="CF17" s="404"/>
      <c r="CG17" s="404"/>
      <c r="CH17" s="404"/>
      <c r="CI17" s="398"/>
      <c r="CJ17" s="398">
        <f t="shared" si="14"/>
        <v>0</v>
      </c>
      <c r="CK17" s="398"/>
      <c r="CL17" s="404"/>
      <c r="CM17" s="404"/>
      <c r="CN17" s="404"/>
      <c r="CO17" s="398"/>
      <c r="CP17" s="398">
        <f t="shared" si="15"/>
        <v>0</v>
      </c>
      <c r="CQ17" s="398"/>
      <c r="CR17" s="404"/>
      <c r="CS17" s="404"/>
      <c r="CT17" s="404"/>
      <c r="CU17" s="398"/>
      <c r="CV17" s="398">
        <f t="shared" si="16"/>
        <v>0</v>
      </c>
      <c r="CW17" s="398"/>
      <c r="CX17" s="404"/>
      <c r="CY17" s="404"/>
      <c r="CZ17" s="404"/>
      <c r="DA17" s="398"/>
      <c r="DB17" s="398">
        <f t="shared" si="17"/>
        <v>0</v>
      </c>
      <c r="DC17" s="398"/>
      <c r="DD17" s="404"/>
      <c r="DE17" s="404"/>
      <c r="DF17" s="404"/>
      <c r="DG17" s="398"/>
      <c r="DH17" s="398">
        <f t="shared" si="18"/>
        <v>0</v>
      </c>
      <c r="DI17" s="398"/>
      <c r="DJ17" s="404"/>
      <c r="DK17" s="404"/>
      <c r="DL17" s="404"/>
      <c r="DM17" s="398"/>
      <c r="DN17" s="398">
        <f t="shared" si="19"/>
        <v>0</v>
      </c>
      <c r="DO17" s="398"/>
      <c r="DP17" s="404"/>
      <c r="DQ17" s="404"/>
      <c r="DR17" s="404"/>
      <c r="DS17" s="398"/>
      <c r="DT17" s="398">
        <f t="shared" si="20"/>
        <v>0</v>
      </c>
      <c r="DU17" s="398"/>
      <c r="DV17" s="404"/>
      <c r="DW17" s="404"/>
      <c r="DX17" s="404"/>
      <c r="DY17" s="398"/>
      <c r="DZ17" s="398">
        <f t="shared" si="21"/>
        <v>0</v>
      </c>
      <c r="EA17" s="398"/>
      <c r="EB17" s="404"/>
      <c r="EC17" s="404"/>
      <c r="ED17" s="404"/>
      <c r="EE17" s="398"/>
      <c r="EF17" s="398">
        <f t="shared" si="22"/>
        <v>0</v>
      </c>
      <c r="EG17" s="398"/>
      <c r="EH17" s="404"/>
      <c r="EI17" s="404"/>
      <c r="EJ17" s="404"/>
      <c r="EK17" s="398"/>
      <c r="EL17" s="398">
        <f t="shared" si="23"/>
        <v>0</v>
      </c>
      <c r="EM17" s="398"/>
      <c r="EN17" s="404"/>
      <c r="EO17" s="404"/>
      <c r="EP17" s="404"/>
      <c r="EQ17" s="398"/>
      <c r="ER17" s="398">
        <f t="shared" si="24"/>
        <v>0</v>
      </c>
      <c r="ES17" s="398"/>
      <c r="ET17" s="404"/>
      <c r="EU17" s="404"/>
      <c r="EV17" s="404"/>
      <c r="EW17" s="398"/>
      <c r="EX17" s="398">
        <f t="shared" si="25"/>
        <v>0</v>
      </c>
      <c r="EY17" s="398" t="e">
        <f>VLOOKUP($A17,[2]Devengado!$A$1:$AI$3,35,FALSE)</f>
        <v>#N/A</v>
      </c>
    </row>
    <row r="18" spans="1:155" ht="23.25" hidden="1" customHeight="1">
      <c r="A18" s="341">
        <v>488</v>
      </c>
      <c r="B18" s="442" t="str">
        <f>VLOOKUP($A18,  'Matriz POA 2024-TRABAJO'!$A$5:$CY$9142,11,FALSE)</f>
        <v>Corporación Ciudad Alfaro</v>
      </c>
      <c r="C18" s="442" t="str">
        <f>VLOOKUP($A18, 'Matriz POA 2024-TRABAJO'!$A$5:$CY$9142,14,FALSE)</f>
        <v>N/A</v>
      </c>
      <c r="D18" s="442" t="str">
        <f>VLOOKUP($A18, 'Matriz POA 2024-TRABAJO'!$A$5:$CY$9142,15,FALSE)</f>
        <v>N/A</v>
      </c>
      <c r="E18" s="442" t="str">
        <f>VLOOKUP($A18, 'Matriz POA 2024-TRABAJO'!$A$5:$CY$9142,18,FALSE)</f>
        <v>N/A</v>
      </c>
      <c r="F18" s="442" t="str">
        <f>VLOOKUP($A18, 'Matriz POA 2024-TRABAJO'!$A$5:$CY$9142,23,FALSE)</f>
        <v>NUEVA</v>
      </c>
      <c r="G18" s="443" t="str">
        <f>VLOOKUP($A18, 'Matriz POA 2024-TRABAJO'!$A$5:$CY$9142,24,FALSE)</f>
        <v>Reembolso de pasajes aereos  para el personal de la Corporación Ciudad Alfaro y sus sedes</v>
      </c>
      <c r="H18" s="442" t="str">
        <f>VLOOKUP($A18, 'Matriz POA 2024-TRABAJO'!$A$5:$CY$9142,25,FALSE)</f>
        <v>0035</v>
      </c>
      <c r="I18" s="442" t="str">
        <f>VLOOKUP($A18, 'Matriz POA 2024-TRABAJO'!$A$5:$CY$9142,26,FALSE)</f>
        <v>80</v>
      </c>
      <c r="J18" s="442" t="str">
        <f>VLOOKUP($A18, 'Matriz POA 2024-TRABAJO'!$A$5:$CY$9142,27,FALSE)</f>
        <v>000</v>
      </c>
      <c r="K18" s="444" t="str">
        <f>VLOOKUP($A18, 'Matriz POA 2024-TRABAJO'!$A$5:$CY$9142,28,FALSE)</f>
        <v>002</v>
      </c>
      <c r="L18" s="444" t="str">
        <f>VLOOKUP($A18, 'Matriz POA 2024-TRABAJO'!$A$5:$CY$9142,29,FALSE)</f>
        <v>53</v>
      </c>
      <c r="M18" s="444">
        <f>VLOOKUP($A18, 'Matriz POA 2024-TRABAJO'!$A$5:$CY$9142,30,FALSE)</f>
        <v>530301</v>
      </c>
      <c r="N18" s="444" t="str">
        <f>VLOOKUP($A18, 'Matriz POA 2024-TRABAJO'!$A$5:$CY$9142,33,FALSE)</f>
        <v>001</v>
      </c>
      <c r="O18" s="444" t="str">
        <f>VLOOKUP($A18, 'Matriz POA 2024-TRABAJO'!$A$5:$CY$9142,34,FALSE)</f>
        <v>0000</v>
      </c>
      <c r="P18" s="444" t="str">
        <f>VLOOKUP($A18, 'Matriz POA 2024-TRABAJO'!$A$5:$CY$9142,35,FALSE)</f>
        <v>0000</v>
      </c>
      <c r="Q18" s="445">
        <f>VLOOKUP($A18, 'Matriz POA 2024-TRABAJO'!$A$5:$CY$9142,47,FALSE)</f>
        <v>0</v>
      </c>
      <c r="R18" s="446">
        <f t="shared" si="0"/>
        <v>0</v>
      </c>
      <c r="S18" s="446">
        <f t="shared" si="1"/>
        <v>0</v>
      </c>
      <c r="T18" s="446">
        <f t="shared" si="2"/>
        <v>0</v>
      </c>
      <c r="U18" s="446">
        <f t="shared" si="3"/>
        <v>0</v>
      </c>
      <c r="V18" s="446" t="str">
        <f t="shared" si="4"/>
        <v>22</v>
      </c>
      <c r="W18" s="511">
        <v>22</v>
      </c>
      <c r="X18" s="404" t="s">
        <v>1303</v>
      </c>
      <c r="Y18" s="404" t="s">
        <v>1300</v>
      </c>
      <c r="Z18" s="404">
        <f>500-500</f>
        <v>0</v>
      </c>
      <c r="AA18" s="404">
        <f>500-500</f>
        <v>0</v>
      </c>
      <c r="AB18" s="398">
        <f t="shared" si="5"/>
        <v>0</v>
      </c>
      <c r="AC18" s="403"/>
      <c r="AD18" s="404"/>
      <c r="AE18" s="404"/>
      <c r="AF18" s="404"/>
      <c r="AG18" s="398"/>
      <c r="AH18" s="398">
        <f>IF(AD18="APROBADO",AF18-AG18,0)</f>
        <v>0</v>
      </c>
      <c r="AI18" s="405"/>
      <c r="AJ18" s="404"/>
      <c r="AK18" s="404"/>
      <c r="AL18" s="404"/>
      <c r="AM18" s="398"/>
      <c r="AN18" s="398">
        <f t="shared" si="6"/>
        <v>0</v>
      </c>
      <c r="AO18" s="398"/>
      <c r="AP18" s="404"/>
      <c r="AQ18" s="404"/>
      <c r="AR18" s="404"/>
      <c r="AS18" s="398"/>
      <c r="AT18" s="398">
        <f t="shared" si="7"/>
        <v>0</v>
      </c>
      <c r="AU18" s="398"/>
      <c r="AV18" s="404"/>
      <c r="AW18" s="404"/>
      <c r="AX18" s="404"/>
      <c r="AY18" s="404"/>
      <c r="AZ18" s="398">
        <f t="shared" si="8"/>
        <v>0</v>
      </c>
      <c r="BA18" s="398"/>
      <c r="BB18" s="404"/>
      <c r="BC18" s="404"/>
      <c r="BD18" s="404"/>
      <c r="BE18" s="398"/>
      <c r="BF18" s="398">
        <f t="shared" si="9"/>
        <v>0</v>
      </c>
      <c r="BG18" s="398"/>
      <c r="BH18" s="404"/>
      <c r="BI18" s="404"/>
      <c r="BJ18" s="404"/>
      <c r="BK18" s="398"/>
      <c r="BL18" s="398">
        <f t="shared" si="10"/>
        <v>0</v>
      </c>
      <c r="BM18" s="398"/>
      <c r="BN18" s="404"/>
      <c r="BO18" s="404"/>
      <c r="BP18" s="404"/>
      <c r="BQ18" s="398"/>
      <c r="BR18" s="398">
        <f t="shared" si="11"/>
        <v>0</v>
      </c>
      <c r="BS18" s="398"/>
      <c r="BT18" s="404"/>
      <c r="BU18" s="404"/>
      <c r="BV18" s="404"/>
      <c r="BW18" s="398"/>
      <c r="BX18" s="398">
        <f t="shared" si="12"/>
        <v>0</v>
      </c>
      <c r="BY18" s="398"/>
      <c r="BZ18" s="404"/>
      <c r="CA18" s="404"/>
      <c r="CB18" s="404"/>
      <c r="CC18" s="398"/>
      <c r="CD18" s="398">
        <f t="shared" si="13"/>
        <v>0</v>
      </c>
      <c r="CE18" s="398"/>
      <c r="CF18" s="404"/>
      <c r="CG18" s="404"/>
      <c r="CH18" s="404"/>
      <c r="CI18" s="398"/>
      <c r="CJ18" s="398">
        <f t="shared" si="14"/>
        <v>0</v>
      </c>
      <c r="CK18" s="398"/>
      <c r="CL18" s="404"/>
      <c r="CM18" s="404"/>
      <c r="CN18" s="404"/>
      <c r="CO18" s="398"/>
      <c r="CP18" s="398">
        <f t="shared" si="15"/>
        <v>0</v>
      </c>
      <c r="CQ18" s="398"/>
      <c r="CR18" s="404"/>
      <c r="CS18" s="404"/>
      <c r="CT18" s="404"/>
      <c r="CU18" s="398"/>
      <c r="CV18" s="398">
        <f t="shared" si="16"/>
        <v>0</v>
      </c>
      <c r="CW18" s="398"/>
      <c r="CX18" s="404"/>
      <c r="CY18" s="404"/>
      <c r="CZ18" s="404"/>
      <c r="DA18" s="398"/>
      <c r="DB18" s="398">
        <f t="shared" si="17"/>
        <v>0</v>
      </c>
      <c r="DC18" s="398"/>
      <c r="DD18" s="404"/>
      <c r="DE18" s="404"/>
      <c r="DF18" s="404"/>
      <c r="DG18" s="398"/>
      <c r="DH18" s="398">
        <f t="shared" si="18"/>
        <v>0</v>
      </c>
      <c r="DI18" s="398"/>
      <c r="DJ18" s="404"/>
      <c r="DK18" s="404"/>
      <c r="DL18" s="404"/>
      <c r="DM18" s="398"/>
      <c r="DN18" s="398">
        <f t="shared" si="19"/>
        <v>0</v>
      </c>
      <c r="DO18" s="398"/>
      <c r="DP18" s="404"/>
      <c r="DQ18" s="404"/>
      <c r="DR18" s="404"/>
      <c r="DS18" s="398"/>
      <c r="DT18" s="398">
        <f t="shared" si="20"/>
        <v>0</v>
      </c>
      <c r="DU18" s="398"/>
      <c r="DV18" s="404"/>
      <c r="DW18" s="404"/>
      <c r="DX18" s="404"/>
      <c r="DY18" s="398"/>
      <c r="DZ18" s="398">
        <f t="shared" si="21"/>
        <v>0</v>
      </c>
      <c r="EA18" s="398"/>
      <c r="EB18" s="404"/>
      <c r="EC18" s="404"/>
      <c r="ED18" s="404"/>
      <c r="EE18" s="398"/>
      <c r="EF18" s="398">
        <f t="shared" si="22"/>
        <v>0</v>
      </c>
      <c r="EG18" s="398"/>
      <c r="EH18" s="404"/>
      <c r="EI18" s="404"/>
      <c r="EJ18" s="404"/>
      <c r="EK18" s="398"/>
      <c r="EL18" s="398">
        <f t="shared" si="23"/>
        <v>0</v>
      </c>
      <c r="EM18" s="398"/>
      <c r="EN18" s="404"/>
      <c r="EO18" s="404"/>
      <c r="EP18" s="404"/>
      <c r="EQ18" s="398"/>
      <c r="ER18" s="398">
        <f t="shared" si="24"/>
        <v>0</v>
      </c>
      <c r="ES18" s="398"/>
      <c r="ET18" s="404"/>
      <c r="EU18" s="404"/>
      <c r="EV18" s="404"/>
      <c r="EW18" s="398"/>
      <c r="EX18" s="398">
        <f t="shared" si="25"/>
        <v>0</v>
      </c>
      <c r="EY18" s="398" t="e">
        <f>VLOOKUP($A18,[2]Devengado!$A$1:$AI$3,35,FALSE)</f>
        <v>#N/A</v>
      </c>
    </row>
    <row r="19" spans="1:155" ht="23.25" hidden="1" customHeight="1">
      <c r="A19" s="341">
        <v>448</v>
      </c>
      <c r="B19" s="442" t="str">
        <f>VLOOKUP($A19,  'Matriz POA 2024-TRABAJO'!$A$5:$CY$9142,11,FALSE)</f>
        <v>Corporación Ciudad Alfaro</v>
      </c>
      <c r="C19" s="442" t="str">
        <f>VLOOKUP($A19, 'Matriz POA 2024-TRABAJO'!$A$5:$CY$9142,14,FALSE)</f>
        <v>N/A</v>
      </c>
      <c r="D19" s="442" t="str">
        <f>VLOOKUP($A19, 'Matriz POA 2024-TRABAJO'!$A$5:$CY$9142,15,FALSE)</f>
        <v>N/A</v>
      </c>
      <c r="E19" s="442" t="str">
        <f>VLOOKUP($A19, 'Matriz POA 2024-TRABAJO'!$A$5:$CY$9142,18,FALSE)</f>
        <v>N/A</v>
      </c>
      <c r="F19" s="442" t="str">
        <f>VLOOKUP($A19, 'Matriz POA 2024-TRABAJO'!$A$5:$CY$9142,23,FALSE)</f>
        <v>ARRASTRE</v>
      </c>
      <c r="G19" s="443" t="str">
        <f>VLOOKUP($A19, 'Matriz POA 2024-TRABAJO'!$A$5:$CY$9142,24,FALSE)</f>
        <v>Pago Mensual del servicio de Alcantarillado de los meses de Noviembre y Diciembre del 2023 del Museo Bahía de Caráquez</v>
      </c>
      <c r="H19" s="442" t="str">
        <f>VLOOKUP($A19, 'Matriz POA 2024-TRABAJO'!$A$5:$CY$9142,25,FALSE)</f>
        <v>0035</v>
      </c>
      <c r="I19" s="442" t="str">
        <f>VLOOKUP($A19, 'Matriz POA 2024-TRABAJO'!$A$5:$CY$9142,26,FALSE)</f>
        <v>80</v>
      </c>
      <c r="J19" s="442" t="str">
        <f>VLOOKUP($A19, 'Matriz POA 2024-TRABAJO'!$A$5:$CY$9142,27,FALSE)</f>
        <v>000</v>
      </c>
      <c r="K19" s="444" t="str">
        <f>VLOOKUP($A19, 'Matriz POA 2024-TRABAJO'!$A$5:$CY$9142,28,FALSE)</f>
        <v>002</v>
      </c>
      <c r="L19" s="444" t="str">
        <f>VLOOKUP($A19, 'Matriz POA 2024-TRABAJO'!$A$5:$CY$9142,29,FALSE)</f>
        <v>53</v>
      </c>
      <c r="M19" s="444">
        <f>VLOOKUP($A19, 'Matriz POA 2024-TRABAJO'!$A$5:$CY$9142,30,FALSE)</f>
        <v>530101</v>
      </c>
      <c r="N19" s="444" t="str">
        <f>VLOOKUP($A19, 'Matriz POA 2024-TRABAJO'!$A$5:$CY$9142,33,FALSE)</f>
        <v>001</v>
      </c>
      <c r="O19" s="444" t="str">
        <f>VLOOKUP($A19, 'Matriz POA 2024-TRABAJO'!$A$5:$CY$9142,34,FALSE)</f>
        <v>0000</v>
      </c>
      <c r="P19" s="444" t="str">
        <f>VLOOKUP($A19, 'Matriz POA 2024-TRABAJO'!$A$5:$CY$9142,35,FALSE)</f>
        <v>0000</v>
      </c>
      <c r="Q19" s="445">
        <f>VLOOKUP($A19, 'Matriz POA 2024-TRABAJO'!$A$5:$CY$9142,47,FALSE)</f>
        <v>40</v>
      </c>
      <c r="R19" s="446">
        <f t="shared" si="0"/>
        <v>40</v>
      </c>
      <c r="S19" s="446">
        <f t="shared" si="1"/>
        <v>40</v>
      </c>
      <c r="T19" s="446">
        <f t="shared" si="2"/>
        <v>0</v>
      </c>
      <c r="U19" s="446">
        <f t="shared" si="3"/>
        <v>0</v>
      </c>
      <c r="V19" s="446" t="str">
        <f t="shared" si="4"/>
        <v>23</v>
      </c>
      <c r="W19" s="511">
        <v>23</v>
      </c>
      <c r="X19" s="404" t="s">
        <v>1299</v>
      </c>
      <c r="Y19" s="404" t="s">
        <v>1300</v>
      </c>
      <c r="Z19" s="404">
        <v>40</v>
      </c>
      <c r="AA19" s="404">
        <v>40</v>
      </c>
      <c r="AB19" s="398">
        <f t="shared" si="5"/>
        <v>0</v>
      </c>
      <c r="AC19" s="405"/>
      <c r="AD19" s="404"/>
      <c r="AE19" s="404"/>
      <c r="AF19" s="404"/>
      <c r="AG19" s="398"/>
      <c r="AH19" s="398">
        <f t="shared" ref="AH19" si="34">IF(AD19="APROBADO",AF19-AG19,0)</f>
        <v>0</v>
      </c>
      <c r="AI19" s="405"/>
      <c r="AJ19" s="404"/>
      <c r="AK19" s="404"/>
      <c r="AL19" s="404"/>
      <c r="AM19" s="398"/>
      <c r="AN19" s="398">
        <f t="shared" si="6"/>
        <v>0</v>
      </c>
      <c r="AO19" s="398"/>
      <c r="AP19" s="404"/>
      <c r="AQ19" s="404"/>
      <c r="AR19" s="404"/>
      <c r="AS19" s="398"/>
      <c r="AT19" s="398">
        <f t="shared" si="7"/>
        <v>0</v>
      </c>
      <c r="AU19" s="398"/>
      <c r="AV19" s="404"/>
      <c r="AW19" s="404"/>
      <c r="AX19" s="404"/>
      <c r="AY19" s="404"/>
      <c r="AZ19" s="398">
        <f t="shared" si="8"/>
        <v>0</v>
      </c>
      <c r="BA19" s="398"/>
      <c r="BB19" s="404"/>
      <c r="BC19" s="404"/>
      <c r="BD19" s="404"/>
      <c r="BE19" s="398"/>
      <c r="BF19" s="398">
        <f t="shared" si="9"/>
        <v>0</v>
      </c>
      <c r="BG19" s="398"/>
      <c r="BH19" s="404"/>
      <c r="BI19" s="404"/>
      <c r="BJ19" s="404"/>
      <c r="BK19" s="398"/>
      <c r="BL19" s="398">
        <f t="shared" si="10"/>
        <v>0</v>
      </c>
      <c r="BM19" s="398"/>
      <c r="BN19" s="404"/>
      <c r="BO19" s="404"/>
      <c r="BP19" s="404"/>
      <c r="BQ19" s="398"/>
      <c r="BR19" s="398">
        <f t="shared" si="11"/>
        <v>0</v>
      </c>
      <c r="BS19" s="398"/>
      <c r="BT19" s="404"/>
      <c r="BU19" s="404"/>
      <c r="BV19" s="404"/>
      <c r="BW19" s="398"/>
      <c r="BX19" s="398">
        <f t="shared" si="12"/>
        <v>0</v>
      </c>
      <c r="BY19" s="398"/>
      <c r="BZ19" s="404"/>
      <c r="CA19" s="404"/>
      <c r="CB19" s="404"/>
      <c r="CC19" s="398"/>
      <c r="CD19" s="398">
        <f t="shared" si="13"/>
        <v>0</v>
      </c>
      <c r="CE19" s="398"/>
      <c r="CF19" s="404"/>
      <c r="CG19" s="404"/>
      <c r="CH19" s="404"/>
      <c r="CI19" s="398"/>
      <c r="CJ19" s="398">
        <f t="shared" si="14"/>
        <v>0</v>
      </c>
      <c r="CK19" s="398"/>
      <c r="CL19" s="404"/>
      <c r="CM19" s="404"/>
      <c r="CN19" s="404"/>
      <c r="CO19" s="398"/>
      <c r="CP19" s="398">
        <f t="shared" si="15"/>
        <v>0</v>
      </c>
      <c r="CQ19" s="398"/>
      <c r="CR19" s="404"/>
      <c r="CS19" s="404"/>
      <c r="CT19" s="404"/>
      <c r="CU19" s="398"/>
      <c r="CV19" s="398">
        <f t="shared" si="16"/>
        <v>0</v>
      </c>
      <c r="CW19" s="398"/>
      <c r="CX19" s="404"/>
      <c r="CY19" s="404"/>
      <c r="CZ19" s="404"/>
      <c r="DA19" s="398"/>
      <c r="DB19" s="398">
        <f t="shared" si="17"/>
        <v>0</v>
      </c>
      <c r="DC19" s="398"/>
      <c r="DD19" s="404"/>
      <c r="DE19" s="404"/>
      <c r="DF19" s="404"/>
      <c r="DG19" s="398"/>
      <c r="DH19" s="398">
        <f t="shared" si="18"/>
        <v>0</v>
      </c>
      <c r="DI19" s="398"/>
      <c r="DJ19" s="404"/>
      <c r="DK19" s="404"/>
      <c r="DL19" s="404"/>
      <c r="DM19" s="398"/>
      <c r="DN19" s="398">
        <f t="shared" si="19"/>
        <v>0</v>
      </c>
      <c r="DO19" s="398"/>
      <c r="DP19" s="404"/>
      <c r="DQ19" s="404"/>
      <c r="DR19" s="404"/>
      <c r="DS19" s="398"/>
      <c r="DT19" s="398">
        <f t="shared" si="20"/>
        <v>0</v>
      </c>
      <c r="DU19" s="398"/>
      <c r="DV19" s="404"/>
      <c r="DW19" s="404"/>
      <c r="DX19" s="404"/>
      <c r="DY19" s="398"/>
      <c r="DZ19" s="398">
        <f t="shared" si="21"/>
        <v>0</v>
      </c>
      <c r="EA19" s="398"/>
      <c r="EB19" s="404"/>
      <c r="EC19" s="404"/>
      <c r="ED19" s="404"/>
      <c r="EE19" s="398"/>
      <c r="EF19" s="398">
        <f t="shared" si="22"/>
        <v>0</v>
      </c>
      <c r="EG19" s="398"/>
      <c r="EH19" s="404"/>
      <c r="EI19" s="404"/>
      <c r="EJ19" s="404"/>
      <c r="EK19" s="398"/>
      <c r="EL19" s="398">
        <f t="shared" si="23"/>
        <v>0</v>
      </c>
      <c r="EM19" s="398"/>
      <c r="EN19" s="404"/>
      <c r="EO19" s="404"/>
      <c r="EP19" s="404"/>
      <c r="EQ19" s="398"/>
      <c r="ER19" s="398">
        <f t="shared" si="24"/>
        <v>0</v>
      </c>
      <c r="ES19" s="398"/>
      <c r="ET19" s="404"/>
      <c r="EU19" s="404"/>
      <c r="EV19" s="404"/>
      <c r="EW19" s="398"/>
      <c r="EX19" s="398">
        <f t="shared" si="25"/>
        <v>0</v>
      </c>
      <c r="EY19" s="398" t="e">
        <f>VLOOKUP($A19,[2]Devengado!$A$1:$AI$3,35,FALSE)</f>
        <v>#N/A</v>
      </c>
    </row>
    <row r="20" spans="1:155" ht="23.25" hidden="1" customHeight="1">
      <c r="A20" s="341">
        <v>449</v>
      </c>
      <c r="B20" s="442" t="str">
        <f>VLOOKUP($A20,  'Matriz POA 2024-TRABAJO'!$A$5:$CY$9142,11,FALSE)</f>
        <v>Corporación Ciudad Alfaro</v>
      </c>
      <c r="C20" s="442" t="str">
        <f>VLOOKUP($A20, 'Matriz POA 2024-TRABAJO'!$A$5:$CY$9142,14,FALSE)</f>
        <v>N/A</v>
      </c>
      <c r="D20" s="442" t="str">
        <f>VLOOKUP($A20, 'Matriz POA 2024-TRABAJO'!$A$5:$CY$9142,15,FALSE)</f>
        <v>N/A</v>
      </c>
      <c r="E20" s="442" t="str">
        <f>VLOOKUP($A20, 'Matriz POA 2024-TRABAJO'!$A$5:$CY$9142,18,FALSE)</f>
        <v>N/A</v>
      </c>
      <c r="F20" s="442" t="str">
        <f>VLOOKUP($A20, 'Matriz POA 2024-TRABAJO'!$A$5:$CY$9142,23,FALSE)</f>
        <v>NUEVA</v>
      </c>
      <c r="G20" s="443" t="str">
        <f>VLOOKUP($A20, 'Matriz POA 2024-TRABAJO'!$A$5:$CY$9142,24,FALSE)</f>
        <v>Pago Mensual del servicio de Alcantarillado Bahía de Caráquez</v>
      </c>
      <c r="H20" s="442" t="str">
        <f>VLOOKUP($A20, 'Matriz POA 2024-TRABAJO'!$A$5:$CY$9142,25,FALSE)</f>
        <v>0035</v>
      </c>
      <c r="I20" s="442" t="str">
        <f>VLOOKUP($A20, 'Matriz POA 2024-TRABAJO'!$A$5:$CY$9142,26,FALSE)</f>
        <v>80</v>
      </c>
      <c r="J20" s="442" t="str">
        <f>VLOOKUP($A20, 'Matriz POA 2024-TRABAJO'!$A$5:$CY$9142,27,FALSE)</f>
        <v>000</v>
      </c>
      <c r="K20" s="444" t="str">
        <f>VLOOKUP($A20, 'Matriz POA 2024-TRABAJO'!$A$5:$CY$9142,28,FALSE)</f>
        <v>002</v>
      </c>
      <c r="L20" s="444" t="str">
        <f>VLOOKUP($A20, 'Matriz POA 2024-TRABAJO'!$A$5:$CY$9142,29,FALSE)</f>
        <v>53</v>
      </c>
      <c r="M20" s="444">
        <f>VLOOKUP($A20, 'Matriz POA 2024-TRABAJO'!$A$5:$CY$9142,30,FALSE)</f>
        <v>530101</v>
      </c>
      <c r="N20" s="444" t="str">
        <f>VLOOKUP($A20, 'Matriz POA 2024-TRABAJO'!$A$5:$CY$9142,33,FALSE)</f>
        <v>001</v>
      </c>
      <c r="O20" s="444" t="str">
        <f>VLOOKUP($A20, 'Matriz POA 2024-TRABAJO'!$A$5:$CY$9142,34,FALSE)</f>
        <v>0000</v>
      </c>
      <c r="P20" s="444" t="str">
        <f>VLOOKUP($A20, 'Matriz POA 2024-TRABAJO'!$A$5:$CY$9142,35,FALSE)</f>
        <v>0000</v>
      </c>
      <c r="Q20" s="445">
        <f>VLOOKUP($A20, 'Matriz POA 2024-TRABAJO'!$A$5:$CY$9142,47,FALSE)</f>
        <v>180</v>
      </c>
      <c r="R20" s="446">
        <f t="shared" si="0"/>
        <v>0</v>
      </c>
      <c r="S20" s="446">
        <f t="shared" si="1"/>
        <v>30</v>
      </c>
      <c r="T20" s="446">
        <f t="shared" si="2"/>
        <v>0</v>
      </c>
      <c r="U20" s="446">
        <f t="shared" si="3"/>
        <v>150</v>
      </c>
      <c r="V20" s="446" t="str">
        <f t="shared" si="4"/>
        <v>24</v>
      </c>
      <c r="W20" s="511">
        <v>24</v>
      </c>
      <c r="X20" s="404" t="s">
        <v>1303</v>
      </c>
      <c r="Y20" s="404" t="s">
        <v>1300</v>
      </c>
      <c r="Z20" s="404">
        <f>180-180</f>
        <v>0</v>
      </c>
      <c r="AA20" s="404">
        <f>180-150</f>
        <v>30</v>
      </c>
      <c r="AB20" s="398">
        <f t="shared" si="5"/>
        <v>0</v>
      </c>
      <c r="AC20" s="403"/>
      <c r="AD20" s="404"/>
      <c r="AE20" s="404"/>
      <c r="AF20" s="404"/>
      <c r="AG20" s="398"/>
      <c r="AH20" s="398">
        <f>IF(AD20="APROBADO",AF20-AG20,0)</f>
        <v>0</v>
      </c>
      <c r="AI20" s="405"/>
      <c r="AJ20" s="404"/>
      <c r="AK20" s="404"/>
      <c r="AL20" s="404"/>
      <c r="AM20" s="398"/>
      <c r="AN20" s="398">
        <f t="shared" si="6"/>
        <v>0</v>
      </c>
      <c r="AO20" s="398"/>
      <c r="AP20" s="404"/>
      <c r="AQ20" s="404"/>
      <c r="AR20" s="404"/>
      <c r="AS20" s="398"/>
      <c r="AT20" s="398">
        <f t="shared" si="7"/>
        <v>0</v>
      </c>
      <c r="AU20" s="398"/>
      <c r="AV20" s="404"/>
      <c r="AW20" s="404"/>
      <c r="AX20" s="404"/>
      <c r="AY20" s="404"/>
      <c r="AZ20" s="398">
        <f t="shared" si="8"/>
        <v>0</v>
      </c>
      <c r="BA20" s="398"/>
      <c r="BB20" s="404"/>
      <c r="BC20" s="404"/>
      <c r="BD20" s="404"/>
      <c r="BE20" s="398"/>
      <c r="BF20" s="398">
        <f t="shared" si="9"/>
        <v>0</v>
      </c>
      <c r="BG20" s="398"/>
      <c r="BH20" s="404"/>
      <c r="BI20" s="404"/>
      <c r="BJ20" s="404"/>
      <c r="BK20" s="398"/>
      <c r="BL20" s="398">
        <f t="shared" si="10"/>
        <v>0</v>
      </c>
      <c r="BM20" s="398"/>
      <c r="BN20" s="404"/>
      <c r="BO20" s="404"/>
      <c r="BP20" s="404"/>
      <c r="BQ20" s="398"/>
      <c r="BR20" s="398">
        <f t="shared" si="11"/>
        <v>0</v>
      </c>
      <c r="BS20" s="398"/>
      <c r="BT20" s="404"/>
      <c r="BU20" s="404"/>
      <c r="BV20" s="404"/>
      <c r="BW20" s="398"/>
      <c r="BX20" s="398">
        <f t="shared" si="12"/>
        <v>0</v>
      </c>
      <c r="BY20" s="398"/>
      <c r="BZ20" s="404"/>
      <c r="CA20" s="404"/>
      <c r="CB20" s="404"/>
      <c r="CC20" s="398"/>
      <c r="CD20" s="398">
        <f t="shared" si="13"/>
        <v>0</v>
      </c>
      <c r="CE20" s="398"/>
      <c r="CF20" s="404"/>
      <c r="CG20" s="404"/>
      <c r="CH20" s="404"/>
      <c r="CI20" s="398"/>
      <c r="CJ20" s="398">
        <f t="shared" si="14"/>
        <v>0</v>
      </c>
      <c r="CK20" s="398"/>
      <c r="CL20" s="404"/>
      <c r="CM20" s="404"/>
      <c r="CN20" s="404"/>
      <c r="CO20" s="398"/>
      <c r="CP20" s="398">
        <f t="shared" si="15"/>
        <v>0</v>
      </c>
      <c r="CQ20" s="398"/>
      <c r="CR20" s="404"/>
      <c r="CS20" s="404"/>
      <c r="CT20" s="404"/>
      <c r="CU20" s="398"/>
      <c r="CV20" s="398">
        <f t="shared" si="16"/>
        <v>0</v>
      </c>
      <c r="CW20" s="398"/>
      <c r="CX20" s="404"/>
      <c r="CY20" s="404"/>
      <c r="CZ20" s="404"/>
      <c r="DA20" s="398"/>
      <c r="DB20" s="398">
        <f t="shared" si="17"/>
        <v>0</v>
      </c>
      <c r="DC20" s="398"/>
      <c r="DD20" s="404"/>
      <c r="DE20" s="404"/>
      <c r="DF20" s="404"/>
      <c r="DG20" s="398"/>
      <c r="DH20" s="398">
        <f t="shared" si="18"/>
        <v>0</v>
      </c>
      <c r="DI20" s="398"/>
      <c r="DJ20" s="404"/>
      <c r="DK20" s="404"/>
      <c r="DL20" s="404"/>
      <c r="DM20" s="398"/>
      <c r="DN20" s="398">
        <f t="shared" si="19"/>
        <v>0</v>
      </c>
      <c r="DO20" s="398"/>
      <c r="DP20" s="404"/>
      <c r="DQ20" s="404"/>
      <c r="DR20" s="404"/>
      <c r="DS20" s="398"/>
      <c r="DT20" s="398">
        <f t="shared" si="20"/>
        <v>0</v>
      </c>
      <c r="DU20" s="398"/>
      <c r="DV20" s="404"/>
      <c r="DW20" s="404"/>
      <c r="DX20" s="404"/>
      <c r="DY20" s="398"/>
      <c r="DZ20" s="398">
        <f t="shared" si="21"/>
        <v>0</v>
      </c>
      <c r="EA20" s="398"/>
      <c r="EB20" s="404"/>
      <c r="EC20" s="404"/>
      <c r="ED20" s="404"/>
      <c r="EE20" s="398"/>
      <c r="EF20" s="398">
        <f t="shared" si="22"/>
        <v>0</v>
      </c>
      <c r="EG20" s="398"/>
      <c r="EH20" s="404"/>
      <c r="EI20" s="404"/>
      <c r="EJ20" s="404"/>
      <c r="EK20" s="398"/>
      <c r="EL20" s="398">
        <f t="shared" si="23"/>
        <v>0</v>
      </c>
      <c r="EM20" s="398"/>
      <c r="EN20" s="404"/>
      <c r="EO20" s="404"/>
      <c r="EP20" s="404"/>
      <c r="EQ20" s="398"/>
      <c r="ER20" s="398">
        <f t="shared" si="24"/>
        <v>0</v>
      </c>
      <c r="ES20" s="398"/>
      <c r="ET20" s="404"/>
      <c r="EU20" s="404"/>
      <c r="EV20" s="404"/>
      <c r="EW20" s="398"/>
      <c r="EX20" s="398">
        <f t="shared" si="25"/>
        <v>0</v>
      </c>
      <c r="EY20" s="398" t="e">
        <f>VLOOKUP($A20,[2]Devengado!$A$1:$AI$3,35,FALSE)</f>
        <v>#N/A</v>
      </c>
    </row>
    <row r="21" spans="1:155" ht="23.25" hidden="1" customHeight="1">
      <c r="A21" s="341">
        <v>451</v>
      </c>
      <c r="B21" s="442" t="str">
        <f>VLOOKUP($A21,  'Matriz POA 2024-TRABAJO'!$A$5:$CY$9142,11,FALSE)</f>
        <v>Corporación Ciudad Alfaro</v>
      </c>
      <c r="C21" s="442" t="str">
        <f>VLOOKUP($A21, 'Matriz POA 2024-TRABAJO'!$A$5:$CY$9142,14,FALSE)</f>
        <v>N/A</v>
      </c>
      <c r="D21" s="442" t="str">
        <f>VLOOKUP($A21, 'Matriz POA 2024-TRABAJO'!$A$5:$CY$9142,15,FALSE)</f>
        <v>N/A</v>
      </c>
      <c r="E21" s="442" t="str">
        <f>VLOOKUP($A21, 'Matriz POA 2024-TRABAJO'!$A$5:$CY$9142,18,FALSE)</f>
        <v>N/A</v>
      </c>
      <c r="F21" s="442" t="str">
        <f>VLOOKUP($A21, 'Matriz POA 2024-TRABAJO'!$A$5:$CY$9142,23,FALSE)</f>
        <v>NUEVA</v>
      </c>
      <c r="G21" s="443" t="str">
        <f>VLOOKUP($A21, 'Matriz POA 2024-TRABAJO'!$A$5:$CY$9142,24,FALSE)</f>
        <v>Pago Mensual del servicio de Agua Potable del Museo Bahía de Caráquez</v>
      </c>
      <c r="H21" s="442" t="str">
        <f>VLOOKUP($A21, 'Matriz POA 2024-TRABAJO'!$A$5:$CY$9142,25,FALSE)</f>
        <v>0035</v>
      </c>
      <c r="I21" s="442" t="str">
        <f>VLOOKUP($A21, 'Matriz POA 2024-TRABAJO'!$A$5:$CY$9142,26,FALSE)</f>
        <v>80</v>
      </c>
      <c r="J21" s="442" t="str">
        <f>VLOOKUP($A21, 'Matriz POA 2024-TRABAJO'!$A$5:$CY$9142,27,FALSE)</f>
        <v>000</v>
      </c>
      <c r="K21" s="444" t="str">
        <f>VLOOKUP($A21, 'Matriz POA 2024-TRABAJO'!$A$5:$CY$9142,28,FALSE)</f>
        <v>002</v>
      </c>
      <c r="L21" s="444" t="str">
        <f>VLOOKUP($A21, 'Matriz POA 2024-TRABAJO'!$A$5:$CY$9142,29,FALSE)</f>
        <v>53</v>
      </c>
      <c r="M21" s="444">
        <f>VLOOKUP($A21, 'Matriz POA 2024-TRABAJO'!$A$5:$CY$9142,30,FALSE)</f>
        <v>530101</v>
      </c>
      <c r="N21" s="444" t="str">
        <f>VLOOKUP($A21, 'Matriz POA 2024-TRABAJO'!$A$5:$CY$9142,33,FALSE)</f>
        <v>001</v>
      </c>
      <c r="O21" s="444" t="str">
        <f>VLOOKUP($A21, 'Matriz POA 2024-TRABAJO'!$A$5:$CY$9142,34,FALSE)</f>
        <v>0000</v>
      </c>
      <c r="P21" s="444" t="str">
        <f>VLOOKUP($A21, 'Matriz POA 2024-TRABAJO'!$A$5:$CY$9142,35,FALSE)</f>
        <v>0000</v>
      </c>
      <c r="Q21" s="445">
        <f>VLOOKUP($A21, 'Matriz POA 2024-TRABAJO'!$A$5:$CY$9142,47,FALSE)</f>
        <v>360</v>
      </c>
      <c r="R21" s="446">
        <f t="shared" si="0"/>
        <v>0</v>
      </c>
      <c r="S21" s="446">
        <f t="shared" si="1"/>
        <v>51.600000000000023</v>
      </c>
      <c r="T21" s="446">
        <f t="shared" si="2"/>
        <v>0</v>
      </c>
      <c r="U21" s="446">
        <f t="shared" si="3"/>
        <v>308.39999999999998</v>
      </c>
      <c r="V21" s="446" t="str">
        <f t="shared" si="4"/>
        <v>26</v>
      </c>
      <c r="W21" s="511">
        <v>26</v>
      </c>
      <c r="X21" s="404" t="s">
        <v>1303</v>
      </c>
      <c r="Y21" s="404" t="s">
        <v>1300</v>
      </c>
      <c r="Z21" s="404">
        <f>360-360</f>
        <v>0</v>
      </c>
      <c r="AA21" s="404">
        <f>360-308.4</f>
        <v>51.600000000000023</v>
      </c>
      <c r="AB21" s="398">
        <f t="shared" si="5"/>
        <v>0</v>
      </c>
      <c r="AC21" s="405"/>
      <c r="AD21" s="404"/>
      <c r="AE21" s="404"/>
      <c r="AF21" s="404"/>
      <c r="AG21" s="398"/>
      <c r="AH21" s="398">
        <f t="shared" ref="AH21" si="35">IF(AD21="APROBADO",AF21-AG21,0)</f>
        <v>0</v>
      </c>
      <c r="AI21" s="405"/>
      <c r="AJ21" s="404"/>
      <c r="AK21" s="404"/>
      <c r="AL21" s="404"/>
      <c r="AM21" s="398"/>
      <c r="AN21" s="398">
        <f t="shared" si="6"/>
        <v>0</v>
      </c>
      <c r="AO21" s="398"/>
      <c r="AP21" s="404"/>
      <c r="AQ21" s="404"/>
      <c r="AR21" s="404"/>
      <c r="AS21" s="398"/>
      <c r="AT21" s="398">
        <f t="shared" si="7"/>
        <v>0</v>
      </c>
      <c r="AU21" s="398"/>
      <c r="AV21" s="404"/>
      <c r="AW21" s="404"/>
      <c r="AX21" s="404"/>
      <c r="AY21" s="404"/>
      <c r="AZ21" s="398">
        <f t="shared" si="8"/>
        <v>0</v>
      </c>
      <c r="BA21" s="398"/>
      <c r="BB21" s="404"/>
      <c r="BC21" s="404"/>
      <c r="BD21" s="404"/>
      <c r="BE21" s="398"/>
      <c r="BF21" s="398">
        <f t="shared" si="9"/>
        <v>0</v>
      </c>
      <c r="BG21" s="398"/>
      <c r="BH21" s="404"/>
      <c r="BI21" s="404"/>
      <c r="BJ21" s="404"/>
      <c r="BK21" s="398"/>
      <c r="BL21" s="398">
        <f t="shared" si="10"/>
        <v>0</v>
      </c>
      <c r="BM21" s="398"/>
      <c r="BN21" s="404"/>
      <c r="BO21" s="404"/>
      <c r="BP21" s="404"/>
      <c r="BQ21" s="398"/>
      <c r="BR21" s="398">
        <f t="shared" si="11"/>
        <v>0</v>
      </c>
      <c r="BS21" s="398"/>
      <c r="BT21" s="404"/>
      <c r="BU21" s="404"/>
      <c r="BV21" s="404"/>
      <c r="BW21" s="398"/>
      <c r="BX21" s="398">
        <f t="shared" si="12"/>
        <v>0</v>
      </c>
      <c r="BY21" s="398"/>
      <c r="BZ21" s="404"/>
      <c r="CA21" s="404"/>
      <c r="CB21" s="404"/>
      <c r="CC21" s="398"/>
      <c r="CD21" s="398">
        <f t="shared" si="13"/>
        <v>0</v>
      </c>
      <c r="CE21" s="398"/>
      <c r="CF21" s="404"/>
      <c r="CG21" s="404"/>
      <c r="CH21" s="404"/>
      <c r="CI21" s="398"/>
      <c r="CJ21" s="398">
        <f t="shared" si="14"/>
        <v>0</v>
      </c>
      <c r="CK21" s="398"/>
      <c r="CL21" s="404"/>
      <c r="CM21" s="404"/>
      <c r="CN21" s="404"/>
      <c r="CO21" s="398"/>
      <c r="CP21" s="398">
        <f t="shared" si="15"/>
        <v>0</v>
      </c>
      <c r="CQ21" s="398"/>
      <c r="CR21" s="404"/>
      <c r="CS21" s="404"/>
      <c r="CT21" s="404"/>
      <c r="CU21" s="398"/>
      <c r="CV21" s="398">
        <f t="shared" si="16"/>
        <v>0</v>
      </c>
      <c r="CW21" s="398"/>
      <c r="CX21" s="404"/>
      <c r="CY21" s="404"/>
      <c r="CZ21" s="404"/>
      <c r="DA21" s="398"/>
      <c r="DB21" s="398">
        <f t="shared" si="17"/>
        <v>0</v>
      </c>
      <c r="DC21" s="398"/>
      <c r="DD21" s="404"/>
      <c r="DE21" s="404"/>
      <c r="DF21" s="404"/>
      <c r="DG21" s="398"/>
      <c r="DH21" s="398">
        <f t="shared" si="18"/>
        <v>0</v>
      </c>
      <c r="DI21" s="398"/>
      <c r="DJ21" s="404"/>
      <c r="DK21" s="404"/>
      <c r="DL21" s="404"/>
      <c r="DM21" s="398"/>
      <c r="DN21" s="398">
        <f t="shared" si="19"/>
        <v>0</v>
      </c>
      <c r="DO21" s="398"/>
      <c r="DP21" s="404"/>
      <c r="DQ21" s="404"/>
      <c r="DR21" s="404"/>
      <c r="DS21" s="398"/>
      <c r="DT21" s="398">
        <f t="shared" si="20"/>
        <v>0</v>
      </c>
      <c r="DU21" s="398"/>
      <c r="DV21" s="404"/>
      <c r="DW21" s="404"/>
      <c r="DX21" s="404"/>
      <c r="DY21" s="398"/>
      <c r="DZ21" s="398">
        <f t="shared" si="21"/>
        <v>0</v>
      </c>
      <c r="EA21" s="398"/>
      <c r="EB21" s="404"/>
      <c r="EC21" s="404"/>
      <c r="ED21" s="404"/>
      <c r="EE21" s="398"/>
      <c r="EF21" s="398">
        <f t="shared" si="22"/>
        <v>0</v>
      </c>
      <c r="EG21" s="398"/>
      <c r="EH21" s="404"/>
      <c r="EI21" s="404"/>
      <c r="EJ21" s="404"/>
      <c r="EK21" s="398"/>
      <c r="EL21" s="398">
        <f t="shared" si="23"/>
        <v>0</v>
      </c>
      <c r="EM21" s="398"/>
      <c r="EN21" s="404"/>
      <c r="EO21" s="404"/>
      <c r="EP21" s="404"/>
      <c r="EQ21" s="398"/>
      <c r="ER21" s="398">
        <f t="shared" si="24"/>
        <v>0</v>
      </c>
      <c r="ES21" s="398"/>
      <c r="ET21" s="404"/>
      <c r="EU21" s="404"/>
      <c r="EV21" s="404"/>
      <c r="EW21" s="398"/>
      <c r="EX21" s="398">
        <f t="shared" si="25"/>
        <v>0</v>
      </c>
      <c r="EY21" s="398" t="e">
        <f>VLOOKUP($A21,[2]Devengado!$A$1:$AI$3,35,FALSE)</f>
        <v>#N/A</v>
      </c>
    </row>
    <row r="22" spans="1:155" ht="23.25" hidden="1" customHeight="1">
      <c r="A22" s="341">
        <v>429</v>
      </c>
      <c r="B22" s="442" t="str">
        <f>VLOOKUP($A22,  'Matriz POA 2024-TRABAJO'!$A$5:$CY$9142,11,FALSE)</f>
        <v>Corporación Ciudad Alfaro</v>
      </c>
      <c r="C22" s="442" t="str">
        <f>VLOOKUP($A22, 'Matriz POA 2024-TRABAJO'!$A$5:$CY$9142,14,FALSE)</f>
        <v>N/A</v>
      </c>
      <c r="D22" s="442" t="str">
        <f>VLOOKUP($A22, 'Matriz POA 2024-TRABAJO'!$A$5:$CY$9142,15,FALSE)</f>
        <v>N/A</v>
      </c>
      <c r="E22" s="442" t="str">
        <f>VLOOKUP($A22, 'Matriz POA 2024-TRABAJO'!$A$5:$CY$9142,18,FALSE)</f>
        <v>N/A</v>
      </c>
      <c r="F22" s="442" t="str">
        <f>VLOOKUP($A22, 'Matriz POA 2024-TRABAJO'!$A$5:$CY$9142,23,FALSE)</f>
        <v>NUEVA</v>
      </c>
      <c r="G22" s="443" t="str">
        <f>VLOOKUP($A22, 'Matriz POA 2024-TRABAJO'!$A$5:$CY$9142,24,FALSE)</f>
        <v>Pago del servicio de telefonía fija de la Sede Museo Portoviejo y Archivo Histórico</v>
      </c>
      <c r="H22" s="442" t="str">
        <f>VLOOKUP($A22, 'Matriz POA 2024-TRABAJO'!$A$5:$CY$9142,25,FALSE)</f>
        <v>0035</v>
      </c>
      <c r="I22" s="442" t="str">
        <f>VLOOKUP($A22, 'Matriz POA 2024-TRABAJO'!$A$5:$CY$9142,26,FALSE)</f>
        <v>80</v>
      </c>
      <c r="J22" s="442" t="str">
        <f>VLOOKUP($A22, 'Matriz POA 2024-TRABAJO'!$A$5:$CY$9142,27,FALSE)</f>
        <v>000</v>
      </c>
      <c r="K22" s="444" t="str">
        <f>VLOOKUP($A22, 'Matriz POA 2024-TRABAJO'!$A$5:$CY$9142,28,FALSE)</f>
        <v>002</v>
      </c>
      <c r="L22" s="444" t="str">
        <f>VLOOKUP($A22, 'Matriz POA 2024-TRABAJO'!$A$5:$CY$9142,29,FALSE)</f>
        <v>53</v>
      </c>
      <c r="M22" s="444">
        <f>VLOOKUP($A22, 'Matriz POA 2024-TRABAJO'!$A$5:$CY$9142,30,FALSE)</f>
        <v>530105</v>
      </c>
      <c r="N22" s="444" t="str">
        <f>VLOOKUP($A22, 'Matriz POA 2024-TRABAJO'!$A$5:$CY$9142,33,FALSE)</f>
        <v>001</v>
      </c>
      <c r="O22" s="444" t="str">
        <f>VLOOKUP($A22, 'Matriz POA 2024-TRABAJO'!$A$5:$CY$9142,34,FALSE)</f>
        <v>0000</v>
      </c>
      <c r="P22" s="444" t="str">
        <f>VLOOKUP($A22, 'Matriz POA 2024-TRABAJO'!$A$5:$CY$9142,35,FALSE)</f>
        <v>0000</v>
      </c>
      <c r="Q22" s="445">
        <f>VLOOKUP($A22, 'Matriz POA 2024-TRABAJO'!$A$5:$CY$9142,47,FALSE)</f>
        <v>0</v>
      </c>
      <c r="R22" s="446">
        <f t="shared" si="0"/>
        <v>0</v>
      </c>
      <c r="S22" s="446">
        <f t="shared" si="1"/>
        <v>0</v>
      </c>
      <c r="T22" s="446">
        <f t="shared" si="2"/>
        <v>0</v>
      </c>
      <c r="U22" s="446">
        <f t="shared" si="3"/>
        <v>0</v>
      </c>
      <c r="V22" s="446" t="str">
        <f t="shared" si="4"/>
        <v>27</v>
      </c>
      <c r="W22" s="511">
        <v>27</v>
      </c>
      <c r="X22" s="404" t="s">
        <v>1303</v>
      </c>
      <c r="Y22" s="404" t="s">
        <v>1300</v>
      </c>
      <c r="Z22" s="404">
        <f>500-500</f>
        <v>0</v>
      </c>
      <c r="AA22" s="404">
        <f>500-500</f>
        <v>0</v>
      </c>
      <c r="AB22" s="398">
        <f t="shared" si="5"/>
        <v>0</v>
      </c>
      <c r="AC22" s="403"/>
      <c r="AD22" s="404"/>
      <c r="AE22" s="404"/>
      <c r="AF22" s="404"/>
      <c r="AG22" s="398"/>
      <c r="AH22" s="398">
        <f>IF(AD22="APROBADO",AF22-AG22,0)</f>
        <v>0</v>
      </c>
      <c r="AI22" s="405"/>
      <c r="AJ22" s="404"/>
      <c r="AK22" s="404"/>
      <c r="AL22" s="404"/>
      <c r="AM22" s="398"/>
      <c r="AN22" s="398">
        <f t="shared" si="6"/>
        <v>0</v>
      </c>
      <c r="AO22" s="398"/>
      <c r="AP22" s="404"/>
      <c r="AQ22" s="404"/>
      <c r="AR22" s="404"/>
      <c r="AS22" s="398"/>
      <c r="AT22" s="398">
        <f t="shared" si="7"/>
        <v>0</v>
      </c>
      <c r="AU22" s="398"/>
      <c r="AV22" s="404"/>
      <c r="AW22" s="404"/>
      <c r="AX22" s="404"/>
      <c r="AY22" s="404"/>
      <c r="AZ22" s="398">
        <f t="shared" si="8"/>
        <v>0</v>
      </c>
      <c r="BA22" s="398"/>
      <c r="BB22" s="404"/>
      <c r="BC22" s="404"/>
      <c r="BD22" s="404"/>
      <c r="BE22" s="398"/>
      <c r="BF22" s="398">
        <f t="shared" si="9"/>
        <v>0</v>
      </c>
      <c r="BG22" s="398"/>
      <c r="BH22" s="404"/>
      <c r="BI22" s="404"/>
      <c r="BJ22" s="404"/>
      <c r="BK22" s="398"/>
      <c r="BL22" s="398">
        <f t="shared" si="10"/>
        <v>0</v>
      </c>
      <c r="BM22" s="398"/>
      <c r="BN22" s="404"/>
      <c r="BO22" s="404"/>
      <c r="BP22" s="404"/>
      <c r="BQ22" s="398"/>
      <c r="BR22" s="398">
        <f t="shared" si="11"/>
        <v>0</v>
      </c>
      <c r="BS22" s="398"/>
      <c r="BT22" s="404"/>
      <c r="BU22" s="404"/>
      <c r="BV22" s="404"/>
      <c r="BW22" s="398"/>
      <c r="BX22" s="398">
        <f t="shared" si="12"/>
        <v>0</v>
      </c>
      <c r="BY22" s="398"/>
      <c r="BZ22" s="404"/>
      <c r="CA22" s="404"/>
      <c r="CB22" s="404"/>
      <c r="CC22" s="398"/>
      <c r="CD22" s="398">
        <f t="shared" si="13"/>
        <v>0</v>
      </c>
      <c r="CE22" s="398"/>
      <c r="CF22" s="404"/>
      <c r="CG22" s="404"/>
      <c r="CH22" s="404"/>
      <c r="CI22" s="398"/>
      <c r="CJ22" s="398">
        <f t="shared" si="14"/>
        <v>0</v>
      </c>
      <c r="CK22" s="398"/>
      <c r="CL22" s="404"/>
      <c r="CM22" s="404"/>
      <c r="CN22" s="404"/>
      <c r="CO22" s="398"/>
      <c r="CP22" s="398">
        <f t="shared" si="15"/>
        <v>0</v>
      </c>
      <c r="CQ22" s="398"/>
      <c r="CR22" s="404"/>
      <c r="CS22" s="404"/>
      <c r="CT22" s="404"/>
      <c r="CU22" s="398"/>
      <c r="CV22" s="398">
        <f t="shared" si="16"/>
        <v>0</v>
      </c>
      <c r="CW22" s="398"/>
      <c r="CX22" s="404"/>
      <c r="CY22" s="404"/>
      <c r="CZ22" s="404"/>
      <c r="DA22" s="398"/>
      <c r="DB22" s="398">
        <f t="shared" si="17"/>
        <v>0</v>
      </c>
      <c r="DC22" s="398"/>
      <c r="DD22" s="404"/>
      <c r="DE22" s="404"/>
      <c r="DF22" s="404"/>
      <c r="DG22" s="398"/>
      <c r="DH22" s="398">
        <f t="shared" si="18"/>
        <v>0</v>
      </c>
      <c r="DI22" s="398"/>
      <c r="DJ22" s="404"/>
      <c r="DK22" s="404"/>
      <c r="DL22" s="404"/>
      <c r="DM22" s="398"/>
      <c r="DN22" s="398">
        <f t="shared" si="19"/>
        <v>0</v>
      </c>
      <c r="DO22" s="398"/>
      <c r="DP22" s="404"/>
      <c r="DQ22" s="404"/>
      <c r="DR22" s="404"/>
      <c r="DS22" s="398"/>
      <c r="DT22" s="398">
        <f t="shared" si="20"/>
        <v>0</v>
      </c>
      <c r="DU22" s="398"/>
      <c r="DV22" s="404"/>
      <c r="DW22" s="404"/>
      <c r="DX22" s="404"/>
      <c r="DY22" s="398"/>
      <c r="DZ22" s="398">
        <f t="shared" si="21"/>
        <v>0</v>
      </c>
      <c r="EA22" s="398"/>
      <c r="EB22" s="404"/>
      <c r="EC22" s="404"/>
      <c r="ED22" s="404"/>
      <c r="EE22" s="398"/>
      <c r="EF22" s="398">
        <f t="shared" si="22"/>
        <v>0</v>
      </c>
      <c r="EG22" s="398"/>
      <c r="EH22" s="404"/>
      <c r="EI22" s="404"/>
      <c r="EJ22" s="404"/>
      <c r="EK22" s="398"/>
      <c r="EL22" s="398">
        <f t="shared" si="23"/>
        <v>0</v>
      </c>
      <c r="EM22" s="398"/>
      <c r="EN22" s="404"/>
      <c r="EO22" s="404"/>
      <c r="EP22" s="404"/>
      <c r="EQ22" s="398"/>
      <c r="ER22" s="398">
        <f t="shared" si="24"/>
        <v>0</v>
      </c>
      <c r="ES22" s="398"/>
      <c r="ET22" s="404"/>
      <c r="EU22" s="404"/>
      <c r="EV22" s="404"/>
      <c r="EW22" s="398"/>
      <c r="EX22" s="398">
        <f t="shared" si="25"/>
        <v>0</v>
      </c>
      <c r="EY22" s="398" t="e">
        <f>VLOOKUP($A22,[2]Devengado!$A$1:$AI$3,35,FALSE)</f>
        <v>#N/A</v>
      </c>
    </row>
    <row r="23" spans="1:155" ht="23.25" hidden="1" customHeight="1">
      <c r="A23" s="341">
        <v>434</v>
      </c>
      <c r="B23" s="442" t="str">
        <f>VLOOKUP($A23,  'Matriz POA 2024-TRABAJO'!$A$5:$CY$9142,11,FALSE)</f>
        <v>Corporación Ciudad Alfaro</v>
      </c>
      <c r="C23" s="442" t="str">
        <f>VLOOKUP($A23, 'Matriz POA 2024-TRABAJO'!$A$5:$CY$9142,14,FALSE)</f>
        <v>N/A</v>
      </c>
      <c r="D23" s="442" t="str">
        <f>VLOOKUP($A23, 'Matriz POA 2024-TRABAJO'!$A$5:$CY$9142,15,FALSE)</f>
        <v>N/A</v>
      </c>
      <c r="E23" s="442" t="str">
        <f>VLOOKUP($A23, 'Matriz POA 2024-TRABAJO'!$A$5:$CY$9142,18,FALSE)</f>
        <v>N/A</v>
      </c>
      <c r="F23" s="442" t="str">
        <f>VLOOKUP($A23, 'Matriz POA 2024-TRABAJO'!$A$5:$CY$9142,23,FALSE)</f>
        <v>ARRASTRE</v>
      </c>
      <c r="G23" s="443" t="str">
        <f>VLOOKUP($A23, 'Matriz POA 2024-TRABAJO'!$A$5:$CY$9142,24,FALSE)</f>
        <v>Pago de expensas comunales del mes de Diciembre del 2023 de las instalaciones del Museo Portoviejo y Archivo Histórico</v>
      </c>
      <c r="H23" s="442" t="str">
        <f>VLOOKUP($A23, 'Matriz POA 2024-TRABAJO'!$A$5:$CY$9142,25,FALSE)</f>
        <v>0035</v>
      </c>
      <c r="I23" s="442" t="str">
        <f>VLOOKUP($A23, 'Matriz POA 2024-TRABAJO'!$A$5:$CY$9142,26,FALSE)</f>
        <v>80</v>
      </c>
      <c r="J23" s="442" t="str">
        <f>VLOOKUP($A23, 'Matriz POA 2024-TRABAJO'!$A$5:$CY$9142,27,FALSE)</f>
        <v>000</v>
      </c>
      <c r="K23" s="444" t="str">
        <f>VLOOKUP($A23, 'Matriz POA 2024-TRABAJO'!$A$5:$CY$9142,28,FALSE)</f>
        <v>002</v>
      </c>
      <c r="L23" s="444" t="str">
        <f>VLOOKUP($A23, 'Matriz POA 2024-TRABAJO'!$A$5:$CY$9142,29,FALSE)</f>
        <v>53</v>
      </c>
      <c r="M23" s="444">
        <f>VLOOKUP($A23, 'Matriz POA 2024-TRABAJO'!$A$5:$CY$9142,30,FALSE)</f>
        <v>530402</v>
      </c>
      <c r="N23" s="444" t="str">
        <f>VLOOKUP($A23, 'Matriz POA 2024-TRABAJO'!$A$5:$CY$9142,33,FALSE)</f>
        <v>001</v>
      </c>
      <c r="O23" s="444" t="str">
        <f>VLOOKUP($A23, 'Matriz POA 2024-TRABAJO'!$A$5:$CY$9142,34,FALSE)</f>
        <v>0000</v>
      </c>
      <c r="P23" s="444" t="str">
        <f>VLOOKUP($A23, 'Matriz POA 2024-TRABAJO'!$A$5:$CY$9142,35,FALSE)</f>
        <v>0000</v>
      </c>
      <c r="Q23" s="445">
        <f>VLOOKUP($A23, 'Matriz POA 2024-TRABAJO'!$A$5:$CY$9142,47,FALSE)</f>
        <v>6624</v>
      </c>
      <c r="R23" s="446">
        <f t="shared" si="0"/>
        <v>6624</v>
      </c>
      <c r="S23" s="446">
        <f t="shared" si="1"/>
        <v>6624</v>
      </c>
      <c r="T23" s="446">
        <f t="shared" si="2"/>
        <v>0</v>
      </c>
      <c r="U23" s="446">
        <f t="shared" si="3"/>
        <v>0</v>
      </c>
      <c r="V23" s="446" t="str">
        <f t="shared" si="4"/>
        <v>28</v>
      </c>
      <c r="W23" s="511">
        <v>28</v>
      </c>
      <c r="X23" s="404" t="s">
        <v>1299</v>
      </c>
      <c r="Y23" s="404" t="s">
        <v>1300</v>
      </c>
      <c r="Z23" s="404">
        <v>6624</v>
      </c>
      <c r="AA23" s="404">
        <v>6624</v>
      </c>
      <c r="AB23" s="398">
        <f t="shared" si="5"/>
        <v>0</v>
      </c>
      <c r="AC23" s="405"/>
      <c r="AD23" s="404"/>
      <c r="AE23" s="404"/>
      <c r="AF23" s="404"/>
      <c r="AG23" s="398"/>
      <c r="AH23" s="398">
        <f t="shared" ref="AH23" si="36">IF(AD23="APROBADO",AF23-AG23,0)</f>
        <v>0</v>
      </c>
      <c r="AI23" s="405"/>
      <c r="AJ23" s="404"/>
      <c r="AK23" s="404"/>
      <c r="AL23" s="404"/>
      <c r="AM23" s="398"/>
      <c r="AN23" s="398">
        <f t="shared" si="6"/>
        <v>0</v>
      </c>
      <c r="AO23" s="398"/>
      <c r="AP23" s="404"/>
      <c r="AQ23" s="404"/>
      <c r="AR23" s="404"/>
      <c r="AS23" s="398"/>
      <c r="AT23" s="398">
        <f t="shared" si="7"/>
        <v>0</v>
      </c>
      <c r="AU23" s="398"/>
      <c r="AV23" s="404"/>
      <c r="AW23" s="404"/>
      <c r="AX23" s="404"/>
      <c r="AY23" s="404"/>
      <c r="AZ23" s="398">
        <f t="shared" si="8"/>
        <v>0</v>
      </c>
      <c r="BA23" s="398"/>
      <c r="BB23" s="404"/>
      <c r="BC23" s="404"/>
      <c r="BD23" s="404"/>
      <c r="BE23" s="398"/>
      <c r="BF23" s="398">
        <f t="shared" si="9"/>
        <v>0</v>
      </c>
      <c r="BG23" s="398"/>
      <c r="BH23" s="404"/>
      <c r="BI23" s="404"/>
      <c r="BJ23" s="404"/>
      <c r="BK23" s="398"/>
      <c r="BL23" s="398">
        <f t="shared" si="10"/>
        <v>0</v>
      </c>
      <c r="BM23" s="398"/>
      <c r="BN23" s="404"/>
      <c r="BO23" s="404"/>
      <c r="BP23" s="404"/>
      <c r="BQ23" s="398"/>
      <c r="BR23" s="398">
        <f t="shared" si="11"/>
        <v>0</v>
      </c>
      <c r="BS23" s="398"/>
      <c r="BT23" s="404"/>
      <c r="BU23" s="404"/>
      <c r="BV23" s="404"/>
      <c r="BW23" s="398"/>
      <c r="BX23" s="398">
        <f t="shared" si="12"/>
        <v>0</v>
      </c>
      <c r="BY23" s="398"/>
      <c r="BZ23" s="404"/>
      <c r="CA23" s="404"/>
      <c r="CB23" s="404"/>
      <c r="CC23" s="398"/>
      <c r="CD23" s="398">
        <f t="shared" si="13"/>
        <v>0</v>
      </c>
      <c r="CE23" s="398"/>
      <c r="CF23" s="404"/>
      <c r="CG23" s="404"/>
      <c r="CH23" s="404"/>
      <c r="CI23" s="398"/>
      <c r="CJ23" s="398">
        <f t="shared" si="14"/>
        <v>0</v>
      </c>
      <c r="CK23" s="398"/>
      <c r="CL23" s="404"/>
      <c r="CM23" s="404"/>
      <c r="CN23" s="404"/>
      <c r="CO23" s="398"/>
      <c r="CP23" s="398">
        <f t="shared" si="15"/>
        <v>0</v>
      </c>
      <c r="CQ23" s="398"/>
      <c r="CR23" s="404"/>
      <c r="CS23" s="404"/>
      <c r="CT23" s="404"/>
      <c r="CU23" s="398"/>
      <c r="CV23" s="398">
        <f t="shared" si="16"/>
        <v>0</v>
      </c>
      <c r="CW23" s="398"/>
      <c r="CX23" s="404"/>
      <c r="CY23" s="404"/>
      <c r="CZ23" s="404"/>
      <c r="DA23" s="398"/>
      <c r="DB23" s="398">
        <f t="shared" si="17"/>
        <v>0</v>
      </c>
      <c r="DC23" s="398"/>
      <c r="DD23" s="404"/>
      <c r="DE23" s="404"/>
      <c r="DF23" s="404"/>
      <c r="DG23" s="398"/>
      <c r="DH23" s="398">
        <f t="shared" si="18"/>
        <v>0</v>
      </c>
      <c r="DI23" s="398"/>
      <c r="DJ23" s="404"/>
      <c r="DK23" s="404"/>
      <c r="DL23" s="404"/>
      <c r="DM23" s="398"/>
      <c r="DN23" s="398">
        <f t="shared" si="19"/>
        <v>0</v>
      </c>
      <c r="DO23" s="398"/>
      <c r="DP23" s="404"/>
      <c r="DQ23" s="404"/>
      <c r="DR23" s="404"/>
      <c r="DS23" s="398"/>
      <c r="DT23" s="398">
        <f t="shared" si="20"/>
        <v>0</v>
      </c>
      <c r="DU23" s="398"/>
      <c r="DV23" s="404"/>
      <c r="DW23" s="404"/>
      <c r="DX23" s="404"/>
      <c r="DY23" s="398"/>
      <c r="DZ23" s="398">
        <f t="shared" si="21"/>
        <v>0</v>
      </c>
      <c r="EA23" s="398"/>
      <c r="EB23" s="404"/>
      <c r="EC23" s="404"/>
      <c r="ED23" s="404"/>
      <c r="EE23" s="398"/>
      <c r="EF23" s="398">
        <f t="shared" si="22"/>
        <v>0</v>
      </c>
      <c r="EG23" s="398"/>
      <c r="EH23" s="404"/>
      <c r="EI23" s="404"/>
      <c r="EJ23" s="404"/>
      <c r="EK23" s="398"/>
      <c r="EL23" s="398">
        <f t="shared" si="23"/>
        <v>0</v>
      </c>
      <c r="EM23" s="398"/>
      <c r="EN23" s="404"/>
      <c r="EO23" s="404"/>
      <c r="EP23" s="404"/>
      <c r="EQ23" s="398"/>
      <c r="ER23" s="398">
        <f t="shared" si="24"/>
        <v>0</v>
      </c>
      <c r="ES23" s="398"/>
      <c r="ET23" s="404"/>
      <c r="EU23" s="404"/>
      <c r="EV23" s="404"/>
      <c r="EW23" s="398"/>
      <c r="EX23" s="398">
        <f t="shared" si="25"/>
        <v>0</v>
      </c>
      <c r="EY23" s="398" t="e">
        <f>VLOOKUP($A23,[2]Devengado!$A$1:$AI$3,35,FALSE)</f>
        <v>#N/A</v>
      </c>
    </row>
    <row r="24" spans="1:155" ht="23.25" hidden="1" customHeight="1">
      <c r="A24" s="341">
        <v>446</v>
      </c>
      <c r="B24" s="442" t="str">
        <f>VLOOKUP($A24,  'Matriz POA 2024-TRABAJO'!$A$5:$CY$9142,11,FALSE)</f>
        <v>Corporación Ciudad Alfaro</v>
      </c>
      <c r="C24" s="442" t="str">
        <f>VLOOKUP($A24, 'Matriz POA 2024-TRABAJO'!$A$5:$CY$9142,14,FALSE)</f>
        <v>N/A</v>
      </c>
      <c r="D24" s="442" t="str">
        <f>VLOOKUP($A24, 'Matriz POA 2024-TRABAJO'!$A$5:$CY$9142,15,FALSE)</f>
        <v>N/A</v>
      </c>
      <c r="E24" s="442" t="str">
        <f>VLOOKUP($A24, 'Matriz POA 2024-TRABAJO'!$A$5:$CY$9142,18,FALSE)</f>
        <v>N/A</v>
      </c>
      <c r="F24" s="442" t="str">
        <f>VLOOKUP($A24, 'Matriz POA 2024-TRABAJO'!$A$5:$CY$9142,23,FALSE)</f>
        <v>NUEVA</v>
      </c>
      <c r="G24" s="443" t="str">
        <f>VLOOKUP($A24, 'Matriz POA 2024-TRABAJO'!$A$5:$CY$9142,24,FALSE)</f>
        <v>Pago del servicio de energía eléctrica del Museo Portoviejo y Archivo Histórico</v>
      </c>
      <c r="H24" s="442" t="str">
        <f>VLOOKUP($A24, 'Matriz POA 2024-TRABAJO'!$A$5:$CY$9142,25,FALSE)</f>
        <v>0035</v>
      </c>
      <c r="I24" s="442" t="str">
        <f>VLOOKUP($A24, 'Matriz POA 2024-TRABAJO'!$A$5:$CY$9142,26,FALSE)</f>
        <v>80</v>
      </c>
      <c r="J24" s="442" t="str">
        <f>VLOOKUP($A24, 'Matriz POA 2024-TRABAJO'!$A$5:$CY$9142,27,FALSE)</f>
        <v>000</v>
      </c>
      <c r="K24" s="444" t="str">
        <f>VLOOKUP($A24, 'Matriz POA 2024-TRABAJO'!$A$5:$CY$9142,28,FALSE)</f>
        <v>002</v>
      </c>
      <c r="L24" s="444" t="str">
        <f>VLOOKUP($A24, 'Matriz POA 2024-TRABAJO'!$A$5:$CY$9142,29,FALSE)</f>
        <v>53</v>
      </c>
      <c r="M24" s="444">
        <f>VLOOKUP($A24, 'Matriz POA 2024-TRABAJO'!$A$5:$CY$9142,30,FALSE)</f>
        <v>530104</v>
      </c>
      <c r="N24" s="444" t="str">
        <f>VLOOKUP($A24, 'Matriz POA 2024-TRABAJO'!$A$5:$CY$9142,33,FALSE)</f>
        <v>001</v>
      </c>
      <c r="O24" s="444" t="str">
        <f>VLOOKUP($A24, 'Matriz POA 2024-TRABAJO'!$A$5:$CY$9142,34,FALSE)</f>
        <v>0000</v>
      </c>
      <c r="P24" s="444" t="str">
        <f>VLOOKUP($A24, 'Matriz POA 2024-TRABAJO'!$A$5:$CY$9142,35,FALSE)</f>
        <v>0000</v>
      </c>
      <c r="Q24" s="445">
        <f>VLOOKUP($A24, 'Matriz POA 2024-TRABAJO'!$A$5:$CY$9142,47,FALSE)</f>
        <v>9827.8799999999992</v>
      </c>
      <c r="R24" s="446">
        <f t="shared" si="0"/>
        <v>3745.87</v>
      </c>
      <c r="S24" s="446">
        <f t="shared" si="1"/>
        <v>9082.01</v>
      </c>
      <c r="T24" s="446">
        <f t="shared" si="2"/>
        <v>745.87</v>
      </c>
      <c r="U24" s="446">
        <f t="shared" si="3"/>
        <v>0</v>
      </c>
      <c r="V24" s="446" t="str">
        <f t="shared" si="4"/>
        <v>29113126</v>
      </c>
      <c r="W24" s="511">
        <v>29</v>
      </c>
      <c r="X24" s="404" t="s">
        <v>1303</v>
      </c>
      <c r="Y24" s="404" t="s">
        <v>1300</v>
      </c>
      <c r="Z24" s="404">
        <f>8100-8100</f>
        <v>0</v>
      </c>
      <c r="AA24" s="404">
        <f>8100-2017.99</f>
        <v>6082.01</v>
      </c>
      <c r="AB24" s="398">
        <f t="shared" si="5"/>
        <v>0</v>
      </c>
      <c r="AC24" s="511">
        <v>113</v>
      </c>
      <c r="AD24" s="404" t="s">
        <v>1299</v>
      </c>
      <c r="AE24" s="404" t="s">
        <v>2030</v>
      </c>
      <c r="AF24" s="404">
        <v>3000</v>
      </c>
      <c r="AG24" s="398">
        <v>3000</v>
      </c>
      <c r="AH24" s="398">
        <f>IF(AD24="APROBADO",AF24-AG24,0)</f>
        <v>0</v>
      </c>
      <c r="AI24" s="405">
        <v>126</v>
      </c>
      <c r="AJ24" s="404" t="s">
        <v>1299</v>
      </c>
      <c r="AK24" s="404" t="s">
        <v>2030</v>
      </c>
      <c r="AL24" s="404">
        <v>745.87</v>
      </c>
      <c r="AM24" s="398"/>
      <c r="AN24" s="398">
        <f t="shared" ref="AN24:AN83" si="37">IF(AJ24="APROBADO",AL24-AM24,0)</f>
        <v>745.87</v>
      </c>
      <c r="AO24" s="398"/>
      <c r="AP24" s="404"/>
      <c r="AQ24" s="404"/>
      <c r="AR24" s="404"/>
      <c r="AS24" s="398"/>
      <c r="AT24" s="398">
        <f t="shared" ref="AT24:AT83" si="38">IF(AP24="APROBADO",AR24-AS24,0)</f>
        <v>0</v>
      </c>
      <c r="AU24" s="398"/>
      <c r="AV24" s="404"/>
      <c r="AW24" s="404"/>
      <c r="AX24" s="404"/>
      <c r="AY24" s="404"/>
      <c r="AZ24" s="398">
        <f t="shared" ref="AZ24:AZ83" si="39">IF(AV24="APROBADO",AX24-AY24,0)</f>
        <v>0</v>
      </c>
      <c r="BA24" s="398"/>
      <c r="BB24" s="404"/>
      <c r="BC24" s="404"/>
      <c r="BD24" s="404"/>
      <c r="BE24" s="398"/>
      <c r="BF24" s="398">
        <f t="shared" ref="BF24:BF83" si="40">IF(BB24="APROBADO",BD24-BE24,0)</f>
        <v>0</v>
      </c>
      <c r="BG24" s="398"/>
      <c r="BH24" s="404"/>
      <c r="BI24" s="404"/>
      <c r="BJ24" s="404"/>
      <c r="BK24" s="398"/>
      <c r="BL24" s="398">
        <f t="shared" si="10"/>
        <v>0</v>
      </c>
      <c r="BM24" s="398"/>
      <c r="BN24" s="404"/>
      <c r="BO24" s="404"/>
      <c r="BP24" s="404"/>
      <c r="BQ24" s="398"/>
      <c r="BR24" s="398">
        <f t="shared" si="11"/>
        <v>0</v>
      </c>
      <c r="BS24" s="398"/>
      <c r="BT24" s="404"/>
      <c r="BU24" s="404"/>
      <c r="BV24" s="404"/>
      <c r="BW24" s="398"/>
      <c r="BX24" s="398">
        <f t="shared" si="12"/>
        <v>0</v>
      </c>
      <c r="BY24" s="398"/>
      <c r="BZ24" s="404"/>
      <c r="CA24" s="404"/>
      <c r="CB24" s="404"/>
      <c r="CC24" s="398"/>
      <c r="CD24" s="398">
        <f t="shared" si="13"/>
        <v>0</v>
      </c>
      <c r="CE24" s="398"/>
      <c r="CF24" s="404"/>
      <c r="CG24" s="404"/>
      <c r="CH24" s="404"/>
      <c r="CI24" s="398"/>
      <c r="CJ24" s="398">
        <f t="shared" si="14"/>
        <v>0</v>
      </c>
      <c r="CK24" s="398"/>
      <c r="CL24" s="404"/>
      <c r="CM24" s="404"/>
      <c r="CN24" s="404"/>
      <c r="CO24" s="398"/>
      <c r="CP24" s="398">
        <f t="shared" si="15"/>
        <v>0</v>
      </c>
      <c r="CQ24" s="398"/>
      <c r="CR24" s="404"/>
      <c r="CS24" s="404"/>
      <c r="CT24" s="404"/>
      <c r="CU24" s="398"/>
      <c r="CV24" s="398">
        <f t="shared" si="16"/>
        <v>0</v>
      </c>
      <c r="CW24" s="398"/>
      <c r="CX24" s="404"/>
      <c r="CY24" s="404"/>
      <c r="CZ24" s="404"/>
      <c r="DA24" s="398"/>
      <c r="DB24" s="398">
        <f t="shared" si="17"/>
        <v>0</v>
      </c>
      <c r="DC24" s="398"/>
      <c r="DD24" s="404"/>
      <c r="DE24" s="404"/>
      <c r="DF24" s="404"/>
      <c r="DG24" s="398"/>
      <c r="DH24" s="398">
        <f t="shared" si="18"/>
        <v>0</v>
      </c>
      <c r="DI24" s="398"/>
      <c r="DJ24" s="404"/>
      <c r="DK24" s="404"/>
      <c r="DL24" s="404"/>
      <c r="DM24" s="398"/>
      <c r="DN24" s="398">
        <f t="shared" si="19"/>
        <v>0</v>
      </c>
      <c r="DO24" s="398"/>
      <c r="DP24" s="404"/>
      <c r="DQ24" s="404"/>
      <c r="DR24" s="404"/>
      <c r="DS24" s="398"/>
      <c r="DT24" s="398">
        <f t="shared" si="20"/>
        <v>0</v>
      </c>
      <c r="DU24" s="398"/>
      <c r="DV24" s="404"/>
      <c r="DW24" s="404"/>
      <c r="DX24" s="404"/>
      <c r="DY24" s="398"/>
      <c r="DZ24" s="398">
        <f t="shared" si="21"/>
        <v>0</v>
      </c>
      <c r="EA24" s="398"/>
      <c r="EB24" s="404"/>
      <c r="EC24" s="404"/>
      <c r="ED24" s="404"/>
      <c r="EE24" s="398"/>
      <c r="EF24" s="398">
        <f t="shared" si="22"/>
        <v>0</v>
      </c>
      <c r="EG24" s="398"/>
      <c r="EH24" s="404"/>
      <c r="EI24" s="404"/>
      <c r="EJ24" s="404"/>
      <c r="EK24" s="398"/>
      <c r="EL24" s="398">
        <f t="shared" si="23"/>
        <v>0</v>
      </c>
      <c r="EM24" s="398"/>
      <c r="EN24" s="404"/>
      <c r="EO24" s="404"/>
      <c r="EP24" s="404"/>
      <c r="EQ24" s="398"/>
      <c r="ER24" s="398">
        <f t="shared" si="24"/>
        <v>0</v>
      </c>
      <c r="ES24" s="398"/>
      <c r="ET24" s="404"/>
      <c r="EU24" s="404"/>
      <c r="EV24" s="404"/>
      <c r="EW24" s="398"/>
      <c r="EX24" s="398">
        <f t="shared" si="25"/>
        <v>0</v>
      </c>
      <c r="EY24" s="398" t="e">
        <f>VLOOKUP($A24,[2]Devengado!$A$1:$AI$3,35,FALSE)</f>
        <v>#N/A</v>
      </c>
    </row>
    <row r="25" spans="1:155" ht="23.25" hidden="1" customHeight="1">
      <c r="A25" s="341">
        <v>447</v>
      </c>
      <c r="B25" s="442" t="str">
        <f>VLOOKUP($A25,  'Matriz POA 2024-TRABAJO'!$A$5:$CY$9142,11,FALSE)</f>
        <v>Corporación Ciudad Alfaro</v>
      </c>
      <c r="C25" s="442" t="str">
        <f>VLOOKUP($A25, 'Matriz POA 2024-TRABAJO'!$A$5:$CY$9142,14,FALSE)</f>
        <v>N/A</v>
      </c>
      <c r="D25" s="442" t="str">
        <f>VLOOKUP($A25, 'Matriz POA 2024-TRABAJO'!$A$5:$CY$9142,15,FALSE)</f>
        <v>N/A</v>
      </c>
      <c r="E25" s="442" t="str">
        <f>VLOOKUP($A25, 'Matriz POA 2024-TRABAJO'!$A$5:$CY$9142,18,FALSE)</f>
        <v>N/A</v>
      </c>
      <c r="F25" s="442" t="str">
        <f>VLOOKUP($A25, 'Matriz POA 2024-TRABAJO'!$A$5:$CY$9142,23,FALSE)</f>
        <v>ARRASTRE</v>
      </c>
      <c r="G25" s="443" t="str">
        <f>VLOOKUP($A25, 'Matriz POA 2024-TRABAJO'!$A$5:$CY$9142,24,FALSE)</f>
        <v>Pago del servicio de energía eléctrica de los meses de Noviembre y Diciembre del 2023 del Museo Portoviejo y Archivo Histórico</v>
      </c>
      <c r="H25" s="442" t="str">
        <f>VLOOKUP($A25, 'Matriz POA 2024-TRABAJO'!$A$5:$CY$9142,25,FALSE)</f>
        <v>0035</v>
      </c>
      <c r="I25" s="442" t="str">
        <f>VLOOKUP($A25, 'Matriz POA 2024-TRABAJO'!$A$5:$CY$9142,26,FALSE)</f>
        <v>80</v>
      </c>
      <c r="J25" s="442" t="str">
        <f>VLOOKUP($A25, 'Matriz POA 2024-TRABAJO'!$A$5:$CY$9142,27,FALSE)</f>
        <v>000</v>
      </c>
      <c r="K25" s="444" t="str">
        <f>VLOOKUP($A25, 'Matriz POA 2024-TRABAJO'!$A$5:$CY$9142,28,FALSE)</f>
        <v>002</v>
      </c>
      <c r="L25" s="444" t="str">
        <f>VLOOKUP($A25, 'Matriz POA 2024-TRABAJO'!$A$5:$CY$9142,29,FALSE)</f>
        <v>53</v>
      </c>
      <c r="M25" s="444">
        <f>VLOOKUP($A25, 'Matriz POA 2024-TRABAJO'!$A$5:$CY$9142,30,FALSE)</f>
        <v>530104</v>
      </c>
      <c r="N25" s="444" t="str">
        <f>VLOOKUP($A25, 'Matriz POA 2024-TRABAJO'!$A$5:$CY$9142,33,FALSE)</f>
        <v>001</v>
      </c>
      <c r="O25" s="444" t="str">
        <f>VLOOKUP($A25, 'Matriz POA 2024-TRABAJO'!$A$5:$CY$9142,34,FALSE)</f>
        <v>0000</v>
      </c>
      <c r="P25" s="444" t="str">
        <f>VLOOKUP($A25, 'Matriz POA 2024-TRABAJO'!$A$5:$CY$9142,35,FALSE)</f>
        <v>0000</v>
      </c>
      <c r="Q25" s="445">
        <f>VLOOKUP($A25, 'Matriz POA 2024-TRABAJO'!$A$5:$CY$9142,47,FALSE)</f>
        <v>1579.49</v>
      </c>
      <c r="R25" s="446">
        <f t="shared" si="0"/>
        <v>0</v>
      </c>
      <c r="S25" s="446">
        <f t="shared" si="1"/>
        <v>1579.49</v>
      </c>
      <c r="T25" s="446">
        <f t="shared" si="2"/>
        <v>0</v>
      </c>
      <c r="U25" s="446">
        <f t="shared" si="3"/>
        <v>0</v>
      </c>
      <c r="V25" s="446" t="str">
        <f t="shared" si="4"/>
        <v>30</v>
      </c>
      <c r="W25" s="511">
        <v>30</v>
      </c>
      <c r="X25" s="404" t="s">
        <v>1303</v>
      </c>
      <c r="Y25" s="404" t="s">
        <v>1300</v>
      </c>
      <c r="Z25" s="404">
        <f>1800-1800</f>
        <v>0</v>
      </c>
      <c r="AA25" s="404">
        <f>1800-220.51</f>
        <v>1579.49</v>
      </c>
      <c r="AB25" s="398">
        <f t="shared" ref="AB25:AB82" si="41">IF(X25="APROBADO",Z25-AA25,0)</f>
        <v>0</v>
      </c>
      <c r="AC25" s="405"/>
      <c r="AD25" s="404"/>
      <c r="AE25" s="404"/>
      <c r="AF25" s="404"/>
      <c r="AG25" s="398"/>
      <c r="AH25" s="398">
        <f t="shared" ref="AH25" si="42">IF(AD25="APROBADO",AF25-AG25,0)</f>
        <v>0</v>
      </c>
      <c r="AI25" s="405"/>
      <c r="AJ25" s="404"/>
      <c r="AK25" s="404"/>
      <c r="AL25" s="404"/>
      <c r="AM25" s="398"/>
      <c r="AN25" s="398">
        <f t="shared" si="37"/>
        <v>0</v>
      </c>
      <c r="AO25" s="398"/>
      <c r="AP25" s="404"/>
      <c r="AQ25" s="404"/>
      <c r="AR25" s="404"/>
      <c r="AS25" s="398"/>
      <c r="AT25" s="398">
        <f t="shared" si="38"/>
        <v>0</v>
      </c>
      <c r="AU25" s="398"/>
      <c r="AV25" s="404"/>
      <c r="AW25" s="404"/>
      <c r="AX25" s="404"/>
      <c r="AY25" s="404"/>
      <c r="AZ25" s="398">
        <f t="shared" si="39"/>
        <v>0</v>
      </c>
      <c r="BA25" s="398"/>
      <c r="BB25" s="404"/>
      <c r="BC25" s="404"/>
      <c r="BD25" s="404"/>
      <c r="BE25" s="398"/>
      <c r="BF25" s="398">
        <f t="shared" si="40"/>
        <v>0</v>
      </c>
      <c r="BG25" s="398"/>
      <c r="BH25" s="404"/>
      <c r="BI25" s="404"/>
      <c r="BJ25" s="404"/>
      <c r="BK25" s="398"/>
      <c r="BL25" s="398">
        <f t="shared" si="10"/>
        <v>0</v>
      </c>
      <c r="BM25" s="398"/>
      <c r="BN25" s="404"/>
      <c r="BO25" s="404"/>
      <c r="BP25" s="404"/>
      <c r="BQ25" s="398"/>
      <c r="BR25" s="398">
        <f t="shared" si="11"/>
        <v>0</v>
      </c>
      <c r="BS25" s="398"/>
      <c r="BT25" s="404"/>
      <c r="BU25" s="404"/>
      <c r="BV25" s="404"/>
      <c r="BW25" s="398"/>
      <c r="BX25" s="398">
        <f t="shared" si="12"/>
        <v>0</v>
      </c>
      <c r="BY25" s="398"/>
      <c r="BZ25" s="404"/>
      <c r="CA25" s="404"/>
      <c r="CB25" s="404"/>
      <c r="CC25" s="398"/>
      <c r="CD25" s="398">
        <f t="shared" si="13"/>
        <v>0</v>
      </c>
      <c r="CE25" s="398"/>
      <c r="CF25" s="404"/>
      <c r="CG25" s="404"/>
      <c r="CH25" s="404"/>
      <c r="CI25" s="398"/>
      <c r="CJ25" s="398">
        <f t="shared" si="14"/>
        <v>0</v>
      </c>
      <c r="CK25" s="398"/>
      <c r="CL25" s="404"/>
      <c r="CM25" s="404"/>
      <c r="CN25" s="404"/>
      <c r="CO25" s="398"/>
      <c r="CP25" s="398">
        <f t="shared" si="15"/>
        <v>0</v>
      </c>
      <c r="CQ25" s="398"/>
      <c r="CR25" s="404"/>
      <c r="CS25" s="404"/>
      <c r="CT25" s="404"/>
      <c r="CU25" s="398"/>
      <c r="CV25" s="398">
        <f t="shared" si="16"/>
        <v>0</v>
      </c>
      <c r="CW25" s="398"/>
      <c r="CX25" s="404"/>
      <c r="CY25" s="404"/>
      <c r="CZ25" s="404"/>
      <c r="DA25" s="398"/>
      <c r="DB25" s="398">
        <f t="shared" si="17"/>
        <v>0</v>
      </c>
      <c r="DC25" s="398"/>
      <c r="DD25" s="404"/>
      <c r="DE25" s="404"/>
      <c r="DF25" s="404"/>
      <c r="DG25" s="398"/>
      <c r="DH25" s="398">
        <f t="shared" si="18"/>
        <v>0</v>
      </c>
      <c r="DI25" s="398"/>
      <c r="DJ25" s="404"/>
      <c r="DK25" s="404"/>
      <c r="DL25" s="404"/>
      <c r="DM25" s="398"/>
      <c r="DN25" s="398">
        <f t="shared" si="19"/>
        <v>0</v>
      </c>
      <c r="DO25" s="398"/>
      <c r="DP25" s="404"/>
      <c r="DQ25" s="404"/>
      <c r="DR25" s="404"/>
      <c r="DS25" s="398"/>
      <c r="DT25" s="398">
        <f t="shared" si="20"/>
        <v>0</v>
      </c>
      <c r="DU25" s="398"/>
      <c r="DV25" s="404"/>
      <c r="DW25" s="404"/>
      <c r="DX25" s="404"/>
      <c r="DY25" s="398"/>
      <c r="DZ25" s="398">
        <f t="shared" si="21"/>
        <v>0</v>
      </c>
      <c r="EA25" s="398"/>
      <c r="EB25" s="404"/>
      <c r="EC25" s="404"/>
      <c r="ED25" s="404"/>
      <c r="EE25" s="398"/>
      <c r="EF25" s="398">
        <f t="shared" si="22"/>
        <v>0</v>
      </c>
      <c r="EG25" s="398"/>
      <c r="EH25" s="404"/>
      <c r="EI25" s="404"/>
      <c r="EJ25" s="404"/>
      <c r="EK25" s="398"/>
      <c r="EL25" s="398">
        <f t="shared" si="23"/>
        <v>0</v>
      </c>
      <c r="EM25" s="398"/>
      <c r="EN25" s="404"/>
      <c r="EO25" s="404"/>
      <c r="EP25" s="404"/>
      <c r="EQ25" s="398"/>
      <c r="ER25" s="398">
        <f t="shared" si="24"/>
        <v>0</v>
      </c>
      <c r="ES25" s="398"/>
      <c r="ET25" s="404"/>
      <c r="EU25" s="404"/>
      <c r="EV25" s="404"/>
      <c r="EW25" s="398"/>
      <c r="EX25" s="398">
        <f t="shared" si="25"/>
        <v>0</v>
      </c>
      <c r="EY25" s="398" t="e">
        <f>VLOOKUP($A25,[2]Devengado!$A$1:$AI$3,35,FALSE)</f>
        <v>#N/A</v>
      </c>
    </row>
    <row r="26" spans="1:155" ht="23.25" hidden="1" customHeight="1">
      <c r="A26" s="341">
        <v>479</v>
      </c>
      <c r="B26" s="442" t="str">
        <f>VLOOKUP($A26,  'Matriz POA 2024-TRABAJO'!$A$5:$CY$9142,11,FALSE)</f>
        <v>Corporación Ciudad Alfaro</v>
      </c>
      <c r="C26" s="442" t="str">
        <f>VLOOKUP($A26, 'Matriz POA 2024-TRABAJO'!$A$5:$CY$9142,14,FALSE)</f>
        <v>N/A</v>
      </c>
      <c r="D26" s="442" t="str">
        <f>VLOOKUP($A26, 'Matriz POA 2024-TRABAJO'!$A$5:$CY$9142,15,FALSE)</f>
        <v>N/A</v>
      </c>
      <c r="E26" s="442" t="str">
        <f>VLOOKUP($A26, 'Matriz POA 2024-TRABAJO'!$A$5:$CY$9142,18,FALSE)</f>
        <v>N/A</v>
      </c>
      <c r="F26" s="442" t="str">
        <f>VLOOKUP($A26, 'Matriz POA 2024-TRABAJO'!$A$5:$CY$9142,23,FALSE)</f>
        <v>NUEVA</v>
      </c>
      <c r="G26" s="443" t="str">
        <f>VLOOKUP($A26, 'Matriz POA 2024-TRABAJO'!$A$5:$CY$9142,24,FALSE)</f>
        <v>Mantenimiento, Reparación preventivo y correctivo de los vehículos de la corporación ciudad alfaro</v>
      </c>
      <c r="H26" s="442" t="str">
        <f>VLOOKUP($A26, 'Matriz POA 2024-TRABAJO'!$A$5:$CY$9142,25,FALSE)</f>
        <v>0035</v>
      </c>
      <c r="I26" s="442" t="str">
        <f>VLOOKUP($A26, 'Matriz POA 2024-TRABAJO'!$A$5:$CY$9142,26,FALSE)</f>
        <v>80</v>
      </c>
      <c r="J26" s="442" t="str">
        <f>VLOOKUP($A26, 'Matriz POA 2024-TRABAJO'!$A$5:$CY$9142,27,FALSE)</f>
        <v>000</v>
      </c>
      <c r="K26" s="444" t="str">
        <f>VLOOKUP($A26, 'Matriz POA 2024-TRABAJO'!$A$5:$CY$9142,28,FALSE)</f>
        <v>002</v>
      </c>
      <c r="L26" s="444" t="str">
        <f>VLOOKUP($A26, 'Matriz POA 2024-TRABAJO'!$A$5:$CY$9142,29,FALSE)</f>
        <v>53</v>
      </c>
      <c r="M26" s="444">
        <f>VLOOKUP($A26, 'Matriz POA 2024-TRABAJO'!$A$5:$CY$9142,30,FALSE)</f>
        <v>530405</v>
      </c>
      <c r="N26" s="444" t="str">
        <f>VLOOKUP($A26, 'Matriz POA 2024-TRABAJO'!$A$5:$CY$9142,33,FALSE)</f>
        <v>001</v>
      </c>
      <c r="O26" s="444" t="str">
        <f>VLOOKUP($A26, 'Matriz POA 2024-TRABAJO'!$A$5:$CY$9142,34,FALSE)</f>
        <v>0000</v>
      </c>
      <c r="P26" s="444" t="str">
        <f>VLOOKUP($A26, 'Matriz POA 2024-TRABAJO'!$A$5:$CY$9142,35,FALSE)</f>
        <v>0000</v>
      </c>
      <c r="Q26" s="445">
        <f>VLOOKUP($A26, 'Matriz POA 2024-TRABAJO'!$A$5:$CY$9142,47,FALSE)</f>
        <v>6579.9999999999991</v>
      </c>
      <c r="R26" s="446">
        <f t="shared" si="0"/>
        <v>0</v>
      </c>
      <c r="S26" s="446">
        <f t="shared" si="1"/>
        <v>6580</v>
      </c>
      <c r="T26" s="446">
        <f t="shared" si="2"/>
        <v>0</v>
      </c>
      <c r="U26" s="446">
        <f t="shared" si="3"/>
        <v>0</v>
      </c>
      <c r="V26" s="446" t="str">
        <f t="shared" si="4"/>
        <v>316689</v>
      </c>
      <c r="W26" s="511">
        <v>31</v>
      </c>
      <c r="X26" s="404" t="s">
        <v>1303</v>
      </c>
      <c r="Y26" s="404" t="s">
        <v>1300</v>
      </c>
      <c r="Z26" s="404">
        <f>8079.46-8079.46</f>
        <v>0</v>
      </c>
      <c r="AA26" s="404">
        <f>8079.46-8079.46</f>
        <v>0</v>
      </c>
      <c r="AB26" s="398">
        <f t="shared" si="41"/>
        <v>0</v>
      </c>
      <c r="AC26" s="511">
        <v>66</v>
      </c>
      <c r="AD26" s="404" t="s">
        <v>1303</v>
      </c>
      <c r="AE26" s="404" t="s">
        <v>1861</v>
      </c>
      <c r="AF26" s="404">
        <f>8079.46-8079.46</f>
        <v>0</v>
      </c>
      <c r="AG26" s="398">
        <f>8079.46-8079.46</f>
        <v>0</v>
      </c>
      <c r="AH26" s="398">
        <f>IF(AD26="APROBADO",AF26-AG26,0)</f>
        <v>0</v>
      </c>
      <c r="AI26" s="512">
        <v>89</v>
      </c>
      <c r="AJ26" s="404" t="s">
        <v>1303</v>
      </c>
      <c r="AK26" s="404" t="s">
        <v>1967</v>
      </c>
      <c r="AL26" s="404">
        <f>7079.46-7079.46</f>
        <v>0</v>
      </c>
      <c r="AM26" s="398">
        <f>7079.46-499.46</f>
        <v>6580</v>
      </c>
      <c r="AN26" s="398">
        <f t="shared" si="37"/>
        <v>0</v>
      </c>
      <c r="AO26" s="398"/>
      <c r="AP26" s="404"/>
      <c r="AQ26" s="404"/>
      <c r="AR26" s="404"/>
      <c r="AS26" s="398"/>
      <c r="AT26" s="398">
        <f t="shared" si="38"/>
        <v>0</v>
      </c>
      <c r="AU26" s="398"/>
      <c r="AV26" s="404"/>
      <c r="AW26" s="404"/>
      <c r="AX26" s="404"/>
      <c r="AY26" s="404"/>
      <c r="AZ26" s="398">
        <f t="shared" si="39"/>
        <v>0</v>
      </c>
      <c r="BA26" s="398"/>
      <c r="BB26" s="404"/>
      <c r="BC26" s="404"/>
      <c r="BD26" s="404"/>
      <c r="BE26" s="398"/>
      <c r="BF26" s="398">
        <f t="shared" si="40"/>
        <v>0</v>
      </c>
      <c r="BG26" s="398"/>
      <c r="BH26" s="404"/>
      <c r="BI26" s="404"/>
      <c r="BJ26" s="404"/>
      <c r="BK26" s="398"/>
      <c r="BL26" s="398">
        <f t="shared" si="10"/>
        <v>0</v>
      </c>
      <c r="BM26" s="398"/>
      <c r="BN26" s="404"/>
      <c r="BO26" s="404"/>
      <c r="BP26" s="404"/>
      <c r="BQ26" s="398"/>
      <c r="BR26" s="398">
        <f t="shared" si="11"/>
        <v>0</v>
      </c>
      <c r="BS26" s="398"/>
      <c r="BT26" s="404"/>
      <c r="BU26" s="404"/>
      <c r="BV26" s="404"/>
      <c r="BW26" s="398"/>
      <c r="BX26" s="398">
        <f t="shared" si="12"/>
        <v>0</v>
      </c>
      <c r="BY26" s="398"/>
      <c r="BZ26" s="404"/>
      <c r="CA26" s="404"/>
      <c r="CB26" s="404"/>
      <c r="CC26" s="398"/>
      <c r="CD26" s="398">
        <f t="shared" si="13"/>
        <v>0</v>
      </c>
      <c r="CE26" s="398"/>
      <c r="CF26" s="404"/>
      <c r="CG26" s="404"/>
      <c r="CH26" s="404"/>
      <c r="CI26" s="398"/>
      <c r="CJ26" s="398">
        <f t="shared" si="14"/>
        <v>0</v>
      </c>
      <c r="CK26" s="398"/>
      <c r="CL26" s="404"/>
      <c r="CM26" s="404"/>
      <c r="CN26" s="404"/>
      <c r="CO26" s="398"/>
      <c r="CP26" s="398">
        <f t="shared" si="15"/>
        <v>0</v>
      </c>
      <c r="CQ26" s="398"/>
      <c r="CR26" s="404"/>
      <c r="CS26" s="404"/>
      <c r="CT26" s="404"/>
      <c r="CU26" s="398"/>
      <c r="CV26" s="398">
        <f t="shared" si="16"/>
        <v>0</v>
      </c>
      <c r="CW26" s="398"/>
      <c r="CX26" s="404"/>
      <c r="CY26" s="404"/>
      <c r="CZ26" s="404"/>
      <c r="DA26" s="398"/>
      <c r="DB26" s="398">
        <f t="shared" si="17"/>
        <v>0</v>
      </c>
      <c r="DC26" s="398"/>
      <c r="DD26" s="404"/>
      <c r="DE26" s="404"/>
      <c r="DF26" s="404"/>
      <c r="DG26" s="398"/>
      <c r="DH26" s="398">
        <f t="shared" si="18"/>
        <v>0</v>
      </c>
      <c r="DI26" s="398"/>
      <c r="DJ26" s="404"/>
      <c r="DK26" s="404"/>
      <c r="DL26" s="404"/>
      <c r="DM26" s="398"/>
      <c r="DN26" s="398">
        <f t="shared" si="19"/>
        <v>0</v>
      </c>
      <c r="DO26" s="398"/>
      <c r="DP26" s="404"/>
      <c r="DQ26" s="404"/>
      <c r="DR26" s="404"/>
      <c r="DS26" s="398"/>
      <c r="DT26" s="398">
        <f t="shared" si="20"/>
        <v>0</v>
      </c>
      <c r="DU26" s="398"/>
      <c r="DV26" s="404"/>
      <c r="DW26" s="404"/>
      <c r="DX26" s="404"/>
      <c r="DY26" s="398"/>
      <c r="DZ26" s="398">
        <f t="shared" si="21"/>
        <v>0</v>
      </c>
      <c r="EA26" s="398"/>
      <c r="EB26" s="404"/>
      <c r="EC26" s="404"/>
      <c r="ED26" s="404"/>
      <c r="EE26" s="398"/>
      <c r="EF26" s="398">
        <f t="shared" si="22"/>
        <v>0</v>
      </c>
      <c r="EG26" s="398"/>
      <c r="EH26" s="404"/>
      <c r="EI26" s="404"/>
      <c r="EJ26" s="404"/>
      <c r="EK26" s="398"/>
      <c r="EL26" s="398">
        <f t="shared" si="23"/>
        <v>0</v>
      </c>
      <c r="EM26" s="398"/>
      <c r="EN26" s="404"/>
      <c r="EO26" s="404"/>
      <c r="EP26" s="404"/>
      <c r="EQ26" s="398"/>
      <c r="ER26" s="398">
        <f t="shared" si="24"/>
        <v>0</v>
      </c>
      <c r="ES26" s="398"/>
      <c r="ET26" s="404"/>
      <c r="EU26" s="404"/>
      <c r="EV26" s="404"/>
      <c r="EW26" s="398"/>
      <c r="EX26" s="398">
        <f t="shared" si="25"/>
        <v>0</v>
      </c>
      <c r="EY26" s="398" t="e">
        <f>VLOOKUP($A26,[2]Devengado!$A$1:$AI$3,35,FALSE)</f>
        <v>#N/A</v>
      </c>
    </row>
    <row r="27" spans="1:155" ht="23.25" hidden="1" customHeight="1">
      <c r="A27" s="341">
        <v>450</v>
      </c>
      <c r="B27" s="442" t="str">
        <f>VLOOKUP($A27,  'Matriz POA 2024-TRABAJO'!$A$5:$CY$9142,11,FALSE)</f>
        <v>Corporación Ciudad Alfaro</v>
      </c>
      <c r="C27" s="442" t="str">
        <f>VLOOKUP($A27, 'Matriz POA 2024-TRABAJO'!$A$5:$CY$9142,14,FALSE)</f>
        <v>N/A</v>
      </c>
      <c r="D27" s="442" t="str">
        <f>VLOOKUP($A27, 'Matriz POA 2024-TRABAJO'!$A$5:$CY$9142,15,FALSE)</f>
        <v>N/A</v>
      </c>
      <c r="E27" s="442" t="str">
        <f>VLOOKUP($A27, 'Matriz POA 2024-TRABAJO'!$A$5:$CY$9142,18,FALSE)</f>
        <v>N/A</v>
      </c>
      <c r="F27" s="442" t="str">
        <f>VLOOKUP($A27, 'Matriz POA 2024-TRABAJO'!$A$5:$CY$9142,23,FALSE)</f>
        <v>ARRASTRE</v>
      </c>
      <c r="G27" s="443" t="str">
        <f>VLOOKUP($A27, 'Matriz POA 2024-TRABAJO'!$A$5:$CY$9142,24,FALSE)</f>
        <v>Pago Mensual del Servicio de Agua Potable de los meses de Noviembre y Diciembre del 2023 del Museo Bahía de Caráquez</v>
      </c>
      <c r="H27" s="442" t="str">
        <f>VLOOKUP($A27, 'Matriz POA 2024-TRABAJO'!$A$5:$CY$9142,25,FALSE)</f>
        <v>0035</v>
      </c>
      <c r="I27" s="442" t="str">
        <f>VLOOKUP($A27, 'Matriz POA 2024-TRABAJO'!$A$5:$CY$9142,26,FALSE)</f>
        <v>80</v>
      </c>
      <c r="J27" s="442" t="str">
        <f>VLOOKUP($A27, 'Matriz POA 2024-TRABAJO'!$A$5:$CY$9142,27,FALSE)</f>
        <v>000</v>
      </c>
      <c r="K27" s="444" t="str">
        <f>VLOOKUP($A27, 'Matriz POA 2024-TRABAJO'!$A$5:$CY$9142,28,FALSE)</f>
        <v>002</v>
      </c>
      <c r="L27" s="444" t="str">
        <f>VLOOKUP($A27, 'Matriz POA 2024-TRABAJO'!$A$5:$CY$9142,29,FALSE)</f>
        <v>53</v>
      </c>
      <c r="M27" s="444">
        <f>VLOOKUP($A27, 'Matriz POA 2024-TRABAJO'!$A$5:$CY$9142,30,FALSE)</f>
        <v>530101</v>
      </c>
      <c r="N27" s="444" t="str">
        <f>VLOOKUP($A27, 'Matriz POA 2024-TRABAJO'!$A$5:$CY$9142,33,FALSE)</f>
        <v>001</v>
      </c>
      <c r="O27" s="444" t="str">
        <f>VLOOKUP($A27, 'Matriz POA 2024-TRABAJO'!$A$5:$CY$9142,34,FALSE)</f>
        <v>0000</v>
      </c>
      <c r="P27" s="444" t="str">
        <f>VLOOKUP($A27, 'Matriz POA 2024-TRABAJO'!$A$5:$CY$9142,35,FALSE)</f>
        <v>0000</v>
      </c>
      <c r="Q27" s="445">
        <f>VLOOKUP($A27, 'Matriz POA 2024-TRABAJO'!$A$5:$CY$9142,47,FALSE)</f>
        <v>80</v>
      </c>
      <c r="R27" s="446">
        <f t="shared" si="0"/>
        <v>80</v>
      </c>
      <c r="S27" s="446">
        <f t="shared" si="1"/>
        <v>80</v>
      </c>
      <c r="T27" s="446">
        <f t="shared" si="2"/>
        <v>0</v>
      </c>
      <c r="U27" s="446">
        <f t="shared" si="3"/>
        <v>0</v>
      </c>
      <c r="V27" s="446" t="str">
        <f t="shared" si="4"/>
        <v>32</v>
      </c>
      <c r="W27" s="511">
        <v>32</v>
      </c>
      <c r="X27" s="404" t="s">
        <v>1299</v>
      </c>
      <c r="Y27" s="404" t="s">
        <v>1300</v>
      </c>
      <c r="Z27" s="404">
        <v>80</v>
      </c>
      <c r="AA27" s="404">
        <v>80</v>
      </c>
      <c r="AB27" s="398">
        <f t="shared" si="41"/>
        <v>0</v>
      </c>
      <c r="AC27" s="405"/>
      <c r="AD27" s="404"/>
      <c r="AE27" s="404"/>
      <c r="AF27" s="404"/>
      <c r="AG27" s="398"/>
      <c r="AH27" s="398">
        <f t="shared" ref="AH27" si="43">IF(AD27="APROBADO",AF27-AG27,0)</f>
        <v>0</v>
      </c>
      <c r="AI27" s="405"/>
      <c r="AJ27" s="404"/>
      <c r="AK27" s="404"/>
      <c r="AL27" s="404"/>
      <c r="AM27" s="398"/>
      <c r="AN27" s="398">
        <f t="shared" si="37"/>
        <v>0</v>
      </c>
      <c r="AO27" s="398"/>
      <c r="AP27" s="404"/>
      <c r="AQ27" s="404"/>
      <c r="AR27" s="404"/>
      <c r="AS27" s="398"/>
      <c r="AT27" s="398">
        <f t="shared" si="38"/>
        <v>0</v>
      </c>
      <c r="AU27" s="398"/>
      <c r="AV27" s="404"/>
      <c r="AW27" s="404"/>
      <c r="AX27" s="404"/>
      <c r="AY27" s="404"/>
      <c r="AZ27" s="398">
        <f t="shared" si="39"/>
        <v>0</v>
      </c>
      <c r="BA27" s="398"/>
      <c r="BB27" s="404"/>
      <c r="BC27" s="404"/>
      <c r="BD27" s="404"/>
      <c r="BE27" s="398"/>
      <c r="BF27" s="398">
        <f t="shared" si="40"/>
        <v>0</v>
      </c>
      <c r="BG27" s="398"/>
      <c r="BH27" s="404"/>
      <c r="BI27" s="404"/>
      <c r="BJ27" s="404"/>
      <c r="BK27" s="398"/>
      <c r="BL27" s="398">
        <f t="shared" si="10"/>
        <v>0</v>
      </c>
      <c r="BM27" s="398"/>
      <c r="BN27" s="404"/>
      <c r="BO27" s="404"/>
      <c r="BP27" s="404"/>
      <c r="BQ27" s="398"/>
      <c r="BR27" s="398">
        <f t="shared" si="11"/>
        <v>0</v>
      </c>
      <c r="BS27" s="398"/>
      <c r="BT27" s="404"/>
      <c r="BU27" s="404"/>
      <c r="BV27" s="404"/>
      <c r="BW27" s="398"/>
      <c r="BX27" s="398">
        <f t="shared" si="12"/>
        <v>0</v>
      </c>
      <c r="BY27" s="398"/>
      <c r="BZ27" s="404"/>
      <c r="CA27" s="404"/>
      <c r="CB27" s="404"/>
      <c r="CC27" s="398"/>
      <c r="CD27" s="398">
        <f t="shared" si="13"/>
        <v>0</v>
      </c>
      <c r="CE27" s="398"/>
      <c r="CF27" s="404"/>
      <c r="CG27" s="404"/>
      <c r="CH27" s="404"/>
      <c r="CI27" s="398"/>
      <c r="CJ27" s="398">
        <f t="shared" si="14"/>
        <v>0</v>
      </c>
      <c r="CK27" s="398"/>
      <c r="CL27" s="404"/>
      <c r="CM27" s="404"/>
      <c r="CN27" s="404"/>
      <c r="CO27" s="398"/>
      <c r="CP27" s="398">
        <f t="shared" si="15"/>
        <v>0</v>
      </c>
      <c r="CQ27" s="398"/>
      <c r="CR27" s="404"/>
      <c r="CS27" s="404"/>
      <c r="CT27" s="404"/>
      <c r="CU27" s="398"/>
      <c r="CV27" s="398">
        <f t="shared" si="16"/>
        <v>0</v>
      </c>
      <c r="CW27" s="398"/>
      <c r="CX27" s="404"/>
      <c r="CY27" s="404"/>
      <c r="CZ27" s="404"/>
      <c r="DA27" s="398"/>
      <c r="DB27" s="398">
        <f t="shared" si="17"/>
        <v>0</v>
      </c>
      <c r="DC27" s="398"/>
      <c r="DD27" s="404"/>
      <c r="DE27" s="404"/>
      <c r="DF27" s="404"/>
      <c r="DG27" s="398"/>
      <c r="DH27" s="398">
        <f t="shared" si="18"/>
        <v>0</v>
      </c>
      <c r="DI27" s="398"/>
      <c r="DJ27" s="404"/>
      <c r="DK27" s="404"/>
      <c r="DL27" s="404"/>
      <c r="DM27" s="398"/>
      <c r="DN27" s="398">
        <f t="shared" si="19"/>
        <v>0</v>
      </c>
      <c r="DO27" s="398"/>
      <c r="DP27" s="404"/>
      <c r="DQ27" s="404"/>
      <c r="DR27" s="404"/>
      <c r="DS27" s="398"/>
      <c r="DT27" s="398">
        <f t="shared" si="20"/>
        <v>0</v>
      </c>
      <c r="DU27" s="398"/>
      <c r="DV27" s="404"/>
      <c r="DW27" s="404"/>
      <c r="DX27" s="404"/>
      <c r="DY27" s="398"/>
      <c r="DZ27" s="398">
        <f t="shared" si="21"/>
        <v>0</v>
      </c>
      <c r="EA27" s="398"/>
      <c r="EB27" s="404"/>
      <c r="EC27" s="404"/>
      <c r="ED27" s="404"/>
      <c r="EE27" s="398"/>
      <c r="EF27" s="398">
        <f t="shared" si="22"/>
        <v>0</v>
      </c>
      <c r="EG27" s="398"/>
      <c r="EH27" s="404"/>
      <c r="EI27" s="404"/>
      <c r="EJ27" s="404"/>
      <c r="EK27" s="398"/>
      <c r="EL27" s="398">
        <f t="shared" si="23"/>
        <v>0</v>
      </c>
      <c r="EM27" s="398"/>
      <c r="EN27" s="404"/>
      <c r="EO27" s="404"/>
      <c r="EP27" s="404"/>
      <c r="EQ27" s="398"/>
      <c r="ER27" s="398">
        <f t="shared" si="24"/>
        <v>0</v>
      </c>
      <c r="ES27" s="398"/>
      <c r="ET27" s="404"/>
      <c r="EU27" s="404"/>
      <c r="EV27" s="404"/>
      <c r="EW27" s="398"/>
      <c r="EX27" s="398">
        <f t="shared" si="25"/>
        <v>0</v>
      </c>
      <c r="EY27" s="398">
        <f>VLOOKUP($A27,[2]Devengado!$A$1:$AI$3,35,FALSE)</f>
        <v>2.75</v>
      </c>
    </row>
    <row r="28" spans="1:155" ht="23.25" hidden="1" customHeight="1">
      <c r="A28" s="341">
        <v>459</v>
      </c>
      <c r="B28" s="442" t="str">
        <f>VLOOKUP($A28,  'Matriz POA 2024-TRABAJO'!$A$5:$CY$9142,11,FALSE)</f>
        <v>Corporación Ciudad Alfaro</v>
      </c>
      <c r="C28" s="442" t="str">
        <f>VLOOKUP($A28, 'Matriz POA 2024-TRABAJO'!$A$5:$CY$9142,14,FALSE)</f>
        <v>N/A</v>
      </c>
      <c r="D28" s="442" t="str">
        <f>VLOOKUP($A28, 'Matriz POA 2024-TRABAJO'!$A$5:$CY$9142,15,FALSE)</f>
        <v>N/A</v>
      </c>
      <c r="E28" s="442" t="str">
        <f>VLOOKUP($A28, 'Matriz POA 2024-TRABAJO'!$A$5:$CY$9142,18,FALSE)</f>
        <v>N/A</v>
      </c>
      <c r="F28" s="442" t="str">
        <f>VLOOKUP($A28, 'Matriz POA 2024-TRABAJO'!$A$5:$CY$9142,23,FALSE)</f>
        <v>NUEVA</v>
      </c>
      <c r="G28" s="443" t="str">
        <f>VLOOKUP($A28, 'Matriz POA 2024-TRABAJO'!$A$5:$CY$9142,24,FALSE)</f>
        <v>Contratación del servicio de rastreo satelital para los vehículos de la Corporación Ciudad Alfaro</v>
      </c>
      <c r="H28" s="442" t="str">
        <f>VLOOKUP($A28, 'Matriz POA 2024-TRABAJO'!$A$5:$CY$9142,25,FALSE)</f>
        <v>0035</v>
      </c>
      <c r="I28" s="442" t="str">
        <f>VLOOKUP($A28, 'Matriz POA 2024-TRABAJO'!$A$5:$CY$9142,26,FALSE)</f>
        <v>80</v>
      </c>
      <c r="J28" s="442" t="str">
        <f>VLOOKUP($A28, 'Matriz POA 2024-TRABAJO'!$A$5:$CY$9142,27,FALSE)</f>
        <v>000</v>
      </c>
      <c r="K28" s="444" t="str">
        <f>VLOOKUP($A28, 'Matriz POA 2024-TRABAJO'!$A$5:$CY$9142,28,FALSE)</f>
        <v>002</v>
      </c>
      <c r="L28" s="444" t="str">
        <f>VLOOKUP($A28, 'Matriz POA 2024-TRABAJO'!$A$5:$CY$9142,29,FALSE)</f>
        <v>53</v>
      </c>
      <c r="M28" s="444">
        <f>VLOOKUP($A28, 'Matriz POA 2024-TRABAJO'!$A$5:$CY$9142,30,FALSE)</f>
        <v>530105</v>
      </c>
      <c r="N28" s="444" t="str">
        <f>VLOOKUP($A28, 'Matriz POA 2024-TRABAJO'!$A$5:$CY$9142,33,FALSE)</f>
        <v>001</v>
      </c>
      <c r="O28" s="444" t="str">
        <f>VLOOKUP($A28, 'Matriz POA 2024-TRABAJO'!$A$5:$CY$9142,34,FALSE)</f>
        <v>0000</v>
      </c>
      <c r="P28" s="444" t="str">
        <f>VLOOKUP($A28, 'Matriz POA 2024-TRABAJO'!$A$5:$CY$9142,35,FALSE)</f>
        <v>0000</v>
      </c>
      <c r="Q28" s="445">
        <f>VLOOKUP($A28, 'Matriz POA 2024-TRABAJO'!$A$5:$CY$9142,47,FALSE)</f>
        <v>720</v>
      </c>
      <c r="R28" s="446">
        <f t="shared" si="0"/>
        <v>0</v>
      </c>
      <c r="S28" s="446">
        <f t="shared" si="1"/>
        <v>720</v>
      </c>
      <c r="T28" s="446">
        <f t="shared" si="2"/>
        <v>0</v>
      </c>
      <c r="U28" s="446">
        <f t="shared" si="3"/>
        <v>0</v>
      </c>
      <c r="V28" s="446" t="str">
        <f t="shared" si="4"/>
        <v>33</v>
      </c>
      <c r="W28" s="511">
        <v>33</v>
      </c>
      <c r="X28" s="404" t="s">
        <v>1303</v>
      </c>
      <c r="Y28" s="404" t="s">
        <v>1300</v>
      </c>
      <c r="Z28" s="404">
        <f>1200-1200</f>
        <v>0</v>
      </c>
      <c r="AA28" s="404">
        <f>1200-480</f>
        <v>720</v>
      </c>
      <c r="AB28" s="398">
        <f t="shared" si="41"/>
        <v>0</v>
      </c>
      <c r="AC28" s="403"/>
      <c r="AD28" s="404"/>
      <c r="AE28" s="404"/>
      <c r="AF28" s="404"/>
      <c r="AG28" s="398"/>
      <c r="AH28" s="398">
        <f>IF(AD28="APROBADO",AF28-AG28,0)</f>
        <v>0</v>
      </c>
      <c r="AI28" s="405"/>
      <c r="AJ28" s="404"/>
      <c r="AK28" s="404"/>
      <c r="AL28" s="404"/>
      <c r="AM28" s="398"/>
      <c r="AN28" s="398">
        <f t="shared" si="37"/>
        <v>0</v>
      </c>
      <c r="AO28" s="398"/>
      <c r="AP28" s="404"/>
      <c r="AQ28" s="404"/>
      <c r="AR28" s="404"/>
      <c r="AS28" s="398"/>
      <c r="AT28" s="398">
        <f t="shared" si="38"/>
        <v>0</v>
      </c>
      <c r="AU28" s="398"/>
      <c r="AV28" s="404"/>
      <c r="AW28" s="404"/>
      <c r="AX28" s="404"/>
      <c r="AY28" s="404"/>
      <c r="AZ28" s="398">
        <f t="shared" si="39"/>
        <v>0</v>
      </c>
      <c r="BA28" s="398"/>
      <c r="BB28" s="404"/>
      <c r="BC28" s="404"/>
      <c r="BD28" s="404"/>
      <c r="BE28" s="398"/>
      <c r="BF28" s="398">
        <f t="shared" si="40"/>
        <v>0</v>
      </c>
      <c r="BG28" s="398"/>
      <c r="BH28" s="404"/>
      <c r="BI28" s="404"/>
      <c r="BJ28" s="404"/>
      <c r="BK28" s="398"/>
      <c r="BL28" s="398">
        <f t="shared" si="10"/>
        <v>0</v>
      </c>
      <c r="BM28" s="398"/>
      <c r="BN28" s="404"/>
      <c r="BO28" s="404"/>
      <c r="BP28" s="404"/>
      <c r="BQ28" s="398"/>
      <c r="BR28" s="398">
        <f t="shared" si="11"/>
        <v>0</v>
      </c>
      <c r="BS28" s="398"/>
      <c r="BT28" s="404"/>
      <c r="BU28" s="404"/>
      <c r="BV28" s="404"/>
      <c r="BW28" s="398"/>
      <c r="BX28" s="398">
        <f t="shared" si="12"/>
        <v>0</v>
      </c>
      <c r="BY28" s="398"/>
      <c r="BZ28" s="404"/>
      <c r="CA28" s="404"/>
      <c r="CB28" s="404"/>
      <c r="CC28" s="398"/>
      <c r="CD28" s="398">
        <f t="shared" si="13"/>
        <v>0</v>
      </c>
      <c r="CE28" s="398"/>
      <c r="CF28" s="404"/>
      <c r="CG28" s="404"/>
      <c r="CH28" s="404"/>
      <c r="CI28" s="398"/>
      <c r="CJ28" s="398">
        <f t="shared" si="14"/>
        <v>0</v>
      </c>
      <c r="CK28" s="398"/>
      <c r="CL28" s="404"/>
      <c r="CM28" s="404"/>
      <c r="CN28" s="404"/>
      <c r="CO28" s="398"/>
      <c r="CP28" s="398">
        <f t="shared" si="15"/>
        <v>0</v>
      </c>
      <c r="CQ28" s="398"/>
      <c r="CR28" s="404"/>
      <c r="CS28" s="404"/>
      <c r="CT28" s="404"/>
      <c r="CU28" s="398"/>
      <c r="CV28" s="398">
        <f t="shared" si="16"/>
        <v>0</v>
      </c>
      <c r="CW28" s="398"/>
      <c r="CX28" s="404"/>
      <c r="CY28" s="404"/>
      <c r="CZ28" s="404"/>
      <c r="DA28" s="398"/>
      <c r="DB28" s="398">
        <f t="shared" si="17"/>
        <v>0</v>
      </c>
      <c r="DC28" s="398"/>
      <c r="DD28" s="404"/>
      <c r="DE28" s="404"/>
      <c r="DF28" s="404"/>
      <c r="DG28" s="398"/>
      <c r="DH28" s="398">
        <f t="shared" si="18"/>
        <v>0</v>
      </c>
      <c r="DI28" s="398"/>
      <c r="DJ28" s="404"/>
      <c r="DK28" s="404"/>
      <c r="DL28" s="404"/>
      <c r="DM28" s="398"/>
      <c r="DN28" s="398">
        <f t="shared" si="19"/>
        <v>0</v>
      </c>
      <c r="DO28" s="398"/>
      <c r="DP28" s="404"/>
      <c r="DQ28" s="404"/>
      <c r="DR28" s="404"/>
      <c r="DS28" s="398"/>
      <c r="DT28" s="398">
        <f t="shared" si="20"/>
        <v>0</v>
      </c>
      <c r="DU28" s="398"/>
      <c r="DV28" s="404"/>
      <c r="DW28" s="404"/>
      <c r="DX28" s="404"/>
      <c r="DY28" s="398"/>
      <c r="DZ28" s="398">
        <f t="shared" si="21"/>
        <v>0</v>
      </c>
      <c r="EA28" s="398"/>
      <c r="EB28" s="404"/>
      <c r="EC28" s="404"/>
      <c r="ED28" s="404"/>
      <c r="EE28" s="398"/>
      <c r="EF28" s="398">
        <f t="shared" si="22"/>
        <v>0</v>
      </c>
      <c r="EG28" s="398"/>
      <c r="EH28" s="404"/>
      <c r="EI28" s="404"/>
      <c r="EJ28" s="404"/>
      <c r="EK28" s="398"/>
      <c r="EL28" s="398">
        <f t="shared" si="23"/>
        <v>0</v>
      </c>
      <c r="EM28" s="398"/>
      <c r="EN28" s="404"/>
      <c r="EO28" s="404"/>
      <c r="EP28" s="404"/>
      <c r="EQ28" s="398"/>
      <c r="ER28" s="398">
        <f t="shared" si="24"/>
        <v>0</v>
      </c>
      <c r="ES28" s="398"/>
      <c r="ET28" s="404"/>
      <c r="EU28" s="404"/>
      <c r="EV28" s="404"/>
      <c r="EW28" s="398"/>
      <c r="EX28" s="398">
        <f t="shared" si="25"/>
        <v>0</v>
      </c>
      <c r="EY28" s="398" t="e">
        <f>VLOOKUP($A28,[2]Devengado!$A$1:$AI$3,35,FALSE)</f>
        <v>#N/A</v>
      </c>
    </row>
    <row r="29" spans="1:155" ht="23.25" hidden="1" customHeight="1">
      <c r="A29" s="341">
        <v>471</v>
      </c>
      <c r="B29" s="442" t="str">
        <f>VLOOKUP($A29,  'Matriz POA 2024-TRABAJO'!$A$5:$CY$9142,11,FALSE)</f>
        <v>Corporación Ciudad Alfaro</v>
      </c>
      <c r="C29" s="442" t="str">
        <f>VLOOKUP($A29, 'Matriz POA 2024-TRABAJO'!$A$5:$CY$9142,14,FALSE)</f>
        <v>N/A</v>
      </c>
      <c r="D29" s="442" t="str">
        <f>VLOOKUP($A29, 'Matriz POA 2024-TRABAJO'!$A$5:$CY$9142,15,FALSE)</f>
        <v>N/A</v>
      </c>
      <c r="E29" s="442" t="str">
        <f>VLOOKUP($A29, 'Matriz POA 2024-TRABAJO'!$A$5:$CY$9142,18,FALSE)</f>
        <v>N/A</v>
      </c>
      <c r="F29" s="442" t="str">
        <f>VLOOKUP($A29, 'Matriz POA 2024-TRABAJO'!$A$5:$CY$9142,23,FALSE)</f>
        <v>NUEVA</v>
      </c>
      <c r="G29" s="443" t="str">
        <f>VLOOKUP($A29, 'Matriz POA 2024-TRABAJO'!$A$5:$CY$9142,24,FALSE)</f>
        <v>Instalación del sistema contra incendios para el Museo Bahía de Caráquez</v>
      </c>
      <c r="H29" s="442" t="str">
        <f>VLOOKUP($A29, 'Matriz POA 2024-TRABAJO'!$A$5:$CY$9142,25,FALSE)</f>
        <v>0035</v>
      </c>
      <c r="I29" s="442" t="str">
        <f>VLOOKUP($A29, 'Matriz POA 2024-TRABAJO'!$A$5:$CY$9142,26,FALSE)</f>
        <v>80</v>
      </c>
      <c r="J29" s="442" t="str">
        <f>VLOOKUP($A29, 'Matriz POA 2024-TRABAJO'!$A$5:$CY$9142,27,FALSE)</f>
        <v>000</v>
      </c>
      <c r="K29" s="444" t="str">
        <f>VLOOKUP($A29, 'Matriz POA 2024-TRABAJO'!$A$5:$CY$9142,28,FALSE)</f>
        <v>002</v>
      </c>
      <c r="L29" s="444" t="str">
        <f>VLOOKUP($A29, 'Matriz POA 2024-TRABAJO'!$A$5:$CY$9142,29,FALSE)</f>
        <v>53</v>
      </c>
      <c r="M29" s="444">
        <f>VLOOKUP($A29, 'Matriz POA 2024-TRABAJO'!$A$5:$CY$9142,30,FALSE)</f>
        <v>530402</v>
      </c>
      <c r="N29" s="444" t="str">
        <f>VLOOKUP($A29, 'Matriz POA 2024-TRABAJO'!$A$5:$CY$9142,33,FALSE)</f>
        <v>001</v>
      </c>
      <c r="O29" s="444" t="str">
        <f>VLOOKUP($A29, 'Matriz POA 2024-TRABAJO'!$A$5:$CY$9142,34,FALSE)</f>
        <v>0000</v>
      </c>
      <c r="P29" s="444" t="str">
        <f>VLOOKUP($A29, 'Matriz POA 2024-TRABAJO'!$A$5:$CY$9142,35,FALSE)</f>
        <v>0000</v>
      </c>
      <c r="Q29" s="445">
        <f>VLOOKUP($A29, 'Matriz POA 2024-TRABAJO'!$A$5:$CY$9142,47,FALSE)</f>
        <v>0</v>
      </c>
      <c r="R29" s="446">
        <f t="shared" si="0"/>
        <v>0</v>
      </c>
      <c r="S29" s="446">
        <f t="shared" si="1"/>
        <v>0</v>
      </c>
      <c r="T29" s="446">
        <f t="shared" si="2"/>
        <v>0</v>
      </c>
      <c r="U29" s="446">
        <f t="shared" si="3"/>
        <v>0</v>
      </c>
      <c r="V29" s="446" t="str">
        <f t="shared" si="4"/>
        <v>34</v>
      </c>
      <c r="W29" s="511">
        <v>34</v>
      </c>
      <c r="X29" s="404" t="s">
        <v>1303</v>
      </c>
      <c r="Y29" s="404" t="s">
        <v>1300</v>
      </c>
      <c r="Z29" s="404">
        <f>3600-3600</f>
        <v>0</v>
      </c>
      <c r="AA29" s="404">
        <f>3600-3600</f>
        <v>0</v>
      </c>
      <c r="AB29" s="398">
        <f t="shared" si="41"/>
        <v>0</v>
      </c>
      <c r="AC29" s="405"/>
      <c r="AD29" s="404"/>
      <c r="AE29" s="404"/>
      <c r="AF29" s="404"/>
      <c r="AG29" s="398"/>
      <c r="AH29" s="398">
        <f t="shared" ref="AH29" si="44">IF(AD29="APROBADO",AF29-AG29,0)</f>
        <v>0</v>
      </c>
      <c r="AI29" s="405"/>
      <c r="AJ29" s="404"/>
      <c r="AK29" s="404"/>
      <c r="AL29" s="404"/>
      <c r="AM29" s="398"/>
      <c r="AN29" s="398">
        <f t="shared" si="37"/>
        <v>0</v>
      </c>
      <c r="AO29" s="398"/>
      <c r="AP29" s="404"/>
      <c r="AQ29" s="404"/>
      <c r="AR29" s="404"/>
      <c r="AS29" s="398"/>
      <c r="AT29" s="398">
        <f t="shared" si="38"/>
        <v>0</v>
      </c>
      <c r="AU29" s="398"/>
      <c r="AV29" s="404"/>
      <c r="AW29" s="404"/>
      <c r="AX29" s="404"/>
      <c r="AY29" s="404"/>
      <c r="AZ29" s="398">
        <f t="shared" si="39"/>
        <v>0</v>
      </c>
      <c r="BA29" s="398"/>
      <c r="BB29" s="404"/>
      <c r="BC29" s="404"/>
      <c r="BD29" s="404"/>
      <c r="BE29" s="398"/>
      <c r="BF29" s="398">
        <f t="shared" si="40"/>
        <v>0</v>
      </c>
      <c r="BG29" s="398"/>
      <c r="BH29" s="404"/>
      <c r="BI29" s="404"/>
      <c r="BJ29" s="404"/>
      <c r="BK29" s="398"/>
      <c r="BL29" s="398">
        <f t="shared" si="10"/>
        <v>0</v>
      </c>
      <c r="BM29" s="398"/>
      <c r="BN29" s="404"/>
      <c r="BO29" s="404"/>
      <c r="BP29" s="404"/>
      <c r="BQ29" s="398"/>
      <c r="BR29" s="398">
        <f t="shared" si="11"/>
        <v>0</v>
      </c>
      <c r="BS29" s="398"/>
      <c r="BT29" s="404"/>
      <c r="BU29" s="404"/>
      <c r="BV29" s="404"/>
      <c r="BW29" s="398"/>
      <c r="BX29" s="398">
        <f t="shared" si="12"/>
        <v>0</v>
      </c>
      <c r="BY29" s="398"/>
      <c r="BZ29" s="404"/>
      <c r="CA29" s="404"/>
      <c r="CB29" s="404"/>
      <c r="CC29" s="398"/>
      <c r="CD29" s="398">
        <f t="shared" si="13"/>
        <v>0</v>
      </c>
      <c r="CE29" s="398"/>
      <c r="CF29" s="404"/>
      <c r="CG29" s="404"/>
      <c r="CH29" s="404"/>
      <c r="CI29" s="398"/>
      <c r="CJ29" s="398">
        <f t="shared" si="14"/>
        <v>0</v>
      </c>
      <c r="CK29" s="398"/>
      <c r="CL29" s="404"/>
      <c r="CM29" s="404"/>
      <c r="CN29" s="404"/>
      <c r="CO29" s="398"/>
      <c r="CP29" s="398">
        <f t="shared" si="15"/>
        <v>0</v>
      </c>
      <c r="CQ29" s="398"/>
      <c r="CR29" s="404"/>
      <c r="CS29" s="404"/>
      <c r="CT29" s="404"/>
      <c r="CU29" s="398"/>
      <c r="CV29" s="398">
        <f t="shared" si="16"/>
        <v>0</v>
      </c>
      <c r="CW29" s="398"/>
      <c r="CX29" s="404"/>
      <c r="CY29" s="404"/>
      <c r="CZ29" s="404"/>
      <c r="DA29" s="398"/>
      <c r="DB29" s="398">
        <f t="shared" si="17"/>
        <v>0</v>
      </c>
      <c r="DC29" s="398"/>
      <c r="DD29" s="404"/>
      <c r="DE29" s="404"/>
      <c r="DF29" s="404"/>
      <c r="DG29" s="398"/>
      <c r="DH29" s="398">
        <f t="shared" si="18"/>
        <v>0</v>
      </c>
      <c r="DI29" s="398"/>
      <c r="DJ29" s="404"/>
      <c r="DK29" s="404"/>
      <c r="DL29" s="404"/>
      <c r="DM29" s="398"/>
      <c r="DN29" s="398">
        <f t="shared" si="19"/>
        <v>0</v>
      </c>
      <c r="DO29" s="398"/>
      <c r="DP29" s="404"/>
      <c r="DQ29" s="404"/>
      <c r="DR29" s="404"/>
      <c r="DS29" s="398"/>
      <c r="DT29" s="398">
        <f t="shared" si="20"/>
        <v>0</v>
      </c>
      <c r="DU29" s="398"/>
      <c r="DV29" s="404"/>
      <c r="DW29" s="404"/>
      <c r="DX29" s="404"/>
      <c r="DY29" s="398"/>
      <c r="DZ29" s="398">
        <f t="shared" si="21"/>
        <v>0</v>
      </c>
      <c r="EA29" s="398"/>
      <c r="EB29" s="404"/>
      <c r="EC29" s="404"/>
      <c r="ED29" s="404"/>
      <c r="EE29" s="398"/>
      <c r="EF29" s="398">
        <f t="shared" si="22"/>
        <v>0</v>
      </c>
      <c r="EG29" s="398"/>
      <c r="EH29" s="404"/>
      <c r="EI29" s="404"/>
      <c r="EJ29" s="404"/>
      <c r="EK29" s="398"/>
      <c r="EL29" s="398">
        <f t="shared" si="23"/>
        <v>0</v>
      </c>
      <c r="EM29" s="398"/>
      <c r="EN29" s="404"/>
      <c r="EO29" s="404"/>
      <c r="EP29" s="404"/>
      <c r="EQ29" s="398"/>
      <c r="ER29" s="398">
        <f t="shared" si="24"/>
        <v>0</v>
      </c>
      <c r="ES29" s="398"/>
      <c r="ET29" s="404"/>
      <c r="EU29" s="404"/>
      <c r="EV29" s="404"/>
      <c r="EW29" s="398"/>
      <c r="EX29" s="398">
        <f t="shared" si="25"/>
        <v>0</v>
      </c>
      <c r="EY29" s="398" t="e">
        <f>VLOOKUP($A29,[2]Devengado!$A$1:$AI$3,35,FALSE)</f>
        <v>#N/A</v>
      </c>
    </row>
    <row r="30" spans="1:155" ht="23.25" hidden="1" customHeight="1">
      <c r="A30" s="341">
        <v>473</v>
      </c>
      <c r="B30" s="442" t="str">
        <f>VLOOKUP($A30,  'Matriz POA 2024-TRABAJO'!$A$5:$CY$9142,11,FALSE)</f>
        <v>Corporación Ciudad Alfaro</v>
      </c>
      <c r="C30" s="442" t="str">
        <f>VLOOKUP($A30, 'Matriz POA 2024-TRABAJO'!$A$5:$CY$9142,14,FALSE)</f>
        <v>N/A</v>
      </c>
      <c r="D30" s="442" t="str">
        <f>VLOOKUP($A30, 'Matriz POA 2024-TRABAJO'!$A$5:$CY$9142,15,FALSE)</f>
        <v>N/A</v>
      </c>
      <c r="E30" s="442" t="str">
        <f>VLOOKUP($A30, 'Matriz POA 2024-TRABAJO'!$A$5:$CY$9142,18,FALSE)</f>
        <v>N/A</v>
      </c>
      <c r="F30" s="442" t="str">
        <f>VLOOKUP($A30, 'Matriz POA 2024-TRABAJO'!$A$5:$CY$9142,23,FALSE)</f>
        <v>NUEVA</v>
      </c>
      <c r="G30" s="443" t="str">
        <f>VLOOKUP($A30, 'Matriz POA 2024-TRABAJO'!$A$5:$CY$9142,24,FALSE)</f>
        <v>Recarga de extintores contra incendios de la Corporación Ciudad Alfaro y sus Sedes</v>
      </c>
      <c r="H30" s="442" t="str">
        <f>VLOOKUP($A30, 'Matriz POA 2024-TRABAJO'!$A$5:$CY$9142,25,FALSE)</f>
        <v>0035</v>
      </c>
      <c r="I30" s="442" t="str">
        <f>VLOOKUP($A30, 'Matriz POA 2024-TRABAJO'!$A$5:$CY$9142,26,FALSE)</f>
        <v>80</v>
      </c>
      <c r="J30" s="442" t="str">
        <f>VLOOKUP($A30, 'Matriz POA 2024-TRABAJO'!$A$5:$CY$9142,27,FALSE)</f>
        <v>000</v>
      </c>
      <c r="K30" s="444" t="str">
        <f>VLOOKUP($A30, 'Matriz POA 2024-TRABAJO'!$A$5:$CY$9142,28,FALSE)</f>
        <v>002</v>
      </c>
      <c r="L30" s="444" t="str">
        <f>VLOOKUP($A30, 'Matriz POA 2024-TRABAJO'!$A$5:$CY$9142,29,FALSE)</f>
        <v>53</v>
      </c>
      <c r="M30" s="444">
        <f>VLOOKUP($A30, 'Matriz POA 2024-TRABAJO'!$A$5:$CY$9142,30,FALSE)</f>
        <v>530203</v>
      </c>
      <c r="N30" s="444" t="str">
        <f>VLOOKUP($A30, 'Matriz POA 2024-TRABAJO'!$A$5:$CY$9142,33,FALSE)</f>
        <v>001</v>
      </c>
      <c r="O30" s="444" t="str">
        <f>VLOOKUP($A30, 'Matriz POA 2024-TRABAJO'!$A$5:$CY$9142,34,FALSE)</f>
        <v>0000</v>
      </c>
      <c r="P30" s="444" t="str">
        <f>VLOOKUP($A30, 'Matriz POA 2024-TRABAJO'!$A$5:$CY$9142,35,FALSE)</f>
        <v>0000</v>
      </c>
      <c r="Q30" s="445">
        <f>VLOOKUP($A30, 'Matriz POA 2024-TRABAJO'!$A$5:$CY$9142,47,FALSE)</f>
        <v>1600</v>
      </c>
      <c r="R30" s="446">
        <f t="shared" si="0"/>
        <v>1600</v>
      </c>
      <c r="S30" s="446">
        <f t="shared" si="1"/>
        <v>1549</v>
      </c>
      <c r="T30" s="446">
        <f t="shared" si="2"/>
        <v>51</v>
      </c>
      <c r="U30" s="446">
        <f t="shared" si="3"/>
        <v>0</v>
      </c>
      <c r="V30" s="446" t="str">
        <f t="shared" si="4"/>
        <v>35115</v>
      </c>
      <c r="W30" s="511">
        <v>35</v>
      </c>
      <c r="X30" s="404" t="s">
        <v>1303</v>
      </c>
      <c r="Y30" s="404" t="s">
        <v>1300</v>
      </c>
      <c r="Z30" s="404">
        <f>1500-1500</f>
        <v>0</v>
      </c>
      <c r="AA30" s="404">
        <f>1500-1500</f>
        <v>0</v>
      </c>
      <c r="AB30" s="398">
        <f t="shared" si="41"/>
        <v>0</v>
      </c>
      <c r="AC30" s="511">
        <v>115</v>
      </c>
      <c r="AD30" s="404" t="s">
        <v>1299</v>
      </c>
      <c r="AE30" s="404" t="s">
        <v>2030</v>
      </c>
      <c r="AF30" s="404">
        <v>1600</v>
      </c>
      <c r="AG30" s="398">
        <v>1549</v>
      </c>
      <c r="AH30" s="398">
        <f>IF(AD30="APROBADO",AF30-AG30,0)</f>
        <v>51</v>
      </c>
      <c r="AI30" s="405"/>
      <c r="AJ30" s="404"/>
      <c r="AK30" s="404"/>
      <c r="AL30" s="404"/>
      <c r="AM30" s="398"/>
      <c r="AN30" s="398">
        <f t="shared" si="37"/>
        <v>0</v>
      </c>
      <c r="AO30" s="398"/>
      <c r="AP30" s="404"/>
      <c r="AQ30" s="404"/>
      <c r="AR30" s="404"/>
      <c r="AS30" s="398"/>
      <c r="AT30" s="398">
        <f t="shared" si="38"/>
        <v>0</v>
      </c>
      <c r="AU30" s="398"/>
      <c r="AV30" s="404"/>
      <c r="AW30" s="404"/>
      <c r="AX30" s="404"/>
      <c r="AY30" s="404"/>
      <c r="AZ30" s="398">
        <f t="shared" si="39"/>
        <v>0</v>
      </c>
      <c r="BA30" s="398"/>
      <c r="BB30" s="404"/>
      <c r="BC30" s="404"/>
      <c r="BD30" s="404"/>
      <c r="BE30" s="398"/>
      <c r="BF30" s="398">
        <f t="shared" si="40"/>
        <v>0</v>
      </c>
      <c r="BG30" s="398"/>
      <c r="BH30" s="404"/>
      <c r="BI30" s="404"/>
      <c r="BJ30" s="404"/>
      <c r="BK30" s="398"/>
      <c r="BL30" s="398">
        <f t="shared" si="10"/>
        <v>0</v>
      </c>
      <c r="BM30" s="398"/>
      <c r="BN30" s="404"/>
      <c r="BO30" s="404"/>
      <c r="BP30" s="404"/>
      <c r="BQ30" s="398"/>
      <c r="BR30" s="398">
        <f t="shared" si="11"/>
        <v>0</v>
      </c>
      <c r="BS30" s="398"/>
      <c r="BT30" s="404"/>
      <c r="BU30" s="404"/>
      <c r="BV30" s="404"/>
      <c r="BW30" s="398"/>
      <c r="BX30" s="398">
        <f t="shared" si="12"/>
        <v>0</v>
      </c>
      <c r="BY30" s="398"/>
      <c r="BZ30" s="404"/>
      <c r="CA30" s="404"/>
      <c r="CB30" s="404"/>
      <c r="CC30" s="398"/>
      <c r="CD30" s="398">
        <f t="shared" si="13"/>
        <v>0</v>
      </c>
      <c r="CE30" s="398"/>
      <c r="CF30" s="404"/>
      <c r="CG30" s="404"/>
      <c r="CH30" s="404"/>
      <c r="CI30" s="398"/>
      <c r="CJ30" s="398">
        <f t="shared" si="14"/>
        <v>0</v>
      </c>
      <c r="CK30" s="398"/>
      <c r="CL30" s="404"/>
      <c r="CM30" s="404"/>
      <c r="CN30" s="404"/>
      <c r="CO30" s="398"/>
      <c r="CP30" s="398">
        <f t="shared" si="15"/>
        <v>0</v>
      </c>
      <c r="CQ30" s="398"/>
      <c r="CR30" s="404"/>
      <c r="CS30" s="404"/>
      <c r="CT30" s="404"/>
      <c r="CU30" s="398"/>
      <c r="CV30" s="398">
        <f t="shared" si="16"/>
        <v>0</v>
      </c>
      <c r="CW30" s="398"/>
      <c r="CX30" s="404"/>
      <c r="CY30" s="404"/>
      <c r="CZ30" s="404"/>
      <c r="DA30" s="398"/>
      <c r="DB30" s="398">
        <f t="shared" si="17"/>
        <v>0</v>
      </c>
      <c r="DC30" s="398"/>
      <c r="DD30" s="404"/>
      <c r="DE30" s="404"/>
      <c r="DF30" s="404"/>
      <c r="DG30" s="398"/>
      <c r="DH30" s="398">
        <f t="shared" si="18"/>
        <v>0</v>
      </c>
      <c r="DI30" s="398"/>
      <c r="DJ30" s="404"/>
      <c r="DK30" s="404"/>
      <c r="DL30" s="404"/>
      <c r="DM30" s="398"/>
      <c r="DN30" s="398">
        <f t="shared" si="19"/>
        <v>0</v>
      </c>
      <c r="DO30" s="398"/>
      <c r="DP30" s="404"/>
      <c r="DQ30" s="404"/>
      <c r="DR30" s="404"/>
      <c r="DS30" s="398"/>
      <c r="DT30" s="398">
        <f t="shared" si="20"/>
        <v>0</v>
      </c>
      <c r="DU30" s="398"/>
      <c r="DV30" s="404"/>
      <c r="DW30" s="404"/>
      <c r="DX30" s="404"/>
      <c r="DY30" s="398"/>
      <c r="DZ30" s="398">
        <f t="shared" si="21"/>
        <v>0</v>
      </c>
      <c r="EA30" s="398"/>
      <c r="EB30" s="404"/>
      <c r="EC30" s="404"/>
      <c r="ED30" s="404"/>
      <c r="EE30" s="398"/>
      <c r="EF30" s="398">
        <f t="shared" si="22"/>
        <v>0</v>
      </c>
      <c r="EG30" s="398"/>
      <c r="EH30" s="404"/>
      <c r="EI30" s="404"/>
      <c r="EJ30" s="404"/>
      <c r="EK30" s="398"/>
      <c r="EL30" s="398">
        <f t="shared" si="23"/>
        <v>0</v>
      </c>
      <c r="EM30" s="398"/>
      <c r="EN30" s="404"/>
      <c r="EO30" s="404"/>
      <c r="EP30" s="404"/>
      <c r="EQ30" s="398"/>
      <c r="ER30" s="398">
        <f t="shared" si="24"/>
        <v>0</v>
      </c>
      <c r="ES30" s="398"/>
      <c r="ET30" s="404"/>
      <c r="EU30" s="404"/>
      <c r="EV30" s="404"/>
      <c r="EW30" s="398"/>
      <c r="EX30" s="398">
        <f t="shared" si="25"/>
        <v>0</v>
      </c>
      <c r="EY30" s="398" t="e">
        <f>VLOOKUP($A30,[2]Devengado!$A$1:$AI$3,35,FALSE)</f>
        <v>#N/A</v>
      </c>
    </row>
    <row r="31" spans="1:155" ht="23.25" hidden="1" customHeight="1">
      <c r="A31" s="341">
        <v>480</v>
      </c>
      <c r="B31" s="442" t="str">
        <f>VLOOKUP($A31,  'Matriz POA 2024-TRABAJO'!$A$5:$CY$9142,11,FALSE)</f>
        <v>Corporación Ciudad Alfaro</v>
      </c>
      <c r="C31" s="442" t="str">
        <f>VLOOKUP($A31, 'Matriz POA 2024-TRABAJO'!$A$5:$CY$9142,14,FALSE)</f>
        <v>N/A</v>
      </c>
      <c r="D31" s="442" t="str">
        <f>VLOOKUP($A31, 'Matriz POA 2024-TRABAJO'!$A$5:$CY$9142,15,FALSE)</f>
        <v>N/A</v>
      </c>
      <c r="E31" s="442" t="str">
        <f>VLOOKUP($A31, 'Matriz POA 2024-TRABAJO'!$A$5:$CY$9142,18,FALSE)</f>
        <v>N/A</v>
      </c>
      <c r="F31" s="442" t="str">
        <f>VLOOKUP($A31, 'Matriz POA 2024-TRABAJO'!$A$5:$CY$9142,23,FALSE)</f>
        <v>NUEVA</v>
      </c>
      <c r="G31" s="443" t="str">
        <f>VLOOKUP($A31, 'Matriz POA 2024-TRABAJO'!$A$5:$CY$9142,24,FALSE)</f>
        <v>Adquisición  de suministros y materiales de oficina para la corporación ciudad alfaro y sus sedes</v>
      </c>
      <c r="H31" s="442" t="str">
        <f>VLOOKUP($A31, 'Matriz POA 2024-TRABAJO'!$A$5:$CY$9142,25,FALSE)</f>
        <v>0035</v>
      </c>
      <c r="I31" s="442" t="str">
        <f>VLOOKUP($A31, 'Matriz POA 2024-TRABAJO'!$A$5:$CY$9142,26,FALSE)</f>
        <v>80</v>
      </c>
      <c r="J31" s="442" t="str">
        <f>VLOOKUP($A31, 'Matriz POA 2024-TRABAJO'!$A$5:$CY$9142,27,FALSE)</f>
        <v>000</v>
      </c>
      <c r="K31" s="444" t="str">
        <f>VLOOKUP($A31, 'Matriz POA 2024-TRABAJO'!$A$5:$CY$9142,28,FALSE)</f>
        <v>002</v>
      </c>
      <c r="L31" s="444" t="str">
        <f>VLOOKUP($A31, 'Matriz POA 2024-TRABAJO'!$A$5:$CY$9142,29,FALSE)</f>
        <v>53</v>
      </c>
      <c r="M31" s="444">
        <f>VLOOKUP($A31, 'Matriz POA 2024-TRABAJO'!$A$5:$CY$9142,30,FALSE)</f>
        <v>530804</v>
      </c>
      <c r="N31" s="444" t="str">
        <f>VLOOKUP($A31, 'Matriz POA 2024-TRABAJO'!$A$5:$CY$9142,33,FALSE)</f>
        <v>001</v>
      </c>
      <c r="O31" s="444" t="str">
        <f>VLOOKUP($A31, 'Matriz POA 2024-TRABAJO'!$A$5:$CY$9142,34,FALSE)</f>
        <v>0000</v>
      </c>
      <c r="P31" s="444" t="str">
        <f>VLOOKUP($A31, 'Matriz POA 2024-TRABAJO'!$A$5:$CY$9142,35,FALSE)</f>
        <v>0000</v>
      </c>
      <c r="Q31" s="445">
        <f>VLOOKUP($A31, 'Matriz POA 2024-TRABAJO'!$A$5:$CY$9142,47,FALSE)</f>
        <v>4000</v>
      </c>
      <c r="R31" s="446">
        <f t="shared" ref="R31:R83" si="45">Z31+AF31+AL31+AR31+AX31+BD31+BJ31+BP31+BV31+CB31+CH31+CN31+CT31+CZ31+DF31+DL31+DR31+DX31+ED31+EJ31+EP31+EV31</f>
        <v>4000</v>
      </c>
      <c r="S31" s="446">
        <f t="shared" ref="S31:S83" si="46">AA31+AG31+AM31+AS31+AY31+BE31+BK31+BQ31+BW31+CC31+CI31+CO31+CU31+DA31+DG31+DM31+DS31+DY31+EE31+EK31+EQ31+EW31</f>
        <v>4000</v>
      </c>
      <c r="T31" s="446">
        <f t="shared" ref="T31:T82" si="47">AB31+AH31+AN31+AT31+AZ31+BF31+BL31+BR31+BX31+CD31+CJ31+CP31+CV31+DB31+DH31+DN31+DT31+DZ31+EF31+EL31+ER31+EX31</f>
        <v>0</v>
      </c>
      <c r="U31" s="446">
        <f t="shared" ref="U31:U83" si="48">Q31-(S31+T31)</f>
        <v>0</v>
      </c>
      <c r="V31" s="446" t="str">
        <f t="shared" ref="V31:V83" si="49">W31&amp;AC31&amp;AI31&amp;AO31&amp;AU31&amp;BA31&amp;BG31&amp;BM31&amp;BS31&amp;BY31&amp;CE31&amp;CK31&amp;CQ31&amp;CW31&amp;DC31&amp;DI31&amp;DO31&amp;DU31&amp;EA31&amp;EG31&amp;ES31</f>
        <v>37</v>
      </c>
      <c r="W31" s="511">
        <v>37</v>
      </c>
      <c r="X31" s="404" t="s">
        <v>1299</v>
      </c>
      <c r="Y31" s="404" t="s">
        <v>1300</v>
      </c>
      <c r="Z31" s="404">
        <v>4000</v>
      </c>
      <c r="AA31" s="404">
        <v>4000</v>
      </c>
      <c r="AB31" s="398">
        <f t="shared" si="41"/>
        <v>0</v>
      </c>
      <c r="AC31" s="405"/>
      <c r="AD31" s="404"/>
      <c r="AE31" s="404"/>
      <c r="AF31" s="404"/>
      <c r="AG31" s="398"/>
      <c r="AH31" s="398">
        <f t="shared" ref="AH31" si="50">IF(AD31="APROBADO",AF31-AG31,0)</f>
        <v>0</v>
      </c>
      <c r="AI31" s="405"/>
      <c r="AJ31" s="404"/>
      <c r="AK31" s="404"/>
      <c r="AL31" s="404"/>
      <c r="AM31" s="398"/>
      <c r="AN31" s="398">
        <f t="shared" si="37"/>
        <v>0</v>
      </c>
      <c r="AO31" s="398"/>
      <c r="AP31" s="404"/>
      <c r="AQ31" s="404"/>
      <c r="AR31" s="404"/>
      <c r="AS31" s="398"/>
      <c r="AT31" s="398">
        <f t="shared" si="38"/>
        <v>0</v>
      </c>
      <c r="AU31" s="398"/>
      <c r="AV31" s="404"/>
      <c r="AW31" s="404"/>
      <c r="AX31" s="404"/>
      <c r="AY31" s="404"/>
      <c r="AZ31" s="398">
        <f t="shared" si="39"/>
        <v>0</v>
      </c>
      <c r="BA31" s="398"/>
      <c r="BB31" s="404"/>
      <c r="BC31" s="404"/>
      <c r="BD31" s="404"/>
      <c r="BE31" s="398"/>
      <c r="BF31" s="398">
        <f t="shared" si="40"/>
        <v>0</v>
      </c>
      <c r="BG31" s="398"/>
      <c r="BH31" s="404"/>
      <c r="BI31" s="404"/>
      <c r="BJ31" s="404"/>
      <c r="BK31" s="398"/>
      <c r="BL31" s="398">
        <f t="shared" ref="BL31:BL83" si="51">IF(BH31="APROBADO",BJ31-BK31,0)</f>
        <v>0</v>
      </c>
      <c r="BM31" s="398"/>
      <c r="BN31" s="404"/>
      <c r="BO31" s="404"/>
      <c r="BP31" s="404"/>
      <c r="BQ31" s="398"/>
      <c r="BR31" s="398">
        <f t="shared" ref="BR31:BR83" si="52">IF(BN31="APROBADO",BP31-BQ31,0)</f>
        <v>0</v>
      </c>
      <c r="BS31" s="398"/>
      <c r="BT31" s="404"/>
      <c r="BU31" s="404"/>
      <c r="BV31" s="404"/>
      <c r="BW31" s="398"/>
      <c r="BX31" s="398">
        <f t="shared" ref="BX31:BX83" si="53">IF(BT31="APROBADO",BV31-BW31,0)</f>
        <v>0</v>
      </c>
      <c r="BY31" s="398"/>
      <c r="BZ31" s="404"/>
      <c r="CA31" s="404"/>
      <c r="CB31" s="404"/>
      <c r="CC31" s="398"/>
      <c r="CD31" s="398">
        <f t="shared" ref="CD31:CD83" si="54">IF(BZ31="APROBADO",CB31-CC31,0)</f>
        <v>0</v>
      </c>
      <c r="CE31" s="398"/>
      <c r="CF31" s="404"/>
      <c r="CG31" s="404"/>
      <c r="CH31" s="404"/>
      <c r="CI31" s="398"/>
      <c r="CJ31" s="398">
        <f t="shared" ref="CJ31:CJ83" si="55">IF(CF31="APROBADO",CH31-CI31,0)</f>
        <v>0</v>
      </c>
      <c r="CK31" s="398"/>
      <c r="CL31" s="404"/>
      <c r="CM31" s="404"/>
      <c r="CN31" s="404"/>
      <c r="CO31" s="398"/>
      <c r="CP31" s="398">
        <f t="shared" ref="CP31:CP83" si="56">IF(CL31="APROBADO",CN31-CO31,0)</f>
        <v>0</v>
      </c>
      <c r="CQ31" s="398"/>
      <c r="CR31" s="404"/>
      <c r="CS31" s="404"/>
      <c r="CT31" s="404"/>
      <c r="CU31" s="398"/>
      <c r="CV31" s="398">
        <f t="shared" ref="CV31:CV83" si="57">IF(CR31="APROBADO",CT31-CU31,0)</f>
        <v>0</v>
      </c>
      <c r="CW31" s="398"/>
      <c r="CX31" s="404"/>
      <c r="CY31" s="404"/>
      <c r="CZ31" s="404"/>
      <c r="DA31" s="398"/>
      <c r="DB31" s="398">
        <f t="shared" ref="DB31:DB83" si="58">IF(CX31="APROBADO",CZ31-DA31,0)</f>
        <v>0</v>
      </c>
      <c r="DC31" s="398"/>
      <c r="DD31" s="404"/>
      <c r="DE31" s="404"/>
      <c r="DF31" s="404"/>
      <c r="DG31" s="398"/>
      <c r="DH31" s="398">
        <f t="shared" ref="DH31:DH83" si="59">IF(DD31="APROBADO",DF31-DG31,0)</f>
        <v>0</v>
      </c>
      <c r="DI31" s="398"/>
      <c r="DJ31" s="404"/>
      <c r="DK31" s="404"/>
      <c r="DL31" s="404"/>
      <c r="DM31" s="398"/>
      <c r="DN31" s="398">
        <f t="shared" ref="DN31:DN83" si="60">IF(DJ31="APROBADO",DL31-DM31,0)</f>
        <v>0</v>
      </c>
      <c r="DO31" s="398"/>
      <c r="DP31" s="404"/>
      <c r="DQ31" s="404"/>
      <c r="DR31" s="404"/>
      <c r="DS31" s="398"/>
      <c r="DT31" s="398">
        <f t="shared" ref="DT31:DT83" si="61">IF(DP31="APROBADO",DR31-DS31,0)</f>
        <v>0</v>
      </c>
      <c r="DU31" s="398"/>
      <c r="DV31" s="404"/>
      <c r="DW31" s="404"/>
      <c r="DX31" s="404"/>
      <c r="DY31" s="398"/>
      <c r="DZ31" s="398">
        <f t="shared" ref="DZ31:DZ83" si="62">IF(DV31="APROBADO",DX31-DY31,0)</f>
        <v>0</v>
      </c>
      <c r="EA31" s="398"/>
      <c r="EB31" s="404"/>
      <c r="EC31" s="404"/>
      <c r="ED31" s="404"/>
      <c r="EE31" s="398"/>
      <c r="EF31" s="398">
        <f t="shared" ref="EF31:EF83" si="63">IF(EB31="APROBADO",ED31-EE31,0)</f>
        <v>0</v>
      </c>
      <c r="EG31" s="398"/>
      <c r="EH31" s="404"/>
      <c r="EI31" s="404"/>
      <c r="EJ31" s="404"/>
      <c r="EK31" s="398"/>
      <c r="EL31" s="398">
        <f t="shared" ref="EL31:EL83" si="64">IF(EH31="APROBADO",EJ31-EK31,0)</f>
        <v>0</v>
      </c>
      <c r="EM31" s="398"/>
      <c r="EN31" s="404"/>
      <c r="EO31" s="404"/>
      <c r="EP31" s="404"/>
      <c r="EQ31" s="398"/>
      <c r="ER31" s="398">
        <f t="shared" ref="ER31:ER83" si="65">IF(EN31="APROBADO",EP31-EQ31,0)</f>
        <v>0</v>
      </c>
      <c r="ES31" s="398"/>
      <c r="ET31" s="404"/>
      <c r="EU31" s="404"/>
      <c r="EV31" s="404"/>
      <c r="EW31" s="398"/>
      <c r="EX31" s="398">
        <f t="shared" ref="EX31:EX83" si="66">IF(ET31="APROBADO",EV31-EW31,0)</f>
        <v>0</v>
      </c>
      <c r="EY31" s="398" t="e">
        <f>VLOOKUP($A31,[2]Devengado!$A$1:$AI$3,35,FALSE)</f>
        <v>#N/A</v>
      </c>
    </row>
    <row r="32" spans="1:155" ht="23.25" hidden="1" customHeight="1">
      <c r="A32" s="341">
        <v>482</v>
      </c>
      <c r="B32" s="442" t="str">
        <f>VLOOKUP($A32,  'Matriz POA 2024-TRABAJO'!$A$5:$CY$9142,11,FALSE)</f>
        <v>Corporación Ciudad Alfaro</v>
      </c>
      <c r="C32" s="442" t="str">
        <f>VLOOKUP($A32, 'Matriz POA 2024-TRABAJO'!$A$5:$CY$9142,14,FALSE)</f>
        <v>N/A</v>
      </c>
      <c r="D32" s="442" t="str">
        <f>VLOOKUP($A32, 'Matriz POA 2024-TRABAJO'!$A$5:$CY$9142,15,FALSE)</f>
        <v>N/A</v>
      </c>
      <c r="E32" s="442" t="str">
        <f>VLOOKUP($A32, 'Matriz POA 2024-TRABAJO'!$A$5:$CY$9142,18,FALSE)</f>
        <v>N/A</v>
      </c>
      <c r="F32" s="442" t="str">
        <f>VLOOKUP($A32, 'Matriz POA 2024-TRABAJO'!$A$5:$CY$9142,23,FALSE)</f>
        <v>NUEVA</v>
      </c>
      <c r="G32" s="443" t="str">
        <f>VLOOKUP($A32, 'Matriz POA 2024-TRABAJO'!$A$5:$CY$9142,24,FALSE)</f>
        <v>Mantenimiento preventivo y correctivo de las cerchas metálicas, ventanas, puertas y mampostería de la corporación ciudad alfaro</v>
      </c>
      <c r="H32" s="442" t="str">
        <f>VLOOKUP($A32, 'Matriz POA 2024-TRABAJO'!$A$5:$CY$9142,25,FALSE)</f>
        <v>0035</v>
      </c>
      <c r="I32" s="442" t="str">
        <f>VLOOKUP($A32, 'Matriz POA 2024-TRABAJO'!$A$5:$CY$9142,26,FALSE)</f>
        <v>80</v>
      </c>
      <c r="J32" s="442" t="str">
        <f>VLOOKUP($A32, 'Matriz POA 2024-TRABAJO'!$A$5:$CY$9142,27,FALSE)</f>
        <v>000</v>
      </c>
      <c r="K32" s="444" t="str">
        <f>VLOOKUP($A32, 'Matriz POA 2024-TRABAJO'!$A$5:$CY$9142,28,FALSE)</f>
        <v>002</v>
      </c>
      <c r="L32" s="444" t="str">
        <f>VLOOKUP($A32, 'Matriz POA 2024-TRABAJO'!$A$5:$CY$9142,29,FALSE)</f>
        <v>53</v>
      </c>
      <c r="M32" s="444">
        <f>VLOOKUP($A32, 'Matriz POA 2024-TRABAJO'!$A$5:$CY$9142,30,FALSE)</f>
        <v>530425</v>
      </c>
      <c r="N32" s="444" t="str">
        <f>VLOOKUP($A32, 'Matriz POA 2024-TRABAJO'!$A$5:$CY$9142,33,FALSE)</f>
        <v>001</v>
      </c>
      <c r="O32" s="444" t="str">
        <f>VLOOKUP($A32, 'Matriz POA 2024-TRABAJO'!$A$5:$CY$9142,34,FALSE)</f>
        <v>0000</v>
      </c>
      <c r="P32" s="444" t="str">
        <f>VLOOKUP($A32, 'Matriz POA 2024-TRABAJO'!$A$5:$CY$9142,35,FALSE)</f>
        <v>0000</v>
      </c>
      <c r="Q32" s="445">
        <f>VLOOKUP($A32, 'Matriz POA 2024-TRABAJO'!$A$5:$CY$9142,47,FALSE)</f>
        <v>0</v>
      </c>
      <c r="R32" s="446">
        <f t="shared" si="45"/>
        <v>0</v>
      </c>
      <c r="S32" s="446">
        <f t="shared" si="46"/>
        <v>0</v>
      </c>
      <c r="T32" s="446">
        <f t="shared" si="47"/>
        <v>0</v>
      </c>
      <c r="U32" s="446">
        <f t="shared" si="48"/>
        <v>0</v>
      </c>
      <c r="V32" s="446" t="str">
        <f t="shared" si="49"/>
        <v>38</v>
      </c>
      <c r="W32" s="511">
        <v>38</v>
      </c>
      <c r="X32" s="404" t="s">
        <v>1303</v>
      </c>
      <c r="Y32" s="404" t="s">
        <v>1300</v>
      </c>
      <c r="Z32" s="404">
        <f>7000-7000</f>
        <v>0</v>
      </c>
      <c r="AA32" s="404">
        <f>7000-7000</f>
        <v>0</v>
      </c>
      <c r="AB32" s="398">
        <f t="shared" si="41"/>
        <v>0</v>
      </c>
      <c r="AC32" s="403"/>
      <c r="AD32" s="404"/>
      <c r="AE32" s="404"/>
      <c r="AF32" s="404"/>
      <c r="AG32" s="398"/>
      <c r="AH32" s="398">
        <f>IF(AD32="APROBADO",AF32-AG32,0)</f>
        <v>0</v>
      </c>
      <c r="AI32" s="405"/>
      <c r="AJ32" s="404"/>
      <c r="AK32" s="404"/>
      <c r="AL32" s="404"/>
      <c r="AM32" s="398"/>
      <c r="AN32" s="398">
        <f t="shared" si="37"/>
        <v>0</v>
      </c>
      <c r="AO32" s="398"/>
      <c r="AP32" s="404"/>
      <c r="AQ32" s="404"/>
      <c r="AR32" s="404"/>
      <c r="AS32" s="398"/>
      <c r="AT32" s="398">
        <f t="shared" si="38"/>
        <v>0</v>
      </c>
      <c r="AU32" s="398"/>
      <c r="AV32" s="404"/>
      <c r="AW32" s="404"/>
      <c r="AX32" s="404"/>
      <c r="AY32" s="404"/>
      <c r="AZ32" s="398">
        <f t="shared" si="39"/>
        <v>0</v>
      </c>
      <c r="BA32" s="398"/>
      <c r="BB32" s="404"/>
      <c r="BC32" s="404"/>
      <c r="BD32" s="404"/>
      <c r="BE32" s="398"/>
      <c r="BF32" s="398">
        <f t="shared" si="40"/>
        <v>0</v>
      </c>
      <c r="BG32" s="398"/>
      <c r="BH32" s="404"/>
      <c r="BI32" s="404"/>
      <c r="BJ32" s="404"/>
      <c r="BK32" s="398"/>
      <c r="BL32" s="398">
        <f t="shared" si="51"/>
        <v>0</v>
      </c>
      <c r="BM32" s="398"/>
      <c r="BN32" s="404"/>
      <c r="BO32" s="404"/>
      <c r="BP32" s="404"/>
      <c r="BQ32" s="398"/>
      <c r="BR32" s="398">
        <f t="shared" si="52"/>
        <v>0</v>
      </c>
      <c r="BS32" s="398"/>
      <c r="BT32" s="404"/>
      <c r="BU32" s="404"/>
      <c r="BV32" s="404"/>
      <c r="BW32" s="398"/>
      <c r="BX32" s="398">
        <f t="shared" si="53"/>
        <v>0</v>
      </c>
      <c r="BY32" s="398"/>
      <c r="BZ32" s="404"/>
      <c r="CA32" s="404"/>
      <c r="CB32" s="404"/>
      <c r="CC32" s="398"/>
      <c r="CD32" s="398">
        <f t="shared" si="54"/>
        <v>0</v>
      </c>
      <c r="CE32" s="398"/>
      <c r="CF32" s="404"/>
      <c r="CG32" s="404"/>
      <c r="CH32" s="404"/>
      <c r="CI32" s="398"/>
      <c r="CJ32" s="398">
        <f t="shared" si="55"/>
        <v>0</v>
      </c>
      <c r="CK32" s="398"/>
      <c r="CL32" s="404"/>
      <c r="CM32" s="404"/>
      <c r="CN32" s="404"/>
      <c r="CO32" s="398"/>
      <c r="CP32" s="398">
        <f t="shared" si="56"/>
        <v>0</v>
      </c>
      <c r="CQ32" s="398"/>
      <c r="CR32" s="404"/>
      <c r="CS32" s="404"/>
      <c r="CT32" s="404"/>
      <c r="CU32" s="398"/>
      <c r="CV32" s="398">
        <f t="shared" si="57"/>
        <v>0</v>
      </c>
      <c r="CW32" s="398"/>
      <c r="CX32" s="404"/>
      <c r="CY32" s="404"/>
      <c r="CZ32" s="404"/>
      <c r="DA32" s="398"/>
      <c r="DB32" s="398">
        <f t="shared" si="58"/>
        <v>0</v>
      </c>
      <c r="DC32" s="398"/>
      <c r="DD32" s="404"/>
      <c r="DE32" s="404"/>
      <c r="DF32" s="404"/>
      <c r="DG32" s="398"/>
      <c r="DH32" s="398">
        <f t="shared" si="59"/>
        <v>0</v>
      </c>
      <c r="DI32" s="398"/>
      <c r="DJ32" s="404"/>
      <c r="DK32" s="404"/>
      <c r="DL32" s="404"/>
      <c r="DM32" s="398"/>
      <c r="DN32" s="398">
        <f t="shared" si="60"/>
        <v>0</v>
      </c>
      <c r="DO32" s="398"/>
      <c r="DP32" s="404"/>
      <c r="DQ32" s="404"/>
      <c r="DR32" s="404"/>
      <c r="DS32" s="398"/>
      <c r="DT32" s="398">
        <f t="shared" si="61"/>
        <v>0</v>
      </c>
      <c r="DU32" s="398"/>
      <c r="DV32" s="404"/>
      <c r="DW32" s="404"/>
      <c r="DX32" s="404"/>
      <c r="DY32" s="398"/>
      <c r="DZ32" s="398">
        <f t="shared" si="62"/>
        <v>0</v>
      </c>
      <c r="EA32" s="398"/>
      <c r="EB32" s="404"/>
      <c r="EC32" s="404"/>
      <c r="ED32" s="404"/>
      <c r="EE32" s="398"/>
      <c r="EF32" s="398">
        <f t="shared" si="63"/>
        <v>0</v>
      </c>
      <c r="EG32" s="398"/>
      <c r="EH32" s="404"/>
      <c r="EI32" s="404"/>
      <c r="EJ32" s="404"/>
      <c r="EK32" s="398"/>
      <c r="EL32" s="398">
        <f t="shared" si="64"/>
        <v>0</v>
      </c>
      <c r="EM32" s="398"/>
      <c r="EN32" s="404"/>
      <c r="EO32" s="404"/>
      <c r="EP32" s="404"/>
      <c r="EQ32" s="398"/>
      <c r="ER32" s="398">
        <f t="shared" si="65"/>
        <v>0</v>
      </c>
      <c r="ES32" s="398"/>
      <c r="ET32" s="404"/>
      <c r="EU32" s="404"/>
      <c r="EV32" s="404"/>
      <c r="EW32" s="398"/>
      <c r="EX32" s="398">
        <f t="shared" si="66"/>
        <v>0</v>
      </c>
      <c r="EY32" s="398" t="e">
        <f>VLOOKUP($A32,[2]Devengado!$A$1:$AI$3,35,FALSE)</f>
        <v>#N/A</v>
      </c>
    </row>
    <row r="33" spans="1:155" ht="23.25" hidden="1" customHeight="1">
      <c r="A33" s="341">
        <v>483</v>
      </c>
      <c r="B33" s="442" t="str">
        <f>VLOOKUP($A33,  'Matriz POA 2024-TRABAJO'!$A$5:$CY$9142,11,FALSE)</f>
        <v>Corporación Ciudad Alfaro</v>
      </c>
      <c r="C33" s="442" t="str">
        <f>VLOOKUP($A33, 'Matriz POA 2024-TRABAJO'!$A$5:$CY$9142,14,FALSE)</f>
        <v>N/A</v>
      </c>
      <c r="D33" s="442" t="str">
        <f>VLOOKUP($A33, 'Matriz POA 2024-TRABAJO'!$A$5:$CY$9142,15,FALSE)</f>
        <v>N/A</v>
      </c>
      <c r="E33" s="442" t="str">
        <f>VLOOKUP($A33, 'Matriz POA 2024-TRABAJO'!$A$5:$CY$9142,18,FALSE)</f>
        <v>N/A</v>
      </c>
      <c r="F33" s="442" t="str">
        <f>VLOOKUP($A33, 'Matriz POA 2024-TRABAJO'!$A$5:$CY$9142,23,FALSE)</f>
        <v>NUEVA</v>
      </c>
      <c r="G33" s="443" t="str">
        <f>VLOOKUP($A33, 'Matriz POA 2024-TRABAJO'!$A$5:$CY$9142,24,FALSE)</f>
        <v>Mantenimiento y reparación de las puertas enrollables de la corporación ciudad alfaro y sus sedes</v>
      </c>
      <c r="H33" s="442" t="str">
        <f>VLOOKUP($A33, 'Matriz POA 2024-TRABAJO'!$A$5:$CY$9142,25,FALSE)</f>
        <v>0035</v>
      </c>
      <c r="I33" s="442" t="str">
        <f>VLOOKUP($A33, 'Matriz POA 2024-TRABAJO'!$A$5:$CY$9142,26,FALSE)</f>
        <v>80</v>
      </c>
      <c r="J33" s="442" t="str">
        <f>VLOOKUP($A33, 'Matriz POA 2024-TRABAJO'!$A$5:$CY$9142,27,FALSE)</f>
        <v>000</v>
      </c>
      <c r="K33" s="444" t="str">
        <f>VLOOKUP($A33, 'Matriz POA 2024-TRABAJO'!$A$5:$CY$9142,28,FALSE)</f>
        <v>002</v>
      </c>
      <c r="L33" s="444" t="str">
        <f>VLOOKUP($A33, 'Matriz POA 2024-TRABAJO'!$A$5:$CY$9142,29,FALSE)</f>
        <v>53</v>
      </c>
      <c r="M33" s="444">
        <f>VLOOKUP($A33, 'Matriz POA 2024-TRABAJO'!$A$5:$CY$9142,30,FALSE)</f>
        <v>530403</v>
      </c>
      <c r="N33" s="444" t="str">
        <f>VLOOKUP($A33, 'Matriz POA 2024-TRABAJO'!$A$5:$CY$9142,33,FALSE)</f>
        <v>001</v>
      </c>
      <c r="O33" s="444" t="str">
        <f>VLOOKUP($A33, 'Matriz POA 2024-TRABAJO'!$A$5:$CY$9142,34,FALSE)</f>
        <v>0000</v>
      </c>
      <c r="P33" s="444" t="str">
        <f>VLOOKUP($A33, 'Matriz POA 2024-TRABAJO'!$A$5:$CY$9142,35,FALSE)</f>
        <v>0000</v>
      </c>
      <c r="Q33" s="445">
        <f>VLOOKUP($A33, 'Matriz POA 2024-TRABAJO'!$A$5:$CY$9142,47,FALSE)</f>
        <v>0</v>
      </c>
      <c r="R33" s="446">
        <f t="shared" si="45"/>
        <v>0</v>
      </c>
      <c r="S33" s="446">
        <f t="shared" si="46"/>
        <v>0</v>
      </c>
      <c r="T33" s="446">
        <f t="shared" si="47"/>
        <v>0</v>
      </c>
      <c r="U33" s="446">
        <f t="shared" si="48"/>
        <v>0</v>
      </c>
      <c r="V33" s="446" t="str">
        <f t="shared" si="49"/>
        <v>39</v>
      </c>
      <c r="W33" s="511">
        <v>39</v>
      </c>
      <c r="X33" s="404" t="s">
        <v>1303</v>
      </c>
      <c r="Y33" s="404" t="s">
        <v>1300</v>
      </c>
      <c r="Z33" s="404">
        <f>5000-5000</f>
        <v>0</v>
      </c>
      <c r="AA33" s="404">
        <f>5000-5000</f>
        <v>0</v>
      </c>
      <c r="AB33" s="398">
        <f t="shared" si="41"/>
        <v>0</v>
      </c>
      <c r="AC33" s="405"/>
      <c r="AD33" s="404"/>
      <c r="AE33" s="404"/>
      <c r="AF33" s="404"/>
      <c r="AG33" s="398"/>
      <c r="AH33" s="398">
        <f t="shared" ref="AH33" si="67">IF(AD33="APROBADO",AF33-AG33,0)</f>
        <v>0</v>
      </c>
      <c r="AI33" s="405"/>
      <c r="AJ33" s="404"/>
      <c r="AK33" s="404"/>
      <c r="AL33" s="404"/>
      <c r="AM33" s="398"/>
      <c r="AN33" s="398">
        <f t="shared" si="37"/>
        <v>0</v>
      </c>
      <c r="AO33" s="398"/>
      <c r="AP33" s="404"/>
      <c r="AQ33" s="404"/>
      <c r="AR33" s="404"/>
      <c r="AS33" s="398"/>
      <c r="AT33" s="398">
        <f t="shared" si="38"/>
        <v>0</v>
      </c>
      <c r="AU33" s="398"/>
      <c r="AV33" s="404"/>
      <c r="AW33" s="404"/>
      <c r="AX33" s="404"/>
      <c r="AY33" s="404"/>
      <c r="AZ33" s="398">
        <f t="shared" si="39"/>
        <v>0</v>
      </c>
      <c r="BA33" s="398"/>
      <c r="BB33" s="404"/>
      <c r="BC33" s="404"/>
      <c r="BD33" s="404"/>
      <c r="BE33" s="398"/>
      <c r="BF33" s="398">
        <f t="shared" si="40"/>
        <v>0</v>
      </c>
      <c r="BG33" s="398"/>
      <c r="BH33" s="404"/>
      <c r="BI33" s="404"/>
      <c r="BJ33" s="404"/>
      <c r="BK33" s="398"/>
      <c r="BL33" s="398">
        <f t="shared" si="51"/>
        <v>0</v>
      </c>
      <c r="BM33" s="398"/>
      <c r="BN33" s="404"/>
      <c r="BO33" s="404"/>
      <c r="BP33" s="404"/>
      <c r="BQ33" s="398"/>
      <c r="BR33" s="398">
        <f t="shared" si="52"/>
        <v>0</v>
      </c>
      <c r="BS33" s="398"/>
      <c r="BT33" s="404"/>
      <c r="BU33" s="404"/>
      <c r="BV33" s="404"/>
      <c r="BW33" s="398"/>
      <c r="BX33" s="398">
        <f t="shared" si="53"/>
        <v>0</v>
      </c>
      <c r="BY33" s="398"/>
      <c r="BZ33" s="404"/>
      <c r="CA33" s="404"/>
      <c r="CB33" s="404"/>
      <c r="CC33" s="398"/>
      <c r="CD33" s="398">
        <f t="shared" si="54"/>
        <v>0</v>
      </c>
      <c r="CE33" s="398"/>
      <c r="CF33" s="404"/>
      <c r="CG33" s="404"/>
      <c r="CH33" s="404"/>
      <c r="CI33" s="398"/>
      <c r="CJ33" s="398">
        <f t="shared" si="55"/>
        <v>0</v>
      </c>
      <c r="CK33" s="398"/>
      <c r="CL33" s="404"/>
      <c r="CM33" s="404"/>
      <c r="CN33" s="404"/>
      <c r="CO33" s="398"/>
      <c r="CP33" s="398">
        <f t="shared" si="56"/>
        <v>0</v>
      </c>
      <c r="CQ33" s="398"/>
      <c r="CR33" s="404"/>
      <c r="CS33" s="404"/>
      <c r="CT33" s="404"/>
      <c r="CU33" s="398"/>
      <c r="CV33" s="398">
        <f t="shared" si="57"/>
        <v>0</v>
      </c>
      <c r="CW33" s="398"/>
      <c r="CX33" s="404"/>
      <c r="CY33" s="404"/>
      <c r="CZ33" s="404"/>
      <c r="DA33" s="398"/>
      <c r="DB33" s="398">
        <f t="shared" si="58"/>
        <v>0</v>
      </c>
      <c r="DC33" s="398"/>
      <c r="DD33" s="404"/>
      <c r="DE33" s="404"/>
      <c r="DF33" s="404"/>
      <c r="DG33" s="398"/>
      <c r="DH33" s="398">
        <f t="shared" si="59"/>
        <v>0</v>
      </c>
      <c r="DI33" s="398"/>
      <c r="DJ33" s="404"/>
      <c r="DK33" s="404"/>
      <c r="DL33" s="404"/>
      <c r="DM33" s="398"/>
      <c r="DN33" s="398">
        <f t="shared" si="60"/>
        <v>0</v>
      </c>
      <c r="DO33" s="398"/>
      <c r="DP33" s="404"/>
      <c r="DQ33" s="404"/>
      <c r="DR33" s="404"/>
      <c r="DS33" s="398"/>
      <c r="DT33" s="398">
        <f t="shared" si="61"/>
        <v>0</v>
      </c>
      <c r="DU33" s="398"/>
      <c r="DV33" s="404"/>
      <c r="DW33" s="404"/>
      <c r="DX33" s="404"/>
      <c r="DY33" s="398"/>
      <c r="DZ33" s="398">
        <f t="shared" si="62"/>
        <v>0</v>
      </c>
      <c r="EA33" s="398"/>
      <c r="EB33" s="404"/>
      <c r="EC33" s="404"/>
      <c r="ED33" s="404"/>
      <c r="EE33" s="398"/>
      <c r="EF33" s="398">
        <f t="shared" si="63"/>
        <v>0</v>
      </c>
      <c r="EG33" s="398"/>
      <c r="EH33" s="404"/>
      <c r="EI33" s="404"/>
      <c r="EJ33" s="404"/>
      <c r="EK33" s="398"/>
      <c r="EL33" s="398">
        <f t="shared" si="64"/>
        <v>0</v>
      </c>
      <c r="EM33" s="398"/>
      <c r="EN33" s="404"/>
      <c r="EO33" s="404"/>
      <c r="EP33" s="404"/>
      <c r="EQ33" s="398"/>
      <c r="ER33" s="398">
        <f t="shared" si="65"/>
        <v>0</v>
      </c>
      <c r="ES33" s="398"/>
      <c r="ET33" s="404"/>
      <c r="EU33" s="404"/>
      <c r="EV33" s="404"/>
      <c r="EW33" s="398"/>
      <c r="EX33" s="398">
        <f t="shared" si="66"/>
        <v>0</v>
      </c>
      <c r="EY33" s="398" t="e">
        <f>VLOOKUP($A33,[2]Devengado!$A$1:$AI$3,35,FALSE)</f>
        <v>#N/A</v>
      </c>
    </row>
    <row r="34" spans="1:155" ht="23.25" hidden="1" customHeight="1">
      <c r="A34" s="341">
        <v>493</v>
      </c>
      <c r="B34" s="442" t="str">
        <f>VLOOKUP($A34,  'Matriz POA 2024-TRABAJO'!$A$5:$CY$9142,11,FALSE)</f>
        <v>Corporación Ciudad Alfaro</v>
      </c>
      <c r="C34" s="442" t="str">
        <f>VLOOKUP($A34, 'Matriz POA 2024-TRABAJO'!$A$5:$CY$9142,14,FALSE)</f>
        <v>N/A</v>
      </c>
      <c r="D34" s="442" t="str">
        <f>VLOOKUP($A34, 'Matriz POA 2024-TRABAJO'!$A$5:$CY$9142,15,FALSE)</f>
        <v>N/A</v>
      </c>
      <c r="E34" s="442" t="str">
        <f>VLOOKUP($A34, 'Matriz POA 2024-TRABAJO'!$A$5:$CY$9142,18,FALSE)</f>
        <v>N/A</v>
      </c>
      <c r="F34" s="442" t="str">
        <f>VLOOKUP($A34, 'Matriz POA 2024-TRABAJO'!$A$5:$CY$9142,23,FALSE)</f>
        <v>NUEVA</v>
      </c>
      <c r="G34" s="443" t="str">
        <f>VLOOKUP($A34, 'Matriz POA 2024-TRABAJO'!$A$5:$CY$9142,24,FALSE)</f>
        <v xml:space="preserve">Mantenimiento y reparación de bombas sumergibles y bombas de agua potable en el Museo Centro Cultural Manta, sede de la Corporación Ciudad Alfaro </v>
      </c>
      <c r="H34" s="442" t="str">
        <f>VLOOKUP($A34, 'Matriz POA 2024-TRABAJO'!$A$5:$CY$9142,25,FALSE)</f>
        <v>0035</v>
      </c>
      <c r="I34" s="442" t="str">
        <f>VLOOKUP($A34, 'Matriz POA 2024-TRABAJO'!$A$5:$CY$9142,26,FALSE)</f>
        <v>80</v>
      </c>
      <c r="J34" s="442" t="str">
        <f>VLOOKUP($A34, 'Matriz POA 2024-TRABAJO'!$A$5:$CY$9142,27,FALSE)</f>
        <v>000</v>
      </c>
      <c r="K34" s="444" t="str">
        <f>VLOOKUP($A34, 'Matriz POA 2024-TRABAJO'!$A$5:$CY$9142,28,FALSE)</f>
        <v>002</v>
      </c>
      <c r="L34" s="444" t="str">
        <f>VLOOKUP($A34, 'Matriz POA 2024-TRABAJO'!$A$5:$CY$9142,29,FALSE)</f>
        <v>53</v>
      </c>
      <c r="M34" s="444">
        <f>VLOOKUP($A34, 'Matriz POA 2024-TRABAJO'!$A$5:$CY$9142,30,FALSE)</f>
        <v>530403</v>
      </c>
      <c r="N34" s="444" t="str">
        <f>VLOOKUP($A34, 'Matriz POA 2024-TRABAJO'!$A$5:$CY$9142,33,FALSE)</f>
        <v>001</v>
      </c>
      <c r="O34" s="444" t="str">
        <f>VLOOKUP($A34, 'Matriz POA 2024-TRABAJO'!$A$5:$CY$9142,34,FALSE)</f>
        <v>0000</v>
      </c>
      <c r="P34" s="444" t="str">
        <f>VLOOKUP($A34, 'Matriz POA 2024-TRABAJO'!$A$5:$CY$9142,35,FALSE)</f>
        <v>0000</v>
      </c>
      <c r="Q34" s="445">
        <f>VLOOKUP($A34, 'Matriz POA 2024-TRABAJO'!$A$5:$CY$9142,47,FALSE)</f>
        <v>0</v>
      </c>
      <c r="R34" s="446">
        <f t="shared" si="45"/>
        <v>0</v>
      </c>
      <c r="S34" s="446">
        <f t="shared" si="46"/>
        <v>0</v>
      </c>
      <c r="T34" s="446">
        <f t="shared" si="47"/>
        <v>0</v>
      </c>
      <c r="U34" s="446">
        <f t="shared" si="48"/>
        <v>0</v>
      </c>
      <c r="V34" s="446" t="str">
        <f t="shared" si="49"/>
        <v>40</v>
      </c>
      <c r="W34" s="511">
        <v>40</v>
      </c>
      <c r="X34" s="404" t="s">
        <v>1303</v>
      </c>
      <c r="Y34" s="404" t="s">
        <v>1300</v>
      </c>
      <c r="Z34" s="404">
        <f>9788.9-9788.9</f>
        <v>0</v>
      </c>
      <c r="AA34" s="404">
        <f>9788.9-9788.9</f>
        <v>0</v>
      </c>
      <c r="AB34" s="398">
        <f t="shared" si="41"/>
        <v>0</v>
      </c>
      <c r="AC34" s="403"/>
      <c r="AD34" s="404"/>
      <c r="AE34" s="404"/>
      <c r="AF34" s="404"/>
      <c r="AG34" s="398"/>
      <c r="AH34" s="398">
        <f>IF(AD34="APROBADO",AF34-AG34,0)</f>
        <v>0</v>
      </c>
      <c r="AI34" s="405"/>
      <c r="AJ34" s="404"/>
      <c r="AK34" s="404"/>
      <c r="AL34" s="404"/>
      <c r="AM34" s="398"/>
      <c r="AN34" s="398">
        <f t="shared" si="37"/>
        <v>0</v>
      </c>
      <c r="AO34" s="398"/>
      <c r="AP34" s="404"/>
      <c r="AQ34" s="404"/>
      <c r="AR34" s="404"/>
      <c r="AS34" s="398"/>
      <c r="AT34" s="398">
        <f t="shared" si="38"/>
        <v>0</v>
      </c>
      <c r="AU34" s="398"/>
      <c r="AV34" s="404"/>
      <c r="AW34" s="404"/>
      <c r="AX34" s="404"/>
      <c r="AY34" s="404"/>
      <c r="AZ34" s="398">
        <f t="shared" si="39"/>
        <v>0</v>
      </c>
      <c r="BA34" s="398"/>
      <c r="BB34" s="404"/>
      <c r="BC34" s="404"/>
      <c r="BD34" s="404"/>
      <c r="BE34" s="398"/>
      <c r="BF34" s="398">
        <f t="shared" si="40"/>
        <v>0</v>
      </c>
      <c r="BG34" s="398"/>
      <c r="BH34" s="404"/>
      <c r="BI34" s="404"/>
      <c r="BJ34" s="404"/>
      <c r="BK34" s="398"/>
      <c r="BL34" s="398">
        <f t="shared" si="51"/>
        <v>0</v>
      </c>
      <c r="BM34" s="398"/>
      <c r="BN34" s="404"/>
      <c r="BO34" s="404"/>
      <c r="BP34" s="404"/>
      <c r="BQ34" s="398"/>
      <c r="BR34" s="398">
        <f t="shared" si="52"/>
        <v>0</v>
      </c>
      <c r="BS34" s="398"/>
      <c r="BT34" s="404"/>
      <c r="BU34" s="404"/>
      <c r="BV34" s="404"/>
      <c r="BW34" s="398"/>
      <c r="BX34" s="398">
        <f t="shared" si="53"/>
        <v>0</v>
      </c>
      <c r="BY34" s="398"/>
      <c r="BZ34" s="404"/>
      <c r="CA34" s="404"/>
      <c r="CB34" s="404"/>
      <c r="CC34" s="398"/>
      <c r="CD34" s="398">
        <f t="shared" si="54"/>
        <v>0</v>
      </c>
      <c r="CE34" s="398"/>
      <c r="CF34" s="404"/>
      <c r="CG34" s="404"/>
      <c r="CH34" s="404"/>
      <c r="CI34" s="398"/>
      <c r="CJ34" s="398">
        <f t="shared" si="55"/>
        <v>0</v>
      </c>
      <c r="CK34" s="398"/>
      <c r="CL34" s="404"/>
      <c r="CM34" s="404"/>
      <c r="CN34" s="404"/>
      <c r="CO34" s="398"/>
      <c r="CP34" s="398">
        <f t="shared" si="56"/>
        <v>0</v>
      </c>
      <c r="CQ34" s="398"/>
      <c r="CR34" s="404"/>
      <c r="CS34" s="404"/>
      <c r="CT34" s="404"/>
      <c r="CU34" s="398"/>
      <c r="CV34" s="398">
        <f t="shared" si="57"/>
        <v>0</v>
      </c>
      <c r="CW34" s="398"/>
      <c r="CX34" s="404"/>
      <c r="CY34" s="404"/>
      <c r="CZ34" s="404"/>
      <c r="DA34" s="398"/>
      <c r="DB34" s="398">
        <f t="shared" si="58"/>
        <v>0</v>
      </c>
      <c r="DC34" s="398"/>
      <c r="DD34" s="404"/>
      <c r="DE34" s="404"/>
      <c r="DF34" s="404"/>
      <c r="DG34" s="398"/>
      <c r="DH34" s="398">
        <f t="shared" si="59"/>
        <v>0</v>
      </c>
      <c r="DI34" s="398"/>
      <c r="DJ34" s="404"/>
      <c r="DK34" s="404"/>
      <c r="DL34" s="404"/>
      <c r="DM34" s="398"/>
      <c r="DN34" s="398">
        <f t="shared" si="60"/>
        <v>0</v>
      </c>
      <c r="DO34" s="398"/>
      <c r="DP34" s="404"/>
      <c r="DQ34" s="404"/>
      <c r="DR34" s="404"/>
      <c r="DS34" s="398"/>
      <c r="DT34" s="398">
        <f t="shared" si="61"/>
        <v>0</v>
      </c>
      <c r="DU34" s="398"/>
      <c r="DV34" s="404"/>
      <c r="DW34" s="404"/>
      <c r="DX34" s="404"/>
      <c r="DY34" s="398"/>
      <c r="DZ34" s="398">
        <f t="shared" si="62"/>
        <v>0</v>
      </c>
      <c r="EA34" s="398"/>
      <c r="EB34" s="404"/>
      <c r="EC34" s="404"/>
      <c r="ED34" s="404"/>
      <c r="EE34" s="398"/>
      <c r="EF34" s="398">
        <f t="shared" si="63"/>
        <v>0</v>
      </c>
      <c r="EG34" s="398"/>
      <c r="EH34" s="404"/>
      <c r="EI34" s="404"/>
      <c r="EJ34" s="404"/>
      <c r="EK34" s="398"/>
      <c r="EL34" s="398">
        <f t="shared" si="64"/>
        <v>0</v>
      </c>
      <c r="EM34" s="398"/>
      <c r="EN34" s="404"/>
      <c r="EO34" s="404"/>
      <c r="EP34" s="404"/>
      <c r="EQ34" s="398"/>
      <c r="ER34" s="398">
        <f t="shared" si="65"/>
        <v>0</v>
      </c>
      <c r="ES34" s="398"/>
      <c r="ET34" s="404"/>
      <c r="EU34" s="404"/>
      <c r="EV34" s="404"/>
      <c r="EW34" s="398"/>
      <c r="EX34" s="398">
        <f t="shared" si="66"/>
        <v>0</v>
      </c>
      <c r="EY34" s="398" t="e">
        <f>VLOOKUP($A34,[2]Devengado!$A$1:$AI$3,35,FALSE)</f>
        <v>#N/A</v>
      </c>
    </row>
    <row r="35" spans="1:155" ht="23.25" hidden="1" customHeight="1">
      <c r="A35" s="341">
        <v>454</v>
      </c>
      <c r="B35" s="442" t="str">
        <f>VLOOKUP($A35,  'Matriz POA 2024-TRABAJO'!$A$5:$CY$9142,11,FALSE)</f>
        <v>Corporación Ciudad Alfaro</v>
      </c>
      <c r="C35" s="442" t="str">
        <f>VLOOKUP($A35, 'Matriz POA 2024-TRABAJO'!$A$5:$CY$9142,14,FALSE)</f>
        <v>N/A</v>
      </c>
      <c r="D35" s="442" t="str">
        <f>VLOOKUP($A35, 'Matriz POA 2024-TRABAJO'!$A$5:$CY$9142,15,FALSE)</f>
        <v>N/A</v>
      </c>
      <c r="E35" s="442" t="str">
        <f>VLOOKUP($A35, 'Matriz POA 2024-TRABAJO'!$A$5:$CY$9142,18,FALSE)</f>
        <v>N/A</v>
      </c>
      <c r="F35" s="442" t="str">
        <f>VLOOKUP($A35, 'Matriz POA 2024-TRABAJO'!$A$5:$CY$9142,23,FALSE)</f>
        <v>ARRASTRE</v>
      </c>
      <c r="G35" s="443" t="str">
        <f>VLOOKUP($A35, 'Matriz POA 2024-TRABAJO'!$A$5:$CY$9142,24,FALSE)</f>
        <v>Pago Mensual del servicio de Agua Potable del mes de Diciembre del 2023 del Museo Centro Cultural de Manta</v>
      </c>
      <c r="H35" s="442" t="str">
        <f>VLOOKUP($A35, 'Matriz POA 2024-TRABAJO'!$A$5:$CY$9142,25,FALSE)</f>
        <v>0035</v>
      </c>
      <c r="I35" s="442" t="str">
        <f>VLOOKUP($A35, 'Matriz POA 2024-TRABAJO'!$A$5:$CY$9142,26,FALSE)</f>
        <v>80</v>
      </c>
      <c r="J35" s="442" t="str">
        <f>VLOOKUP($A35, 'Matriz POA 2024-TRABAJO'!$A$5:$CY$9142,27,FALSE)</f>
        <v>000</v>
      </c>
      <c r="K35" s="444" t="str">
        <f>VLOOKUP($A35, 'Matriz POA 2024-TRABAJO'!$A$5:$CY$9142,28,FALSE)</f>
        <v>002</v>
      </c>
      <c r="L35" s="444" t="str">
        <f>VLOOKUP($A35, 'Matriz POA 2024-TRABAJO'!$A$5:$CY$9142,29,FALSE)</f>
        <v>53</v>
      </c>
      <c r="M35" s="444">
        <f>VLOOKUP($A35, 'Matriz POA 2024-TRABAJO'!$A$5:$CY$9142,30,FALSE)</f>
        <v>530101</v>
      </c>
      <c r="N35" s="444" t="str">
        <f>VLOOKUP($A35, 'Matriz POA 2024-TRABAJO'!$A$5:$CY$9142,33,FALSE)</f>
        <v>001</v>
      </c>
      <c r="O35" s="444" t="str">
        <f>VLOOKUP($A35, 'Matriz POA 2024-TRABAJO'!$A$5:$CY$9142,34,FALSE)</f>
        <v>0000</v>
      </c>
      <c r="P35" s="444" t="str">
        <f>VLOOKUP($A35, 'Matriz POA 2024-TRABAJO'!$A$5:$CY$9142,35,FALSE)</f>
        <v>0000</v>
      </c>
      <c r="Q35" s="445">
        <f>VLOOKUP($A35, 'Matriz POA 2024-TRABAJO'!$A$5:$CY$9142,47,FALSE)</f>
        <v>15</v>
      </c>
      <c r="R35" s="446">
        <f t="shared" si="45"/>
        <v>15</v>
      </c>
      <c r="S35" s="446">
        <f t="shared" si="46"/>
        <v>15</v>
      </c>
      <c r="T35" s="446">
        <f t="shared" si="47"/>
        <v>0</v>
      </c>
      <c r="U35" s="446">
        <f t="shared" si="48"/>
        <v>0</v>
      </c>
      <c r="V35" s="446" t="str">
        <f t="shared" si="49"/>
        <v>42</v>
      </c>
      <c r="W35" s="511">
        <v>42</v>
      </c>
      <c r="X35" s="404" t="s">
        <v>1299</v>
      </c>
      <c r="Y35" s="404" t="s">
        <v>1300</v>
      </c>
      <c r="Z35" s="404">
        <v>15</v>
      </c>
      <c r="AA35" s="404">
        <v>15</v>
      </c>
      <c r="AB35" s="398">
        <f t="shared" si="41"/>
        <v>0</v>
      </c>
      <c r="AC35" s="405"/>
      <c r="AD35" s="404"/>
      <c r="AE35" s="404"/>
      <c r="AF35" s="404"/>
      <c r="AG35" s="398"/>
      <c r="AH35" s="398">
        <f t="shared" ref="AH35" si="68">IF(AD35="APROBADO",AF35-AG35,0)</f>
        <v>0</v>
      </c>
      <c r="AI35" s="405"/>
      <c r="AJ35" s="404"/>
      <c r="AK35" s="404"/>
      <c r="AL35" s="404"/>
      <c r="AM35" s="398"/>
      <c r="AN35" s="398">
        <f t="shared" si="37"/>
        <v>0</v>
      </c>
      <c r="AO35" s="398"/>
      <c r="AP35" s="404"/>
      <c r="AQ35" s="404"/>
      <c r="AR35" s="404"/>
      <c r="AS35" s="398"/>
      <c r="AT35" s="398">
        <f t="shared" si="38"/>
        <v>0</v>
      </c>
      <c r="AU35" s="398"/>
      <c r="AV35" s="404"/>
      <c r="AW35" s="404"/>
      <c r="AX35" s="404"/>
      <c r="AY35" s="404"/>
      <c r="AZ35" s="398">
        <f t="shared" si="39"/>
        <v>0</v>
      </c>
      <c r="BA35" s="398"/>
      <c r="BB35" s="404"/>
      <c r="BC35" s="404"/>
      <c r="BD35" s="404"/>
      <c r="BE35" s="398"/>
      <c r="BF35" s="398">
        <f t="shared" si="40"/>
        <v>0</v>
      </c>
      <c r="BG35" s="398"/>
      <c r="BH35" s="404"/>
      <c r="BI35" s="404"/>
      <c r="BJ35" s="404"/>
      <c r="BK35" s="398"/>
      <c r="BL35" s="398">
        <f t="shared" si="51"/>
        <v>0</v>
      </c>
      <c r="BM35" s="398"/>
      <c r="BN35" s="404"/>
      <c r="BO35" s="404"/>
      <c r="BP35" s="404"/>
      <c r="BQ35" s="398"/>
      <c r="BR35" s="398">
        <f t="shared" si="52"/>
        <v>0</v>
      </c>
      <c r="BS35" s="398"/>
      <c r="BT35" s="404"/>
      <c r="BU35" s="404"/>
      <c r="BV35" s="404"/>
      <c r="BW35" s="398"/>
      <c r="BX35" s="398">
        <f t="shared" si="53"/>
        <v>0</v>
      </c>
      <c r="BY35" s="398"/>
      <c r="BZ35" s="404"/>
      <c r="CA35" s="404"/>
      <c r="CB35" s="404"/>
      <c r="CC35" s="398"/>
      <c r="CD35" s="398">
        <f t="shared" si="54"/>
        <v>0</v>
      </c>
      <c r="CE35" s="398"/>
      <c r="CF35" s="404"/>
      <c r="CG35" s="404"/>
      <c r="CH35" s="404"/>
      <c r="CI35" s="398"/>
      <c r="CJ35" s="398">
        <f t="shared" si="55"/>
        <v>0</v>
      </c>
      <c r="CK35" s="398"/>
      <c r="CL35" s="404"/>
      <c r="CM35" s="404"/>
      <c r="CN35" s="404"/>
      <c r="CO35" s="398"/>
      <c r="CP35" s="398">
        <f t="shared" si="56"/>
        <v>0</v>
      </c>
      <c r="CQ35" s="398"/>
      <c r="CR35" s="404"/>
      <c r="CS35" s="404"/>
      <c r="CT35" s="404"/>
      <c r="CU35" s="398"/>
      <c r="CV35" s="398">
        <f t="shared" si="57"/>
        <v>0</v>
      </c>
      <c r="CW35" s="398"/>
      <c r="CX35" s="404"/>
      <c r="CY35" s="404"/>
      <c r="CZ35" s="404"/>
      <c r="DA35" s="398"/>
      <c r="DB35" s="398">
        <f t="shared" si="58"/>
        <v>0</v>
      </c>
      <c r="DC35" s="398"/>
      <c r="DD35" s="404"/>
      <c r="DE35" s="404"/>
      <c r="DF35" s="404"/>
      <c r="DG35" s="398"/>
      <c r="DH35" s="398">
        <f t="shared" si="59"/>
        <v>0</v>
      </c>
      <c r="DI35" s="398"/>
      <c r="DJ35" s="404"/>
      <c r="DK35" s="404"/>
      <c r="DL35" s="404"/>
      <c r="DM35" s="398"/>
      <c r="DN35" s="398">
        <f t="shared" si="60"/>
        <v>0</v>
      </c>
      <c r="DO35" s="398"/>
      <c r="DP35" s="404"/>
      <c r="DQ35" s="404"/>
      <c r="DR35" s="404"/>
      <c r="DS35" s="398"/>
      <c r="DT35" s="398">
        <f t="shared" si="61"/>
        <v>0</v>
      </c>
      <c r="DU35" s="398"/>
      <c r="DV35" s="404"/>
      <c r="DW35" s="404"/>
      <c r="DX35" s="404"/>
      <c r="DY35" s="398"/>
      <c r="DZ35" s="398">
        <f t="shared" si="62"/>
        <v>0</v>
      </c>
      <c r="EA35" s="398"/>
      <c r="EB35" s="404"/>
      <c r="EC35" s="404"/>
      <c r="ED35" s="404"/>
      <c r="EE35" s="398"/>
      <c r="EF35" s="398">
        <f t="shared" si="63"/>
        <v>0</v>
      </c>
      <c r="EG35" s="398"/>
      <c r="EH35" s="404"/>
      <c r="EI35" s="404"/>
      <c r="EJ35" s="404"/>
      <c r="EK35" s="398"/>
      <c r="EL35" s="398">
        <f t="shared" si="64"/>
        <v>0</v>
      </c>
      <c r="EM35" s="398"/>
      <c r="EN35" s="404"/>
      <c r="EO35" s="404"/>
      <c r="EP35" s="404"/>
      <c r="EQ35" s="398"/>
      <c r="ER35" s="398">
        <f t="shared" si="65"/>
        <v>0</v>
      </c>
      <c r="ES35" s="398"/>
      <c r="ET35" s="404"/>
      <c r="EU35" s="404"/>
      <c r="EV35" s="404"/>
      <c r="EW35" s="398"/>
      <c r="EX35" s="398">
        <f t="shared" si="66"/>
        <v>0</v>
      </c>
      <c r="EY35" s="398" t="e">
        <f>VLOOKUP($A35,[2]Devengado!$A$1:$AI$3,35,FALSE)</f>
        <v>#N/A</v>
      </c>
    </row>
    <row r="36" spans="1:155" ht="23.25" hidden="1" customHeight="1">
      <c r="A36" s="341">
        <v>455</v>
      </c>
      <c r="B36" s="442" t="str">
        <f>VLOOKUP($A36,  'Matriz POA 2024-TRABAJO'!$A$5:$CY$9142,11,FALSE)</f>
        <v>Corporación Ciudad Alfaro</v>
      </c>
      <c r="C36" s="442" t="str">
        <f>VLOOKUP($A36, 'Matriz POA 2024-TRABAJO'!$A$5:$CY$9142,14,FALSE)</f>
        <v>N/A</v>
      </c>
      <c r="D36" s="442" t="str">
        <f>VLOOKUP($A36, 'Matriz POA 2024-TRABAJO'!$A$5:$CY$9142,15,FALSE)</f>
        <v>N/A</v>
      </c>
      <c r="E36" s="442" t="str">
        <f>VLOOKUP($A36, 'Matriz POA 2024-TRABAJO'!$A$5:$CY$9142,18,FALSE)</f>
        <v>N/A</v>
      </c>
      <c r="F36" s="442" t="str">
        <f>VLOOKUP($A36, 'Matriz POA 2024-TRABAJO'!$A$5:$CY$9142,23,FALSE)</f>
        <v>NUEVA</v>
      </c>
      <c r="G36" s="443" t="str">
        <f>VLOOKUP($A36, 'Matriz POA 2024-TRABAJO'!$A$5:$CY$9142,24,FALSE)</f>
        <v>Pago Mensual del servicio de Agua Potable del Museo Centro Cultural de Manta</v>
      </c>
      <c r="H36" s="442" t="str">
        <f>VLOOKUP($A36, 'Matriz POA 2024-TRABAJO'!$A$5:$CY$9142,25,FALSE)</f>
        <v>0035</v>
      </c>
      <c r="I36" s="442" t="str">
        <f>VLOOKUP($A36, 'Matriz POA 2024-TRABAJO'!$A$5:$CY$9142,26,FALSE)</f>
        <v>80</v>
      </c>
      <c r="J36" s="442" t="str">
        <f>VLOOKUP($A36, 'Matriz POA 2024-TRABAJO'!$A$5:$CY$9142,27,FALSE)</f>
        <v>000</v>
      </c>
      <c r="K36" s="444" t="str">
        <f>VLOOKUP($A36, 'Matriz POA 2024-TRABAJO'!$A$5:$CY$9142,28,FALSE)</f>
        <v>002</v>
      </c>
      <c r="L36" s="444" t="str">
        <f>VLOOKUP($A36, 'Matriz POA 2024-TRABAJO'!$A$5:$CY$9142,29,FALSE)</f>
        <v>53</v>
      </c>
      <c r="M36" s="444">
        <f>VLOOKUP($A36, 'Matriz POA 2024-TRABAJO'!$A$5:$CY$9142,30,FALSE)</f>
        <v>530101</v>
      </c>
      <c r="N36" s="444" t="str">
        <f>VLOOKUP($A36, 'Matriz POA 2024-TRABAJO'!$A$5:$CY$9142,33,FALSE)</f>
        <v>001</v>
      </c>
      <c r="O36" s="444" t="str">
        <f>VLOOKUP($A36, 'Matriz POA 2024-TRABAJO'!$A$5:$CY$9142,34,FALSE)</f>
        <v>0000</v>
      </c>
      <c r="P36" s="444" t="str">
        <f>VLOOKUP($A36, 'Matriz POA 2024-TRABAJO'!$A$5:$CY$9142,35,FALSE)</f>
        <v>0000</v>
      </c>
      <c r="Q36" s="445">
        <f>VLOOKUP($A36, 'Matriz POA 2024-TRABAJO'!$A$5:$CY$9142,47,FALSE)</f>
        <v>135</v>
      </c>
      <c r="R36" s="446">
        <f t="shared" si="45"/>
        <v>135</v>
      </c>
      <c r="S36" s="446">
        <f t="shared" si="46"/>
        <v>135</v>
      </c>
      <c r="T36" s="446">
        <f t="shared" si="47"/>
        <v>0</v>
      </c>
      <c r="U36" s="446">
        <f t="shared" si="48"/>
        <v>0</v>
      </c>
      <c r="V36" s="446" t="str">
        <f t="shared" si="49"/>
        <v>43</v>
      </c>
      <c r="W36" s="511">
        <v>43</v>
      </c>
      <c r="X36" s="404" t="s">
        <v>1299</v>
      </c>
      <c r="Y36" s="404" t="s">
        <v>1300</v>
      </c>
      <c r="Z36" s="404">
        <v>135</v>
      </c>
      <c r="AA36" s="404">
        <v>135</v>
      </c>
      <c r="AB36" s="398">
        <f t="shared" si="41"/>
        <v>0</v>
      </c>
      <c r="AC36" s="403"/>
      <c r="AD36" s="404"/>
      <c r="AE36" s="404"/>
      <c r="AF36" s="404"/>
      <c r="AG36" s="398"/>
      <c r="AH36" s="398">
        <f>IF(AD36="APROBADO",AF36-AG36,0)</f>
        <v>0</v>
      </c>
      <c r="AI36" s="405"/>
      <c r="AJ36" s="404"/>
      <c r="AK36" s="404"/>
      <c r="AL36" s="404"/>
      <c r="AM36" s="398"/>
      <c r="AN36" s="398">
        <f t="shared" si="37"/>
        <v>0</v>
      </c>
      <c r="AO36" s="398"/>
      <c r="AP36" s="404"/>
      <c r="AQ36" s="404"/>
      <c r="AR36" s="404"/>
      <c r="AS36" s="398"/>
      <c r="AT36" s="398">
        <f t="shared" si="38"/>
        <v>0</v>
      </c>
      <c r="AU36" s="398"/>
      <c r="AV36" s="404"/>
      <c r="AW36" s="404"/>
      <c r="AX36" s="404"/>
      <c r="AY36" s="404"/>
      <c r="AZ36" s="398">
        <f t="shared" si="39"/>
        <v>0</v>
      </c>
      <c r="BA36" s="398"/>
      <c r="BB36" s="404"/>
      <c r="BC36" s="404"/>
      <c r="BD36" s="404"/>
      <c r="BE36" s="398"/>
      <c r="BF36" s="398">
        <f t="shared" si="40"/>
        <v>0</v>
      </c>
      <c r="BG36" s="398"/>
      <c r="BH36" s="404"/>
      <c r="BI36" s="404"/>
      <c r="BJ36" s="404"/>
      <c r="BK36" s="398"/>
      <c r="BL36" s="398">
        <f t="shared" si="51"/>
        <v>0</v>
      </c>
      <c r="BM36" s="398"/>
      <c r="BN36" s="404"/>
      <c r="BO36" s="404"/>
      <c r="BP36" s="404"/>
      <c r="BQ36" s="398"/>
      <c r="BR36" s="398">
        <f t="shared" si="52"/>
        <v>0</v>
      </c>
      <c r="BS36" s="398"/>
      <c r="BT36" s="404"/>
      <c r="BU36" s="404"/>
      <c r="BV36" s="404"/>
      <c r="BW36" s="398"/>
      <c r="BX36" s="398">
        <f t="shared" si="53"/>
        <v>0</v>
      </c>
      <c r="BY36" s="398"/>
      <c r="BZ36" s="404"/>
      <c r="CA36" s="404"/>
      <c r="CB36" s="404"/>
      <c r="CC36" s="398"/>
      <c r="CD36" s="398">
        <f t="shared" si="54"/>
        <v>0</v>
      </c>
      <c r="CE36" s="398"/>
      <c r="CF36" s="404"/>
      <c r="CG36" s="404"/>
      <c r="CH36" s="404"/>
      <c r="CI36" s="398"/>
      <c r="CJ36" s="398">
        <f t="shared" si="55"/>
        <v>0</v>
      </c>
      <c r="CK36" s="398"/>
      <c r="CL36" s="404"/>
      <c r="CM36" s="404"/>
      <c r="CN36" s="404"/>
      <c r="CO36" s="398"/>
      <c r="CP36" s="398">
        <f t="shared" si="56"/>
        <v>0</v>
      </c>
      <c r="CQ36" s="398"/>
      <c r="CR36" s="404"/>
      <c r="CS36" s="404"/>
      <c r="CT36" s="404"/>
      <c r="CU36" s="398"/>
      <c r="CV36" s="398">
        <f t="shared" si="57"/>
        <v>0</v>
      </c>
      <c r="CW36" s="398"/>
      <c r="CX36" s="404"/>
      <c r="CY36" s="404"/>
      <c r="CZ36" s="404"/>
      <c r="DA36" s="398"/>
      <c r="DB36" s="398">
        <f t="shared" si="58"/>
        <v>0</v>
      </c>
      <c r="DC36" s="398"/>
      <c r="DD36" s="404"/>
      <c r="DE36" s="404"/>
      <c r="DF36" s="404"/>
      <c r="DG36" s="398"/>
      <c r="DH36" s="398">
        <f t="shared" si="59"/>
        <v>0</v>
      </c>
      <c r="DI36" s="398"/>
      <c r="DJ36" s="404"/>
      <c r="DK36" s="404"/>
      <c r="DL36" s="404"/>
      <c r="DM36" s="398"/>
      <c r="DN36" s="398">
        <f t="shared" si="60"/>
        <v>0</v>
      </c>
      <c r="DO36" s="398"/>
      <c r="DP36" s="404"/>
      <c r="DQ36" s="404"/>
      <c r="DR36" s="404"/>
      <c r="DS36" s="398"/>
      <c r="DT36" s="398">
        <f t="shared" si="61"/>
        <v>0</v>
      </c>
      <c r="DU36" s="398"/>
      <c r="DV36" s="404"/>
      <c r="DW36" s="404"/>
      <c r="DX36" s="404"/>
      <c r="DY36" s="398"/>
      <c r="DZ36" s="398">
        <f t="shared" si="62"/>
        <v>0</v>
      </c>
      <c r="EA36" s="398"/>
      <c r="EB36" s="404"/>
      <c r="EC36" s="404"/>
      <c r="ED36" s="404"/>
      <c r="EE36" s="398"/>
      <c r="EF36" s="398">
        <f t="shared" si="63"/>
        <v>0</v>
      </c>
      <c r="EG36" s="398"/>
      <c r="EH36" s="404"/>
      <c r="EI36" s="404"/>
      <c r="EJ36" s="404"/>
      <c r="EK36" s="398"/>
      <c r="EL36" s="398">
        <f t="shared" si="64"/>
        <v>0</v>
      </c>
      <c r="EM36" s="398"/>
      <c r="EN36" s="404"/>
      <c r="EO36" s="404"/>
      <c r="EP36" s="404"/>
      <c r="EQ36" s="398"/>
      <c r="ER36" s="398">
        <f t="shared" si="65"/>
        <v>0</v>
      </c>
      <c r="ES36" s="398"/>
      <c r="ET36" s="404"/>
      <c r="EU36" s="404"/>
      <c r="EV36" s="404"/>
      <c r="EW36" s="398"/>
      <c r="EX36" s="398">
        <f t="shared" si="66"/>
        <v>0</v>
      </c>
      <c r="EY36" s="398" t="e">
        <f>VLOOKUP($A36,[2]Devengado!$A$1:$AI$3,35,FALSE)</f>
        <v>#N/A</v>
      </c>
    </row>
    <row r="37" spans="1:155" ht="23.25" hidden="1" customHeight="1">
      <c r="A37" s="341">
        <v>734</v>
      </c>
      <c r="B37" s="442" t="str">
        <f>VLOOKUP($A37,  'Matriz POA 2024-TRABAJO'!$A$5:$CY$9142,11,FALSE)</f>
        <v>Corporación Ciudad Alfaro</v>
      </c>
      <c r="C37" s="442" t="str">
        <f>VLOOKUP($A37, 'Matriz POA 2024-TRABAJO'!$A$5:$CY$9142,14,FALSE)</f>
        <v>N/A</v>
      </c>
      <c r="D37" s="442" t="str">
        <f>VLOOKUP($A37, 'Matriz POA 2024-TRABAJO'!$A$5:$CY$9142,15,FALSE)</f>
        <v>N/A</v>
      </c>
      <c r="E37" s="442" t="str">
        <f>VLOOKUP($A37, 'Matriz POA 2024-TRABAJO'!$A$5:$CY$9142,18,FALSE)</f>
        <v>N/A</v>
      </c>
      <c r="F37" s="442" t="str">
        <f>VLOOKUP($A37, 'Matriz POA 2024-TRABAJO'!$A$5:$CY$9142,23,FALSE)</f>
        <v>NUEVA</v>
      </c>
      <c r="G37" s="443" t="str">
        <f>VLOOKUP($A37, 'Matriz POA 2024-TRABAJO'!$A$5:$CY$9142,24,FALSE)</f>
        <v>Contratación del servicio de combustible para  los vehículos de la Corporación Ciudad Alfaro para el año 2024</v>
      </c>
      <c r="H37" s="442" t="str">
        <f>VLOOKUP($A37, 'Matriz POA 2024-TRABAJO'!$A$5:$CY$9142,25,FALSE)</f>
        <v>0035</v>
      </c>
      <c r="I37" s="442" t="str">
        <f>VLOOKUP($A37, 'Matriz POA 2024-TRABAJO'!$A$5:$CY$9142,26,FALSE)</f>
        <v>80</v>
      </c>
      <c r="J37" s="442" t="str">
        <f>VLOOKUP($A37, 'Matriz POA 2024-TRABAJO'!$A$5:$CY$9142,27,FALSE)</f>
        <v>000</v>
      </c>
      <c r="K37" s="444" t="str">
        <f>VLOOKUP($A37, 'Matriz POA 2024-TRABAJO'!$A$5:$CY$9142,28,FALSE)</f>
        <v>002</v>
      </c>
      <c r="L37" s="444" t="str">
        <f>VLOOKUP($A37, 'Matriz POA 2024-TRABAJO'!$A$5:$CY$9142,29,FALSE)</f>
        <v>53</v>
      </c>
      <c r="M37" s="444">
        <f>VLOOKUP($A37, 'Matriz POA 2024-TRABAJO'!$A$5:$CY$9142,30,FALSE)</f>
        <v>530255</v>
      </c>
      <c r="N37" s="444" t="str">
        <f>VLOOKUP($A37, 'Matriz POA 2024-TRABAJO'!$A$5:$CY$9142,33,FALSE)</f>
        <v>001</v>
      </c>
      <c r="O37" s="444" t="str">
        <f>VLOOKUP($A37, 'Matriz POA 2024-TRABAJO'!$A$5:$CY$9142,34,FALSE)</f>
        <v>0000</v>
      </c>
      <c r="P37" s="444" t="str">
        <f>VLOOKUP($A37, 'Matriz POA 2024-TRABAJO'!$A$5:$CY$9142,35,FALSE)</f>
        <v>0000</v>
      </c>
      <c r="Q37" s="445">
        <f>VLOOKUP($A37, 'Matriz POA 2024-TRABAJO'!$A$5:$CY$9142,47,FALSE)</f>
        <v>6659.36</v>
      </c>
      <c r="R37" s="446">
        <f t="shared" si="45"/>
        <v>6659.36</v>
      </c>
      <c r="S37" s="446">
        <f t="shared" si="46"/>
        <v>6659.36</v>
      </c>
      <c r="T37" s="446">
        <f t="shared" si="47"/>
        <v>0</v>
      </c>
      <c r="U37" s="446">
        <f t="shared" si="48"/>
        <v>0</v>
      </c>
      <c r="V37" s="446" t="str">
        <f t="shared" si="49"/>
        <v>44</v>
      </c>
      <c r="W37" s="511">
        <v>44</v>
      </c>
      <c r="X37" s="404" t="s">
        <v>1299</v>
      </c>
      <c r="Y37" s="404" t="s">
        <v>1300</v>
      </c>
      <c r="Z37" s="404">
        <v>6659.36</v>
      </c>
      <c r="AA37" s="404">
        <v>6659.36</v>
      </c>
      <c r="AB37" s="398">
        <f t="shared" si="41"/>
        <v>0</v>
      </c>
      <c r="AC37" s="405"/>
      <c r="AD37" s="404"/>
      <c r="AE37" s="404"/>
      <c r="AF37" s="404"/>
      <c r="AG37" s="398"/>
      <c r="AH37" s="398">
        <f t="shared" ref="AH37" si="69">IF(AD37="APROBADO",AF37-AG37,0)</f>
        <v>0</v>
      </c>
      <c r="AI37" s="405"/>
      <c r="AJ37" s="404"/>
      <c r="AK37" s="404"/>
      <c r="AL37" s="404"/>
      <c r="AM37" s="398"/>
      <c r="AN37" s="398">
        <f t="shared" si="37"/>
        <v>0</v>
      </c>
      <c r="AO37" s="398"/>
      <c r="AP37" s="404"/>
      <c r="AQ37" s="404"/>
      <c r="AR37" s="404"/>
      <c r="AS37" s="398"/>
      <c r="AT37" s="398">
        <f t="shared" si="38"/>
        <v>0</v>
      </c>
      <c r="AU37" s="398"/>
      <c r="AV37" s="404"/>
      <c r="AW37" s="404"/>
      <c r="AX37" s="404"/>
      <c r="AY37" s="404"/>
      <c r="AZ37" s="398">
        <f t="shared" si="39"/>
        <v>0</v>
      </c>
      <c r="BA37" s="398"/>
      <c r="BB37" s="404"/>
      <c r="BC37" s="404"/>
      <c r="BD37" s="404"/>
      <c r="BE37" s="398"/>
      <c r="BF37" s="398">
        <f t="shared" si="40"/>
        <v>0</v>
      </c>
      <c r="BG37" s="398"/>
      <c r="BH37" s="404"/>
      <c r="BI37" s="404"/>
      <c r="BJ37" s="404"/>
      <c r="BK37" s="398"/>
      <c r="BL37" s="398">
        <f t="shared" si="51"/>
        <v>0</v>
      </c>
      <c r="BM37" s="398"/>
      <c r="BN37" s="404"/>
      <c r="BO37" s="404"/>
      <c r="BP37" s="404"/>
      <c r="BQ37" s="398"/>
      <c r="BR37" s="398">
        <f t="shared" si="52"/>
        <v>0</v>
      </c>
      <c r="BS37" s="398"/>
      <c r="BT37" s="404"/>
      <c r="BU37" s="404"/>
      <c r="BV37" s="404"/>
      <c r="BW37" s="398"/>
      <c r="BX37" s="398">
        <f t="shared" si="53"/>
        <v>0</v>
      </c>
      <c r="BY37" s="398"/>
      <c r="BZ37" s="404"/>
      <c r="CA37" s="404"/>
      <c r="CB37" s="404"/>
      <c r="CC37" s="398"/>
      <c r="CD37" s="398">
        <f t="shared" si="54"/>
        <v>0</v>
      </c>
      <c r="CE37" s="398"/>
      <c r="CF37" s="404"/>
      <c r="CG37" s="404"/>
      <c r="CH37" s="404"/>
      <c r="CI37" s="398"/>
      <c r="CJ37" s="398">
        <f t="shared" si="55"/>
        <v>0</v>
      </c>
      <c r="CK37" s="398"/>
      <c r="CL37" s="404"/>
      <c r="CM37" s="404"/>
      <c r="CN37" s="404"/>
      <c r="CO37" s="398"/>
      <c r="CP37" s="398">
        <f t="shared" si="56"/>
        <v>0</v>
      </c>
      <c r="CQ37" s="398"/>
      <c r="CR37" s="404"/>
      <c r="CS37" s="404"/>
      <c r="CT37" s="404"/>
      <c r="CU37" s="398"/>
      <c r="CV37" s="398">
        <f t="shared" si="57"/>
        <v>0</v>
      </c>
      <c r="CW37" s="398"/>
      <c r="CX37" s="404"/>
      <c r="CY37" s="404"/>
      <c r="CZ37" s="404"/>
      <c r="DA37" s="398"/>
      <c r="DB37" s="398">
        <f t="shared" si="58"/>
        <v>0</v>
      </c>
      <c r="DC37" s="398"/>
      <c r="DD37" s="404"/>
      <c r="DE37" s="404"/>
      <c r="DF37" s="404"/>
      <c r="DG37" s="398"/>
      <c r="DH37" s="398">
        <f t="shared" si="59"/>
        <v>0</v>
      </c>
      <c r="DI37" s="398"/>
      <c r="DJ37" s="404"/>
      <c r="DK37" s="404"/>
      <c r="DL37" s="404"/>
      <c r="DM37" s="398"/>
      <c r="DN37" s="398">
        <f t="shared" si="60"/>
        <v>0</v>
      </c>
      <c r="DO37" s="398"/>
      <c r="DP37" s="404"/>
      <c r="DQ37" s="404"/>
      <c r="DR37" s="404"/>
      <c r="DS37" s="398"/>
      <c r="DT37" s="398">
        <f t="shared" si="61"/>
        <v>0</v>
      </c>
      <c r="DU37" s="398"/>
      <c r="DV37" s="404"/>
      <c r="DW37" s="404"/>
      <c r="DX37" s="404"/>
      <c r="DY37" s="398"/>
      <c r="DZ37" s="398">
        <f t="shared" si="62"/>
        <v>0</v>
      </c>
      <c r="EA37" s="398"/>
      <c r="EB37" s="404"/>
      <c r="EC37" s="404"/>
      <c r="ED37" s="404"/>
      <c r="EE37" s="398"/>
      <c r="EF37" s="398">
        <f t="shared" si="63"/>
        <v>0</v>
      </c>
      <c r="EG37" s="398"/>
      <c r="EH37" s="404"/>
      <c r="EI37" s="404"/>
      <c r="EJ37" s="404"/>
      <c r="EK37" s="398"/>
      <c r="EL37" s="398">
        <f t="shared" si="64"/>
        <v>0</v>
      </c>
      <c r="EM37" s="398"/>
      <c r="EN37" s="404"/>
      <c r="EO37" s="404"/>
      <c r="EP37" s="404"/>
      <c r="EQ37" s="398"/>
      <c r="ER37" s="398">
        <f t="shared" si="65"/>
        <v>0</v>
      </c>
      <c r="ES37" s="398"/>
      <c r="ET37" s="404"/>
      <c r="EU37" s="404"/>
      <c r="EV37" s="404"/>
      <c r="EW37" s="398"/>
      <c r="EX37" s="398">
        <f t="shared" si="66"/>
        <v>0</v>
      </c>
      <c r="EY37" s="398" t="e">
        <f>VLOOKUP($A37,[2]Devengado!$A$1:$AI$3,35,FALSE)</f>
        <v>#N/A</v>
      </c>
    </row>
    <row r="38" spans="1:155" ht="23.25" hidden="1" customHeight="1">
      <c r="A38" s="341">
        <v>436</v>
      </c>
      <c r="B38" s="442" t="str">
        <f>VLOOKUP($A38,  'Matriz POA 2024-TRABAJO'!$A$5:$CY$9142,11,FALSE)</f>
        <v>Corporación Ciudad Alfaro</v>
      </c>
      <c r="C38" s="442" t="str">
        <f>VLOOKUP($A38, 'Matriz POA 2024-TRABAJO'!$A$5:$CY$9142,14,FALSE)</f>
        <v>N/A</v>
      </c>
      <c r="D38" s="442" t="str">
        <f>VLOOKUP($A38, 'Matriz POA 2024-TRABAJO'!$A$5:$CY$9142,15,FALSE)</f>
        <v>N/A</v>
      </c>
      <c r="E38" s="442" t="str">
        <f>VLOOKUP($A38, 'Matriz POA 2024-TRABAJO'!$A$5:$CY$9142,18,FALSE)</f>
        <v>N/A</v>
      </c>
      <c r="F38" s="442" t="str">
        <f>VLOOKUP($A38, 'Matriz POA 2024-TRABAJO'!$A$5:$CY$9142,23,FALSE)</f>
        <v>PLURIANUAL 2023-2024</v>
      </c>
      <c r="G38" s="443" t="str">
        <f>VLOOKUP($A38, 'Matriz POA 2024-TRABAJO'!$A$5:$CY$9142,24,FALSE)</f>
        <v>Pago del Servicio de aseo y Limpieza del Museo Bahía de Caráquez por el período 2023-2024</v>
      </c>
      <c r="H38" s="442" t="str">
        <f>VLOOKUP($A38, 'Matriz POA 2024-TRABAJO'!$A$5:$CY$9142,25,FALSE)</f>
        <v>0035</v>
      </c>
      <c r="I38" s="442" t="str">
        <f>VLOOKUP($A38, 'Matriz POA 2024-TRABAJO'!$A$5:$CY$9142,26,FALSE)</f>
        <v>80</v>
      </c>
      <c r="J38" s="442" t="str">
        <f>VLOOKUP($A38, 'Matriz POA 2024-TRABAJO'!$A$5:$CY$9142,27,FALSE)</f>
        <v>000</v>
      </c>
      <c r="K38" s="444" t="str">
        <f>VLOOKUP($A38, 'Matriz POA 2024-TRABAJO'!$A$5:$CY$9142,28,FALSE)</f>
        <v>002</v>
      </c>
      <c r="L38" s="444" t="str">
        <f>VLOOKUP($A38, 'Matriz POA 2024-TRABAJO'!$A$5:$CY$9142,29,FALSE)</f>
        <v>53</v>
      </c>
      <c r="M38" s="444">
        <f>VLOOKUP($A38, 'Matriz POA 2024-TRABAJO'!$A$5:$CY$9142,30,FALSE)</f>
        <v>530209</v>
      </c>
      <c r="N38" s="444" t="str">
        <f>VLOOKUP($A38, 'Matriz POA 2024-TRABAJO'!$A$5:$CY$9142,33,FALSE)</f>
        <v>001</v>
      </c>
      <c r="O38" s="444" t="str">
        <f>VLOOKUP($A38, 'Matriz POA 2024-TRABAJO'!$A$5:$CY$9142,34,FALSE)</f>
        <v>0000</v>
      </c>
      <c r="P38" s="444" t="str">
        <f>VLOOKUP($A38, 'Matriz POA 2024-TRABAJO'!$A$5:$CY$9142,35,FALSE)</f>
        <v>0000</v>
      </c>
      <c r="Q38" s="445">
        <f>VLOOKUP($A38, 'Matriz POA 2024-TRABAJO'!$A$5:$CY$9142,47,FALSE)</f>
        <v>22446</v>
      </c>
      <c r="R38" s="446">
        <f t="shared" si="45"/>
        <v>22446</v>
      </c>
      <c r="S38" s="446">
        <f t="shared" si="46"/>
        <v>22446</v>
      </c>
      <c r="T38" s="446">
        <f t="shared" si="47"/>
        <v>0</v>
      </c>
      <c r="U38" s="446">
        <f t="shared" si="48"/>
        <v>0</v>
      </c>
      <c r="V38" s="446" t="str">
        <f t="shared" si="49"/>
        <v>45</v>
      </c>
      <c r="W38" s="511">
        <v>45</v>
      </c>
      <c r="X38" s="404" t="s">
        <v>1299</v>
      </c>
      <c r="Y38" s="404" t="s">
        <v>1300</v>
      </c>
      <c r="Z38" s="404">
        <v>22446</v>
      </c>
      <c r="AA38" s="404">
        <v>22446</v>
      </c>
      <c r="AB38" s="398">
        <f t="shared" si="41"/>
        <v>0</v>
      </c>
      <c r="AC38" s="403"/>
      <c r="AD38" s="404"/>
      <c r="AE38" s="404"/>
      <c r="AF38" s="404"/>
      <c r="AG38" s="398"/>
      <c r="AH38" s="398">
        <f>IF(AD38="APROBADO",AF38-AG38,0)</f>
        <v>0</v>
      </c>
      <c r="AI38" s="405"/>
      <c r="AJ38" s="404"/>
      <c r="AK38" s="404"/>
      <c r="AL38" s="404"/>
      <c r="AM38" s="398"/>
      <c r="AN38" s="398">
        <f t="shared" si="37"/>
        <v>0</v>
      </c>
      <c r="AO38" s="398"/>
      <c r="AP38" s="404"/>
      <c r="AQ38" s="404"/>
      <c r="AR38" s="404"/>
      <c r="AS38" s="398"/>
      <c r="AT38" s="398">
        <f t="shared" si="38"/>
        <v>0</v>
      </c>
      <c r="AU38" s="398"/>
      <c r="AV38" s="404"/>
      <c r="AW38" s="404"/>
      <c r="AX38" s="404"/>
      <c r="AY38" s="404"/>
      <c r="AZ38" s="398">
        <f t="shared" si="39"/>
        <v>0</v>
      </c>
      <c r="BA38" s="398"/>
      <c r="BB38" s="404"/>
      <c r="BC38" s="404"/>
      <c r="BD38" s="404"/>
      <c r="BE38" s="398"/>
      <c r="BF38" s="398">
        <f t="shared" si="40"/>
        <v>0</v>
      </c>
      <c r="BG38" s="398"/>
      <c r="BH38" s="404"/>
      <c r="BI38" s="404"/>
      <c r="BJ38" s="404"/>
      <c r="BK38" s="398"/>
      <c r="BL38" s="398">
        <f t="shared" si="51"/>
        <v>0</v>
      </c>
      <c r="BM38" s="398"/>
      <c r="BN38" s="404"/>
      <c r="BO38" s="404"/>
      <c r="BP38" s="404"/>
      <c r="BQ38" s="398"/>
      <c r="BR38" s="398">
        <f t="shared" si="52"/>
        <v>0</v>
      </c>
      <c r="BS38" s="398"/>
      <c r="BT38" s="404"/>
      <c r="BU38" s="404"/>
      <c r="BV38" s="404"/>
      <c r="BW38" s="398"/>
      <c r="BX38" s="398">
        <f t="shared" si="53"/>
        <v>0</v>
      </c>
      <c r="BY38" s="398"/>
      <c r="BZ38" s="404"/>
      <c r="CA38" s="404"/>
      <c r="CB38" s="404"/>
      <c r="CC38" s="398"/>
      <c r="CD38" s="398">
        <f t="shared" si="54"/>
        <v>0</v>
      </c>
      <c r="CE38" s="398"/>
      <c r="CF38" s="404"/>
      <c r="CG38" s="404"/>
      <c r="CH38" s="404"/>
      <c r="CI38" s="398"/>
      <c r="CJ38" s="398">
        <f t="shared" si="55"/>
        <v>0</v>
      </c>
      <c r="CK38" s="398"/>
      <c r="CL38" s="404"/>
      <c r="CM38" s="404"/>
      <c r="CN38" s="404"/>
      <c r="CO38" s="398"/>
      <c r="CP38" s="398">
        <f t="shared" si="56"/>
        <v>0</v>
      </c>
      <c r="CQ38" s="398"/>
      <c r="CR38" s="404"/>
      <c r="CS38" s="404"/>
      <c r="CT38" s="404"/>
      <c r="CU38" s="398"/>
      <c r="CV38" s="398">
        <f t="shared" si="57"/>
        <v>0</v>
      </c>
      <c r="CW38" s="398"/>
      <c r="CX38" s="404"/>
      <c r="CY38" s="404"/>
      <c r="CZ38" s="404"/>
      <c r="DA38" s="398"/>
      <c r="DB38" s="398">
        <f t="shared" si="58"/>
        <v>0</v>
      </c>
      <c r="DC38" s="398"/>
      <c r="DD38" s="404"/>
      <c r="DE38" s="404"/>
      <c r="DF38" s="404"/>
      <c r="DG38" s="398"/>
      <c r="DH38" s="398">
        <f t="shared" si="59"/>
        <v>0</v>
      </c>
      <c r="DI38" s="398"/>
      <c r="DJ38" s="404"/>
      <c r="DK38" s="404"/>
      <c r="DL38" s="404"/>
      <c r="DM38" s="398"/>
      <c r="DN38" s="398">
        <f t="shared" si="60"/>
        <v>0</v>
      </c>
      <c r="DO38" s="398"/>
      <c r="DP38" s="404"/>
      <c r="DQ38" s="404"/>
      <c r="DR38" s="404"/>
      <c r="DS38" s="398"/>
      <c r="DT38" s="398">
        <f t="shared" si="61"/>
        <v>0</v>
      </c>
      <c r="DU38" s="398"/>
      <c r="DV38" s="404"/>
      <c r="DW38" s="404"/>
      <c r="DX38" s="404"/>
      <c r="DY38" s="398"/>
      <c r="DZ38" s="398">
        <f t="shared" si="62"/>
        <v>0</v>
      </c>
      <c r="EA38" s="398"/>
      <c r="EB38" s="404"/>
      <c r="EC38" s="404"/>
      <c r="ED38" s="404"/>
      <c r="EE38" s="398"/>
      <c r="EF38" s="398">
        <f t="shared" si="63"/>
        <v>0</v>
      </c>
      <c r="EG38" s="398"/>
      <c r="EH38" s="404"/>
      <c r="EI38" s="404"/>
      <c r="EJ38" s="404"/>
      <c r="EK38" s="398"/>
      <c r="EL38" s="398">
        <f t="shared" si="64"/>
        <v>0</v>
      </c>
      <c r="EM38" s="398"/>
      <c r="EN38" s="404"/>
      <c r="EO38" s="404"/>
      <c r="EP38" s="404"/>
      <c r="EQ38" s="398"/>
      <c r="ER38" s="398">
        <f t="shared" si="65"/>
        <v>0</v>
      </c>
      <c r="ES38" s="398"/>
      <c r="ET38" s="404"/>
      <c r="EU38" s="404"/>
      <c r="EV38" s="404"/>
      <c r="EW38" s="398"/>
      <c r="EX38" s="398">
        <f t="shared" si="66"/>
        <v>0</v>
      </c>
      <c r="EY38" s="398" t="e">
        <f>VLOOKUP($A38,[2]Devengado!$A$1:$AI$3,35,FALSE)</f>
        <v>#N/A</v>
      </c>
    </row>
    <row r="39" spans="1:155" ht="23.25" hidden="1" customHeight="1">
      <c r="A39" s="341">
        <v>435</v>
      </c>
      <c r="B39" s="442" t="str">
        <f>VLOOKUP($A39,  'Matriz POA 2024-TRABAJO'!$A$5:$CY$9142,11,FALSE)</f>
        <v>Corporación Ciudad Alfaro</v>
      </c>
      <c r="C39" s="442" t="str">
        <f>VLOOKUP($A39, 'Matriz POA 2024-TRABAJO'!$A$5:$CY$9142,14,FALSE)</f>
        <v>N/A</v>
      </c>
      <c r="D39" s="442" t="str">
        <f>VLOOKUP($A39, 'Matriz POA 2024-TRABAJO'!$A$5:$CY$9142,15,FALSE)</f>
        <v>N/A</v>
      </c>
      <c r="E39" s="442" t="str">
        <f>VLOOKUP($A39, 'Matriz POA 2024-TRABAJO'!$A$5:$CY$9142,18,FALSE)</f>
        <v>N/A</v>
      </c>
      <c r="F39" s="442" t="str">
        <f>VLOOKUP($A39, 'Matriz POA 2024-TRABAJO'!$A$5:$CY$9142,23,FALSE)</f>
        <v>PLURIANUAL 2023-2024</v>
      </c>
      <c r="G39" s="443" t="str">
        <f>VLOOKUP($A39, 'Matriz POA 2024-TRABAJO'!$A$5:$CY$9142,24,FALSE)</f>
        <v>Pago del servicio de aseo y limpieza del Museo Centro Cultural Manta por el período 2023-2024</v>
      </c>
      <c r="H39" s="442" t="str">
        <f>VLOOKUP($A39, 'Matriz POA 2024-TRABAJO'!$A$5:$CY$9142,25,FALSE)</f>
        <v>0035</v>
      </c>
      <c r="I39" s="442" t="str">
        <f>VLOOKUP($A39, 'Matriz POA 2024-TRABAJO'!$A$5:$CY$9142,26,FALSE)</f>
        <v>80</v>
      </c>
      <c r="J39" s="442" t="str">
        <f>VLOOKUP($A39, 'Matriz POA 2024-TRABAJO'!$A$5:$CY$9142,27,FALSE)</f>
        <v>000</v>
      </c>
      <c r="K39" s="444" t="str">
        <f>VLOOKUP($A39, 'Matriz POA 2024-TRABAJO'!$A$5:$CY$9142,28,FALSE)</f>
        <v>002</v>
      </c>
      <c r="L39" s="444" t="str">
        <f>VLOOKUP($A39, 'Matriz POA 2024-TRABAJO'!$A$5:$CY$9142,29,FALSE)</f>
        <v>53</v>
      </c>
      <c r="M39" s="444">
        <f>VLOOKUP($A39, 'Matriz POA 2024-TRABAJO'!$A$5:$CY$9142,30,FALSE)</f>
        <v>530209</v>
      </c>
      <c r="N39" s="444" t="str">
        <f>VLOOKUP($A39, 'Matriz POA 2024-TRABAJO'!$A$5:$CY$9142,33,FALSE)</f>
        <v>001</v>
      </c>
      <c r="O39" s="444" t="str">
        <f>VLOOKUP($A39, 'Matriz POA 2024-TRABAJO'!$A$5:$CY$9142,34,FALSE)</f>
        <v>0000</v>
      </c>
      <c r="P39" s="444" t="str">
        <f>VLOOKUP($A39, 'Matriz POA 2024-TRABAJO'!$A$5:$CY$9142,35,FALSE)</f>
        <v>0000</v>
      </c>
      <c r="Q39" s="445">
        <f>VLOOKUP($A39, 'Matriz POA 2024-TRABAJO'!$A$5:$CY$9142,47,FALSE)</f>
        <v>22446</v>
      </c>
      <c r="R39" s="446">
        <f t="shared" si="45"/>
        <v>22446</v>
      </c>
      <c r="S39" s="446">
        <f t="shared" si="46"/>
        <v>22446</v>
      </c>
      <c r="T39" s="446">
        <f t="shared" si="47"/>
        <v>0</v>
      </c>
      <c r="U39" s="446">
        <f t="shared" si="48"/>
        <v>0</v>
      </c>
      <c r="V39" s="446" t="str">
        <f t="shared" si="49"/>
        <v>46</v>
      </c>
      <c r="W39" s="511">
        <v>46</v>
      </c>
      <c r="X39" s="404" t="s">
        <v>1299</v>
      </c>
      <c r="Y39" s="404" t="s">
        <v>1300</v>
      </c>
      <c r="Z39" s="404">
        <v>22446</v>
      </c>
      <c r="AA39" s="404">
        <v>22446</v>
      </c>
      <c r="AB39" s="398">
        <f t="shared" si="41"/>
        <v>0</v>
      </c>
      <c r="AC39" s="405"/>
      <c r="AD39" s="404"/>
      <c r="AE39" s="404"/>
      <c r="AF39" s="404"/>
      <c r="AG39" s="398"/>
      <c r="AH39" s="398">
        <f t="shared" ref="AH39" si="70">IF(AD39="APROBADO",AF39-AG39,0)</f>
        <v>0</v>
      </c>
      <c r="AI39" s="405"/>
      <c r="AJ39" s="404"/>
      <c r="AK39" s="404"/>
      <c r="AL39" s="404"/>
      <c r="AM39" s="398"/>
      <c r="AN39" s="398">
        <f t="shared" si="37"/>
        <v>0</v>
      </c>
      <c r="AO39" s="398"/>
      <c r="AP39" s="404"/>
      <c r="AQ39" s="404"/>
      <c r="AR39" s="404"/>
      <c r="AS39" s="398"/>
      <c r="AT39" s="398">
        <f t="shared" si="38"/>
        <v>0</v>
      </c>
      <c r="AU39" s="398"/>
      <c r="AV39" s="404"/>
      <c r="AW39" s="404"/>
      <c r="AX39" s="404"/>
      <c r="AY39" s="404"/>
      <c r="AZ39" s="398">
        <f t="shared" si="39"/>
        <v>0</v>
      </c>
      <c r="BA39" s="398"/>
      <c r="BB39" s="404"/>
      <c r="BC39" s="404"/>
      <c r="BD39" s="404"/>
      <c r="BE39" s="398"/>
      <c r="BF39" s="398">
        <f t="shared" si="40"/>
        <v>0</v>
      </c>
      <c r="BG39" s="398"/>
      <c r="BH39" s="404"/>
      <c r="BI39" s="404"/>
      <c r="BJ39" s="404"/>
      <c r="BK39" s="398"/>
      <c r="BL39" s="398">
        <f t="shared" si="51"/>
        <v>0</v>
      </c>
      <c r="BM39" s="398"/>
      <c r="BN39" s="404"/>
      <c r="BO39" s="404"/>
      <c r="BP39" s="404"/>
      <c r="BQ39" s="398"/>
      <c r="BR39" s="398">
        <f t="shared" si="52"/>
        <v>0</v>
      </c>
      <c r="BS39" s="398"/>
      <c r="BT39" s="404"/>
      <c r="BU39" s="404"/>
      <c r="BV39" s="404"/>
      <c r="BW39" s="398"/>
      <c r="BX39" s="398">
        <f t="shared" si="53"/>
        <v>0</v>
      </c>
      <c r="BY39" s="398"/>
      <c r="BZ39" s="404"/>
      <c r="CA39" s="404"/>
      <c r="CB39" s="404"/>
      <c r="CC39" s="398"/>
      <c r="CD39" s="398">
        <f t="shared" si="54"/>
        <v>0</v>
      </c>
      <c r="CE39" s="398"/>
      <c r="CF39" s="404"/>
      <c r="CG39" s="404"/>
      <c r="CH39" s="404"/>
      <c r="CI39" s="398"/>
      <c r="CJ39" s="398">
        <f t="shared" si="55"/>
        <v>0</v>
      </c>
      <c r="CK39" s="398"/>
      <c r="CL39" s="404"/>
      <c r="CM39" s="404"/>
      <c r="CN39" s="404"/>
      <c r="CO39" s="398"/>
      <c r="CP39" s="398">
        <f t="shared" si="56"/>
        <v>0</v>
      </c>
      <c r="CQ39" s="398"/>
      <c r="CR39" s="404"/>
      <c r="CS39" s="404"/>
      <c r="CT39" s="404"/>
      <c r="CU39" s="398"/>
      <c r="CV39" s="398">
        <f t="shared" si="57"/>
        <v>0</v>
      </c>
      <c r="CW39" s="398"/>
      <c r="CX39" s="404"/>
      <c r="CY39" s="404"/>
      <c r="CZ39" s="404"/>
      <c r="DA39" s="398"/>
      <c r="DB39" s="398">
        <f t="shared" si="58"/>
        <v>0</v>
      </c>
      <c r="DC39" s="398"/>
      <c r="DD39" s="404"/>
      <c r="DE39" s="404"/>
      <c r="DF39" s="404"/>
      <c r="DG39" s="398"/>
      <c r="DH39" s="398">
        <f t="shared" si="59"/>
        <v>0</v>
      </c>
      <c r="DI39" s="398"/>
      <c r="DJ39" s="404"/>
      <c r="DK39" s="404"/>
      <c r="DL39" s="404"/>
      <c r="DM39" s="398"/>
      <c r="DN39" s="398">
        <f t="shared" si="60"/>
        <v>0</v>
      </c>
      <c r="DO39" s="398"/>
      <c r="DP39" s="404"/>
      <c r="DQ39" s="404"/>
      <c r="DR39" s="404"/>
      <c r="DS39" s="398"/>
      <c r="DT39" s="398">
        <f t="shared" si="61"/>
        <v>0</v>
      </c>
      <c r="DU39" s="398"/>
      <c r="DV39" s="404"/>
      <c r="DW39" s="404"/>
      <c r="DX39" s="404"/>
      <c r="DY39" s="398"/>
      <c r="DZ39" s="398">
        <f t="shared" si="62"/>
        <v>0</v>
      </c>
      <c r="EA39" s="398"/>
      <c r="EB39" s="404"/>
      <c r="EC39" s="404"/>
      <c r="ED39" s="404"/>
      <c r="EE39" s="398"/>
      <c r="EF39" s="398">
        <f t="shared" si="63"/>
        <v>0</v>
      </c>
      <c r="EG39" s="398"/>
      <c r="EH39" s="404"/>
      <c r="EI39" s="404"/>
      <c r="EJ39" s="404"/>
      <c r="EK39" s="398"/>
      <c r="EL39" s="398">
        <f t="shared" si="64"/>
        <v>0</v>
      </c>
      <c r="EM39" s="398"/>
      <c r="EN39" s="404"/>
      <c r="EO39" s="404"/>
      <c r="EP39" s="404"/>
      <c r="EQ39" s="398"/>
      <c r="ER39" s="398">
        <f t="shared" si="65"/>
        <v>0</v>
      </c>
      <c r="ES39" s="398"/>
      <c r="ET39" s="404"/>
      <c r="EU39" s="404"/>
      <c r="EV39" s="404"/>
      <c r="EW39" s="398"/>
      <c r="EX39" s="398">
        <f t="shared" si="66"/>
        <v>0</v>
      </c>
      <c r="EY39" s="398" t="e">
        <f>VLOOKUP($A39,[2]Devengado!$A$1:$AI$3,35,FALSE)</f>
        <v>#N/A</v>
      </c>
    </row>
    <row r="40" spans="1:155" ht="23.25" hidden="1" customHeight="1">
      <c r="A40" s="341">
        <v>438</v>
      </c>
      <c r="B40" s="442" t="str">
        <f>VLOOKUP($A40,  'Matriz POA 2024-TRABAJO'!$A$5:$CY$9142,11,FALSE)</f>
        <v>Corporación Ciudad Alfaro</v>
      </c>
      <c r="C40" s="442" t="str">
        <f>VLOOKUP($A40, 'Matriz POA 2024-TRABAJO'!$A$5:$CY$9142,14,FALSE)</f>
        <v>N/A</v>
      </c>
      <c r="D40" s="442" t="str">
        <f>VLOOKUP($A40, 'Matriz POA 2024-TRABAJO'!$A$5:$CY$9142,15,FALSE)</f>
        <v>N/A</v>
      </c>
      <c r="E40" s="442" t="str">
        <f>VLOOKUP($A40, 'Matriz POA 2024-TRABAJO'!$A$5:$CY$9142,18,FALSE)</f>
        <v>N/A</v>
      </c>
      <c r="F40" s="442" t="str">
        <f>VLOOKUP($A40, 'Matriz POA 2024-TRABAJO'!$A$5:$CY$9142,23,FALSE)</f>
        <v>PLURIANUAL 2023-2024</v>
      </c>
      <c r="G40" s="443" t="str">
        <f>VLOOKUP($A40, 'Matriz POA 2024-TRABAJO'!$A$5:$CY$9142,24,FALSE)</f>
        <v>Pago del Servicio de aseo y Limpieza de la Corporación Ciudad Alfaro</v>
      </c>
      <c r="H40" s="442" t="str">
        <f>VLOOKUP($A40, 'Matriz POA 2024-TRABAJO'!$A$5:$CY$9142,25,FALSE)</f>
        <v>0035</v>
      </c>
      <c r="I40" s="442" t="str">
        <f>VLOOKUP($A40, 'Matriz POA 2024-TRABAJO'!$A$5:$CY$9142,26,FALSE)</f>
        <v>80</v>
      </c>
      <c r="J40" s="442" t="str">
        <f>VLOOKUP($A40, 'Matriz POA 2024-TRABAJO'!$A$5:$CY$9142,27,FALSE)</f>
        <v>000</v>
      </c>
      <c r="K40" s="444" t="str">
        <f>VLOOKUP($A40, 'Matriz POA 2024-TRABAJO'!$A$5:$CY$9142,28,FALSE)</f>
        <v>002</v>
      </c>
      <c r="L40" s="444" t="str">
        <f>VLOOKUP($A40, 'Matriz POA 2024-TRABAJO'!$A$5:$CY$9142,29,FALSE)</f>
        <v>53</v>
      </c>
      <c r="M40" s="444">
        <f>VLOOKUP($A40, 'Matriz POA 2024-TRABAJO'!$A$5:$CY$9142,30,FALSE)</f>
        <v>530209</v>
      </c>
      <c r="N40" s="444" t="str">
        <f>VLOOKUP($A40, 'Matriz POA 2024-TRABAJO'!$A$5:$CY$9142,33,FALSE)</f>
        <v>001</v>
      </c>
      <c r="O40" s="444" t="str">
        <f>VLOOKUP($A40, 'Matriz POA 2024-TRABAJO'!$A$5:$CY$9142,34,FALSE)</f>
        <v>0000</v>
      </c>
      <c r="P40" s="444" t="str">
        <f>VLOOKUP($A40, 'Matriz POA 2024-TRABAJO'!$A$5:$CY$9142,35,FALSE)</f>
        <v>0000</v>
      </c>
      <c r="Q40" s="445">
        <f>VLOOKUP($A40, 'Matriz POA 2024-TRABAJO'!$A$5:$CY$9142,47,FALSE)</f>
        <v>22523.4</v>
      </c>
      <c r="R40" s="446">
        <f t="shared" si="45"/>
        <v>22523.4</v>
      </c>
      <c r="S40" s="446">
        <f t="shared" si="46"/>
        <v>22523.4</v>
      </c>
      <c r="T40" s="446">
        <f t="shared" si="47"/>
        <v>0</v>
      </c>
      <c r="U40" s="446">
        <f t="shared" si="48"/>
        <v>0</v>
      </c>
      <c r="V40" s="446" t="str">
        <f t="shared" si="49"/>
        <v>47</v>
      </c>
      <c r="W40" s="511">
        <v>47</v>
      </c>
      <c r="X40" s="404" t="s">
        <v>1299</v>
      </c>
      <c r="Y40" s="404" t="s">
        <v>1300</v>
      </c>
      <c r="Z40" s="404">
        <v>22523.4</v>
      </c>
      <c r="AA40" s="404">
        <v>22523.4</v>
      </c>
      <c r="AB40" s="398">
        <f t="shared" si="41"/>
        <v>0</v>
      </c>
      <c r="AC40" s="403"/>
      <c r="AD40" s="404"/>
      <c r="AE40" s="404"/>
      <c r="AF40" s="404"/>
      <c r="AG40" s="398"/>
      <c r="AH40" s="398">
        <f>IF(AD40="APROBADO",AF40-AG40,0)</f>
        <v>0</v>
      </c>
      <c r="AI40" s="405"/>
      <c r="AJ40" s="404"/>
      <c r="AK40" s="404"/>
      <c r="AL40" s="404"/>
      <c r="AM40" s="398"/>
      <c r="AN40" s="398">
        <f t="shared" si="37"/>
        <v>0</v>
      </c>
      <c r="AO40" s="398"/>
      <c r="AP40" s="404"/>
      <c r="AQ40" s="404"/>
      <c r="AR40" s="404"/>
      <c r="AS40" s="398"/>
      <c r="AT40" s="398">
        <f t="shared" si="38"/>
        <v>0</v>
      </c>
      <c r="AU40" s="398"/>
      <c r="AV40" s="404"/>
      <c r="AW40" s="404"/>
      <c r="AX40" s="404"/>
      <c r="AY40" s="404"/>
      <c r="AZ40" s="398">
        <f t="shared" si="39"/>
        <v>0</v>
      </c>
      <c r="BA40" s="398"/>
      <c r="BB40" s="404"/>
      <c r="BC40" s="404"/>
      <c r="BD40" s="404"/>
      <c r="BE40" s="398"/>
      <c r="BF40" s="398">
        <f t="shared" si="40"/>
        <v>0</v>
      </c>
      <c r="BG40" s="398"/>
      <c r="BH40" s="404"/>
      <c r="BI40" s="404"/>
      <c r="BJ40" s="404"/>
      <c r="BK40" s="398"/>
      <c r="BL40" s="398">
        <f t="shared" si="51"/>
        <v>0</v>
      </c>
      <c r="BM40" s="398"/>
      <c r="BN40" s="404"/>
      <c r="BO40" s="404"/>
      <c r="BP40" s="404"/>
      <c r="BQ40" s="398"/>
      <c r="BR40" s="398">
        <f t="shared" si="52"/>
        <v>0</v>
      </c>
      <c r="BS40" s="398"/>
      <c r="BT40" s="404"/>
      <c r="BU40" s="404"/>
      <c r="BV40" s="404"/>
      <c r="BW40" s="398"/>
      <c r="BX40" s="398">
        <f t="shared" si="53"/>
        <v>0</v>
      </c>
      <c r="BY40" s="398"/>
      <c r="BZ40" s="404"/>
      <c r="CA40" s="404"/>
      <c r="CB40" s="404"/>
      <c r="CC40" s="398"/>
      <c r="CD40" s="398">
        <f t="shared" si="54"/>
        <v>0</v>
      </c>
      <c r="CE40" s="398"/>
      <c r="CF40" s="404"/>
      <c r="CG40" s="404"/>
      <c r="CH40" s="404"/>
      <c r="CI40" s="398"/>
      <c r="CJ40" s="398">
        <f t="shared" si="55"/>
        <v>0</v>
      </c>
      <c r="CK40" s="398"/>
      <c r="CL40" s="404"/>
      <c r="CM40" s="404"/>
      <c r="CN40" s="404"/>
      <c r="CO40" s="398"/>
      <c r="CP40" s="398">
        <f t="shared" si="56"/>
        <v>0</v>
      </c>
      <c r="CQ40" s="398"/>
      <c r="CR40" s="404"/>
      <c r="CS40" s="404"/>
      <c r="CT40" s="404"/>
      <c r="CU40" s="398"/>
      <c r="CV40" s="398">
        <f t="shared" si="57"/>
        <v>0</v>
      </c>
      <c r="CW40" s="398"/>
      <c r="CX40" s="404"/>
      <c r="CY40" s="404"/>
      <c r="CZ40" s="404"/>
      <c r="DA40" s="398"/>
      <c r="DB40" s="398">
        <f t="shared" si="58"/>
        <v>0</v>
      </c>
      <c r="DC40" s="398"/>
      <c r="DD40" s="404"/>
      <c r="DE40" s="404"/>
      <c r="DF40" s="404"/>
      <c r="DG40" s="398"/>
      <c r="DH40" s="398">
        <f t="shared" si="59"/>
        <v>0</v>
      </c>
      <c r="DI40" s="398"/>
      <c r="DJ40" s="404"/>
      <c r="DK40" s="404"/>
      <c r="DL40" s="404"/>
      <c r="DM40" s="398"/>
      <c r="DN40" s="398">
        <f t="shared" si="60"/>
        <v>0</v>
      </c>
      <c r="DO40" s="398"/>
      <c r="DP40" s="404"/>
      <c r="DQ40" s="404"/>
      <c r="DR40" s="404"/>
      <c r="DS40" s="398"/>
      <c r="DT40" s="398">
        <f t="shared" si="61"/>
        <v>0</v>
      </c>
      <c r="DU40" s="398"/>
      <c r="DV40" s="404"/>
      <c r="DW40" s="404"/>
      <c r="DX40" s="404"/>
      <c r="DY40" s="398"/>
      <c r="DZ40" s="398">
        <f t="shared" si="62"/>
        <v>0</v>
      </c>
      <c r="EA40" s="398"/>
      <c r="EB40" s="404"/>
      <c r="EC40" s="404"/>
      <c r="ED40" s="404"/>
      <c r="EE40" s="398"/>
      <c r="EF40" s="398">
        <f t="shared" si="63"/>
        <v>0</v>
      </c>
      <c r="EG40" s="398"/>
      <c r="EH40" s="404"/>
      <c r="EI40" s="404"/>
      <c r="EJ40" s="404"/>
      <c r="EK40" s="398"/>
      <c r="EL40" s="398">
        <f t="shared" si="64"/>
        <v>0</v>
      </c>
      <c r="EM40" s="398"/>
      <c r="EN40" s="404"/>
      <c r="EO40" s="404"/>
      <c r="EP40" s="404"/>
      <c r="EQ40" s="398"/>
      <c r="ER40" s="398">
        <f t="shared" si="65"/>
        <v>0</v>
      </c>
      <c r="ES40" s="398"/>
      <c r="ET40" s="404"/>
      <c r="EU40" s="404"/>
      <c r="EV40" s="404"/>
      <c r="EW40" s="398"/>
      <c r="EX40" s="398">
        <f t="shared" si="66"/>
        <v>0</v>
      </c>
      <c r="EY40" s="398" t="e">
        <f>VLOOKUP($A40,[2]Devengado!$A$1:$AI$3,35,FALSE)</f>
        <v>#N/A</v>
      </c>
    </row>
    <row r="41" spans="1:155" ht="23.25" hidden="1" customHeight="1">
      <c r="A41" s="341">
        <v>456</v>
      </c>
      <c r="B41" s="442" t="str">
        <f>VLOOKUP($A41,  'Matriz POA 2024-TRABAJO'!$A$5:$CY$9142,11,FALSE)</f>
        <v>Corporación Ciudad Alfaro</v>
      </c>
      <c r="C41" s="442" t="str">
        <f>VLOOKUP($A41, 'Matriz POA 2024-TRABAJO'!$A$5:$CY$9142,14,FALSE)</f>
        <v>N/A</v>
      </c>
      <c r="D41" s="442" t="str">
        <f>VLOOKUP($A41, 'Matriz POA 2024-TRABAJO'!$A$5:$CY$9142,15,FALSE)</f>
        <v>N/A</v>
      </c>
      <c r="E41" s="442" t="str">
        <f>VLOOKUP($A41, 'Matriz POA 2024-TRABAJO'!$A$5:$CY$9142,18,FALSE)</f>
        <v>N/A</v>
      </c>
      <c r="F41" s="442" t="str">
        <f>VLOOKUP($A41, 'Matriz POA 2024-TRABAJO'!$A$5:$CY$9142,23,FALSE)</f>
        <v>ARRASTRE</v>
      </c>
      <c r="G41" s="443" t="str">
        <f>VLOOKUP($A41, 'Matriz POA 2024-TRABAJO'!$A$5:$CY$9142,24,FALSE)</f>
        <v>Pago mensual del servicio de energía eléctrica de los meses de Noviembre y Diciembre del 2023 del Museo y Centro Cultural de Manta</v>
      </c>
      <c r="H41" s="442" t="str">
        <f>VLOOKUP($A41, 'Matriz POA 2024-TRABAJO'!$A$5:$CY$9142,25,FALSE)</f>
        <v>0035</v>
      </c>
      <c r="I41" s="442" t="str">
        <f>VLOOKUP($A41, 'Matriz POA 2024-TRABAJO'!$A$5:$CY$9142,26,FALSE)</f>
        <v>80</v>
      </c>
      <c r="J41" s="442" t="str">
        <f>VLOOKUP($A41, 'Matriz POA 2024-TRABAJO'!$A$5:$CY$9142,27,FALSE)</f>
        <v>000</v>
      </c>
      <c r="K41" s="444" t="str">
        <f>VLOOKUP($A41, 'Matriz POA 2024-TRABAJO'!$A$5:$CY$9142,28,FALSE)</f>
        <v>002</v>
      </c>
      <c r="L41" s="444" t="str">
        <f>VLOOKUP($A41, 'Matriz POA 2024-TRABAJO'!$A$5:$CY$9142,29,FALSE)</f>
        <v>53</v>
      </c>
      <c r="M41" s="444">
        <f>VLOOKUP($A41, 'Matriz POA 2024-TRABAJO'!$A$5:$CY$9142,30,FALSE)</f>
        <v>530104</v>
      </c>
      <c r="N41" s="444" t="str">
        <f>VLOOKUP($A41, 'Matriz POA 2024-TRABAJO'!$A$5:$CY$9142,33,FALSE)</f>
        <v>001</v>
      </c>
      <c r="O41" s="444" t="str">
        <f>VLOOKUP($A41, 'Matriz POA 2024-TRABAJO'!$A$5:$CY$9142,34,FALSE)</f>
        <v>0000</v>
      </c>
      <c r="P41" s="444" t="str">
        <f>VLOOKUP($A41, 'Matriz POA 2024-TRABAJO'!$A$5:$CY$9142,35,FALSE)</f>
        <v>0000</v>
      </c>
      <c r="Q41" s="445">
        <f>VLOOKUP($A41, 'Matriz POA 2024-TRABAJO'!$A$5:$CY$9142,47,FALSE)</f>
        <v>2941.33</v>
      </c>
      <c r="R41" s="446">
        <f t="shared" si="45"/>
        <v>1754.87</v>
      </c>
      <c r="S41" s="446">
        <f t="shared" si="46"/>
        <v>2941.33</v>
      </c>
      <c r="T41" s="446">
        <f t="shared" si="47"/>
        <v>0</v>
      </c>
      <c r="U41" s="446">
        <f t="shared" si="48"/>
        <v>0</v>
      </c>
      <c r="V41" s="446" t="str">
        <f t="shared" si="49"/>
        <v>4892</v>
      </c>
      <c r="W41" s="511">
        <v>48</v>
      </c>
      <c r="X41" s="404" t="s">
        <v>1303</v>
      </c>
      <c r="Y41" s="404" t="s">
        <v>1300</v>
      </c>
      <c r="Z41" s="404">
        <f>2000-2000</f>
        <v>0</v>
      </c>
      <c r="AA41" s="404">
        <f>2000-813.54</f>
        <v>1186.46</v>
      </c>
      <c r="AB41" s="398">
        <f t="shared" si="41"/>
        <v>0</v>
      </c>
      <c r="AC41" s="512">
        <v>92</v>
      </c>
      <c r="AD41" s="404" t="s">
        <v>1996</v>
      </c>
      <c r="AE41" s="404" t="s">
        <v>1997</v>
      </c>
      <c r="AF41" s="404">
        <v>1754.87</v>
      </c>
      <c r="AG41" s="398">
        <v>1754.87</v>
      </c>
      <c r="AH41" s="398">
        <f t="shared" ref="AH41" si="71">IF(AD41="APROBADO",AF41-AG41,0)</f>
        <v>0</v>
      </c>
      <c r="AI41" s="405"/>
      <c r="AJ41" s="404"/>
      <c r="AK41" s="404"/>
      <c r="AL41" s="404"/>
      <c r="AM41" s="398"/>
      <c r="AN41" s="398">
        <f t="shared" si="37"/>
        <v>0</v>
      </c>
      <c r="AO41" s="398"/>
      <c r="AP41" s="404"/>
      <c r="AQ41" s="404"/>
      <c r="AR41" s="404"/>
      <c r="AS41" s="398"/>
      <c r="AT41" s="398">
        <f t="shared" si="38"/>
        <v>0</v>
      </c>
      <c r="AU41" s="398"/>
      <c r="AV41" s="404"/>
      <c r="AW41" s="404"/>
      <c r="AX41" s="404"/>
      <c r="AY41" s="404"/>
      <c r="AZ41" s="398">
        <f t="shared" si="39"/>
        <v>0</v>
      </c>
      <c r="BA41" s="398"/>
      <c r="BB41" s="404"/>
      <c r="BC41" s="404"/>
      <c r="BD41" s="404"/>
      <c r="BE41" s="398"/>
      <c r="BF41" s="398">
        <f t="shared" si="40"/>
        <v>0</v>
      </c>
      <c r="BG41" s="398"/>
      <c r="BH41" s="404"/>
      <c r="BI41" s="404"/>
      <c r="BJ41" s="404"/>
      <c r="BK41" s="398"/>
      <c r="BL41" s="398">
        <f t="shared" si="51"/>
        <v>0</v>
      </c>
      <c r="BM41" s="398"/>
      <c r="BN41" s="404"/>
      <c r="BO41" s="404"/>
      <c r="BP41" s="404"/>
      <c r="BQ41" s="398"/>
      <c r="BR41" s="398">
        <f t="shared" si="52"/>
        <v>0</v>
      </c>
      <c r="BS41" s="398"/>
      <c r="BT41" s="404"/>
      <c r="BU41" s="404"/>
      <c r="BV41" s="404"/>
      <c r="BW41" s="398"/>
      <c r="BX41" s="398">
        <f t="shared" si="53"/>
        <v>0</v>
      </c>
      <c r="BY41" s="398"/>
      <c r="BZ41" s="404"/>
      <c r="CA41" s="404"/>
      <c r="CB41" s="404"/>
      <c r="CC41" s="398"/>
      <c r="CD41" s="398">
        <f t="shared" si="54"/>
        <v>0</v>
      </c>
      <c r="CE41" s="398"/>
      <c r="CF41" s="404"/>
      <c r="CG41" s="404"/>
      <c r="CH41" s="404"/>
      <c r="CI41" s="398"/>
      <c r="CJ41" s="398">
        <f t="shared" si="55"/>
        <v>0</v>
      </c>
      <c r="CK41" s="398"/>
      <c r="CL41" s="404"/>
      <c r="CM41" s="404"/>
      <c r="CN41" s="404"/>
      <c r="CO41" s="398"/>
      <c r="CP41" s="398">
        <f t="shared" si="56"/>
        <v>0</v>
      </c>
      <c r="CQ41" s="398"/>
      <c r="CR41" s="404"/>
      <c r="CS41" s="404"/>
      <c r="CT41" s="404"/>
      <c r="CU41" s="398"/>
      <c r="CV41" s="398">
        <f t="shared" si="57"/>
        <v>0</v>
      </c>
      <c r="CW41" s="398"/>
      <c r="CX41" s="404"/>
      <c r="CY41" s="404"/>
      <c r="CZ41" s="404"/>
      <c r="DA41" s="398"/>
      <c r="DB41" s="398">
        <f t="shared" si="58"/>
        <v>0</v>
      </c>
      <c r="DC41" s="398"/>
      <c r="DD41" s="404"/>
      <c r="DE41" s="404"/>
      <c r="DF41" s="404"/>
      <c r="DG41" s="398"/>
      <c r="DH41" s="398">
        <f t="shared" si="59"/>
        <v>0</v>
      </c>
      <c r="DI41" s="398"/>
      <c r="DJ41" s="404"/>
      <c r="DK41" s="404"/>
      <c r="DL41" s="404"/>
      <c r="DM41" s="398"/>
      <c r="DN41" s="398">
        <f t="shared" si="60"/>
        <v>0</v>
      </c>
      <c r="DO41" s="398"/>
      <c r="DP41" s="404"/>
      <c r="DQ41" s="404"/>
      <c r="DR41" s="404"/>
      <c r="DS41" s="398"/>
      <c r="DT41" s="398">
        <f t="shared" si="61"/>
        <v>0</v>
      </c>
      <c r="DU41" s="398"/>
      <c r="DV41" s="404"/>
      <c r="DW41" s="404"/>
      <c r="DX41" s="404"/>
      <c r="DY41" s="398"/>
      <c r="DZ41" s="398">
        <f t="shared" si="62"/>
        <v>0</v>
      </c>
      <c r="EA41" s="398"/>
      <c r="EB41" s="404"/>
      <c r="EC41" s="404"/>
      <c r="ED41" s="404"/>
      <c r="EE41" s="398"/>
      <c r="EF41" s="398">
        <f t="shared" si="63"/>
        <v>0</v>
      </c>
      <c r="EG41" s="398"/>
      <c r="EH41" s="404"/>
      <c r="EI41" s="404"/>
      <c r="EJ41" s="404"/>
      <c r="EK41" s="398"/>
      <c r="EL41" s="398">
        <f t="shared" si="64"/>
        <v>0</v>
      </c>
      <c r="EM41" s="398"/>
      <c r="EN41" s="404"/>
      <c r="EO41" s="404"/>
      <c r="EP41" s="404"/>
      <c r="EQ41" s="398"/>
      <c r="ER41" s="398">
        <f t="shared" si="65"/>
        <v>0</v>
      </c>
      <c r="ES41" s="398"/>
      <c r="ET41" s="404"/>
      <c r="EU41" s="404"/>
      <c r="EV41" s="404"/>
      <c r="EW41" s="398"/>
      <c r="EX41" s="398">
        <f t="shared" si="66"/>
        <v>0</v>
      </c>
      <c r="EY41" s="398" t="e">
        <f>VLOOKUP($A41,[2]Devengado!$A$1:$AI$3,35,FALSE)</f>
        <v>#N/A</v>
      </c>
    </row>
    <row r="42" spans="1:155" ht="23.25" hidden="1" customHeight="1">
      <c r="A42" s="341">
        <v>732</v>
      </c>
      <c r="B42" s="442" t="str">
        <f>VLOOKUP($A42,  'Matriz POA 2024-TRABAJO'!$A$5:$CY$9142,11,FALSE)</f>
        <v>Corporación Ciudad Alfaro</v>
      </c>
      <c r="C42" s="442" t="str">
        <f>VLOOKUP($A42, 'Matriz POA 2024-TRABAJO'!$A$5:$CY$9142,14,FALSE)</f>
        <v>N/A</v>
      </c>
      <c r="D42" s="442" t="str">
        <f>VLOOKUP($A42, 'Matriz POA 2024-TRABAJO'!$A$5:$CY$9142,15,FALSE)</f>
        <v>N/A</v>
      </c>
      <c r="E42" s="442" t="str">
        <f>VLOOKUP($A42, 'Matriz POA 2024-TRABAJO'!$A$5:$CY$9142,18,FALSE)</f>
        <v>N/A</v>
      </c>
      <c r="F42" s="442" t="str">
        <f>VLOOKUP($A42, 'Matriz POA 2024-TRABAJO'!$A$5:$CY$9142,23,FALSE)</f>
        <v>ARRASTRE</v>
      </c>
      <c r="G42" s="443" t="str">
        <f>VLOOKUP($A42, 'Matriz POA 2024-TRABAJO'!$A$5:$CY$9142,24,FALSE)</f>
        <v>Pago del servicio de telefonía fija e internet del mes de Diciembre del 2023 de la Corporación Ciudad Alfaro</v>
      </c>
      <c r="H42" s="442" t="str">
        <f>VLOOKUP($A42, 'Matriz POA 2024-TRABAJO'!$A$5:$CY$9142,25,FALSE)</f>
        <v>0035</v>
      </c>
      <c r="I42" s="442" t="str">
        <f>VLOOKUP($A42, 'Matriz POA 2024-TRABAJO'!$A$5:$CY$9142,26,FALSE)</f>
        <v>80</v>
      </c>
      <c r="J42" s="442" t="str">
        <f>VLOOKUP($A42, 'Matriz POA 2024-TRABAJO'!$A$5:$CY$9142,27,FALSE)</f>
        <v>000</v>
      </c>
      <c r="K42" s="444" t="str">
        <f>VLOOKUP($A42, 'Matriz POA 2024-TRABAJO'!$A$5:$CY$9142,28,FALSE)</f>
        <v>002</v>
      </c>
      <c r="L42" s="444" t="str">
        <f>VLOOKUP($A42, 'Matriz POA 2024-TRABAJO'!$A$5:$CY$9142,29,FALSE)</f>
        <v>53</v>
      </c>
      <c r="M42" s="444">
        <f>VLOOKUP($A42, 'Matriz POA 2024-TRABAJO'!$A$5:$CY$9142,30,FALSE)</f>
        <v>530105</v>
      </c>
      <c r="N42" s="444" t="str">
        <f>VLOOKUP($A42, 'Matriz POA 2024-TRABAJO'!$A$5:$CY$9142,33,FALSE)</f>
        <v>001</v>
      </c>
      <c r="O42" s="444" t="str">
        <f>VLOOKUP($A42, 'Matriz POA 2024-TRABAJO'!$A$5:$CY$9142,34,FALSE)</f>
        <v>0000</v>
      </c>
      <c r="P42" s="444" t="str">
        <f>VLOOKUP($A42, 'Matriz POA 2024-TRABAJO'!$A$5:$CY$9142,35,FALSE)</f>
        <v>0000</v>
      </c>
      <c r="Q42" s="445">
        <f>VLOOKUP($A42, 'Matriz POA 2024-TRABAJO'!$A$5:$CY$9142,47,FALSE)</f>
        <v>1194.77</v>
      </c>
      <c r="R42" s="446">
        <f t="shared" si="45"/>
        <v>0</v>
      </c>
      <c r="S42" s="446">
        <f t="shared" si="46"/>
        <v>1194.77</v>
      </c>
      <c r="T42" s="446">
        <f t="shared" si="47"/>
        <v>0</v>
      </c>
      <c r="U42" s="446">
        <f t="shared" si="48"/>
        <v>0</v>
      </c>
      <c r="V42" s="446" t="str">
        <f t="shared" si="49"/>
        <v>49</v>
      </c>
      <c r="W42" s="511">
        <v>49</v>
      </c>
      <c r="X42" s="404" t="s">
        <v>1303</v>
      </c>
      <c r="Y42" s="404" t="s">
        <v>1300</v>
      </c>
      <c r="Z42" s="404">
        <f>1600-1600</f>
        <v>0</v>
      </c>
      <c r="AA42" s="404">
        <f>1600-405.23</f>
        <v>1194.77</v>
      </c>
      <c r="AB42" s="398">
        <f t="shared" si="41"/>
        <v>0</v>
      </c>
      <c r="AC42" s="403"/>
      <c r="AD42" s="404"/>
      <c r="AE42" s="404"/>
      <c r="AF42" s="404"/>
      <c r="AG42" s="398"/>
      <c r="AH42" s="398">
        <f>IF(AD42="APROBADO",AF42-AG42,0)</f>
        <v>0</v>
      </c>
      <c r="AI42" s="405"/>
      <c r="AJ42" s="404"/>
      <c r="AK42" s="404"/>
      <c r="AL42" s="404"/>
      <c r="AM42" s="398"/>
      <c r="AN42" s="398">
        <f t="shared" si="37"/>
        <v>0</v>
      </c>
      <c r="AO42" s="398"/>
      <c r="AP42" s="404"/>
      <c r="AQ42" s="404"/>
      <c r="AR42" s="404"/>
      <c r="AS42" s="398"/>
      <c r="AT42" s="398">
        <f t="shared" si="38"/>
        <v>0</v>
      </c>
      <c r="AU42" s="398"/>
      <c r="AV42" s="404"/>
      <c r="AW42" s="404"/>
      <c r="AX42" s="404"/>
      <c r="AY42" s="404"/>
      <c r="AZ42" s="398">
        <f t="shared" si="39"/>
        <v>0</v>
      </c>
      <c r="BA42" s="398"/>
      <c r="BB42" s="404"/>
      <c r="BC42" s="404"/>
      <c r="BD42" s="404"/>
      <c r="BE42" s="398"/>
      <c r="BF42" s="398">
        <f t="shared" si="40"/>
        <v>0</v>
      </c>
      <c r="BG42" s="398"/>
      <c r="BH42" s="404"/>
      <c r="BI42" s="404"/>
      <c r="BJ42" s="404"/>
      <c r="BK42" s="398"/>
      <c r="BL42" s="398">
        <f t="shared" si="51"/>
        <v>0</v>
      </c>
      <c r="BM42" s="398"/>
      <c r="BN42" s="404"/>
      <c r="BO42" s="404"/>
      <c r="BP42" s="404"/>
      <c r="BQ42" s="398"/>
      <c r="BR42" s="398">
        <f t="shared" si="52"/>
        <v>0</v>
      </c>
      <c r="BS42" s="398"/>
      <c r="BT42" s="404"/>
      <c r="BU42" s="404"/>
      <c r="BV42" s="404"/>
      <c r="BW42" s="398"/>
      <c r="BX42" s="398">
        <f t="shared" si="53"/>
        <v>0</v>
      </c>
      <c r="BY42" s="398"/>
      <c r="BZ42" s="404"/>
      <c r="CA42" s="404"/>
      <c r="CB42" s="404"/>
      <c r="CC42" s="398"/>
      <c r="CD42" s="398">
        <f t="shared" si="54"/>
        <v>0</v>
      </c>
      <c r="CE42" s="398"/>
      <c r="CF42" s="404"/>
      <c r="CG42" s="404"/>
      <c r="CH42" s="404"/>
      <c r="CI42" s="398"/>
      <c r="CJ42" s="398">
        <f t="shared" si="55"/>
        <v>0</v>
      </c>
      <c r="CK42" s="398"/>
      <c r="CL42" s="404"/>
      <c r="CM42" s="404"/>
      <c r="CN42" s="404"/>
      <c r="CO42" s="398"/>
      <c r="CP42" s="398">
        <f t="shared" si="56"/>
        <v>0</v>
      </c>
      <c r="CQ42" s="398"/>
      <c r="CR42" s="404"/>
      <c r="CS42" s="404"/>
      <c r="CT42" s="404"/>
      <c r="CU42" s="398"/>
      <c r="CV42" s="398">
        <f t="shared" si="57"/>
        <v>0</v>
      </c>
      <c r="CW42" s="398"/>
      <c r="CX42" s="404"/>
      <c r="CY42" s="404"/>
      <c r="CZ42" s="404"/>
      <c r="DA42" s="398"/>
      <c r="DB42" s="398">
        <f t="shared" si="58"/>
        <v>0</v>
      </c>
      <c r="DC42" s="398"/>
      <c r="DD42" s="404"/>
      <c r="DE42" s="404"/>
      <c r="DF42" s="404"/>
      <c r="DG42" s="398"/>
      <c r="DH42" s="398">
        <f t="shared" si="59"/>
        <v>0</v>
      </c>
      <c r="DI42" s="398"/>
      <c r="DJ42" s="404"/>
      <c r="DK42" s="404"/>
      <c r="DL42" s="404"/>
      <c r="DM42" s="398"/>
      <c r="DN42" s="398">
        <f t="shared" si="60"/>
        <v>0</v>
      </c>
      <c r="DO42" s="398"/>
      <c r="DP42" s="404"/>
      <c r="DQ42" s="404"/>
      <c r="DR42" s="404"/>
      <c r="DS42" s="398"/>
      <c r="DT42" s="398">
        <f t="shared" si="61"/>
        <v>0</v>
      </c>
      <c r="DU42" s="398"/>
      <c r="DV42" s="404"/>
      <c r="DW42" s="404"/>
      <c r="DX42" s="404"/>
      <c r="DY42" s="398"/>
      <c r="DZ42" s="398">
        <f t="shared" si="62"/>
        <v>0</v>
      </c>
      <c r="EA42" s="398"/>
      <c r="EB42" s="404"/>
      <c r="EC42" s="404"/>
      <c r="ED42" s="404"/>
      <c r="EE42" s="398"/>
      <c r="EF42" s="398">
        <f t="shared" si="63"/>
        <v>0</v>
      </c>
      <c r="EG42" s="398"/>
      <c r="EH42" s="404"/>
      <c r="EI42" s="404"/>
      <c r="EJ42" s="404"/>
      <c r="EK42" s="398"/>
      <c r="EL42" s="398">
        <f t="shared" si="64"/>
        <v>0</v>
      </c>
      <c r="EM42" s="398"/>
      <c r="EN42" s="404"/>
      <c r="EO42" s="404"/>
      <c r="EP42" s="404"/>
      <c r="EQ42" s="398"/>
      <c r="ER42" s="398">
        <f t="shared" si="65"/>
        <v>0</v>
      </c>
      <c r="ES42" s="398"/>
      <c r="ET42" s="404"/>
      <c r="EU42" s="404"/>
      <c r="EV42" s="404"/>
      <c r="EW42" s="398"/>
      <c r="EX42" s="398">
        <f t="shared" si="66"/>
        <v>0</v>
      </c>
      <c r="EY42" s="398" t="e">
        <f>VLOOKUP($A42,[2]Devengado!$A$1:$AI$3,35,FALSE)</f>
        <v>#N/A</v>
      </c>
    </row>
    <row r="43" spans="1:155" ht="23.25" hidden="1" customHeight="1">
      <c r="A43" s="341">
        <v>465</v>
      </c>
      <c r="B43" s="442" t="str">
        <f>VLOOKUP($A43,  'Matriz POA 2024-TRABAJO'!$A$5:$CY$9142,11,FALSE)</f>
        <v>Corporación Ciudad Alfaro</v>
      </c>
      <c r="C43" s="442" t="str">
        <f>VLOOKUP($A43, 'Matriz POA 2024-TRABAJO'!$A$5:$CY$9142,14,FALSE)</f>
        <v>N/A</v>
      </c>
      <c r="D43" s="442" t="str">
        <f>VLOOKUP($A43, 'Matriz POA 2024-TRABAJO'!$A$5:$CY$9142,15,FALSE)</f>
        <v>N/A</v>
      </c>
      <c r="E43" s="442" t="str">
        <f>VLOOKUP($A43, 'Matriz POA 2024-TRABAJO'!$A$5:$CY$9142,18,FALSE)</f>
        <v>N/A</v>
      </c>
      <c r="F43" s="442" t="str">
        <f>VLOOKUP($A43, 'Matriz POA 2024-TRABAJO'!$A$5:$CY$9142,23,FALSE)</f>
        <v>NUEVA</v>
      </c>
      <c r="G43" s="443" t="str">
        <f>VLOOKUP($A43, 'Matriz POA 2024-TRABAJO'!$A$5:$CY$9142,24,FALSE)</f>
        <v>Pago de tasas y contribuciones a los predios urbanos y cuerpo de bomberos del Museo Portoviejo y Archivo Histórico</v>
      </c>
      <c r="H43" s="442" t="str">
        <f>VLOOKUP($A43, 'Matriz POA 2024-TRABAJO'!$A$5:$CY$9142,25,FALSE)</f>
        <v>0035</v>
      </c>
      <c r="I43" s="442" t="str">
        <f>VLOOKUP($A43, 'Matriz POA 2024-TRABAJO'!$A$5:$CY$9142,26,FALSE)</f>
        <v>80</v>
      </c>
      <c r="J43" s="442" t="str">
        <f>VLOOKUP($A43, 'Matriz POA 2024-TRABAJO'!$A$5:$CY$9142,27,FALSE)</f>
        <v>000</v>
      </c>
      <c r="K43" s="444" t="str">
        <f>VLOOKUP($A43, 'Matriz POA 2024-TRABAJO'!$A$5:$CY$9142,28,FALSE)</f>
        <v>002</v>
      </c>
      <c r="L43" s="444" t="str">
        <f>VLOOKUP($A43, 'Matriz POA 2024-TRABAJO'!$A$5:$CY$9142,29,FALSE)</f>
        <v>57</v>
      </c>
      <c r="M43" s="444">
        <f>VLOOKUP($A43, 'Matriz POA 2024-TRABAJO'!$A$5:$CY$9142,30,FALSE)</f>
        <v>570102</v>
      </c>
      <c r="N43" s="444" t="str">
        <f>VLOOKUP($A43, 'Matriz POA 2024-TRABAJO'!$A$5:$CY$9142,33,FALSE)</f>
        <v>001</v>
      </c>
      <c r="O43" s="444" t="str">
        <f>VLOOKUP($A43, 'Matriz POA 2024-TRABAJO'!$A$5:$CY$9142,34,FALSE)</f>
        <v>0000</v>
      </c>
      <c r="P43" s="444" t="str">
        <f>VLOOKUP($A43, 'Matriz POA 2024-TRABAJO'!$A$5:$CY$9142,35,FALSE)</f>
        <v>0000</v>
      </c>
      <c r="Q43" s="445">
        <f>VLOOKUP($A43, 'Matriz POA 2024-TRABAJO'!$A$5:$CY$9142,47,FALSE)</f>
        <v>1407.92</v>
      </c>
      <c r="R43" s="446">
        <f t="shared" si="45"/>
        <v>0</v>
      </c>
      <c r="S43" s="446">
        <f t="shared" si="46"/>
        <v>1407.92</v>
      </c>
      <c r="T43" s="446">
        <f t="shared" si="47"/>
        <v>0</v>
      </c>
      <c r="U43" s="446">
        <f t="shared" si="48"/>
        <v>0</v>
      </c>
      <c r="V43" s="446" t="str">
        <f t="shared" si="49"/>
        <v>50</v>
      </c>
      <c r="W43" s="511">
        <v>50</v>
      </c>
      <c r="X43" s="404" t="s">
        <v>1303</v>
      </c>
      <c r="Y43" s="404" t="s">
        <v>1301</v>
      </c>
      <c r="Z43" s="404">
        <f>1700-1700</f>
        <v>0</v>
      </c>
      <c r="AA43" s="404">
        <f>1700-292.08</f>
        <v>1407.92</v>
      </c>
      <c r="AB43" s="398">
        <f t="shared" si="41"/>
        <v>0</v>
      </c>
      <c r="AC43" s="405"/>
      <c r="AD43" s="404"/>
      <c r="AE43" s="404"/>
      <c r="AF43" s="404"/>
      <c r="AG43" s="398"/>
      <c r="AH43" s="398">
        <f t="shared" ref="AH43" si="72">IF(AD43="APROBADO",AF43-AG43,0)</f>
        <v>0</v>
      </c>
      <c r="AI43" s="405"/>
      <c r="AJ43" s="404"/>
      <c r="AK43" s="404"/>
      <c r="AL43" s="404"/>
      <c r="AM43" s="398"/>
      <c r="AN43" s="398">
        <f t="shared" si="37"/>
        <v>0</v>
      </c>
      <c r="AO43" s="398"/>
      <c r="AP43" s="404"/>
      <c r="AQ43" s="404"/>
      <c r="AR43" s="404"/>
      <c r="AS43" s="398"/>
      <c r="AT43" s="398">
        <f t="shared" si="38"/>
        <v>0</v>
      </c>
      <c r="AU43" s="398"/>
      <c r="AV43" s="404"/>
      <c r="AW43" s="404"/>
      <c r="AX43" s="404"/>
      <c r="AY43" s="404"/>
      <c r="AZ43" s="398">
        <f t="shared" si="39"/>
        <v>0</v>
      </c>
      <c r="BA43" s="398"/>
      <c r="BB43" s="404"/>
      <c r="BC43" s="404"/>
      <c r="BD43" s="404"/>
      <c r="BE43" s="398"/>
      <c r="BF43" s="398">
        <f t="shared" si="40"/>
        <v>0</v>
      </c>
      <c r="BG43" s="398"/>
      <c r="BH43" s="404"/>
      <c r="BI43" s="404"/>
      <c r="BJ43" s="404"/>
      <c r="BK43" s="398"/>
      <c r="BL43" s="398">
        <f t="shared" si="51"/>
        <v>0</v>
      </c>
      <c r="BM43" s="398"/>
      <c r="BN43" s="404"/>
      <c r="BO43" s="404"/>
      <c r="BP43" s="404"/>
      <c r="BQ43" s="398"/>
      <c r="BR43" s="398">
        <f t="shared" si="52"/>
        <v>0</v>
      </c>
      <c r="BS43" s="398"/>
      <c r="BT43" s="404"/>
      <c r="BU43" s="404"/>
      <c r="BV43" s="404"/>
      <c r="BW43" s="398"/>
      <c r="BX43" s="398">
        <f t="shared" si="53"/>
        <v>0</v>
      </c>
      <c r="BY43" s="398"/>
      <c r="BZ43" s="404"/>
      <c r="CA43" s="404"/>
      <c r="CB43" s="404"/>
      <c r="CC43" s="398"/>
      <c r="CD43" s="398">
        <f t="shared" si="54"/>
        <v>0</v>
      </c>
      <c r="CE43" s="398"/>
      <c r="CF43" s="404"/>
      <c r="CG43" s="404"/>
      <c r="CH43" s="404"/>
      <c r="CI43" s="398"/>
      <c r="CJ43" s="398">
        <f t="shared" si="55"/>
        <v>0</v>
      </c>
      <c r="CK43" s="398"/>
      <c r="CL43" s="404"/>
      <c r="CM43" s="404"/>
      <c r="CN43" s="404"/>
      <c r="CO43" s="398"/>
      <c r="CP43" s="398">
        <f t="shared" si="56"/>
        <v>0</v>
      </c>
      <c r="CQ43" s="398"/>
      <c r="CR43" s="404"/>
      <c r="CS43" s="404"/>
      <c r="CT43" s="404"/>
      <c r="CU43" s="398"/>
      <c r="CV43" s="398">
        <f t="shared" si="57"/>
        <v>0</v>
      </c>
      <c r="CW43" s="398"/>
      <c r="CX43" s="404"/>
      <c r="CY43" s="404"/>
      <c r="CZ43" s="404"/>
      <c r="DA43" s="398"/>
      <c r="DB43" s="398">
        <f t="shared" si="58"/>
        <v>0</v>
      </c>
      <c r="DC43" s="398"/>
      <c r="DD43" s="404"/>
      <c r="DE43" s="404"/>
      <c r="DF43" s="404"/>
      <c r="DG43" s="398"/>
      <c r="DH43" s="398">
        <f t="shared" si="59"/>
        <v>0</v>
      </c>
      <c r="DI43" s="398"/>
      <c r="DJ43" s="404"/>
      <c r="DK43" s="404"/>
      <c r="DL43" s="404"/>
      <c r="DM43" s="398"/>
      <c r="DN43" s="398">
        <f t="shared" si="60"/>
        <v>0</v>
      </c>
      <c r="DO43" s="398"/>
      <c r="DP43" s="404"/>
      <c r="DQ43" s="404"/>
      <c r="DR43" s="404"/>
      <c r="DS43" s="398"/>
      <c r="DT43" s="398">
        <f t="shared" si="61"/>
        <v>0</v>
      </c>
      <c r="DU43" s="398"/>
      <c r="DV43" s="404"/>
      <c r="DW43" s="404"/>
      <c r="DX43" s="404"/>
      <c r="DY43" s="398"/>
      <c r="DZ43" s="398">
        <f t="shared" si="62"/>
        <v>0</v>
      </c>
      <c r="EA43" s="398"/>
      <c r="EB43" s="404"/>
      <c r="EC43" s="404"/>
      <c r="ED43" s="404"/>
      <c r="EE43" s="398"/>
      <c r="EF43" s="398">
        <f t="shared" si="63"/>
        <v>0</v>
      </c>
      <c r="EG43" s="398"/>
      <c r="EH43" s="404"/>
      <c r="EI43" s="404"/>
      <c r="EJ43" s="404"/>
      <c r="EK43" s="398"/>
      <c r="EL43" s="398">
        <f t="shared" si="64"/>
        <v>0</v>
      </c>
      <c r="EM43" s="398"/>
      <c r="EN43" s="404"/>
      <c r="EO43" s="404"/>
      <c r="EP43" s="404"/>
      <c r="EQ43" s="398"/>
      <c r="ER43" s="398">
        <f t="shared" si="65"/>
        <v>0</v>
      </c>
      <c r="ES43" s="398"/>
      <c r="ET43" s="404"/>
      <c r="EU43" s="404"/>
      <c r="EV43" s="404"/>
      <c r="EW43" s="398"/>
      <c r="EX43" s="398">
        <f t="shared" si="66"/>
        <v>0</v>
      </c>
      <c r="EY43" s="398" t="e">
        <f>VLOOKUP($A43,[2]Devengado!$A$1:$AI$3,35,FALSE)</f>
        <v>#N/A</v>
      </c>
    </row>
    <row r="44" spans="1:155" ht="23.25" hidden="1" customHeight="1">
      <c r="A44" s="341">
        <v>780</v>
      </c>
      <c r="B44" s="442" t="str">
        <f>VLOOKUP($A44,  'Matriz POA 2024-TRABAJO'!$A$5:$CY$9142,11,FALSE)</f>
        <v>Corporación Ciudad Alfaro</v>
      </c>
      <c r="C44" s="442" t="str">
        <f>VLOOKUP($A44, 'Matriz POA 2024-TRABAJO'!$A$5:$CY$9142,14,FALSE)</f>
        <v>N/A</v>
      </c>
      <c r="D44" s="442" t="str">
        <f>VLOOKUP($A44, 'Matriz POA 2024-TRABAJO'!$A$5:$CY$9142,15,FALSE)</f>
        <v>N/A</v>
      </c>
      <c r="E44" s="442" t="str">
        <f>VLOOKUP($A44, 'Matriz POA 2024-TRABAJO'!$A$5:$CY$9142,18,FALSE)</f>
        <v>N/A</v>
      </c>
      <c r="F44" s="442" t="str">
        <f>VLOOKUP($A44, 'Matriz POA 2024-TRABAJO'!$A$5:$CY$9142,23,FALSE)</f>
        <v>NUEVA</v>
      </c>
      <c r="G44" s="443" t="str">
        <f>VLOOKUP($A44, 'Matriz POA 2024-TRABAJO'!$A$5:$CY$9142,24,FALSE)</f>
        <v xml:space="preserve">Pago de impuesto predial 2024 del Museo Centro Cultural Manta </v>
      </c>
      <c r="H44" s="442" t="str">
        <f>VLOOKUP($A44, 'Matriz POA 2024-TRABAJO'!$A$5:$CY$9142,25,FALSE)</f>
        <v>0035</v>
      </c>
      <c r="I44" s="442" t="str">
        <f>VLOOKUP($A44, 'Matriz POA 2024-TRABAJO'!$A$5:$CY$9142,26,FALSE)</f>
        <v>80</v>
      </c>
      <c r="J44" s="442" t="str">
        <f>VLOOKUP($A44, 'Matriz POA 2024-TRABAJO'!$A$5:$CY$9142,27,FALSE)</f>
        <v>000</v>
      </c>
      <c r="K44" s="444" t="str">
        <f>VLOOKUP($A44, 'Matriz POA 2024-TRABAJO'!$A$5:$CY$9142,28,FALSE)</f>
        <v>002</v>
      </c>
      <c r="L44" s="444" t="str">
        <f>VLOOKUP($A44, 'Matriz POA 2024-TRABAJO'!$A$5:$CY$9142,29,FALSE)</f>
        <v>57</v>
      </c>
      <c r="M44" s="444">
        <f>VLOOKUP($A44, 'Matriz POA 2024-TRABAJO'!$A$5:$CY$9142,30,FALSE)</f>
        <v>570102</v>
      </c>
      <c r="N44" s="444" t="str">
        <f>VLOOKUP($A44, 'Matriz POA 2024-TRABAJO'!$A$5:$CY$9142,33,FALSE)</f>
        <v>001</v>
      </c>
      <c r="O44" s="444" t="str">
        <f>VLOOKUP($A44, 'Matriz POA 2024-TRABAJO'!$A$5:$CY$9142,34,FALSE)</f>
        <v>0000</v>
      </c>
      <c r="P44" s="444" t="str">
        <f>VLOOKUP($A44, 'Matriz POA 2024-TRABAJO'!$A$5:$CY$9142,35,FALSE)</f>
        <v>0000</v>
      </c>
      <c r="Q44" s="445">
        <f>VLOOKUP($A44, 'Matriz POA 2024-TRABAJO'!$A$5:$CY$9142,47,FALSE)</f>
        <v>6283.11</v>
      </c>
      <c r="R44" s="446">
        <f t="shared" si="45"/>
        <v>0</v>
      </c>
      <c r="S44" s="446">
        <f t="shared" si="46"/>
        <v>6283.11</v>
      </c>
      <c r="T44" s="446">
        <f t="shared" si="47"/>
        <v>0</v>
      </c>
      <c r="U44" s="446">
        <f t="shared" si="48"/>
        <v>0</v>
      </c>
      <c r="V44" s="446" t="str">
        <f t="shared" si="49"/>
        <v>52</v>
      </c>
      <c r="W44" s="511">
        <v>52</v>
      </c>
      <c r="X44" s="404" t="s">
        <v>1303</v>
      </c>
      <c r="Y44" s="404" t="s">
        <v>1301</v>
      </c>
      <c r="Z44" s="404">
        <f>7224.44-7224.44</f>
        <v>0</v>
      </c>
      <c r="AA44" s="404">
        <f>7224.44-941.33</f>
        <v>6283.11</v>
      </c>
      <c r="AB44" s="398">
        <f t="shared" si="41"/>
        <v>0</v>
      </c>
      <c r="AC44" s="403"/>
      <c r="AD44" s="404"/>
      <c r="AE44" s="404"/>
      <c r="AF44" s="404"/>
      <c r="AG44" s="398"/>
      <c r="AH44" s="398">
        <f>IF(AD44="APROBADO",AF44-AG44,0)</f>
        <v>0</v>
      </c>
      <c r="AI44" s="405"/>
      <c r="AJ44" s="404"/>
      <c r="AK44" s="404"/>
      <c r="AL44" s="404"/>
      <c r="AM44" s="398"/>
      <c r="AN44" s="398">
        <f t="shared" si="37"/>
        <v>0</v>
      </c>
      <c r="AO44" s="398"/>
      <c r="AP44" s="404"/>
      <c r="AQ44" s="404"/>
      <c r="AR44" s="404"/>
      <c r="AS44" s="398"/>
      <c r="AT44" s="398">
        <f t="shared" si="38"/>
        <v>0</v>
      </c>
      <c r="AU44" s="398"/>
      <c r="AV44" s="404"/>
      <c r="AW44" s="404"/>
      <c r="AX44" s="404"/>
      <c r="AY44" s="404"/>
      <c r="AZ44" s="398">
        <f t="shared" si="39"/>
        <v>0</v>
      </c>
      <c r="BA44" s="398"/>
      <c r="BB44" s="404"/>
      <c r="BC44" s="404"/>
      <c r="BD44" s="404"/>
      <c r="BE44" s="398"/>
      <c r="BF44" s="398">
        <f t="shared" si="40"/>
        <v>0</v>
      </c>
      <c r="BG44" s="398"/>
      <c r="BH44" s="404"/>
      <c r="BI44" s="404"/>
      <c r="BJ44" s="404"/>
      <c r="BK44" s="398"/>
      <c r="BL44" s="398">
        <f t="shared" si="51"/>
        <v>0</v>
      </c>
      <c r="BM44" s="398"/>
      <c r="BN44" s="404"/>
      <c r="BO44" s="404"/>
      <c r="BP44" s="404"/>
      <c r="BQ44" s="398"/>
      <c r="BR44" s="398">
        <f t="shared" si="52"/>
        <v>0</v>
      </c>
      <c r="BS44" s="398"/>
      <c r="BT44" s="404"/>
      <c r="BU44" s="404"/>
      <c r="BV44" s="404"/>
      <c r="BW44" s="398"/>
      <c r="BX44" s="398">
        <f t="shared" si="53"/>
        <v>0</v>
      </c>
      <c r="BY44" s="398"/>
      <c r="BZ44" s="404"/>
      <c r="CA44" s="404"/>
      <c r="CB44" s="404"/>
      <c r="CC44" s="398"/>
      <c r="CD44" s="398">
        <f t="shared" si="54"/>
        <v>0</v>
      </c>
      <c r="CE44" s="398"/>
      <c r="CF44" s="404"/>
      <c r="CG44" s="404"/>
      <c r="CH44" s="404"/>
      <c r="CI44" s="398"/>
      <c r="CJ44" s="398">
        <f t="shared" si="55"/>
        <v>0</v>
      </c>
      <c r="CK44" s="398"/>
      <c r="CL44" s="404"/>
      <c r="CM44" s="404"/>
      <c r="CN44" s="404"/>
      <c r="CO44" s="398"/>
      <c r="CP44" s="398">
        <f t="shared" si="56"/>
        <v>0</v>
      </c>
      <c r="CQ44" s="398"/>
      <c r="CR44" s="404"/>
      <c r="CS44" s="404"/>
      <c r="CT44" s="404"/>
      <c r="CU44" s="398"/>
      <c r="CV44" s="398">
        <f t="shared" si="57"/>
        <v>0</v>
      </c>
      <c r="CW44" s="398"/>
      <c r="CX44" s="404"/>
      <c r="CY44" s="404"/>
      <c r="CZ44" s="404"/>
      <c r="DA44" s="398"/>
      <c r="DB44" s="398">
        <f t="shared" si="58"/>
        <v>0</v>
      </c>
      <c r="DC44" s="398"/>
      <c r="DD44" s="404"/>
      <c r="DE44" s="404"/>
      <c r="DF44" s="404"/>
      <c r="DG44" s="398"/>
      <c r="DH44" s="398">
        <f t="shared" si="59"/>
        <v>0</v>
      </c>
      <c r="DI44" s="398"/>
      <c r="DJ44" s="404"/>
      <c r="DK44" s="404"/>
      <c r="DL44" s="404"/>
      <c r="DM44" s="398"/>
      <c r="DN44" s="398">
        <f t="shared" si="60"/>
        <v>0</v>
      </c>
      <c r="DO44" s="398"/>
      <c r="DP44" s="404"/>
      <c r="DQ44" s="404"/>
      <c r="DR44" s="404"/>
      <c r="DS44" s="398"/>
      <c r="DT44" s="398">
        <f t="shared" si="61"/>
        <v>0</v>
      </c>
      <c r="DU44" s="398"/>
      <c r="DV44" s="404"/>
      <c r="DW44" s="404"/>
      <c r="DX44" s="404"/>
      <c r="DY44" s="398"/>
      <c r="DZ44" s="398">
        <f t="shared" si="62"/>
        <v>0</v>
      </c>
      <c r="EA44" s="398"/>
      <c r="EB44" s="404"/>
      <c r="EC44" s="404"/>
      <c r="ED44" s="404"/>
      <c r="EE44" s="398"/>
      <c r="EF44" s="398">
        <f t="shared" si="63"/>
        <v>0</v>
      </c>
      <c r="EG44" s="398"/>
      <c r="EH44" s="404"/>
      <c r="EI44" s="404"/>
      <c r="EJ44" s="404"/>
      <c r="EK44" s="398"/>
      <c r="EL44" s="398">
        <f t="shared" si="64"/>
        <v>0</v>
      </c>
      <c r="EM44" s="398"/>
      <c r="EN44" s="404"/>
      <c r="EO44" s="404"/>
      <c r="EP44" s="404"/>
      <c r="EQ44" s="398"/>
      <c r="ER44" s="398">
        <f t="shared" si="65"/>
        <v>0</v>
      </c>
      <c r="ES44" s="398"/>
      <c r="ET44" s="404"/>
      <c r="EU44" s="404"/>
      <c r="EV44" s="404"/>
      <c r="EW44" s="398"/>
      <c r="EX44" s="398">
        <f t="shared" si="66"/>
        <v>0</v>
      </c>
      <c r="EY44" s="398" t="e">
        <f>VLOOKUP($A44,[2]Devengado!$A$1:$AI$3,35,FALSE)</f>
        <v>#N/A</v>
      </c>
    </row>
    <row r="45" spans="1:155" ht="23.25" hidden="1" customHeight="1">
      <c r="A45" s="341">
        <v>733</v>
      </c>
      <c r="B45" s="442" t="str">
        <f>VLOOKUP($A45,  'Matriz POA 2024-TRABAJO'!$A$5:$CY$9142,11,FALSE)</f>
        <v>Corporación Ciudad Alfaro</v>
      </c>
      <c r="C45" s="442" t="str">
        <f>VLOOKUP($A45, 'Matriz POA 2024-TRABAJO'!$A$5:$CY$9142,14,FALSE)</f>
        <v>N/A</v>
      </c>
      <c r="D45" s="442" t="str">
        <f>VLOOKUP($A45, 'Matriz POA 2024-TRABAJO'!$A$5:$CY$9142,15,FALSE)</f>
        <v>N/A</v>
      </c>
      <c r="E45" s="442" t="str">
        <f>VLOOKUP($A45, 'Matriz POA 2024-TRABAJO'!$A$5:$CY$9142,18,FALSE)</f>
        <v>N/A</v>
      </c>
      <c r="F45" s="442" t="str">
        <f>VLOOKUP($A45, 'Matriz POA 2024-TRABAJO'!$A$5:$CY$9142,23,FALSE)</f>
        <v>NUEVA</v>
      </c>
      <c r="G45" s="443" t="str">
        <f>VLOOKUP($A45, 'Matriz POA 2024-TRABAJO'!$A$5:$CY$9142,24,FALSE)</f>
        <v>Pago mensual del servicio de energía eléctrica del Museo y Centro Cultural de Manta por el período 2024</v>
      </c>
      <c r="H45" s="442" t="str">
        <f>VLOOKUP($A45, 'Matriz POA 2024-TRABAJO'!$A$5:$CY$9142,25,FALSE)</f>
        <v>0035</v>
      </c>
      <c r="I45" s="442" t="str">
        <f>VLOOKUP($A45, 'Matriz POA 2024-TRABAJO'!$A$5:$CY$9142,26,FALSE)</f>
        <v>80</v>
      </c>
      <c r="J45" s="442" t="str">
        <f>VLOOKUP($A45, 'Matriz POA 2024-TRABAJO'!$A$5:$CY$9142,27,FALSE)</f>
        <v>000</v>
      </c>
      <c r="K45" s="444" t="str">
        <f>VLOOKUP($A45, 'Matriz POA 2024-TRABAJO'!$A$5:$CY$9142,28,FALSE)</f>
        <v>002</v>
      </c>
      <c r="L45" s="444" t="str">
        <f>VLOOKUP($A45, 'Matriz POA 2024-TRABAJO'!$A$5:$CY$9142,29,FALSE)</f>
        <v>53</v>
      </c>
      <c r="M45" s="444">
        <f>VLOOKUP($A45, 'Matriz POA 2024-TRABAJO'!$A$5:$CY$9142,30,FALSE)</f>
        <v>530104</v>
      </c>
      <c r="N45" s="444" t="str">
        <f>VLOOKUP($A45, 'Matriz POA 2024-TRABAJO'!$A$5:$CY$9142,33,FALSE)</f>
        <v>001</v>
      </c>
      <c r="O45" s="444" t="str">
        <f>VLOOKUP($A45, 'Matriz POA 2024-TRABAJO'!$A$5:$CY$9142,34,FALSE)</f>
        <v>0000</v>
      </c>
      <c r="P45" s="444" t="str">
        <f>VLOOKUP($A45, 'Matriz POA 2024-TRABAJO'!$A$5:$CY$9142,35,FALSE)</f>
        <v>0000</v>
      </c>
      <c r="Q45" s="445">
        <f>VLOOKUP($A45, 'Matriz POA 2024-TRABAJO'!$A$5:$CY$9142,47,FALSE)</f>
        <v>14999.67</v>
      </c>
      <c r="R45" s="446">
        <f t="shared" si="45"/>
        <v>8938.76</v>
      </c>
      <c r="S45" s="446">
        <f t="shared" si="46"/>
        <v>14500</v>
      </c>
      <c r="T45" s="446">
        <f t="shared" si="47"/>
        <v>499.67</v>
      </c>
      <c r="U45" s="446">
        <f t="shared" si="48"/>
        <v>0</v>
      </c>
      <c r="V45" s="446" t="str">
        <f t="shared" si="49"/>
        <v>5397126</v>
      </c>
      <c r="W45" s="511">
        <v>53</v>
      </c>
      <c r="X45" s="404" t="s">
        <v>1303</v>
      </c>
      <c r="Y45" s="404" t="s">
        <v>1301</v>
      </c>
      <c r="Z45" s="404">
        <f>12000-12000</f>
        <v>0</v>
      </c>
      <c r="AA45" s="404">
        <f>12000-5939.09</f>
        <v>6060.91</v>
      </c>
      <c r="AB45" s="398">
        <f t="shared" si="41"/>
        <v>0</v>
      </c>
      <c r="AC45" s="512">
        <v>97</v>
      </c>
      <c r="AD45" s="404" t="s">
        <v>1996</v>
      </c>
      <c r="AE45" s="404" t="s">
        <v>1997</v>
      </c>
      <c r="AF45" s="404">
        <v>8439.09</v>
      </c>
      <c r="AG45" s="398">
        <v>8439.09</v>
      </c>
      <c r="AH45" s="398">
        <f t="shared" ref="AH45" si="73">IF(AD45="APROBADO",AF45-AG45,0)</f>
        <v>0</v>
      </c>
      <c r="AI45" s="405">
        <v>126</v>
      </c>
      <c r="AJ45" s="404" t="s">
        <v>1299</v>
      </c>
      <c r="AK45" s="404" t="s">
        <v>2030</v>
      </c>
      <c r="AL45" s="404">
        <v>499.67</v>
      </c>
      <c r="AM45" s="398"/>
      <c r="AN45" s="398">
        <f t="shared" si="37"/>
        <v>499.67</v>
      </c>
      <c r="AO45" s="398"/>
      <c r="AP45" s="404"/>
      <c r="AQ45" s="404"/>
      <c r="AR45" s="404"/>
      <c r="AS45" s="398"/>
      <c r="AT45" s="398">
        <f t="shared" si="38"/>
        <v>0</v>
      </c>
      <c r="AU45" s="398"/>
      <c r="AV45" s="404"/>
      <c r="AW45" s="404"/>
      <c r="AX45" s="404"/>
      <c r="AY45" s="404"/>
      <c r="AZ45" s="398">
        <f t="shared" si="39"/>
        <v>0</v>
      </c>
      <c r="BA45" s="398"/>
      <c r="BB45" s="404"/>
      <c r="BC45" s="404"/>
      <c r="BD45" s="404"/>
      <c r="BE45" s="398"/>
      <c r="BF45" s="398">
        <f t="shared" si="40"/>
        <v>0</v>
      </c>
      <c r="BG45" s="398"/>
      <c r="BH45" s="404"/>
      <c r="BI45" s="404"/>
      <c r="BJ45" s="404"/>
      <c r="BK45" s="398"/>
      <c r="BL45" s="398">
        <f t="shared" si="51"/>
        <v>0</v>
      </c>
      <c r="BM45" s="398"/>
      <c r="BN45" s="404"/>
      <c r="BO45" s="404"/>
      <c r="BP45" s="404"/>
      <c r="BQ45" s="398"/>
      <c r="BR45" s="398">
        <f t="shared" si="52"/>
        <v>0</v>
      </c>
      <c r="BS45" s="398"/>
      <c r="BT45" s="404"/>
      <c r="BU45" s="404"/>
      <c r="BV45" s="404"/>
      <c r="BW45" s="398"/>
      <c r="BX45" s="398">
        <f t="shared" si="53"/>
        <v>0</v>
      </c>
      <c r="BY45" s="398"/>
      <c r="BZ45" s="404"/>
      <c r="CA45" s="404"/>
      <c r="CB45" s="404"/>
      <c r="CC45" s="398"/>
      <c r="CD45" s="398">
        <f t="shared" si="54"/>
        <v>0</v>
      </c>
      <c r="CE45" s="398"/>
      <c r="CF45" s="404"/>
      <c r="CG45" s="404"/>
      <c r="CH45" s="404"/>
      <c r="CI45" s="398"/>
      <c r="CJ45" s="398">
        <f t="shared" si="55"/>
        <v>0</v>
      </c>
      <c r="CK45" s="398"/>
      <c r="CL45" s="404"/>
      <c r="CM45" s="404"/>
      <c r="CN45" s="404"/>
      <c r="CO45" s="398"/>
      <c r="CP45" s="398">
        <f t="shared" si="56"/>
        <v>0</v>
      </c>
      <c r="CQ45" s="398"/>
      <c r="CR45" s="404"/>
      <c r="CS45" s="404"/>
      <c r="CT45" s="404"/>
      <c r="CU45" s="398"/>
      <c r="CV45" s="398">
        <f t="shared" si="57"/>
        <v>0</v>
      </c>
      <c r="CW45" s="398"/>
      <c r="CX45" s="404"/>
      <c r="CY45" s="404"/>
      <c r="CZ45" s="404"/>
      <c r="DA45" s="398"/>
      <c r="DB45" s="398">
        <f t="shared" si="58"/>
        <v>0</v>
      </c>
      <c r="DC45" s="398"/>
      <c r="DD45" s="404"/>
      <c r="DE45" s="404"/>
      <c r="DF45" s="404"/>
      <c r="DG45" s="398"/>
      <c r="DH45" s="398">
        <f t="shared" si="59"/>
        <v>0</v>
      </c>
      <c r="DI45" s="398"/>
      <c r="DJ45" s="404"/>
      <c r="DK45" s="404"/>
      <c r="DL45" s="404"/>
      <c r="DM45" s="398"/>
      <c r="DN45" s="398">
        <f t="shared" si="60"/>
        <v>0</v>
      </c>
      <c r="DO45" s="398"/>
      <c r="DP45" s="404"/>
      <c r="DQ45" s="404"/>
      <c r="DR45" s="404"/>
      <c r="DS45" s="398"/>
      <c r="DT45" s="398">
        <f t="shared" si="61"/>
        <v>0</v>
      </c>
      <c r="DU45" s="398"/>
      <c r="DV45" s="404"/>
      <c r="DW45" s="404"/>
      <c r="DX45" s="404"/>
      <c r="DY45" s="398"/>
      <c r="DZ45" s="398">
        <f t="shared" si="62"/>
        <v>0</v>
      </c>
      <c r="EA45" s="398"/>
      <c r="EB45" s="404"/>
      <c r="EC45" s="404"/>
      <c r="ED45" s="404"/>
      <c r="EE45" s="398"/>
      <c r="EF45" s="398">
        <f t="shared" si="63"/>
        <v>0</v>
      </c>
      <c r="EG45" s="398"/>
      <c r="EH45" s="404"/>
      <c r="EI45" s="404"/>
      <c r="EJ45" s="404"/>
      <c r="EK45" s="398"/>
      <c r="EL45" s="398">
        <f t="shared" si="64"/>
        <v>0</v>
      </c>
      <c r="EM45" s="398"/>
      <c r="EN45" s="404"/>
      <c r="EO45" s="404"/>
      <c r="EP45" s="404"/>
      <c r="EQ45" s="398"/>
      <c r="ER45" s="398">
        <f t="shared" si="65"/>
        <v>0</v>
      </c>
      <c r="ES45" s="398"/>
      <c r="ET45" s="404"/>
      <c r="EU45" s="404"/>
      <c r="EV45" s="404"/>
      <c r="EW45" s="398"/>
      <c r="EX45" s="398">
        <f t="shared" si="66"/>
        <v>0</v>
      </c>
      <c r="EY45" s="398" t="e">
        <f>VLOOKUP($A45,[2]Devengado!$A$1:$AI$3,35,FALSE)</f>
        <v>#N/A</v>
      </c>
    </row>
    <row r="46" spans="1:155" ht="23.25" hidden="1" customHeight="1">
      <c r="A46" s="341">
        <v>490</v>
      </c>
      <c r="B46" s="442" t="str">
        <f>VLOOKUP($A46,  'Matriz POA 2024-TRABAJO'!$A$5:$CY$9142,11,FALSE)</f>
        <v>Corporación Ciudad Alfaro</v>
      </c>
      <c r="C46" s="442" t="str">
        <f>VLOOKUP($A46, 'Matriz POA 2024-TRABAJO'!$A$5:$CY$9142,14,FALSE)</f>
        <v>N/A</v>
      </c>
      <c r="D46" s="442" t="str">
        <f>VLOOKUP($A46, 'Matriz POA 2024-TRABAJO'!$A$5:$CY$9142,15,FALSE)</f>
        <v>N/A</v>
      </c>
      <c r="E46" s="442" t="str">
        <f>VLOOKUP($A46, 'Matriz POA 2024-TRABAJO'!$A$5:$CY$9142,18,FALSE)</f>
        <v>N/A</v>
      </c>
      <c r="F46" s="442" t="str">
        <f>VLOOKUP($A46, 'Matriz POA 2024-TRABAJO'!$A$5:$CY$9142,23,FALSE)</f>
        <v>NUEVA</v>
      </c>
      <c r="G46" s="443" t="str">
        <f>VLOOKUP($A46, 'Matriz POA 2024-TRABAJO'!$A$5:$CY$9142,24,FALSE)</f>
        <v>Lavado de Menaje</v>
      </c>
      <c r="H46" s="442" t="str">
        <f>VLOOKUP($A46, 'Matriz POA 2024-TRABAJO'!$A$5:$CY$9142,25,FALSE)</f>
        <v>0035</v>
      </c>
      <c r="I46" s="442" t="str">
        <f>VLOOKUP($A46, 'Matriz POA 2024-TRABAJO'!$A$5:$CY$9142,26,FALSE)</f>
        <v>80</v>
      </c>
      <c r="J46" s="442" t="str">
        <f>VLOOKUP($A46, 'Matriz POA 2024-TRABAJO'!$A$5:$CY$9142,27,FALSE)</f>
        <v>000</v>
      </c>
      <c r="K46" s="444" t="str">
        <f>VLOOKUP($A46, 'Matriz POA 2024-TRABAJO'!$A$5:$CY$9142,28,FALSE)</f>
        <v>002</v>
      </c>
      <c r="L46" s="444" t="str">
        <f>VLOOKUP($A46, 'Matriz POA 2024-TRABAJO'!$A$5:$CY$9142,29,FALSE)</f>
        <v>53</v>
      </c>
      <c r="M46" s="444">
        <f>VLOOKUP($A46, 'Matriz POA 2024-TRABAJO'!$A$5:$CY$9142,30,FALSE)</f>
        <v>530209</v>
      </c>
      <c r="N46" s="444" t="str">
        <f>VLOOKUP($A46, 'Matriz POA 2024-TRABAJO'!$A$5:$CY$9142,33,FALSE)</f>
        <v>001</v>
      </c>
      <c r="O46" s="444" t="str">
        <f>VLOOKUP($A46, 'Matriz POA 2024-TRABAJO'!$A$5:$CY$9142,34,FALSE)</f>
        <v>0000</v>
      </c>
      <c r="P46" s="444" t="str">
        <f>VLOOKUP($A46, 'Matriz POA 2024-TRABAJO'!$A$5:$CY$9142,35,FALSE)</f>
        <v>0000</v>
      </c>
      <c r="Q46" s="445">
        <f>VLOOKUP($A46, 'Matriz POA 2024-TRABAJO'!$A$5:$CY$9142,47,FALSE)</f>
        <v>1508.5</v>
      </c>
      <c r="R46" s="446">
        <f t="shared" si="45"/>
        <v>0</v>
      </c>
      <c r="S46" s="446">
        <f t="shared" si="46"/>
        <v>1508.5</v>
      </c>
      <c r="T46" s="446">
        <f t="shared" si="47"/>
        <v>0</v>
      </c>
      <c r="U46" s="446">
        <f t="shared" si="48"/>
        <v>0</v>
      </c>
      <c r="V46" s="446" t="str">
        <f t="shared" si="49"/>
        <v>54</v>
      </c>
      <c r="W46" s="511">
        <v>54</v>
      </c>
      <c r="X46" s="404" t="s">
        <v>1303</v>
      </c>
      <c r="Y46" s="404" t="s">
        <v>1301</v>
      </c>
      <c r="Z46" s="404">
        <f>2000-2000</f>
        <v>0</v>
      </c>
      <c r="AA46" s="404">
        <f>2000-491.5</f>
        <v>1508.5</v>
      </c>
      <c r="AB46" s="398">
        <f t="shared" si="41"/>
        <v>0</v>
      </c>
      <c r="AC46" s="403"/>
      <c r="AD46" s="404"/>
      <c r="AE46" s="404"/>
      <c r="AF46" s="404"/>
      <c r="AG46" s="398"/>
      <c r="AH46" s="398">
        <f>IF(AD46="APROBADO",AF46-AG46,0)</f>
        <v>0</v>
      </c>
      <c r="AI46" s="405"/>
      <c r="AJ46" s="404"/>
      <c r="AK46" s="404"/>
      <c r="AL46" s="404"/>
      <c r="AM46" s="398"/>
      <c r="AN46" s="398">
        <f t="shared" si="37"/>
        <v>0</v>
      </c>
      <c r="AO46" s="398"/>
      <c r="AP46" s="404"/>
      <c r="AQ46" s="404"/>
      <c r="AR46" s="404"/>
      <c r="AS46" s="398"/>
      <c r="AT46" s="398">
        <f t="shared" si="38"/>
        <v>0</v>
      </c>
      <c r="AU46" s="398"/>
      <c r="AV46" s="404"/>
      <c r="AW46" s="404"/>
      <c r="AX46" s="404"/>
      <c r="AY46" s="404"/>
      <c r="AZ46" s="398">
        <f t="shared" si="39"/>
        <v>0</v>
      </c>
      <c r="BA46" s="398"/>
      <c r="BB46" s="404"/>
      <c r="BC46" s="404"/>
      <c r="BD46" s="404"/>
      <c r="BE46" s="398"/>
      <c r="BF46" s="398">
        <f t="shared" si="40"/>
        <v>0</v>
      </c>
      <c r="BG46" s="398"/>
      <c r="BH46" s="404"/>
      <c r="BI46" s="404"/>
      <c r="BJ46" s="404"/>
      <c r="BK46" s="398"/>
      <c r="BL46" s="398">
        <f t="shared" si="51"/>
        <v>0</v>
      </c>
      <c r="BM46" s="398"/>
      <c r="BN46" s="404"/>
      <c r="BO46" s="404"/>
      <c r="BP46" s="404"/>
      <c r="BQ46" s="398"/>
      <c r="BR46" s="398">
        <f t="shared" si="52"/>
        <v>0</v>
      </c>
      <c r="BS46" s="398"/>
      <c r="BT46" s="404"/>
      <c r="BU46" s="404"/>
      <c r="BV46" s="404"/>
      <c r="BW46" s="398"/>
      <c r="BX46" s="398">
        <f t="shared" si="53"/>
        <v>0</v>
      </c>
      <c r="BY46" s="398"/>
      <c r="BZ46" s="404"/>
      <c r="CA46" s="404"/>
      <c r="CB46" s="404"/>
      <c r="CC46" s="398"/>
      <c r="CD46" s="398">
        <f t="shared" si="54"/>
        <v>0</v>
      </c>
      <c r="CE46" s="398"/>
      <c r="CF46" s="404"/>
      <c r="CG46" s="404"/>
      <c r="CH46" s="404"/>
      <c r="CI46" s="398"/>
      <c r="CJ46" s="398">
        <f t="shared" si="55"/>
        <v>0</v>
      </c>
      <c r="CK46" s="398"/>
      <c r="CL46" s="404"/>
      <c r="CM46" s="404"/>
      <c r="CN46" s="404"/>
      <c r="CO46" s="398"/>
      <c r="CP46" s="398">
        <f t="shared" si="56"/>
        <v>0</v>
      </c>
      <c r="CQ46" s="398"/>
      <c r="CR46" s="404"/>
      <c r="CS46" s="404"/>
      <c r="CT46" s="404"/>
      <c r="CU46" s="398"/>
      <c r="CV46" s="398">
        <f t="shared" si="57"/>
        <v>0</v>
      </c>
      <c r="CW46" s="398"/>
      <c r="CX46" s="404"/>
      <c r="CY46" s="404"/>
      <c r="CZ46" s="404"/>
      <c r="DA46" s="398"/>
      <c r="DB46" s="398">
        <f t="shared" si="58"/>
        <v>0</v>
      </c>
      <c r="DC46" s="398"/>
      <c r="DD46" s="404"/>
      <c r="DE46" s="404"/>
      <c r="DF46" s="404"/>
      <c r="DG46" s="398"/>
      <c r="DH46" s="398">
        <f t="shared" si="59"/>
        <v>0</v>
      </c>
      <c r="DI46" s="398"/>
      <c r="DJ46" s="404"/>
      <c r="DK46" s="404"/>
      <c r="DL46" s="404"/>
      <c r="DM46" s="398"/>
      <c r="DN46" s="398">
        <f t="shared" si="60"/>
        <v>0</v>
      </c>
      <c r="DO46" s="398"/>
      <c r="DP46" s="404"/>
      <c r="DQ46" s="404"/>
      <c r="DR46" s="404"/>
      <c r="DS46" s="398"/>
      <c r="DT46" s="398">
        <f t="shared" si="61"/>
        <v>0</v>
      </c>
      <c r="DU46" s="398"/>
      <c r="DV46" s="404"/>
      <c r="DW46" s="404"/>
      <c r="DX46" s="404"/>
      <c r="DY46" s="398"/>
      <c r="DZ46" s="398">
        <f t="shared" si="62"/>
        <v>0</v>
      </c>
      <c r="EA46" s="398"/>
      <c r="EB46" s="404"/>
      <c r="EC46" s="404"/>
      <c r="ED46" s="404"/>
      <c r="EE46" s="398"/>
      <c r="EF46" s="398">
        <f t="shared" si="63"/>
        <v>0</v>
      </c>
      <c r="EG46" s="398"/>
      <c r="EH46" s="404"/>
      <c r="EI46" s="404"/>
      <c r="EJ46" s="404"/>
      <c r="EK46" s="398"/>
      <c r="EL46" s="398">
        <f t="shared" si="64"/>
        <v>0</v>
      </c>
      <c r="EM46" s="398"/>
      <c r="EN46" s="404"/>
      <c r="EO46" s="404"/>
      <c r="EP46" s="404"/>
      <c r="EQ46" s="398"/>
      <c r="ER46" s="398">
        <f t="shared" si="65"/>
        <v>0</v>
      </c>
      <c r="ES46" s="398"/>
      <c r="ET46" s="404"/>
      <c r="EU46" s="404"/>
      <c r="EV46" s="404"/>
      <c r="EW46" s="398"/>
      <c r="EX46" s="398">
        <f t="shared" si="66"/>
        <v>0</v>
      </c>
      <c r="EY46" s="398" t="e">
        <f>VLOOKUP($A46,[2]Devengado!$A$1:$AI$3,35,FALSE)</f>
        <v>#N/A</v>
      </c>
    </row>
    <row r="47" spans="1:155" ht="23.25" hidden="1" customHeight="1">
      <c r="A47" s="341">
        <v>463</v>
      </c>
      <c r="B47" s="442" t="str">
        <f>VLOOKUP($A47,  'Matriz POA 2024-TRABAJO'!$A$5:$CY$9142,11,FALSE)</f>
        <v>Corporación Ciudad Alfaro</v>
      </c>
      <c r="C47" s="442" t="str">
        <f>VLOOKUP($A47, 'Matriz POA 2024-TRABAJO'!$A$5:$CY$9142,14,FALSE)</f>
        <v>N/A</v>
      </c>
      <c r="D47" s="442" t="str">
        <f>VLOOKUP($A47, 'Matriz POA 2024-TRABAJO'!$A$5:$CY$9142,15,FALSE)</f>
        <v>N/A</v>
      </c>
      <c r="E47" s="442" t="str">
        <f>VLOOKUP($A47, 'Matriz POA 2024-TRABAJO'!$A$5:$CY$9142,18,FALSE)</f>
        <v>N/A</v>
      </c>
      <c r="F47" s="442" t="str">
        <f>VLOOKUP($A47, 'Matriz POA 2024-TRABAJO'!$A$5:$CY$9142,23,FALSE)</f>
        <v>NUEVA</v>
      </c>
      <c r="G47" s="443" t="str">
        <f>VLOOKUP($A47, 'Matriz POA 2024-TRABAJO'!$A$5:$CY$9142,24,FALSE)</f>
        <v>Pago de tasas y contribuciones a los predios urbanos y cuerpo de bomberos del Museo Bahía de Caráquez</v>
      </c>
      <c r="H47" s="442" t="str">
        <f>VLOOKUP($A47, 'Matriz POA 2024-TRABAJO'!$A$5:$CY$9142,25,FALSE)</f>
        <v>0035</v>
      </c>
      <c r="I47" s="442" t="str">
        <f>VLOOKUP($A47, 'Matriz POA 2024-TRABAJO'!$A$5:$CY$9142,26,FALSE)</f>
        <v>80</v>
      </c>
      <c r="J47" s="442" t="str">
        <f>VLOOKUP($A47, 'Matriz POA 2024-TRABAJO'!$A$5:$CY$9142,27,FALSE)</f>
        <v>000</v>
      </c>
      <c r="K47" s="444" t="str">
        <f>VLOOKUP($A47, 'Matriz POA 2024-TRABAJO'!$A$5:$CY$9142,28,FALSE)</f>
        <v>002</v>
      </c>
      <c r="L47" s="444" t="str">
        <f>VLOOKUP($A47, 'Matriz POA 2024-TRABAJO'!$A$5:$CY$9142,29,FALSE)</f>
        <v>57</v>
      </c>
      <c r="M47" s="444">
        <f>VLOOKUP($A47, 'Matriz POA 2024-TRABAJO'!$A$5:$CY$9142,30,FALSE)</f>
        <v>570102</v>
      </c>
      <c r="N47" s="444" t="str">
        <f>VLOOKUP($A47, 'Matriz POA 2024-TRABAJO'!$A$5:$CY$9142,33,FALSE)</f>
        <v>001</v>
      </c>
      <c r="O47" s="444" t="str">
        <f>VLOOKUP($A47, 'Matriz POA 2024-TRABAJO'!$A$5:$CY$9142,34,FALSE)</f>
        <v>0000</v>
      </c>
      <c r="P47" s="444" t="str">
        <f>VLOOKUP($A47, 'Matriz POA 2024-TRABAJO'!$A$5:$CY$9142,35,FALSE)</f>
        <v>0000</v>
      </c>
      <c r="Q47" s="445">
        <f>VLOOKUP($A47, 'Matriz POA 2024-TRABAJO'!$A$5:$CY$9142,47,FALSE)</f>
        <v>2500</v>
      </c>
      <c r="R47" s="446">
        <f t="shared" si="45"/>
        <v>2500</v>
      </c>
      <c r="S47" s="446">
        <f t="shared" si="46"/>
        <v>2500</v>
      </c>
      <c r="T47" s="446">
        <f t="shared" si="47"/>
        <v>0</v>
      </c>
      <c r="U47" s="446">
        <f t="shared" si="48"/>
        <v>0</v>
      </c>
      <c r="V47" s="446" t="str">
        <f t="shared" si="49"/>
        <v>55</v>
      </c>
      <c r="W47" s="511">
        <v>55</v>
      </c>
      <c r="X47" s="404" t="s">
        <v>1299</v>
      </c>
      <c r="Y47" s="404" t="s">
        <v>1301</v>
      </c>
      <c r="Z47" s="404">
        <v>2500</v>
      </c>
      <c r="AA47" s="404">
        <v>2500</v>
      </c>
      <c r="AB47" s="398">
        <f t="shared" si="41"/>
        <v>0</v>
      </c>
      <c r="AC47" s="405"/>
      <c r="AD47" s="404"/>
      <c r="AE47" s="404"/>
      <c r="AF47" s="404"/>
      <c r="AG47" s="398"/>
      <c r="AH47" s="398">
        <f t="shared" ref="AH47" si="74">IF(AD47="APROBADO",AF47-AG47,0)</f>
        <v>0</v>
      </c>
      <c r="AI47" s="405"/>
      <c r="AJ47" s="404"/>
      <c r="AK47" s="404"/>
      <c r="AL47" s="404"/>
      <c r="AM47" s="398"/>
      <c r="AN47" s="398">
        <f t="shared" si="37"/>
        <v>0</v>
      </c>
      <c r="AO47" s="398"/>
      <c r="AP47" s="404"/>
      <c r="AQ47" s="404"/>
      <c r="AR47" s="404"/>
      <c r="AS47" s="398"/>
      <c r="AT47" s="398">
        <f t="shared" si="38"/>
        <v>0</v>
      </c>
      <c r="AU47" s="398"/>
      <c r="AV47" s="404"/>
      <c r="AW47" s="404"/>
      <c r="AX47" s="404"/>
      <c r="AY47" s="404"/>
      <c r="AZ47" s="398">
        <f t="shared" si="39"/>
        <v>0</v>
      </c>
      <c r="BA47" s="398"/>
      <c r="BB47" s="404"/>
      <c r="BC47" s="404"/>
      <c r="BD47" s="404"/>
      <c r="BE47" s="398"/>
      <c r="BF47" s="398">
        <f t="shared" si="40"/>
        <v>0</v>
      </c>
      <c r="BG47" s="398"/>
      <c r="BH47" s="404"/>
      <c r="BI47" s="404"/>
      <c r="BJ47" s="404"/>
      <c r="BK47" s="398"/>
      <c r="BL47" s="398">
        <f t="shared" si="51"/>
        <v>0</v>
      </c>
      <c r="BM47" s="398"/>
      <c r="BN47" s="404"/>
      <c r="BO47" s="404"/>
      <c r="BP47" s="404"/>
      <c r="BQ47" s="398"/>
      <c r="BR47" s="398">
        <f t="shared" si="52"/>
        <v>0</v>
      </c>
      <c r="BS47" s="398"/>
      <c r="BT47" s="404"/>
      <c r="BU47" s="404"/>
      <c r="BV47" s="404"/>
      <c r="BW47" s="398"/>
      <c r="BX47" s="398">
        <f t="shared" si="53"/>
        <v>0</v>
      </c>
      <c r="BY47" s="398"/>
      <c r="BZ47" s="404"/>
      <c r="CA47" s="404"/>
      <c r="CB47" s="404"/>
      <c r="CC47" s="398"/>
      <c r="CD47" s="398">
        <f t="shared" si="54"/>
        <v>0</v>
      </c>
      <c r="CE47" s="398"/>
      <c r="CF47" s="404"/>
      <c r="CG47" s="404"/>
      <c r="CH47" s="404"/>
      <c r="CI47" s="398"/>
      <c r="CJ47" s="398">
        <f t="shared" si="55"/>
        <v>0</v>
      </c>
      <c r="CK47" s="398"/>
      <c r="CL47" s="404"/>
      <c r="CM47" s="404"/>
      <c r="CN47" s="404"/>
      <c r="CO47" s="398"/>
      <c r="CP47" s="398">
        <f t="shared" si="56"/>
        <v>0</v>
      </c>
      <c r="CQ47" s="398"/>
      <c r="CR47" s="404"/>
      <c r="CS47" s="404"/>
      <c r="CT47" s="404"/>
      <c r="CU47" s="398"/>
      <c r="CV47" s="398">
        <f t="shared" si="57"/>
        <v>0</v>
      </c>
      <c r="CW47" s="398"/>
      <c r="CX47" s="404"/>
      <c r="CY47" s="404"/>
      <c r="CZ47" s="404"/>
      <c r="DA47" s="398"/>
      <c r="DB47" s="398">
        <f t="shared" si="58"/>
        <v>0</v>
      </c>
      <c r="DC47" s="398"/>
      <c r="DD47" s="404"/>
      <c r="DE47" s="404"/>
      <c r="DF47" s="404"/>
      <c r="DG47" s="398"/>
      <c r="DH47" s="398">
        <f t="shared" si="59"/>
        <v>0</v>
      </c>
      <c r="DI47" s="398"/>
      <c r="DJ47" s="404"/>
      <c r="DK47" s="404"/>
      <c r="DL47" s="404"/>
      <c r="DM47" s="398"/>
      <c r="DN47" s="398">
        <f t="shared" si="60"/>
        <v>0</v>
      </c>
      <c r="DO47" s="398"/>
      <c r="DP47" s="404"/>
      <c r="DQ47" s="404"/>
      <c r="DR47" s="404"/>
      <c r="DS47" s="398"/>
      <c r="DT47" s="398">
        <f t="shared" si="61"/>
        <v>0</v>
      </c>
      <c r="DU47" s="398"/>
      <c r="DV47" s="404"/>
      <c r="DW47" s="404"/>
      <c r="DX47" s="404"/>
      <c r="DY47" s="398"/>
      <c r="DZ47" s="398">
        <f t="shared" si="62"/>
        <v>0</v>
      </c>
      <c r="EA47" s="398"/>
      <c r="EB47" s="404"/>
      <c r="EC47" s="404"/>
      <c r="ED47" s="404"/>
      <c r="EE47" s="398"/>
      <c r="EF47" s="398">
        <f t="shared" si="63"/>
        <v>0</v>
      </c>
      <c r="EG47" s="398"/>
      <c r="EH47" s="404"/>
      <c r="EI47" s="404"/>
      <c r="EJ47" s="404"/>
      <c r="EK47" s="398"/>
      <c r="EL47" s="398">
        <f t="shared" si="64"/>
        <v>0</v>
      </c>
      <c r="EM47" s="398"/>
      <c r="EN47" s="404"/>
      <c r="EO47" s="404"/>
      <c r="EP47" s="404"/>
      <c r="EQ47" s="398"/>
      <c r="ER47" s="398">
        <f t="shared" si="65"/>
        <v>0</v>
      </c>
      <c r="ES47" s="398"/>
      <c r="ET47" s="404"/>
      <c r="EU47" s="404"/>
      <c r="EV47" s="404"/>
      <c r="EW47" s="398"/>
      <c r="EX47" s="398">
        <f t="shared" si="66"/>
        <v>0</v>
      </c>
      <c r="EY47" s="398" t="e">
        <f>VLOOKUP($A47,[2]Devengado!$A$1:$AI$3,35,FALSE)</f>
        <v>#N/A</v>
      </c>
    </row>
    <row r="48" spans="1:155" ht="23.25" hidden="1" customHeight="1">
      <c r="A48" s="341">
        <v>417</v>
      </c>
      <c r="B48" s="442" t="str">
        <f>VLOOKUP($A48,  'Matriz POA 2024-TRABAJO'!$A$5:$CY$9142,11,FALSE)</f>
        <v>Corporación Ciudad Alfaro</v>
      </c>
      <c r="C48" s="442" t="str">
        <f>VLOOKUP($A48, 'Matriz POA 2024-TRABAJO'!$A$5:$CY$9142,14,FALSE)</f>
        <v>N/A</v>
      </c>
      <c r="D48" s="442" t="str">
        <f>VLOOKUP($A48, 'Matriz POA 2024-TRABAJO'!$A$5:$CY$9142,15,FALSE)</f>
        <v>N/A</v>
      </c>
      <c r="E48" s="442" t="str">
        <f>VLOOKUP($A48, 'Matriz POA 2024-TRABAJO'!$A$5:$CY$9142,18,FALSE)</f>
        <v>N/A</v>
      </c>
      <c r="F48" s="442" t="str">
        <f>VLOOKUP($A48, 'Matriz POA 2024-TRABAJO'!$A$5:$CY$9142,23,FALSE)</f>
        <v>NUEVA</v>
      </c>
      <c r="G48" s="443" t="str">
        <f>VLOOKUP($A48, 'Matriz POA 2024-TRABAJO'!$A$5:$CY$9142,24,FALSE)</f>
        <v>Décimo Tercer Sueldo</v>
      </c>
      <c r="H48" s="442" t="str">
        <f>VLOOKUP($A48, 'Matriz POA 2024-TRABAJO'!$A$5:$CY$9142,25,FALSE)</f>
        <v>0035</v>
      </c>
      <c r="I48" s="442" t="str">
        <f>VLOOKUP($A48, 'Matriz POA 2024-TRABAJO'!$A$5:$CY$9142,26,FALSE)</f>
        <v>80</v>
      </c>
      <c r="J48" s="442" t="str">
        <f>VLOOKUP($A48, 'Matriz POA 2024-TRABAJO'!$A$5:$CY$9142,27,FALSE)</f>
        <v>000</v>
      </c>
      <c r="K48" s="444" t="str">
        <f>VLOOKUP($A48, 'Matriz POA 2024-TRABAJO'!$A$5:$CY$9142,28,FALSE)</f>
        <v>002</v>
      </c>
      <c r="L48" s="444" t="str">
        <f>VLOOKUP($A48, 'Matriz POA 2024-TRABAJO'!$A$5:$CY$9142,29,FALSE)</f>
        <v>51</v>
      </c>
      <c r="M48" s="444">
        <f>VLOOKUP($A48, 'Matriz POA 2024-TRABAJO'!$A$5:$CY$9142,30,FALSE)</f>
        <v>510203</v>
      </c>
      <c r="N48" s="444" t="str">
        <f>VLOOKUP($A48, 'Matriz POA 2024-TRABAJO'!$A$5:$CY$9142,33,FALSE)</f>
        <v>001</v>
      </c>
      <c r="O48" s="444" t="str">
        <f>VLOOKUP($A48, 'Matriz POA 2024-TRABAJO'!$A$5:$CY$9142,34,FALSE)</f>
        <v>0000</v>
      </c>
      <c r="P48" s="444" t="str">
        <f>VLOOKUP($A48, 'Matriz POA 2024-TRABAJO'!$A$5:$CY$9142,35,FALSE)</f>
        <v>0000</v>
      </c>
      <c r="Q48" s="445">
        <f>VLOOKUP($A48, 'Matriz POA 2024-TRABAJO'!$A$5:$CY$9142,47,FALSE)</f>
        <v>30689.07</v>
      </c>
      <c r="R48" s="446">
        <f t="shared" si="45"/>
        <v>0</v>
      </c>
      <c r="S48" s="446">
        <f t="shared" si="46"/>
        <v>29180.79</v>
      </c>
      <c r="T48" s="446">
        <f t="shared" si="47"/>
        <v>0</v>
      </c>
      <c r="U48" s="446">
        <f t="shared" si="48"/>
        <v>1508.2799999999988</v>
      </c>
      <c r="V48" s="446" t="str">
        <f t="shared" si="49"/>
        <v/>
      </c>
      <c r="W48" s="403"/>
      <c r="X48" s="404"/>
      <c r="Y48" s="404"/>
      <c r="Z48" s="404"/>
      <c r="AA48" s="404">
        <f>779.43+779.43+779.43+779.43+779.43+779.43+779.43+779.43+779.43+779.43+779.43+33.18+20500.88+67.16+5.84</f>
        <v>29180.79</v>
      </c>
      <c r="AB48" s="398">
        <f t="shared" si="41"/>
        <v>0</v>
      </c>
      <c r="AC48" s="403"/>
      <c r="AD48" s="404"/>
      <c r="AE48" s="404"/>
      <c r="AF48" s="404"/>
      <c r="AG48" s="398"/>
      <c r="AH48" s="398">
        <f>IF(AD48="APROBADO",AF48-AG48,0)</f>
        <v>0</v>
      </c>
      <c r="AI48" s="405"/>
      <c r="AJ48" s="404"/>
      <c r="AK48" s="404"/>
      <c r="AL48" s="404"/>
      <c r="AM48" s="398"/>
      <c r="AN48" s="398">
        <f t="shared" si="37"/>
        <v>0</v>
      </c>
      <c r="AO48" s="398"/>
      <c r="AP48" s="404"/>
      <c r="AQ48" s="404"/>
      <c r="AR48" s="404"/>
      <c r="AS48" s="398"/>
      <c r="AT48" s="398">
        <f t="shared" si="38"/>
        <v>0</v>
      </c>
      <c r="AU48" s="398"/>
      <c r="AV48" s="404"/>
      <c r="AW48" s="404"/>
      <c r="AX48" s="404"/>
      <c r="AY48" s="404"/>
      <c r="AZ48" s="398">
        <f t="shared" si="39"/>
        <v>0</v>
      </c>
      <c r="BA48" s="398"/>
      <c r="BB48" s="404"/>
      <c r="BC48" s="404"/>
      <c r="BD48" s="404"/>
      <c r="BE48" s="398"/>
      <c r="BF48" s="398">
        <f t="shared" si="40"/>
        <v>0</v>
      </c>
      <c r="BG48" s="398"/>
      <c r="BH48" s="404"/>
      <c r="BI48" s="404"/>
      <c r="BJ48" s="404"/>
      <c r="BK48" s="398"/>
      <c r="BL48" s="398">
        <f t="shared" si="51"/>
        <v>0</v>
      </c>
      <c r="BM48" s="398"/>
      <c r="BN48" s="404"/>
      <c r="BO48" s="404"/>
      <c r="BP48" s="404"/>
      <c r="BQ48" s="398"/>
      <c r="BR48" s="398">
        <f t="shared" si="52"/>
        <v>0</v>
      </c>
      <c r="BS48" s="398"/>
      <c r="BT48" s="404"/>
      <c r="BU48" s="404"/>
      <c r="BV48" s="404"/>
      <c r="BW48" s="398"/>
      <c r="BX48" s="398">
        <f t="shared" si="53"/>
        <v>0</v>
      </c>
      <c r="BY48" s="398"/>
      <c r="BZ48" s="404"/>
      <c r="CA48" s="404"/>
      <c r="CB48" s="404"/>
      <c r="CC48" s="398"/>
      <c r="CD48" s="398">
        <f t="shared" si="54"/>
        <v>0</v>
      </c>
      <c r="CE48" s="398"/>
      <c r="CF48" s="404"/>
      <c r="CG48" s="404"/>
      <c r="CH48" s="404"/>
      <c r="CI48" s="398"/>
      <c r="CJ48" s="398">
        <f t="shared" si="55"/>
        <v>0</v>
      </c>
      <c r="CK48" s="398"/>
      <c r="CL48" s="404"/>
      <c r="CM48" s="404"/>
      <c r="CN48" s="404"/>
      <c r="CO48" s="398"/>
      <c r="CP48" s="398">
        <f t="shared" si="56"/>
        <v>0</v>
      </c>
      <c r="CQ48" s="398"/>
      <c r="CR48" s="404"/>
      <c r="CS48" s="404"/>
      <c r="CT48" s="404"/>
      <c r="CU48" s="398"/>
      <c r="CV48" s="398">
        <f t="shared" si="57"/>
        <v>0</v>
      </c>
      <c r="CW48" s="398"/>
      <c r="CX48" s="404"/>
      <c r="CY48" s="404"/>
      <c r="CZ48" s="404"/>
      <c r="DA48" s="398"/>
      <c r="DB48" s="398">
        <f t="shared" si="58"/>
        <v>0</v>
      </c>
      <c r="DC48" s="398"/>
      <c r="DD48" s="404"/>
      <c r="DE48" s="404"/>
      <c r="DF48" s="404"/>
      <c r="DG48" s="398"/>
      <c r="DH48" s="398">
        <f t="shared" si="59"/>
        <v>0</v>
      </c>
      <c r="DI48" s="398"/>
      <c r="DJ48" s="404"/>
      <c r="DK48" s="404"/>
      <c r="DL48" s="404"/>
      <c r="DM48" s="398"/>
      <c r="DN48" s="398">
        <f t="shared" si="60"/>
        <v>0</v>
      </c>
      <c r="DO48" s="398"/>
      <c r="DP48" s="404"/>
      <c r="DQ48" s="404"/>
      <c r="DR48" s="404"/>
      <c r="DS48" s="398"/>
      <c r="DT48" s="398">
        <f t="shared" si="61"/>
        <v>0</v>
      </c>
      <c r="DU48" s="398"/>
      <c r="DV48" s="404"/>
      <c r="DW48" s="404"/>
      <c r="DX48" s="404"/>
      <c r="DY48" s="398"/>
      <c r="DZ48" s="398">
        <f t="shared" si="62"/>
        <v>0</v>
      </c>
      <c r="EA48" s="398"/>
      <c r="EB48" s="404"/>
      <c r="EC48" s="404"/>
      <c r="ED48" s="404"/>
      <c r="EE48" s="398"/>
      <c r="EF48" s="398">
        <f t="shared" si="63"/>
        <v>0</v>
      </c>
      <c r="EG48" s="398"/>
      <c r="EH48" s="404"/>
      <c r="EI48" s="404"/>
      <c r="EJ48" s="404"/>
      <c r="EK48" s="398"/>
      <c r="EL48" s="398">
        <f t="shared" si="64"/>
        <v>0</v>
      </c>
      <c r="EM48" s="398"/>
      <c r="EN48" s="404"/>
      <c r="EO48" s="404"/>
      <c r="EP48" s="404"/>
      <c r="EQ48" s="398"/>
      <c r="ER48" s="398">
        <f t="shared" si="65"/>
        <v>0</v>
      </c>
      <c r="ES48" s="398"/>
      <c r="ET48" s="404"/>
      <c r="EU48" s="404"/>
      <c r="EV48" s="404"/>
      <c r="EW48" s="398"/>
      <c r="EX48" s="398">
        <f t="shared" si="66"/>
        <v>0</v>
      </c>
      <c r="EY48" s="398" t="e">
        <f>VLOOKUP($A48,[2]Devengado!$A$1:$AI$3,35,FALSE)</f>
        <v>#N/A</v>
      </c>
    </row>
    <row r="49" spans="1:155" ht="23.25" hidden="1" customHeight="1">
      <c r="A49" s="341">
        <v>418</v>
      </c>
      <c r="B49" s="442" t="str">
        <f>VLOOKUP($A49,  'Matriz POA 2024-TRABAJO'!$A$5:$CY$9142,11,FALSE)</f>
        <v>Corporación Ciudad Alfaro</v>
      </c>
      <c r="C49" s="442" t="str">
        <f>VLOOKUP($A49, 'Matriz POA 2024-TRABAJO'!$A$5:$CY$9142,14,FALSE)</f>
        <v>N/A</v>
      </c>
      <c r="D49" s="442" t="str">
        <f>VLOOKUP($A49, 'Matriz POA 2024-TRABAJO'!$A$5:$CY$9142,15,FALSE)</f>
        <v>N/A</v>
      </c>
      <c r="E49" s="442" t="str">
        <f>VLOOKUP($A49, 'Matriz POA 2024-TRABAJO'!$A$5:$CY$9142,18,FALSE)</f>
        <v>N/A</v>
      </c>
      <c r="F49" s="442" t="str">
        <f>VLOOKUP($A49, 'Matriz POA 2024-TRABAJO'!$A$5:$CY$9142,23,FALSE)</f>
        <v>NUEVA</v>
      </c>
      <c r="G49" s="443" t="str">
        <f>VLOOKUP($A49, 'Matriz POA 2024-TRABAJO'!$A$5:$CY$9142,24,FALSE)</f>
        <v>Décimo Cuarto Sueldo</v>
      </c>
      <c r="H49" s="442" t="str">
        <f>VLOOKUP($A49, 'Matriz POA 2024-TRABAJO'!$A$5:$CY$9142,25,FALSE)</f>
        <v>0035</v>
      </c>
      <c r="I49" s="442" t="str">
        <f>VLOOKUP($A49, 'Matriz POA 2024-TRABAJO'!$A$5:$CY$9142,26,FALSE)</f>
        <v>80</v>
      </c>
      <c r="J49" s="442" t="str">
        <f>VLOOKUP($A49, 'Matriz POA 2024-TRABAJO'!$A$5:$CY$9142,27,FALSE)</f>
        <v>000</v>
      </c>
      <c r="K49" s="444" t="str">
        <f>VLOOKUP($A49, 'Matriz POA 2024-TRABAJO'!$A$5:$CY$9142,28,FALSE)</f>
        <v>002</v>
      </c>
      <c r="L49" s="444" t="str">
        <f>VLOOKUP($A49, 'Matriz POA 2024-TRABAJO'!$A$5:$CY$9142,29,FALSE)</f>
        <v>51</v>
      </c>
      <c r="M49" s="444">
        <f>VLOOKUP($A49, 'Matriz POA 2024-TRABAJO'!$A$5:$CY$9142,30,FALSE)</f>
        <v>510204</v>
      </c>
      <c r="N49" s="444" t="str">
        <f>VLOOKUP($A49, 'Matriz POA 2024-TRABAJO'!$A$5:$CY$9142,33,FALSE)</f>
        <v>001</v>
      </c>
      <c r="O49" s="444" t="str">
        <f>VLOOKUP($A49, 'Matriz POA 2024-TRABAJO'!$A$5:$CY$9142,34,FALSE)</f>
        <v>0000</v>
      </c>
      <c r="P49" s="444" t="str">
        <f>VLOOKUP($A49, 'Matriz POA 2024-TRABAJO'!$A$5:$CY$9142,35,FALSE)</f>
        <v>0000</v>
      </c>
      <c r="Q49" s="445">
        <f>VLOOKUP($A49, 'Matriz POA 2024-TRABAJO'!$A$5:$CY$9142,47,FALSE)</f>
        <v>16817.650000000001</v>
      </c>
      <c r="R49" s="446">
        <f t="shared" si="45"/>
        <v>0</v>
      </c>
      <c r="S49" s="446">
        <f t="shared" si="46"/>
        <v>16495.419999999995</v>
      </c>
      <c r="T49" s="446">
        <f t="shared" si="47"/>
        <v>0</v>
      </c>
      <c r="U49" s="446">
        <f t="shared" si="48"/>
        <v>322.23000000000684</v>
      </c>
      <c r="V49" s="446" t="str">
        <f t="shared" si="49"/>
        <v/>
      </c>
      <c r="W49" s="403"/>
      <c r="X49" s="404"/>
      <c r="Y49" s="404"/>
      <c r="Z49" s="404">
        <v>0</v>
      </c>
      <c r="AA49" s="404">
        <f>344.97+344.97+344.97+3015.02+9326.7+344.97+344.97+344.97+344.97+344.97+344.97+344.97+344.97+14.06+344.97</f>
        <v>16495.419999999995</v>
      </c>
      <c r="AB49" s="398">
        <f t="shared" si="41"/>
        <v>0</v>
      </c>
      <c r="AC49" s="405"/>
      <c r="AD49" s="404"/>
      <c r="AE49" s="404"/>
      <c r="AF49" s="404"/>
      <c r="AG49" s="398"/>
      <c r="AH49" s="398">
        <f t="shared" ref="AH49" si="75">IF(AD49="APROBADO",AF49-AG49,0)</f>
        <v>0</v>
      </c>
      <c r="AI49" s="405"/>
      <c r="AJ49" s="404"/>
      <c r="AK49" s="404"/>
      <c r="AL49" s="404"/>
      <c r="AM49" s="398"/>
      <c r="AN49" s="398">
        <f t="shared" si="37"/>
        <v>0</v>
      </c>
      <c r="AO49" s="398"/>
      <c r="AP49" s="404"/>
      <c r="AQ49" s="404"/>
      <c r="AR49" s="404"/>
      <c r="AS49" s="398"/>
      <c r="AT49" s="398">
        <f t="shared" si="38"/>
        <v>0</v>
      </c>
      <c r="AU49" s="398"/>
      <c r="AV49" s="404"/>
      <c r="AW49" s="404"/>
      <c r="AX49" s="404"/>
      <c r="AY49" s="404"/>
      <c r="AZ49" s="398">
        <f t="shared" si="39"/>
        <v>0</v>
      </c>
      <c r="BA49" s="398"/>
      <c r="BB49" s="404"/>
      <c r="BC49" s="404"/>
      <c r="BD49" s="404"/>
      <c r="BE49" s="398"/>
      <c r="BF49" s="398">
        <f t="shared" si="40"/>
        <v>0</v>
      </c>
      <c r="BG49" s="398"/>
      <c r="BH49" s="404"/>
      <c r="BI49" s="404"/>
      <c r="BJ49" s="404"/>
      <c r="BK49" s="398"/>
      <c r="BL49" s="398">
        <f t="shared" si="51"/>
        <v>0</v>
      </c>
      <c r="BM49" s="398"/>
      <c r="BN49" s="404"/>
      <c r="BO49" s="404"/>
      <c r="BP49" s="404"/>
      <c r="BQ49" s="398"/>
      <c r="BR49" s="398">
        <f t="shared" si="52"/>
        <v>0</v>
      </c>
      <c r="BS49" s="398"/>
      <c r="BT49" s="404"/>
      <c r="BU49" s="404"/>
      <c r="BV49" s="404"/>
      <c r="BW49" s="398"/>
      <c r="BX49" s="398">
        <f t="shared" si="53"/>
        <v>0</v>
      </c>
      <c r="BY49" s="398"/>
      <c r="BZ49" s="404"/>
      <c r="CA49" s="404"/>
      <c r="CB49" s="404"/>
      <c r="CC49" s="398"/>
      <c r="CD49" s="398">
        <f t="shared" si="54"/>
        <v>0</v>
      </c>
      <c r="CE49" s="398"/>
      <c r="CF49" s="404"/>
      <c r="CG49" s="404"/>
      <c r="CH49" s="404"/>
      <c r="CI49" s="398"/>
      <c r="CJ49" s="398">
        <f t="shared" si="55"/>
        <v>0</v>
      </c>
      <c r="CK49" s="398"/>
      <c r="CL49" s="404"/>
      <c r="CM49" s="404"/>
      <c r="CN49" s="404"/>
      <c r="CO49" s="398"/>
      <c r="CP49" s="398">
        <f t="shared" si="56"/>
        <v>0</v>
      </c>
      <c r="CQ49" s="398"/>
      <c r="CR49" s="404"/>
      <c r="CS49" s="404"/>
      <c r="CT49" s="404"/>
      <c r="CU49" s="398"/>
      <c r="CV49" s="398">
        <f t="shared" si="57"/>
        <v>0</v>
      </c>
      <c r="CW49" s="398"/>
      <c r="CX49" s="404"/>
      <c r="CY49" s="404"/>
      <c r="CZ49" s="404"/>
      <c r="DA49" s="398"/>
      <c r="DB49" s="398">
        <f t="shared" si="58"/>
        <v>0</v>
      </c>
      <c r="DC49" s="398"/>
      <c r="DD49" s="404"/>
      <c r="DE49" s="404"/>
      <c r="DF49" s="404"/>
      <c r="DG49" s="398"/>
      <c r="DH49" s="398">
        <f t="shared" si="59"/>
        <v>0</v>
      </c>
      <c r="DI49" s="398"/>
      <c r="DJ49" s="404"/>
      <c r="DK49" s="404"/>
      <c r="DL49" s="404"/>
      <c r="DM49" s="398"/>
      <c r="DN49" s="398">
        <f t="shared" si="60"/>
        <v>0</v>
      </c>
      <c r="DO49" s="398"/>
      <c r="DP49" s="404"/>
      <c r="DQ49" s="404"/>
      <c r="DR49" s="404"/>
      <c r="DS49" s="398"/>
      <c r="DT49" s="398">
        <f t="shared" si="61"/>
        <v>0</v>
      </c>
      <c r="DU49" s="398"/>
      <c r="DV49" s="404"/>
      <c r="DW49" s="404"/>
      <c r="DX49" s="404"/>
      <c r="DY49" s="398"/>
      <c r="DZ49" s="398">
        <f t="shared" si="62"/>
        <v>0</v>
      </c>
      <c r="EA49" s="398"/>
      <c r="EB49" s="404"/>
      <c r="EC49" s="404"/>
      <c r="ED49" s="404"/>
      <c r="EE49" s="398"/>
      <c r="EF49" s="398">
        <f t="shared" si="63"/>
        <v>0</v>
      </c>
      <c r="EG49" s="398"/>
      <c r="EH49" s="404"/>
      <c r="EI49" s="404"/>
      <c r="EJ49" s="404"/>
      <c r="EK49" s="398"/>
      <c r="EL49" s="398">
        <f t="shared" si="64"/>
        <v>0</v>
      </c>
      <c r="EM49" s="398"/>
      <c r="EN49" s="404"/>
      <c r="EO49" s="404"/>
      <c r="EP49" s="404"/>
      <c r="EQ49" s="398"/>
      <c r="ER49" s="398">
        <f t="shared" si="65"/>
        <v>0</v>
      </c>
      <c r="ES49" s="398"/>
      <c r="ET49" s="404"/>
      <c r="EU49" s="404"/>
      <c r="EV49" s="404"/>
      <c r="EW49" s="398"/>
      <c r="EX49" s="398">
        <f t="shared" si="66"/>
        <v>0</v>
      </c>
      <c r="EY49" s="398" t="e">
        <f>VLOOKUP($A49,[2]Devengado!$A$1:$AI$3,35,FALSE)</f>
        <v>#N/A</v>
      </c>
    </row>
    <row r="50" spans="1:155" ht="23.25" hidden="1" customHeight="1">
      <c r="A50" s="341">
        <v>425</v>
      </c>
      <c r="B50" s="442" t="str">
        <f>VLOOKUP($A50,  'Matriz POA 2024-TRABAJO'!$A$5:$CY$9142,11,FALSE)</f>
        <v>Corporación Ciudad Alfaro</v>
      </c>
      <c r="C50" s="442" t="str">
        <f>VLOOKUP($A50, 'Matriz POA 2024-TRABAJO'!$A$5:$CY$9142,14,FALSE)</f>
        <v>N/A</v>
      </c>
      <c r="D50" s="442" t="str">
        <f>VLOOKUP($A50, 'Matriz POA 2024-TRABAJO'!$A$5:$CY$9142,15,FALSE)</f>
        <v>N/A</v>
      </c>
      <c r="E50" s="442" t="str">
        <f>VLOOKUP($A50, 'Matriz POA 2024-TRABAJO'!$A$5:$CY$9142,18,FALSE)</f>
        <v>N/A</v>
      </c>
      <c r="F50" s="442" t="str">
        <f>VLOOKUP($A50, 'Matriz POA 2024-TRABAJO'!$A$5:$CY$9142,23,FALSE)</f>
        <v>NUEVA</v>
      </c>
      <c r="G50" s="443" t="str">
        <f>VLOOKUP($A50, 'Matriz POA 2024-TRABAJO'!$A$5:$CY$9142,24,FALSE)</f>
        <v>Fondo de Reserva</v>
      </c>
      <c r="H50" s="442" t="str">
        <f>VLOOKUP($A50, 'Matriz POA 2024-TRABAJO'!$A$5:$CY$9142,25,FALSE)</f>
        <v>0035</v>
      </c>
      <c r="I50" s="442" t="str">
        <f>VLOOKUP($A50, 'Matriz POA 2024-TRABAJO'!$A$5:$CY$9142,26,FALSE)</f>
        <v>80</v>
      </c>
      <c r="J50" s="442" t="str">
        <f>VLOOKUP($A50, 'Matriz POA 2024-TRABAJO'!$A$5:$CY$9142,27,FALSE)</f>
        <v>000</v>
      </c>
      <c r="K50" s="444" t="str">
        <f>VLOOKUP($A50, 'Matriz POA 2024-TRABAJO'!$A$5:$CY$9142,28,FALSE)</f>
        <v>002</v>
      </c>
      <c r="L50" s="444" t="str">
        <f>VLOOKUP($A50, 'Matriz POA 2024-TRABAJO'!$A$5:$CY$9142,29,FALSE)</f>
        <v>51</v>
      </c>
      <c r="M50" s="444">
        <f>VLOOKUP($A50, 'Matriz POA 2024-TRABAJO'!$A$5:$CY$9142,30,FALSE)</f>
        <v>510602</v>
      </c>
      <c r="N50" s="444" t="str">
        <f>VLOOKUP($A50, 'Matriz POA 2024-TRABAJO'!$A$5:$CY$9142,33,FALSE)</f>
        <v>001</v>
      </c>
      <c r="O50" s="444" t="str">
        <f>VLOOKUP($A50, 'Matriz POA 2024-TRABAJO'!$A$5:$CY$9142,34,FALSE)</f>
        <v>0000</v>
      </c>
      <c r="P50" s="444" t="str">
        <f>VLOOKUP($A50, 'Matriz POA 2024-TRABAJO'!$A$5:$CY$9142,35,FALSE)</f>
        <v>0000</v>
      </c>
      <c r="Q50" s="445">
        <f>VLOOKUP($A50, 'Matriz POA 2024-TRABAJO'!$A$5:$CY$9142,47,FALSE)</f>
        <v>27570.59</v>
      </c>
      <c r="R50" s="446">
        <f t="shared" si="45"/>
        <v>0</v>
      </c>
      <c r="S50" s="446">
        <f t="shared" si="46"/>
        <v>27296</v>
      </c>
      <c r="T50" s="446">
        <f t="shared" si="47"/>
        <v>0</v>
      </c>
      <c r="U50" s="446">
        <f t="shared" si="48"/>
        <v>274.59000000000015</v>
      </c>
      <c r="V50" s="446" t="str">
        <f t="shared" si="49"/>
        <v/>
      </c>
      <c r="W50" s="403"/>
      <c r="X50" s="404"/>
      <c r="Y50" s="404"/>
      <c r="Z50" s="404"/>
      <c r="AA50" s="404">
        <f>2332.57+2332.57+2332.57+2332.57+2332.57+2332.57+49.42+2332.57+54.37+2231.61+54.37+54.37+2141.15+2187.88+2097.42+2097.42</f>
        <v>27296</v>
      </c>
      <c r="AB50" s="398">
        <f t="shared" si="41"/>
        <v>0</v>
      </c>
      <c r="AC50" s="403"/>
      <c r="AD50" s="404"/>
      <c r="AE50" s="404"/>
      <c r="AF50" s="404"/>
      <c r="AG50" s="398"/>
      <c r="AH50" s="398">
        <f>IF(AD50="APROBADO",AF50-AG50,0)</f>
        <v>0</v>
      </c>
      <c r="AI50" s="405"/>
      <c r="AJ50" s="404"/>
      <c r="AK50" s="404"/>
      <c r="AL50" s="404"/>
      <c r="AM50" s="398"/>
      <c r="AN50" s="398">
        <f t="shared" si="37"/>
        <v>0</v>
      </c>
      <c r="AO50" s="398"/>
      <c r="AP50" s="404"/>
      <c r="AQ50" s="404"/>
      <c r="AR50" s="404"/>
      <c r="AS50" s="398"/>
      <c r="AT50" s="398">
        <f t="shared" si="38"/>
        <v>0</v>
      </c>
      <c r="AU50" s="398"/>
      <c r="AV50" s="404"/>
      <c r="AW50" s="404"/>
      <c r="AX50" s="404"/>
      <c r="AY50" s="404"/>
      <c r="AZ50" s="398">
        <f t="shared" si="39"/>
        <v>0</v>
      </c>
      <c r="BA50" s="398"/>
      <c r="BB50" s="404"/>
      <c r="BC50" s="404"/>
      <c r="BD50" s="404"/>
      <c r="BE50" s="398"/>
      <c r="BF50" s="398">
        <f t="shared" si="40"/>
        <v>0</v>
      </c>
      <c r="BG50" s="398"/>
      <c r="BH50" s="404"/>
      <c r="BI50" s="404"/>
      <c r="BJ50" s="404"/>
      <c r="BK50" s="398"/>
      <c r="BL50" s="398">
        <f t="shared" si="51"/>
        <v>0</v>
      </c>
      <c r="BM50" s="398"/>
      <c r="BN50" s="404"/>
      <c r="BO50" s="404"/>
      <c r="BP50" s="404"/>
      <c r="BQ50" s="398"/>
      <c r="BR50" s="398">
        <f t="shared" si="52"/>
        <v>0</v>
      </c>
      <c r="BS50" s="398"/>
      <c r="BT50" s="404"/>
      <c r="BU50" s="404"/>
      <c r="BV50" s="404"/>
      <c r="BW50" s="398"/>
      <c r="BX50" s="398">
        <f t="shared" si="53"/>
        <v>0</v>
      </c>
      <c r="BY50" s="398"/>
      <c r="BZ50" s="404"/>
      <c r="CA50" s="404"/>
      <c r="CB50" s="404"/>
      <c r="CC50" s="398"/>
      <c r="CD50" s="398">
        <f t="shared" si="54"/>
        <v>0</v>
      </c>
      <c r="CE50" s="398"/>
      <c r="CF50" s="404"/>
      <c r="CG50" s="404"/>
      <c r="CH50" s="404"/>
      <c r="CI50" s="398"/>
      <c r="CJ50" s="398">
        <f t="shared" si="55"/>
        <v>0</v>
      </c>
      <c r="CK50" s="398"/>
      <c r="CL50" s="404"/>
      <c r="CM50" s="404"/>
      <c r="CN50" s="404"/>
      <c r="CO50" s="398"/>
      <c r="CP50" s="398">
        <f t="shared" si="56"/>
        <v>0</v>
      </c>
      <c r="CQ50" s="398"/>
      <c r="CR50" s="404"/>
      <c r="CS50" s="404"/>
      <c r="CT50" s="404"/>
      <c r="CU50" s="398"/>
      <c r="CV50" s="398">
        <f t="shared" si="57"/>
        <v>0</v>
      </c>
      <c r="CW50" s="398"/>
      <c r="CX50" s="404"/>
      <c r="CY50" s="404"/>
      <c r="CZ50" s="404"/>
      <c r="DA50" s="398"/>
      <c r="DB50" s="398">
        <f t="shared" si="58"/>
        <v>0</v>
      </c>
      <c r="DC50" s="398"/>
      <c r="DD50" s="404"/>
      <c r="DE50" s="404"/>
      <c r="DF50" s="404"/>
      <c r="DG50" s="398"/>
      <c r="DH50" s="398">
        <f t="shared" si="59"/>
        <v>0</v>
      </c>
      <c r="DI50" s="398"/>
      <c r="DJ50" s="404"/>
      <c r="DK50" s="404"/>
      <c r="DL50" s="404"/>
      <c r="DM50" s="398"/>
      <c r="DN50" s="398">
        <f t="shared" si="60"/>
        <v>0</v>
      </c>
      <c r="DO50" s="398"/>
      <c r="DP50" s="404"/>
      <c r="DQ50" s="404"/>
      <c r="DR50" s="404"/>
      <c r="DS50" s="398"/>
      <c r="DT50" s="398">
        <f t="shared" si="61"/>
        <v>0</v>
      </c>
      <c r="DU50" s="398"/>
      <c r="DV50" s="404"/>
      <c r="DW50" s="404"/>
      <c r="DX50" s="404"/>
      <c r="DY50" s="398"/>
      <c r="DZ50" s="398">
        <f t="shared" si="62"/>
        <v>0</v>
      </c>
      <c r="EA50" s="398"/>
      <c r="EB50" s="404"/>
      <c r="EC50" s="404"/>
      <c r="ED50" s="404"/>
      <c r="EE50" s="398"/>
      <c r="EF50" s="398">
        <f t="shared" si="63"/>
        <v>0</v>
      </c>
      <c r="EG50" s="398"/>
      <c r="EH50" s="404"/>
      <c r="EI50" s="404"/>
      <c r="EJ50" s="404"/>
      <c r="EK50" s="398"/>
      <c r="EL50" s="398">
        <f t="shared" si="64"/>
        <v>0</v>
      </c>
      <c r="EM50" s="398"/>
      <c r="EN50" s="404"/>
      <c r="EO50" s="404"/>
      <c r="EP50" s="404"/>
      <c r="EQ50" s="398"/>
      <c r="ER50" s="398">
        <f t="shared" si="65"/>
        <v>0</v>
      </c>
      <c r="ES50" s="398"/>
      <c r="ET50" s="404"/>
      <c r="EU50" s="404"/>
      <c r="EV50" s="404"/>
      <c r="EW50" s="398"/>
      <c r="EX50" s="398">
        <f t="shared" si="66"/>
        <v>0</v>
      </c>
      <c r="EY50" s="398" t="e">
        <f>VLOOKUP($A50,[2]Devengado!$A$1:$AI$3,35,FALSE)</f>
        <v>#N/A</v>
      </c>
    </row>
    <row r="51" spans="1:155" ht="23.25" hidden="1" customHeight="1">
      <c r="A51" s="341">
        <v>419</v>
      </c>
      <c r="B51" s="442" t="str">
        <f>VLOOKUP($A51,  'Matriz POA 2024-TRABAJO'!$A$5:$CY$9142,11,FALSE)</f>
        <v>Corporación Ciudad Alfaro</v>
      </c>
      <c r="C51" s="442" t="str">
        <f>VLOOKUP($A51, 'Matriz POA 2024-TRABAJO'!$A$5:$CY$9142,14,FALSE)</f>
        <v>N/A</v>
      </c>
      <c r="D51" s="442" t="str">
        <f>VLOOKUP($A51, 'Matriz POA 2024-TRABAJO'!$A$5:$CY$9142,15,FALSE)</f>
        <v>N/A</v>
      </c>
      <c r="E51" s="442" t="str">
        <f>VLOOKUP($A51, 'Matriz POA 2024-TRABAJO'!$A$5:$CY$9142,18,FALSE)</f>
        <v>N/A</v>
      </c>
      <c r="F51" s="442" t="str">
        <f>VLOOKUP($A51, 'Matriz POA 2024-TRABAJO'!$A$5:$CY$9142,23,FALSE)</f>
        <v>NUEVA</v>
      </c>
      <c r="G51" s="443" t="str">
        <f>VLOOKUP($A51, 'Matriz POA 2024-TRABAJO'!$A$5:$CY$9142,24,FALSE)</f>
        <v>Compensación por Transporte</v>
      </c>
      <c r="H51" s="442" t="str">
        <f>VLOOKUP($A51, 'Matriz POA 2024-TRABAJO'!$A$5:$CY$9142,25,FALSE)</f>
        <v>0035</v>
      </c>
      <c r="I51" s="442" t="str">
        <f>VLOOKUP($A51, 'Matriz POA 2024-TRABAJO'!$A$5:$CY$9142,26,FALSE)</f>
        <v>80</v>
      </c>
      <c r="J51" s="442" t="str">
        <f>VLOOKUP($A51, 'Matriz POA 2024-TRABAJO'!$A$5:$CY$9142,27,FALSE)</f>
        <v>000</v>
      </c>
      <c r="K51" s="444" t="str">
        <f>VLOOKUP($A51, 'Matriz POA 2024-TRABAJO'!$A$5:$CY$9142,28,FALSE)</f>
        <v>002</v>
      </c>
      <c r="L51" s="444" t="str">
        <f>VLOOKUP($A51, 'Matriz POA 2024-TRABAJO'!$A$5:$CY$9142,29,FALSE)</f>
        <v>51</v>
      </c>
      <c r="M51" s="444">
        <f>VLOOKUP($A51, 'Matriz POA 2024-TRABAJO'!$A$5:$CY$9142,30,FALSE)</f>
        <v>510304</v>
      </c>
      <c r="N51" s="444" t="str">
        <f>VLOOKUP($A51, 'Matriz POA 2024-TRABAJO'!$A$5:$CY$9142,33,FALSE)</f>
        <v>001</v>
      </c>
      <c r="O51" s="444" t="str">
        <f>VLOOKUP($A51, 'Matriz POA 2024-TRABAJO'!$A$5:$CY$9142,34,FALSE)</f>
        <v>0000</v>
      </c>
      <c r="P51" s="444" t="str">
        <f>VLOOKUP($A51, 'Matriz POA 2024-TRABAJO'!$A$5:$CY$9142,35,FALSE)</f>
        <v>0000</v>
      </c>
      <c r="Q51" s="445">
        <f>VLOOKUP($A51, 'Matriz POA 2024-TRABAJO'!$A$5:$CY$9142,47,FALSE)</f>
        <v>1313.5</v>
      </c>
      <c r="R51" s="446">
        <f t="shared" si="45"/>
        <v>0</v>
      </c>
      <c r="S51" s="446">
        <f t="shared" si="46"/>
        <v>1186</v>
      </c>
      <c r="T51" s="446">
        <f t="shared" si="47"/>
        <v>0</v>
      </c>
      <c r="U51" s="446">
        <f t="shared" si="48"/>
        <v>127.5</v>
      </c>
      <c r="V51" s="446" t="str">
        <f t="shared" si="49"/>
        <v/>
      </c>
      <c r="W51" s="403"/>
      <c r="X51" s="404"/>
      <c r="Y51" s="404"/>
      <c r="Z51" s="404">
        <v>0</v>
      </c>
      <c r="AA51" s="404">
        <f>88.5+96.5+92+90+80+96.5+85.5+93.5+81.5+86.5+99.5+91.5+104.5</f>
        <v>1186</v>
      </c>
      <c r="AB51" s="398">
        <f t="shared" si="41"/>
        <v>0</v>
      </c>
      <c r="AC51" s="405"/>
      <c r="AD51" s="404"/>
      <c r="AE51" s="404"/>
      <c r="AF51" s="404"/>
      <c r="AG51" s="398"/>
      <c r="AH51" s="398">
        <f t="shared" ref="AH51" si="76">IF(AD51="APROBADO",AF51-AG51,0)</f>
        <v>0</v>
      </c>
      <c r="AI51" s="405"/>
      <c r="AJ51" s="404"/>
      <c r="AK51" s="404"/>
      <c r="AL51" s="404"/>
      <c r="AM51" s="398"/>
      <c r="AN51" s="398">
        <f t="shared" si="37"/>
        <v>0</v>
      </c>
      <c r="AO51" s="398"/>
      <c r="AP51" s="404"/>
      <c r="AQ51" s="404"/>
      <c r="AR51" s="404"/>
      <c r="AS51" s="398"/>
      <c r="AT51" s="398">
        <f t="shared" si="38"/>
        <v>0</v>
      </c>
      <c r="AU51" s="398"/>
      <c r="AV51" s="404"/>
      <c r="AW51" s="404"/>
      <c r="AX51" s="404"/>
      <c r="AY51" s="404"/>
      <c r="AZ51" s="398">
        <f t="shared" si="39"/>
        <v>0</v>
      </c>
      <c r="BA51" s="398"/>
      <c r="BB51" s="404"/>
      <c r="BC51" s="404"/>
      <c r="BD51" s="404"/>
      <c r="BE51" s="398"/>
      <c r="BF51" s="398">
        <f t="shared" si="40"/>
        <v>0</v>
      </c>
      <c r="BG51" s="398"/>
      <c r="BH51" s="404"/>
      <c r="BI51" s="404"/>
      <c r="BJ51" s="404"/>
      <c r="BK51" s="398"/>
      <c r="BL51" s="398">
        <f t="shared" si="51"/>
        <v>0</v>
      </c>
      <c r="BM51" s="398"/>
      <c r="BN51" s="404"/>
      <c r="BO51" s="404"/>
      <c r="BP51" s="404"/>
      <c r="BQ51" s="398"/>
      <c r="BR51" s="398">
        <f t="shared" si="52"/>
        <v>0</v>
      </c>
      <c r="BS51" s="398"/>
      <c r="BT51" s="404"/>
      <c r="BU51" s="404"/>
      <c r="BV51" s="404"/>
      <c r="BW51" s="398"/>
      <c r="BX51" s="398">
        <f t="shared" si="53"/>
        <v>0</v>
      </c>
      <c r="BY51" s="398"/>
      <c r="BZ51" s="404"/>
      <c r="CA51" s="404"/>
      <c r="CB51" s="404"/>
      <c r="CC51" s="398"/>
      <c r="CD51" s="398">
        <f t="shared" si="54"/>
        <v>0</v>
      </c>
      <c r="CE51" s="398"/>
      <c r="CF51" s="404"/>
      <c r="CG51" s="404"/>
      <c r="CH51" s="404"/>
      <c r="CI51" s="398"/>
      <c r="CJ51" s="398">
        <f t="shared" si="55"/>
        <v>0</v>
      </c>
      <c r="CK51" s="398"/>
      <c r="CL51" s="404"/>
      <c r="CM51" s="404"/>
      <c r="CN51" s="404"/>
      <c r="CO51" s="398"/>
      <c r="CP51" s="398">
        <f t="shared" si="56"/>
        <v>0</v>
      </c>
      <c r="CQ51" s="398"/>
      <c r="CR51" s="404"/>
      <c r="CS51" s="404"/>
      <c r="CT51" s="404"/>
      <c r="CU51" s="398"/>
      <c r="CV51" s="398">
        <f t="shared" si="57"/>
        <v>0</v>
      </c>
      <c r="CW51" s="398"/>
      <c r="CX51" s="404"/>
      <c r="CY51" s="404"/>
      <c r="CZ51" s="404"/>
      <c r="DA51" s="398"/>
      <c r="DB51" s="398">
        <f t="shared" si="58"/>
        <v>0</v>
      </c>
      <c r="DC51" s="398"/>
      <c r="DD51" s="404"/>
      <c r="DE51" s="404"/>
      <c r="DF51" s="404"/>
      <c r="DG51" s="398"/>
      <c r="DH51" s="398">
        <f t="shared" si="59"/>
        <v>0</v>
      </c>
      <c r="DI51" s="398"/>
      <c r="DJ51" s="404"/>
      <c r="DK51" s="404"/>
      <c r="DL51" s="404"/>
      <c r="DM51" s="398"/>
      <c r="DN51" s="398">
        <f t="shared" si="60"/>
        <v>0</v>
      </c>
      <c r="DO51" s="398"/>
      <c r="DP51" s="404"/>
      <c r="DQ51" s="404"/>
      <c r="DR51" s="404"/>
      <c r="DS51" s="398"/>
      <c r="DT51" s="398">
        <f t="shared" si="61"/>
        <v>0</v>
      </c>
      <c r="DU51" s="398"/>
      <c r="DV51" s="404"/>
      <c r="DW51" s="404"/>
      <c r="DX51" s="404"/>
      <c r="DY51" s="398"/>
      <c r="DZ51" s="398">
        <f t="shared" si="62"/>
        <v>0</v>
      </c>
      <c r="EA51" s="398"/>
      <c r="EB51" s="404"/>
      <c r="EC51" s="404"/>
      <c r="ED51" s="404"/>
      <c r="EE51" s="398"/>
      <c r="EF51" s="398">
        <f t="shared" si="63"/>
        <v>0</v>
      </c>
      <c r="EG51" s="398"/>
      <c r="EH51" s="404"/>
      <c r="EI51" s="404"/>
      <c r="EJ51" s="404"/>
      <c r="EK51" s="398"/>
      <c r="EL51" s="398">
        <f t="shared" si="64"/>
        <v>0</v>
      </c>
      <c r="EM51" s="398"/>
      <c r="EN51" s="404"/>
      <c r="EO51" s="404"/>
      <c r="EP51" s="404"/>
      <c r="EQ51" s="398"/>
      <c r="ER51" s="398">
        <f t="shared" si="65"/>
        <v>0</v>
      </c>
      <c r="ES51" s="398"/>
      <c r="ET51" s="404"/>
      <c r="EU51" s="404"/>
      <c r="EV51" s="404"/>
      <c r="EW51" s="398"/>
      <c r="EX51" s="398">
        <f t="shared" si="66"/>
        <v>0</v>
      </c>
      <c r="EY51" s="398" t="e">
        <f>VLOOKUP($A51,[2]Devengado!$A$1:$AI$3,35,FALSE)</f>
        <v>#N/A</v>
      </c>
    </row>
    <row r="52" spans="1:155" ht="23.25" hidden="1" customHeight="1">
      <c r="A52" s="341">
        <v>420</v>
      </c>
      <c r="B52" s="442" t="str">
        <f>VLOOKUP($A52,  'Matriz POA 2024-TRABAJO'!$A$5:$CY$9142,11,FALSE)</f>
        <v>Corporación Ciudad Alfaro</v>
      </c>
      <c r="C52" s="442" t="str">
        <f>VLOOKUP($A52, 'Matriz POA 2024-TRABAJO'!$A$5:$CY$9142,14,FALSE)</f>
        <v>N/A</v>
      </c>
      <c r="D52" s="442" t="str">
        <f>VLOOKUP($A52, 'Matriz POA 2024-TRABAJO'!$A$5:$CY$9142,15,FALSE)</f>
        <v>N/A</v>
      </c>
      <c r="E52" s="442" t="str">
        <f>VLOOKUP($A52, 'Matriz POA 2024-TRABAJO'!$A$5:$CY$9142,18,FALSE)</f>
        <v>N/A</v>
      </c>
      <c r="F52" s="442" t="str">
        <f>VLOOKUP($A52, 'Matriz POA 2024-TRABAJO'!$A$5:$CY$9142,23,FALSE)</f>
        <v>NUEVA</v>
      </c>
      <c r="G52" s="443" t="str">
        <f>VLOOKUP($A52, 'Matriz POA 2024-TRABAJO'!$A$5:$CY$9142,24,FALSE)</f>
        <v>Alimentación</v>
      </c>
      <c r="H52" s="442" t="str">
        <f>VLOOKUP($A52, 'Matriz POA 2024-TRABAJO'!$A$5:$CY$9142,25,FALSE)</f>
        <v>0035</v>
      </c>
      <c r="I52" s="442" t="str">
        <f>VLOOKUP($A52, 'Matriz POA 2024-TRABAJO'!$A$5:$CY$9142,26,FALSE)</f>
        <v>80</v>
      </c>
      <c r="J52" s="442" t="str">
        <f>VLOOKUP($A52, 'Matriz POA 2024-TRABAJO'!$A$5:$CY$9142,27,FALSE)</f>
        <v>000</v>
      </c>
      <c r="K52" s="444" t="str">
        <f>VLOOKUP($A52, 'Matriz POA 2024-TRABAJO'!$A$5:$CY$9142,28,FALSE)</f>
        <v>002</v>
      </c>
      <c r="L52" s="444" t="str">
        <f>VLOOKUP($A52, 'Matriz POA 2024-TRABAJO'!$A$5:$CY$9142,29,FALSE)</f>
        <v>51</v>
      </c>
      <c r="M52" s="444">
        <f>VLOOKUP($A52, 'Matriz POA 2024-TRABAJO'!$A$5:$CY$9142,30,FALSE)</f>
        <v>510306</v>
      </c>
      <c r="N52" s="444" t="str">
        <f>VLOOKUP($A52, 'Matriz POA 2024-TRABAJO'!$A$5:$CY$9142,33,FALSE)</f>
        <v>001</v>
      </c>
      <c r="O52" s="444" t="str">
        <f>VLOOKUP($A52, 'Matriz POA 2024-TRABAJO'!$A$5:$CY$9142,34,FALSE)</f>
        <v>0000</v>
      </c>
      <c r="P52" s="444" t="str">
        <f>VLOOKUP($A52, 'Matriz POA 2024-TRABAJO'!$A$5:$CY$9142,35,FALSE)</f>
        <v>0000</v>
      </c>
      <c r="Q52" s="445">
        <f>VLOOKUP($A52, 'Matriz POA 2024-TRABAJO'!$A$5:$CY$9142,47,FALSE)</f>
        <v>9194.5</v>
      </c>
      <c r="R52" s="446">
        <f t="shared" si="45"/>
        <v>0</v>
      </c>
      <c r="S52" s="446">
        <f t="shared" si="46"/>
        <v>8302</v>
      </c>
      <c r="T52" s="446">
        <f t="shared" si="47"/>
        <v>0</v>
      </c>
      <c r="U52" s="446">
        <f t="shared" si="48"/>
        <v>892.5</v>
      </c>
      <c r="V52" s="446" t="str">
        <f t="shared" si="49"/>
        <v/>
      </c>
      <c r="W52" s="403"/>
      <c r="X52" s="404"/>
      <c r="Y52" s="404"/>
      <c r="Z52" s="404"/>
      <c r="AA52" s="404">
        <f>619.5+675.5+644+630+560+675.5+598.5+654.5+570.5+605.5+696.5+640.5+731.5</f>
        <v>8302</v>
      </c>
      <c r="AB52" s="398">
        <f t="shared" si="41"/>
        <v>0</v>
      </c>
      <c r="AC52" s="403"/>
      <c r="AD52" s="404"/>
      <c r="AE52" s="404"/>
      <c r="AF52" s="404"/>
      <c r="AG52" s="398"/>
      <c r="AH52" s="398">
        <f>IF(AD52="APROBADO",AF52-AG52,0)</f>
        <v>0</v>
      </c>
      <c r="AI52" s="405"/>
      <c r="AJ52" s="404"/>
      <c r="AK52" s="404"/>
      <c r="AL52" s="404"/>
      <c r="AM52" s="398"/>
      <c r="AN52" s="398">
        <f t="shared" si="37"/>
        <v>0</v>
      </c>
      <c r="AO52" s="398"/>
      <c r="AP52" s="404"/>
      <c r="AQ52" s="404"/>
      <c r="AR52" s="404"/>
      <c r="AS52" s="398"/>
      <c r="AT52" s="398">
        <f t="shared" si="38"/>
        <v>0</v>
      </c>
      <c r="AU52" s="398"/>
      <c r="AV52" s="404"/>
      <c r="AW52" s="404"/>
      <c r="AX52" s="404"/>
      <c r="AY52" s="404"/>
      <c r="AZ52" s="398">
        <f t="shared" si="39"/>
        <v>0</v>
      </c>
      <c r="BA52" s="398"/>
      <c r="BB52" s="404"/>
      <c r="BC52" s="404"/>
      <c r="BD52" s="404"/>
      <c r="BE52" s="398"/>
      <c r="BF52" s="398">
        <f t="shared" si="40"/>
        <v>0</v>
      </c>
      <c r="BG52" s="398"/>
      <c r="BH52" s="404"/>
      <c r="BI52" s="404"/>
      <c r="BJ52" s="404"/>
      <c r="BK52" s="398"/>
      <c r="BL52" s="398">
        <f t="shared" si="51"/>
        <v>0</v>
      </c>
      <c r="BM52" s="398"/>
      <c r="BN52" s="404"/>
      <c r="BO52" s="404"/>
      <c r="BP52" s="404"/>
      <c r="BQ52" s="398"/>
      <c r="BR52" s="398">
        <f t="shared" si="52"/>
        <v>0</v>
      </c>
      <c r="BS52" s="398"/>
      <c r="BT52" s="404"/>
      <c r="BU52" s="404"/>
      <c r="BV52" s="404"/>
      <c r="BW52" s="398"/>
      <c r="BX52" s="398">
        <f t="shared" si="53"/>
        <v>0</v>
      </c>
      <c r="BY52" s="398"/>
      <c r="BZ52" s="404"/>
      <c r="CA52" s="404"/>
      <c r="CB52" s="404"/>
      <c r="CC52" s="398"/>
      <c r="CD52" s="398">
        <f t="shared" si="54"/>
        <v>0</v>
      </c>
      <c r="CE52" s="398"/>
      <c r="CF52" s="404"/>
      <c r="CG52" s="404"/>
      <c r="CH52" s="404"/>
      <c r="CI52" s="398"/>
      <c r="CJ52" s="398">
        <f t="shared" si="55"/>
        <v>0</v>
      </c>
      <c r="CK52" s="398"/>
      <c r="CL52" s="404"/>
      <c r="CM52" s="404"/>
      <c r="CN52" s="404"/>
      <c r="CO52" s="398"/>
      <c r="CP52" s="398">
        <f t="shared" si="56"/>
        <v>0</v>
      </c>
      <c r="CQ52" s="398"/>
      <c r="CR52" s="404"/>
      <c r="CS52" s="404"/>
      <c r="CT52" s="404"/>
      <c r="CU52" s="398"/>
      <c r="CV52" s="398">
        <f t="shared" si="57"/>
        <v>0</v>
      </c>
      <c r="CW52" s="398"/>
      <c r="CX52" s="404"/>
      <c r="CY52" s="404"/>
      <c r="CZ52" s="404"/>
      <c r="DA52" s="398"/>
      <c r="DB52" s="398">
        <f t="shared" si="58"/>
        <v>0</v>
      </c>
      <c r="DC52" s="398"/>
      <c r="DD52" s="404"/>
      <c r="DE52" s="404"/>
      <c r="DF52" s="404"/>
      <c r="DG52" s="398"/>
      <c r="DH52" s="398">
        <f t="shared" si="59"/>
        <v>0</v>
      </c>
      <c r="DI52" s="398"/>
      <c r="DJ52" s="404"/>
      <c r="DK52" s="404"/>
      <c r="DL52" s="404"/>
      <c r="DM52" s="398"/>
      <c r="DN52" s="398">
        <f t="shared" si="60"/>
        <v>0</v>
      </c>
      <c r="DO52" s="398"/>
      <c r="DP52" s="404"/>
      <c r="DQ52" s="404"/>
      <c r="DR52" s="404"/>
      <c r="DS52" s="398"/>
      <c r="DT52" s="398">
        <f t="shared" si="61"/>
        <v>0</v>
      </c>
      <c r="DU52" s="398"/>
      <c r="DV52" s="404"/>
      <c r="DW52" s="404"/>
      <c r="DX52" s="404"/>
      <c r="DY52" s="398"/>
      <c r="DZ52" s="398">
        <f t="shared" si="62"/>
        <v>0</v>
      </c>
      <c r="EA52" s="398"/>
      <c r="EB52" s="404"/>
      <c r="EC52" s="404"/>
      <c r="ED52" s="404"/>
      <c r="EE52" s="398"/>
      <c r="EF52" s="398">
        <f t="shared" si="63"/>
        <v>0</v>
      </c>
      <c r="EG52" s="398"/>
      <c r="EH52" s="404"/>
      <c r="EI52" s="404"/>
      <c r="EJ52" s="404"/>
      <c r="EK52" s="398"/>
      <c r="EL52" s="398">
        <f t="shared" si="64"/>
        <v>0</v>
      </c>
      <c r="EM52" s="398"/>
      <c r="EN52" s="404"/>
      <c r="EO52" s="404"/>
      <c r="EP52" s="404"/>
      <c r="EQ52" s="398"/>
      <c r="ER52" s="398">
        <f t="shared" si="65"/>
        <v>0</v>
      </c>
      <c r="ES52" s="398"/>
      <c r="ET52" s="404"/>
      <c r="EU52" s="404"/>
      <c r="EV52" s="404"/>
      <c r="EW52" s="398"/>
      <c r="EX52" s="398">
        <f t="shared" si="66"/>
        <v>0</v>
      </c>
      <c r="EY52" s="398" t="e">
        <f>VLOOKUP($A52,[2]Devengado!$A$1:$AI$3,35,FALSE)</f>
        <v>#N/A</v>
      </c>
    </row>
    <row r="53" spans="1:155" ht="23.25" hidden="1" customHeight="1">
      <c r="A53" s="341">
        <v>421</v>
      </c>
      <c r="B53" s="442" t="str">
        <f>VLOOKUP($A53,  'Matriz POA 2024-TRABAJO'!$A$5:$CY$9142,11,FALSE)</f>
        <v>Corporación Ciudad Alfaro</v>
      </c>
      <c r="C53" s="442" t="str">
        <f>VLOOKUP($A53, 'Matriz POA 2024-TRABAJO'!$A$5:$CY$9142,14,FALSE)</f>
        <v>N/A</v>
      </c>
      <c r="D53" s="442" t="str">
        <f>VLOOKUP($A53, 'Matriz POA 2024-TRABAJO'!$A$5:$CY$9142,15,FALSE)</f>
        <v>N/A</v>
      </c>
      <c r="E53" s="442" t="str">
        <f>VLOOKUP($A53, 'Matriz POA 2024-TRABAJO'!$A$5:$CY$9142,18,FALSE)</f>
        <v>N/A</v>
      </c>
      <c r="F53" s="442" t="str">
        <f>VLOOKUP($A53, 'Matriz POA 2024-TRABAJO'!$A$5:$CY$9142,23,FALSE)</f>
        <v>NUEVA</v>
      </c>
      <c r="G53" s="443" t="str">
        <f>VLOOKUP($A53, 'Matriz POA 2024-TRABAJO'!$A$5:$CY$9142,24,FALSE)</f>
        <v>Por Cargas Familiares</v>
      </c>
      <c r="H53" s="442" t="str">
        <f>VLOOKUP($A53, 'Matriz POA 2024-TRABAJO'!$A$5:$CY$9142,25,FALSE)</f>
        <v>0035</v>
      </c>
      <c r="I53" s="442" t="str">
        <f>VLOOKUP($A53, 'Matriz POA 2024-TRABAJO'!$A$5:$CY$9142,26,FALSE)</f>
        <v>80</v>
      </c>
      <c r="J53" s="442" t="str">
        <f>VLOOKUP($A53, 'Matriz POA 2024-TRABAJO'!$A$5:$CY$9142,27,FALSE)</f>
        <v>000</v>
      </c>
      <c r="K53" s="444" t="str">
        <f>VLOOKUP($A53, 'Matriz POA 2024-TRABAJO'!$A$5:$CY$9142,28,FALSE)</f>
        <v>002</v>
      </c>
      <c r="L53" s="444" t="str">
        <f>VLOOKUP($A53, 'Matriz POA 2024-TRABAJO'!$A$5:$CY$9142,29,FALSE)</f>
        <v>51</v>
      </c>
      <c r="M53" s="444">
        <f>VLOOKUP($A53, 'Matriz POA 2024-TRABAJO'!$A$5:$CY$9142,30,FALSE)</f>
        <v>510401</v>
      </c>
      <c r="N53" s="444" t="str">
        <f>VLOOKUP($A53, 'Matriz POA 2024-TRABAJO'!$A$5:$CY$9142,33,FALSE)</f>
        <v>001</v>
      </c>
      <c r="O53" s="444" t="str">
        <f>VLOOKUP($A53, 'Matriz POA 2024-TRABAJO'!$A$5:$CY$9142,34,FALSE)</f>
        <v>0000</v>
      </c>
      <c r="P53" s="444" t="str">
        <f>VLOOKUP($A53, 'Matriz POA 2024-TRABAJO'!$A$5:$CY$9142,35,FALSE)</f>
        <v>0000</v>
      </c>
      <c r="Q53" s="445">
        <f>VLOOKUP($A53, 'Matriz POA 2024-TRABAJO'!$A$5:$CY$9142,47,FALSE)</f>
        <v>417.72</v>
      </c>
      <c r="R53" s="446">
        <f t="shared" si="45"/>
        <v>0</v>
      </c>
      <c r="S53" s="446">
        <f t="shared" si="46"/>
        <v>396.47999999999996</v>
      </c>
      <c r="T53" s="446">
        <f t="shared" si="47"/>
        <v>0</v>
      </c>
      <c r="U53" s="446">
        <f t="shared" si="48"/>
        <v>21.240000000000066</v>
      </c>
      <c r="V53" s="446" t="str">
        <f t="shared" si="49"/>
        <v/>
      </c>
      <c r="W53" s="403"/>
      <c r="X53" s="404"/>
      <c r="Y53" s="404"/>
      <c r="Z53" s="404">
        <v>0</v>
      </c>
      <c r="AA53" s="404">
        <f>35.4+31.86+31.86+31.86+31.86+31.86+31.86+28.32+28.32+28.32+28.32+28.32+28.32</f>
        <v>396.47999999999996</v>
      </c>
      <c r="AB53" s="398">
        <f t="shared" si="41"/>
        <v>0</v>
      </c>
      <c r="AC53" s="405"/>
      <c r="AD53" s="404"/>
      <c r="AE53" s="404"/>
      <c r="AF53" s="404"/>
      <c r="AG53" s="398"/>
      <c r="AH53" s="398">
        <f t="shared" ref="AH53" si="77">IF(AD53="APROBADO",AF53-AG53,0)</f>
        <v>0</v>
      </c>
      <c r="AI53" s="405"/>
      <c r="AJ53" s="404"/>
      <c r="AK53" s="404"/>
      <c r="AL53" s="404"/>
      <c r="AM53" s="398"/>
      <c r="AN53" s="398">
        <f t="shared" si="37"/>
        <v>0</v>
      </c>
      <c r="AO53" s="398"/>
      <c r="AP53" s="404"/>
      <c r="AQ53" s="404"/>
      <c r="AR53" s="404"/>
      <c r="AS53" s="398"/>
      <c r="AT53" s="398">
        <f t="shared" si="38"/>
        <v>0</v>
      </c>
      <c r="AU53" s="398"/>
      <c r="AV53" s="404"/>
      <c r="AW53" s="404"/>
      <c r="AX53" s="404"/>
      <c r="AY53" s="404"/>
      <c r="AZ53" s="398">
        <f t="shared" si="39"/>
        <v>0</v>
      </c>
      <c r="BA53" s="398"/>
      <c r="BB53" s="404"/>
      <c r="BC53" s="404"/>
      <c r="BD53" s="404"/>
      <c r="BE53" s="398"/>
      <c r="BF53" s="398">
        <f t="shared" si="40"/>
        <v>0</v>
      </c>
      <c r="BG53" s="398"/>
      <c r="BH53" s="404"/>
      <c r="BI53" s="404"/>
      <c r="BJ53" s="404"/>
      <c r="BK53" s="398"/>
      <c r="BL53" s="398">
        <f t="shared" si="51"/>
        <v>0</v>
      </c>
      <c r="BM53" s="398"/>
      <c r="BN53" s="404"/>
      <c r="BO53" s="404"/>
      <c r="BP53" s="404"/>
      <c r="BQ53" s="398"/>
      <c r="BR53" s="398">
        <f t="shared" si="52"/>
        <v>0</v>
      </c>
      <c r="BS53" s="398"/>
      <c r="BT53" s="404"/>
      <c r="BU53" s="404"/>
      <c r="BV53" s="404"/>
      <c r="BW53" s="398"/>
      <c r="BX53" s="398">
        <f t="shared" si="53"/>
        <v>0</v>
      </c>
      <c r="BY53" s="398"/>
      <c r="BZ53" s="404"/>
      <c r="CA53" s="404"/>
      <c r="CB53" s="404"/>
      <c r="CC53" s="398"/>
      <c r="CD53" s="398">
        <f t="shared" si="54"/>
        <v>0</v>
      </c>
      <c r="CE53" s="398"/>
      <c r="CF53" s="404"/>
      <c r="CG53" s="404"/>
      <c r="CH53" s="404"/>
      <c r="CI53" s="398"/>
      <c r="CJ53" s="398">
        <f t="shared" si="55"/>
        <v>0</v>
      </c>
      <c r="CK53" s="398"/>
      <c r="CL53" s="404"/>
      <c r="CM53" s="404"/>
      <c r="CN53" s="404"/>
      <c r="CO53" s="398"/>
      <c r="CP53" s="398">
        <f t="shared" si="56"/>
        <v>0</v>
      </c>
      <c r="CQ53" s="398"/>
      <c r="CR53" s="404"/>
      <c r="CS53" s="404"/>
      <c r="CT53" s="404"/>
      <c r="CU53" s="398"/>
      <c r="CV53" s="398">
        <f t="shared" si="57"/>
        <v>0</v>
      </c>
      <c r="CW53" s="398"/>
      <c r="CX53" s="404"/>
      <c r="CY53" s="404"/>
      <c r="CZ53" s="404"/>
      <c r="DA53" s="398"/>
      <c r="DB53" s="398">
        <f t="shared" si="58"/>
        <v>0</v>
      </c>
      <c r="DC53" s="398"/>
      <c r="DD53" s="404"/>
      <c r="DE53" s="404"/>
      <c r="DF53" s="404"/>
      <c r="DG53" s="398"/>
      <c r="DH53" s="398">
        <f t="shared" si="59"/>
        <v>0</v>
      </c>
      <c r="DI53" s="398"/>
      <c r="DJ53" s="404"/>
      <c r="DK53" s="404"/>
      <c r="DL53" s="404"/>
      <c r="DM53" s="398"/>
      <c r="DN53" s="398">
        <f t="shared" si="60"/>
        <v>0</v>
      </c>
      <c r="DO53" s="398"/>
      <c r="DP53" s="404"/>
      <c r="DQ53" s="404"/>
      <c r="DR53" s="404"/>
      <c r="DS53" s="398"/>
      <c r="DT53" s="398">
        <f t="shared" si="61"/>
        <v>0</v>
      </c>
      <c r="DU53" s="398"/>
      <c r="DV53" s="404"/>
      <c r="DW53" s="404"/>
      <c r="DX53" s="404"/>
      <c r="DY53" s="398"/>
      <c r="DZ53" s="398">
        <f t="shared" si="62"/>
        <v>0</v>
      </c>
      <c r="EA53" s="398"/>
      <c r="EB53" s="404"/>
      <c r="EC53" s="404"/>
      <c r="ED53" s="404"/>
      <c r="EE53" s="398"/>
      <c r="EF53" s="398">
        <f t="shared" si="63"/>
        <v>0</v>
      </c>
      <c r="EG53" s="398"/>
      <c r="EH53" s="404"/>
      <c r="EI53" s="404"/>
      <c r="EJ53" s="404"/>
      <c r="EK53" s="398"/>
      <c r="EL53" s="398">
        <f t="shared" si="64"/>
        <v>0</v>
      </c>
      <c r="EM53" s="398"/>
      <c r="EN53" s="404"/>
      <c r="EO53" s="404"/>
      <c r="EP53" s="404"/>
      <c r="EQ53" s="398"/>
      <c r="ER53" s="398">
        <f t="shared" si="65"/>
        <v>0</v>
      </c>
      <c r="ES53" s="398"/>
      <c r="ET53" s="404"/>
      <c r="EU53" s="404"/>
      <c r="EV53" s="404"/>
      <c r="EW53" s="398"/>
      <c r="EX53" s="398">
        <f t="shared" si="66"/>
        <v>0</v>
      </c>
      <c r="EY53" s="398" t="e">
        <f>VLOOKUP($A53,[2]Devengado!$A$1:$AI$3,35,FALSE)</f>
        <v>#N/A</v>
      </c>
    </row>
    <row r="54" spans="1:155" ht="23.25" hidden="1" customHeight="1">
      <c r="A54" s="341">
        <v>422</v>
      </c>
      <c r="B54" s="442" t="str">
        <f>VLOOKUP($A54,  'Matriz POA 2024-TRABAJO'!$A$5:$CY$9142,11,FALSE)</f>
        <v>Corporación Ciudad Alfaro</v>
      </c>
      <c r="C54" s="442" t="str">
        <f>VLOOKUP($A54, 'Matriz POA 2024-TRABAJO'!$A$5:$CY$9142,14,FALSE)</f>
        <v>N/A</v>
      </c>
      <c r="D54" s="442" t="str">
        <f>VLOOKUP($A54, 'Matriz POA 2024-TRABAJO'!$A$5:$CY$9142,15,FALSE)</f>
        <v>N/A</v>
      </c>
      <c r="E54" s="442" t="str">
        <f>VLOOKUP($A54, 'Matriz POA 2024-TRABAJO'!$A$5:$CY$9142,18,FALSE)</f>
        <v>N/A</v>
      </c>
      <c r="F54" s="442" t="str">
        <f>VLOOKUP($A54, 'Matriz POA 2024-TRABAJO'!$A$5:$CY$9142,23,FALSE)</f>
        <v>NUEVA</v>
      </c>
      <c r="G54" s="443" t="str">
        <f>VLOOKUP($A54, 'Matriz POA 2024-TRABAJO'!$A$5:$CY$9142,24,FALSE)</f>
        <v>Subsidio de Antigüedad</v>
      </c>
      <c r="H54" s="442" t="str">
        <f>VLOOKUP($A54, 'Matriz POA 2024-TRABAJO'!$A$5:$CY$9142,25,FALSE)</f>
        <v>0035</v>
      </c>
      <c r="I54" s="442" t="str">
        <f>VLOOKUP($A54, 'Matriz POA 2024-TRABAJO'!$A$5:$CY$9142,26,FALSE)</f>
        <v>80</v>
      </c>
      <c r="J54" s="442" t="str">
        <f>VLOOKUP($A54, 'Matriz POA 2024-TRABAJO'!$A$5:$CY$9142,27,FALSE)</f>
        <v>000</v>
      </c>
      <c r="K54" s="444" t="str">
        <f>VLOOKUP($A54, 'Matriz POA 2024-TRABAJO'!$A$5:$CY$9142,28,FALSE)</f>
        <v>002</v>
      </c>
      <c r="L54" s="444" t="str">
        <f>VLOOKUP($A54, 'Matriz POA 2024-TRABAJO'!$A$5:$CY$9142,29,FALSE)</f>
        <v>51</v>
      </c>
      <c r="M54" s="444">
        <f>VLOOKUP($A54, 'Matriz POA 2024-TRABAJO'!$A$5:$CY$9142,30,FALSE)</f>
        <v>510408</v>
      </c>
      <c r="N54" s="444" t="str">
        <f>VLOOKUP($A54, 'Matriz POA 2024-TRABAJO'!$A$5:$CY$9142,33,FALSE)</f>
        <v>001</v>
      </c>
      <c r="O54" s="444" t="str">
        <f>VLOOKUP($A54, 'Matriz POA 2024-TRABAJO'!$A$5:$CY$9142,34,FALSE)</f>
        <v>0000</v>
      </c>
      <c r="P54" s="444" t="str">
        <f>VLOOKUP($A54, 'Matriz POA 2024-TRABAJO'!$A$5:$CY$9142,35,FALSE)</f>
        <v>0000</v>
      </c>
      <c r="Q54" s="445">
        <f>VLOOKUP($A54, 'Matriz POA 2024-TRABAJO'!$A$5:$CY$9142,47,FALSE)</f>
        <v>510</v>
      </c>
      <c r="R54" s="446">
        <f t="shared" si="45"/>
        <v>0</v>
      </c>
      <c r="S54" s="446">
        <f t="shared" si="46"/>
        <v>443.82999999999993</v>
      </c>
      <c r="T54" s="446">
        <f t="shared" si="47"/>
        <v>0</v>
      </c>
      <c r="U54" s="446">
        <f t="shared" si="48"/>
        <v>66.170000000000073</v>
      </c>
      <c r="V54" s="446" t="str">
        <f t="shared" si="49"/>
        <v/>
      </c>
      <c r="W54" s="403"/>
      <c r="X54" s="404"/>
      <c r="Y54" s="404"/>
      <c r="Z54" s="404"/>
      <c r="AA54" s="404">
        <f>28.71+34.38+34.38+34.38+34.38+34.38+34.38+34.38+34.38+35.02+35.02+35.02+35.02</f>
        <v>443.82999999999993</v>
      </c>
      <c r="AB54" s="398">
        <f t="shared" si="41"/>
        <v>0</v>
      </c>
      <c r="AC54" s="403"/>
      <c r="AD54" s="404"/>
      <c r="AE54" s="404"/>
      <c r="AF54" s="404"/>
      <c r="AG54" s="398"/>
      <c r="AH54" s="398">
        <f>IF(AD54="APROBADO",AF54-AG54,0)</f>
        <v>0</v>
      </c>
      <c r="AI54" s="405"/>
      <c r="AJ54" s="404"/>
      <c r="AK54" s="404"/>
      <c r="AL54" s="404"/>
      <c r="AM54" s="398"/>
      <c r="AN54" s="398">
        <f t="shared" si="37"/>
        <v>0</v>
      </c>
      <c r="AO54" s="398"/>
      <c r="AP54" s="404"/>
      <c r="AQ54" s="404"/>
      <c r="AR54" s="404"/>
      <c r="AS54" s="398"/>
      <c r="AT54" s="398">
        <f t="shared" si="38"/>
        <v>0</v>
      </c>
      <c r="AU54" s="398"/>
      <c r="AV54" s="404"/>
      <c r="AW54" s="404"/>
      <c r="AX54" s="404"/>
      <c r="AY54" s="404"/>
      <c r="AZ54" s="398">
        <f t="shared" si="39"/>
        <v>0</v>
      </c>
      <c r="BA54" s="398"/>
      <c r="BB54" s="404"/>
      <c r="BC54" s="404"/>
      <c r="BD54" s="404"/>
      <c r="BE54" s="398"/>
      <c r="BF54" s="398">
        <f t="shared" si="40"/>
        <v>0</v>
      </c>
      <c r="BG54" s="398"/>
      <c r="BH54" s="404"/>
      <c r="BI54" s="404"/>
      <c r="BJ54" s="404"/>
      <c r="BK54" s="398"/>
      <c r="BL54" s="398">
        <f t="shared" si="51"/>
        <v>0</v>
      </c>
      <c r="BM54" s="398"/>
      <c r="BN54" s="404"/>
      <c r="BO54" s="404"/>
      <c r="BP54" s="404"/>
      <c r="BQ54" s="398"/>
      <c r="BR54" s="398">
        <f t="shared" si="52"/>
        <v>0</v>
      </c>
      <c r="BS54" s="398"/>
      <c r="BT54" s="404"/>
      <c r="BU54" s="404"/>
      <c r="BV54" s="404"/>
      <c r="BW54" s="398"/>
      <c r="BX54" s="398">
        <f t="shared" si="53"/>
        <v>0</v>
      </c>
      <c r="BY54" s="398"/>
      <c r="BZ54" s="404"/>
      <c r="CA54" s="404"/>
      <c r="CB54" s="404"/>
      <c r="CC54" s="398"/>
      <c r="CD54" s="398">
        <f t="shared" si="54"/>
        <v>0</v>
      </c>
      <c r="CE54" s="398"/>
      <c r="CF54" s="404"/>
      <c r="CG54" s="404"/>
      <c r="CH54" s="404"/>
      <c r="CI54" s="398"/>
      <c r="CJ54" s="398">
        <f t="shared" si="55"/>
        <v>0</v>
      </c>
      <c r="CK54" s="398"/>
      <c r="CL54" s="404"/>
      <c r="CM54" s="404"/>
      <c r="CN54" s="404"/>
      <c r="CO54" s="398"/>
      <c r="CP54" s="398">
        <f t="shared" si="56"/>
        <v>0</v>
      </c>
      <c r="CQ54" s="398"/>
      <c r="CR54" s="404"/>
      <c r="CS54" s="404"/>
      <c r="CT54" s="404"/>
      <c r="CU54" s="398"/>
      <c r="CV54" s="398">
        <f t="shared" si="57"/>
        <v>0</v>
      </c>
      <c r="CW54" s="398"/>
      <c r="CX54" s="404"/>
      <c r="CY54" s="404"/>
      <c r="CZ54" s="404"/>
      <c r="DA54" s="398"/>
      <c r="DB54" s="398">
        <f t="shared" si="58"/>
        <v>0</v>
      </c>
      <c r="DC54" s="398"/>
      <c r="DD54" s="404"/>
      <c r="DE54" s="404"/>
      <c r="DF54" s="404"/>
      <c r="DG54" s="398"/>
      <c r="DH54" s="398">
        <f t="shared" si="59"/>
        <v>0</v>
      </c>
      <c r="DI54" s="398"/>
      <c r="DJ54" s="404"/>
      <c r="DK54" s="404"/>
      <c r="DL54" s="404"/>
      <c r="DM54" s="398"/>
      <c r="DN54" s="398">
        <f t="shared" si="60"/>
        <v>0</v>
      </c>
      <c r="DO54" s="398"/>
      <c r="DP54" s="404"/>
      <c r="DQ54" s="404"/>
      <c r="DR54" s="404"/>
      <c r="DS54" s="398"/>
      <c r="DT54" s="398">
        <f t="shared" si="61"/>
        <v>0</v>
      </c>
      <c r="DU54" s="398"/>
      <c r="DV54" s="404"/>
      <c r="DW54" s="404"/>
      <c r="DX54" s="404"/>
      <c r="DY54" s="398"/>
      <c r="DZ54" s="398">
        <f t="shared" si="62"/>
        <v>0</v>
      </c>
      <c r="EA54" s="398"/>
      <c r="EB54" s="404"/>
      <c r="EC54" s="404"/>
      <c r="ED54" s="404"/>
      <c r="EE54" s="398"/>
      <c r="EF54" s="398">
        <f t="shared" si="63"/>
        <v>0</v>
      </c>
      <c r="EG54" s="398"/>
      <c r="EH54" s="404"/>
      <c r="EI54" s="404"/>
      <c r="EJ54" s="404"/>
      <c r="EK54" s="398"/>
      <c r="EL54" s="398">
        <f t="shared" si="64"/>
        <v>0</v>
      </c>
      <c r="EM54" s="398"/>
      <c r="EN54" s="404"/>
      <c r="EO54" s="404"/>
      <c r="EP54" s="404"/>
      <c r="EQ54" s="398"/>
      <c r="ER54" s="398">
        <f t="shared" si="65"/>
        <v>0</v>
      </c>
      <c r="ES54" s="398"/>
      <c r="ET54" s="404"/>
      <c r="EU54" s="404"/>
      <c r="EV54" s="404"/>
      <c r="EW54" s="398"/>
      <c r="EX54" s="398">
        <f t="shared" si="66"/>
        <v>0</v>
      </c>
      <c r="EY54" s="398" t="e">
        <f>VLOOKUP($A54,[2]Devengado!$A$1:$AI$3,35,FALSE)</f>
        <v>#N/A</v>
      </c>
    </row>
    <row r="55" spans="1:155" ht="23.25" hidden="1" customHeight="1">
      <c r="A55" s="341">
        <v>415</v>
      </c>
      <c r="B55" s="442" t="str">
        <f>VLOOKUP($A55,  'Matriz POA 2024-TRABAJO'!$A$5:$CY$9142,11,FALSE)</f>
        <v>Corporación Ciudad Alfaro</v>
      </c>
      <c r="C55" s="442" t="str">
        <f>VLOOKUP($A55, 'Matriz POA 2024-TRABAJO'!$A$5:$CY$9142,14,FALSE)</f>
        <v>N/A</v>
      </c>
      <c r="D55" s="442" t="str">
        <f>VLOOKUP($A55, 'Matriz POA 2024-TRABAJO'!$A$5:$CY$9142,15,FALSE)</f>
        <v>N/A</v>
      </c>
      <c r="E55" s="442" t="str">
        <f>VLOOKUP($A55, 'Matriz POA 2024-TRABAJO'!$A$5:$CY$9142,18,FALSE)</f>
        <v>N/A</v>
      </c>
      <c r="F55" s="442" t="str">
        <f>VLOOKUP($A55, 'Matriz POA 2024-TRABAJO'!$A$5:$CY$9142,23,FALSE)</f>
        <v>NUEVA</v>
      </c>
      <c r="G55" s="443" t="str">
        <f>VLOOKUP($A55, 'Matriz POA 2024-TRABAJO'!$A$5:$CY$9142,24,FALSE)</f>
        <v>REMUNERACIONES UNIFICADAS</v>
      </c>
      <c r="H55" s="442" t="str">
        <f>VLOOKUP($A55, 'Matriz POA 2024-TRABAJO'!$A$5:$CY$9142,25,FALSE)</f>
        <v>0035</v>
      </c>
      <c r="I55" s="442" t="str">
        <f>VLOOKUP($A55, 'Matriz POA 2024-TRABAJO'!$A$5:$CY$9142,26,FALSE)</f>
        <v>80</v>
      </c>
      <c r="J55" s="442" t="str">
        <f>VLOOKUP($A55, 'Matriz POA 2024-TRABAJO'!$A$5:$CY$9142,27,FALSE)</f>
        <v>000</v>
      </c>
      <c r="K55" s="444" t="str">
        <f>VLOOKUP($A55, 'Matriz POA 2024-TRABAJO'!$A$5:$CY$9142,28,FALSE)</f>
        <v>002</v>
      </c>
      <c r="L55" s="444" t="str">
        <f>VLOOKUP($A55, 'Matriz POA 2024-TRABAJO'!$A$5:$CY$9142,29,FALSE)</f>
        <v>51</v>
      </c>
      <c r="M55" s="444">
        <f>VLOOKUP($A55, 'Matriz POA 2024-TRABAJO'!$A$5:$CY$9142,30,FALSE)</f>
        <v>510105</v>
      </c>
      <c r="N55" s="444" t="str">
        <f>VLOOKUP($A55, 'Matriz POA 2024-TRABAJO'!$A$5:$CY$9142,33,FALSE)</f>
        <v>001</v>
      </c>
      <c r="O55" s="444" t="str">
        <f>VLOOKUP($A55, 'Matriz POA 2024-TRABAJO'!$A$5:$CY$9142,34,FALSE)</f>
        <v>0000</v>
      </c>
      <c r="P55" s="444" t="str">
        <f>VLOOKUP($A55, 'Matriz POA 2024-TRABAJO'!$A$5:$CY$9142,35,FALSE)</f>
        <v>0000</v>
      </c>
      <c r="Q55" s="445">
        <f>VLOOKUP($A55, 'Matriz POA 2024-TRABAJO'!$A$5:$CY$9142,47,FALSE)</f>
        <v>267752</v>
      </c>
      <c r="R55" s="446">
        <f t="shared" si="45"/>
        <v>0</v>
      </c>
      <c r="S55" s="446">
        <f t="shared" si="46"/>
        <v>266098.40000000002</v>
      </c>
      <c r="T55" s="446">
        <f t="shared" si="47"/>
        <v>0</v>
      </c>
      <c r="U55" s="446">
        <f t="shared" si="48"/>
        <v>1653.5999999999767</v>
      </c>
      <c r="V55" s="446" t="str">
        <f t="shared" si="49"/>
        <v/>
      </c>
      <c r="W55" s="403"/>
      <c r="X55" s="404"/>
      <c r="Y55" s="404"/>
      <c r="Z55" s="404"/>
      <c r="AA55" s="404">
        <f>22767+22767+22767+22767+22767+22767+22767+40.4+21555+21555+21555+21156.8+398.2+20469</f>
        <v>266098.40000000002</v>
      </c>
      <c r="AB55" s="398">
        <f t="shared" si="41"/>
        <v>0</v>
      </c>
      <c r="AC55" s="405"/>
      <c r="AD55" s="404"/>
      <c r="AE55" s="404"/>
      <c r="AF55" s="404"/>
      <c r="AG55" s="398"/>
      <c r="AH55" s="398">
        <f t="shared" ref="AH55" si="78">IF(AD55="APROBADO",AF55-AG55,0)</f>
        <v>0</v>
      </c>
      <c r="AI55" s="405"/>
      <c r="AJ55" s="404"/>
      <c r="AK55" s="404"/>
      <c r="AL55" s="404"/>
      <c r="AM55" s="398"/>
      <c r="AN55" s="398">
        <f t="shared" si="37"/>
        <v>0</v>
      </c>
      <c r="AO55" s="398"/>
      <c r="AP55" s="404"/>
      <c r="AQ55" s="404"/>
      <c r="AR55" s="404"/>
      <c r="AS55" s="398"/>
      <c r="AT55" s="398">
        <f t="shared" si="38"/>
        <v>0</v>
      </c>
      <c r="AU55" s="398"/>
      <c r="AV55" s="404"/>
      <c r="AW55" s="404"/>
      <c r="AX55" s="404"/>
      <c r="AY55" s="404"/>
      <c r="AZ55" s="398">
        <f t="shared" si="39"/>
        <v>0</v>
      </c>
      <c r="BA55" s="398"/>
      <c r="BB55" s="404"/>
      <c r="BC55" s="404"/>
      <c r="BD55" s="404"/>
      <c r="BE55" s="398"/>
      <c r="BF55" s="398">
        <f t="shared" si="40"/>
        <v>0</v>
      </c>
      <c r="BG55" s="398"/>
      <c r="BH55" s="404"/>
      <c r="BI55" s="404"/>
      <c r="BJ55" s="404"/>
      <c r="BK55" s="398"/>
      <c r="BL55" s="398">
        <f t="shared" si="51"/>
        <v>0</v>
      </c>
      <c r="BM55" s="398"/>
      <c r="BN55" s="404"/>
      <c r="BO55" s="404"/>
      <c r="BP55" s="404"/>
      <c r="BQ55" s="398"/>
      <c r="BR55" s="398">
        <f t="shared" si="52"/>
        <v>0</v>
      </c>
      <c r="BS55" s="398"/>
      <c r="BT55" s="404"/>
      <c r="BU55" s="404"/>
      <c r="BV55" s="404"/>
      <c r="BW55" s="398"/>
      <c r="BX55" s="398">
        <f t="shared" si="53"/>
        <v>0</v>
      </c>
      <c r="BY55" s="398"/>
      <c r="BZ55" s="404"/>
      <c r="CA55" s="404"/>
      <c r="CB55" s="404"/>
      <c r="CC55" s="398"/>
      <c r="CD55" s="398">
        <f t="shared" si="54"/>
        <v>0</v>
      </c>
      <c r="CE55" s="398"/>
      <c r="CF55" s="404"/>
      <c r="CG55" s="404"/>
      <c r="CH55" s="404"/>
      <c r="CI55" s="398"/>
      <c r="CJ55" s="398">
        <f t="shared" si="55"/>
        <v>0</v>
      </c>
      <c r="CK55" s="398"/>
      <c r="CL55" s="404"/>
      <c r="CM55" s="404"/>
      <c r="CN55" s="404"/>
      <c r="CO55" s="398"/>
      <c r="CP55" s="398">
        <f t="shared" si="56"/>
        <v>0</v>
      </c>
      <c r="CQ55" s="398"/>
      <c r="CR55" s="404"/>
      <c r="CS55" s="404"/>
      <c r="CT55" s="404"/>
      <c r="CU55" s="398"/>
      <c r="CV55" s="398">
        <f t="shared" si="57"/>
        <v>0</v>
      </c>
      <c r="CW55" s="398"/>
      <c r="CX55" s="404"/>
      <c r="CY55" s="404"/>
      <c r="CZ55" s="404"/>
      <c r="DA55" s="398"/>
      <c r="DB55" s="398">
        <f t="shared" si="58"/>
        <v>0</v>
      </c>
      <c r="DC55" s="398"/>
      <c r="DD55" s="404"/>
      <c r="DE55" s="404"/>
      <c r="DF55" s="404"/>
      <c r="DG55" s="398"/>
      <c r="DH55" s="398">
        <f t="shared" si="59"/>
        <v>0</v>
      </c>
      <c r="DI55" s="398"/>
      <c r="DJ55" s="404"/>
      <c r="DK55" s="404"/>
      <c r="DL55" s="404"/>
      <c r="DM55" s="398"/>
      <c r="DN55" s="398">
        <f t="shared" si="60"/>
        <v>0</v>
      </c>
      <c r="DO55" s="398"/>
      <c r="DP55" s="404"/>
      <c r="DQ55" s="404"/>
      <c r="DR55" s="404"/>
      <c r="DS55" s="398"/>
      <c r="DT55" s="398">
        <f t="shared" si="61"/>
        <v>0</v>
      </c>
      <c r="DU55" s="398"/>
      <c r="DV55" s="404"/>
      <c r="DW55" s="404"/>
      <c r="DX55" s="404"/>
      <c r="DY55" s="398"/>
      <c r="DZ55" s="398">
        <f t="shared" si="62"/>
        <v>0</v>
      </c>
      <c r="EA55" s="398"/>
      <c r="EB55" s="404"/>
      <c r="EC55" s="404"/>
      <c r="ED55" s="404"/>
      <c r="EE55" s="398"/>
      <c r="EF55" s="398">
        <f t="shared" si="63"/>
        <v>0</v>
      </c>
      <c r="EG55" s="398"/>
      <c r="EH55" s="404"/>
      <c r="EI55" s="404"/>
      <c r="EJ55" s="404"/>
      <c r="EK55" s="398"/>
      <c r="EL55" s="398">
        <f t="shared" si="64"/>
        <v>0</v>
      </c>
      <c r="EM55" s="398"/>
      <c r="EN55" s="404"/>
      <c r="EO55" s="404"/>
      <c r="EP55" s="404"/>
      <c r="EQ55" s="398"/>
      <c r="ER55" s="398">
        <f t="shared" si="65"/>
        <v>0</v>
      </c>
      <c r="ES55" s="398"/>
      <c r="ET55" s="404"/>
      <c r="EU55" s="404"/>
      <c r="EV55" s="404"/>
      <c r="EW55" s="398"/>
      <c r="EX55" s="398">
        <f t="shared" si="66"/>
        <v>0</v>
      </c>
      <c r="EY55" s="398" t="e">
        <f>VLOOKUP($A55,[2]Devengado!$A$1:$AI$3,35,FALSE)</f>
        <v>#N/A</v>
      </c>
    </row>
    <row r="56" spans="1:155" ht="23.25" hidden="1" customHeight="1">
      <c r="A56" s="341">
        <v>416</v>
      </c>
      <c r="B56" s="442" t="str">
        <f>VLOOKUP($A56,  'Matriz POA 2024-TRABAJO'!$A$5:$CY$9142,11,FALSE)</f>
        <v>Corporación Ciudad Alfaro</v>
      </c>
      <c r="C56" s="442" t="str">
        <f>VLOOKUP($A56, 'Matriz POA 2024-TRABAJO'!$A$5:$CY$9142,14,FALSE)</f>
        <v>N/A</v>
      </c>
      <c r="D56" s="442" t="str">
        <f>VLOOKUP($A56, 'Matriz POA 2024-TRABAJO'!$A$5:$CY$9142,15,FALSE)</f>
        <v>N/A</v>
      </c>
      <c r="E56" s="442" t="str">
        <f>VLOOKUP($A56, 'Matriz POA 2024-TRABAJO'!$A$5:$CY$9142,18,FALSE)</f>
        <v>N/A</v>
      </c>
      <c r="F56" s="442" t="str">
        <f>VLOOKUP($A56, 'Matriz POA 2024-TRABAJO'!$A$5:$CY$9142,23,FALSE)</f>
        <v>NUEVA</v>
      </c>
      <c r="G56" s="443" t="str">
        <f>VLOOKUP($A56, 'Matriz POA 2024-TRABAJO'!$A$5:$CY$9142,24,FALSE)</f>
        <v>Salarios Unificados</v>
      </c>
      <c r="H56" s="442" t="str">
        <f>VLOOKUP($A56, 'Matriz POA 2024-TRABAJO'!$A$5:$CY$9142,25,FALSE)</f>
        <v>0035</v>
      </c>
      <c r="I56" s="442" t="str">
        <f>VLOOKUP($A56, 'Matriz POA 2024-TRABAJO'!$A$5:$CY$9142,26,FALSE)</f>
        <v>80</v>
      </c>
      <c r="J56" s="442" t="str">
        <f>VLOOKUP($A56, 'Matriz POA 2024-TRABAJO'!$A$5:$CY$9142,27,FALSE)</f>
        <v>000</v>
      </c>
      <c r="K56" s="444" t="str">
        <f>VLOOKUP($A56, 'Matriz POA 2024-TRABAJO'!$A$5:$CY$9142,28,FALSE)</f>
        <v>002</v>
      </c>
      <c r="L56" s="444" t="str">
        <f>VLOOKUP($A56, 'Matriz POA 2024-TRABAJO'!$A$5:$CY$9142,29,FALSE)</f>
        <v>51</v>
      </c>
      <c r="M56" s="444">
        <f>VLOOKUP($A56, 'Matriz POA 2024-TRABAJO'!$A$5:$CY$9142,30,FALSE)</f>
        <v>510106</v>
      </c>
      <c r="N56" s="444" t="str">
        <f>VLOOKUP($A56, 'Matriz POA 2024-TRABAJO'!$A$5:$CY$9142,33,FALSE)</f>
        <v>001</v>
      </c>
      <c r="O56" s="444" t="str">
        <f>VLOOKUP($A56, 'Matriz POA 2024-TRABAJO'!$A$5:$CY$9142,34,FALSE)</f>
        <v>0000</v>
      </c>
      <c r="P56" s="444" t="str">
        <f>VLOOKUP($A56, 'Matriz POA 2024-TRABAJO'!$A$5:$CY$9142,35,FALSE)</f>
        <v>0000</v>
      </c>
      <c r="Q56" s="445">
        <f>VLOOKUP($A56, 'Matriz POA 2024-TRABAJO'!$A$5:$CY$9142,47,FALSE)</f>
        <v>68580</v>
      </c>
      <c r="R56" s="446">
        <f t="shared" si="45"/>
        <v>0</v>
      </c>
      <c r="S56" s="446">
        <f t="shared" si="46"/>
        <v>68580</v>
      </c>
      <c r="T56" s="446">
        <f t="shared" si="47"/>
        <v>0</v>
      </c>
      <c r="U56" s="446">
        <f t="shared" si="48"/>
        <v>0</v>
      </c>
      <c r="V56" s="446" t="str">
        <f t="shared" si="49"/>
        <v/>
      </c>
      <c r="W56" s="403"/>
      <c r="X56" s="404"/>
      <c r="Y56" s="404"/>
      <c r="Z56" s="404"/>
      <c r="AA56" s="404">
        <f>5715+5715+5715+5715+5715+5715+5715+5715+5715+5715+5715+5715</f>
        <v>68580</v>
      </c>
      <c r="AB56" s="398">
        <f t="shared" si="41"/>
        <v>0</v>
      </c>
      <c r="AC56" s="403"/>
      <c r="AD56" s="404"/>
      <c r="AE56" s="404"/>
      <c r="AF56" s="404"/>
      <c r="AG56" s="398"/>
      <c r="AH56" s="398">
        <f>IF(AD56="APROBADO",AF56-AG56,0)</f>
        <v>0</v>
      </c>
      <c r="AI56" s="405"/>
      <c r="AJ56" s="404"/>
      <c r="AK56" s="404"/>
      <c r="AL56" s="404"/>
      <c r="AM56" s="398"/>
      <c r="AN56" s="398">
        <f t="shared" si="37"/>
        <v>0</v>
      </c>
      <c r="AO56" s="398"/>
      <c r="AP56" s="404"/>
      <c r="AQ56" s="404"/>
      <c r="AR56" s="404"/>
      <c r="AS56" s="398"/>
      <c r="AT56" s="398">
        <f t="shared" si="38"/>
        <v>0</v>
      </c>
      <c r="AU56" s="398"/>
      <c r="AV56" s="404"/>
      <c r="AW56" s="404"/>
      <c r="AX56" s="404"/>
      <c r="AY56" s="404"/>
      <c r="AZ56" s="398">
        <f t="shared" si="39"/>
        <v>0</v>
      </c>
      <c r="BA56" s="398"/>
      <c r="BB56" s="404"/>
      <c r="BC56" s="404"/>
      <c r="BD56" s="404"/>
      <c r="BE56" s="398"/>
      <c r="BF56" s="398">
        <f t="shared" si="40"/>
        <v>0</v>
      </c>
      <c r="BG56" s="398"/>
      <c r="BH56" s="404"/>
      <c r="BI56" s="404"/>
      <c r="BJ56" s="404"/>
      <c r="BK56" s="398"/>
      <c r="BL56" s="398">
        <f t="shared" si="51"/>
        <v>0</v>
      </c>
      <c r="BM56" s="398"/>
      <c r="BN56" s="404"/>
      <c r="BO56" s="404"/>
      <c r="BP56" s="404"/>
      <c r="BQ56" s="398"/>
      <c r="BR56" s="398">
        <f t="shared" si="52"/>
        <v>0</v>
      </c>
      <c r="BS56" s="398"/>
      <c r="BT56" s="404"/>
      <c r="BU56" s="404"/>
      <c r="BV56" s="404"/>
      <c r="BW56" s="398"/>
      <c r="BX56" s="398">
        <f t="shared" si="53"/>
        <v>0</v>
      </c>
      <c r="BY56" s="398"/>
      <c r="BZ56" s="404"/>
      <c r="CA56" s="404"/>
      <c r="CB56" s="404"/>
      <c r="CC56" s="398"/>
      <c r="CD56" s="398">
        <f t="shared" si="54"/>
        <v>0</v>
      </c>
      <c r="CE56" s="398"/>
      <c r="CF56" s="404"/>
      <c r="CG56" s="404"/>
      <c r="CH56" s="404"/>
      <c r="CI56" s="398"/>
      <c r="CJ56" s="398">
        <f t="shared" si="55"/>
        <v>0</v>
      </c>
      <c r="CK56" s="398"/>
      <c r="CL56" s="404"/>
      <c r="CM56" s="404"/>
      <c r="CN56" s="404"/>
      <c r="CO56" s="398"/>
      <c r="CP56" s="398">
        <f t="shared" si="56"/>
        <v>0</v>
      </c>
      <c r="CQ56" s="398"/>
      <c r="CR56" s="404"/>
      <c r="CS56" s="404"/>
      <c r="CT56" s="404"/>
      <c r="CU56" s="398"/>
      <c r="CV56" s="398">
        <f t="shared" si="57"/>
        <v>0</v>
      </c>
      <c r="CW56" s="398"/>
      <c r="CX56" s="404"/>
      <c r="CY56" s="404"/>
      <c r="CZ56" s="404"/>
      <c r="DA56" s="398"/>
      <c r="DB56" s="398">
        <f t="shared" si="58"/>
        <v>0</v>
      </c>
      <c r="DC56" s="398"/>
      <c r="DD56" s="404"/>
      <c r="DE56" s="404"/>
      <c r="DF56" s="404"/>
      <c r="DG56" s="398"/>
      <c r="DH56" s="398">
        <f t="shared" si="59"/>
        <v>0</v>
      </c>
      <c r="DI56" s="398"/>
      <c r="DJ56" s="404"/>
      <c r="DK56" s="404"/>
      <c r="DL56" s="404"/>
      <c r="DM56" s="398"/>
      <c r="DN56" s="398">
        <f t="shared" si="60"/>
        <v>0</v>
      </c>
      <c r="DO56" s="398"/>
      <c r="DP56" s="404"/>
      <c r="DQ56" s="404"/>
      <c r="DR56" s="404"/>
      <c r="DS56" s="398"/>
      <c r="DT56" s="398">
        <f t="shared" si="61"/>
        <v>0</v>
      </c>
      <c r="DU56" s="398"/>
      <c r="DV56" s="404"/>
      <c r="DW56" s="404"/>
      <c r="DX56" s="404"/>
      <c r="DY56" s="398"/>
      <c r="DZ56" s="398">
        <f t="shared" si="62"/>
        <v>0</v>
      </c>
      <c r="EA56" s="398"/>
      <c r="EB56" s="404"/>
      <c r="EC56" s="404"/>
      <c r="ED56" s="404"/>
      <c r="EE56" s="398"/>
      <c r="EF56" s="398">
        <f t="shared" si="63"/>
        <v>0</v>
      </c>
      <c r="EG56" s="398"/>
      <c r="EH56" s="404"/>
      <c r="EI56" s="404"/>
      <c r="EJ56" s="404"/>
      <c r="EK56" s="398"/>
      <c r="EL56" s="398">
        <f t="shared" si="64"/>
        <v>0</v>
      </c>
      <c r="EM56" s="398"/>
      <c r="EN56" s="404"/>
      <c r="EO56" s="404"/>
      <c r="EP56" s="404"/>
      <c r="EQ56" s="398"/>
      <c r="ER56" s="398">
        <f t="shared" si="65"/>
        <v>0</v>
      </c>
      <c r="ES56" s="398"/>
      <c r="ET56" s="404"/>
      <c r="EU56" s="404"/>
      <c r="EV56" s="404"/>
      <c r="EW56" s="398"/>
      <c r="EX56" s="398">
        <f t="shared" si="66"/>
        <v>0</v>
      </c>
      <c r="EY56" s="398" t="e">
        <f>VLOOKUP($A56,[2]Devengado!$A$1:$AI$3,35,FALSE)</f>
        <v>#N/A</v>
      </c>
    </row>
    <row r="57" spans="1:155" ht="23.25" hidden="1" customHeight="1">
      <c r="A57" s="341">
        <v>423</v>
      </c>
      <c r="B57" s="442" t="str">
        <f>VLOOKUP($A57,  'Matriz POA 2024-TRABAJO'!$A$5:$CY$9142,11,FALSE)</f>
        <v>Corporación Ciudad Alfaro</v>
      </c>
      <c r="C57" s="442" t="str">
        <f>VLOOKUP($A57, 'Matriz POA 2024-TRABAJO'!$A$5:$CY$9142,14,FALSE)</f>
        <v>N/A</v>
      </c>
      <c r="D57" s="442" t="str">
        <f>VLOOKUP($A57, 'Matriz POA 2024-TRABAJO'!$A$5:$CY$9142,15,FALSE)</f>
        <v>N/A</v>
      </c>
      <c r="E57" s="442" t="str">
        <f>VLOOKUP($A57, 'Matriz POA 2024-TRABAJO'!$A$5:$CY$9142,18,FALSE)</f>
        <v>N/A</v>
      </c>
      <c r="F57" s="442" t="str">
        <f>VLOOKUP($A57, 'Matriz POA 2024-TRABAJO'!$A$5:$CY$9142,23,FALSE)</f>
        <v>NUEVA</v>
      </c>
      <c r="G57" s="443" t="str">
        <f>VLOOKUP($A57, 'Matriz POA 2024-TRABAJO'!$A$5:$CY$9142,24,FALSE)</f>
        <v>Servicios Personales por Contrato</v>
      </c>
      <c r="H57" s="442" t="str">
        <f>VLOOKUP($A57, 'Matriz POA 2024-TRABAJO'!$A$5:$CY$9142,25,FALSE)</f>
        <v>0035</v>
      </c>
      <c r="I57" s="442" t="str">
        <f>VLOOKUP($A57, 'Matriz POA 2024-TRABAJO'!$A$5:$CY$9142,26,FALSE)</f>
        <v>80</v>
      </c>
      <c r="J57" s="442" t="str">
        <f>VLOOKUP($A57, 'Matriz POA 2024-TRABAJO'!$A$5:$CY$9142,27,FALSE)</f>
        <v>000</v>
      </c>
      <c r="K57" s="444" t="str">
        <f>VLOOKUP($A57, 'Matriz POA 2024-TRABAJO'!$A$5:$CY$9142,28,FALSE)</f>
        <v>002</v>
      </c>
      <c r="L57" s="444" t="str">
        <f>VLOOKUP($A57, 'Matriz POA 2024-TRABAJO'!$A$5:$CY$9142,29,FALSE)</f>
        <v>51</v>
      </c>
      <c r="M57" s="444">
        <f>VLOOKUP($A57, 'Matriz POA 2024-TRABAJO'!$A$5:$CY$9142,30,FALSE)</f>
        <v>510510</v>
      </c>
      <c r="N57" s="444" t="str">
        <f>VLOOKUP($A57, 'Matriz POA 2024-TRABAJO'!$A$5:$CY$9142,33,FALSE)</f>
        <v>001</v>
      </c>
      <c r="O57" s="444" t="str">
        <f>VLOOKUP($A57, 'Matriz POA 2024-TRABAJO'!$A$5:$CY$9142,34,FALSE)</f>
        <v>0000</v>
      </c>
      <c r="P57" s="444" t="str">
        <f>VLOOKUP($A57, 'Matriz POA 2024-TRABAJO'!$A$5:$CY$9142,35,FALSE)</f>
        <v>0000</v>
      </c>
      <c r="Q57" s="445">
        <f>VLOOKUP($A57, 'Matriz POA 2024-TRABAJO'!$A$5:$CY$9142,47,FALSE)</f>
        <v>32136</v>
      </c>
      <c r="R57" s="446">
        <f t="shared" si="45"/>
        <v>0</v>
      </c>
      <c r="S57" s="446">
        <f t="shared" si="46"/>
        <v>32136</v>
      </c>
      <c r="T57" s="446">
        <f t="shared" si="47"/>
        <v>0</v>
      </c>
      <c r="U57" s="446">
        <f t="shared" si="48"/>
        <v>0</v>
      </c>
      <c r="V57" s="446" t="str">
        <f t="shared" si="49"/>
        <v/>
      </c>
      <c r="W57" s="403"/>
      <c r="X57" s="404"/>
      <c r="Y57" s="404"/>
      <c r="Z57" s="404"/>
      <c r="AA57" s="404">
        <f>2678+2678+2678+2678+2678+2678+2678+2678+2678+2678+2678+2678</f>
        <v>32136</v>
      </c>
      <c r="AB57" s="398">
        <f t="shared" si="41"/>
        <v>0</v>
      </c>
      <c r="AC57" s="405"/>
      <c r="AD57" s="404"/>
      <c r="AE57" s="404"/>
      <c r="AF57" s="404"/>
      <c r="AG57" s="398"/>
      <c r="AH57" s="398">
        <f t="shared" ref="AH57" si="79">IF(AD57="APROBADO",AF57-AG57,0)</f>
        <v>0</v>
      </c>
      <c r="AI57" s="405"/>
      <c r="AJ57" s="404"/>
      <c r="AK57" s="404"/>
      <c r="AL57" s="404"/>
      <c r="AM57" s="398"/>
      <c r="AN57" s="398">
        <f t="shared" si="37"/>
        <v>0</v>
      </c>
      <c r="AO57" s="398"/>
      <c r="AP57" s="404"/>
      <c r="AQ57" s="404"/>
      <c r="AR57" s="404"/>
      <c r="AS57" s="398"/>
      <c r="AT57" s="398">
        <f t="shared" si="38"/>
        <v>0</v>
      </c>
      <c r="AU57" s="398"/>
      <c r="AV57" s="404"/>
      <c r="AW57" s="404"/>
      <c r="AX57" s="404"/>
      <c r="AY57" s="404"/>
      <c r="AZ57" s="398">
        <f t="shared" si="39"/>
        <v>0</v>
      </c>
      <c r="BA57" s="398"/>
      <c r="BB57" s="404"/>
      <c r="BC57" s="404"/>
      <c r="BD57" s="404"/>
      <c r="BE57" s="398"/>
      <c r="BF57" s="398">
        <f t="shared" si="40"/>
        <v>0</v>
      </c>
      <c r="BG57" s="398"/>
      <c r="BH57" s="404"/>
      <c r="BI57" s="404"/>
      <c r="BJ57" s="404"/>
      <c r="BK57" s="398"/>
      <c r="BL57" s="398">
        <f t="shared" si="51"/>
        <v>0</v>
      </c>
      <c r="BM57" s="398"/>
      <c r="BN57" s="404"/>
      <c r="BO57" s="404"/>
      <c r="BP57" s="404"/>
      <c r="BQ57" s="398"/>
      <c r="BR57" s="398">
        <f t="shared" si="52"/>
        <v>0</v>
      </c>
      <c r="BS57" s="398"/>
      <c r="BT57" s="404"/>
      <c r="BU57" s="404"/>
      <c r="BV57" s="404"/>
      <c r="BW57" s="398"/>
      <c r="BX57" s="398">
        <f t="shared" si="53"/>
        <v>0</v>
      </c>
      <c r="BY57" s="398"/>
      <c r="BZ57" s="404"/>
      <c r="CA57" s="404"/>
      <c r="CB57" s="404"/>
      <c r="CC57" s="398"/>
      <c r="CD57" s="398">
        <f t="shared" si="54"/>
        <v>0</v>
      </c>
      <c r="CE57" s="398"/>
      <c r="CF57" s="404"/>
      <c r="CG57" s="404"/>
      <c r="CH57" s="404"/>
      <c r="CI57" s="398"/>
      <c r="CJ57" s="398">
        <f t="shared" si="55"/>
        <v>0</v>
      </c>
      <c r="CK57" s="398"/>
      <c r="CL57" s="404"/>
      <c r="CM57" s="404"/>
      <c r="CN57" s="404"/>
      <c r="CO57" s="398"/>
      <c r="CP57" s="398">
        <f t="shared" si="56"/>
        <v>0</v>
      </c>
      <c r="CQ57" s="398"/>
      <c r="CR57" s="404"/>
      <c r="CS57" s="404"/>
      <c r="CT57" s="404"/>
      <c r="CU57" s="398"/>
      <c r="CV57" s="398">
        <f t="shared" si="57"/>
        <v>0</v>
      </c>
      <c r="CW57" s="398"/>
      <c r="CX57" s="404"/>
      <c r="CY57" s="404"/>
      <c r="CZ57" s="404"/>
      <c r="DA57" s="398"/>
      <c r="DB57" s="398">
        <f t="shared" si="58"/>
        <v>0</v>
      </c>
      <c r="DC57" s="398"/>
      <c r="DD57" s="404"/>
      <c r="DE57" s="404"/>
      <c r="DF57" s="404"/>
      <c r="DG57" s="398"/>
      <c r="DH57" s="398">
        <f t="shared" si="59"/>
        <v>0</v>
      </c>
      <c r="DI57" s="398"/>
      <c r="DJ57" s="404"/>
      <c r="DK57" s="404"/>
      <c r="DL57" s="404"/>
      <c r="DM57" s="398"/>
      <c r="DN57" s="398">
        <f t="shared" si="60"/>
        <v>0</v>
      </c>
      <c r="DO57" s="398"/>
      <c r="DP57" s="404"/>
      <c r="DQ57" s="404"/>
      <c r="DR57" s="404"/>
      <c r="DS57" s="398"/>
      <c r="DT57" s="398">
        <f t="shared" si="61"/>
        <v>0</v>
      </c>
      <c r="DU57" s="398"/>
      <c r="DV57" s="404"/>
      <c r="DW57" s="404"/>
      <c r="DX57" s="404"/>
      <c r="DY57" s="398"/>
      <c r="DZ57" s="398">
        <f t="shared" si="62"/>
        <v>0</v>
      </c>
      <c r="EA57" s="398"/>
      <c r="EB57" s="404"/>
      <c r="EC57" s="404"/>
      <c r="ED57" s="404"/>
      <c r="EE57" s="398"/>
      <c r="EF57" s="398">
        <f t="shared" si="63"/>
        <v>0</v>
      </c>
      <c r="EG57" s="398"/>
      <c r="EH57" s="404"/>
      <c r="EI57" s="404"/>
      <c r="EJ57" s="404"/>
      <c r="EK57" s="398"/>
      <c r="EL57" s="398">
        <f t="shared" si="64"/>
        <v>0</v>
      </c>
      <c r="EM57" s="398"/>
      <c r="EN57" s="404"/>
      <c r="EO57" s="404"/>
      <c r="EP57" s="404"/>
      <c r="EQ57" s="398"/>
      <c r="ER57" s="398">
        <f t="shared" si="65"/>
        <v>0</v>
      </c>
      <c r="ES57" s="398"/>
      <c r="ET57" s="404"/>
      <c r="EU57" s="404"/>
      <c r="EV57" s="404"/>
      <c r="EW57" s="398"/>
      <c r="EX57" s="398">
        <f t="shared" si="66"/>
        <v>0</v>
      </c>
      <c r="EY57" s="398" t="e">
        <f>VLOOKUP($A57,[2]Devengado!$A$1:$AI$3,35,FALSE)</f>
        <v>#N/A</v>
      </c>
    </row>
    <row r="58" spans="1:155" ht="23.25" hidden="1" customHeight="1">
      <c r="A58" s="341">
        <v>424</v>
      </c>
      <c r="B58" s="442" t="str">
        <f>VLOOKUP($A58,  'Matriz POA 2024-TRABAJO'!$A$5:$CY$9142,11,FALSE)</f>
        <v>Corporación Ciudad Alfaro</v>
      </c>
      <c r="C58" s="442" t="str">
        <f>VLOOKUP($A58, 'Matriz POA 2024-TRABAJO'!$A$5:$CY$9142,14,FALSE)</f>
        <v>N/A</v>
      </c>
      <c r="D58" s="442" t="str">
        <f>VLOOKUP($A58, 'Matriz POA 2024-TRABAJO'!$A$5:$CY$9142,15,FALSE)</f>
        <v>N/A</v>
      </c>
      <c r="E58" s="442" t="str">
        <f>VLOOKUP($A58, 'Matriz POA 2024-TRABAJO'!$A$5:$CY$9142,18,FALSE)</f>
        <v>N/A</v>
      </c>
      <c r="F58" s="442" t="str">
        <f>VLOOKUP($A58, 'Matriz POA 2024-TRABAJO'!$A$5:$CY$9142,23,FALSE)</f>
        <v>NUEVA</v>
      </c>
      <c r="G58" s="443" t="str">
        <f>VLOOKUP($A58, 'Matriz POA 2024-TRABAJO'!$A$5:$CY$9142,24,FALSE)</f>
        <v xml:space="preserve">Aporte Patronal </v>
      </c>
      <c r="H58" s="442" t="str">
        <f>VLOOKUP($A58, 'Matriz POA 2024-TRABAJO'!$A$5:$CY$9142,25,FALSE)</f>
        <v>0035</v>
      </c>
      <c r="I58" s="442" t="str">
        <f>VLOOKUP($A58, 'Matriz POA 2024-TRABAJO'!$A$5:$CY$9142,26,FALSE)</f>
        <v>80</v>
      </c>
      <c r="J58" s="442" t="str">
        <f>VLOOKUP($A58, 'Matriz POA 2024-TRABAJO'!$A$5:$CY$9142,27,FALSE)</f>
        <v>000</v>
      </c>
      <c r="K58" s="444" t="str">
        <f>VLOOKUP($A58, 'Matriz POA 2024-TRABAJO'!$A$5:$CY$9142,28,FALSE)</f>
        <v>002</v>
      </c>
      <c r="L58" s="444" t="str">
        <f>VLOOKUP($A58, 'Matriz POA 2024-TRABAJO'!$A$5:$CY$9142,29,FALSE)</f>
        <v>51</v>
      </c>
      <c r="M58" s="444">
        <f>VLOOKUP($A58, 'Matriz POA 2024-TRABAJO'!$A$5:$CY$9142,30,FALSE)</f>
        <v>510601</v>
      </c>
      <c r="N58" s="444" t="str">
        <f>VLOOKUP($A58, 'Matriz POA 2024-TRABAJO'!$A$5:$CY$9142,33,FALSE)</f>
        <v>001</v>
      </c>
      <c r="O58" s="444" t="str">
        <f>VLOOKUP($A58, 'Matriz POA 2024-TRABAJO'!$A$5:$CY$9142,34,FALSE)</f>
        <v>0000</v>
      </c>
      <c r="P58" s="444" t="str">
        <f>VLOOKUP($A58, 'Matriz POA 2024-TRABAJO'!$A$5:$CY$9142,35,FALSE)</f>
        <v>0000</v>
      </c>
      <c r="Q58" s="445">
        <f>VLOOKUP($A58, 'Matriz POA 2024-TRABAJO'!$A$5:$CY$9142,47,FALSE)</f>
        <v>37997.769999999997</v>
      </c>
      <c r="R58" s="446">
        <f t="shared" si="45"/>
        <v>0</v>
      </c>
      <c r="S58" s="446">
        <f t="shared" si="46"/>
        <v>37446.300000000003</v>
      </c>
      <c r="T58" s="446">
        <f t="shared" si="47"/>
        <v>0</v>
      </c>
      <c r="U58" s="446">
        <f t="shared" si="48"/>
        <v>551.46999999999389</v>
      </c>
      <c r="V58" s="446" t="str">
        <f t="shared" si="49"/>
        <v/>
      </c>
      <c r="W58" s="403"/>
      <c r="X58" s="404"/>
      <c r="Y58" s="404"/>
      <c r="Z58" s="404"/>
      <c r="AA58" s="404">
        <f>3149.96+3149.96+3149.96+3149.96+3149.96+3149.96+3149.96+57.26+3.9+62.98+3033+62.98+62.98+3033+3033+2994.57+424+2628.91</f>
        <v>37446.300000000003</v>
      </c>
      <c r="AB58" s="398">
        <f t="shared" si="41"/>
        <v>0</v>
      </c>
      <c r="AC58" s="403"/>
      <c r="AD58" s="404"/>
      <c r="AE58" s="404"/>
      <c r="AF58" s="404"/>
      <c r="AG58" s="398"/>
      <c r="AH58" s="398">
        <f>IF(AD58="APROBADO",AF58-AG58,0)</f>
        <v>0</v>
      </c>
      <c r="AI58" s="405"/>
      <c r="AJ58" s="404"/>
      <c r="AK58" s="404"/>
      <c r="AL58" s="404"/>
      <c r="AM58" s="398"/>
      <c r="AN58" s="398">
        <f t="shared" si="37"/>
        <v>0</v>
      </c>
      <c r="AO58" s="398"/>
      <c r="AP58" s="404"/>
      <c r="AQ58" s="404"/>
      <c r="AR58" s="404"/>
      <c r="AS58" s="398"/>
      <c r="AT58" s="398">
        <f t="shared" si="38"/>
        <v>0</v>
      </c>
      <c r="AU58" s="398"/>
      <c r="AV58" s="404"/>
      <c r="AW58" s="404"/>
      <c r="AX58" s="404"/>
      <c r="AY58" s="404"/>
      <c r="AZ58" s="398">
        <f t="shared" si="39"/>
        <v>0</v>
      </c>
      <c r="BA58" s="398"/>
      <c r="BB58" s="404"/>
      <c r="BC58" s="404"/>
      <c r="BD58" s="404"/>
      <c r="BE58" s="398"/>
      <c r="BF58" s="398">
        <f t="shared" si="40"/>
        <v>0</v>
      </c>
      <c r="BG58" s="398"/>
      <c r="BH58" s="404"/>
      <c r="BI58" s="404"/>
      <c r="BJ58" s="404"/>
      <c r="BK58" s="398"/>
      <c r="BL58" s="398">
        <f t="shared" si="51"/>
        <v>0</v>
      </c>
      <c r="BM58" s="398"/>
      <c r="BN58" s="404"/>
      <c r="BO58" s="404"/>
      <c r="BP58" s="404"/>
      <c r="BQ58" s="398"/>
      <c r="BR58" s="398">
        <f t="shared" si="52"/>
        <v>0</v>
      </c>
      <c r="BS58" s="398"/>
      <c r="BT58" s="404"/>
      <c r="BU58" s="404"/>
      <c r="BV58" s="404"/>
      <c r="BW58" s="398"/>
      <c r="BX58" s="398">
        <f t="shared" si="53"/>
        <v>0</v>
      </c>
      <c r="BY58" s="398"/>
      <c r="BZ58" s="404"/>
      <c r="CA58" s="404"/>
      <c r="CB58" s="404"/>
      <c r="CC58" s="398"/>
      <c r="CD58" s="398">
        <f t="shared" si="54"/>
        <v>0</v>
      </c>
      <c r="CE58" s="398"/>
      <c r="CF58" s="404"/>
      <c r="CG58" s="404"/>
      <c r="CH58" s="404"/>
      <c r="CI58" s="398"/>
      <c r="CJ58" s="398">
        <f t="shared" si="55"/>
        <v>0</v>
      </c>
      <c r="CK58" s="398"/>
      <c r="CL58" s="404"/>
      <c r="CM58" s="404"/>
      <c r="CN58" s="404"/>
      <c r="CO58" s="398"/>
      <c r="CP58" s="398">
        <f t="shared" si="56"/>
        <v>0</v>
      </c>
      <c r="CQ58" s="398"/>
      <c r="CR58" s="404"/>
      <c r="CS58" s="404"/>
      <c r="CT58" s="404"/>
      <c r="CU58" s="398"/>
      <c r="CV58" s="398">
        <f t="shared" si="57"/>
        <v>0</v>
      </c>
      <c r="CW58" s="398"/>
      <c r="CX58" s="404"/>
      <c r="CY58" s="404"/>
      <c r="CZ58" s="404"/>
      <c r="DA58" s="398"/>
      <c r="DB58" s="398">
        <f t="shared" si="58"/>
        <v>0</v>
      </c>
      <c r="DC58" s="398"/>
      <c r="DD58" s="404"/>
      <c r="DE58" s="404"/>
      <c r="DF58" s="404"/>
      <c r="DG58" s="398"/>
      <c r="DH58" s="398">
        <f t="shared" si="59"/>
        <v>0</v>
      </c>
      <c r="DI58" s="398"/>
      <c r="DJ58" s="404"/>
      <c r="DK58" s="404"/>
      <c r="DL58" s="404"/>
      <c r="DM58" s="398"/>
      <c r="DN58" s="398">
        <f t="shared" si="60"/>
        <v>0</v>
      </c>
      <c r="DO58" s="398"/>
      <c r="DP58" s="404"/>
      <c r="DQ58" s="404"/>
      <c r="DR58" s="404"/>
      <c r="DS58" s="398"/>
      <c r="DT58" s="398">
        <f t="shared" si="61"/>
        <v>0</v>
      </c>
      <c r="DU58" s="398"/>
      <c r="DV58" s="404"/>
      <c r="DW58" s="404"/>
      <c r="DX58" s="404"/>
      <c r="DY58" s="398"/>
      <c r="DZ58" s="398">
        <f t="shared" si="62"/>
        <v>0</v>
      </c>
      <c r="EA58" s="398"/>
      <c r="EB58" s="404"/>
      <c r="EC58" s="404"/>
      <c r="ED58" s="404"/>
      <c r="EE58" s="398"/>
      <c r="EF58" s="398">
        <f t="shared" si="63"/>
        <v>0</v>
      </c>
      <c r="EG58" s="398"/>
      <c r="EH58" s="404"/>
      <c r="EI58" s="404"/>
      <c r="EJ58" s="404"/>
      <c r="EK58" s="398"/>
      <c r="EL58" s="398">
        <f t="shared" si="64"/>
        <v>0</v>
      </c>
      <c r="EM58" s="398"/>
      <c r="EN58" s="404"/>
      <c r="EO58" s="404"/>
      <c r="EP58" s="404"/>
      <c r="EQ58" s="398"/>
      <c r="ER58" s="398">
        <f t="shared" si="65"/>
        <v>0</v>
      </c>
      <c r="ES58" s="398"/>
      <c r="ET58" s="404"/>
      <c r="EU58" s="404"/>
      <c r="EV58" s="404"/>
      <c r="EW58" s="398"/>
      <c r="EX58" s="398">
        <f t="shared" si="66"/>
        <v>0</v>
      </c>
      <c r="EY58" s="398" t="e">
        <f>VLOOKUP($A58,[2]Devengado!$A$1:$AI$3,35,FALSE)</f>
        <v>#N/A</v>
      </c>
    </row>
    <row r="59" spans="1:155" ht="23.25" hidden="1" customHeight="1">
      <c r="A59" s="341">
        <v>472</v>
      </c>
      <c r="B59" s="442" t="str">
        <f>VLOOKUP($A59,  'Matriz POA 2024-TRABAJO'!$A$5:$CY$9142,11,FALSE)</f>
        <v>Corporación Ciudad Alfaro</v>
      </c>
      <c r="C59" s="442" t="str">
        <f>VLOOKUP($A59, 'Matriz POA 2024-TRABAJO'!$A$5:$CY$9142,14,FALSE)</f>
        <v>N/A</v>
      </c>
      <c r="D59" s="442" t="str">
        <f>VLOOKUP($A59, 'Matriz POA 2024-TRABAJO'!$A$5:$CY$9142,15,FALSE)</f>
        <v>N/A</v>
      </c>
      <c r="E59" s="442" t="str">
        <f>VLOOKUP($A59, 'Matriz POA 2024-TRABAJO'!$A$5:$CY$9142,18,FALSE)</f>
        <v>N/A</v>
      </c>
      <c r="F59" s="442" t="str">
        <f>VLOOKUP($A59, 'Matriz POA 2024-TRABAJO'!$A$5:$CY$9142,23,FALSE)</f>
        <v>NUEVA</v>
      </c>
      <c r="G59" s="443" t="str">
        <f>VLOOKUP($A59, 'Matriz POA 2024-TRABAJO'!$A$5:$CY$9142,24,FALSE)</f>
        <v>Pago de peaje para los vehículos de la Corporación Ciudad Alfaro</v>
      </c>
      <c r="H59" s="442" t="str">
        <f>VLOOKUP($A59, 'Matriz POA 2024-TRABAJO'!$A$5:$CY$9142,25,FALSE)</f>
        <v>0035</v>
      </c>
      <c r="I59" s="442" t="str">
        <f>VLOOKUP($A59, 'Matriz POA 2024-TRABAJO'!$A$5:$CY$9142,26,FALSE)</f>
        <v>80</v>
      </c>
      <c r="J59" s="442" t="str">
        <f>VLOOKUP($A59, 'Matriz POA 2024-TRABAJO'!$A$5:$CY$9142,27,FALSE)</f>
        <v>000</v>
      </c>
      <c r="K59" s="444" t="str">
        <f>VLOOKUP($A59, 'Matriz POA 2024-TRABAJO'!$A$5:$CY$9142,28,FALSE)</f>
        <v>002</v>
      </c>
      <c r="L59" s="444" t="str">
        <f>VLOOKUP($A59, 'Matriz POA 2024-TRABAJO'!$A$5:$CY$9142,29,FALSE)</f>
        <v>57</v>
      </c>
      <c r="M59" s="444">
        <f>VLOOKUP($A59, 'Matriz POA 2024-TRABAJO'!$A$5:$CY$9142,30,FALSE)</f>
        <v>570102</v>
      </c>
      <c r="N59" s="444" t="str">
        <f>VLOOKUP($A59, 'Matriz POA 2024-TRABAJO'!$A$5:$CY$9142,33,FALSE)</f>
        <v>001</v>
      </c>
      <c r="O59" s="444" t="str">
        <f>VLOOKUP($A59, 'Matriz POA 2024-TRABAJO'!$A$5:$CY$9142,34,FALSE)</f>
        <v>0000</v>
      </c>
      <c r="P59" s="444" t="str">
        <f>VLOOKUP($A59, 'Matriz POA 2024-TRABAJO'!$A$5:$CY$9142,35,FALSE)</f>
        <v>0000</v>
      </c>
      <c r="Q59" s="445">
        <f>VLOOKUP($A59, 'Matriz POA 2024-TRABAJO'!$A$5:$CY$9142,47,FALSE)</f>
        <v>447.83000000000004</v>
      </c>
      <c r="R59" s="446">
        <f t="shared" si="45"/>
        <v>447.83000000000004</v>
      </c>
      <c r="S59" s="446">
        <f t="shared" si="46"/>
        <v>447.83000000000004</v>
      </c>
      <c r="T59" s="446">
        <f t="shared" si="47"/>
        <v>0</v>
      </c>
      <c r="U59" s="446">
        <f t="shared" si="48"/>
        <v>0</v>
      </c>
      <c r="V59" s="446" t="str">
        <f t="shared" si="49"/>
        <v>58114</v>
      </c>
      <c r="W59" s="511">
        <v>58</v>
      </c>
      <c r="X59" s="404" t="s">
        <v>1299</v>
      </c>
      <c r="Y59" s="404" t="s">
        <v>1302</v>
      </c>
      <c r="Z59" s="404">
        <v>300</v>
      </c>
      <c r="AA59" s="404">
        <v>300</v>
      </c>
      <c r="AB59" s="398">
        <f t="shared" si="41"/>
        <v>0</v>
      </c>
      <c r="AC59" s="512">
        <v>114</v>
      </c>
      <c r="AD59" s="404" t="s">
        <v>1299</v>
      </c>
      <c r="AE59" s="404" t="s">
        <v>2030</v>
      </c>
      <c r="AF59" s="404">
        <v>147.83000000000001</v>
      </c>
      <c r="AG59" s="398">
        <v>147.83000000000001</v>
      </c>
      <c r="AH59" s="398">
        <f t="shared" ref="AH59" si="80">IF(AD59="APROBADO",AF59-AG59,0)</f>
        <v>0</v>
      </c>
      <c r="AI59" s="405"/>
      <c r="AJ59" s="404"/>
      <c r="AK59" s="404"/>
      <c r="AL59" s="404"/>
      <c r="AM59" s="398"/>
      <c r="AN59" s="398">
        <f t="shared" si="37"/>
        <v>0</v>
      </c>
      <c r="AO59" s="398"/>
      <c r="AP59" s="404"/>
      <c r="AQ59" s="404"/>
      <c r="AR59" s="404"/>
      <c r="AS59" s="398"/>
      <c r="AT59" s="398">
        <f t="shared" si="38"/>
        <v>0</v>
      </c>
      <c r="AU59" s="398"/>
      <c r="AV59" s="404"/>
      <c r="AW59" s="404"/>
      <c r="AX59" s="404"/>
      <c r="AY59" s="404"/>
      <c r="AZ59" s="398">
        <f t="shared" si="39"/>
        <v>0</v>
      </c>
      <c r="BA59" s="398"/>
      <c r="BB59" s="404"/>
      <c r="BC59" s="404"/>
      <c r="BD59" s="404"/>
      <c r="BE59" s="398"/>
      <c r="BF59" s="398">
        <f t="shared" si="40"/>
        <v>0</v>
      </c>
      <c r="BG59" s="398"/>
      <c r="BH59" s="404"/>
      <c r="BI59" s="404"/>
      <c r="BJ59" s="404"/>
      <c r="BK59" s="398"/>
      <c r="BL59" s="398">
        <f t="shared" si="51"/>
        <v>0</v>
      </c>
      <c r="BM59" s="398"/>
      <c r="BN59" s="404"/>
      <c r="BO59" s="404"/>
      <c r="BP59" s="404"/>
      <c r="BQ59" s="398"/>
      <c r="BR59" s="398">
        <f t="shared" si="52"/>
        <v>0</v>
      </c>
      <c r="BS59" s="398"/>
      <c r="BT59" s="404"/>
      <c r="BU59" s="404"/>
      <c r="BV59" s="404"/>
      <c r="BW59" s="398"/>
      <c r="BX59" s="398">
        <f t="shared" si="53"/>
        <v>0</v>
      </c>
      <c r="BY59" s="398"/>
      <c r="BZ59" s="404"/>
      <c r="CA59" s="404"/>
      <c r="CB59" s="404"/>
      <c r="CC59" s="398"/>
      <c r="CD59" s="398">
        <f t="shared" si="54"/>
        <v>0</v>
      </c>
      <c r="CE59" s="398"/>
      <c r="CF59" s="404"/>
      <c r="CG59" s="404"/>
      <c r="CH59" s="404"/>
      <c r="CI59" s="398"/>
      <c r="CJ59" s="398">
        <f t="shared" si="55"/>
        <v>0</v>
      </c>
      <c r="CK59" s="398"/>
      <c r="CL59" s="404"/>
      <c r="CM59" s="404"/>
      <c r="CN59" s="404"/>
      <c r="CO59" s="398"/>
      <c r="CP59" s="398">
        <f t="shared" si="56"/>
        <v>0</v>
      </c>
      <c r="CQ59" s="398"/>
      <c r="CR59" s="404"/>
      <c r="CS59" s="404"/>
      <c r="CT59" s="404"/>
      <c r="CU59" s="398"/>
      <c r="CV59" s="398">
        <f t="shared" si="57"/>
        <v>0</v>
      </c>
      <c r="CW59" s="398"/>
      <c r="CX59" s="404"/>
      <c r="CY59" s="404"/>
      <c r="CZ59" s="404"/>
      <c r="DA59" s="398"/>
      <c r="DB59" s="398">
        <f t="shared" si="58"/>
        <v>0</v>
      </c>
      <c r="DC59" s="398"/>
      <c r="DD59" s="404"/>
      <c r="DE59" s="404"/>
      <c r="DF59" s="404"/>
      <c r="DG59" s="398"/>
      <c r="DH59" s="398">
        <f t="shared" si="59"/>
        <v>0</v>
      </c>
      <c r="DI59" s="398"/>
      <c r="DJ59" s="404"/>
      <c r="DK59" s="404"/>
      <c r="DL59" s="404"/>
      <c r="DM59" s="398"/>
      <c r="DN59" s="398">
        <f t="shared" si="60"/>
        <v>0</v>
      </c>
      <c r="DO59" s="398"/>
      <c r="DP59" s="404"/>
      <c r="DQ59" s="404"/>
      <c r="DR59" s="404"/>
      <c r="DS59" s="398"/>
      <c r="DT59" s="398">
        <f t="shared" si="61"/>
        <v>0</v>
      </c>
      <c r="DU59" s="398"/>
      <c r="DV59" s="404"/>
      <c r="DW59" s="404"/>
      <c r="DX59" s="404"/>
      <c r="DY59" s="398"/>
      <c r="DZ59" s="398">
        <f t="shared" si="62"/>
        <v>0</v>
      </c>
      <c r="EA59" s="398"/>
      <c r="EB59" s="404"/>
      <c r="EC59" s="404"/>
      <c r="ED59" s="404"/>
      <c r="EE59" s="398"/>
      <c r="EF59" s="398">
        <f t="shared" si="63"/>
        <v>0</v>
      </c>
      <c r="EG59" s="398"/>
      <c r="EH59" s="404"/>
      <c r="EI59" s="404"/>
      <c r="EJ59" s="404"/>
      <c r="EK59" s="398"/>
      <c r="EL59" s="398">
        <f t="shared" si="64"/>
        <v>0</v>
      </c>
      <c r="EM59" s="398"/>
      <c r="EN59" s="404"/>
      <c r="EO59" s="404"/>
      <c r="EP59" s="404"/>
      <c r="EQ59" s="398"/>
      <c r="ER59" s="398">
        <f t="shared" si="65"/>
        <v>0</v>
      </c>
      <c r="ES59" s="398"/>
      <c r="ET59" s="404"/>
      <c r="EU59" s="404"/>
      <c r="EV59" s="404"/>
      <c r="EW59" s="398"/>
      <c r="EX59" s="398">
        <f t="shared" si="66"/>
        <v>0</v>
      </c>
      <c r="EY59" s="398" t="e">
        <f>VLOOKUP($A59,[2]Devengado!$A$1:$AI$3,35,FALSE)</f>
        <v>#N/A</v>
      </c>
    </row>
    <row r="60" spans="1:155" ht="23.25" hidden="1" customHeight="1">
      <c r="A60" s="341">
        <v>474</v>
      </c>
      <c r="B60" s="442" t="str">
        <f>VLOOKUP($A60,  'Matriz POA 2024-TRABAJO'!$A$5:$CY$9142,11,FALSE)</f>
        <v>Corporación Ciudad Alfaro</v>
      </c>
      <c r="C60" s="442" t="str">
        <f>VLOOKUP($A60, 'Matriz POA 2024-TRABAJO'!$A$5:$CY$9142,14,FALSE)</f>
        <v>N/A</v>
      </c>
      <c r="D60" s="442" t="str">
        <f>VLOOKUP($A60, 'Matriz POA 2024-TRABAJO'!$A$5:$CY$9142,15,FALSE)</f>
        <v>N/A</v>
      </c>
      <c r="E60" s="442" t="str">
        <f>VLOOKUP($A60, 'Matriz POA 2024-TRABAJO'!$A$5:$CY$9142,18,FALSE)</f>
        <v>N/A</v>
      </c>
      <c r="F60" s="442" t="str">
        <f>VLOOKUP($A60, 'Matriz POA 2024-TRABAJO'!$A$5:$CY$9142,23,FALSE)</f>
        <v>NUEVA</v>
      </c>
      <c r="G60" s="443" t="str">
        <f>VLOOKUP($A60, 'Matriz POA 2024-TRABAJO'!$A$5:$CY$9142,24,FALSE)</f>
        <v>Reintegro Por Renovación de Certificado digital</v>
      </c>
      <c r="H60" s="442" t="str">
        <f>VLOOKUP($A60, 'Matriz POA 2024-TRABAJO'!$A$5:$CY$9142,25,FALSE)</f>
        <v>0035</v>
      </c>
      <c r="I60" s="442" t="str">
        <f>VLOOKUP($A60, 'Matriz POA 2024-TRABAJO'!$A$5:$CY$9142,26,FALSE)</f>
        <v>80</v>
      </c>
      <c r="J60" s="442" t="str">
        <f>VLOOKUP($A60, 'Matriz POA 2024-TRABAJO'!$A$5:$CY$9142,27,FALSE)</f>
        <v>000</v>
      </c>
      <c r="K60" s="444" t="str">
        <f>VLOOKUP($A60, 'Matriz POA 2024-TRABAJO'!$A$5:$CY$9142,28,FALSE)</f>
        <v>002</v>
      </c>
      <c r="L60" s="444" t="str">
        <f>VLOOKUP($A60, 'Matriz POA 2024-TRABAJO'!$A$5:$CY$9142,29,FALSE)</f>
        <v>53</v>
      </c>
      <c r="M60" s="444">
        <f>VLOOKUP($A60, 'Matriz POA 2024-TRABAJO'!$A$5:$CY$9142,30,FALSE)</f>
        <v>530228</v>
      </c>
      <c r="N60" s="444" t="str">
        <f>VLOOKUP($A60, 'Matriz POA 2024-TRABAJO'!$A$5:$CY$9142,33,FALSE)</f>
        <v>001</v>
      </c>
      <c r="O60" s="444" t="str">
        <f>VLOOKUP($A60, 'Matriz POA 2024-TRABAJO'!$A$5:$CY$9142,34,FALSE)</f>
        <v>0000</v>
      </c>
      <c r="P60" s="444" t="str">
        <f>VLOOKUP($A60, 'Matriz POA 2024-TRABAJO'!$A$5:$CY$9142,35,FALSE)</f>
        <v>0000</v>
      </c>
      <c r="Q60" s="445">
        <f>VLOOKUP($A60, 'Matriz POA 2024-TRABAJO'!$A$5:$CY$9142,47,FALSE)</f>
        <v>20.16</v>
      </c>
      <c r="R60" s="446">
        <f t="shared" si="45"/>
        <v>0</v>
      </c>
      <c r="S60" s="446">
        <f t="shared" si="46"/>
        <v>20.16</v>
      </c>
      <c r="T60" s="446">
        <f t="shared" si="47"/>
        <v>0</v>
      </c>
      <c r="U60" s="446">
        <f t="shared" si="48"/>
        <v>0</v>
      </c>
      <c r="V60" s="446" t="str">
        <f t="shared" si="49"/>
        <v>60</v>
      </c>
      <c r="W60" s="511">
        <v>60</v>
      </c>
      <c r="X60" s="404" t="s">
        <v>1303</v>
      </c>
      <c r="Y60" s="404" t="s">
        <v>1302</v>
      </c>
      <c r="Z60" s="404">
        <f>30-30</f>
        <v>0</v>
      </c>
      <c r="AA60" s="404">
        <f>30-9.84</f>
        <v>20.16</v>
      </c>
      <c r="AB60" s="398">
        <f t="shared" si="41"/>
        <v>0</v>
      </c>
      <c r="AC60" s="403"/>
      <c r="AD60" s="404"/>
      <c r="AE60" s="404"/>
      <c r="AF60" s="404"/>
      <c r="AG60" s="398"/>
      <c r="AH60" s="398">
        <f>IF(AD60="APROBADO",AF60-AG60,0)</f>
        <v>0</v>
      </c>
      <c r="AI60" s="405"/>
      <c r="AJ60" s="404"/>
      <c r="AK60" s="404"/>
      <c r="AL60" s="404"/>
      <c r="AM60" s="398"/>
      <c r="AN60" s="398">
        <f t="shared" si="37"/>
        <v>0</v>
      </c>
      <c r="AO60" s="398"/>
      <c r="AP60" s="404"/>
      <c r="AQ60" s="404"/>
      <c r="AR60" s="404"/>
      <c r="AS60" s="398"/>
      <c r="AT60" s="398">
        <f t="shared" si="38"/>
        <v>0</v>
      </c>
      <c r="AU60" s="398"/>
      <c r="AV60" s="404"/>
      <c r="AW60" s="404"/>
      <c r="AX60" s="404"/>
      <c r="AY60" s="404"/>
      <c r="AZ60" s="398">
        <f t="shared" si="39"/>
        <v>0</v>
      </c>
      <c r="BA60" s="398"/>
      <c r="BB60" s="404"/>
      <c r="BC60" s="404"/>
      <c r="BD60" s="404"/>
      <c r="BE60" s="398"/>
      <c r="BF60" s="398">
        <f t="shared" si="40"/>
        <v>0</v>
      </c>
      <c r="BG60" s="398"/>
      <c r="BH60" s="404"/>
      <c r="BI60" s="404"/>
      <c r="BJ60" s="404"/>
      <c r="BK60" s="398"/>
      <c r="BL60" s="398">
        <f t="shared" si="51"/>
        <v>0</v>
      </c>
      <c r="BM60" s="398"/>
      <c r="BN60" s="404"/>
      <c r="BO60" s="404"/>
      <c r="BP60" s="404"/>
      <c r="BQ60" s="398"/>
      <c r="BR60" s="398">
        <f t="shared" si="52"/>
        <v>0</v>
      </c>
      <c r="BS60" s="398"/>
      <c r="BT60" s="404"/>
      <c r="BU60" s="404"/>
      <c r="BV60" s="404"/>
      <c r="BW60" s="398"/>
      <c r="BX60" s="398">
        <f t="shared" si="53"/>
        <v>0</v>
      </c>
      <c r="BY60" s="398"/>
      <c r="BZ60" s="404"/>
      <c r="CA60" s="404"/>
      <c r="CB60" s="404"/>
      <c r="CC60" s="398"/>
      <c r="CD60" s="398">
        <f t="shared" si="54"/>
        <v>0</v>
      </c>
      <c r="CE60" s="398"/>
      <c r="CF60" s="404"/>
      <c r="CG60" s="404"/>
      <c r="CH60" s="404"/>
      <c r="CI60" s="398"/>
      <c r="CJ60" s="398">
        <f t="shared" si="55"/>
        <v>0</v>
      </c>
      <c r="CK60" s="398"/>
      <c r="CL60" s="404"/>
      <c r="CM60" s="404"/>
      <c r="CN60" s="404"/>
      <c r="CO60" s="398"/>
      <c r="CP60" s="398">
        <f t="shared" si="56"/>
        <v>0</v>
      </c>
      <c r="CQ60" s="398"/>
      <c r="CR60" s="404"/>
      <c r="CS60" s="404"/>
      <c r="CT60" s="404"/>
      <c r="CU60" s="398"/>
      <c r="CV60" s="398">
        <f t="shared" si="57"/>
        <v>0</v>
      </c>
      <c r="CW60" s="398"/>
      <c r="CX60" s="404"/>
      <c r="CY60" s="404"/>
      <c r="CZ60" s="404"/>
      <c r="DA60" s="398"/>
      <c r="DB60" s="398">
        <f t="shared" si="58"/>
        <v>0</v>
      </c>
      <c r="DC60" s="398"/>
      <c r="DD60" s="404"/>
      <c r="DE60" s="404"/>
      <c r="DF60" s="404"/>
      <c r="DG60" s="398"/>
      <c r="DH60" s="398">
        <f t="shared" si="59"/>
        <v>0</v>
      </c>
      <c r="DI60" s="398"/>
      <c r="DJ60" s="404"/>
      <c r="DK60" s="404"/>
      <c r="DL60" s="404"/>
      <c r="DM60" s="398"/>
      <c r="DN60" s="398">
        <f t="shared" si="60"/>
        <v>0</v>
      </c>
      <c r="DO60" s="398"/>
      <c r="DP60" s="404"/>
      <c r="DQ60" s="404"/>
      <c r="DR60" s="404"/>
      <c r="DS60" s="398"/>
      <c r="DT60" s="398">
        <f t="shared" si="61"/>
        <v>0</v>
      </c>
      <c r="DU60" s="398"/>
      <c r="DV60" s="404"/>
      <c r="DW60" s="404"/>
      <c r="DX60" s="404"/>
      <c r="DY60" s="398"/>
      <c r="DZ60" s="398">
        <f t="shared" si="62"/>
        <v>0</v>
      </c>
      <c r="EA60" s="398"/>
      <c r="EB60" s="404"/>
      <c r="EC60" s="404"/>
      <c r="ED60" s="404"/>
      <c r="EE60" s="398"/>
      <c r="EF60" s="398">
        <f t="shared" si="63"/>
        <v>0</v>
      </c>
      <c r="EG60" s="398"/>
      <c r="EH60" s="404"/>
      <c r="EI60" s="404"/>
      <c r="EJ60" s="404"/>
      <c r="EK60" s="398"/>
      <c r="EL60" s="398">
        <f t="shared" si="64"/>
        <v>0</v>
      </c>
      <c r="EM60" s="398"/>
      <c r="EN60" s="404"/>
      <c r="EO60" s="404"/>
      <c r="EP60" s="404"/>
      <c r="EQ60" s="398"/>
      <c r="ER60" s="398">
        <f t="shared" si="65"/>
        <v>0</v>
      </c>
      <c r="ES60" s="398"/>
      <c r="ET60" s="404"/>
      <c r="EU60" s="404"/>
      <c r="EV60" s="404"/>
      <c r="EW60" s="398"/>
      <c r="EX60" s="398">
        <f t="shared" si="66"/>
        <v>0</v>
      </c>
      <c r="EY60" s="398" t="e">
        <f>VLOOKUP($A60,[2]Devengado!$A$1:$AI$3,35,FALSE)</f>
        <v>#N/A</v>
      </c>
    </row>
    <row r="61" spans="1:155" ht="23.25" hidden="1" customHeight="1">
      <c r="A61" s="341">
        <v>819</v>
      </c>
      <c r="B61" s="442" t="str">
        <f>VLOOKUP($A61,  'Matriz POA 2024-TRABAJO'!$A$5:$CY$9142,11,FALSE)</f>
        <v>Corporación Ciudad Alfaro</v>
      </c>
      <c r="C61" s="442" t="str">
        <f>VLOOKUP($A61, 'Matriz POA 2024-TRABAJO'!$A$5:$CY$9142,14,FALSE)</f>
        <v>N/A</v>
      </c>
      <c r="D61" s="442" t="str">
        <f>VLOOKUP($A61, 'Matriz POA 2024-TRABAJO'!$A$5:$CY$9142,15,FALSE)</f>
        <v>N/A</v>
      </c>
      <c r="E61" s="442" t="str">
        <f>VLOOKUP($A61, 'Matriz POA 2024-TRABAJO'!$A$5:$CY$9142,18,FALSE)</f>
        <v>N/A</v>
      </c>
      <c r="F61" s="442" t="str">
        <f>VLOOKUP($A61, 'Matriz POA 2024-TRABAJO'!$A$5:$CY$9142,23,FALSE)</f>
        <v>NUEVA</v>
      </c>
      <c r="G61" s="443" t="str">
        <f>VLOOKUP($A61, 'Matriz POA 2024-TRABAJO'!$A$5:$CY$9142,24,FALSE)</f>
        <v>Contratación del servicio de mantenimiento correctivo de los tableros de distribución eléctrica TDE de los equipos de climatización en el museo centro cultural manta</v>
      </c>
      <c r="H61" s="442" t="str">
        <f>VLOOKUP($A61, 'Matriz POA 2024-TRABAJO'!$A$5:$CY$9142,25,FALSE)</f>
        <v>0035</v>
      </c>
      <c r="I61" s="442" t="str">
        <f>VLOOKUP($A61, 'Matriz POA 2024-TRABAJO'!$A$5:$CY$9142,26,FALSE)</f>
        <v>80</v>
      </c>
      <c r="J61" s="442" t="str">
        <f>VLOOKUP($A61, 'Matriz POA 2024-TRABAJO'!$A$5:$CY$9142,27,FALSE)</f>
        <v>000</v>
      </c>
      <c r="K61" s="444" t="str">
        <f>VLOOKUP($A61, 'Matriz POA 2024-TRABAJO'!$A$5:$CY$9142,28,FALSE)</f>
        <v>002</v>
      </c>
      <c r="L61" s="444" t="str">
        <f>VLOOKUP($A61, 'Matriz POA 2024-TRABAJO'!$A$5:$CY$9142,29,FALSE)</f>
        <v>53</v>
      </c>
      <c r="M61" s="444">
        <f>VLOOKUP($A61, 'Matriz POA 2024-TRABAJO'!$A$5:$CY$9142,30,FALSE)</f>
        <v>530402</v>
      </c>
      <c r="N61" s="444" t="str">
        <f>VLOOKUP($A61, 'Matriz POA 2024-TRABAJO'!$A$5:$CY$9142,33,FALSE)</f>
        <v>001</v>
      </c>
      <c r="O61" s="444" t="str">
        <f>VLOOKUP($A61, 'Matriz POA 2024-TRABAJO'!$A$5:$CY$9142,34,FALSE)</f>
        <v>0000</v>
      </c>
      <c r="P61" s="444" t="str">
        <f>VLOOKUP($A61, 'Matriz POA 2024-TRABAJO'!$A$5:$CY$9142,35,FALSE)</f>
        <v>0000</v>
      </c>
      <c r="Q61" s="445">
        <f>VLOOKUP($A61, 'Matriz POA 2024-TRABAJO'!$A$5:$CY$9142,47,FALSE)</f>
        <v>4830</v>
      </c>
      <c r="R61" s="446">
        <f t="shared" si="45"/>
        <v>0</v>
      </c>
      <c r="S61" s="446">
        <f t="shared" si="46"/>
        <v>4830</v>
      </c>
      <c r="T61" s="446">
        <f t="shared" si="47"/>
        <v>0</v>
      </c>
      <c r="U61" s="446">
        <f t="shared" si="48"/>
        <v>0</v>
      </c>
      <c r="V61" s="446" t="str">
        <f t="shared" si="49"/>
        <v>61</v>
      </c>
      <c r="W61" s="511">
        <v>61</v>
      </c>
      <c r="X61" s="404" t="s">
        <v>1303</v>
      </c>
      <c r="Y61" s="404" t="s">
        <v>1304</v>
      </c>
      <c r="Z61" s="404">
        <f>5000-5000</f>
        <v>0</v>
      </c>
      <c r="AA61" s="404">
        <f>5000-170</f>
        <v>4830</v>
      </c>
      <c r="AB61" s="398">
        <f t="shared" si="41"/>
        <v>0</v>
      </c>
      <c r="AC61" s="405"/>
      <c r="AD61" s="404"/>
      <c r="AE61" s="404"/>
      <c r="AF61" s="404"/>
      <c r="AG61" s="398"/>
      <c r="AH61" s="398">
        <f t="shared" ref="AH61" si="81">IF(AD61="APROBADO",AF61-AG61,0)</f>
        <v>0</v>
      </c>
      <c r="AI61" s="405"/>
      <c r="AJ61" s="404"/>
      <c r="AK61" s="404"/>
      <c r="AL61" s="404"/>
      <c r="AM61" s="398"/>
      <c r="AN61" s="398">
        <f t="shared" si="37"/>
        <v>0</v>
      </c>
      <c r="AO61" s="398"/>
      <c r="AP61" s="404"/>
      <c r="AQ61" s="404"/>
      <c r="AR61" s="404"/>
      <c r="AS61" s="398"/>
      <c r="AT61" s="398">
        <f t="shared" si="38"/>
        <v>0</v>
      </c>
      <c r="AU61" s="398"/>
      <c r="AV61" s="404"/>
      <c r="AW61" s="404"/>
      <c r="AX61" s="404"/>
      <c r="AY61" s="404"/>
      <c r="AZ61" s="398">
        <f t="shared" si="39"/>
        <v>0</v>
      </c>
      <c r="BA61" s="398"/>
      <c r="BB61" s="404"/>
      <c r="BC61" s="404"/>
      <c r="BD61" s="404"/>
      <c r="BE61" s="398"/>
      <c r="BF61" s="398">
        <f t="shared" si="40"/>
        <v>0</v>
      </c>
      <c r="BG61" s="398"/>
      <c r="BH61" s="404"/>
      <c r="BI61" s="404"/>
      <c r="BJ61" s="404"/>
      <c r="BK61" s="398"/>
      <c r="BL61" s="398">
        <f t="shared" si="51"/>
        <v>0</v>
      </c>
      <c r="BM61" s="398"/>
      <c r="BN61" s="404"/>
      <c r="BO61" s="404"/>
      <c r="BP61" s="404"/>
      <c r="BQ61" s="398"/>
      <c r="BR61" s="398">
        <f t="shared" si="52"/>
        <v>0</v>
      </c>
      <c r="BS61" s="398"/>
      <c r="BT61" s="404"/>
      <c r="BU61" s="404"/>
      <c r="BV61" s="404"/>
      <c r="BW61" s="398"/>
      <c r="BX61" s="398">
        <f t="shared" si="53"/>
        <v>0</v>
      </c>
      <c r="BY61" s="398"/>
      <c r="BZ61" s="404"/>
      <c r="CA61" s="404"/>
      <c r="CB61" s="404"/>
      <c r="CC61" s="398"/>
      <c r="CD61" s="398">
        <f t="shared" si="54"/>
        <v>0</v>
      </c>
      <c r="CE61" s="398"/>
      <c r="CF61" s="404"/>
      <c r="CG61" s="404"/>
      <c r="CH61" s="404"/>
      <c r="CI61" s="398"/>
      <c r="CJ61" s="398">
        <f t="shared" si="55"/>
        <v>0</v>
      </c>
      <c r="CK61" s="398"/>
      <c r="CL61" s="404"/>
      <c r="CM61" s="404"/>
      <c r="CN61" s="404"/>
      <c r="CO61" s="398"/>
      <c r="CP61" s="398">
        <f t="shared" si="56"/>
        <v>0</v>
      </c>
      <c r="CQ61" s="398"/>
      <c r="CR61" s="404"/>
      <c r="CS61" s="404"/>
      <c r="CT61" s="404"/>
      <c r="CU61" s="398"/>
      <c r="CV61" s="398">
        <f t="shared" si="57"/>
        <v>0</v>
      </c>
      <c r="CW61" s="398"/>
      <c r="CX61" s="404"/>
      <c r="CY61" s="404"/>
      <c r="CZ61" s="404"/>
      <c r="DA61" s="398"/>
      <c r="DB61" s="398">
        <f t="shared" si="58"/>
        <v>0</v>
      </c>
      <c r="DC61" s="398"/>
      <c r="DD61" s="404"/>
      <c r="DE61" s="404"/>
      <c r="DF61" s="404"/>
      <c r="DG61" s="398"/>
      <c r="DH61" s="398">
        <f t="shared" si="59"/>
        <v>0</v>
      </c>
      <c r="DI61" s="398"/>
      <c r="DJ61" s="404"/>
      <c r="DK61" s="404"/>
      <c r="DL61" s="404"/>
      <c r="DM61" s="398"/>
      <c r="DN61" s="398">
        <f t="shared" si="60"/>
        <v>0</v>
      </c>
      <c r="DO61" s="398"/>
      <c r="DP61" s="404"/>
      <c r="DQ61" s="404"/>
      <c r="DR61" s="404"/>
      <c r="DS61" s="398"/>
      <c r="DT61" s="398">
        <f t="shared" si="61"/>
        <v>0</v>
      </c>
      <c r="DU61" s="398"/>
      <c r="DV61" s="404"/>
      <c r="DW61" s="404"/>
      <c r="DX61" s="404"/>
      <c r="DY61" s="398"/>
      <c r="DZ61" s="398">
        <f t="shared" si="62"/>
        <v>0</v>
      </c>
      <c r="EA61" s="398"/>
      <c r="EB61" s="404"/>
      <c r="EC61" s="404"/>
      <c r="ED61" s="404"/>
      <c r="EE61" s="398"/>
      <c r="EF61" s="398">
        <f t="shared" si="63"/>
        <v>0</v>
      </c>
      <c r="EG61" s="398"/>
      <c r="EH61" s="404"/>
      <c r="EI61" s="404"/>
      <c r="EJ61" s="404"/>
      <c r="EK61" s="398"/>
      <c r="EL61" s="398">
        <f t="shared" si="64"/>
        <v>0</v>
      </c>
      <c r="EM61" s="398"/>
      <c r="EN61" s="404"/>
      <c r="EO61" s="404"/>
      <c r="EP61" s="404"/>
      <c r="EQ61" s="398"/>
      <c r="ER61" s="398">
        <f t="shared" si="65"/>
        <v>0</v>
      </c>
      <c r="ES61" s="398"/>
      <c r="ET61" s="404"/>
      <c r="EU61" s="404"/>
      <c r="EV61" s="404"/>
      <c r="EW61" s="398"/>
      <c r="EX61" s="398">
        <f t="shared" si="66"/>
        <v>0</v>
      </c>
      <c r="EY61" s="398" t="e">
        <f>VLOOKUP($A61,[2]Devengado!$A$1:$AI$3,35,FALSE)</f>
        <v>#N/A</v>
      </c>
    </row>
    <row r="62" spans="1:155" ht="23.25" hidden="1" customHeight="1">
      <c r="A62" s="341">
        <v>849</v>
      </c>
      <c r="B62" s="442" t="str">
        <f>VLOOKUP($A62,  'Matriz POA 2024-TRABAJO'!$A$5:$CY$9142,11,FALSE)</f>
        <v>Corporación Ciudad Alfaro</v>
      </c>
      <c r="C62" s="442" t="str">
        <f>VLOOKUP($A62, 'Matriz POA 2024-TRABAJO'!$A$5:$CY$9142,14,FALSE)</f>
        <v>N/A</v>
      </c>
      <c r="D62" s="442" t="str">
        <f>VLOOKUP($A62, 'Matriz POA 2024-TRABAJO'!$A$5:$CY$9142,15,FALSE)</f>
        <v>N/A</v>
      </c>
      <c r="E62" s="442" t="str">
        <f>VLOOKUP($A62, 'Matriz POA 2024-TRABAJO'!$A$5:$CY$9142,18,FALSE)</f>
        <v>N/A</v>
      </c>
      <c r="F62" s="442" t="str">
        <f>VLOOKUP($A62, 'Matriz POA 2024-TRABAJO'!$A$5:$CY$9142,23,FALSE)</f>
        <v>NUEVA</v>
      </c>
      <c r="G62" s="443" t="str">
        <f>VLOOKUP($A62, 'Matriz POA 2024-TRABAJO'!$A$5:$CY$9142,24,FALSE)</f>
        <v>Instalación del sistema de detección contra incendio automatizado para planta baja, mezzanine y 1er piso del Museo Bahía de Caráquez.</v>
      </c>
      <c r="H62" s="442" t="str">
        <f>VLOOKUP($A62, 'Matriz POA 2024-TRABAJO'!$A$5:$CY$9142,25,FALSE)</f>
        <v>0035</v>
      </c>
      <c r="I62" s="442" t="str">
        <f>VLOOKUP($A62, 'Matriz POA 2024-TRABAJO'!$A$5:$CY$9142,26,FALSE)</f>
        <v>80</v>
      </c>
      <c r="J62" s="442" t="str">
        <f>VLOOKUP($A62, 'Matriz POA 2024-TRABAJO'!$A$5:$CY$9142,27,FALSE)</f>
        <v>000</v>
      </c>
      <c r="K62" s="444" t="str">
        <f>VLOOKUP($A62, 'Matriz POA 2024-TRABAJO'!$A$5:$CY$9142,28,FALSE)</f>
        <v>002</v>
      </c>
      <c r="L62" s="444" t="str">
        <f>VLOOKUP($A62, 'Matriz POA 2024-TRABAJO'!$A$5:$CY$9142,29,FALSE)</f>
        <v>53</v>
      </c>
      <c r="M62" s="444">
        <f>VLOOKUP($A62, 'Matriz POA 2024-TRABAJO'!$A$5:$CY$9142,30,FALSE)</f>
        <v>530402</v>
      </c>
      <c r="N62" s="444" t="str">
        <f>VLOOKUP($A62, 'Matriz POA 2024-TRABAJO'!$A$5:$CY$9142,33,FALSE)</f>
        <v>001</v>
      </c>
      <c r="O62" s="444" t="str">
        <f>VLOOKUP($A62, 'Matriz POA 2024-TRABAJO'!$A$5:$CY$9142,34,FALSE)</f>
        <v>0000</v>
      </c>
      <c r="P62" s="444" t="str">
        <f>VLOOKUP($A62, 'Matriz POA 2024-TRABAJO'!$A$5:$CY$9142,35,FALSE)</f>
        <v>0000</v>
      </c>
      <c r="Q62" s="445">
        <f>VLOOKUP($A62, 'Matriz POA 2024-TRABAJO'!$A$5:$CY$9142,47,FALSE)</f>
        <v>0</v>
      </c>
      <c r="R62" s="446">
        <f t="shared" si="45"/>
        <v>0</v>
      </c>
      <c r="S62" s="446">
        <f t="shared" si="46"/>
        <v>0</v>
      </c>
      <c r="T62" s="446">
        <f t="shared" si="47"/>
        <v>0</v>
      </c>
      <c r="U62" s="446">
        <f t="shared" si="48"/>
        <v>0</v>
      </c>
      <c r="V62" s="446" t="str">
        <f t="shared" si="49"/>
        <v>63</v>
      </c>
      <c r="W62" s="511">
        <v>63</v>
      </c>
      <c r="X62" s="404" t="s">
        <v>1305</v>
      </c>
      <c r="Y62" s="404" t="s">
        <v>1861</v>
      </c>
      <c r="Z62" s="404">
        <f>8600-8600</f>
        <v>0</v>
      </c>
      <c r="AA62" s="404">
        <f>8600-8600</f>
        <v>0</v>
      </c>
      <c r="AB62" s="398">
        <f t="shared" si="41"/>
        <v>0</v>
      </c>
      <c r="AC62" s="403"/>
      <c r="AD62" s="404"/>
      <c r="AE62" s="404"/>
      <c r="AF62" s="404"/>
      <c r="AG62" s="398"/>
      <c r="AH62" s="398">
        <f>IF(AD62="APROBADO",AF62-AG62,0)</f>
        <v>0</v>
      </c>
      <c r="AI62" s="405"/>
      <c r="AJ62" s="404"/>
      <c r="AK62" s="404"/>
      <c r="AL62" s="404"/>
      <c r="AM62" s="398"/>
      <c r="AN62" s="398">
        <f t="shared" si="37"/>
        <v>0</v>
      </c>
      <c r="AO62" s="398"/>
      <c r="AP62" s="404"/>
      <c r="AQ62" s="404"/>
      <c r="AR62" s="404"/>
      <c r="AS62" s="398"/>
      <c r="AT62" s="398">
        <f t="shared" si="38"/>
        <v>0</v>
      </c>
      <c r="AU62" s="398"/>
      <c r="AV62" s="404"/>
      <c r="AW62" s="404"/>
      <c r="AX62" s="404"/>
      <c r="AY62" s="404"/>
      <c r="AZ62" s="398">
        <f t="shared" si="39"/>
        <v>0</v>
      </c>
      <c r="BA62" s="398"/>
      <c r="BB62" s="404"/>
      <c r="BC62" s="404"/>
      <c r="BD62" s="404"/>
      <c r="BE62" s="398"/>
      <c r="BF62" s="398">
        <f t="shared" si="40"/>
        <v>0</v>
      </c>
      <c r="BG62" s="398"/>
      <c r="BH62" s="404"/>
      <c r="BI62" s="404"/>
      <c r="BJ62" s="404"/>
      <c r="BK62" s="398"/>
      <c r="BL62" s="398">
        <f t="shared" si="51"/>
        <v>0</v>
      </c>
      <c r="BM62" s="398"/>
      <c r="BN62" s="404"/>
      <c r="BO62" s="404"/>
      <c r="BP62" s="404"/>
      <c r="BQ62" s="398"/>
      <c r="BR62" s="398">
        <f t="shared" si="52"/>
        <v>0</v>
      </c>
      <c r="BS62" s="398"/>
      <c r="BT62" s="404"/>
      <c r="BU62" s="404"/>
      <c r="BV62" s="404"/>
      <c r="BW62" s="398"/>
      <c r="BX62" s="398">
        <f t="shared" si="53"/>
        <v>0</v>
      </c>
      <c r="BY62" s="398"/>
      <c r="BZ62" s="404"/>
      <c r="CA62" s="404"/>
      <c r="CB62" s="404"/>
      <c r="CC62" s="398"/>
      <c r="CD62" s="398">
        <f t="shared" si="54"/>
        <v>0</v>
      </c>
      <c r="CE62" s="398"/>
      <c r="CF62" s="404"/>
      <c r="CG62" s="404"/>
      <c r="CH62" s="404"/>
      <c r="CI62" s="398"/>
      <c r="CJ62" s="398">
        <f t="shared" si="55"/>
        <v>0</v>
      </c>
      <c r="CK62" s="398"/>
      <c r="CL62" s="404"/>
      <c r="CM62" s="404"/>
      <c r="CN62" s="404"/>
      <c r="CO62" s="398"/>
      <c r="CP62" s="398">
        <f t="shared" si="56"/>
        <v>0</v>
      </c>
      <c r="CQ62" s="398"/>
      <c r="CR62" s="404"/>
      <c r="CS62" s="404"/>
      <c r="CT62" s="404"/>
      <c r="CU62" s="398"/>
      <c r="CV62" s="398">
        <f t="shared" si="57"/>
        <v>0</v>
      </c>
      <c r="CW62" s="398"/>
      <c r="CX62" s="404"/>
      <c r="CY62" s="404"/>
      <c r="CZ62" s="404"/>
      <c r="DA62" s="398"/>
      <c r="DB62" s="398">
        <f t="shared" si="58"/>
        <v>0</v>
      </c>
      <c r="DC62" s="398"/>
      <c r="DD62" s="404"/>
      <c r="DE62" s="404"/>
      <c r="DF62" s="404"/>
      <c r="DG62" s="398"/>
      <c r="DH62" s="398">
        <f t="shared" si="59"/>
        <v>0</v>
      </c>
      <c r="DI62" s="398"/>
      <c r="DJ62" s="404"/>
      <c r="DK62" s="404"/>
      <c r="DL62" s="404"/>
      <c r="DM62" s="398"/>
      <c r="DN62" s="398">
        <f t="shared" si="60"/>
        <v>0</v>
      </c>
      <c r="DO62" s="398"/>
      <c r="DP62" s="404"/>
      <c r="DQ62" s="404"/>
      <c r="DR62" s="404"/>
      <c r="DS62" s="398"/>
      <c r="DT62" s="398">
        <f t="shared" si="61"/>
        <v>0</v>
      </c>
      <c r="DU62" s="398"/>
      <c r="DV62" s="404"/>
      <c r="DW62" s="404"/>
      <c r="DX62" s="404"/>
      <c r="DY62" s="398"/>
      <c r="DZ62" s="398">
        <f t="shared" si="62"/>
        <v>0</v>
      </c>
      <c r="EA62" s="398"/>
      <c r="EB62" s="404"/>
      <c r="EC62" s="404"/>
      <c r="ED62" s="404"/>
      <c r="EE62" s="398"/>
      <c r="EF62" s="398">
        <f t="shared" si="63"/>
        <v>0</v>
      </c>
      <c r="EG62" s="398"/>
      <c r="EH62" s="404"/>
      <c r="EI62" s="404"/>
      <c r="EJ62" s="404"/>
      <c r="EK62" s="398"/>
      <c r="EL62" s="398">
        <f t="shared" si="64"/>
        <v>0</v>
      </c>
      <c r="EM62" s="398"/>
      <c r="EN62" s="404"/>
      <c r="EO62" s="404"/>
      <c r="EP62" s="404"/>
      <c r="EQ62" s="398"/>
      <c r="ER62" s="398">
        <f t="shared" si="65"/>
        <v>0</v>
      </c>
      <c r="ES62" s="398"/>
      <c r="ET62" s="404"/>
      <c r="EU62" s="404"/>
      <c r="EV62" s="404"/>
      <c r="EW62" s="398"/>
      <c r="EX62" s="398">
        <f t="shared" si="66"/>
        <v>0</v>
      </c>
      <c r="EY62" s="398" t="e">
        <f>VLOOKUP($A62,[2]Devengado!$A$1:$AI$3,35,FALSE)</f>
        <v>#N/A</v>
      </c>
    </row>
    <row r="63" spans="1:155" ht="23.25" hidden="1" customHeight="1">
      <c r="A63" s="341">
        <v>815</v>
      </c>
      <c r="B63" s="442" t="str">
        <f>VLOOKUP($A63,  'Matriz POA 2024-TRABAJO'!$A$5:$CY$9142,11,FALSE)</f>
        <v>Corporación Ciudad Alfaro</v>
      </c>
      <c r="C63" s="442" t="str">
        <f>VLOOKUP($A63, 'Matriz POA 2024-TRABAJO'!$A$5:$CY$9142,14,FALSE)</f>
        <v>N/A</v>
      </c>
      <c r="D63" s="442" t="str">
        <f>VLOOKUP($A63, 'Matriz POA 2024-TRABAJO'!$A$5:$CY$9142,15,FALSE)</f>
        <v>N/A</v>
      </c>
      <c r="E63" s="442" t="str">
        <f>VLOOKUP($A63, 'Matriz POA 2024-TRABAJO'!$A$5:$CY$9142,18,FALSE)</f>
        <v>N/A</v>
      </c>
      <c r="F63" s="442" t="str">
        <f>VLOOKUP($A63, 'Matriz POA 2024-TRABAJO'!$A$5:$CY$9142,23,FALSE)</f>
        <v>NUEVA</v>
      </c>
      <c r="G63" s="443" t="str">
        <f>VLOOKUP($A63, 'Matriz POA 2024-TRABAJO'!$A$5:$CY$9142,24,FALSE)</f>
        <v>Contratación del servicio de mantenimiento y readecuación del museo rodante del Museo Nuclear Corporación Ciudad Alfaro</v>
      </c>
      <c r="H63" s="442" t="str">
        <f>VLOOKUP($A63, 'Matriz POA 2024-TRABAJO'!$A$5:$CY$9142,25,FALSE)</f>
        <v>0035</v>
      </c>
      <c r="I63" s="442" t="str">
        <f>VLOOKUP($A63, 'Matriz POA 2024-TRABAJO'!$A$5:$CY$9142,26,FALSE)</f>
        <v>80</v>
      </c>
      <c r="J63" s="442" t="str">
        <f>VLOOKUP($A63, 'Matriz POA 2024-TRABAJO'!$A$5:$CY$9142,27,FALSE)</f>
        <v>000</v>
      </c>
      <c r="K63" s="444" t="str">
        <f>VLOOKUP($A63, 'Matriz POA 2024-TRABAJO'!$A$5:$CY$9142,28,FALSE)</f>
        <v>002</v>
      </c>
      <c r="L63" s="444" t="str">
        <f>VLOOKUP($A63, 'Matriz POA 2024-TRABAJO'!$A$5:$CY$9142,29,FALSE)</f>
        <v>53</v>
      </c>
      <c r="M63" s="444">
        <f>VLOOKUP($A63, 'Matriz POA 2024-TRABAJO'!$A$5:$CY$9142,30,FALSE)</f>
        <v>530408</v>
      </c>
      <c r="N63" s="444" t="str">
        <f>VLOOKUP($A63, 'Matriz POA 2024-TRABAJO'!$A$5:$CY$9142,33,FALSE)</f>
        <v>001</v>
      </c>
      <c r="O63" s="444" t="str">
        <f>VLOOKUP($A63, 'Matriz POA 2024-TRABAJO'!$A$5:$CY$9142,34,FALSE)</f>
        <v>0000</v>
      </c>
      <c r="P63" s="444" t="str">
        <f>VLOOKUP($A63, 'Matriz POA 2024-TRABAJO'!$A$5:$CY$9142,35,FALSE)</f>
        <v>0000</v>
      </c>
      <c r="Q63" s="445">
        <f>VLOOKUP($A63, 'Matriz POA 2024-TRABAJO'!$A$5:$CY$9142,47,FALSE)</f>
        <v>0</v>
      </c>
      <c r="R63" s="446">
        <f t="shared" si="45"/>
        <v>0</v>
      </c>
      <c r="S63" s="446">
        <f t="shared" si="46"/>
        <v>0</v>
      </c>
      <c r="T63" s="446">
        <f t="shared" si="47"/>
        <v>0</v>
      </c>
      <c r="U63" s="446">
        <f t="shared" si="48"/>
        <v>0</v>
      </c>
      <c r="V63" s="446" t="str">
        <f t="shared" si="49"/>
        <v>64</v>
      </c>
      <c r="W63" s="511">
        <v>64</v>
      </c>
      <c r="X63" s="404" t="s">
        <v>1303</v>
      </c>
      <c r="Y63" s="404" t="s">
        <v>1861</v>
      </c>
      <c r="Z63" s="404">
        <f>5000-5000</f>
        <v>0</v>
      </c>
      <c r="AA63" s="404">
        <f>5000-5000</f>
        <v>0</v>
      </c>
      <c r="AB63" s="398">
        <f t="shared" si="41"/>
        <v>0</v>
      </c>
      <c r="AC63" s="405"/>
      <c r="AD63" s="404"/>
      <c r="AE63" s="404"/>
      <c r="AF63" s="404"/>
      <c r="AG63" s="398"/>
      <c r="AH63" s="398">
        <f t="shared" ref="AH63" si="82">IF(AD63="APROBADO",AF63-AG63,0)</f>
        <v>0</v>
      </c>
      <c r="AI63" s="405"/>
      <c r="AJ63" s="404"/>
      <c r="AK63" s="404"/>
      <c r="AL63" s="404"/>
      <c r="AM63" s="398"/>
      <c r="AN63" s="398">
        <f t="shared" si="37"/>
        <v>0</v>
      </c>
      <c r="AO63" s="398"/>
      <c r="AP63" s="404"/>
      <c r="AQ63" s="404"/>
      <c r="AR63" s="404"/>
      <c r="AS63" s="398"/>
      <c r="AT63" s="398">
        <f t="shared" si="38"/>
        <v>0</v>
      </c>
      <c r="AU63" s="398"/>
      <c r="AV63" s="404"/>
      <c r="AW63" s="404"/>
      <c r="AX63" s="404"/>
      <c r="AY63" s="404"/>
      <c r="AZ63" s="398">
        <f t="shared" si="39"/>
        <v>0</v>
      </c>
      <c r="BA63" s="398"/>
      <c r="BB63" s="404"/>
      <c r="BC63" s="404"/>
      <c r="BD63" s="404"/>
      <c r="BE63" s="398"/>
      <c r="BF63" s="398">
        <f t="shared" si="40"/>
        <v>0</v>
      </c>
      <c r="BG63" s="398"/>
      <c r="BH63" s="404"/>
      <c r="BI63" s="404"/>
      <c r="BJ63" s="404"/>
      <c r="BK63" s="398"/>
      <c r="BL63" s="398">
        <f t="shared" si="51"/>
        <v>0</v>
      </c>
      <c r="BM63" s="398"/>
      <c r="BN63" s="404"/>
      <c r="BO63" s="404"/>
      <c r="BP63" s="404"/>
      <c r="BQ63" s="398"/>
      <c r="BR63" s="398">
        <f t="shared" si="52"/>
        <v>0</v>
      </c>
      <c r="BS63" s="398"/>
      <c r="BT63" s="404"/>
      <c r="BU63" s="404"/>
      <c r="BV63" s="404"/>
      <c r="BW63" s="398"/>
      <c r="BX63" s="398">
        <f t="shared" si="53"/>
        <v>0</v>
      </c>
      <c r="BY63" s="398"/>
      <c r="BZ63" s="404"/>
      <c r="CA63" s="404"/>
      <c r="CB63" s="404"/>
      <c r="CC63" s="398"/>
      <c r="CD63" s="398">
        <f t="shared" si="54"/>
        <v>0</v>
      </c>
      <c r="CE63" s="398"/>
      <c r="CF63" s="404"/>
      <c r="CG63" s="404"/>
      <c r="CH63" s="404"/>
      <c r="CI63" s="398"/>
      <c r="CJ63" s="398">
        <f t="shared" si="55"/>
        <v>0</v>
      </c>
      <c r="CK63" s="398"/>
      <c r="CL63" s="404"/>
      <c r="CM63" s="404"/>
      <c r="CN63" s="404"/>
      <c r="CO63" s="398"/>
      <c r="CP63" s="398">
        <f t="shared" si="56"/>
        <v>0</v>
      </c>
      <c r="CQ63" s="398"/>
      <c r="CR63" s="404"/>
      <c r="CS63" s="404"/>
      <c r="CT63" s="404"/>
      <c r="CU63" s="398"/>
      <c r="CV63" s="398">
        <f t="shared" si="57"/>
        <v>0</v>
      </c>
      <c r="CW63" s="398"/>
      <c r="CX63" s="404"/>
      <c r="CY63" s="404"/>
      <c r="CZ63" s="404"/>
      <c r="DA63" s="398"/>
      <c r="DB63" s="398">
        <f t="shared" si="58"/>
        <v>0</v>
      </c>
      <c r="DC63" s="398"/>
      <c r="DD63" s="404"/>
      <c r="DE63" s="404"/>
      <c r="DF63" s="404"/>
      <c r="DG63" s="398"/>
      <c r="DH63" s="398">
        <f t="shared" si="59"/>
        <v>0</v>
      </c>
      <c r="DI63" s="398"/>
      <c r="DJ63" s="404"/>
      <c r="DK63" s="404"/>
      <c r="DL63" s="404"/>
      <c r="DM63" s="398"/>
      <c r="DN63" s="398">
        <f t="shared" si="60"/>
        <v>0</v>
      </c>
      <c r="DO63" s="398"/>
      <c r="DP63" s="404"/>
      <c r="DQ63" s="404"/>
      <c r="DR63" s="404"/>
      <c r="DS63" s="398"/>
      <c r="DT63" s="398">
        <f t="shared" si="61"/>
        <v>0</v>
      </c>
      <c r="DU63" s="398"/>
      <c r="DV63" s="404"/>
      <c r="DW63" s="404"/>
      <c r="DX63" s="404"/>
      <c r="DY63" s="398"/>
      <c r="DZ63" s="398">
        <f t="shared" si="62"/>
        <v>0</v>
      </c>
      <c r="EA63" s="398"/>
      <c r="EB63" s="404"/>
      <c r="EC63" s="404"/>
      <c r="ED63" s="404"/>
      <c r="EE63" s="398"/>
      <c r="EF63" s="398">
        <f t="shared" si="63"/>
        <v>0</v>
      </c>
      <c r="EG63" s="398"/>
      <c r="EH63" s="404"/>
      <c r="EI63" s="404"/>
      <c r="EJ63" s="404"/>
      <c r="EK63" s="398"/>
      <c r="EL63" s="398">
        <f t="shared" si="64"/>
        <v>0</v>
      </c>
      <c r="EM63" s="398"/>
      <c r="EN63" s="404"/>
      <c r="EO63" s="404"/>
      <c r="EP63" s="404"/>
      <c r="EQ63" s="398"/>
      <c r="ER63" s="398">
        <f t="shared" si="65"/>
        <v>0</v>
      </c>
      <c r="ES63" s="398"/>
      <c r="ET63" s="404"/>
      <c r="EU63" s="404"/>
      <c r="EV63" s="404"/>
      <c r="EW63" s="398"/>
      <c r="EX63" s="398">
        <f t="shared" si="66"/>
        <v>0</v>
      </c>
      <c r="EY63" s="398" t="e">
        <f>VLOOKUP($A63,[2]Devengado!$A$1:$AI$3,35,FALSE)</f>
        <v>#N/A</v>
      </c>
    </row>
    <row r="64" spans="1:155" ht="23.25" hidden="1" customHeight="1">
      <c r="A64" s="341">
        <v>489</v>
      </c>
      <c r="B64" s="442" t="str">
        <f>VLOOKUP($A64,  'Matriz POA 2024-TRABAJO'!$A$5:$CY$9142,11,FALSE)</f>
        <v>Corporación Ciudad Alfaro</v>
      </c>
      <c r="C64" s="442" t="str">
        <f>VLOOKUP($A64, 'Matriz POA 2024-TRABAJO'!$A$5:$CY$9142,14,FALSE)</f>
        <v>N/A</v>
      </c>
      <c r="D64" s="442" t="str">
        <f>VLOOKUP($A64, 'Matriz POA 2024-TRABAJO'!$A$5:$CY$9142,15,FALSE)</f>
        <v>N/A</v>
      </c>
      <c r="E64" s="442" t="str">
        <f>VLOOKUP($A64, 'Matriz POA 2024-TRABAJO'!$A$5:$CY$9142,18,FALSE)</f>
        <v>N/A</v>
      </c>
      <c r="F64" s="442" t="str">
        <f>VLOOKUP($A64, 'Matriz POA 2024-TRABAJO'!$A$5:$CY$9142,23,FALSE)</f>
        <v>NUEVA</v>
      </c>
      <c r="G64" s="443" t="str">
        <f>VLOOKUP($A64, 'Matriz POA 2024-TRABAJO'!$A$5:$CY$9142,24,FALSE)</f>
        <v xml:space="preserve">Adquisición de materiales y suministros de conservación y restauración para la Corporación Ciudad Alfaro y sus sedes </v>
      </c>
      <c r="H64" s="442" t="str">
        <f>VLOOKUP($A64, 'Matriz POA 2024-TRABAJO'!$A$5:$CY$9142,25,FALSE)</f>
        <v>0035</v>
      </c>
      <c r="I64" s="442" t="str">
        <f>VLOOKUP($A64, 'Matriz POA 2024-TRABAJO'!$A$5:$CY$9142,26,FALSE)</f>
        <v>80</v>
      </c>
      <c r="J64" s="442" t="str">
        <f>VLOOKUP($A64, 'Matriz POA 2024-TRABAJO'!$A$5:$CY$9142,27,FALSE)</f>
        <v>000</v>
      </c>
      <c r="K64" s="444" t="str">
        <f>VLOOKUP($A64, 'Matriz POA 2024-TRABAJO'!$A$5:$CY$9142,28,FALSE)</f>
        <v>002</v>
      </c>
      <c r="L64" s="444" t="str">
        <f>VLOOKUP($A64, 'Matriz POA 2024-TRABAJO'!$A$5:$CY$9142,29,FALSE)</f>
        <v>53</v>
      </c>
      <c r="M64" s="444">
        <f>VLOOKUP($A64, 'Matriz POA 2024-TRABAJO'!$A$5:$CY$9142,30,FALSE)</f>
        <v>530811</v>
      </c>
      <c r="N64" s="444" t="str">
        <f>VLOOKUP($A64, 'Matriz POA 2024-TRABAJO'!$A$5:$CY$9142,33,FALSE)</f>
        <v>001</v>
      </c>
      <c r="O64" s="444" t="str">
        <f>VLOOKUP($A64, 'Matriz POA 2024-TRABAJO'!$A$5:$CY$9142,34,FALSE)</f>
        <v>0000</v>
      </c>
      <c r="P64" s="444" t="str">
        <f>VLOOKUP($A64, 'Matriz POA 2024-TRABAJO'!$A$5:$CY$9142,35,FALSE)</f>
        <v>0000</v>
      </c>
      <c r="Q64" s="445">
        <f>VLOOKUP($A64, 'Matriz POA 2024-TRABAJO'!$A$5:$CY$9142,47,FALSE)</f>
        <v>0</v>
      </c>
      <c r="R64" s="446">
        <f t="shared" si="45"/>
        <v>0</v>
      </c>
      <c r="S64" s="446">
        <f t="shared" si="46"/>
        <v>0</v>
      </c>
      <c r="T64" s="446">
        <f t="shared" si="47"/>
        <v>0</v>
      </c>
      <c r="U64" s="446">
        <f t="shared" si="48"/>
        <v>0</v>
      </c>
      <c r="V64" s="446" t="str">
        <f t="shared" si="49"/>
        <v>65</v>
      </c>
      <c r="W64" s="511">
        <v>65</v>
      </c>
      <c r="X64" s="404" t="s">
        <v>1303</v>
      </c>
      <c r="Y64" s="404" t="s">
        <v>1861</v>
      </c>
      <c r="Z64" s="404">
        <f>3942.38-3942.38</f>
        <v>0</v>
      </c>
      <c r="AA64" s="404">
        <f>3942.38-3942.38</f>
        <v>0</v>
      </c>
      <c r="AB64" s="398">
        <f t="shared" si="41"/>
        <v>0</v>
      </c>
      <c r="AC64" s="403"/>
      <c r="AD64" s="404"/>
      <c r="AE64" s="404"/>
      <c r="AF64" s="404"/>
      <c r="AG64" s="398"/>
      <c r="AH64" s="398">
        <f>IF(AD64="APROBADO",AF64-AG64,0)</f>
        <v>0</v>
      </c>
      <c r="AI64" s="405"/>
      <c r="AJ64" s="404"/>
      <c r="AK64" s="404"/>
      <c r="AL64" s="404"/>
      <c r="AM64" s="398"/>
      <c r="AN64" s="398">
        <f t="shared" si="37"/>
        <v>0</v>
      </c>
      <c r="AO64" s="398"/>
      <c r="AP64" s="404"/>
      <c r="AQ64" s="404"/>
      <c r="AR64" s="404"/>
      <c r="AS64" s="398"/>
      <c r="AT64" s="398">
        <f t="shared" si="38"/>
        <v>0</v>
      </c>
      <c r="AU64" s="398"/>
      <c r="AV64" s="404"/>
      <c r="AW64" s="404"/>
      <c r="AX64" s="404"/>
      <c r="AY64" s="404"/>
      <c r="AZ64" s="398">
        <f t="shared" si="39"/>
        <v>0</v>
      </c>
      <c r="BA64" s="398"/>
      <c r="BB64" s="404"/>
      <c r="BC64" s="404"/>
      <c r="BD64" s="404"/>
      <c r="BE64" s="398"/>
      <c r="BF64" s="398">
        <f t="shared" si="40"/>
        <v>0</v>
      </c>
      <c r="BG64" s="398"/>
      <c r="BH64" s="404"/>
      <c r="BI64" s="404"/>
      <c r="BJ64" s="404"/>
      <c r="BK64" s="398"/>
      <c r="BL64" s="398">
        <f t="shared" si="51"/>
        <v>0</v>
      </c>
      <c r="BM64" s="398"/>
      <c r="BN64" s="404"/>
      <c r="BO64" s="404"/>
      <c r="BP64" s="404"/>
      <c r="BQ64" s="398"/>
      <c r="BR64" s="398">
        <f t="shared" si="52"/>
        <v>0</v>
      </c>
      <c r="BS64" s="398"/>
      <c r="BT64" s="404"/>
      <c r="BU64" s="404"/>
      <c r="BV64" s="404"/>
      <c r="BW64" s="398"/>
      <c r="BX64" s="398">
        <f t="shared" si="53"/>
        <v>0</v>
      </c>
      <c r="BY64" s="398"/>
      <c r="BZ64" s="404"/>
      <c r="CA64" s="404"/>
      <c r="CB64" s="404"/>
      <c r="CC64" s="398"/>
      <c r="CD64" s="398">
        <f t="shared" si="54"/>
        <v>0</v>
      </c>
      <c r="CE64" s="398"/>
      <c r="CF64" s="404"/>
      <c r="CG64" s="404"/>
      <c r="CH64" s="404"/>
      <c r="CI64" s="398"/>
      <c r="CJ64" s="398">
        <f t="shared" si="55"/>
        <v>0</v>
      </c>
      <c r="CK64" s="398"/>
      <c r="CL64" s="404"/>
      <c r="CM64" s="404"/>
      <c r="CN64" s="404"/>
      <c r="CO64" s="398"/>
      <c r="CP64" s="398">
        <f t="shared" si="56"/>
        <v>0</v>
      </c>
      <c r="CQ64" s="398"/>
      <c r="CR64" s="404"/>
      <c r="CS64" s="404"/>
      <c r="CT64" s="404"/>
      <c r="CU64" s="398"/>
      <c r="CV64" s="398">
        <f t="shared" si="57"/>
        <v>0</v>
      </c>
      <c r="CW64" s="398"/>
      <c r="CX64" s="404"/>
      <c r="CY64" s="404"/>
      <c r="CZ64" s="404"/>
      <c r="DA64" s="398"/>
      <c r="DB64" s="398">
        <f t="shared" si="58"/>
        <v>0</v>
      </c>
      <c r="DC64" s="398"/>
      <c r="DD64" s="404"/>
      <c r="DE64" s="404"/>
      <c r="DF64" s="404"/>
      <c r="DG64" s="398"/>
      <c r="DH64" s="398">
        <f t="shared" si="59"/>
        <v>0</v>
      </c>
      <c r="DI64" s="398"/>
      <c r="DJ64" s="404"/>
      <c r="DK64" s="404"/>
      <c r="DL64" s="404"/>
      <c r="DM64" s="398"/>
      <c r="DN64" s="398">
        <f t="shared" si="60"/>
        <v>0</v>
      </c>
      <c r="DO64" s="398"/>
      <c r="DP64" s="404"/>
      <c r="DQ64" s="404"/>
      <c r="DR64" s="404"/>
      <c r="DS64" s="398"/>
      <c r="DT64" s="398">
        <f t="shared" si="61"/>
        <v>0</v>
      </c>
      <c r="DU64" s="398"/>
      <c r="DV64" s="404"/>
      <c r="DW64" s="404"/>
      <c r="DX64" s="404"/>
      <c r="DY64" s="398"/>
      <c r="DZ64" s="398">
        <f t="shared" si="62"/>
        <v>0</v>
      </c>
      <c r="EA64" s="398"/>
      <c r="EB64" s="404"/>
      <c r="EC64" s="404"/>
      <c r="ED64" s="404"/>
      <c r="EE64" s="398"/>
      <c r="EF64" s="398">
        <f t="shared" si="63"/>
        <v>0</v>
      </c>
      <c r="EG64" s="398"/>
      <c r="EH64" s="404"/>
      <c r="EI64" s="404"/>
      <c r="EJ64" s="404"/>
      <c r="EK64" s="398"/>
      <c r="EL64" s="398">
        <f t="shared" si="64"/>
        <v>0</v>
      </c>
      <c r="EM64" s="398"/>
      <c r="EN64" s="404"/>
      <c r="EO64" s="404"/>
      <c r="EP64" s="404"/>
      <c r="EQ64" s="398"/>
      <c r="ER64" s="398">
        <f t="shared" si="65"/>
        <v>0</v>
      </c>
      <c r="ES64" s="398"/>
      <c r="ET64" s="404"/>
      <c r="EU64" s="404"/>
      <c r="EV64" s="404"/>
      <c r="EW64" s="398"/>
      <c r="EX64" s="398">
        <f t="shared" si="66"/>
        <v>0</v>
      </c>
      <c r="EY64" s="398" t="e">
        <f>VLOOKUP($A64,[2]Devengado!$A$1:$AI$3,35,FALSE)</f>
        <v>#N/A</v>
      </c>
    </row>
    <row r="65" spans="1:155" ht="23.25" hidden="1" customHeight="1">
      <c r="A65" s="341">
        <v>829</v>
      </c>
      <c r="B65" s="442" t="str">
        <f>VLOOKUP($A65,  'Matriz POA 2024-TRABAJO'!$A$5:$CY$9142,11,FALSE)</f>
        <v>Corporación Ciudad Alfaro</v>
      </c>
      <c r="C65" s="442" t="str">
        <f>VLOOKUP($A65, 'Matriz POA 2024-TRABAJO'!$A$5:$CY$9142,14,FALSE)</f>
        <v>N/A</v>
      </c>
      <c r="D65" s="442" t="str">
        <f>VLOOKUP($A65, 'Matriz POA 2024-TRABAJO'!$A$5:$CY$9142,15,FALSE)</f>
        <v>N/A</v>
      </c>
      <c r="E65" s="442" t="str">
        <f>VLOOKUP($A65, 'Matriz POA 2024-TRABAJO'!$A$5:$CY$9142,18,FALSE)</f>
        <v>N/A</v>
      </c>
      <c r="F65" s="442" t="str">
        <f>VLOOKUP($A65, 'Matriz POA 2024-TRABAJO'!$A$5:$CY$9142,23,FALSE)</f>
        <v>NUEVA</v>
      </c>
      <c r="G65" s="443" t="str">
        <f>VLOOKUP($A65, 'Matriz POA 2024-TRABAJO'!$A$5:$CY$9142,24,FALSE)</f>
        <v>Pago del servicio de combustible para los vehículos de la Corporación Ciudad Alfaro de los meses, octubre, noviembre y diciembre del año 2023</v>
      </c>
      <c r="H65" s="442" t="str">
        <f>VLOOKUP($A65, 'Matriz POA 2024-TRABAJO'!$A$5:$CY$9142,25,FALSE)</f>
        <v>0035</v>
      </c>
      <c r="I65" s="442" t="str">
        <f>VLOOKUP($A65, 'Matriz POA 2024-TRABAJO'!$A$5:$CY$9142,26,FALSE)</f>
        <v>80</v>
      </c>
      <c r="J65" s="442" t="str">
        <f>VLOOKUP($A65, 'Matriz POA 2024-TRABAJO'!$A$5:$CY$9142,27,FALSE)</f>
        <v>000</v>
      </c>
      <c r="K65" s="444" t="str">
        <f>VLOOKUP($A65, 'Matriz POA 2024-TRABAJO'!$A$5:$CY$9142,28,FALSE)</f>
        <v>002</v>
      </c>
      <c r="L65" s="444" t="str">
        <f>VLOOKUP($A65, 'Matriz POA 2024-TRABAJO'!$A$5:$CY$9142,29,FALSE)</f>
        <v>99</v>
      </c>
      <c r="M65" s="444">
        <f>VLOOKUP($A65, 'Matriz POA 2024-TRABAJO'!$A$5:$CY$9142,30,FALSE)</f>
        <v>990102</v>
      </c>
      <c r="N65" s="444" t="str">
        <f>VLOOKUP($A65, 'Matriz POA 2024-TRABAJO'!$A$5:$CY$9142,33,FALSE)</f>
        <v>001</v>
      </c>
      <c r="O65" s="444" t="str">
        <f>VLOOKUP($A65, 'Matriz POA 2024-TRABAJO'!$A$5:$CY$9142,34,FALSE)</f>
        <v>0000</v>
      </c>
      <c r="P65" s="444" t="str">
        <f>VLOOKUP($A65, 'Matriz POA 2024-TRABAJO'!$A$5:$CY$9142,35,FALSE)</f>
        <v>0000</v>
      </c>
      <c r="Q65" s="445">
        <f>VLOOKUP($A65, 'Matriz POA 2024-TRABAJO'!$A$5:$CY$9142,47,FALSE)</f>
        <v>0</v>
      </c>
      <c r="R65" s="446">
        <f t="shared" si="45"/>
        <v>0</v>
      </c>
      <c r="S65" s="446">
        <f t="shared" si="46"/>
        <v>0</v>
      </c>
      <c r="T65" s="446">
        <f t="shared" si="47"/>
        <v>0</v>
      </c>
      <c r="U65" s="446">
        <f t="shared" si="48"/>
        <v>0</v>
      </c>
      <c r="V65" s="446" t="str">
        <f t="shared" si="49"/>
        <v>68</v>
      </c>
      <c r="W65" s="511">
        <v>68</v>
      </c>
      <c r="X65" s="404" t="s">
        <v>1305</v>
      </c>
      <c r="Y65" s="404" t="s">
        <v>1861</v>
      </c>
      <c r="Z65" s="404">
        <f>1350-1350</f>
        <v>0</v>
      </c>
      <c r="AA65" s="404">
        <f>1350-1350</f>
        <v>0</v>
      </c>
      <c r="AB65" s="398">
        <f t="shared" si="41"/>
        <v>0</v>
      </c>
      <c r="AC65" s="403"/>
      <c r="AD65" s="404"/>
      <c r="AE65" s="404"/>
      <c r="AF65" s="404"/>
      <c r="AG65" s="398"/>
      <c r="AH65" s="398">
        <f>IF(AD65="APROBADO",AF65-AG65,0)</f>
        <v>0</v>
      </c>
      <c r="AI65" s="405"/>
      <c r="AJ65" s="404"/>
      <c r="AK65" s="404"/>
      <c r="AL65" s="404"/>
      <c r="AM65" s="398"/>
      <c r="AN65" s="398">
        <f t="shared" si="37"/>
        <v>0</v>
      </c>
      <c r="AO65" s="398"/>
      <c r="AP65" s="404"/>
      <c r="AQ65" s="404"/>
      <c r="AR65" s="404"/>
      <c r="AS65" s="398"/>
      <c r="AT65" s="398">
        <f t="shared" si="38"/>
        <v>0</v>
      </c>
      <c r="AU65" s="398"/>
      <c r="AV65" s="404"/>
      <c r="AW65" s="404"/>
      <c r="AX65" s="404"/>
      <c r="AY65" s="404"/>
      <c r="AZ65" s="398">
        <f t="shared" si="39"/>
        <v>0</v>
      </c>
      <c r="BA65" s="398"/>
      <c r="BB65" s="404"/>
      <c r="BC65" s="404"/>
      <c r="BD65" s="404"/>
      <c r="BE65" s="398"/>
      <c r="BF65" s="398">
        <f t="shared" si="40"/>
        <v>0</v>
      </c>
      <c r="BG65" s="398"/>
      <c r="BH65" s="404"/>
      <c r="BI65" s="404"/>
      <c r="BJ65" s="404"/>
      <c r="BK65" s="398"/>
      <c r="BL65" s="398">
        <f t="shared" si="51"/>
        <v>0</v>
      </c>
      <c r="BM65" s="398"/>
      <c r="BN65" s="404"/>
      <c r="BO65" s="404"/>
      <c r="BP65" s="404"/>
      <c r="BQ65" s="398"/>
      <c r="BR65" s="398">
        <f t="shared" si="52"/>
        <v>0</v>
      </c>
      <c r="BS65" s="398"/>
      <c r="BT65" s="404"/>
      <c r="BU65" s="404"/>
      <c r="BV65" s="404"/>
      <c r="BW65" s="398"/>
      <c r="BX65" s="398">
        <f t="shared" si="53"/>
        <v>0</v>
      </c>
      <c r="BY65" s="398"/>
      <c r="BZ65" s="404"/>
      <c r="CA65" s="404"/>
      <c r="CB65" s="404"/>
      <c r="CC65" s="398"/>
      <c r="CD65" s="398">
        <f t="shared" si="54"/>
        <v>0</v>
      </c>
      <c r="CE65" s="398"/>
      <c r="CF65" s="404"/>
      <c r="CG65" s="404"/>
      <c r="CH65" s="404"/>
      <c r="CI65" s="398"/>
      <c r="CJ65" s="398">
        <f t="shared" si="55"/>
        <v>0</v>
      </c>
      <c r="CK65" s="398"/>
      <c r="CL65" s="404"/>
      <c r="CM65" s="404"/>
      <c r="CN65" s="404"/>
      <c r="CO65" s="398"/>
      <c r="CP65" s="398">
        <f t="shared" si="56"/>
        <v>0</v>
      </c>
      <c r="CQ65" s="398"/>
      <c r="CR65" s="404"/>
      <c r="CS65" s="404"/>
      <c r="CT65" s="404"/>
      <c r="CU65" s="398"/>
      <c r="CV65" s="398">
        <f t="shared" si="57"/>
        <v>0</v>
      </c>
      <c r="CW65" s="398"/>
      <c r="CX65" s="404"/>
      <c r="CY65" s="404"/>
      <c r="CZ65" s="404"/>
      <c r="DA65" s="398"/>
      <c r="DB65" s="398">
        <f t="shared" si="58"/>
        <v>0</v>
      </c>
      <c r="DC65" s="398"/>
      <c r="DD65" s="404"/>
      <c r="DE65" s="404"/>
      <c r="DF65" s="404"/>
      <c r="DG65" s="398"/>
      <c r="DH65" s="398">
        <f t="shared" si="59"/>
        <v>0</v>
      </c>
      <c r="DI65" s="398"/>
      <c r="DJ65" s="404"/>
      <c r="DK65" s="404"/>
      <c r="DL65" s="404"/>
      <c r="DM65" s="398"/>
      <c r="DN65" s="398">
        <f t="shared" si="60"/>
        <v>0</v>
      </c>
      <c r="DO65" s="398"/>
      <c r="DP65" s="404"/>
      <c r="DQ65" s="404"/>
      <c r="DR65" s="404"/>
      <c r="DS65" s="398"/>
      <c r="DT65" s="398">
        <f t="shared" si="61"/>
        <v>0</v>
      </c>
      <c r="DU65" s="398"/>
      <c r="DV65" s="404"/>
      <c r="DW65" s="404"/>
      <c r="DX65" s="404"/>
      <c r="DY65" s="398"/>
      <c r="DZ65" s="398">
        <f t="shared" si="62"/>
        <v>0</v>
      </c>
      <c r="EA65" s="398"/>
      <c r="EB65" s="404"/>
      <c r="EC65" s="404"/>
      <c r="ED65" s="404"/>
      <c r="EE65" s="398"/>
      <c r="EF65" s="398">
        <f t="shared" si="63"/>
        <v>0</v>
      </c>
      <c r="EG65" s="398"/>
      <c r="EH65" s="404"/>
      <c r="EI65" s="404"/>
      <c r="EJ65" s="404"/>
      <c r="EK65" s="398"/>
      <c r="EL65" s="398">
        <f t="shared" si="64"/>
        <v>0</v>
      </c>
      <c r="EM65" s="398"/>
      <c r="EN65" s="404"/>
      <c r="EO65" s="404"/>
      <c r="EP65" s="404"/>
      <c r="EQ65" s="398"/>
      <c r="ER65" s="398">
        <f t="shared" si="65"/>
        <v>0</v>
      </c>
      <c r="ES65" s="398"/>
      <c r="ET65" s="404"/>
      <c r="EU65" s="404"/>
      <c r="EV65" s="404"/>
      <c r="EW65" s="398"/>
      <c r="EX65" s="398">
        <f t="shared" si="66"/>
        <v>0</v>
      </c>
      <c r="EY65" s="398" t="e">
        <f>VLOOKUP($A65,[2]Devengado!$A$1:$AI$3,35,FALSE)</f>
        <v>#N/A</v>
      </c>
    </row>
    <row r="66" spans="1:155" ht="23.25" hidden="1" customHeight="1">
      <c r="A66" s="341">
        <v>814</v>
      </c>
      <c r="B66" s="442" t="str">
        <f>VLOOKUP($A66,  'Matriz POA 2024-TRABAJO'!$A$5:$CY$9142,11,FALSE)</f>
        <v>Corporación Ciudad Alfaro</v>
      </c>
      <c r="C66" s="442" t="str">
        <f>VLOOKUP($A66, 'Matriz POA 2024-TRABAJO'!$A$5:$CY$9142,14,FALSE)</f>
        <v>N/A</v>
      </c>
      <c r="D66" s="442" t="str">
        <f>VLOOKUP($A66, 'Matriz POA 2024-TRABAJO'!$A$5:$CY$9142,15,FALSE)</f>
        <v>N/A</v>
      </c>
      <c r="E66" s="442" t="str">
        <f>VLOOKUP($A66, 'Matriz POA 2024-TRABAJO'!$A$5:$CY$9142,18,FALSE)</f>
        <v>N/A</v>
      </c>
      <c r="F66" s="442" t="str">
        <f>VLOOKUP($A66, 'Matriz POA 2024-TRABAJO'!$A$5:$CY$9142,23,FALSE)</f>
        <v>NUEVA</v>
      </c>
      <c r="G66" s="443" t="str">
        <f>VLOOKUP($A66, 'Matriz POA 2024-TRABAJO'!$A$5:$CY$9142,24,FALSE)</f>
        <v>Contratación del servicio de correspondencia Nacional para el Museo Nuclear Corporación Ciudad Alfaro y sus sedes.</v>
      </c>
      <c r="H66" s="442" t="str">
        <f>VLOOKUP($A66, 'Matriz POA 2024-TRABAJO'!$A$5:$CY$9142,25,FALSE)</f>
        <v>0035</v>
      </c>
      <c r="I66" s="442" t="str">
        <f>VLOOKUP($A66, 'Matriz POA 2024-TRABAJO'!$A$5:$CY$9142,26,FALSE)</f>
        <v>80</v>
      </c>
      <c r="J66" s="442" t="str">
        <f>VLOOKUP($A66, 'Matriz POA 2024-TRABAJO'!$A$5:$CY$9142,27,FALSE)</f>
        <v>000</v>
      </c>
      <c r="K66" s="444" t="str">
        <f>VLOOKUP($A66, 'Matriz POA 2024-TRABAJO'!$A$5:$CY$9142,28,FALSE)</f>
        <v>002</v>
      </c>
      <c r="L66" s="444" t="str">
        <f>VLOOKUP($A66, 'Matriz POA 2024-TRABAJO'!$A$5:$CY$9142,29,FALSE)</f>
        <v>53</v>
      </c>
      <c r="M66" s="444">
        <f>VLOOKUP($A66, 'Matriz POA 2024-TRABAJO'!$A$5:$CY$9142,30,FALSE)</f>
        <v>530106</v>
      </c>
      <c r="N66" s="444" t="str">
        <f>VLOOKUP($A66, 'Matriz POA 2024-TRABAJO'!$A$5:$CY$9142,33,FALSE)</f>
        <v>001</v>
      </c>
      <c r="O66" s="444" t="str">
        <f>VLOOKUP($A66, 'Matriz POA 2024-TRABAJO'!$A$5:$CY$9142,34,FALSE)</f>
        <v>0000</v>
      </c>
      <c r="P66" s="444" t="str">
        <f>VLOOKUP($A66, 'Matriz POA 2024-TRABAJO'!$A$5:$CY$9142,35,FALSE)</f>
        <v>0000</v>
      </c>
      <c r="Q66" s="445">
        <f>VLOOKUP($A66, 'Matriz POA 2024-TRABAJO'!$A$5:$CY$9142,47,FALSE)</f>
        <v>0</v>
      </c>
      <c r="R66" s="446">
        <f t="shared" si="45"/>
        <v>0</v>
      </c>
      <c r="S66" s="446">
        <f t="shared" si="46"/>
        <v>0</v>
      </c>
      <c r="T66" s="446">
        <f t="shared" si="47"/>
        <v>0</v>
      </c>
      <c r="U66" s="446">
        <f t="shared" si="48"/>
        <v>0</v>
      </c>
      <c r="V66" s="446" t="str">
        <f t="shared" si="49"/>
        <v>70</v>
      </c>
      <c r="W66" s="511">
        <v>70</v>
      </c>
      <c r="X66" s="404" t="s">
        <v>1305</v>
      </c>
      <c r="Y66" s="404" t="s">
        <v>1861</v>
      </c>
      <c r="Z66" s="404">
        <f>1000-1000</f>
        <v>0</v>
      </c>
      <c r="AA66" s="404">
        <f>1000-1000</f>
        <v>0</v>
      </c>
      <c r="AB66" s="398">
        <f t="shared" si="41"/>
        <v>0</v>
      </c>
      <c r="AC66" s="405"/>
      <c r="AD66" s="404"/>
      <c r="AE66" s="404"/>
      <c r="AF66" s="404"/>
      <c r="AG66" s="398"/>
      <c r="AH66" s="398">
        <f t="shared" ref="AH66" si="83">IF(AD66="APROBADO",AF66-AG66,0)</f>
        <v>0</v>
      </c>
      <c r="AI66" s="405"/>
      <c r="AJ66" s="404"/>
      <c r="AK66" s="404"/>
      <c r="AL66" s="404"/>
      <c r="AM66" s="398"/>
      <c r="AN66" s="398">
        <f t="shared" si="37"/>
        <v>0</v>
      </c>
      <c r="AO66" s="398"/>
      <c r="AP66" s="404"/>
      <c r="AQ66" s="404"/>
      <c r="AR66" s="404"/>
      <c r="AS66" s="398"/>
      <c r="AT66" s="398">
        <f t="shared" si="38"/>
        <v>0</v>
      </c>
      <c r="AU66" s="398"/>
      <c r="AV66" s="404"/>
      <c r="AW66" s="404"/>
      <c r="AX66" s="404"/>
      <c r="AY66" s="404"/>
      <c r="AZ66" s="398">
        <f t="shared" si="39"/>
        <v>0</v>
      </c>
      <c r="BA66" s="398"/>
      <c r="BB66" s="404"/>
      <c r="BC66" s="404"/>
      <c r="BD66" s="404"/>
      <c r="BE66" s="398"/>
      <c r="BF66" s="398">
        <f t="shared" si="40"/>
        <v>0</v>
      </c>
      <c r="BG66" s="398"/>
      <c r="BH66" s="404"/>
      <c r="BI66" s="404"/>
      <c r="BJ66" s="404"/>
      <c r="BK66" s="398"/>
      <c r="BL66" s="398">
        <f t="shared" si="51"/>
        <v>0</v>
      </c>
      <c r="BM66" s="398"/>
      <c r="BN66" s="404"/>
      <c r="BO66" s="404"/>
      <c r="BP66" s="404"/>
      <c r="BQ66" s="398"/>
      <c r="BR66" s="398">
        <f t="shared" si="52"/>
        <v>0</v>
      </c>
      <c r="BS66" s="398"/>
      <c r="BT66" s="404"/>
      <c r="BU66" s="404"/>
      <c r="BV66" s="404"/>
      <c r="BW66" s="398"/>
      <c r="BX66" s="398">
        <f t="shared" si="53"/>
        <v>0</v>
      </c>
      <c r="BY66" s="398"/>
      <c r="BZ66" s="404"/>
      <c r="CA66" s="404"/>
      <c r="CB66" s="404"/>
      <c r="CC66" s="398"/>
      <c r="CD66" s="398">
        <f t="shared" si="54"/>
        <v>0</v>
      </c>
      <c r="CE66" s="398"/>
      <c r="CF66" s="404"/>
      <c r="CG66" s="404"/>
      <c r="CH66" s="404"/>
      <c r="CI66" s="398"/>
      <c r="CJ66" s="398">
        <f t="shared" si="55"/>
        <v>0</v>
      </c>
      <c r="CK66" s="398"/>
      <c r="CL66" s="404"/>
      <c r="CM66" s="404"/>
      <c r="CN66" s="404"/>
      <c r="CO66" s="398"/>
      <c r="CP66" s="398">
        <f t="shared" si="56"/>
        <v>0</v>
      </c>
      <c r="CQ66" s="398"/>
      <c r="CR66" s="404"/>
      <c r="CS66" s="404"/>
      <c r="CT66" s="404"/>
      <c r="CU66" s="398"/>
      <c r="CV66" s="398">
        <f t="shared" si="57"/>
        <v>0</v>
      </c>
      <c r="CW66" s="398"/>
      <c r="CX66" s="404"/>
      <c r="CY66" s="404"/>
      <c r="CZ66" s="404"/>
      <c r="DA66" s="398"/>
      <c r="DB66" s="398">
        <f t="shared" si="58"/>
        <v>0</v>
      </c>
      <c r="DC66" s="398"/>
      <c r="DD66" s="404"/>
      <c r="DE66" s="404"/>
      <c r="DF66" s="404"/>
      <c r="DG66" s="398"/>
      <c r="DH66" s="398">
        <f t="shared" si="59"/>
        <v>0</v>
      </c>
      <c r="DI66" s="398"/>
      <c r="DJ66" s="404"/>
      <c r="DK66" s="404"/>
      <c r="DL66" s="404"/>
      <c r="DM66" s="398"/>
      <c r="DN66" s="398">
        <f t="shared" si="60"/>
        <v>0</v>
      </c>
      <c r="DO66" s="398"/>
      <c r="DP66" s="404"/>
      <c r="DQ66" s="404"/>
      <c r="DR66" s="404"/>
      <c r="DS66" s="398"/>
      <c r="DT66" s="398">
        <f t="shared" si="61"/>
        <v>0</v>
      </c>
      <c r="DU66" s="398"/>
      <c r="DV66" s="404"/>
      <c r="DW66" s="404"/>
      <c r="DX66" s="404"/>
      <c r="DY66" s="398"/>
      <c r="DZ66" s="398">
        <f t="shared" si="62"/>
        <v>0</v>
      </c>
      <c r="EA66" s="398"/>
      <c r="EB66" s="404"/>
      <c r="EC66" s="404"/>
      <c r="ED66" s="404"/>
      <c r="EE66" s="398"/>
      <c r="EF66" s="398">
        <f t="shared" si="63"/>
        <v>0</v>
      </c>
      <c r="EG66" s="398"/>
      <c r="EH66" s="404"/>
      <c r="EI66" s="404"/>
      <c r="EJ66" s="404"/>
      <c r="EK66" s="398"/>
      <c r="EL66" s="398">
        <f t="shared" si="64"/>
        <v>0</v>
      </c>
      <c r="EM66" s="398"/>
      <c r="EN66" s="404"/>
      <c r="EO66" s="404"/>
      <c r="EP66" s="404"/>
      <c r="EQ66" s="398"/>
      <c r="ER66" s="398">
        <f t="shared" si="65"/>
        <v>0</v>
      </c>
      <c r="ES66" s="398"/>
      <c r="ET66" s="404"/>
      <c r="EU66" s="404"/>
      <c r="EV66" s="404"/>
      <c r="EW66" s="398"/>
      <c r="EX66" s="398">
        <f t="shared" si="66"/>
        <v>0</v>
      </c>
      <c r="EY66" s="398" t="e">
        <f>VLOOKUP($A66,[2]Devengado!$A$1:$AI$3,35,FALSE)</f>
        <v>#N/A</v>
      </c>
    </row>
    <row r="67" spans="1:155" ht="23.25" hidden="1" customHeight="1">
      <c r="A67" s="341">
        <v>820</v>
      </c>
      <c r="B67" s="442" t="str">
        <f>VLOOKUP($A67,  'Matriz POA 2024-TRABAJO'!$A$5:$CY$9142,11,FALSE)</f>
        <v>Corporación Ciudad Alfaro</v>
      </c>
      <c r="C67" s="442" t="str">
        <f>VLOOKUP($A67, 'Matriz POA 2024-TRABAJO'!$A$5:$CY$9142,14,FALSE)</f>
        <v>N/A</v>
      </c>
      <c r="D67" s="442" t="str">
        <f>VLOOKUP($A67, 'Matriz POA 2024-TRABAJO'!$A$5:$CY$9142,15,FALSE)</f>
        <v>N/A</v>
      </c>
      <c r="E67" s="442" t="str">
        <f>VLOOKUP($A67, 'Matriz POA 2024-TRABAJO'!$A$5:$CY$9142,18,FALSE)</f>
        <v>N/A</v>
      </c>
      <c r="F67" s="442" t="str">
        <f>VLOOKUP($A67, 'Matriz POA 2024-TRABAJO'!$A$5:$CY$9142,23,FALSE)</f>
        <v>NUEVA</v>
      </c>
      <c r="G67" s="443" t="str">
        <f>VLOOKUP($A67, 'Matriz POA 2024-TRABAJO'!$A$5:$CY$9142,24,FALSE)</f>
        <v>Contratación del servicio de instalación, mantenimiento y reparación del auditorio del Museo Portoviejo y Archivo Histórico</v>
      </c>
      <c r="H67" s="442" t="str">
        <f>VLOOKUP($A67, 'Matriz POA 2024-TRABAJO'!$A$5:$CY$9142,25,FALSE)</f>
        <v>0035</v>
      </c>
      <c r="I67" s="442" t="str">
        <f>VLOOKUP($A67, 'Matriz POA 2024-TRABAJO'!$A$5:$CY$9142,26,FALSE)</f>
        <v>80</v>
      </c>
      <c r="J67" s="442" t="str">
        <f>VLOOKUP($A67, 'Matriz POA 2024-TRABAJO'!$A$5:$CY$9142,27,FALSE)</f>
        <v>000</v>
      </c>
      <c r="K67" s="444" t="str">
        <f>VLOOKUP($A67, 'Matriz POA 2024-TRABAJO'!$A$5:$CY$9142,28,FALSE)</f>
        <v>002</v>
      </c>
      <c r="L67" s="444" t="str">
        <f>VLOOKUP($A67, 'Matriz POA 2024-TRABAJO'!$A$5:$CY$9142,29,FALSE)</f>
        <v>53</v>
      </c>
      <c r="M67" s="444">
        <f>VLOOKUP($A67, 'Matriz POA 2024-TRABAJO'!$A$5:$CY$9142,30,FALSE)</f>
        <v>530403</v>
      </c>
      <c r="N67" s="444" t="str">
        <f>VLOOKUP($A67, 'Matriz POA 2024-TRABAJO'!$A$5:$CY$9142,33,FALSE)</f>
        <v>001</v>
      </c>
      <c r="O67" s="444" t="str">
        <f>VLOOKUP($A67, 'Matriz POA 2024-TRABAJO'!$A$5:$CY$9142,34,FALSE)</f>
        <v>0000</v>
      </c>
      <c r="P67" s="444" t="str">
        <f>VLOOKUP($A67, 'Matriz POA 2024-TRABAJO'!$A$5:$CY$9142,35,FALSE)</f>
        <v>0000</v>
      </c>
      <c r="Q67" s="445">
        <f>VLOOKUP($A67, 'Matriz POA 2024-TRABAJO'!$A$5:$CY$9142,47,FALSE)</f>
        <v>0</v>
      </c>
      <c r="R67" s="446">
        <f t="shared" si="45"/>
        <v>0</v>
      </c>
      <c r="S67" s="446">
        <f t="shared" si="46"/>
        <v>0</v>
      </c>
      <c r="T67" s="446">
        <f t="shared" si="47"/>
        <v>0</v>
      </c>
      <c r="U67" s="446">
        <f t="shared" si="48"/>
        <v>0</v>
      </c>
      <c r="V67" s="446" t="str">
        <f t="shared" si="49"/>
        <v>71</v>
      </c>
      <c r="W67" s="511">
        <v>71</v>
      </c>
      <c r="X67" s="404" t="s">
        <v>1305</v>
      </c>
      <c r="Y67" s="404" t="s">
        <v>1861</v>
      </c>
      <c r="Z67" s="404">
        <f>5000-5000</f>
        <v>0</v>
      </c>
      <c r="AA67" s="404">
        <f>5000-5000</f>
        <v>0</v>
      </c>
      <c r="AB67" s="398">
        <f t="shared" si="41"/>
        <v>0</v>
      </c>
      <c r="AC67" s="403"/>
      <c r="AD67" s="404"/>
      <c r="AE67" s="404"/>
      <c r="AF67" s="404"/>
      <c r="AG67" s="398"/>
      <c r="AH67" s="398">
        <f>IF(AD67="APROBADO",AF67-AG67,0)</f>
        <v>0</v>
      </c>
      <c r="AI67" s="405"/>
      <c r="AJ67" s="404"/>
      <c r="AK67" s="404"/>
      <c r="AL67" s="404"/>
      <c r="AM67" s="398"/>
      <c r="AN67" s="398">
        <f t="shared" si="37"/>
        <v>0</v>
      </c>
      <c r="AO67" s="398"/>
      <c r="AP67" s="404"/>
      <c r="AQ67" s="404"/>
      <c r="AR67" s="404"/>
      <c r="AS67" s="398"/>
      <c r="AT67" s="398">
        <f t="shared" si="38"/>
        <v>0</v>
      </c>
      <c r="AU67" s="398"/>
      <c r="AV67" s="404"/>
      <c r="AW67" s="404"/>
      <c r="AX67" s="404"/>
      <c r="AY67" s="404"/>
      <c r="AZ67" s="398">
        <f t="shared" si="39"/>
        <v>0</v>
      </c>
      <c r="BA67" s="398"/>
      <c r="BB67" s="404"/>
      <c r="BC67" s="404"/>
      <c r="BD67" s="404"/>
      <c r="BE67" s="398"/>
      <c r="BF67" s="398">
        <f t="shared" si="40"/>
        <v>0</v>
      </c>
      <c r="BG67" s="398"/>
      <c r="BH67" s="404"/>
      <c r="BI67" s="404"/>
      <c r="BJ67" s="404"/>
      <c r="BK67" s="398"/>
      <c r="BL67" s="398">
        <f t="shared" si="51"/>
        <v>0</v>
      </c>
      <c r="BM67" s="398"/>
      <c r="BN67" s="404"/>
      <c r="BO67" s="404"/>
      <c r="BP67" s="404"/>
      <c r="BQ67" s="398"/>
      <c r="BR67" s="398">
        <f t="shared" si="52"/>
        <v>0</v>
      </c>
      <c r="BS67" s="398"/>
      <c r="BT67" s="404"/>
      <c r="BU67" s="404"/>
      <c r="BV67" s="404"/>
      <c r="BW67" s="398"/>
      <c r="BX67" s="398">
        <f t="shared" si="53"/>
        <v>0</v>
      </c>
      <c r="BY67" s="398"/>
      <c r="BZ67" s="404"/>
      <c r="CA67" s="404"/>
      <c r="CB67" s="404"/>
      <c r="CC67" s="398"/>
      <c r="CD67" s="398">
        <f t="shared" si="54"/>
        <v>0</v>
      </c>
      <c r="CE67" s="398"/>
      <c r="CF67" s="404"/>
      <c r="CG67" s="404"/>
      <c r="CH67" s="404"/>
      <c r="CI67" s="398"/>
      <c r="CJ67" s="398">
        <f t="shared" si="55"/>
        <v>0</v>
      </c>
      <c r="CK67" s="398"/>
      <c r="CL67" s="404"/>
      <c r="CM67" s="404"/>
      <c r="CN67" s="404"/>
      <c r="CO67" s="398"/>
      <c r="CP67" s="398">
        <f t="shared" si="56"/>
        <v>0</v>
      </c>
      <c r="CQ67" s="398"/>
      <c r="CR67" s="404"/>
      <c r="CS67" s="404"/>
      <c r="CT67" s="404"/>
      <c r="CU67" s="398"/>
      <c r="CV67" s="398">
        <f t="shared" si="57"/>
        <v>0</v>
      </c>
      <c r="CW67" s="398"/>
      <c r="CX67" s="404"/>
      <c r="CY67" s="404"/>
      <c r="CZ67" s="404"/>
      <c r="DA67" s="398"/>
      <c r="DB67" s="398">
        <f t="shared" si="58"/>
        <v>0</v>
      </c>
      <c r="DC67" s="398"/>
      <c r="DD67" s="404"/>
      <c r="DE67" s="404"/>
      <c r="DF67" s="404"/>
      <c r="DG67" s="398"/>
      <c r="DH67" s="398">
        <f t="shared" si="59"/>
        <v>0</v>
      </c>
      <c r="DI67" s="398"/>
      <c r="DJ67" s="404"/>
      <c r="DK67" s="404"/>
      <c r="DL67" s="404"/>
      <c r="DM67" s="398"/>
      <c r="DN67" s="398">
        <f t="shared" si="60"/>
        <v>0</v>
      </c>
      <c r="DO67" s="398"/>
      <c r="DP67" s="404"/>
      <c r="DQ67" s="404"/>
      <c r="DR67" s="404"/>
      <c r="DS67" s="398"/>
      <c r="DT67" s="398">
        <f t="shared" si="61"/>
        <v>0</v>
      </c>
      <c r="DU67" s="398"/>
      <c r="DV67" s="404"/>
      <c r="DW67" s="404"/>
      <c r="DX67" s="404"/>
      <c r="DY67" s="398"/>
      <c r="DZ67" s="398">
        <f t="shared" si="62"/>
        <v>0</v>
      </c>
      <c r="EA67" s="398"/>
      <c r="EB67" s="404"/>
      <c r="EC67" s="404"/>
      <c r="ED67" s="404"/>
      <c r="EE67" s="398"/>
      <c r="EF67" s="398">
        <f t="shared" si="63"/>
        <v>0</v>
      </c>
      <c r="EG67" s="398"/>
      <c r="EH67" s="404"/>
      <c r="EI67" s="404"/>
      <c r="EJ67" s="404"/>
      <c r="EK67" s="398"/>
      <c r="EL67" s="398">
        <f t="shared" si="64"/>
        <v>0</v>
      </c>
      <c r="EM67" s="398"/>
      <c r="EN67" s="404"/>
      <c r="EO67" s="404"/>
      <c r="EP67" s="404"/>
      <c r="EQ67" s="398"/>
      <c r="ER67" s="398">
        <f t="shared" si="65"/>
        <v>0</v>
      </c>
      <c r="ES67" s="398"/>
      <c r="ET67" s="404"/>
      <c r="EU67" s="404"/>
      <c r="EV67" s="404"/>
      <c r="EW67" s="398"/>
      <c r="EX67" s="398">
        <f t="shared" si="66"/>
        <v>0</v>
      </c>
      <c r="EY67" s="398" t="e">
        <f>VLOOKUP($A67,[2]Devengado!$A$1:$AI$3,35,FALSE)</f>
        <v>#N/A</v>
      </c>
    </row>
    <row r="68" spans="1:155" ht="23.25" hidden="1" customHeight="1">
      <c r="A68" s="341">
        <v>427</v>
      </c>
      <c r="B68" s="442" t="str">
        <f>VLOOKUP($A68,  'Matriz POA 2024-TRABAJO'!$A$5:$CY$9142,11,FALSE)</f>
        <v>Corporación Ciudad Alfaro</v>
      </c>
      <c r="C68" s="442" t="str">
        <f>VLOOKUP($A68, 'Matriz POA 2024-TRABAJO'!$A$5:$CY$9142,14,FALSE)</f>
        <v>N/A</v>
      </c>
      <c r="D68" s="442" t="str">
        <f>VLOOKUP($A68, 'Matriz POA 2024-TRABAJO'!$A$5:$CY$9142,15,FALSE)</f>
        <v>N/A</v>
      </c>
      <c r="E68" s="442" t="str">
        <f>VLOOKUP($A68, 'Matriz POA 2024-TRABAJO'!$A$5:$CY$9142,18,FALSE)</f>
        <v>N/A</v>
      </c>
      <c r="F68" s="442" t="str">
        <f>VLOOKUP($A68, 'Matriz POA 2024-TRABAJO'!$A$5:$CY$9142,23,FALSE)</f>
        <v>NUEVA</v>
      </c>
      <c r="G68" s="443" t="str">
        <f>VLOOKUP($A68, 'Matriz POA 2024-TRABAJO'!$A$5:$CY$9142,24,FALSE)</f>
        <v>Pago de servicio de telefonía fija de la Sede Museo y Centro Cultural de Manta</v>
      </c>
      <c r="H68" s="442" t="str">
        <f>VLOOKUP($A68, 'Matriz POA 2024-TRABAJO'!$A$5:$CY$9142,25,FALSE)</f>
        <v>0035</v>
      </c>
      <c r="I68" s="442" t="str">
        <f>VLOOKUP($A68, 'Matriz POA 2024-TRABAJO'!$A$5:$CY$9142,26,FALSE)</f>
        <v>80</v>
      </c>
      <c r="J68" s="442" t="str">
        <f>VLOOKUP($A68, 'Matriz POA 2024-TRABAJO'!$A$5:$CY$9142,27,FALSE)</f>
        <v>000</v>
      </c>
      <c r="K68" s="444" t="str">
        <f>VLOOKUP($A68, 'Matriz POA 2024-TRABAJO'!$A$5:$CY$9142,28,FALSE)</f>
        <v>002</v>
      </c>
      <c r="L68" s="444" t="str">
        <f>VLOOKUP($A68, 'Matriz POA 2024-TRABAJO'!$A$5:$CY$9142,29,FALSE)</f>
        <v>53</v>
      </c>
      <c r="M68" s="444">
        <f>VLOOKUP($A68, 'Matriz POA 2024-TRABAJO'!$A$5:$CY$9142,30,FALSE)</f>
        <v>530105</v>
      </c>
      <c r="N68" s="444" t="str">
        <f>VLOOKUP($A68, 'Matriz POA 2024-TRABAJO'!$A$5:$CY$9142,33,FALSE)</f>
        <v>001</v>
      </c>
      <c r="O68" s="444" t="str">
        <f>VLOOKUP($A68, 'Matriz POA 2024-TRABAJO'!$A$5:$CY$9142,34,FALSE)</f>
        <v>0000</v>
      </c>
      <c r="P68" s="444" t="str">
        <f>VLOOKUP($A68, 'Matriz POA 2024-TRABAJO'!$A$5:$CY$9142,35,FALSE)</f>
        <v>0000</v>
      </c>
      <c r="Q68" s="445">
        <f>VLOOKUP($A68, 'Matriz POA 2024-TRABAJO'!$A$5:$CY$9142,47,FALSE)</f>
        <v>0</v>
      </c>
      <c r="R68" s="446">
        <f t="shared" si="45"/>
        <v>0</v>
      </c>
      <c r="S68" s="446">
        <f t="shared" si="46"/>
        <v>0</v>
      </c>
      <c r="T68" s="446">
        <f t="shared" si="47"/>
        <v>0</v>
      </c>
      <c r="U68" s="446">
        <f t="shared" si="48"/>
        <v>0</v>
      </c>
      <c r="V68" s="446" t="str">
        <f t="shared" si="49"/>
        <v>73</v>
      </c>
      <c r="W68" s="511">
        <v>73</v>
      </c>
      <c r="X68" s="404" t="s">
        <v>1305</v>
      </c>
      <c r="Y68" s="404" t="s">
        <v>1861</v>
      </c>
      <c r="Z68" s="404">
        <f>500-500</f>
        <v>0</v>
      </c>
      <c r="AA68" s="404">
        <f>500-500</f>
        <v>0</v>
      </c>
      <c r="AB68" s="398">
        <f t="shared" si="41"/>
        <v>0</v>
      </c>
      <c r="AC68" s="405"/>
      <c r="AD68" s="404"/>
      <c r="AE68" s="404"/>
      <c r="AF68" s="404"/>
      <c r="AG68" s="398"/>
      <c r="AH68" s="398">
        <f t="shared" ref="AH68" si="84">IF(AD68="APROBADO",AF68-AG68,0)</f>
        <v>0</v>
      </c>
      <c r="AI68" s="405"/>
      <c r="AJ68" s="404"/>
      <c r="AK68" s="404"/>
      <c r="AL68" s="404"/>
      <c r="AM68" s="398"/>
      <c r="AN68" s="398">
        <f t="shared" si="37"/>
        <v>0</v>
      </c>
      <c r="AO68" s="398"/>
      <c r="AP68" s="404"/>
      <c r="AQ68" s="404"/>
      <c r="AR68" s="404"/>
      <c r="AS68" s="398"/>
      <c r="AT68" s="398">
        <f t="shared" si="38"/>
        <v>0</v>
      </c>
      <c r="AU68" s="398"/>
      <c r="AV68" s="404"/>
      <c r="AW68" s="404"/>
      <c r="AX68" s="404"/>
      <c r="AY68" s="404"/>
      <c r="AZ68" s="398">
        <f t="shared" si="39"/>
        <v>0</v>
      </c>
      <c r="BA68" s="398"/>
      <c r="BB68" s="404"/>
      <c r="BC68" s="404"/>
      <c r="BD68" s="404"/>
      <c r="BE68" s="398"/>
      <c r="BF68" s="398">
        <f t="shared" si="40"/>
        <v>0</v>
      </c>
      <c r="BG68" s="398"/>
      <c r="BH68" s="404"/>
      <c r="BI68" s="404"/>
      <c r="BJ68" s="404"/>
      <c r="BK68" s="398"/>
      <c r="BL68" s="398">
        <f t="shared" si="51"/>
        <v>0</v>
      </c>
      <c r="BM68" s="398"/>
      <c r="BN68" s="404"/>
      <c r="BO68" s="404"/>
      <c r="BP68" s="404"/>
      <c r="BQ68" s="398"/>
      <c r="BR68" s="398">
        <f t="shared" si="52"/>
        <v>0</v>
      </c>
      <c r="BS68" s="398"/>
      <c r="BT68" s="404"/>
      <c r="BU68" s="404"/>
      <c r="BV68" s="404"/>
      <c r="BW68" s="398"/>
      <c r="BX68" s="398">
        <f t="shared" si="53"/>
        <v>0</v>
      </c>
      <c r="BY68" s="398"/>
      <c r="BZ68" s="404"/>
      <c r="CA68" s="404"/>
      <c r="CB68" s="404"/>
      <c r="CC68" s="398"/>
      <c r="CD68" s="398">
        <f t="shared" si="54"/>
        <v>0</v>
      </c>
      <c r="CE68" s="398"/>
      <c r="CF68" s="404"/>
      <c r="CG68" s="404"/>
      <c r="CH68" s="404"/>
      <c r="CI68" s="398"/>
      <c r="CJ68" s="398">
        <f t="shared" si="55"/>
        <v>0</v>
      </c>
      <c r="CK68" s="398"/>
      <c r="CL68" s="404"/>
      <c r="CM68" s="404"/>
      <c r="CN68" s="404"/>
      <c r="CO68" s="398"/>
      <c r="CP68" s="398">
        <f t="shared" si="56"/>
        <v>0</v>
      </c>
      <c r="CQ68" s="398"/>
      <c r="CR68" s="404"/>
      <c r="CS68" s="404"/>
      <c r="CT68" s="404"/>
      <c r="CU68" s="398"/>
      <c r="CV68" s="398">
        <f t="shared" si="57"/>
        <v>0</v>
      </c>
      <c r="CW68" s="398"/>
      <c r="CX68" s="404"/>
      <c r="CY68" s="404"/>
      <c r="CZ68" s="404"/>
      <c r="DA68" s="398"/>
      <c r="DB68" s="398">
        <f t="shared" si="58"/>
        <v>0</v>
      </c>
      <c r="DC68" s="398"/>
      <c r="DD68" s="404"/>
      <c r="DE68" s="404"/>
      <c r="DF68" s="404"/>
      <c r="DG68" s="398"/>
      <c r="DH68" s="398">
        <f t="shared" si="59"/>
        <v>0</v>
      </c>
      <c r="DI68" s="398"/>
      <c r="DJ68" s="404"/>
      <c r="DK68" s="404"/>
      <c r="DL68" s="404"/>
      <c r="DM68" s="398"/>
      <c r="DN68" s="398">
        <f t="shared" si="60"/>
        <v>0</v>
      </c>
      <c r="DO68" s="398"/>
      <c r="DP68" s="404"/>
      <c r="DQ68" s="404"/>
      <c r="DR68" s="404"/>
      <c r="DS68" s="398"/>
      <c r="DT68" s="398">
        <f t="shared" si="61"/>
        <v>0</v>
      </c>
      <c r="DU68" s="398"/>
      <c r="DV68" s="404"/>
      <c r="DW68" s="404"/>
      <c r="DX68" s="404"/>
      <c r="DY68" s="398"/>
      <c r="DZ68" s="398">
        <f t="shared" si="62"/>
        <v>0</v>
      </c>
      <c r="EA68" s="398"/>
      <c r="EB68" s="404"/>
      <c r="EC68" s="404"/>
      <c r="ED68" s="404"/>
      <c r="EE68" s="398"/>
      <c r="EF68" s="398">
        <f t="shared" si="63"/>
        <v>0</v>
      </c>
      <c r="EG68" s="398"/>
      <c r="EH68" s="404"/>
      <c r="EI68" s="404"/>
      <c r="EJ68" s="404"/>
      <c r="EK68" s="398"/>
      <c r="EL68" s="398">
        <f t="shared" si="64"/>
        <v>0</v>
      </c>
      <c r="EM68" s="398"/>
      <c r="EN68" s="404"/>
      <c r="EO68" s="404"/>
      <c r="EP68" s="404"/>
      <c r="EQ68" s="398"/>
      <c r="ER68" s="398">
        <f t="shared" si="65"/>
        <v>0</v>
      </c>
      <c r="ES68" s="398"/>
      <c r="ET68" s="404"/>
      <c r="EU68" s="404"/>
      <c r="EV68" s="404"/>
      <c r="EW68" s="398"/>
      <c r="EX68" s="398">
        <f t="shared" si="66"/>
        <v>0</v>
      </c>
      <c r="EY68" s="398" t="e">
        <f>VLOOKUP($A68,[2]Devengado!$A$1:$AI$3,35,FALSE)</f>
        <v>#N/A</v>
      </c>
    </row>
    <row r="69" spans="1:155" ht="23.25" hidden="1" customHeight="1">
      <c r="A69" s="341">
        <v>481</v>
      </c>
      <c r="B69" s="442" t="str">
        <f>VLOOKUP($A69,  'Matriz POA 2024-TRABAJO'!$A$5:$CY$9142,11,FALSE)</f>
        <v>Corporación Ciudad Alfaro</v>
      </c>
      <c r="C69" s="442" t="str">
        <f>VLOOKUP($A69, 'Matriz POA 2024-TRABAJO'!$A$5:$CY$9142,14,FALSE)</f>
        <v>N/A</v>
      </c>
      <c r="D69" s="442" t="str">
        <f>VLOOKUP($A69, 'Matriz POA 2024-TRABAJO'!$A$5:$CY$9142,15,FALSE)</f>
        <v>N/A</v>
      </c>
      <c r="E69" s="442" t="str">
        <f>VLOOKUP($A69, 'Matriz POA 2024-TRABAJO'!$A$5:$CY$9142,18,FALSE)</f>
        <v>N/A</v>
      </c>
      <c r="F69" s="442" t="str">
        <f>VLOOKUP($A69, 'Matriz POA 2024-TRABAJO'!$A$5:$CY$9142,23,FALSE)</f>
        <v>NUEVA</v>
      </c>
      <c r="G69" s="443" t="str">
        <f>VLOOKUP($A69, 'Matriz POA 2024-TRABAJO'!$A$5:$CY$9142,24,FALSE)</f>
        <v>Adquisición de tonners y tintas para las impresoras de la corporación ciudad alfaro y sus sedes</v>
      </c>
      <c r="H69" s="442" t="str">
        <f>VLOOKUP($A69, 'Matriz POA 2024-TRABAJO'!$A$5:$CY$9142,25,FALSE)</f>
        <v>0035</v>
      </c>
      <c r="I69" s="442" t="str">
        <f>VLOOKUP($A69, 'Matriz POA 2024-TRABAJO'!$A$5:$CY$9142,26,FALSE)</f>
        <v>80</v>
      </c>
      <c r="J69" s="442" t="str">
        <f>VLOOKUP($A69, 'Matriz POA 2024-TRABAJO'!$A$5:$CY$9142,27,FALSE)</f>
        <v>000</v>
      </c>
      <c r="K69" s="444" t="str">
        <f>VLOOKUP($A69, 'Matriz POA 2024-TRABAJO'!$A$5:$CY$9142,28,FALSE)</f>
        <v>002</v>
      </c>
      <c r="L69" s="444" t="str">
        <f>VLOOKUP($A69, 'Matriz POA 2024-TRABAJO'!$A$5:$CY$9142,29,FALSE)</f>
        <v>53</v>
      </c>
      <c r="M69" s="444">
        <f>VLOOKUP($A69, 'Matriz POA 2024-TRABAJO'!$A$5:$CY$9142,30,FALSE)</f>
        <v>530807</v>
      </c>
      <c r="N69" s="444" t="str">
        <f>VLOOKUP($A69, 'Matriz POA 2024-TRABAJO'!$A$5:$CY$9142,33,FALSE)</f>
        <v>001</v>
      </c>
      <c r="O69" s="444" t="str">
        <f>VLOOKUP($A69, 'Matriz POA 2024-TRABAJO'!$A$5:$CY$9142,34,FALSE)</f>
        <v>0000</v>
      </c>
      <c r="P69" s="444" t="str">
        <f>VLOOKUP($A69, 'Matriz POA 2024-TRABAJO'!$A$5:$CY$9142,35,FALSE)</f>
        <v>0000</v>
      </c>
      <c r="Q69" s="445">
        <f>VLOOKUP($A69, 'Matriz POA 2024-TRABAJO'!$A$5:$CY$9142,47,FALSE)</f>
        <v>679</v>
      </c>
      <c r="R69" s="446">
        <f t="shared" si="45"/>
        <v>0</v>
      </c>
      <c r="S69" s="446">
        <f t="shared" si="46"/>
        <v>679</v>
      </c>
      <c r="T69" s="446">
        <f t="shared" si="47"/>
        <v>0</v>
      </c>
      <c r="U69" s="446">
        <f t="shared" si="48"/>
        <v>0</v>
      </c>
      <c r="V69" s="446" t="str">
        <f t="shared" si="49"/>
        <v>74</v>
      </c>
      <c r="W69" s="511">
        <v>74</v>
      </c>
      <c r="X69" s="404" t="s">
        <v>1305</v>
      </c>
      <c r="Y69" s="404" t="s">
        <v>1861</v>
      </c>
      <c r="Z69" s="404">
        <f>2000-2000</f>
        <v>0</v>
      </c>
      <c r="AA69" s="404">
        <f>2000-1321</f>
        <v>679</v>
      </c>
      <c r="AB69" s="398">
        <f t="shared" si="41"/>
        <v>0</v>
      </c>
      <c r="AC69" s="403"/>
      <c r="AD69" s="404"/>
      <c r="AE69" s="404"/>
      <c r="AF69" s="404"/>
      <c r="AG69" s="398"/>
      <c r="AH69" s="398">
        <f>IF(AD69="APROBADO",AF69-AG69,0)</f>
        <v>0</v>
      </c>
      <c r="AI69" s="405"/>
      <c r="AJ69" s="404"/>
      <c r="AK69" s="404"/>
      <c r="AL69" s="404"/>
      <c r="AM69" s="398"/>
      <c r="AN69" s="398">
        <f t="shared" si="37"/>
        <v>0</v>
      </c>
      <c r="AO69" s="398"/>
      <c r="AP69" s="404"/>
      <c r="AQ69" s="404"/>
      <c r="AR69" s="404"/>
      <c r="AS69" s="398"/>
      <c r="AT69" s="398">
        <f t="shared" si="38"/>
        <v>0</v>
      </c>
      <c r="AU69" s="398"/>
      <c r="AV69" s="404"/>
      <c r="AW69" s="404"/>
      <c r="AX69" s="404"/>
      <c r="AY69" s="404"/>
      <c r="AZ69" s="398">
        <f t="shared" si="39"/>
        <v>0</v>
      </c>
      <c r="BA69" s="398"/>
      <c r="BB69" s="404"/>
      <c r="BC69" s="404"/>
      <c r="BD69" s="404"/>
      <c r="BE69" s="398"/>
      <c r="BF69" s="398">
        <f t="shared" si="40"/>
        <v>0</v>
      </c>
      <c r="BG69" s="398"/>
      <c r="BH69" s="404"/>
      <c r="BI69" s="404"/>
      <c r="BJ69" s="404"/>
      <c r="BK69" s="398"/>
      <c r="BL69" s="398">
        <f t="shared" si="51"/>
        <v>0</v>
      </c>
      <c r="BM69" s="398"/>
      <c r="BN69" s="404"/>
      <c r="BO69" s="404"/>
      <c r="BP69" s="404"/>
      <c r="BQ69" s="398"/>
      <c r="BR69" s="398">
        <f t="shared" si="52"/>
        <v>0</v>
      </c>
      <c r="BS69" s="398"/>
      <c r="BT69" s="404"/>
      <c r="BU69" s="404"/>
      <c r="BV69" s="404"/>
      <c r="BW69" s="398"/>
      <c r="BX69" s="398">
        <f t="shared" si="53"/>
        <v>0</v>
      </c>
      <c r="BY69" s="398"/>
      <c r="BZ69" s="404"/>
      <c r="CA69" s="404"/>
      <c r="CB69" s="404"/>
      <c r="CC69" s="398"/>
      <c r="CD69" s="398">
        <f t="shared" si="54"/>
        <v>0</v>
      </c>
      <c r="CE69" s="398"/>
      <c r="CF69" s="404"/>
      <c r="CG69" s="404"/>
      <c r="CH69" s="404"/>
      <c r="CI69" s="398"/>
      <c r="CJ69" s="398">
        <f t="shared" si="55"/>
        <v>0</v>
      </c>
      <c r="CK69" s="398"/>
      <c r="CL69" s="404"/>
      <c r="CM69" s="404"/>
      <c r="CN69" s="404"/>
      <c r="CO69" s="398"/>
      <c r="CP69" s="398">
        <f t="shared" si="56"/>
        <v>0</v>
      </c>
      <c r="CQ69" s="398"/>
      <c r="CR69" s="404"/>
      <c r="CS69" s="404"/>
      <c r="CT69" s="404"/>
      <c r="CU69" s="398"/>
      <c r="CV69" s="398">
        <f t="shared" si="57"/>
        <v>0</v>
      </c>
      <c r="CW69" s="398"/>
      <c r="CX69" s="404"/>
      <c r="CY69" s="404"/>
      <c r="CZ69" s="404"/>
      <c r="DA69" s="398"/>
      <c r="DB69" s="398">
        <f t="shared" si="58"/>
        <v>0</v>
      </c>
      <c r="DC69" s="398"/>
      <c r="DD69" s="404"/>
      <c r="DE69" s="404"/>
      <c r="DF69" s="404"/>
      <c r="DG69" s="398"/>
      <c r="DH69" s="398">
        <f t="shared" si="59"/>
        <v>0</v>
      </c>
      <c r="DI69" s="398"/>
      <c r="DJ69" s="404"/>
      <c r="DK69" s="404"/>
      <c r="DL69" s="404"/>
      <c r="DM69" s="398"/>
      <c r="DN69" s="398">
        <f t="shared" si="60"/>
        <v>0</v>
      </c>
      <c r="DO69" s="398"/>
      <c r="DP69" s="404"/>
      <c r="DQ69" s="404"/>
      <c r="DR69" s="404"/>
      <c r="DS69" s="398"/>
      <c r="DT69" s="398">
        <f t="shared" si="61"/>
        <v>0</v>
      </c>
      <c r="DU69" s="398"/>
      <c r="DV69" s="404"/>
      <c r="DW69" s="404"/>
      <c r="DX69" s="404"/>
      <c r="DY69" s="398"/>
      <c r="DZ69" s="398">
        <f t="shared" si="62"/>
        <v>0</v>
      </c>
      <c r="EA69" s="398"/>
      <c r="EB69" s="404"/>
      <c r="EC69" s="404"/>
      <c r="ED69" s="404"/>
      <c r="EE69" s="398"/>
      <c r="EF69" s="398">
        <f t="shared" si="63"/>
        <v>0</v>
      </c>
      <c r="EG69" s="398"/>
      <c r="EH69" s="404"/>
      <c r="EI69" s="404"/>
      <c r="EJ69" s="404"/>
      <c r="EK69" s="398"/>
      <c r="EL69" s="398">
        <f t="shared" si="64"/>
        <v>0</v>
      </c>
      <c r="EM69" s="398"/>
      <c r="EN69" s="404"/>
      <c r="EO69" s="404"/>
      <c r="EP69" s="404"/>
      <c r="EQ69" s="398"/>
      <c r="ER69" s="398">
        <f t="shared" si="65"/>
        <v>0</v>
      </c>
      <c r="ES69" s="398"/>
      <c r="ET69" s="404"/>
      <c r="EU69" s="404"/>
      <c r="EV69" s="404"/>
      <c r="EW69" s="398"/>
      <c r="EX69" s="398">
        <f t="shared" si="66"/>
        <v>0</v>
      </c>
      <c r="EY69" s="398" t="e">
        <f>VLOOKUP($A69,[2]Devengado!$A$1:$AI$3,35,FALSE)</f>
        <v>#N/A</v>
      </c>
    </row>
    <row r="70" spans="1:155" ht="23.25" hidden="1" customHeight="1">
      <c r="A70" s="341">
        <v>818</v>
      </c>
      <c r="B70" s="442" t="str">
        <f>VLOOKUP($A70,  'Matriz POA 2024-TRABAJO'!$A$5:$CY$9142,11,FALSE)</f>
        <v>Corporación Ciudad Alfaro</v>
      </c>
      <c r="C70" s="442" t="str">
        <f>VLOOKUP($A70, 'Matriz POA 2024-TRABAJO'!$A$5:$CY$9142,14,FALSE)</f>
        <v>N/A</v>
      </c>
      <c r="D70" s="442" t="str">
        <f>VLOOKUP($A70, 'Matriz POA 2024-TRABAJO'!$A$5:$CY$9142,15,FALSE)</f>
        <v>N/A</v>
      </c>
      <c r="E70" s="442" t="str">
        <f>VLOOKUP($A70, 'Matriz POA 2024-TRABAJO'!$A$5:$CY$9142,18,FALSE)</f>
        <v>N/A</v>
      </c>
      <c r="F70" s="442" t="str">
        <f>VLOOKUP($A70, 'Matriz POA 2024-TRABAJO'!$A$5:$CY$9142,23,FALSE)</f>
        <v>NUEVA</v>
      </c>
      <c r="G70" s="443" t="str">
        <f>VLOOKUP($A70, 'Matriz POA 2024-TRABAJO'!$A$5:$CY$9142,24,FALSE)</f>
        <v>Servicio de organización, producción y ejecución de los eventos enmarcados en el calendario patrimonial, cultural e histórico, para la difusión y fortalecimiento de la memoria social del Museo Nuclear Corporación Ciudad Alfaro, y sus sedes en Portoviejo, Manta y Bahía de Caráquez.</v>
      </c>
      <c r="H70" s="442" t="str">
        <f>VLOOKUP($A70, 'Matriz POA 2024-TRABAJO'!$A$5:$CY$9142,25,FALSE)</f>
        <v>0035</v>
      </c>
      <c r="I70" s="442" t="str">
        <f>VLOOKUP($A70, 'Matriz POA 2024-TRABAJO'!$A$5:$CY$9142,26,FALSE)</f>
        <v>80</v>
      </c>
      <c r="J70" s="442" t="str">
        <f>VLOOKUP($A70, 'Matriz POA 2024-TRABAJO'!$A$5:$CY$9142,27,FALSE)</f>
        <v>000</v>
      </c>
      <c r="K70" s="444" t="str">
        <f>VLOOKUP($A70, 'Matriz POA 2024-TRABAJO'!$A$5:$CY$9142,28,FALSE)</f>
        <v>002</v>
      </c>
      <c r="L70" s="444" t="str">
        <f>VLOOKUP($A70, 'Matriz POA 2024-TRABAJO'!$A$5:$CY$9142,29,FALSE)</f>
        <v>53</v>
      </c>
      <c r="M70" s="444">
        <f>VLOOKUP($A70, 'Matriz POA 2024-TRABAJO'!$A$5:$CY$9142,30,FALSE)</f>
        <v>530205</v>
      </c>
      <c r="N70" s="444" t="str">
        <f>VLOOKUP($A70, 'Matriz POA 2024-TRABAJO'!$A$5:$CY$9142,33,FALSE)</f>
        <v>001</v>
      </c>
      <c r="O70" s="444" t="str">
        <f>VLOOKUP($A70, 'Matriz POA 2024-TRABAJO'!$A$5:$CY$9142,34,FALSE)</f>
        <v>0000</v>
      </c>
      <c r="P70" s="444" t="str">
        <f>VLOOKUP($A70, 'Matriz POA 2024-TRABAJO'!$A$5:$CY$9142,35,FALSE)</f>
        <v>0000</v>
      </c>
      <c r="Q70" s="445">
        <f>VLOOKUP($A70, 'Matriz POA 2024-TRABAJO'!$A$5:$CY$9142,47,FALSE)</f>
        <v>5991.5</v>
      </c>
      <c r="R70" s="446">
        <f t="shared" si="45"/>
        <v>5991.5</v>
      </c>
      <c r="S70" s="446">
        <f t="shared" si="46"/>
        <v>5990</v>
      </c>
      <c r="T70" s="446">
        <f t="shared" si="47"/>
        <v>1.5</v>
      </c>
      <c r="U70" s="446">
        <f t="shared" si="48"/>
        <v>0</v>
      </c>
      <c r="V70" s="446" t="str">
        <f t="shared" si="49"/>
        <v>75</v>
      </c>
      <c r="W70" s="511">
        <v>75</v>
      </c>
      <c r="X70" s="404" t="s">
        <v>1299</v>
      </c>
      <c r="Y70" s="404" t="s">
        <v>1861</v>
      </c>
      <c r="Z70" s="404">
        <v>5991.5</v>
      </c>
      <c r="AA70" s="404">
        <v>5990</v>
      </c>
      <c r="AB70" s="398">
        <f t="shared" si="41"/>
        <v>1.5</v>
      </c>
      <c r="AC70" s="405"/>
      <c r="AD70" s="404"/>
      <c r="AE70" s="404"/>
      <c r="AF70" s="404"/>
      <c r="AG70" s="398"/>
      <c r="AH70" s="398">
        <f t="shared" ref="AH70" si="85">IF(AD70="APROBADO",AF70-AG70,0)</f>
        <v>0</v>
      </c>
      <c r="AI70" s="405"/>
      <c r="AJ70" s="404"/>
      <c r="AK70" s="404"/>
      <c r="AL70" s="404"/>
      <c r="AM70" s="398"/>
      <c r="AN70" s="398">
        <f t="shared" si="37"/>
        <v>0</v>
      </c>
      <c r="AO70" s="398"/>
      <c r="AP70" s="404"/>
      <c r="AQ70" s="404"/>
      <c r="AR70" s="404"/>
      <c r="AS70" s="398"/>
      <c r="AT70" s="398">
        <f t="shared" si="38"/>
        <v>0</v>
      </c>
      <c r="AU70" s="398"/>
      <c r="AV70" s="404"/>
      <c r="AW70" s="404"/>
      <c r="AX70" s="404"/>
      <c r="AY70" s="404"/>
      <c r="AZ70" s="398">
        <f t="shared" si="39"/>
        <v>0</v>
      </c>
      <c r="BA70" s="398"/>
      <c r="BB70" s="404"/>
      <c r="BC70" s="404"/>
      <c r="BD70" s="404"/>
      <c r="BE70" s="398"/>
      <c r="BF70" s="398">
        <f t="shared" si="40"/>
        <v>0</v>
      </c>
      <c r="BG70" s="398"/>
      <c r="BH70" s="404"/>
      <c r="BI70" s="404"/>
      <c r="BJ70" s="404"/>
      <c r="BK70" s="398"/>
      <c r="BL70" s="398">
        <f t="shared" si="51"/>
        <v>0</v>
      </c>
      <c r="BM70" s="398"/>
      <c r="BN70" s="404"/>
      <c r="BO70" s="404"/>
      <c r="BP70" s="404"/>
      <c r="BQ70" s="398"/>
      <c r="BR70" s="398">
        <f t="shared" si="52"/>
        <v>0</v>
      </c>
      <c r="BS70" s="398"/>
      <c r="BT70" s="404"/>
      <c r="BU70" s="404"/>
      <c r="BV70" s="404"/>
      <c r="BW70" s="398"/>
      <c r="BX70" s="398">
        <f t="shared" si="53"/>
        <v>0</v>
      </c>
      <c r="BY70" s="398"/>
      <c r="BZ70" s="404"/>
      <c r="CA70" s="404"/>
      <c r="CB70" s="404"/>
      <c r="CC70" s="398"/>
      <c r="CD70" s="398">
        <f t="shared" si="54"/>
        <v>0</v>
      </c>
      <c r="CE70" s="398"/>
      <c r="CF70" s="404"/>
      <c r="CG70" s="404"/>
      <c r="CH70" s="404"/>
      <c r="CI70" s="398"/>
      <c r="CJ70" s="398">
        <f t="shared" si="55"/>
        <v>0</v>
      </c>
      <c r="CK70" s="398"/>
      <c r="CL70" s="404"/>
      <c r="CM70" s="404"/>
      <c r="CN70" s="404"/>
      <c r="CO70" s="398"/>
      <c r="CP70" s="398">
        <f t="shared" si="56"/>
        <v>0</v>
      </c>
      <c r="CQ70" s="398"/>
      <c r="CR70" s="404"/>
      <c r="CS70" s="404"/>
      <c r="CT70" s="404"/>
      <c r="CU70" s="398"/>
      <c r="CV70" s="398">
        <f t="shared" si="57"/>
        <v>0</v>
      </c>
      <c r="CW70" s="398"/>
      <c r="CX70" s="404"/>
      <c r="CY70" s="404"/>
      <c r="CZ70" s="404"/>
      <c r="DA70" s="398"/>
      <c r="DB70" s="398">
        <f t="shared" si="58"/>
        <v>0</v>
      </c>
      <c r="DC70" s="398"/>
      <c r="DD70" s="404"/>
      <c r="DE70" s="404"/>
      <c r="DF70" s="404"/>
      <c r="DG70" s="398"/>
      <c r="DH70" s="398">
        <f t="shared" si="59"/>
        <v>0</v>
      </c>
      <c r="DI70" s="398"/>
      <c r="DJ70" s="404"/>
      <c r="DK70" s="404"/>
      <c r="DL70" s="404"/>
      <c r="DM70" s="398"/>
      <c r="DN70" s="398">
        <f t="shared" si="60"/>
        <v>0</v>
      </c>
      <c r="DO70" s="398"/>
      <c r="DP70" s="404"/>
      <c r="DQ70" s="404"/>
      <c r="DR70" s="404"/>
      <c r="DS70" s="398"/>
      <c r="DT70" s="398">
        <f t="shared" si="61"/>
        <v>0</v>
      </c>
      <c r="DU70" s="398"/>
      <c r="DV70" s="404"/>
      <c r="DW70" s="404"/>
      <c r="DX70" s="404"/>
      <c r="DY70" s="398"/>
      <c r="DZ70" s="398">
        <f t="shared" si="62"/>
        <v>0</v>
      </c>
      <c r="EA70" s="398"/>
      <c r="EB70" s="404"/>
      <c r="EC70" s="404"/>
      <c r="ED70" s="404"/>
      <c r="EE70" s="398"/>
      <c r="EF70" s="398">
        <f t="shared" si="63"/>
        <v>0</v>
      </c>
      <c r="EG70" s="398"/>
      <c r="EH70" s="404"/>
      <c r="EI70" s="404"/>
      <c r="EJ70" s="404"/>
      <c r="EK70" s="398"/>
      <c r="EL70" s="398">
        <f t="shared" si="64"/>
        <v>0</v>
      </c>
      <c r="EM70" s="398"/>
      <c r="EN70" s="404"/>
      <c r="EO70" s="404"/>
      <c r="EP70" s="404"/>
      <c r="EQ70" s="398"/>
      <c r="ER70" s="398">
        <f t="shared" si="65"/>
        <v>0</v>
      </c>
      <c r="ES70" s="398"/>
      <c r="ET70" s="404"/>
      <c r="EU70" s="404"/>
      <c r="EV70" s="404"/>
      <c r="EW70" s="398"/>
      <c r="EX70" s="398">
        <f t="shared" si="66"/>
        <v>0</v>
      </c>
      <c r="EY70" s="398" t="e">
        <f>VLOOKUP($A70,[2]Devengado!$A$1:$AI$3,35,FALSE)</f>
        <v>#N/A</v>
      </c>
    </row>
    <row r="71" spans="1:155" ht="23.25" hidden="1" customHeight="1">
      <c r="A71" s="341">
        <v>872</v>
      </c>
      <c r="B71" s="442" t="str">
        <f>VLOOKUP($A71,  'Matriz POA 2024-TRABAJO'!$A$5:$CY$9142,11,FALSE)</f>
        <v>Corporación Ciudad Alfaro</v>
      </c>
      <c r="C71" s="442" t="str">
        <f>VLOOKUP($A71, 'Matriz POA 2024-TRABAJO'!$A$5:$CY$9142,14,FALSE)</f>
        <v>N/A</v>
      </c>
      <c r="D71" s="442" t="str">
        <f>VLOOKUP($A71, 'Matriz POA 2024-TRABAJO'!$A$5:$CY$9142,15,FALSE)</f>
        <v>N/A</v>
      </c>
      <c r="E71" s="442" t="str">
        <f>VLOOKUP($A71, 'Matriz POA 2024-TRABAJO'!$A$5:$CY$9142,18,FALSE)</f>
        <v>N/A</v>
      </c>
      <c r="F71" s="442" t="str">
        <f>VLOOKUP($A71, 'Matriz POA 2024-TRABAJO'!$A$5:$CY$9142,23,FALSE)</f>
        <v>NUEVA</v>
      </c>
      <c r="G71" s="443" t="str">
        <f>VLOOKUP($A71, 'Matriz POA 2024-TRABAJO'!$A$5:$CY$9142,24,FALSE)</f>
        <v xml:space="preserve">Regularización del IVA - año 2023, para conciliación de saldos contables y administrativos </v>
      </c>
      <c r="H71" s="442" t="str">
        <f>VLOOKUP($A71, 'Matriz POA 2024-TRABAJO'!$A$5:$CY$9142,25,FALSE)</f>
        <v>0035</v>
      </c>
      <c r="I71" s="442" t="str">
        <f>VLOOKUP($A71, 'Matriz POA 2024-TRABAJO'!$A$5:$CY$9142,26,FALSE)</f>
        <v>80</v>
      </c>
      <c r="J71" s="442" t="str">
        <f>VLOOKUP($A71, 'Matriz POA 2024-TRABAJO'!$A$5:$CY$9142,27,FALSE)</f>
        <v>000</v>
      </c>
      <c r="K71" s="444" t="str">
        <f>VLOOKUP($A71, 'Matriz POA 2024-TRABAJO'!$A$5:$CY$9142,28,FALSE)</f>
        <v>002</v>
      </c>
      <c r="L71" s="444" t="str">
        <f>VLOOKUP($A71, 'Matriz POA 2024-TRABAJO'!$A$5:$CY$9142,29,FALSE)</f>
        <v>53</v>
      </c>
      <c r="M71" s="444">
        <f>VLOOKUP($A71, 'Matriz POA 2024-TRABAJO'!$A$5:$CY$9142,30,FALSE)</f>
        <v>530813</v>
      </c>
      <c r="N71" s="444" t="str">
        <f>VLOOKUP($A71, 'Matriz POA 2024-TRABAJO'!$A$5:$CY$9142,33,FALSE)</f>
        <v>001</v>
      </c>
      <c r="O71" s="444" t="str">
        <f>VLOOKUP($A71, 'Matriz POA 2024-TRABAJO'!$A$5:$CY$9142,34,FALSE)</f>
        <v>0000</v>
      </c>
      <c r="P71" s="444" t="str">
        <f>VLOOKUP($A71, 'Matriz POA 2024-TRABAJO'!$A$5:$CY$9142,35,FALSE)</f>
        <v>0000</v>
      </c>
      <c r="Q71" s="445">
        <f>VLOOKUP($A71, 'Matriz POA 2024-TRABAJO'!$A$5:$CY$9142,47,FALSE)</f>
        <v>114.04</v>
      </c>
      <c r="R71" s="446">
        <f t="shared" si="45"/>
        <v>0</v>
      </c>
      <c r="S71" s="446">
        <f t="shared" si="46"/>
        <v>114.04</v>
      </c>
      <c r="T71" s="446">
        <f t="shared" si="47"/>
        <v>0</v>
      </c>
      <c r="U71" s="446">
        <f t="shared" si="48"/>
        <v>0</v>
      </c>
      <c r="V71" s="446" t="str">
        <f t="shared" si="49"/>
        <v>76</v>
      </c>
      <c r="W71" s="511">
        <v>76</v>
      </c>
      <c r="X71" s="404" t="s">
        <v>1305</v>
      </c>
      <c r="Y71" s="404" t="s">
        <v>1861</v>
      </c>
      <c r="Z71" s="404">
        <f>115-115</f>
        <v>0</v>
      </c>
      <c r="AA71" s="404">
        <f>115-0.96</f>
        <v>114.04</v>
      </c>
      <c r="AB71" s="398">
        <f t="shared" si="41"/>
        <v>0</v>
      </c>
      <c r="AC71" s="403"/>
      <c r="AD71" s="404"/>
      <c r="AE71" s="404"/>
      <c r="AF71" s="404"/>
      <c r="AG71" s="398"/>
      <c r="AH71" s="398">
        <f>IF(AD71="APROBADO",AF71-AG71,0)</f>
        <v>0</v>
      </c>
      <c r="AI71" s="405"/>
      <c r="AJ71" s="404"/>
      <c r="AK71" s="404"/>
      <c r="AL71" s="404"/>
      <c r="AM71" s="398"/>
      <c r="AN71" s="398">
        <f t="shared" si="37"/>
        <v>0</v>
      </c>
      <c r="AO71" s="398"/>
      <c r="AP71" s="404"/>
      <c r="AQ71" s="404"/>
      <c r="AR71" s="404"/>
      <c r="AS71" s="398"/>
      <c r="AT71" s="398">
        <f t="shared" si="38"/>
        <v>0</v>
      </c>
      <c r="AU71" s="398"/>
      <c r="AV71" s="404"/>
      <c r="AW71" s="404"/>
      <c r="AX71" s="404"/>
      <c r="AY71" s="404"/>
      <c r="AZ71" s="398">
        <f t="shared" si="39"/>
        <v>0</v>
      </c>
      <c r="BA71" s="398"/>
      <c r="BB71" s="404"/>
      <c r="BC71" s="404"/>
      <c r="BD71" s="404"/>
      <c r="BE71" s="398"/>
      <c r="BF71" s="398">
        <f t="shared" si="40"/>
        <v>0</v>
      </c>
      <c r="BG71" s="398"/>
      <c r="BH71" s="404"/>
      <c r="BI71" s="404"/>
      <c r="BJ71" s="404"/>
      <c r="BK71" s="398"/>
      <c r="BL71" s="398">
        <f t="shared" si="51"/>
        <v>0</v>
      </c>
      <c r="BM71" s="398"/>
      <c r="BN71" s="404"/>
      <c r="BO71" s="404"/>
      <c r="BP71" s="404"/>
      <c r="BQ71" s="398"/>
      <c r="BR71" s="398">
        <f t="shared" si="52"/>
        <v>0</v>
      </c>
      <c r="BS71" s="398"/>
      <c r="BT71" s="404"/>
      <c r="BU71" s="404"/>
      <c r="BV71" s="404"/>
      <c r="BW71" s="398"/>
      <c r="BX71" s="398">
        <f t="shared" si="53"/>
        <v>0</v>
      </c>
      <c r="BY71" s="398"/>
      <c r="BZ71" s="404"/>
      <c r="CA71" s="404"/>
      <c r="CB71" s="404"/>
      <c r="CC71" s="398"/>
      <c r="CD71" s="398">
        <f t="shared" si="54"/>
        <v>0</v>
      </c>
      <c r="CE71" s="398"/>
      <c r="CF71" s="404"/>
      <c r="CG71" s="404"/>
      <c r="CH71" s="404"/>
      <c r="CI71" s="398"/>
      <c r="CJ71" s="398">
        <f t="shared" si="55"/>
        <v>0</v>
      </c>
      <c r="CK71" s="398"/>
      <c r="CL71" s="404"/>
      <c r="CM71" s="404"/>
      <c r="CN71" s="404"/>
      <c r="CO71" s="398"/>
      <c r="CP71" s="398">
        <f t="shared" si="56"/>
        <v>0</v>
      </c>
      <c r="CQ71" s="398"/>
      <c r="CR71" s="404"/>
      <c r="CS71" s="404"/>
      <c r="CT71" s="404"/>
      <c r="CU71" s="398"/>
      <c r="CV71" s="398">
        <f t="shared" si="57"/>
        <v>0</v>
      </c>
      <c r="CW71" s="398"/>
      <c r="CX71" s="404"/>
      <c r="CY71" s="404"/>
      <c r="CZ71" s="404"/>
      <c r="DA71" s="398"/>
      <c r="DB71" s="398">
        <f t="shared" si="58"/>
        <v>0</v>
      </c>
      <c r="DC71" s="398"/>
      <c r="DD71" s="404"/>
      <c r="DE71" s="404"/>
      <c r="DF71" s="404"/>
      <c r="DG71" s="398"/>
      <c r="DH71" s="398">
        <f t="shared" si="59"/>
        <v>0</v>
      </c>
      <c r="DI71" s="398"/>
      <c r="DJ71" s="404"/>
      <c r="DK71" s="404"/>
      <c r="DL71" s="404"/>
      <c r="DM71" s="398"/>
      <c r="DN71" s="398">
        <f t="shared" si="60"/>
        <v>0</v>
      </c>
      <c r="DO71" s="398"/>
      <c r="DP71" s="404"/>
      <c r="DQ71" s="404"/>
      <c r="DR71" s="404"/>
      <c r="DS71" s="398"/>
      <c r="DT71" s="398">
        <f t="shared" si="61"/>
        <v>0</v>
      </c>
      <c r="DU71" s="398"/>
      <c r="DV71" s="404"/>
      <c r="DW71" s="404"/>
      <c r="DX71" s="404"/>
      <c r="DY71" s="398"/>
      <c r="DZ71" s="398">
        <f t="shared" si="62"/>
        <v>0</v>
      </c>
      <c r="EA71" s="398"/>
      <c r="EB71" s="404"/>
      <c r="EC71" s="404"/>
      <c r="ED71" s="404"/>
      <c r="EE71" s="398"/>
      <c r="EF71" s="398">
        <f t="shared" si="63"/>
        <v>0</v>
      </c>
      <c r="EG71" s="398"/>
      <c r="EH71" s="404"/>
      <c r="EI71" s="404"/>
      <c r="EJ71" s="404"/>
      <c r="EK71" s="398"/>
      <c r="EL71" s="398">
        <f t="shared" si="64"/>
        <v>0</v>
      </c>
      <c r="EM71" s="398"/>
      <c r="EN71" s="404"/>
      <c r="EO71" s="404"/>
      <c r="EP71" s="404"/>
      <c r="EQ71" s="398"/>
      <c r="ER71" s="398">
        <f t="shared" si="65"/>
        <v>0</v>
      </c>
      <c r="ES71" s="398"/>
      <c r="ET71" s="404"/>
      <c r="EU71" s="404"/>
      <c r="EV71" s="404"/>
      <c r="EW71" s="398"/>
      <c r="EX71" s="398">
        <f t="shared" si="66"/>
        <v>0</v>
      </c>
      <c r="EY71" s="398" t="e">
        <f>VLOOKUP($A71,[2]Devengado!$A$1:$AI$3,35,FALSE)</f>
        <v>#N/A</v>
      </c>
    </row>
    <row r="72" spans="1:155" ht="23.25" hidden="1" customHeight="1">
      <c r="A72" s="341">
        <v>816</v>
      </c>
      <c r="B72" s="442" t="str">
        <f>VLOOKUP($A72,  'Matriz POA 2024-TRABAJO'!$A$5:$CY$9142,11,FALSE)</f>
        <v>Corporación Ciudad Alfaro</v>
      </c>
      <c r="C72" s="442" t="str">
        <f>VLOOKUP($A72, 'Matriz POA 2024-TRABAJO'!$A$5:$CY$9142,14,FALSE)</f>
        <v>N/A</v>
      </c>
      <c r="D72" s="442" t="str">
        <f>VLOOKUP($A72, 'Matriz POA 2024-TRABAJO'!$A$5:$CY$9142,15,FALSE)</f>
        <v>N/A</v>
      </c>
      <c r="E72" s="442" t="str">
        <f>VLOOKUP($A72, 'Matriz POA 2024-TRABAJO'!$A$5:$CY$9142,18,FALSE)</f>
        <v>N/A</v>
      </c>
      <c r="F72" s="442" t="str">
        <f>VLOOKUP($A72, 'Matriz POA 2024-TRABAJO'!$A$5:$CY$9142,23,FALSE)</f>
        <v>NUEVA</v>
      </c>
      <c r="G72" s="443" t="str">
        <f>VLOOKUP($A72, 'Matriz POA 2024-TRABAJO'!$A$5:$CY$9142,24,FALSE)</f>
        <v>Contratación del servicio de mantenimiento preventivo y correctivo de bombas sumergibles y bombas de agua potable en el Museo Centro Cultural Manta,  sede de la Corporación Ciudad Alfaro</v>
      </c>
      <c r="H72" s="442" t="str">
        <f>VLOOKUP($A72, 'Matriz POA 2024-TRABAJO'!$A$5:$CY$9142,25,FALSE)</f>
        <v>0035</v>
      </c>
      <c r="I72" s="442" t="str">
        <f>VLOOKUP($A72, 'Matriz POA 2024-TRABAJO'!$A$5:$CY$9142,26,FALSE)</f>
        <v>80</v>
      </c>
      <c r="J72" s="442" t="str">
        <f>VLOOKUP($A72, 'Matriz POA 2024-TRABAJO'!$A$5:$CY$9142,27,FALSE)</f>
        <v>000</v>
      </c>
      <c r="K72" s="444" t="str">
        <f>VLOOKUP($A72, 'Matriz POA 2024-TRABAJO'!$A$5:$CY$9142,28,FALSE)</f>
        <v>002</v>
      </c>
      <c r="L72" s="444" t="str">
        <f>VLOOKUP($A72, 'Matriz POA 2024-TRABAJO'!$A$5:$CY$9142,29,FALSE)</f>
        <v>53</v>
      </c>
      <c r="M72" s="444">
        <f>VLOOKUP($A72, 'Matriz POA 2024-TRABAJO'!$A$5:$CY$9142,30,FALSE)</f>
        <v>530403</v>
      </c>
      <c r="N72" s="444" t="str">
        <f>VLOOKUP($A72, 'Matriz POA 2024-TRABAJO'!$A$5:$CY$9142,33,FALSE)</f>
        <v>001</v>
      </c>
      <c r="O72" s="444" t="str">
        <f>VLOOKUP($A72, 'Matriz POA 2024-TRABAJO'!$A$5:$CY$9142,34,FALSE)</f>
        <v>0000</v>
      </c>
      <c r="P72" s="444" t="str">
        <f>VLOOKUP($A72, 'Matriz POA 2024-TRABAJO'!$A$5:$CY$9142,35,FALSE)</f>
        <v>0000</v>
      </c>
      <c r="Q72" s="445">
        <f>VLOOKUP($A72, 'Matriz POA 2024-TRABAJO'!$A$5:$CY$9142,47,FALSE)</f>
        <v>0</v>
      </c>
      <c r="R72" s="446">
        <f t="shared" si="45"/>
        <v>0</v>
      </c>
      <c r="S72" s="446">
        <f t="shared" si="46"/>
        <v>0</v>
      </c>
      <c r="T72" s="446">
        <f t="shared" si="47"/>
        <v>0</v>
      </c>
      <c r="U72" s="446">
        <f t="shared" si="48"/>
        <v>0</v>
      </c>
      <c r="V72" s="446" t="str">
        <f t="shared" si="49"/>
        <v>77</v>
      </c>
      <c r="W72" s="511">
        <v>77</v>
      </c>
      <c r="X72" s="404" t="s">
        <v>1305</v>
      </c>
      <c r="Y72" s="404" t="s">
        <v>1861</v>
      </c>
      <c r="Z72" s="404">
        <f>4800-4800</f>
        <v>0</v>
      </c>
      <c r="AA72" s="404">
        <f>4800-4800</f>
        <v>0</v>
      </c>
      <c r="AB72" s="398">
        <f t="shared" si="41"/>
        <v>0</v>
      </c>
      <c r="AC72" s="405"/>
      <c r="AD72" s="404"/>
      <c r="AE72" s="404"/>
      <c r="AF72" s="404"/>
      <c r="AG72" s="398"/>
      <c r="AH72" s="398">
        <f t="shared" ref="AH72" si="86">IF(AD72="APROBADO",AF72-AG72,0)</f>
        <v>0</v>
      </c>
      <c r="AI72" s="405"/>
      <c r="AJ72" s="404"/>
      <c r="AK72" s="404"/>
      <c r="AL72" s="404"/>
      <c r="AM72" s="398"/>
      <c r="AN72" s="398">
        <f t="shared" si="37"/>
        <v>0</v>
      </c>
      <c r="AO72" s="398"/>
      <c r="AP72" s="404"/>
      <c r="AQ72" s="404"/>
      <c r="AR72" s="404"/>
      <c r="AS72" s="398"/>
      <c r="AT72" s="398">
        <f t="shared" si="38"/>
        <v>0</v>
      </c>
      <c r="AU72" s="398"/>
      <c r="AV72" s="404"/>
      <c r="AW72" s="404"/>
      <c r="AX72" s="404"/>
      <c r="AY72" s="404"/>
      <c r="AZ72" s="398">
        <f t="shared" si="39"/>
        <v>0</v>
      </c>
      <c r="BA72" s="398"/>
      <c r="BB72" s="404"/>
      <c r="BC72" s="404"/>
      <c r="BD72" s="404"/>
      <c r="BE72" s="398"/>
      <c r="BF72" s="398">
        <f t="shared" si="40"/>
        <v>0</v>
      </c>
      <c r="BG72" s="398"/>
      <c r="BH72" s="404"/>
      <c r="BI72" s="404"/>
      <c r="BJ72" s="404"/>
      <c r="BK72" s="398"/>
      <c r="BL72" s="398">
        <f t="shared" si="51"/>
        <v>0</v>
      </c>
      <c r="BM72" s="398"/>
      <c r="BN72" s="404"/>
      <c r="BO72" s="404"/>
      <c r="BP72" s="404"/>
      <c r="BQ72" s="398"/>
      <c r="BR72" s="398">
        <f t="shared" si="52"/>
        <v>0</v>
      </c>
      <c r="BS72" s="398"/>
      <c r="BT72" s="404"/>
      <c r="BU72" s="404"/>
      <c r="BV72" s="404"/>
      <c r="BW72" s="398"/>
      <c r="BX72" s="398">
        <f t="shared" si="53"/>
        <v>0</v>
      </c>
      <c r="BY72" s="398"/>
      <c r="BZ72" s="404"/>
      <c r="CA72" s="404"/>
      <c r="CB72" s="404"/>
      <c r="CC72" s="398"/>
      <c r="CD72" s="398">
        <f t="shared" si="54"/>
        <v>0</v>
      </c>
      <c r="CE72" s="398"/>
      <c r="CF72" s="404"/>
      <c r="CG72" s="404"/>
      <c r="CH72" s="404"/>
      <c r="CI72" s="398"/>
      <c r="CJ72" s="398">
        <f t="shared" si="55"/>
        <v>0</v>
      </c>
      <c r="CK72" s="398"/>
      <c r="CL72" s="404"/>
      <c r="CM72" s="404"/>
      <c r="CN72" s="404"/>
      <c r="CO72" s="398"/>
      <c r="CP72" s="398">
        <f t="shared" si="56"/>
        <v>0</v>
      </c>
      <c r="CQ72" s="398"/>
      <c r="CR72" s="404"/>
      <c r="CS72" s="404"/>
      <c r="CT72" s="404"/>
      <c r="CU72" s="398"/>
      <c r="CV72" s="398">
        <f t="shared" si="57"/>
        <v>0</v>
      </c>
      <c r="CW72" s="398"/>
      <c r="CX72" s="404"/>
      <c r="CY72" s="404"/>
      <c r="CZ72" s="404"/>
      <c r="DA72" s="398"/>
      <c r="DB72" s="398">
        <f t="shared" si="58"/>
        <v>0</v>
      </c>
      <c r="DC72" s="398"/>
      <c r="DD72" s="404"/>
      <c r="DE72" s="404"/>
      <c r="DF72" s="404"/>
      <c r="DG72" s="398"/>
      <c r="DH72" s="398">
        <f t="shared" si="59"/>
        <v>0</v>
      </c>
      <c r="DI72" s="398"/>
      <c r="DJ72" s="404"/>
      <c r="DK72" s="404"/>
      <c r="DL72" s="404"/>
      <c r="DM72" s="398"/>
      <c r="DN72" s="398">
        <f t="shared" si="60"/>
        <v>0</v>
      </c>
      <c r="DO72" s="398"/>
      <c r="DP72" s="404"/>
      <c r="DQ72" s="404"/>
      <c r="DR72" s="404"/>
      <c r="DS72" s="398"/>
      <c r="DT72" s="398">
        <f t="shared" si="61"/>
        <v>0</v>
      </c>
      <c r="DU72" s="398"/>
      <c r="DV72" s="404"/>
      <c r="DW72" s="404"/>
      <c r="DX72" s="404"/>
      <c r="DY72" s="398"/>
      <c r="DZ72" s="398">
        <f t="shared" si="62"/>
        <v>0</v>
      </c>
      <c r="EA72" s="398"/>
      <c r="EB72" s="404"/>
      <c r="EC72" s="404"/>
      <c r="ED72" s="404"/>
      <c r="EE72" s="398"/>
      <c r="EF72" s="398">
        <f t="shared" si="63"/>
        <v>0</v>
      </c>
      <c r="EG72" s="398"/>
      <c r="EH72" s="404"/>
      <c r="EI72" s="404"/>
      <c r="EJ72" s="404"/>
      <c r="EK72" s="398"/>
      <c r="EL72" s="398">
        <f t="shared" si="64"/>
        <v>0</v>
      </c>
      <c r="EM72" s="398"/>
      <c r="EN72" s="404"/>
      <c r="EO72" s="404"/>
      <c r="EP72" s="404"/>
      <c r="EQ72" s="398"/>
      <c r="ER72" s="398">
        <f t="shared" si="65"/>
        <v>0</v>
      </c>
      <c r="ES72" s="398"/>
      <c r="ET72" s="404"/>
      <c r="EU72" s="404"/>
      <c r="EV72" s="404"/>
      <c r="EW72" s="398"/>
      <c r="EX72" s="398">
        <f t="shared" si="66"/>
        <v>0</v>
      </c>
      <c r="EY72" s="398" t="e">
        <f>VLOOKUP($A72,[2]Devengado!$A$1:$AI$3,35,FALSE)</f>
        <v>#N/A</v>
      </c>
    </row>
    <row r="73" spans="1:155" ht="23.25" hidden="1" customHeight="1">
      <c r="A73" s="341">
        <v>870</v>
      </c>
      <c r="B73" s="442" t="str">
        <f>VLOOKUP($A73,  'Matriz POA 2024-TRABAJO'!$A$5:$CY$9142,11,FALSE)</f>
        <v>Corporación Ciudad Alfaro</v>
      </c>
      <c r="C73" s="442" t="str">
        <f>VLOOKUP($A73, 'Matriz POA 2024-TRABAJO'!$A$5:$CY$9142,14,FALSE)</f>
        <v>N/A</v>
      </c>
      <c r="D73" s="442" t="str">
        <f>VLOOKUP($A73, 'Matriz POA 2024-TRABAJO'!$A$5:$CY$9142,15,FALSE)</f>
        <v>N/A</v>
      </c>
      <c r="E73" s="442" t="str">
        <f>VLOOKUP($A73, 'Matriz POA 2024-TRABAJO'!$A$5:$CY$9142,18,FALSE)</f>
        <v>N/A</v>
      </c>
      <c r="F73" s="442" t="str">
        <f>VLOOKUP($A73, 'Matriz POA 2024-TRABAJO'!$A$5:$CY$9142,23,FALSE)</f>
        <v>NUEVA</v>
      </c>
      <c r="G73" s="443" t="str">
        <f>VLOOKUP($A73, 'Matriz POA 2024-TRABAJO'!$A$5:$CY$9142,24,FALSE)</f>
        <v>Contratación del servicio de mantenimiento preventivo y correctivo del sistema de climatización del piso 5 en el museo intermedio Manta, sede de la Corporación Ciudad Alfaro</v>
      </c>
      <c r="H73" s="442" t="str">
        <f>VLOOKUP($A73, 'Matriz POA 2024-TRABAJO'!$A$5:$CY$9142,25,FALSE)</f>
        <v>0035</v>
      </c>
      <c r="I73" s="442" t="str">
        <f>VLOOKUP($A73, 'Matriz POA 2024-TRABAJO'!$A$5:$CY$9142,26,FALSE)</f>
        <v>80</v>
      </c>
      <c r="J73" s="442" t="str">
        <f>VLOOKUP($A73, 'Matriz POA 2024-TRABAJO'!$A$5:$CY$9142,27,FALSE)</f>
        <v>000</v>
      </c>
      <c r="K73" s="444" t="str">
        <f>VLOOKUP($A73, 'Matriz POA 2024-TRABAJO'!$A$5:$CY$9142,28,FALSE)</f>
        <v>002</v>
      </c>
      <c r="L73" s="444" t="str">
        <f>VLOOKUP($A73, 'Matriz POA 2024-TRABAJO'!$A$5:$CY$9142,29,FALSE)</f>
        <v>53</v>
      </c>
      <c r="M73" s="444">
        <f>VLOOKUP($A73, 'Matriz POA 2024-TRABAJO'!$A$5:$CY$9142,30,FALSE)</f>
        <v>530404</v>
      </c>
      <c r="N73" s="444" t="str">
        <f>VLOOKUP($A73, 'Matriz POA 2024-TRABAJO'!$A$5:$CY$9142,33,FALSE)</f>
        <v>001</v>
      </c>
      <c r="O73" s="444" t="str">
        <f>VLOOKUP($A73, 'Matriz POA 2024-TRABAJO'!$A$5:$CY$9142,34,FALSE)</f>
        <v>0000</v>
      </c>
      <c r="P73" s="444" t="str">
        <f>VLOOKUP($A73, 'Matriz POA 2024-TRABAJO'!$A$5:$CY$9142,35,FALSE)</f>
        <v>0000</v>
      </c>
      <c r="Q73" s="445">
        <f>VLOOKUP($A73, 'Matriz POA 2024-TRABAJO'!$A$5:$CY$9142,47,FALSE)</f>
        <v>4875</v>
      </c>
      <c r="R73" s="446">
        <f t="shared" si="45"/>
        <v>4875</v>
      </c>
      <c r="S73" s="446">
        <f t="shared" si="46"/>
        <v>4875</v>
      </c>
      <c r="T73" s="446">
        <f t="shared" si="47"/>
        <v>0</v>
      </c>
      <c r="U73" s="446">
        <f t="shared" si="48"/>
        <v>0</v>
      </c>
      <c r="V73" s="446" t="str">
        <f t="shared" si="49"/>
        <v>78112</v>
      </c>
      <c r="W73" s="511">
        <v>78</v>
      </c>
      <c r="X73" s="404" t="s">
        <v>1305</v>
      </c>
      <c r="Y73" s="404" t="s">
        <v>1861</v>
      </c>
      <c r="Z73" s="404">
        <f>4988.9-4988.9</f>
        <v>0</v>
      </c>
      <c r="AA73" s="404">
        <f>4988.9-4988.9</f>
        <v>0</v>
      </c>
      <c r="AB73" s="398">
        <f t="shared" si="41"/>
        <v>0</v>
      </c>
      <c r="AC73" s="511">
        <v>112</v>
      </c>
      <c r="AD73" s="404" t="s">
        <v>1299</v>
      </c>
      <c r="AE73" s="404" t="s">
        <v>2030</v>
      </c>
      <c r="AF73" s="404">
        <v>4875</v>
      </c>
      <c r="AG73" s="398">
        <v>4875</v>
      </c>
      <c r="AH73" s="398">
        <f>IF(AD73="APROBADO",AF73-AG73,0)</f>
        <v>0</v>
      </c>
      <c r="AI73" s="405"/>
      <c r="AJ73" s="404"/>
      <c r="AK73" s="404"/>
      <c r="AL73" s="404"/>
      <c r="AM73" s="398"/>
      <c r="AN73" s="398">
        <f t="shared" si="37"/>
        <v>0</v>
      </c>
      <c r="AO73" s="398"/>
      <c r="AP73" s="404"/>
      <c r="AQ73" s="404"/>
      <c r="AR73" s="404"/>
      <c r="AS73" s="398"/>
      <c r="AT73" s="398">
        <f t="shared" si="38"/>
        <v>0</v>
      </c>
      <c r="AU73" s="398"/>
      <c r="AV73" s="404"/>
      <c r="AW73" s="404"/>
      <c r="AX73" s="404"/>
      <c r="AY73" s="404"/>
      <c r="AZ73" s="398">
        <f t="shared" si="39"/>
        <v>0</v>
      </c>
      <c r="BA73" s="398"/>
      <c r="BB73" s="404"/>
      <c r="BC73" s="404"/>
      <c r="BD73" s="404"/>
      <c r="BE73" s="398"/>
      <c r="BF73" s="398">
        <f t="shared" si="40"/>
        <v>0</v>
      </c>
      <c r="BG73" s="398"/>
      <c r="BH73" s="404"/>
      <c r="BI73" s="404"/>
      <c r="BJ73" s="404"/>
      <c r="BK73" s="398"/>
      <c r="BL73" s="398">
        <f t="shared" si="51"/>
        <v>0</v>
      </c>
      <c r="BM73" s="398"/>
      <c r="BN73" s="404"/>
      <c r="BO73" s="404"/>
      <c r="BP73" s="404"/>
      <c r="BQ73" s="398"/>
      <c r="BR73" s="398">
        <f t="shared" si="52"/>
        <v>0</v>
      </c>
      <c r="BS73" s="398"/>
      <c r="BT73" s="404"/>
      <c r="BU73" s="404"/>
      <c r="BV73" s="404"/>
      <c r="BW73" s="398"/>
      <c r="BX73" s="398">
        <f t="shared" si="53"/>
        <v>0</v>
      </c>
      <c r="BY73" s="398"/>
      <c r="BZ73" s="404"/>
      <c r="CA73" s="404"/>
      <c r="CB73" s="404"/>
      <c r="CC73" s="398"/>
      <c r="CD73" s="398">
        <f t="shared" si="54"/>
        <v>0</v>
      </c>
      <c r="CE73" s="398"/>
      <c r="CF73" s="404"/>
      <c r="CG73" s="404"/>
      <c r="CH73" s="404"/>
      <c r="CI73" s="398"/>
      <c r="CJ73" s="398">
        <f t="shared" si="55"/>
        <v>0</v>
      </c>
      <c r="CK73" s="398"/>
      <c r="CL73" s="404"/>
      <c r="CM73" s="404"/>
      <c r="CN73" s="404"/>
      <c r="CO73" s="398"/>
      <c r="CP73" s="398">
        <f t="shared" si="56"/>
        <v>0</v>
      </c>
      <c r="CQ73" s="398"/>
      <c r="CR73" s="404"/>
      <c r="CS73" s="404"/>
      <c r="CT73" s="404"/>
      <c r="CU73" s="398"/>
      <c r="CV73" s="398">
        <f t="shared" si="57"/>
        <v>0</v>
      </c>
      <c r="CW73" s="398"/>
      <c r="CX73" s="404"/>
      <c r="CY73" s="404"/>
      <c r="CZ73" s="404"/>
      <c r="DA73" s="398"/>
      <c r="DB73" s="398">
        <f t="shared" si="58"/>
        <v>0</v>
      </c>
      <c r="DC73" s="398"/>
      <c r="DD73" s="404"/>
      <c r="DE73" s="404"/>
      <c r="DF73" s="404"/>
      <c r="DG73" s="398"/>
      <c r="DH73" s="398">
        <f t="shared" si="59"/>
        <v>0</v>
      </c>
      <c r="DI73" s="398"/>
      <c r="DJ73" s="404"/>
      <c r="DK73" s="404"/>
      <c r="DL73" s="404"/>
      <c r="DM73" s="398"/>
      <c r="DN73" s="398">
        <f t="shared" si="60"/>
        <v>0</v>
      </c>
      <c r="DO73" s="398"/>
      <c r="DP73" s="404"/>
      <c r="DQ73" s="404"/>
      <c r="DR73" s="404"/>
      <c r="DS73" s="398"/>
      <c r="DT73" s="398">
        <f t="shared" si="61"/>
        <v>0</v>
      </c>
      <c r="DU73" s="398"/>
      <c r="DV73" s="404"/>
      <c r="DW73" s="404"/>
      <c r="DX73" s="404"/>
      <c r="DY73" s="398"/>
      <c r="DZ73" s="398">
        <f t="shared" si="62"/>
        <v>0</v>
      </c>
      <c r="EA73" s="398"/>
      <c r="EB73" s="404"/>
      <c r="EC73" s="404"/>
      <c r="ED73" s="404"/>
      <c r="EE73" s="398"/>
      <c r="EF73" s="398">
        <f t="shared" si="63"/>
        <v>0</v>
      </c>
      <c r="EG73" s="398"/>
      <c r="EH73" s="404"/>
      <c r="EI73" s="404"/>
      <c r="EJ73" s="404"/>
      <c r="EK73" s="398"/>
      <c r="EL73" s="398">
        <f t="shared" si="64"/>
        <v>0</v>
      </c>
      <c r="EM73" s="398"/>
      <c r="EN73" s="404"/>
      <c r="EO73" s="404"/>
      <c r="EP73" s="404"/>
      <c r="EQ73" s="398"/>
      <c r="ER73" s="398">
        <f t="shared" si="65"/>
        <v>0</v>
      </c>
      <c r="ES73" s="398"/>
      <c r="ET73" s="404"/>
      <c r="EU73" s="404"/>
      <c r="EV73" s="404"/>
      <c r="EW73" s="398"/>
      <c r="EX73" s="398">
        <f t="shared" si="66"/>
        <v>0</v>
      </c>
      <c r="EY73" s="398" t="e">
        <f>VLOOKUP($A73,[2]Devengado!$A$1:$AI$3,35,FALSE)</f>
        <v>#N/A</v>
      </c>
    </row>
    <row r="74" spans="1:155" ht="23.25" hidden="1" customHeight="1">
      <c r="A74" s="341">
        <v>469</v>
      </c>
      <c r="B74" s="442" t="str">
        <f>VLOOKUP($A74,  'Matriz POA 2024-TRABAJO'!$A$5:$CY$9142,11,FALSE)</f>
        <v>Corporación Ciudad Alfaro</v>
      </c>
      <c r="C74" s="442" t="str">
        <f>VLOOKUP($A74, 'Matriz POA 2024-TRABAJO'!$A$5:$CY$9142,14,FALSE)</f>
        <v>N/A</v>
      </c>
      <c r="D74" s="442" t="str">
        <f>VLOOKUP($A74, 'Matriz POA 2024-TRABAJO'!$A$5:$CY$9142,15,FALSE)</f>
        <v>N/A</v>
      </c>
      <c r="E74" s="442" t="str">
        <f>VLOOKUP($A74, 'Matriz POA 2024-TRABAJO'!$A$5:$CY$9142,18,FALSE)</f>
        <v>N/A</v>
      </c>
      <c r="F74" s="442" t="str">
        <f>VLOOKUP($A74, 'Matriz POA 2024-TRABAJO'!$A$5:$CY$9142,23,FALSE)</f>
        <v>NUEVA</v>
      </c>
      <c r="G74" s="443" t="str">
        <f>VLOOKUP($A74, 'Matriz POA 2024-TRABAJO'!$A$5:$CY$9142,24,FALSE)</f>
        <v>Contratación del servicio de consultas legales en base de datos jurídicas en línea a través de la plataforma Sistema Web de
información jurídica</v>
      </c>
      <c r="H74" s="442" t="str">
        <f>VLOOKUP($A74, 'Matriz POA 2024-TRABAJO'!$A$5:$CY$9142,25,FALSE)</f>
        <v>0035</v>
      </c>
      <c r="I74" s="442" t="str">
        <f>VLOOKUP($A74, 'Matriz POA 2024-TRABAJO'!$A$5:$CY$9142,26,FALSE)</f>
        <v>80</v>
      </c>
      <c r="J74" s="442" t="str">
        <f>VLOOKUP($A74, 'Matriz POA 2024-TRABAJO'!$A$5:$CY$9142,27,FALSE)</f>
        <v>000</v>
      </c>
      <c r="K74" s="444" t="str">
        <f>VLOOKUP($A74, 'Matriz POA 2024-TRABAJO'!$A$5:$CY$9142,28,FALSE)</f>
        <v>002</v>
      </c>
      <c r="L74" s="444" t="str">
        <f>VLOOKUP($A74, 'Matriz POA 2024-TRABAJO'!$A$5:$CY$9142,29,FALSE)</f>
        <v>53</v>
      </c>
      <c r="M74" s="444">
        <f>VLOOKUP($A74, 'Matriz POA 2024-TRABAJO'!$A$5:$CY$9142,30,FALSE)</f>
        <v>530701</v>
      </c>
      <c r="N74" s="444" t="str">
        <f>VLOOKUP($A74, 'Matriz POA 2024-TRABAJO'!$A$5:$CY$9142,33,FALSE)</f>
        <v>001</v>
      </c>
      <c r="O74" s="444" t="str">
        <f>VLOOKUP($A74, 'Matriz POA 2024-TRABAJO'!$A$5:$CY$9142,34,FALSE)</f>
        <v>0000</v>
      </c>
      <c r="P74" s="444" t="str">
        <f>VLOOKUP($A74, 'Matriz POA 2024-TRABAJO'!$A$5:$CY$9142,35,FALSE)</f>
        <v>0000</v>
      </c>
      <c r="Q74" s="445">
        <f>VLOOKUP($A74, 'Matriz POA 2024-TRABAJO'!$A$5:$CY$9142,47,FALSE)</f>
        <v>400</v>
      </c>
      <c r="R74" s="446">
        <f t="shared" si="45"/>
        <v>400</v>
      </c>
      <c r="S74" s="446">
        <f t="shared" si="46"/>
        <v>0</v>
      </c>
      <c r="T74" s="446">
        <f t="shared" si="47"/>
        <v>400</v>
      </c>
      <c r="U74" s="446">
        <f t="shared" si="48"/>
        <v>0</v>
      </c>
      <c r="V74" s="446" t="str">
        <f t="shared" si="49"/>
        <v>79</v>
      </c>
      <c r="W74" s="511">
        <v>79</v>
      </c>
      <c r="X74" s="404" t="s">
        <v>1299</v>
      </c>
      <c r="Y74" s="404" t="s">
        <v>1861</v>
      </c>
      <c r="Z74" s="404">
        <v>400</v>
      </c>
      <c r="AA74" s="404">
        <v>0</v>
      </c>
      <c r="AB74" s="398">
        <f t="shared" si="41"/>
        <v>400</v>
      </c>
      <c r="AC74" s="405"/>
      <c r="AD74" s="404"/>
      <c r="AE74" s="404"/>
      <c r="AF74" s="404"/>
      <c r="AG74" s="398"/>
      <c r="AH74" s="398">
        <f t="shared" ref="AH74" si="87">IF(AD74="APROBADO",AF74-AG74,0)</f>
        <v>0</v>
      </c>
      <c r="AI74" s="405"/>
      <c r="AJ74" s="404"/>
      <c r="AK74" s="404"/>
      <c r="AL74" s="404"/>
      <c r="AM74" s="398"/>
      <c r="AN74" s="398">
        <f t="shared" si="37"/>
        <v>0</v>
      </c>
      <c r="AO74" s="398"/>
      <c r="AP74" s="404"/>
      <c r="AQ74" s="404"/>
      <c r="AR74" s="404"/>
      <c r="AS74" s="398"/>
      <c r="AT74" s="398">
        <f t="shared" si="38"/>
        <v>0</v>
      </c>
      <c r="AU74" s="398"/>
      <c r="AV74" s="404"/>
      <c r="AW74" s="404"/>
      <c r="AX74" s="404"/>
      <c r="AY74" s="404"/>
      <c r="AZ74" s="398">
        <f t="shared" si="39"/>
        <v>0</v>
      </c>
      <c r="BA74" s="398"/>
      <c r="BB74" s="404"/>
      <c r="BC74" s="404"/>
      <c r="BD74" s="404"/>
      <c r="BE74" s="398"/>
      <c r="BF74" s="398">
        <f t="shared" si="40"/>
        <v>0</v>
      </c>
      <c r="BG74" s="398"/>
      <c r="BH74" s="404"/>
      <c r="BI74" s="404"/>
      <c r="BJ74" s="404"/>
      <c r="BK74" s="398"/>
      <c r="BL74" s="398">
        <f t="shared" si="51"/>
        <v>0</v>
      </c>
      <c r="BM74" s="398"/>
      <c r="BN74" s="404"/>
      <c r="BO74" s="404"/>
      <c r="BP74" s="404"/>
      <c r="BQ74" s="398"/>
      <c r="BR74" s="398">
        <f t="shared" si="52"/>
        <v>0</v>
      </c>
      <c r="BS74" s="398"/>
      <c r="BT74" s="404"/>
      <c r="BU74" s="404"/>
      <c r="BV74" s="404"/>
      <c r="BW74" s="398"/>
      <c r="BX74" s="398">
        <f t="shared" si="53"/>
        <v>0</v>
      </c>
      <c r="BY74" s="398"/>
      <c r="BZ74" s="404"/>
      <c r="CA74" s="404"/>
      <c r="CB74" s="404"/>
      <c r="CC74" s="398"/>
      <c r="CD74" s="398">
        <f t="shared" si="54"/>
        <v>0</v>
      </c>
      <c r="CE74" s="398"/>
      <c r="CF74" s="404"/>
      <c r="CG74" s="404"/>
      <c r="CH74" s="404"/>
      <c r="CI74" s="398"/>
      <c r="CJ74" s="398">
        <f t="shared" si="55"/>
        <v>0</v>
      </c>
      <c r="CK74" s="398"/>
      <c r="CL74" s="404"/>
      <c r="CM74" s="404"/>
      <c r="CN74" s="404"/>
      <c r="CO74" s="398"/>
      <c r="CP74" s="398">
        <f t="shared" si="56"/>
        <v>0</v>
      </c>
      <c r="CQ74" s="398"/>
      <c r="CR74" s="404"/>
      <c r="CS74" s="404"/>
      <c r="CT74" s="404"/>
      <c r="CU74" s="398"/>
      <c r="CV74" s="398">
        <f t="shared" si="57"/>
        <v>0</v>
      </c>
      <c r="CW74" s="398"/>
      <c r="CX74" s="404"/>
      <c r="CY74" s="404"/>
      <c r="CZ74" s="404"/>
      <c r="DA74" s="398"/>
      <c r="DB74" s="398">
        <f t="shared" si="58"/>
        <v>0</v>
      </c>
      <c r="DC74" s="398"/>
      <c r="DD74" s="404"/>
      <c r="DE74" s="404"/>
      <c r="DF74" s="404"/>
      <c r="DG74" s="398"/>
      <c r="DH74" s="398">
        <f t="shared" si="59"/>
        <v>0</v>
      </c>
      <c r="DI74" s="398"/>
      <c r="DJ74" s="404"/>
      <c r="DK74" s="404"/>
      <c r="DL74" s="404"/>
      <c r="DM74" s="398"/>
      <c r="DN74" s="398">
        <f t="shared" si="60"/>
        <v>0</v>
      </c>
      <c r="DO74" s="398"/>
      <c r="DP74" s="404"/>
      <c r="DQ74" s="404"/>
      <c r="DR74" s="404"/>
      <c r="DS74" s="398"/>
      <c r="DT74" s="398">
        <f t="shared" si="61"/>
        <v>0</v>
      </c>
      <c r="DU74" s="398"/>
      <c r="DV74" s="404"/>
      <c r="DW74" s="404"/>
      <c r="DX74" s="404"/>
      <c r="DY74" s="398"/>
      <c r="DZ74" s="398">
        <f t="shared" si="62"/>
        <v>0</v>
      </c>
      <c r="EA74" s="398"/>
      <c r="EB74" s="404"/>
      <c r="EC74" s="404"/>
      <c r="ED74" s="404"/>
      <c r="EE74" s="398"/>
      <c r="EF74" s="398">
        <f t="shared" si="63"/>
        <v>0</v>
      </c>
      <c r="EG74" s="398"/>
      <c r="EH74" s="404"/>
      <c r="EI74" s="404"/>
      <c r="EJ74" s="404"/>
      <c r="EK74" s="398"/>
      <c r="EL74" s="398">
        <f t="shared" si="64"/>
        <v>0</v>
      </c>
      <c r="EM74" s="398"/>
      <c r="EN74" s="404"/>
      <c r="EO74" s="404"/>
      <c r="EP74" s="404"/>
      <c r="EQ74" s="398"/>
      <c r="ER74" s="398">
        <f t="shared" si="65"/>
        <v>0</v>
      </c>
      <c r="ES74" s="398"/>
      <c r="ET74" s="404"/>
      <c r="EU74" s="404"/>
      <c r="EV74" s="404"/>
      <c r="EW74" s="398"/>
      <c r="EX74" s="398">
        <f t="shared" si="66"/>
        <v>0</v>
      </c>
      <c r="EY74" s="398" t="e">
        <f>VLOOKUP($A74,[2]Devengado!$A$1:$AI$3,35,FALSE)</f>
        <v>#N/A</v>
      </c>
    </row>
    <row r="75" spans="1:155" ht="23.25" hidden="1" customHeight="1">
      <c r="A75" s="341">
        <v>470</v>
      </c>
      <c r="B75" s="442" t="str">
        <f>VLOOKUP($A75,  'Matriz POA 2024-TRABAJO'!$A$5:$CY$9142,11,FALSE)</f>
        <v>Corporación Ciudad Alfaro</v>
      </c>
      <c r="C75" s="442" t="str">
        <f>VLOOKUP($A75, 'Matriz POA 2024-TRABAJO'!$A$5:$CY$9142,14,FALSE)</f>
        <v>N/A</v>
      </c>
      <c r="D75" s="442" t="str">
        <f>VLOOKUP($A75, 'Matriz POA 2024-TRABAJO'!$A$5:$CY$9142,15,FALSE)</f>
        <v>N/A</v>
      </c>
      <c r="E75" s="442" t="str">
        <f>VLOOKUP($A75, 'Matriz POA 2024-TRABAJO'!$A$5:$CY$9142,18,FALSE)</f>
        <v>N/A</v>
      </c>
      <c r="F75" s="442" t="str">
        <f>VLOOKUP($A75, 'Matriz POA 2024-TRABAJO'!$A$5:$CY$9142,23,FALSE)</f>
        <v>NUEVA</v>
      </c>
      <c r="G75" s="443" t="str">
        <f>VLOOKUP($A75, 'Matriz POA 2024-TRABAJO'!$A$5:$CY$9142,24,FALSE)</f>
        <v>Renovación de dominio web y web hosting para www.ciudadalfaro.gob.ec</v>
      </c>
      <c r="H75" s="442" t="str">
        <f>VLOOKUP($A75, 'Matriz POA 2024-TRABAJO'!$A$5:$CY$9142,25,FALSE)</f>
        <v>0035</v>
      </c>
      <c r="I75" s="442" t="str">
        <f>VLOOKUP($A75, 'Matriz POA 2024-TRABAJO'!$A$5:$CY$9142,26,FALSE)</f>
        <v>80</v>
      </c>
      <c r="J75" s="442" t="str">
        <f>VLOOKUP($A75, 'Matriz POA 2024-TRABAJO'!$A$5:$CY$9142,27,FALSE)</f>
        <v>000</v>
      </c>
      <c r="K75" s="444" t="str">
        <f>VLOOKUP($A75, 'Matriz POA 2024-TRABAJO'!$A$5:$CY$9142,28,FALSE)</f>
        <v>002</v>
      </c>
      <c r="L75" s="444" t="str">
        <f>VLOOKUP($A75, 'Matriz POA 2024-TRABAJO'!$A$5:$CY$9142,29,FALSE)</f>
        <v>53</v>
      </c>
      <c r="M75" s="444">
        <f>VLOOKUP($A75, 'Matriz POA 2024-TRABAJO'!$A$5:$CY$9142,30,FALSE)</f>
        <v>530701</v>
      </c>
      <c r="N75" s="444" t="str">
        <f>VLOOKUP($A75, 'Matriz POA 2024-TRABAJO'!$A$5:$CY$9142,33,FALSE)</f>
        <v>001</v>
      </c>
      <c r="O75" s="444" t="str">
        <f>VLOOKUP($A75, 'Matriz POA 2024-TRABAJO'!$A$5:$CY$9142,34,FALSE)</f>
        <v>0000</v>
      </c>
      <c r="P75" s="444" t="str">
        <f>VLOOKUP($A75, 'Matriz POA 2024-TRABAJO'!$A$5:$CY$9142,35,FALSE)</f>
        <v>0000</v>
      </c>
      <c r="Q75" s="445">
        <f>VLOOKUP($A75, 'Matriz POA 2024-TRABAJO'!$A$5:$CY$9142,47,FALSE)</f>
        <v>400</v>
      </c>
      <c r="R75" s="446">
        <f t="shared" si="45"/>
        <v>400</v>
      </c>
      <c r="S75" s="446">
        <f t="shared" si="46"/>
        <v>0</v>
      </c>
      <c r="T75" s="446">
        <f t="shared" si="47"/>
        <v>400</v>
      </c>
      <c r="U75" s="446">
        <f t="shared" si="48"/>
        <v>0</v>
      </c>
      <c r="V75" s="446" t="str">
        <f t="shared" si="49"/>
        <v>80</v>
      </c>
      <c r="W75" s="511">
        <v>80</v>
      </c>
      <c r="X75" s="404" t="s">
        <v>1299</v>
      </c>
      <c r="Y75" s="404" t="s">
        <v>1861</v>
      </c>
      <c r="Z75" s="404">
        <v>400</v>
      </c>
      <c r="AA75" s="404">
        <v>0</v>
      </c>
      <c r="AB75" s="398">
        <f t="shared" si="41"/>
        <v>400</v>
      </c>
      <c r="AC75" s="403"/>
      <c r="AD75" s="404"/>
      <c r="AE75" s="404"/>
      <c r="AF75" s="404"/>
      <c r="AG75" s="398"/>
      <c r="AH75" s="398">
        <f>IF(AD75="APROBADO",AF75-AG75,0)</f>
        <v>0</v>
      </c>
      <c r="AI75" s="405"/>
      <c r="AJ75" s="404"/>
      <c r="AK75" s="404"/>
      <c r="AL75" s="404"/>
      <c r="AM75" s="398"/>
      <c r="AN75" s="398">
        <f t="shared" si="37"/>
        <v>0</v>
      </c>
      <c r="AO75" s="398"/>
      <c r="AP75" s="404"/>
      <c r="AQ75" s="404"/>
      <c r="AR75" s="404"/>
      <c r="AS75" s="398"/>
      <c r="AT75" s="398">
        <f t="shared" si="38"/>
        <v>0</v>
      </c>
      <c r="AU75" s="398"/>
      <c r="AV75" s="404"/>
      <c r="AW75" s="404"/>
      <c r="AX75" s="404"/>
      <c r="AY75" s="404"/>
      <c r="AZ75" s="398">
        <f t="shared" si="39"/>
        <v>0</v>
      </c>
      <c r="BA75" s="398"/>
      <c r="BB75" s="404"/>
      <c r="BC75" s="404"/>
      <c r="BD75" s="404"/>
      <c r="BE75" s="398"/>
      <c r="BF75" s="398">
        <f t="shared" si="40"/>
        <v>0</v>
      </c>
      <c r="BG75" s="398"/>
      <c r="BH75" s="404"/>
      <c r="BI75" s="404"/>
      <c r="BJ75" s="404"/>
      <c r="BK75" s="398"/>
      <c r="BL75" s="398">
        <f t="shared" si="51"/>
        <v>0</v>
      </c>
      <c r="BM75" s="398"/>
      <c r="BN75" s="404"/>
      <c r="BO75" s="404"/>
      <c r="BP75" s="404"/>
      <c r="BQ75" s="398"/>
      <c r="BR75" s="398">
        <f t="shared" si="52"/>
        <v>0</v>
      </c>
      <c r="BS75" s="398"/>
      <c r="BT75" s="404"/>
      <c r="BU75" s="404"/>
      <c r="BV75" s="404"/>
      <c r="BW75" s="398"/>
      <c r="BX75" s="398">
        <f t="shared" si="53"/>
        <v>0</v>
      </c>
      <c r="BY75" s="398"/>
      <c r="BZ75" s="404"/>
      <c r="CA75" s="404"/>
      <c r="CB75" s="404"/>
      <c r="CC75" s="398"/>
      <c r="CD75" s="398">
        <f t="shared" si="54"/>
        <v>0</v>
      </c>
      <c r="CE75" s="398"/>
      <c r="CF75" s="404"/>
      <c r="CG75" s="404"/>
      <c r="CH75" s="404"/>
      <c r="CI75" s="398"/>
      <c r="CJ75" s="398">
        <f t="shared" si="55"/>
        <v>0</v>
      </c>
      <c r="CK75" s="398"/>
      <c r="CL75" s="404"/>
      <c r="CM75" s="404"/>
      <c r="CN75" s="404"/>
      <c r="CO75" s="398"/>
      <c r="CP75" s="398">
        <f t="shared" si="56"/>
        <v>0</v>
      </c>
      <c r="CQ75" s="398"/>
      <c r="CR75" s="404"/>
      <c r="CS75" s="404"/>
      <c r="CT75" s="404"/>
      <c r="CU75" s="398"/>
      <c r="CV75" s="398">
        <f t="shared" si="57"/>
        <v>0</v>
      </c>
      <c r="CW75" s="398"/>
      <c r="CX75" s="404"/>
      <c r="CY75" s="404"/>
      <c r="CZ75" s="404"/>
      <c r="DA75" s="398"/>
      <c r="DB75" s="398">
        <f t="shared" si="58"/>
        <v>0</v>
      </c>
      <c r="DC75" s="398"/>
      <c r="DD75" s="404"/>
      <c r="DE75" s="404"/>
      <c r="DF75" s="404"/>
      <c r="DG75" s="398"/>
      <c r="DH75" s="398">
        <f t="shared" si="59"/>
        <v>0</v>
      </c>
      <c r="DI75" s="398"/>
      <c r="DJ75" s="404"/>
      <c r="DK75" s="404"/>
      <c r="DL75" s="404"/>
      <c r="DM75" s="398"/>
      <c r="DN75" s="398">
        <f t="shared" si="60"/>
        <v>0</v>
      </c>
      <c r="DO75" s="398"/>
      <c r="DP75" s="404"/>
      <c r="DQ75" s="404"/>
      <c r="DR75" s="404"/>
      <c r="DS75" s="398"/>
      <c r="DT75" s="398">
        <f t="shared" si="61"/>
        <v>0</v>
      </c>
      <c r="DU75" s="398"/>
      <c r="DV75" s="404"/>
      <c r="DW75" s="404"/>
      <c r="DX75" s="404"/>
      <c r="DY75" s="398"/>
      <c r="DZ75" s="398">
        <f t="shared" si="62"/>
        <v>0</v>
      </c>
      <c r="EA75" s="398"/>
      <c r="EB75" s="404"/>
      <c r="EC75" s="404"/>
      <c r="ED75" s="404"/>
      <c r="EE75" s="398"/>
      <c r="EF75" s="398">
        <f t="shared" si="63"/>
        <v>0</v>
      </c>
      <c r="EG75" s="398"/>
      <c r="EH75" s="404"/>
      <c r="EI75" s="404"/>
      <c r="EJ75" s="404"/>
      <c r="EK75" s="398"/>
      <c r="EL75" s="398">
        <f t="shared" si="64"/>
        <v>0</v>
      </c>
      <c r="EM75" s="398"/>
      <c r="EN75" s="404"/>
      <c r="EO75" s="404"/>
      <c r="EP75" s="404"/>
      <c r="EQ75" s="398"/>
      <c r="ER75" s="398">
        <f t="shared" si="65"/>
        <v>0</v>
      </c>
      <c r="ES75" s="398"/>
      <c r="ET75" s="404"/>
      <c r="EU75" s="404"/>
      <c r="EV75" s="404"/>
      <c r="EW75" s="398"/>
      <c r="EX75" s="398">
        <f t="shared" si="66"/>
        <v>0</v>
      </c>
      <c r="EY75" s="398" t="e">
        <f>VLOOKUP($A75,[2]Devengado!$A$1:$AI$3,35,FALSE)</f>
        <v>#N/A</v>
      </c>
    </row>
    <row r="76" spans="1:155" ht="23.25" hidden="1" customHeight="1">
      <c r="A76" s="341">
        <v>817</v>
      </c>
      <c r="B76" s="442" t="str">
        <f>VLOOKUP($A76,  'Matriz POA 2024-TRABAJO'!$A$5:$CY$9142,11,FALSE)</f>
        <v>Corporación Ciudad Alfaro</v>
      </c>
      <c r="C76" s="442" t="str">
        <f>VLOOKUP($A76, 'Matriz POA 2024-TRABAJO'!$A$5:$CY$9142,14,FALSE)</f>
        <v>N/A</v>
      </c>
      <c r="D76" s="442" t="str">
        <f>VLOOKUP($A76, 'Matriz POA 2024-TRABAJO'!$A$5:$CY$9142,15,FALSE)</f>
        <v>N/A</v>
      </c>
      <c r="E76" s="442" t="str">
        <f>VLOOKUP($A76, 'Matriz POA 2024-TRABAJO'!$A$5:$CY$9142,18,FALSE)</f>
        <v>N/A</v>
      </c>
      <c r="F76" s="442" t="str">
        <f>VLOOKUP($A76, 'Matriz POA 2024-TRABAJO'!$A$5:$CY$9142,23,FALSE)</f>
        <v>NUEVA</v>
      </c>
      <c r="G76" s="443" t="str">
        <f>VLOOKUP($A76, 'Matriz POA 2024-TRABAJO'!$A$5:$CY$9142,24,FALSE)</f>
        <v>Contratación del servicio de actualización  de sistemas informáticos de la Corporación Ciudad Alfaro y sus sedes</v>
      </c>
      <c r="H76" s="442" t="str">
        <f>VLOOKUP($A76, 'Matriz POA 2024-TRABAJO'!$A$5:$CY$9142,25,FALSE)</f>
        <v>0035</v>
      </c>
      <c r="I76" s="442" t="str">
        <f>VLOOKUP($A76, 'Matriz POA 2024-TRABAJO'!$A$5:$CY$9142,26,FALSE)</f>
        <v>80</v>
      </c>
      <c r="J76" s="442" t="str">
        <f>VLOOKUP($A76, 'Matriz POA 2024-TRABAJO'!$A$5:$CY$9142,27,FALSE)</f>
        <v>000</v>
      </c>
      <c r="K76" s="444" t="str">
        <f>VLOOKUP($A76, 'Matriz POA 2024-TRABAJO'!$A$5:$CY$9142,28,FALSE)</f>
        <v>002</v>
      </c>
      <c r="L76" s="444" t="str">
        <f>VLOOKUP($A76, 'Matriz POA 2024-TRABAJO'!$A$5:$CY$9142,29,FALSE)</f>
        <v>53</v>
      </c>
      <c r="M76" s="444">
        <f>VLOOKUP($A76, 'Matriz POA 2024-TRABAJO'!$A$5:$CY$9142,30,FALSE)</f>
        <v>530701</v>
      </c>
      <c r="N76" s="444" t="str">
        <f>VLOOKUP($A76, 'Matriz POA 2024-TRABAJO'!$A$5:$CY$9142,33,FALSE)</f>
        <v>001</v>
      </c>
      <c r="O76" s="444" t="str">
        <f>VLOOKUP($A76, 'Matriz POA 2024-TRABAJO'!$A$5:$CY$9142,34,FALSE)</f>
        <v>0000</v>
      </c>
      <c r="P76" s="444" t="str">
        <f>VLOOKUP($A76, 'Matriz POA 2024-TRABAJO'!$A$5:$CY$9142,35,FALSE)</f>
        <v>0000</v>
      </c>
      <c r="Q76" s="445">
        <f>VLOOKUP($A76, 'Matriz POA 2024-TRABAJO'!$A$5:$CY$9142,47,FALSE)</f>
        <v>0</v>
      </c>
      <c r="R76" s="446">
        <f t="shared" si="45"/>
        <v>0</v>
      </c>
      <c r="S76" s="446">
        <f t="shared" si="46"/>
        <v>0</v>
      </c>
      <c r="T76" s="446">
        <f t="shared" si="47"/>
        <v>0</v>
      </c>
      <c r="U76" s="446">
        <f t="shared" si="48"/>
        <v>0</v>
      </c>
      <c r="V76" s="446" t="str">
        <f t="shared" si="49"/>
        <v>81</v>
      </c>
      <c r="W76" s="511">
        <v>81</v>
      </c>
      <c r="X76" s="404" t="s">
        <v>1305</v>
      </c>
      <c r="Y76" s="404" t="s">
        <v>1861</v>
      </c>
      <c r="Z76" s="404">
        <f>400-400</f>
        <v>0</v>
      </c>
      <c r="AA76" s="404">
        <f>400-400</f>
        <v>0</v>
      </c>
      <c r="AB76" s="398">
        <f t="shared" si="41"/>
        <v>0</v>
      </c>
      <c r="AC76" s="405"/>
      <c r="AD76" s="404"/>
      <c r="AE76" s="404"/>
      <c r="AF76" s="404"/>
      <c r="AG76" s="398"/>
      <c r="AH76" s="398">
        <f t="shared" ref="AH76" si="88">IF(AD76="APROBADO",AF76-AG76,0)</f>
        <v>0</v>
      </c>
      <c r="AI76" s="405"/>
      <c r="AJ76" s="404"/>
      <c r="AK76" s="404"/>
      <c r="AL76" s="404"/>
      <c r="AM76" s="398"/>
      <c r="AN76" s="398">
        <f t="shared" si="37"/>
        <v>0</v>
      </c>
      <c r="AO76" s="398"/>
      <c r="AP76" s="404"/>
      <c r="AQ76" s="404"/>
      <c r="AR76" s="404"/>
      <c r="AS76" s="398"/>
      <c r="AT76" s="398">
        <f t="shared" si="38"/>
        <v>0</v>
      </c>
      <c r="AU76" s="398"/>
      <c r="AV76" s="404"/>
      <c r="AW76" s="404"/>
      <c r="AX76" s="404"/>
      <c r="AY76" s="404"/>
      <c r="AZ76" s="398">
        <f t="shared" si="39"/>
        <v>0</v>
      </c>
      <c r="BA76" s="398"/>
      <c r="BB76" s="404"/>
      <c r="BC76" s="404"/>
      <c r="BD76" s="404"/>
      <c r="BE76" s="398"/>
      <c r="BF76" s="398">
        <f t="shared" si="40"/>
        <v>0</v>
      </c>
      <c r="BG76" s="398"/>
      <c r="BH76" s="404"/>
      <c r="BI76" s="404"/>
      <c r="BJ76" s="404"/>
      <c r="BK76" s="398"/>
      <c r="BL76" s="398">
        <f t="shared" si="51"/>
        <v>0</v>
      </c>
      <c r="BM76" s="398"/>
      <c r="BN76" s="404"/>
      <c r="BO76" s="404"/>
      <c r="BP76" s="404"/>
      <c r="BQ76" s="398"/>
      <c r="BR76" s="398">
        <f t="shared" si="52"/>
        <v>0</v>
      </c>
      <c r="BS76" s="398"/>
      <c r="BT76" s="404"/>
      <c r="BU76" s="404"/>
      <c r="BV76" s="404"/>
      <c r="BW76" s="398"/>
      <c r="BX76" s="398">
        <f t="shared" si="53"/>
        <v>0</v>
      </c>
      <c r="BY76" s="398"/>
      <c r="BZ76" s="404"/>
      <c r="CA76" s="404"/>
      <c r="CB76" s="404"/>
      <c r="CC76" s="398"/>
      <c r="CD76" s="398">
        <f t="shared" si="54"/>
        <v>0</v>
      </c>
      <c r="CE76" s="398"/>
      <c r="CF76" s="404"/>
      <c r="CG76" s="404"/>
      <c r="CH76" s="404"/>
      <c r="CI76" s="398"/>
      <c r="CJ76" s="398">
        <f t="shared" si="55"/>
        <v>0</v>
      </c>
      <c r="CK76" s="398"/>
      <c r="CL76" s="404"/>
      <c r="CM76" s="404"/>
      <c r="CN76" s="404"/>
      <c r="CO76" s="398"/>
      <c r="CP76" s="398">
        <f t="shared" si="56"/>
        <v>0</v>
      </c>
      <c r="CQ76" s="398"/>
      <c r="CR76" s="404"/>
      <c r="CS76" s="404"/>
      <c r="CT76" s="404"/>
      <c r="CU76" s="398"/>
      <c r="CV76" s="398">
        <f t="shared" si="57"/>
        <v>0</v>
      </c>
      <c r="CW76" s="398"/>
      <c r="CX76" s="404"/>
      <c r="CY76" s="404"/>
      <c r="CZ76" s="404"/>
      <c r="DA76" s="398"/>
      <c r="DB76" s="398">
        <f t="shared" si="58"/>
        <v>0</v>
      </c>
      <c r="DC76" s="398"/>
      <c r="DD76" s="404"/>
      <c r="DE76" s="404"/>
      <c r="DF76" s="404"/>
      <c r="DG76" s="398"/>
      <c r="DH76" s="398">
        <f t="shared" si="59"/>
        <v>0</v>
      </c>
      <c r="DI76" s="398"/>
      <c r="DJ76" s="404"/>
      <c r="DK76" s="404"/>
      <c r="DL76" s="404"/>
      <c r="DM76" s="398"/>
      <c r="DN76" s="398">
        <f t="shared" si="60"/>
        <v>0</v>
      </c>
      <c r="DO76" s="398"/>
      <c r="DP76" s="404"/>
      <c r="DQ76" s="404"/>
      <c r="DR76" s="404"/>
      <c r="DS76" s="398"/>
      <c r="DT76" s="398">
        <f t="shared" si="61"/>
        <v>0</v>
      </c>
      <c r="DU76" s="398"/>
      <c r="DV76" s="404"/>
      <c r="DW76" s="404"/>
      <c r="DX76" s="404"/>
      <c r="DY76" s="398"/>
      <c r="DZ76" s="398">
        <f t="shared" si="62"/>
        <v>0</v>
      </c>
      <c r="EA76" s="398"/>
      <c r="EB76" s="404"/>
      <c r="EC76" s="404"/>
      <c r="ED76" s="404"/>
      <c r="EE76" s="398"/>
      <c r="EF76" s="398">
        <f t="shared" si="63"/>
        <v>0</v>
      </c>
      <c r="EG76" s="398"/>
      <c r="EH76" s="404"/>
      <c r="EI76" s="404"/>
      <c r="EJ76" s="404"/>
      <c r="EK76" s="398"/>
      <c r="EL76" s="398">
        <f t="shared" si="64"/>
        <v>0</v>
      </c>
      <c r="EM76" s="398"/>
      <c r="EN76" s="404"/>
      <c r="EO76" s="404"/>
      <c r="EP76" s="404"/>
      <c r="EQ76" s="398"/>
      <c r="ER76" s="398">
        <f t="shared" si="65"/>
        <v>0</v>
      </c>
      <c r="ES76" s="398"/>
      <c r="ET76" s="404"/>
      <c r="EU76" s="404"/>
      <c r="EV76" s="404"/>
      <c r="EW76" s="398"/>
      <c r="EX76" s="398">
        <f t="shared" si="66"/>
        <v>0</v>
      </c>
      <c r="EY76" s="398" t="e">
        <f>VLOOKUP($A76,[2]Devengado!$A$1:$AI$3,35,FALSE)</f>
        <v>#N/A</v>
      </c>
    </row>
    <row r="77" spans="1:155" ht="23.25" hidden="1" customHeight="1">
      <c r="A77" s="341">
        <v>874</v>
      </c>
      <c r="B77" s="442" t="str">
        <f>VLOOKUP($A77,  'Matriz POA 2024-TRABAJO'!$A$5:$CY$9142,11,FALSE)</f>
        <v>Corporación Ciudad Alfaro</v>
      </c>
      <c r="C77" s="442" t="str">
        <f>VLOOKUP($A77, 'Matriz POA 2024-TRABAJO'!$A$5:$CY$9142,14,FALSE)</f>
        <v>N/A</v>
      </c>
      <c r="D77" s="442" t="str">
        <f>VLOOKUP($A77, 'Matriz POA 2024-TRABAJO'!$A$5:$CY$9142,15,FALSE)</f>
        <v>N/A</v>
      </c>
      <c r="E77" s="442" t="str">
        <f>VLOOKUP($A77, 'Matriz POA 2024-TRABAJO'!$A$5:$CY$9142,18,FALSE)</f>
        <v>N/A</v>
      </c>
      <c r="F77" s="442" t="str">
        <f>VLOOKUP($A77, 'Matriz POA 2024-TRABAJO'!$A$5:$CY$9142,23,FALSE)</f>
        <v>PLURIANUAL 2024 - 2025</v>
      </c>
      <c r="G77" s="443" t="str">
        <f>VLOOKUP($A77, 'Matriz POA 2024-TRABAJO'!$A$5:$CY$9142,24,FALSE)</f>
        <v>Contratación del servicio de Aseo y limpieza para el Museo Nuclear Corporación Ciudad Alfaro, durante el período 2024-2025</v>
      </c>
      <c r="H77" s="442" t="str">
        <f>VLOOKUP($A77, 'Matriz POA 2024-TRABAJO'!$A$5:$CY$9142,25,FALSE)</f>
        <v>0035</v>
      </c>
      <c r="I77" s="442" t="str">
        <f>VLOOKUP($A77, 'Matriz POA 2024-TRABAJO'!$A$5:$CY$9142,26,FALSE)</f>
        <v>80</v>
      </c>
      <c r="J77" s="442" t="str">
        <f>VLOOKUP($A77, 'Matriz POA 2024-TRABAJO'!$A$5:$CY$9142,27,FALSE)</f>
        <v>000</v>
      </c>
      <c r="K77" s="444" t="str">
        <f>VLOOKUP($A77, 'Matriz POA 2024-TRABAJO'!$A$5:$CY$9142,28,FALSE)</f>
        <v>002</v>
      </c>
      <c r="L77" s="444" t="str">
        <f>VLOOKUP($A77, 'Matriz POA 2024-TRABAJO'!$A$5:$CY$9142,29,FALSE)</f>
        <v>53</v>
      </c>
      <c r="M77" s="444">
        <f>VLOOKUP($A77, 'Matriz POA 2024-TRABAJO'!$A$5:$CY$9142,30,FALSE)</f>
        <v>530209</v>
      </c>
      <c r="N77" s="444" t="str">
        <f>VLOOKUP($A77, 'Matriz POA 2024-TRABAJO'!$A$5:$CY$9142,33,FALSE)</f>
        <v>001</v>
      </c>
      <c r="O77" s="444" t="str">
        <f>VLOOKUP($A77, 'Matriz POA 2024-TRABAJO'!$A$5:$CY$9142,34,FALSE)</f>
        <v>0000</v>
      </c>
      <c r="P77" s="444" t="str">
        <f>VLOOKUP($A77, 'Matriz POA 2024-TRABAJO'!$A$5:$CY$9142,35,FALSE)</f>
        <v>0000</v>
      </c>
      <c r="Q77" s="445">
        <f>VLOOKUP($A77, 'Matriz POA 2024-TRABAJO'!$A$5:$CY$9142,47,FALSE)</f>
        <v>5340.6</v>
      </c>
      <c r="R77" s="446">
        <f t="shared" si="45"/>
        <v>5340.6</v>
      </c>
      <c r="S77" s="446">
        <f t="shared" si="46"/>
        <v>5340.6</v>
      </c>
      <c r="T77" s="446">
        <f t="shared" si="47"/>
        <v>0</v>
      </c>
      <c r="U77" s="446">
        <f t="shared" si="48"/>
        <v>0</v>
      </c>
      <c r="V77" s="446" t="str">
        <f t="shared" si="49"/>
        <v>8295101</v>
      </c>
      <c r="W77" s="511">
        <v>82</v>
      </c>
      <c r="X77" s="404" t="s">
        <v>1305</v>
      </c>
      <c r="Y77" s="404" t="s">
        <v>1861</v>
      </c>
      <c r="Z77" s="404">
        <f t="shared" ref="Z77:AA79" si="89">5344-5344</f>
        <v>0</v>
      </c>
      <c r="AA77" s="404">
        <f t="shared" si="89"/>
        <v>0</v>
      </c>
      <c r="AB77" s="398">
        <f t="shared" si="41"/>
        <v>0</v>
      </c>
      <c r="AC77" s="511">
        <v>95</v>
      </c>
      <c r="AD77" s="404" t="s">
        <v>1303</v>
      </c>
      <c r="AE77" s="404" t="s">
        <v>1997</v>
      </c>
      <c r="AF77" s="404">
        <f t="shared" ref="AF77:AG79" si="90">5344-5344</f>
        <v>0</v>
      </c>
      <c r="AG77" s="398">
        <f t="shared" si="90"/>
        <v>0</v>
      </c>
      <c r="AH77" s="398">
        <f>IF(AD77="APROBADO",AF77-AG77,0)</f>
        <v>0</v>
      </c>
      <c r="AI77" s="512">
        <v>101</v>
      </c>
      <c r="AJ77" s="404" t="s">
        <v>1996</v>
      </c>
      <c r="AK77" s="404" t="s">
        <v>1997</v>
      </c>
      <c r="AL77" s="404">
        <v>5340.6</v>
      </c>
      <c r="AM77" s="398">
        <v>5340.6</v>
      </c>
      <c r="AN77" s="398">
        <f t="shared" si="37"/>
        <v>0</v>
      </c>
      <c r="AO77" s="398"/>
      <c r="AP77" s="404"/>
      <c r="AQ77" s="404"/>
      <c r="AR77" s="404"/>
      <c r="AS77" s="398"/>
      <c r="AT77" s="398">
        <f t="shared" si="38"/>
        <v>0</v>
      </c>
      <c r="AU77" s="398"/>
      <c r="AV77" s="404"/>
      <c r="AW77" s="404"/>
      <c r="AX77" s="404"/>
      <c r="AY77" s="404"/>
      <c r="AZ77" s="398">
        <f t="shared" si="39"/>
        <v>0</v>
      </c>
      <c r="BA77" s="398"/>
      <c r="BB77" s="404"/>
      <c r="BC77" s="404"/>
      <c r="BD77" s="404"/>
      <c r="BE77" s="398"/>
      <c r="BF77" s="398">
        <f t="shared" si="40"/>
        <v>0</v>
      </c>
      <c r="BG77" s="398"/>
      <c r="BH77" s="404"/>
      <c r="BI77" s="404"/>
      <c r="BJ77" s="404"/>
      <c r="BK77" s="398"/>
      <c r="BL77" s="398">
        <f t="shared" si="51"/>
        <v>0</v>
      </c>
      <c r="BM77" s="398"/>
      <c r="BN77" s="404"/>
      <c r="BO77" s="404"/>
      <c r="BP77" s="404"/>
      <c r="BQ77" s="398"/>
      <c r="BR77" s="398">
        <f t="shared" si="52"/>
        <v>0</v>
      </c>
      <c r="BS77" s="398"/>
      <c r="BT77" s="404"/>
      <c r="BU77" s="404"/>
      <c r="BV77" s="404"/>
      <c r="BW77" s="398"/>
      <c r="BX77" s="398">
        <f t="shared" si="53"/>
        <v>0</v>
      </c>
      <c r="BY77" s="398"/>
      <c r="BZ77" s="404"/>
      <c r="CA77" s="404"/>
      <c r="CB77" s="404"/>
      <c r="CC77" s="398"/>
      <c r="CD77" s="398">
        <f t="shared" si="54"/>
        <v>0</v>
      </c>
      <c r="CE77" s="398"/>
      <c r="CF77" s="404"/>
      <c r="CG77" s="404"/>
      <c r="CH77" s="404"/>
      <c r="CI77" s="398"/>
      <c r="CJ77" s="398">
        <f t="shared" si="55"/>
        <v>0</v>
      </c>
      <c r="CK77" s="398"/>
      <c r="CL77" s="404"/>
      <c r="CM77" s="404"/>
      <c r="CN77" s="404"/>
      <c r="CO77" s="398"/>
      <c r="CP77" s="398">
        <f t="shared" si="56"/>
        <v>0</v>
      </c>
      <c r="CQ77" s="398"/>
      <c r="CR77" s="404"/>
      <c r="CS77" s="404"/>
      <c r="CT77" s="404"/>
      <c r="CU77" s="398"/>
      <c r="CV77" s="398">
        <f t="shared" si="57"/>
        <v>0</v>
      </c>
      <c r="CW77" s="398"/>
      <c r="CX77" s="404"/>
      <c r="CY77" s="404"/>
      <c r="CZ77" s="404"/>
      <c r="DA77" s="398"/>
      <c r="DB77" s="398">
        <f t="shared" si="58"/>
        <v>0</v>
      </c>
      <c r="DC77" s="398"/>
      <c r="DD77" s="404"/>
      <c r="DE77" s="404"/>
      <c r="DF77" s="404"/>
      <c r="DG77" s="398"/>
      <c r="DH77" s="398">
        <f t="shared" si="59"/>
        <v>0</v>
      </c>
      <c r="DI77" s="398"/>
      <c r="DJ77" s="404"/>
      <c r="DK77" s="404"/>
      <c r="DL77" s="404"/>
      <c r="DM77" s="398"/>
      <c r="DN77" s="398">
        <f t="shared" si="60"/>
        <v>0</v>
      </c>
      <c r="DO77" s="398"/>
      <c r="DP77" s="404"/>
      <c r="DQ77" s="404"/>
      <c r="DR77" s="404"/>
      <c r="DS77" s="398"/>
      <c r="DT77" s="398">
        <f t="shared" si="61"/>
        <v>0</v>
      </c>
      <c r="DU77" s="398"/>
      <c r="DV77" s="404"/>
      <c r="DW77" s="404"/>
      <c r="DX77" s="404"/>
      <c r="DY77" s="398"/>
      <c r="DZ77" s="398">
        <f t="shared" si="62"/>
        <v>0</v>
      </c>
      <c r="EA77" s="398"/>
      <c r="EB77" s="404"/>
      <c r="EC77" s="404"/>
      <c r="ED77" s="404"/>
      <c r="EE77" s="398"/>
      <c r="EF77" s="398">
        <f t="shared" si="63"/>
        <v>0</v>
      </c>
      <c r="EG77" s="398"/>
      <c r="EH77" s="404"/>
      <c r="EI77" s="404"/>
      <c r="EJ77" s="404"/>
      <c r="EK77" s="398"/>
      <c r="EL77" s="398">
        <f t="shared" si="64"/>
        <v>0</v>
      </c>
      <c r="EM77" s="398"/>
      <c r="EN77" s="404"/>
      <c r="EO77" s="404"/>
      <c r="EP77" s="404"/>
      <c r="EQ77" s="398"/>
      <c r="ER77" s="398">
        <f t="shared" si="65"/>
        <v>0</v>
      </c>
      <c r="ES77" s="398"/>
      <c r="ET77" s="404"/>
      <c r="EU77" s="404"/>
      <c r="EV77" s="404"/>
      <c r="EW77" s="398"/>
      <c r="EX77" s="398">
        <f t="shared" si="66"/>
        <v>0</v>
      </c>
      <c r="EY77" s="398" t="e">
        <f>VLOOKUP($A77,[2]Devengado!$A$1:$AI$3,35,FALSE)</f>
        <v>#N/A</v>
      </c>
    </row>
    <row r="78" spans="1:155" ht="23.25" hidden="1" customHeight="1">
      <c r="A78" s="341">
        <v>875</v>
      </c>
      <c r="B78" s="442" t="str">
        <f>VLOOKUP($A78,  'Matriz POA 2024-TRABAJO'!$A$5:$CY$9142,11,FALSE)</f>
        <v>Corporación Ciudad Alfaro</v>
      </c>
      <c r="C78" s="442" t="str">
        <f>VLOOKUP($A78, 'Matriz POA 2024-TRABAJO'!$A$5:$CY$9142,14,FALSE)</f>
        <v>N/A</v>
      </c>
      <c r="D78" s="442" t="str">
        <f>VLOOKUP($A78, 'Matriz POA 2024-TRABAJO'!$A$5:$CY$9142,15,FALSE)</f>
        <v>N/A</v>
      </c>
      <c r="E78" s="442" t="str">
        <f>VLOOKUP($A78, 'Matriz POA 2024-TRABAJO'!$A$5:$CY$9142,18,FALSE)</f>
        <v>N/A</v>
      </c>
      <c r="F78" s="442" t="str">
        <f>VLOOKUP($A78, 'Matriz POA 2024-TRABAJO'!$A$5:$CY$9142,23,FALSE)</f>
        <v>PLURIANUAL 2024 - 2025</v>
      </c>
      <c r="G78" s="443" t="str">
        <f>VLOOKUP($A78, 'Matriz POA 2024-TRABAJO'!$A$5:$CY$9142,24,FALSE)</f>
        <v>Contratación del servicio de Aseo y limpieza para el Museo Centro Cultural Manta, durante el período 2024-2025</v>
      </c>
      <c r="H78" s="442" t="str">
        <f>VLOOKUP($A78, 'Matriz POA 2024-TRABAJO'!$A$5:$CY$9142,25,FALSE)</f>
        <v>0035</v>
      </c>
      <c r="I78" s="442" t="str">
        <f>VLOOKUP($A78, 'Matriz POA 2024-TRABAJO'!$A$5:$CY$9142,26,FALSE)</f>
        <v>80</v>
      </c>
      <c r="J78" s="442" t="str">
        <f>VLOOKUP($A78, 'Matriz POA 2024-TRABAJO'!$A$5:$CY$9142,27,FALSE)</f>
        <v>000</v>
      </c>
      <c r="K78" s="444" t="str">
        <f>VLOOKUP($A78, 'Matriz POA 2024-TRABAJO'!$A$5:$CY$9142,28,FALSE)</f>
        <v>002</v>
      </c>
      <c r="L78" s="444" t="str">
        <f>VLOOKUP($A78, 'Matriz POA 2024-TRABAJO'!$A$5:$CY$9142,29,FALSE)</f>
        <v>53</v>
      </c>
      <c r="M78" s="444">
        <f>VLOOKUP($A78, 'Matriz POA 2024-TRABAJO'!$A$5:$CY$9142,30,FALSE)</f>
        <v>530209</v>
      </c>
      <c r="N78" s="444" t="str">
        <f>VLOOKUP($A78, 'Matriz POA 2024-TRABAJO'!$A$5:$CY$9142,33,FALSE)</f>
        <v>001</v>
      </c>
      <c r="O78" s="444" t="str">
        <f>VLOOKUP($A78, 'Matriz POA 2024-TRABAJO'!$A$5:$CY$9142,34,FALSE)</f>
        <v>0000</v>
      </c>
      <c r="P78" s="444" t="str">
        <f>VLOOKUP($A78, 'Matriz POA 2024-TRABAJO'!$A$5:$CY$9142,35,FALSE)</f>
        <v>0000</v>
      </c>
      <c r="Q78" s="445">
        <f>VLOOKUP($A78, 'Matriz POA 2024-TRABAJO'!$A$5:$CY$9142,47,FALSE)</f>
        <v>5340.6</v>
      </c>
      <c r="R78" s="446">
        <f t="shared" si="45"/>
        <v>5340.6</v>
      </c>
      <c r="S78" s="446">
        <f t="shared" si="46"/>
        <v>5340.6</v>
      </c>
      <c r="T78" s="446">
        <f t="shared" si="47"/>
        <v>0</v>
      </c>
      <c r="U78" s="446">
        <f t="shared" si="48"/>
        <v>0</v>
      </c>
      <c r="V78" s="446" t="str">
        <f t="shared" si="49"/>
        <v>8394102</v>
      </c>
      <c r="W78" s="511">
        <v>83</v>
      </c>
      <c r="X78" s="404" t="s">
        <v>1305</v>
      </c>
      <c r="Y78" s="404" t="s">
        <v>1861</v>
      </c>
      <c r="Z78" s="404">
        <f t="shared" si="89"/>
        <v>0</v>
      </c>
      <c r="AA78" s="404">
        <f t="shared" si="89"/>
        <v>0</v>
      </c>
      <c r="AB78" s="398">
        <f t="shared" si="41"/>
        <v>0</v>
      </c>
      <c r="AC78" s="512">
        <v>94</v>
      </c>
      <c r="AD78" s="404" t="s">
        <v>1303</v>
      </c>
      <c r="AE78" s="404" t="s">
        <v>1997</v>
      </c>
      <c r="AF78" s="404">
        <f t="shared" si="90"/>
        <v>0</v>
      </c>
      <c r="AG78" s="398">
        <f t="shared" si="90"/>
        <v>0</v>
      </c>
      <c r="AH78" s="398">
        <f t="shared" ref="AH78" si="91">IF(AD78="APROBADO",AF78-AG78,0)</f>
        <v>0</v>
      </c>
      <c r="AI78" s="512">
        <v>102</v>
      </c>
      <c r="AJ78" s="404" t="s">
        <v>1996</v>
      </c>
      <c r="AK78" s="404" t="s">
        <v>1997</v>
      </c>
      <c r="AL78" s="404">
        <v>5340.6</v>
      </c>
      <c r="AM78" s="398">
        <v>5340.6</v>
      </c>
      <c r="AN78" s="398">
        <f t="shared" si="37"/>
        <v>0</v>
      </c>
      <c r="AO78" s="398"/>
      <c r="AP78" s="404"/>
      <c r="AQ78" s="404"/>
      <c r="AR78" s="404"/>
      <c r="AS78" s="398"/>
      <c r="AT78" s="398">
        <f t="shared" si="38"/>
        <v>0</v>
      </c>
      <c r="AU78" s="398"/>
      <c r="AV78" s="404"/>
      <c r="AW78" s="404"/>
      <c r="AX78" s="404"/>
      <c r="AY78" s="404"/>
      <c r="AZ78" s="398">
        <f t="shared" si="39"/>
        <v>0</v>
      </c>
      <c r="BA78" s="398"/>
      <c r="BB78" s="404"/>
      <c r="BC78" s="404"/>
      <c r="BD78" s="404"/>
      <c r="BE78" s="398"/>
      <c r="BF78" s="398">
        <f t="shared" si="40"/>
        <v>0</v>
      </c>
      <c r="BG78" s="398"/>
      <c r="BH78" s="404"/>
      <c r="BI78" s="404"/>
      <c r="BJ78" s="404"/>
      <c r="BK78" s="398"/>
      <c r="BL78" s="398">
        <f t="shared" si="51"/>
        <v>0</v>
      </c>
      <c r="BM78" s="398"/>
      <c r="BN78" s="404"/>
      <c r="BO78" s="404"/>
      <c r="BP78" s="404"/>
      <c r="BQ78" s="398"/>
      <c r="BR78" s="398">
        <f t="shared" si="52"/>
        <v>0</v>
      </c>
      <c r="BS78" s="398"/>
      <c r="BT78" s="404"/>
      <c r="BU78" s="404"/>
      <c r="BV78" s="404"/>
      <c r="BW78" s="398"/>
      <c r="BX78" s="398">
        <f t="shared" si="53"/>
        <v>0</v>
      </c>
      <c r="BY78" s="398"/>
      <c r="BZ78" s="404"/>
      <c r="CA78" s="404"/>
      <c r="CB78" s="404"/>
      <c r="CC78" s="398"/>
      <c r="CD78" s="398">
        <f t="shared" si="54"/>
        <v>0</v>
      </c>
      <c r="CE78" s="398"/>
      <c r="CF78" s="404"/>
      <c r="CG78" s="404"/>
      <c r="CH78" s="404"/>
      <c r="CI78" s="398"/>
      <c r="CJ78" s="398">
        <f t="shared" si="55"/>
        <v>0</v>
      </c>
      <c r="CK78" s="398"/>
      <c r="CL78" s="404"/>
      <c r="CM78" s="404"/>
      <c r="CN78" s="404"/>
      <c r="CO78" s="398"/>
      <c r="CP78" s="398">
        <f t="shared" si="56"/>
        <v>0</v>
      </c>
      <c r="CQ78" s="398"/>
      <c r="CR78" s="404"/>
      <c r="CS78" s="404"/>
      <c r="CT78" s="404"/>
      <c r="CU78" s="398"/>
      <c r="CV78" s="398">
        <f t="shared" si="57"/>
        <v>0</v>
      </c>
      <c r="CW78" s="398"/>
      <c r="CX78" s="404"/>
      <c r="CY78" s="404"/>
      <c r="CZ78" s="404"/>
      <c r="DA78" s="398"/>
      <c r="DB78" s="398">
        <f t="shared" si="58"/>
        <v>0</v>
      </c>
      <c r="DC78" s="398"/>
      <c r="DD78" s="404"/>
      <c r="DE78" s="404"/>
      <c r="DF78" s="404"/>
      <c r="DG78" s="398"/>
      <c r="DH78" s="398">
        <f t="shared" si="59"/>
        <v>0</v>
      </c>
      <c r="DI78" s="398"/>
      <c r="DJ78" s="404"/>
      <c r="DK78" s="404"/>
      <c r="DL78" s="404"/>
      <c r="DM78" s="398"/>
      <c r="DN78" s="398">
        <f t="shared" si="60"/>
        <v>0</v>
      </c>
      <c r="DO78" s="398"/>
      <c r="DP78" s="404"/>
      <c r="DQ78" s="404"/>
      <c r="DR78" s="404"/>
      <c r="DS78" s="398"/>
      <c r="DT78" s="398">
        <f t="shared" si="61"/>
        <v>0</v>
      </c>
      <c r="DU78" s="398"/>
      <c r="DV78" s="404"/>
      <c r="DW78" s="404"/>
      <c r="DX78" s="404"/>
      <c r="DY78" s="398"/>
      <c r="DZ78" s="398">
        <f t="shared" si="62"/>
        <v>0</v>
      </c>
      <c r="EA78" s="398"/>
      <c r="EB78" s="404"/>
      <c r="EC78" s="404"/>
      <c r="ED78" s="404"/>
      <c r="EE78" s="398"/>
      <c r="EF78" s="398">
        <f t="shared" si="63"/>
        <v>0</v>
      </c>
      <c r="EG78" s="398"/>
      <c r="EH78" s="404"/>
      <c r="EI78" s="404"/>
      <c r="EJ78" s="404"/>
      <c r="EK78" s="398"/>
      <c r="EL78" s="398">
        <f t="shared" si="64"/>
        <v>0</v>
      </c>
      <c r="EM78" s="398"/>
      <c r="EN78" s="404"/>
      <c r="EO78" s="404"/>
      <c r="EP78" s="404"/>
      <c r="EQ78" s="398"/>
      <c r="ER78" s="398">
        <f t="shared" si="65"/>
        <v>0</v>
      </c>
      <c r="ES78" s="398"/>
      <c r="ET78" s="404"/>
      <c r="EU78" s="404"/>
      <c r="EV78" s="404"/>
      <c r="EW78" s="398"/>
      <c r="EX78" s="398">
        <f t="shared" si="66"/>
        <v>0</v>
      </c>
      <c r="EY78" s="398" t="e">
        <f>VLOOKUP($A78,[2]Devengado!$A$1:$AI$3,35,FALSE)</f>
        <v>#N/A</v>
      </c>
    </row>
    <row r="79" spans="1:155" ht="23.25" hidden="1" customHeight="1">
      <c r="A79" s="341">
        <v>876</v>
      </c>
      <c r="B79" s="442" t="str">
        <f>VLOOKUP($A79,  'Matriz POA 2024-TRABAJO'!$A$5:$CY$9142,11,FALSE)</f>
        <v>Corporación Ciudad Alfaro</v>
      </c>
      <c r="C79" s="442" t="str">
        <f>VLOOKUP($A79, 'Matriz POA 2024-TRABAJO'!$A$5:$CY$9142,14,FALSE)</f>
        <v>N/A</v>
      </c>
      <c r="D79" s="442" t="str">
        <f>VLOOKUP($A79, 'Matriz POA 2024-TRABAJO'!$A$5:$CY$9142,15,FALSE)</f>
        <v>N/A</v>
      </c>
      <c r="E79" s="442" t="str">
        <f>VLOOKUP($A79, 'Matriz POA 2024-TRABAJO'!$A$5:$CY$9142,18,FALSE)</f>
        <v>N/A</v>
      </c>
      <c r="F79" s="442" t="str">
        <f>VLOOKUP($A79, 'Matriz POA 2024-TRABAJO'!$A$5:$CY$9142,23,FALSE)</f>
        <v>PLURIANUAL 2024 - 2025</v>
      </c>
      <c r="G79" s="443" t="str">
        <f>VLOOKUP($A79, 'Matriz POA 2024-TRABAJO'!$A$5:$CY$9142,24,FALSE)</f>
        <v>Contratación del servicio de Aseo y limpieza para el Museo Bahía de Caráquez, durante el período 2024-2025</v>
      </c>
      <c r="H79" s="442" t="str">
        <f>VLOOKUP($A79, 'Matriz POA 2024-TRABAJO'!$A$5:$CY$9142,25,FALSE)</f>
        <v>0035</v>
      </c>
      <c r="I79" s="442" t="str">
        <f>VLOOKUP($A79, 'Matriz POA 2024-TRABAJO'!$A$5:$CY$9142,26,FALSE)</f>
        <v>80</v>
      </c>
      <c r="J79" s="442" t="str">
        <f>VLOOKUP($A79, 'Matriz POA 2024-TRABAJO'!$A$5:$CY$9142,27,FALSE)</f>
        <v>000</v>
      </c>
      <c r="K79" s="444" t="str">
        <f>VLOOKUP($A79, 'Matriz POA 2024-TRABAJO'!$A$5:$CY$9142,28,FALSE)</f>
        <v>002</v>
      </c>
      <c r="L79" s="444" t="str">
        <f>VLOOKUP($A79, 'Matriz POA 2024-TRABAJO'!$A$5:$CY$9142,29,FALSE)</f>
        <v>53</v>
      </c>
      <c r="M79" s="444">
        <f>VLOOKUP($A79, 'Matriz POA 2024-TRABAJO'!$A$5:$CY$9142,30,FALSE)</f>
        <v>530209</v>
      </c>
      <c r="N79" s="444" t="str">
        <f>VLOOKUP($A79, 'Matriz POA 2024-TRABAJO'!$A$5:$CY$9142,33,FALSE)</f>
        <v>001</v>
      </c>
      <c r="O79" s="444" t="str">
        <f>VLOOKUP($A79, 'Matriz POA 2024-TRABAJO'!$A$5:$CY$9142,34,FALSE)</f>
        <v>0000</v>
      </c>
      <c r="P79" s="444" t="str">
        <f>VLOOKUP($A79, 'Matriz POA 2024-TRABAJO'!$A$5:$CY$9142,35,FALSE)</f>
        <v>0000</v>
      </c>
      <c r="Q79" s="445">
        <f>VLOOKUP($A79, 'Matriz POA 2024-TRABAJO'!$A$5:$CY$9142,47,FALSE)</f>
        <v>5340.6</v>
      </c>
      <c r="R79" s="446">
        <f t="shared" si="45"/>
        <v>5340.6</v>
      </c>
      <c r="S79" s="446">
        <f t="shared" si="46"/>
        <v>5340.6</v>
      </c>
      <c r="T79" s="446">
        <f t="shared" si="47"/>
        <v>0</v>
      </c>
      <c r="U79" s="446">
        <f t="shared" si="48"/>
        <v>0</v>
      </c>
      <c r="V79" s="446" t="str">
        <f t="shared" si="49"/>
        <v>8493103</v>
      </c>
      <c r="W79" s="511">
        <v>84</v>
      </c>
      <c r="X79" s="404" t="s">
        <v>1305</v>
      </c>
      <c r="Y79" s="404" t="s">
        <v>1861</v>
      </c>
      <c r="Z79" s="404">
        <f t="shared" si="89"/>
        <v>0</v>
      </c>
      <c r="AA79" s="404">
        <f t="shared" si="89"/>
        <v>0</v>
      </c>
      <c r="AB79" s="398">
        <f t="shared" si="41"/>
        <v>0</v>
      </c>
      <c r="AC79" s="511">
        <v>93</v>
      </c>
      <c r="AD79" s="404" t="s">
        <v>1303</v>
      </c>
      <c r="AE79" s="404" t="s">
        <v>1997</v>
      </c>
      <c r="AF79" s="404">
        <f t="shared" si="90"/>
        <v>0</v>
      </c>
      <c r="AG79" s="398">
        <f t="shared" si="90"/>
        <v>0</v>
      </c>
      <c r="AH79" s="398">
        <f>IF(AD79="APROBADO",AF79-AG79,0)</f>
        <v>0</v>
      </c>
      <c r="AI79" s="512">
        <v>103</v>
      </c>
      <c r="AJ79" s="404" t="s">
        <v>1996</v>
      </c>
      <c r="AK79" s="404" t="s">
        <v>1997</v>
      </c>
      <c r="AL79" s="404">
        <v>5340.6</v>
      </c>
      <c r="AM79" s="398">
        <v>5340.6</v>
      </c>
      <c r="AN79" s="398">
        <f t="shared" si="37"/>
        <v>0</v>
      </c>
      <c r="AO79" s="398"/>
      <c r="AP79" s="404"/>
      <c r="AQ79" s="404"/>
      <c r="AR79" s="404"/>
      <c r="AS79" s="398"/>
      <c r="AT79" s="398">
        <f t="shared" si="38"/>
        <v>0</v>
      </c>
      <c r="AU79" s="398"/>
      <c r="AV79" s="404"/>
      <c r="AW79" s="404"/>
      <c r="AX79" s="404"/>
      <c r="AY79" s="404"/>
      <c r="AZ79" s="398">
        <f t="shared" si="39"/>
        <v>0</v>
      </c>
      <c r="BA79" s="398"/>
      <c r="BB79" s="404"/>
      <c r="BC79" s="404"/>
      <c r="BD79" s="404"/>
      <c r="BE79" s="398"/>
      <c r="BF79" s="398">
        <f t="shared" si="40"/>
        <v>0</v>
      </c>
      <c r="BG79" s="398"/>
      <c r="BH79" s="404"/>
      <c r="BI79" s="404"/>
      <c r="BJ79" s="404"/>
      <c r="BK79" s="398"/>
      <c r="BL79" s="398">
        <f t="shared" si="51"/>
        <v>0</v>
      </c>
      <c r="BM79" s="398"/>
      <c r="BN79" s="404"/>
      <c r="BO79" s="404"/>
      <c r="BP79" s="404"/>
      <c r="BQ79" s="398"/>
      <c r="BR79" s="398">
        <f t="shared" si="52"/>
        <v>0</v>
      </c>
      <c r="BS79" s="398"/>
      <c r="BT79" s="404"/>
      <c r="BU79" s="404"/>
      <c r="BV79" s="404"/>
      <c r="BW79" s="398"/>
      <c r="BX79" s="398">
        <f t="shared" si="53"/>
        <v>0</v>
      </c>
      <c r="BY79" s="398"/>
      <c r="BZ79" s="404"/>
      <c r="CA79" s="404"/>
      <c r="CB79" s="404"/>
      <c r="CC79" s="398"/>
      <c r="CD79" s="398">
        <f t="shared" si="54"/>
        <v>0</v>
      </c>
      <c r="CE79" s="398"/>
      <c r="CF79" s="404"/>
      <c r="CG79" s="404"/>
      <c r="CH79" s="404"/>
      <c r="CI79" s="398"/>
      <c r="CJ79" s="398">
        <f t="shared" si="55"/>
        <v>0</v>
      </c>
      <c r="CK79" s="398"/>
      <c r="CL79" s="404"/>
      <c r="CM79" s="404"/>
      <c r="CN79" s="404"/>
      <c r="CO79" s="398"/>
      <c r="CP79" s="398">
        <f t="shared" si="56"/>
        <v>0</v>
      </c>
      <c r="CQ79" s="398"/>
      <c r="CR79" s="404"/>
      <c r="CS79" s="404"/>
      <c r="CT79" s="404"/>
      <c r="CU79" s="398"/>
      <c r="CV79" s="398">
        <f t="shared" si="57"/>
        <v>0</v>
      </c>
      <c r="CW79" s="398"/>
      <c r="CX79" s="404"/>
      <c r="CY79" s="404"/>
      <c r="CZ79" s="404"/>
      <c r="DA79" s="398"/>
      <c r="DB79" s="398">
        <f t="shared" si="58"/>
        <v>0</v>
      </c>
      <c r="DC79" s="398"/>
      <c r="DD79" s="404"/>
      <c r="DE79" s="404"/>
      <c r="DF79" s="404"/>
      <c r="DG79" s="398"/>
      <c r="DH79" s="398">
        <f t="shared" si="59"/>
        <v>0</v>
      </c>
      <c r="DI79" s="398"/>
      <c r="DJ79" s="404"/>
      <c r="DK79" s="404"/>
      <c r="DL79" s="404"/>
      <c r="DM79" s="398"/>
      <c r="DN79" s="398">
        <f t="shared" si="60"/>
        <v>0</v>
      </c>
      <c r="DO79" s="398"/>
      <c r="DP79" s="404"/>
      <c r="DQ79" s="404"/>
      <c r="DR79" s="404"/>
      <c r="DS79" s="398"/>
      <c r="DT79" s="398">
        <f t="shared" si="61"/>
        <v>0</v>
      </c>
      <c r="DU79" s="398"/>
      <c r="DV79" s="404"/>
      <c r="DW79" s="404"/>
      <c r="DX79" s="404"/>
      <c r="DY79" s="398"/>
      <c r="DZ79" s="398">
        <f t="shared" si="62"/>
        <v>0</v>
      </c>
      <c r="EA79" s="398"/>
      <c r="EB79" s="404"/>
      <c r="EC79" s="404"/>
      <c r="ED79" s="404"/>
      <c r="EE79" s="398"/>
      <c r="EF79" s="398">
        <f t="shared" si="63"/>
        <v>0</v>
      </c>
      <c r="EG79" s="398"/>
      <c r="EH79" s="404"/>
      <c r="EI79" s="404"/>
      <c r="EJ79" s="404"/>
      <c r="EK79" s="398"/>
      <c r="EL79" s="398">
        <f t="shared" si="64"/>
        <v>0</v>
      </c>
      <c r="EM79" s="398"/>
      <c r="EN79" s="404"/>
      <c r="EO79" s="404"/>
      <c r="EP79" s="404"/>
      <c r="EQ79" s="398"/>
      <c r="ER79" s="398">
        <f t="shared" si="65"/>
        <v>0</v>
      </c>
      <c r="ES79" s="398"/>
      <c r="ET79" s="404"/>
      <c r="EU79" s="404"/>
      <c r="EV79" s="404"/>
      <c r="EW79" s="398"/>
      <c r="EX79" s="398">
        <f t="shared" si="66"/>
        <v>0</v>
      </c>
      <c r="EY79" s="398" t="e">
        <f>VLOOKUP($A79,[2]Devengado!$A$1:$AI$3,35,FALSE)</f>
        <v>#N/A</v>
      </c>
    </row>
    <row r="80" spans="1:155" ht="23.25" hidden="1" customHeight="1">
      <c r="A80" s="341">
        <v>877</v>
      </c>
      <c r="B80" s="442" t="str">
        <f>VLOOKUP($A80,  'Matriz POA 2024-TRABAJO'!$A$5:$CY$9142,11,FALSE)</f>
        <v>Corporación Ciudad Alfaro</v>
      </c>
      <c r="C80" s="442" t="str">
        <f>VLOOKUP($A80, 'Matriz POA 2024-TRABAJO'!$A$5:$CY$9142,14,FALSE)</f>
        <v>N/A</v>
      </c>
      <c r="D80" s="442" t="str">
        <f>VLOOKUP($A80, 'Matriz POA 2024-TRABAJO'!$A$5:$CY$9142,15,FALSE)</f>
        <v>N/A</v>
      </c>
      <c r="E80" s="442" t="str">
        <f>VLOOKUP($A80, 'Matriz POA 2024-TRABAJO'!$A$5:$CY$9142,18,FALSE)</f>
        <v>N/A</v>
      </c>
      <c r="F80" s="442" t="str">
        <f>VLOOKUP($A80, 'Matriz POA 2024-TRABAJO'!$A$5:$CY$9142,23,FALSE)</f>
        <v>PLURIANUAL 2024 - 2025</v>
      </c>
      <c r="G80" s="443" t="str">
        <f>VLOOKUP($A80, 'Matriz POA 2024-TRABAJO'!$A$5:$CY$9142,24,FALSE)</f>
        <v>Contratación del servicio de vigilancia y seguridad privada para el Museo Nuclear Corporación Ciudad Alfaro y sus Sedes, durante el período 2024-2025</v>
      </c>
      <c r="H80" s="442" t="str">
        <f>VLOOKUP($A80, 'Matriz POA 2024-TRABAJO'!$A$5:$CY$9142,25,FALSE)</f>
        <v>0035</v>
      </c>
      <c r="I80" s="442" t="str">
        <f>VLOOKUP($A80, 'Matriz POA 2024-TRABAJO'!$A$5:$CY$9142,26,FALSE)</f>
        <v>80</v>
      </c>
      <c r="J80" s="442" t="str">
        <f>VLOOKUP($A80, 'Matriz POA 2024-TRABAJO'!$A$5:$CY$9142,27,FALSE)</f>
        <v>000</v>
      </c>
      <c r="K80" s="444" t="str">
        <f>VLOOKUP($A80, 'Matriz POA 2024-TRABAJO'!$A$5:$CY$9142,28,FALSE)</f>
        <v>002</v>
      </c>
      <c r="L80" s="444" t="str">
        <f>VLOOKUP($A80, 'Matriz POA 2024-TRABAJO'!$A$5:$CY$9142,29,FALSE)</f>
        <v>53</v>
      </c>
      <c r="M80" s="444">
        <f>VLOOKUP($A80, 'Matriz POA 2024-TRABAJO'!$A$5:$CY$9142,30,FALSE)</f>
        <v>530208</v>
      </c>
      <c r="N80" s="444" t="str">
        <f>VLOOKUP($A80, 'Matriz POA 2024-TRABAJO'!$A$5:$CY$9142,33,FALSE)</f>
        <v>001</v>
      </c>
      <c r="O80" s="444" t="str">
        <f>VLOOKUP($A80, 'Matriz POA 2024-TRABAJO'!$A$5:$CY$9142,34,FALSE)</f>
        <v>0000</v>
      </c>
      <c r="P80" s="444" t="str">
        <f>VLOOKUP($A80, 'Matriz POA 2024-TRABAJO'!$A$5:$CY$9142,35,FALSE)</f>
        <v>0000</v>
      </c>
      <c r="Q80" s="445">
        <f>VLOOKUP($A80, 'Matriz POA 2024-TRABAJO'!$A$5:$CY$9142,47,FALSE)</f>
        <v>9069.33</v>
      </c>
      <c r="R80" s="446">
        <f t="shared" si="45"/>
        <v>9069.33</v>
      </c>
      <c r="S80" s="446">
        <f t="shared" si="46"/>
        <v>9069.33</v>
      </c>
      <c r="T80" s="446">
        <f t="shared" si="47"/>
        <v>0</v>
      </c>
      <c r="U80" s="446">
        <f t="shared" si="48"/>
        <v>0</v>
      </c>
      <c r="V80" s="446" t="str">
        <f t="shared" si="49"/>
        <v>859199</v>
      </c>
      <c r="W80" s="511">
        <v>85</v>
      </c>
      <c r="X80" s="404" t="s">
        <v>1305</v>
      </c>
      <c r="Y80" s="404" t="s">
        <v>1861</v>
      </c>
      <c r="Z80" s="404">
        <f>16-16</f>
        <v>0</v>
      </c>
      <c r="AA80" s="404">
        <f>16-16</f>
        <v>0</v>
      </c>
      <c r="AB80" s="398">
        <f t="shared" si="41"/>
        <v>0</v>
      </c>
      <c r="AC80" s="512">
        <v>91</v>
      </c>
      <c r="AD80" s="404" t="s">
        <v>1303</v>
      </c>
      <c r="AE80" s="404" t="s">
        <v>1997</v>
      </c>
      <c r="AF80" s="404">
        <f>9204-9204</f>
        <v>0</v>
      </c>
      <c r="AG80" s="398">
        <f>9204-9204</f>
        <v>0</v>
      </c>
      <c r="AH80" s="398">
        <f t="shared" ref="AH80" si="92">IF(AD80="APROBADO",AF80-AG80,0)</f>
        <v>0</v>
      </c>
      <c r="AI80" s="512">
        <v>99</v>
      </c>
      <c r="AJ80" s="404" t="s">
        <v>1996</v>
      </c>
      <c r="AK80" s="404" t="s">
        <v>1997</v>
      </c>
      <c r="AL80" s="404">
        <v>9069.33</v>
      </c>
      <c r="AM80" s="398">
        <v>9069.33</v>
      </c>
      <c r="AN80" s="398">
        <f t="shared" si="37"/>
        <v>0</v>
      </c>
      <c r="AO80" s="398"/>
      <c r="AP80" s="404"/>
      <c r="AQ80" s="404"/>
      <c r="AR80" s="404"/>
      <c r="AS80" s="398"/>
      <c r="AT80" s="398">
        <f t="shared" si="38"/>
        <v>0</v>
      </c>
      <c r="AU80" s="398"/>
      <c r="AV80" s="404"/>
      <c r="AW80" s="404"/>
      <c r="AX80" s="404"/>
      <c r="AY80" s="404"/>
      <c r="AZ80" s="398">
        <f t="shared" si="39"/>
        <v>0</v>
      </c>
      <c r="BA80" s="398"/>
      <c r="BB80" s="404"/>
      <c r="BC80" s="404"/>
      <c r="BD80" s="404"/>
      <c r="BE80" s="398"/>
      <c r="BF80" s="398">
        <f t="shared" si="40"/>
        <v>0</v>
      </c>
      <c r="BG80" s="398"/>
      <c r="BH80" s="404"/>
      <c r="BI80" s="404"/>
      <c r="BJ80" s="404"/>
      <c r="BK80" s="398"/>
      <c r="BL80" s="398">
        <f t="shared" si="51"/>
        <v>0</v>
      </c>
      <c r="BM80" s="398"/>
      <c r="BN80" s="404"/>
      <c r="BO80" s="404"/>
      <c r="BP80" s="404"/>
      <c r="BQ80" s="398"/>
      <c r="BR80" s="398">
        <f t="shared" si="52"/>
        <v>0</v>
      </c>
      <c r="BS80" s="398"/>
      <c r="BT80" s="404"/>
      <c r="BU80" s="404"/>
      <c r="BV80" s="404"/>
      <c r="BW80" s="398"/>
      <c r="BX80" s="398">
        <f t="shared" si="53"/>
        <v>0</v>
      </c>
      <c r="BY80" s="398"/>
      <c r="BZ80" s="404"/>
      <c r="CA80" s="404"/>
      <c r="CB80" s="404"/>
      <c r="CC80" s="398"/>
      <c r="CD80" s="398">
        <f t="shared" si="54"/>
        <v>0</v>
      </c>
      <c r="CE80" s="398"/>
      <c r="CF80" s="404"/>
      <c r="CG80" s="404"/>
      <c r="CH80" s="404"/>
      <c r="CI80" s="398"/>
      <c r="CJ80" s="398">
        <f t="shared" si="55"/>
        <v>0</v>
      </c>
      <c r="CK80" s="398"/>
      <c r="CL80" s="404"/>
      <c r="CM80" s="404"/>
      <c r="CN80" s="404"/>
      <c r="CO80" s="398"/>
      <c r="CP80" s="398">
        <f t="shared" si="56"/>
        <v>0</v>
      </c>
      <c r="CQ80" s="398"/>
      <c r="CR80" s="404"/>
      <c r="CS80" s="404"/>
      <c r="CT80" s="404"/>
      <c r="CU80" s="398"/>
      <c r="CV80" s="398">
        <f t="shared" si="57"/>
        <v>0</v>
      </c>
      <c r="CW80" s="398"/>
      <c r="CX80" s="404"/>
      <c r="CY80" s="404"/>
      <c r="CZ80" s="404"/>
      <c r="DA80" s="398"/>
      <c r="DB80" s="398">
        <f t="shared" si="58"/>
        <v>0</v>
      </c>
      <c r="DC80" s="398"/>
      <c r="DD80" s="404"/>
      <c r="DE80" s="404"/>
      <c r="DF80" s="404"/>
      <c r="DG80" s="398"/>
      <c r="DH80" s="398">
        <f t="shared" si="59"/>
        <v>0</v>
      </c>
      <c r="DI80" s="398"/>
      <c r="DJ80" s="404"/>
      <c r="DK80" s="404"/>
      <c r="DL80" s="404"/>
      <c r="DM80" s="398"/>
      <c r="DN80" s="398">
        <f t="shared" si="60"/>
        <v>0</v>
      </c>
      <c r="DO80" s="398"/>
      <c r="DP80" s="404"/>
      <c r="DQ80" s="404"/>
      <c r="DR80" s="404"/>
      <c r="DS80" s="398"/>
      <c r="DT80" s="398">
        <f t="shared" si="61"/>
        <v>0</v>
      </c>
      <c r="DU80" s="398"/>
      <c r="DV80" s="404"/>
      <c r="DW80" s="404"/>
      <c r="DX80" s="404"/>
      <c r="DY80" s="398"/>
      <c r="DZ80" s="398">
        <f t="shared" si="62"/>
        <v>0</v>
      </c>
      <c r="EA80" s="398"/>
      <c r="EB80" s="404"/>
      <c r="EC80" s="404"/>
      <c r="ED80" s="404"/>
      <c r="EE80" s="398"/>
      <c r="EF80" s="398">
        <f t="shared" si="63"/>
        <v>0</v>
      </c>
      <c r="EG80" s="398"/>
      <c r="EH80" s="404"/>
      <c r="EI80" s="404"/>
      <c r="EJ80" s="404"/>
      <c r="EK80" s="398"/>
      <c r="EL80" s="398">
        <f t="shared" si="64"/>
        <v>0</v>
      </c>
      <c r="EM80" s="398"/>
      <c r="EN80" s="404"/>
      <c r="EO80" s="404"/>
      <c r="EP80" s="404"/>
      <c r="EQ80" s="398"/>
      <c r="ER80" s="398">
        <f t="shared" si="65"/>
        <v>0</v>
      </c>
      <c r="ES80" s="398"/>
      <c r="ET80" s="404"/>
      <c r="EU80" s="404"/>
      <c r="EV80" s="404"/>
      <c r="EW80" s="398"/>
      <c r="EX80" s="398">
        <f t="shared" si="66"/>
        <v>0</v>
      </c>
      <c r="EY80" s="398" t="e">
        <f>VLOOKUP($A80,[2]Devengado!$A$1:$AI$3,35,FALSE)</f>
        <v>#N/A</v>
      </c>
    </row>
    <row r="81" spans="1:155" ht="23.25" hidden="1" customHeight="1">
      <c r="A81" s="341">
        <v>873</v>
      </c>
      <c r="B81" s="442" t="str">
        <f>VLOOKUP($A81,  'Matriz POA 2024-TRABAJO'!$A$5:$CY$9142,11,FALSE)</f>
        <v>Corporación Ciudad Alfaro</v>
      </c>
      <c r="C81" s="442" t="str">
        <f>VLOOKUP($A81, 'Matriz POA 2024-TRABAJO'!$A$5:$CY$9142,14,FALSE)</f>
        <v>N/A</v>
      </c>
      <c r="D81" s="442" t="str">
        <f>VLOOKUP($A81, 'Matriz POA 2024-TRABAJO'!$A$5:$CY$9142,15,FALSE)</f>
        <v>N/A</v>
      </c>
      <c r="E81" s="442" t="str">
        <f>VLOOKUP($A81, 'Matriz POA 2024-TRABAJO'!$A$5:$CY$9142,18,FALSE)</f>
        <v>N/A</v>
      </c>
      <c r="F81" s="442" t="str">
        <f>VLOOKUP($A81, 'Matriz POA 2024-TRABAJO'!$A$5:$CY$9142,23,FALSE)</f>
        <v>NUEVA</v>
      </c>
      <c r="G81" s="443" t="str">
        <f>VLOOKUP($A81, 'Matriz POA 2024-TRABAJO'!$A$5:$CY$9142,24,FALSE)</f>
        <v>Contratación del servicio de mantenimiento preventivo y correctivo de 4 aires acondicionados tipo Split ubicados en el Museo Nuclear Corporación Ciudad Alfaro</v>
      </c>
      <c r="H81" s="442" t="str">
        <f>VLOOKUP($A81, 'Matriz POA 2024-TRABAJO'!$A$5:$CY$9142,25,FALSE)</f>
        <v>0035</v>
      </c>
      <c r="I81" s="442" t="str">
        <f>VLOOKUP($A81, 'Matriz POA 2024-TRABAJO'!$A$5:$CY$9142,26,FALSE)</f>
        <v>80</v>
      </c>
      <c r="J81" s="442" t="str">
        <f>VLOOKUP($A81, 'Matriz POA 2024-TRABAJO'!$A$5:$CY$9142,27,FALSE)</f>
        <v>000</v>
      </c>
      <c r="K81" s="444" t="str">
        <f>VLOOKUP($A81, 'Matriz POA 2024-TRABAJO'!$A$5:$CY$9142,28,FALSE)</f>
        <v>002</v>
      </c>
      <c r="L81" s="444" t="str">
        <f>VLOOKUP($A81, 'Matriz POA 2024-TRABAJO'!$A$5:$CY$9142,29,FALSE)</f>
        <v>53</v>
      </c>
      <c r="M81" s="444">
        <f>VLOOKUP($A81, 'Matriz POA 2024-TRABAJO'!$A$5:$CY$9142,30,FALSE)</f>
        <v>530404</v>
      </c>
      <c r="N81" s="444" t="str">
        <f>VLOOKUP($A81, 'Matriz POA 2024-TRABAJO'!$A$5:$CY$9142,33,FALSE)</f>
        <v>001</v>
      </c>
      <c r="O81" s="444" t="str">
        <f>VLOOKUP($A81, 'Matriz POA 2024-TRABAJO'!$A$5:$CY$9142,34,FALSE)</f>
        <v>0000</v>
      </c>
      <c r="P81" s="444" t="str">
        <f>VLOOKUP($A81, 'Matriz POA 2024-TRABAJO'!$A$5:$CY$9142,35,FALSE)</f>
        <v>0000</v>
      </c>
      <c r="Q81" s="445">
        <f>VLOOKUP($A81, 'Matriz POA 2024-TRABAJO'!$A$5:$CY$9142,47,FALSE)</f>
        <v>0</v>
      </c>
      <c r="R81" s="446">
        <f t="shared" si="45"/>
        <v>0</v>
      </c>
      <c r="S81" s="446">
        <f t="shared" si="46"/>
        <v>0</v>
      </c>
      <c r="T81" s="446">
        <f t="shared" si="47"/>
        <v>0</v>
      </c>
      <c r="U81" s="446">
        <f t="shared" si="48"/>
        <v>0</v>
      </c>
      <c r="V81" s="446" t="str">
        <f t="shared" si="49"/>
        <v>86</v>
      </c>
      <c r="W81" s="511">
        <v>86</v>
      </c>
      <c r="X81" s="404" t="s">
        <v>1305</v>
      </c>
      <c r="Y81" s="404" t="s">
        <v>1861</v>
      </c>
      <c r="Z81" s="404">
        <f>500-500</f>
        <v>0</v>
      </c>
      <c r="AA81" s="404">
        <f>500-500</f>
        <v>0</v>
      </c>
      <c r="AB81" s="398">
        <f t="shared" si="41"/>
        <v>0</v>
      </c>
      <c r="AC81" s="403"/>
      <c r="AD81" s="404"/>
      <c r="AE81" s="404"/>
      <c r="AF81" s="404"/>
      <c r="AG81" s="398"/>
      <c r="AH81" s="398">
        <f>IF(AD81="APROBADO",AF81-AG81,0)</f>
        <v>0</v>
      </c>
      <c r="AI81" s="405"/>
      <c r="AJ81" s="404"/>
      <c r="AK81" s="404"/>
      <c r="AL81" s="404"/>
      <c r="AM81" s="398"/>
      <c r="AN81" s="398">
        <f t="shared" si="37"/>
        <v>0</v>
      </c>
      <c r="AO81" s="405"/>
      <c r="AP81" s="404"/>
      <c r="AQ81" s="404"/>
      <c r="AR81" s="404"/>
      <c r="AS81" s="398"/>
      <c r="AT81" s="398">
        <f t="shared" si="38"/>
        <v>0</v>
      </c>
      <c r="AU81" s="398"/>
      <c r="AV81" s="404"/>
      <c r="AW81" s="404"/>
      <c r="AX81" s="404"/>
      <c r="AY81" s="404"/>
      <c r="AZ81" s="398">
        <f t="shared" si="39"/>
        <v>0</v>
      </c>
      <c r="BA81" s="398"/>
      <c r="BB81" s="404"/>
      <c r="BC81" s="404"/>
      <c r="BD81" s="404"/>
      <c r="BE81" s="398"/>
      <c r="BF81" s="398">
        <f t="shared" si="40"/>
        <v>0</v>
      </c>
      <c r="BG81" s="398"/>
      <c r="BH81" s="404"/>
      <c r="BI81" s="404"/>
      <c r="BJ81" s="404"/>
      <c r="BK81" s="398"/>
      <c r="BL81" s="398">
        <f t="shared" si="51"/>
        <v>0</v>
      </c>
      <c r="BM81" s="398"/>
      <c r="BN81" s="404"/>
      <c r="BO81" s="404"/>
      <c r="BP81" s="404"/>
      <c r="BQ81" s="398"/>
      <c r="BR81" s="398">
        <f t="shared" si="52"/>
        <v>0</v>
      </c>
      <c r="BS81" s="398"/>
      <c r="BT81" s="404"/>
      <c r="BU81" s="404"/>
      <c r="BV81" s="404"/>
      <c r="BW81" s="398"/>
      <c r="BX81" s="398">
        <f t="shared" si="53"/>
        <v>0</v>
      </c>
      <c r="BY81" s="398"/>
      <c r="BZ81" s="404"/>
      <c r="CA81" s="404"/>
      <c r="CB81" s="404"/>
      <c r="CC81" s="398"/>
      <c r="CD81" s="398">
        <f t="shared" si="54"/>
        <v>0</v>
      </c>
      <c r="CE81" s="398"/>
      <c r="CF81" s="404"/>
      <c r="CG81" s="404"/>
      <c r="CH81" s="404"/>
      <c r="CI81" s="398"/>
      <c r="CJ81" s="398">
        <f t="shared" si="55"/>
        <v>0</v>
      </c>
      <c r="CK81" s="398"/>
      <c r="CL81" s="404"/>
      <c r="CM81" s="404"/>
      <c r="CN81" s="404"/>
      <c r="CO81" s="398"/>
      <c r="CP81" s="398">
        <f t="shared" si="56"/>
        <v>0</v>
      </c>
      <c r="CQ81" s="398"/>
      <c r="CR81" s="404"/>
      <c r="CS81" s="404"/>
      <c r="CT81" s="404"/>
      <c r="CU81" s="398"/>
      <c r="CV81" s="398">
        <f t="shared" si="57"/>
        <v>0</v>
      </c>
      <c r="CW81" s="398"/>
      <c r="CX81" s="404"/>
      <c r="CY81" s="404"/>
      <c r="CZ81" s="404"/>
      <c r="DA81" s="398"/>
      <c r="DB81" s="398">
        <f t="shared" si="58"/>
        <v>0</v>
      </c>
      <c r="DC81" s="398"/>
      <c r="DD81" s="404"/>
      <c r="DE81" s="404"/>
      <c r="DF81" s="404"/>
      <c r="DG81" s="398"/>
      <c r="DH81" s="398">
        <f t="shared" si="59"/>
        <v>0</v>
      </c>
      <c r="DI81" s="398"/>
      <c r="DJ81" s="404"/>
      <c r="DK81" s="404"/>
      <c r="DL81" s="404"/>
      <c r="DM81" s="398"/>
      <c r="DN81" s="398">
        <f t="shared" si="60"/>
        <v>0</v>
      </c>
      <c r="DO81" s="398"/>
      <c r="DP81" s="404"/>
      <c r="DQ81" s="404"/>
      <c r="DR81" s="404"/>
      <c r="DS81" s="398"/>
      <c r="DT81" s="398">
        <f t="shared" si="61"/>
        <v>0</v>
      </c>
      <c r="DU81" s="398"/>
      <c r="DV81" s="404"/>
      <c r="DW81" s="404"/>
      <c r="DX81" s="404"/>
      <c r="DY81" s="398"/>
      <c r="DZ81" s="398">
        <f t="shared" si="62"/>
        <v>0</v>
      </c>
      <c r="EA81" s="398"/>
      <c r="EB81" s="404"/>
      <c r="EC81" s="404"/>
      <c r="ED81" s="404"/>
      <c r="EE81" s="398"/>
      <c r="EF81" s="398">
        <f t="shared" si="63"/>
        <v>0</v>
      </c>
      <c r="EG81" s="398"/>
      <c r="EH81" s="404"/>
      <c r="EI81" s="404"/>
      <c r="EJ81" s="404"/>
      <c r="EK81" s="398"/>
      <c r="EL81" s="398">
        <f t="shared" si="64"/>
        <v>0</v>
      </c>
      <c r="EM81" s="398"/>
      <c r="EN81" s="404"/>
      <c r="EO81" s="404"/>
      <c r="EP81" s="404"/>
      <c r="EQ81" s="398"/>
      <c r="ER81" s="398">
        <f t="shared" si="65"/>
        <v>0</v>
      </c>
      <c r="ES81" s="398"/>
      <c r="ET81" s="404"/>
      <c r="EU81" s="404"/>
      <c r="EV81" s="404"/>
      <c r="EW81" s="398"/>
      <c r="EX81" s="398">
        <f t="shared" si="66"/>
        <v>0</v>
      </c>
      <c r="EY81" s="398" t="e">
        <f>VLOOKUP($A81,[2]Devengado!$A$1:$AI$3,35,FALSE)</f>
        <v>#N/A</v>
      </c>
    </row>
    <row r="82" spans="1:155" ht="23.25" hidden="1" customHeight="1">
      <c r="A82" s="341">
        <v>869</v>
      </c>
      <c r="B82" s="442" t="str">
        <f>VLOOKUP($A82,  'Matriz POA 2024-TRABAJO'!$A$5:$CY$9142,11,FALSE)</f>
        <v>Corporación Ciudad Alfaro</v>
      </c>
      <c r="C82" s="442" t="str">
        <f>VLOOKUP($A82, 'Matriz POA 2024-TRABAJO'!$A$5:$CY$9142,14,FALSE)</f>
        <v>N/A</v>
      </c>
      <c r="D82" s="442" t="str">
        <f>VLOOKUP($A82, 'Matriz POA 2024-TRABAJO'!$A$5:$CY$9142,15,FALSE)</f>
        <v>N/A</v>
      </c>
      <c r="E82" s="442" t="str">
        <f>VLOOKUP($A82, 'Matriz POA 2024-TRABAJO'!$A$5:$CY$9142,18,FALSE)</f>
        <v>N/A</v>
      </c>
      <c r="F82" s="442" t="str">
        <f>VLOOKUP($A82, 'Matriz POA 2024-TRABAJO'!$A$5:$CY$9142,23,FALSE)</f>
        <v>NUEVA</v>
      </c>
      <c r="G82" s="443" t="str">
        <f>VLOOKUP($A82, 'Matriz POA 2024-TRABAJO'!$A$5:$CY$9142,24,FALSE)</f>
        <v>Contratación del servicio de Construcción de la cubierta con estructura metálica ubicado en el primer piso del edificio Bahía de Caráquez y mantenimiento preventivo y correctivo de las cerchas metálicas del bloque cancebí correspondiente al Museo Nuclear Corporación Ciudad Alfaro</v>
      </c>
      <c r="H82" s="442" t="str">
        <f>VLOOKUP($A82, 'Matriz POA 2024-TRABAJO'!$A$5:$CY$9142,25,FALSE)</f>
        <v>0035</v>
      </c>
      <c r="I82" s="442" t="str">
        <f>VLOOKUP($A82, 'Matriz POA 2024-TRABAJO'!$A$5:$CY$9142,26,FALSE)</f>
        <v>80</v>
      </c>
      <c r="J82" s="442" t="str">
        <f>VLOOKUP($A82, 'Matriz POA 2024-TRABAJO'!$A$5:$CY$9142,27,FALSE)</f>
        <v>000</v>
      </c>
      <c r="K82" s="444" t="str">
        <f>VLOOKUP($A82, 'Matriz POA 2024-TRABAJO'!$A$5:$CY$9142,28,FALSE)</f>
        <v>002</v>
      </c>
      <c r="L82" s="444" t="str">
        <f>VLOOKUP($A82, 'Matriz POA 2024-TRABAJO'!$A$5:$CY$9142,29,FALSE)</f>
        <v>53</v>
      </c>
      <c r="M82" s="444">
        <f>VLOOKUP($A82, 'Matriz POA 2024-TRABAJO'!$A$5:$CY$9142,30,FALSE)</f>
        <v>530402</v>
      </c>
      <c r="N82" s="444" t="str">
        <f>VLOOKUP($A82, 'Matriz POA 2024-TRABAJO'!$A$5:$CY$9142,33,FALSE)</f>
        <v>001</v>
      </c>
      <c r="O82" s="444" t="str">
        <f>VLOOKUP($A82, 'Matriz POA 2024-TRABAJO'!$A$5:$CY$9142,34,FALSE)</f>
        <v>0000</v>
      </c>
      <c r="P82" s="444" t="str">
        <f>VLOOKUP($A82, 'Matriz POA 2024-TRABAJO'!$A$5:$CY$9142,35,FALSE)</f>
        <v>0000</v>
      </c>
      <c r="Q82" s="445">
        <f>VLOOKUP($A82, 'Matriz POA 2024-TRABAJO'!$A$5:$CY$9142,47,FALSE)</f>
        <v>0</v>
      </c>
      <c r="R82" s="446">
        <f t="shared" si="45"/>
        <v>0</v>
      </c>
      <c r="S82" s="446">
        <f t="shared" si="46"/>
        <v>0</v>
      </c>
      <c r="T82" s="446">
        <f t="shared" si="47"/>
        <v>0</v>
      </c>
      <c r="U82" s="446">
        <f t="shared" si="48"/>
        <v>0</v>
      </c>
      <c r="V82" s="446" t="str">
        <f t="shared" si="49"/>
        <v>87</v>
      </c>
      <c r="W82" s="511">
        <v>87</v>
      </c>
      <c r="X82" s="404" t="s">
        <v>1305</v>
      </c>
      <c r="Y82" s="404" t="s">
        <v>1861</v>
      </c>
      <c r="Z82" s="404">
        <f>15000-15000</f>
        <v>0</v>
      </c>
      <c r="AA82" s="404">
        <f>15000-15000</f>
        <v>0</v>
      </c>
      <c r="AB82" s="398">
        <f t="shared" si="41"/>
        <v>0</v>
      </c>
      <c r="AC82" s="403"/>
      <c r="AD82" s="404"/>
      <c r="AE82" s="404"/>
      <c r="AF82" s="404"/>
      <c r="AG82" s="398"/>
      <c r="AH82" s="398">
        <f>IF(AD82="APROBADO",AF82-AG82,0)</f>
        <v>0</v>
      </c>
      <c r="AI82" s="405"/>
      <c r="AJ82" s="404"/>
      <c r="AK82" s="404"/>
      <c r="AL82" s="404"/>
      <c r="AM82" s="398"/>
      <c r="AN82" s="398">
        <f t="shared" si="37"/>
        <v>0</v>
      </c>
      <c r="AO82" s="405"/>
      <c r="AP82" s="404"/>
      <c r="AQ82" s="404"/>
      <c r="AR82" s="404"/>
      <c r="AS82" s="398"/>
      <c r="AT82" s="398">
        <f t="shared" si="38"/>
        <v>0</v>
      </c>
      <c r="AU82" s="398"/>
      <c r="AV82" s="404"/>
      <c r="AW82" s="404"/>
      <c r="AX82" s="404"/>
      <c r="AY82" s="404"/>
      <c r="AZ82" s="398">
        <f t="shared" si="39"/>
        <v>0</v>
      </c>
      <c r="BA82" s="398"/>
      <c r="BB82" s="404"/>
      <c r="BC82" s="404"/>
      <c r="BD82" s="404"/>
      <c r="BE82" s="398"/>
      <c r="BF82" s="398">
        <f t="shared" si="40"/>
        <v>0</v>
      </c>
      <c r="BG82" s="398"/>
      <c r="BH82" s="404"/>
      <c r="BI82" s="404"/>
      <c r="BJ82" s="404"/>
      <c r="BK82" s="398"/>
      <c r="BL82" s="398">
        <f t="shared" si="51"/>
        <v>0</v>
      </c>
      <c r="BM82" s="398"/>
      <c r="BN82" s="404"/>
      <c r="BO82" s="404"/>
      <c r="BP82" s="404"/>
      <c r="BQ82" s="398"/>
      <c r="BR82" s="398">
        <f t="shared" si="52"/>
        <v>0</v>
      </c>
      <c r="BS82" s="398"/>
      <c r="BT82" s="404"/>
      <c r="BU82" s="404"/>
      <c r="BV82" s="404"/>
      <c r="BW82" s="398"/>
      <c r="BX82" s="398">
        <f t="shared" si="53"/>
        <v>0</v>
      </c>
      <c r="BY82" s="398"/>
      <c r="BZ82" s="404"/>
      <c r="CA82" s="404"/>
      <c r="CB82" s="404"/>
      <c r="CC82" s="398"/>
      <c r="CD82" s="398">
        <f t="shared" si="54"/>
        <v>0</v>
      </c>
      <c r="CE82" s="398"/>
      <c r="CF82" s="404"/>
      <c r="CG82" s="404"/>
      <c r="CH82" s="404"/>
      <c r="CI82" s="398"/>
      <c r="CJ82" s="398">
        <f t="shared" si="55"/>
        <v>0</v>
      </c>
      <c r="CK82" s="398"/>
      <c r="CL82" s="404"/>
      <c r="CM82" s="404"/>
      <c r="CN82" s="404"/>
      <c r="CO82" s="398"/>
      <c r="CP82" s="398">
        <f t="shared" si="56"/>
        <v>0</v>
      </c>
      <c r="CQ82" s="398"/>
      <c r="CR82" s="404"/>
      <c r="CS82" s="404"/>
      <c r="CT82" s="404"/>
      <c r="CU82" s="398"/>
      <c r="CV82" s="398">
        <f t="shared" si="57"/>
        <v>0</v>
      </c>
      <c r="CW82" s="398"/>
      <c r="CX82" s="404"/>
      <c r="CY82" s="404"/>
      <c r="CZ82" s="404"/>
      <c r="DA82" s="398"/>
      <c r="DB82" s="398">
        <f t="shared" si="58"/>
        <v>0</v>
      </c>
      <c r="DC82" s="398"/>
      <c r="DD82" s="404"/>
      <c r="DE82" s="404"/>
      <c r="DF82" s="404"/>
      <c r="DG82" s="398"/>
      <c r="DH82" s="398">
        <f t="shared" si="59"/>
        <v>0</v>
      </c>
      <c r="DI82" s="398"/>
      <c r="DJ82" s="404"/>
      <c r="DK82" s="404"/>
      <c r="DL82" s="404"/>
      <c r="DM82" s="398"/>
      <c r="DN82" s="398">
        <f t="shared" si="60"/>
        <v>0</v>
      </c>
      <c r="DO82" s="398"/>
      <c r="DP82" s="404"/>
      <c r="DQ82" s="404"/>
      <c r="DR82" s="404"/>
      <c r="DS82" s="398"/>
      <c r="DT82" s="398">
        <f t="shared" si="61"/>
        <v>0</v>
      </c>
      <c r="DU82" s="398"/>
      <c r="DV82" s="404"/>
      <c r="DW82" s="404"/>
      <c r="DX82" s="404"/>
      <c r="DY82" s="398"/>
      <c r="DZ82" s="398">
        <f t="shared" si="62"/>
        <v>0</v>
      </c>
      <c r="EA82" s="398"/>
      <c r="EB82" s="404"/>
      <c r="EC82" s="404"/>
      <c r="ED82" s="404"/>
      <c r="EE82" s="398"/>
      <c r="EF82" s="398">
        <f t="shared" si="63"/>
        <v>0</v>
      </c>
      <c r="EG82" s="398"/>
      <c r="EH82" s="404"/>
      <c r="EI82" s="404"/>
      <c r="EJ82" s="404"/>
      <c r="EK82" s="398"/>
      <c r="EL82" s="398">
        <f t="shared" si="64"/>
        <v>0</v>
      </c>
      <c r="EM82" s="398"/>
      <c r="EN82" s="404"/>
      <c r="EO82" s="404"/>
      <c r="EP82" s="404"/>
      <c r="EQ82" s="398"/>
      <c r="ER82" s="398">
        <f t="shared" si="65"/>
        <v>0</v>
      </c>
      <c r="ES82" s="398"/>
      <c r="ET82" s="404"/>
      <c r="EU82" s="404"/>
      <c r="EV82" s="404"/>
      <c r="EW82" s="398"/>
      <c r="EX82" s="398">
        <f t="shared" si="66"/>
        <v>0</v>
      </c>
      <c r="EY82" s="398" t="e">
        <f>VLOOKUP($A82,[2]Devengado!$A$1:$AI$3,35,FALSE)</f>
        <v>#N/A</v>
      </c>
    </row>
    <row r="83" spans="1:155" ht="23.25" hidden="1" customHeight="1">
      <c r="A83" s="341">
        <v>428</v>
      </c>
      <c r="B83" s="442" t="str">
        <f>VLOOKUP($A83,  'Matriz POA 2024-TRABAJO'!$A$5:$CY$9142,11,FALSE)</f>
        <v>Corporación Ciudad Alfaro</v>
      </c>
      <c r="C83" s="442" t="str">
        <f>VLOOKUP($A83, 'Matriz POA 2024-TRABAJO'!$A$5:$CY$9142,14,FALSE)</f>
        <v>N/A</v>
      </c>
      <c r="D83" s="442" t="str">
        <f>VLOOKUP($A83, 'Matriz POA 2024-TRABAJO'!$A$5:$CY$9142,15,FALSE)</f>
        <v>N/A</v>
      </c>
      <c r="E83" s="442" t="str">
        <f>VLOOKUP($A83, 'Matriz POA 2024-TRABAJO'!$A$5:$CY$9142,18,FALSE)</f>
        <v>N/A</v>
      </c>
      <c r="F83" s="442" t="str">
        <f>VLOOKUP($A83, 'Matriz POA 2024-TRABAJO'!$A$5:$CY$9142,23,FALSE)</f>
        <v>NUEVA</v>
      </c>
      <c r="G83" s="443" t="str">
        <f>VLOOKUP($A83, 'Matriz POA 2024-TRABAJO'!$A$5:$CY$9142,24,FALSE)</f>
        <v>Pago del servicio de telefonía fija de la Sede Museo Bahía de Caráquez</v>
      </c>
      <c r="H83" s="442" t="str">
        <f>VLOOKUP($A83, 'Matriz POA 2024-TRABAJO'!$A$5:$CY$9142,25,FALSE)</f>
        <v>0035</v>
      </c>
      <c r="I83" s="442" t="str">
        <f>VLOOKUP($A83, 'Matriz POA 2024-TRABAJO'!$A$5:$CY$9142,26,FALSE)</f>
        <v>80</v>
      </c>
      <c r="J83" s="442" t="str">
        <f>VLOOKUP($A83, 'Matriz POA 2024-TRABAJO'!$A$5:$CY$9142,27,FALSE)</f>
        <v>000</v>
      </c>
      <c r="K83" s="444" t="str">
        <f>VLOOKUP($A83, 'Matriz POA 2024-TRABAJO'!$A$5:$CY$9142,28,FALSE)</f>
        <v>002</v>
      </c>
      <c r="L83" s="444" t="str">
        <f>VLOOKUP($A83, 'Matriz POA 2024-TRABAJO'!$A$5:$CY$9142,29,FALSE)</f>
        <v>53</v>
      </c>
      <c r="M83" s="444">
        <f>VLOOKUP($A83, 'Matriz POA 2024-TRABAJO'!$A$5:$CY$9142,30,FALSE)</f>
        <v>530105</v>
      </c>
      <c r="N83" s="444" t="str">
        <f>VLOOKUP($A83, 'Matriz POA 2024-TRABAJO'!$A$5:$CY$9142,33,FALSE)</f>
        <v>001</v>
      </c>
      <c r="O83" s="444" t="str">
        <f>VLOOKUP($A83, 'Matriz POA 2024-TRABAJO'!$A$5:$CY$9142,34,FALSE)</f>
        <v>0000</v>
      </c>
      <c r="P83" s="444" t="str">
        <f>VLOOKUP($A83, 'Matriz POA 2024-TRABAJO'!$A$5:$CY$9142,35,FALSE)</f>
        <v>0000</v>
      </c>
      <c r="Q83" s="445">
        <f>VLOOKUP($A83, 'Matriz POA 2024-TRABAJO'!$A$5:$CY$9142,47,FALSE)</f>
        <v>0</v>
      </c>
      <c r="R83" s="446">
        <f t="shared" si="45"/>
        <v>0</v>
      </c>
      <c r="S83" s="446">
        <f t="shared" si="46"/>
        <v>0</v>
      </c>
      <c r="T83" s="446">
        <f>AB83+AH83+AN83+AT83+AZ83+BF83+BL83+BR83+BX83+CD83+CJ83+CP83+CV83+DB83+DH83+DN83+DT83+DZ83+EF83+EL83+ER83+EX83</f>
        <v>0</v>
      </c>
      <c r="U83" s="446">
        <f t="shared" si="48"/>
        <v>0</v>
      </c>
      <c r="V83" s="446" t="str">
        <f t="shared" si="49"/>
        <v>88</v>
      </c>
      <c r="W83" s="511">
        <v>88</v>
      </c>
      <c r="X83" s="404" t="s">
        <v>1305</v>
      </c>
      <c r="Y83" s="404" t="s">
        <v>1861</v>
      </c>
      <c r="Z83" s="404">
        <f>500-500</f>
        <v>0</v>
      </c>
      <c r="AA83" s="404">
        <f>500-500</f>
        <v>0</v>
      </c>
      <c r="AB83" s="398">
        <f>IF(X83="APROBADO",Z83-AA83,0)</f>
        <v>0</v>
      </c>
      <c r="AC83" s="405"/>
      <c r="AD83" s="404"/>
      <c r="AE83" s="404"/>
      <c r="AF83" s="404"/>
      <c r="AG83" s="398"/>
      <c r="AH83" s="398">
        <f t="shared" ref="AH83" si="93">IF(AD83="APROBADO",AF83-AG83,0)</f>
        <v>0</v>
      </c>
      <c r="AI83" s="405"/>
      <c r="AJ83" s="404"/>
      <c r="AK83" s="404"/>
      <c r="AL83" s="404"/>
      <c r="AM83" s="398"/>
      <c r="AN83" s="398">
        <f t="shared" si="37"/>
        <v>0</v>
      </c>
      <c r="AO83" s="405"/>
      <c r="AP83" s="404"/>
      <c r="AQ83" s="404"/>
      <c r="AR83" s="404"/>
      <c r="AS83" s="398"/>
      <c r="AT83" s="398">
        <f t="shared" si="38"/>
        <v>0</v>
      </c>
      <c r="AU83" s="398"/>
      <c r="AV83" s="404"/>
      <c r="AW83" s="404"/>
      <c r="AX83" s="404"/>
      <c r="AY83" s="404"/>
      <c r="AZ83" s="398">
        <f t="shared" si="39"/>
        <v>0</v>
      </c>
      <c r="BA83" s="398"/>
      <c r="BB83" s="404"/>
      <c r="BC83" s="404"/>
      <c r="BD83" s="404"/>
      <c r="BE83" s="398"/>
      <c r="BF83" s="398">
        <f t="shared" si="40"/>
        <v>0</v>
      </c>
      <c r="BG83" s="398"/>
      <c r="BH83" s="404"/>
      <c r="BI83" s="404"/>
      <c r="BJ83" s="404"/>
      <c r="BK83" s="398"/>
      <c r="BL83" s="398">
        <f t="shared" si="51"/>
        <v>0</v>
      </c>
      <c r="BM83" s="398"/>
      <c r="BN83" s="404"/>
      <c r="BO83" s="404"/>
      <c r="BP83" s="404"/>
      <c r="BQ83" s="398"/>
      <c r="BR83" s="398">
        <f t="shared" si="52"/>
        <v>0</v>
      </c>
      <c r="BS83" s="398"/>
      <c r="BT83" s="404"/>
      <c r="BU83" s="404"/>
      <c r="BV83" s="404"/>
      <c r="BW83" s="398"/>
      <c r="BX83" s="398">
        <f t="shared" si="53"/>
        <v>0</v>
      </c>
      <c r="BY83" s="398"/>
      <c r="BZ83" s="404"/>
      <c r="CA83" s="404"/>
      <c r="CB83" s="404"/>
      <c r="CC83" s="398"/>
      <c r="CD83" s="398">
        <f t="shared" si="54"/>
        <v>0</v>
      </c>
      <c r="CE83" s="398"/>
      <c r="CF83" s="404"/>
      <c r="CG83" s="404"/>
      <c r="CH83" s="404"/>
      <c r="CI83" s="398"/>
      <c r="CJ83" s="398">
        <f t="shared" si="55"/>
        <v>0</v>
      </c>
      <c r="CK83" s="398"/>
      <c r="CL83" s="404"/>
      <c r="CM83" s="404"/>
      <c r="CN83" s="404"/>
      <c r="CO83" s="398"/>
      <c r="CP83" s="398">
        <f t="shared" si="56"/>
        <v>0</v>
      </c>
      <c r="CQ83" s="398"/>
      <c r="CR83" s="404"/>
      <c r="CS83" s="404"/>
      <c r="CT83" s="404"/>
      <c r="CU83" s="398"/>
      <c r="CV83" s="398">
        <f t="shared" si="57"/>
        <v>0</v>
      </c>
      <c r="CW83" s="398"/>
      <c r="CX83" s="404"/>
      <c r="CY83" s="404"/>
      <c r="CZ83" s="404"/>
      <c r="DA83" s="398"/>
      <c r="DB83" s="398">
        <f t="shared" si="58"/>
        <v>0</v>
      </c>
      <c r="DC83" s="398"/>
      <c r="DD83" s="404"/>
      <c r="DE83" s="404"/>
      <c r="DF83" s="404"/>
      <c r="DG83" s="398"/>
      <c r="DH83" s="398">
        <f t="shared" si="59"/>
        <v>0</v>
      </c>
      <c r="DI83" s="398"/>
      <c r="DJ83" s="404"/>
      <c r="DK83" s="404"/>
      <c r="DL83" s="404"/>
      <c r="DM83" s="398"/>
      <c r="DN83" s="398">
        <f t="shared" si="60"/>
        <v>0</v>
      </c>
      <c r="DO83" s="398"/>
      <c r="DP83" s="404"/>
      <c r="DQ83" s="404"/>
      <c r="DR83" s="404"/>
      <c r="DS83" s="398"/>
      <c r="DT83" s="398">
        <f t="shared" si="61"/>
        <v>0</v>
      </c>
      <c r="DU83" s="398"/>
      <c r="DV83" s="404"/>
      <c r="DW83" s="404"/>
      <c r="DX83" s="404"/>
      <c r="DY83" s="398"/>
      <c r="DZ83" s="398">
        <f t="shared" si="62"/>
        <v>0</v>
      </c>
      <c r="EA83" s="398"/>
      <c r="EB83" s="404"/>
      <c r="EC83" s="404"/>
      <c r="ED83" s="404"/>
      <c r="EE83" s="398"/>
      <c r="EF83" s="398">
        <f t="shared" si="63"/>
        <v>0</v>
      </c>
      <c r="EG83" s="398"/>
      <c r="EH83" s="404"/>
      <c r="EI83" s="404"/>
      <c r="EJ83" s="404"/>
      <c r="EK83" s="398"/>
      <c r="EL83" s="398">
        <f t="shared" si="64"/>
        <v>0</v>
      </c>
      <c r="EM83" s="398"/>
      <c r="EN83" s="404"/>
      <c r="EO83" s="404"/>
      <c r="EP83" s="404"/>
      <c r="EQ83" s="398"/>
      <c r="ER83" s="398">
        <f t="shared" si="65"/>
        <v>0</v>
      </c>
      <c r="ES83" s="398"/>
      <c r="ET83" s="404"/>
      <c r="EU83" s="404"/>
      <c r="EV83" s="404"/>
      <c r="EW83" s="398"/>
      <c r="EX83" s="398">
        <f t="shared" si="66"/>
        <v>0</v>
      </c>
      <c r="EY83" s="398" t="e">
        <f>VLOOKUP($A83,[2]Devengado!$A$1:$AI$3,35,FALSE)</f>
        <v>#N/A</v>
      </c>
    </row>
    <row r="84" spans="1:155" ht="23.25" hidden="1" customHeight="1">
      <c r="A84" s="341">
        <v>741</v>
      </c>
      <c r="B84" s="442" t="str">
        <f>VLOOKUP($A84,  'Matriz POA 2024-TRABAJO'!$A$5:$CY$9142,11,FALSE)</f>
        <v>Corporación Ciudad Alfaro</v>
      </c>
      <c r="C84" s="442" t="str">
        <f>VLOOKUP($A84, 'Matriz POA 2024-TRABAJO'!$A$5:$CY$9142,14,FALSE)</f>
        <v>N/A</v>
      </c>
      <c r="D84" s="442" t="str">
        <f>VLOOKUP($A84, 'Matriz POA 2024-TRABAJO'!$A$5:$CY$9142,15,FALSE)</f>
        <v>N/A</v>
      </c>
      <c r="E84" s="442" t="str">
        <f>VLOOKUP($A84, 'Matriz POA 2024-TRABAJO'!$A$5:$CY$9142,18,FALSE)</f>
        <v>N/A</v>
      </c>
      <c r="F84" s="442" t="str">
        <f>VLOOKUP($A84, 'Matriz POA 2024-TRABAJO'!$A$5:$CY$9142,23,FALSE)</f>
        <v>NUEVA</v>
      </c>
      <c r="G84" s="443" t="str">
        <f>VLOOKUP($A84, 'Matriz POA 2024-TRABAJO'!$A$5:$CY$9142,24,FALSE)</f>
        <v>Obligaciones de Ejercicios Anteriores por Egresos de Personal</v>
      </c>
      <c r="H84" s="442" t="str">
        <f>VLOOKUP($A84, 'Matriz POA 2024-TRABAJO'!$A$5:$CY$9142,25,FALSE)</f>
        <v>0035</v>
      </c>
      <c r="I84" s="442" t="str">
        <f>VLOOKUP($A84, 'Matriz POA 2024-TRABAJO'!$A$5:$CY$9142,26,FALSE)</f>
        <v>80</v>
      </c>
      <c r="J84" s="442" t="str">
        <f>VLOOKUP($A84, 'Matriz POA 2024-TRABAJO'!$A$5:$CY$9142,27,FALSE)</f>
        <v>000</v>
      </c>
      <c r="K84" s="444" t="str">
        <f>VLOOKUP($A84, 'Matriz POA 2024-TRABAJO'!$A$5:$CY$9142,28,FALSE)</f>
        <v>002</v>
      </c>
      <c r="L84" s="444" t="str">
        <f>VLOOKUP($A84, 'Matriz POA 2024-TRABAJO'!$A$5:$CY$9142,29,FALSE)</f>
        <v>99</v>
      </c>
      <c r="M84" s="444">
        <f>VLOOKUP($A84, 'Matriz POA 2024-TRABAJO'!$A$5:$CY$9142,30,FALSE)</f>
        <v>990101</v>
      </c>
      <c r="N84" s="444" t="str">
        <f>VLOOKUP($A84, 'Matriz POA 2024-TRABAJO'!$A$5:$CY$9142,33,FALSE)</f>
        <v>001</v>
      </c>
      <c r="O84" s="444" t="str">
        <f>VLOOKUP($A84, 'Matriz POA 2024-TRABAJO'!$A$5:$CY$9142,34,FALSE)</f>
        <v>0000</v>
      </c>
      <c r="P84" s="444" t="str">
        <f>VLOOKUP($A84, 'Matriz POA 2024-TRABAJO'!$A$5:$CY$9142,35,FALSE)</f>
        <v>0000</v>
      </c>
      <c r="Q84" s="445">
        <f>VLOOKUP($A84, 'Matriz POA 2024-TRABAJO'!$A$5:$CY$9142,47,FALSE)</f>
        <v>5560.46</v>
      </c>
      <c r="R84" s="446">
        <f t="shared" ref="R84" si="94">Z84+AF84+AL84+AR84+AX84+BD84+BJ84+BP84+BV84+CB84+CH84+CN84+CT84+CZ84+DF84+DL84+DR84+DX84+ED84+EJ84+EP84+EV84</f>
        <v>0</v>
      </c>
      <c r="S84" s="446">
        <f t="shared" ref="S84" si="95">AA84+AG84+AM84+AS84+AY84+BE84+BK84+BQ84+BW84+CC84+CI84+CO84+CU84+DA84+DG84+DM84+DS84+DY84+EE84+EK84+EQ84+EW84</f>
        <v>5560.46</v>
      </c>
      <c r="T84" s="446">
        <f>AB84+AH84+AN84+AT84+AZ84+BF84+BL84+BR84+BX84+CD84+CJ84+CP84+CV84+DB84+DH84+DN84+DT84+DZ84+EF84+EL84+ER84+EX84</f>
        <v>0</v>
      </c>
      <c r="U84" s="446">
        <f t="shared" ref="U84" si="96">Q84-(S84+T84)</f>
        <v>0</v>
      </c>
      <c r="V84" s="446" t="str">
        <f t="shared" ref="V84" si="97">W84&amp;AC84&amp;AI84&amp;AO84&amp;AU84&amp;BA84&amp;BG84&amp;BM84&amp;BS84&amp;BY84&amp;CE84&amp;CK84&amp;CQ84&amp;CW84&amp;DC84&amp;DI84&amp;DO84&amp;DU84&amp;EA84&amp;EG84&amp;ES84</f>
        <v/>
      </c>
      <c r="W84" s="403"/>
      <c r="X84" s="404"/>
      <c r="Y84" s="404"/>
      <c r="Z84" s="404"/>
      <c r="AA84" s="404">
        <v>5560.46</v>
      </c>
      <c r="AB84" s="398">
        <f>IF(X84="APROBADO",Z84-AA84,0)</f>
        <v>0</v>
      </c>
      <c r="AC84" s="468"/>
      <c r="AD84" s="468"/>
      <c r="AE84" s="468"/>
      <c r="AF84" s="468"/>
      <c r="AG84" s="468"/>
      <c r="AH84" s="398">
        <f t="shared" ref="AH84" si="98">IF(AD84="APROBADO",AF84-AG84,0)</f>
        <v>0</v>
      </c>
      <c r="AI84" s="405"/>
      <c r="AJ84" s="404"/>
      <c r="AK84" s="404"/>
      <c r="AL84" s="404"/>
      <c r="AM84" s="398"/>
      <c r="AN84" s="398">
        <f t="shared" ref="AN84" si="99">IF(AJ84="APROBADO",AL84-AM84,0)</f>
        <v>0</v>
      </c>
      <c r="AO84" s="405"/>
      <c r="AP84" s="404"/>
      <c r="AQ84" s="404"/>
      <c r="AR84" s="404"/>
      <c r="AS84" s="398"/>
      <c r="AT84" s="398">
        <f t="shared" ref="AT84" si="100">IF(AP84="APROBADO",AR84-AS84,0)</f>
        <v>0</v>
      </c>
      <c r="AU84" s="468"/>
      <c r="AV84" s="468"/>
      <c r="AW84" s="468"/>
      <c r="AX84" s="468"/>
      <c r="AY84" s="468"/>
      <c r="AZ84" s="398">
        <f t="shared" ref="AZ84" si="101">IF(AV84="APROBADO",AX84-AY84,0)</f>
        <v>0</v>
      </c>
      <c r="BA84" s="468"/>
      <c r="BB84" s="468"/>
      <c r="BC84" s="468"/>
      <c r="BD84" s="468"/>
      <c r="BE84" s="468"/>
      <c r="BF84" s="398">
        <f t="shared" ref="BF84" si="102">IF(BB84="APROBADO",BD84-BE84,0)</f>
        <v>0</v>
      </c>
      <c r="BG84" s="468"/>
      <c r="BH84" s="468"/>
      <c r="BI84" s="468"/>
      <c r="BJ84" s="468"/>
      <c r="BK84" s="468"/>
      <c r="BL84" s="398">
        <f t="shared" ref="BL84" si="103">IF(BH84="APROBADO",BJ84-BK84,0)</f>
        <v>0</v>
      </c>
      <c r="BM84" s="468"/>
      <c r="BN84" s="468"/>
      <c r="BO84" s="468"/>
      <c r="BP84" s="468"/>
      <c r="BQ84" s="468"/>
      <c r="BR84" s="398">
        <f t="shared" ref="BR84" si="104">IF(BN84="APROBADO",BP84-BQ84,0)</f>
        <v>0</v>
      </c>
      <c r="BS84" s="468"/>
      <c r="BT84" s="468"/>
      <c r="BU84" s="468"/>
      <c r="BV84" s="468"/>
      <c r="BW84" s="468"/>
      <c r="BX84" s="398">
        <f t="shared" ref="BX84" si="105">IF(BT84="APROBADO",BV84-BW84,0)</f>
        <v>0</v>
      </c>
      <c r="BY84" s="468"/>
      <c r="BZ84" s="468"/>
      <c r="CA84" s="468"/>
      <c r="CB84" s="468"/>
      <c r="CC84" s="468"/>
      <c r="CD84" s="398">
        <f t="shared" ref="CD84" si="106">IF(BZ84="APROBADO",CB84-CC84,0)</f>
        <v>0</v>
      </c>
      <c r="CE84" s="468"/>
      <c r="CF84" s="468"/>
      <c r="CG84" s="5"/>
      <c r="CH84" s="5"/>
      <c r="CI84" s="5"/>
      <c r="CJ84" s="398">
        <f t="shared" ref="CJ84" si="107">IF(CF84="APROBADO",CH84-CI84,0)</f>
        <v>0</v>
      </c>
      <c r="CK84" s="5"/>
      <c r="CL84" s="5"/>
      <c r="CM84" s="5"/>
      <c r="CN84" s="5"/>
      <c r="CO84" s="5"/>
      <c r="CP84" s="398">
        <f t="shared" ref="CP84" si="108">IF(CL84="APROBADO",CN84-CO84,0)</f>
        <v>0</v>
      </c>
      <c r="CQ84" s="5"/>
      <c r="CR84" s="5"/>
      <c r="CS84" s="5"/>
      <c r="CT84" s="5"/>
      <c r="CU84" s="5"/>
      <c r="CV84" s="398">
        <f t="shared" ref="CV84" si="109">IF(CR84="APROBADO",CT84-CU84,0)</f>
        <v>0</v>
      </c>
      <c r="CW84" s="5"/>
      <c r="CX84" s="5"/>
      <c r="CY84" s="5"/>
      <c r="CZ84" s="5"/>
      <c r="DA84" s="5"/>
      <c r="DB84" s="398">
        <f t="shared" ref="DB84" si="110">IF(CX84="APROBADO",CZ84-DA84,0)</f>
        <v>0</v>
      </c>
      <c r="DC84" s="5"/>
      <c r="DD84" s="5"/>
      <c r="DE84" s="5"/>
      <c r="DF84" s="5"/>
      <c r="DG84" s="5"/>
      <c r="DH84" s="398">
        <f t="shared" ref="DH84" si="111">IF(DD84="APROBADO",DF84-DG84,0)</f>
        <v>0</v>
      </c>
      <c r="DI84" s="5"/>
      <c r="DJ84" s="5"/>
      <c r="DK84" s="5"/>
      <c r="DL84" s="5"/>
      <c r="DM84" s="5"/>
      <c r="DN84" s="398">
        <f t="shared" ref="DN84" si="112">IF(DJ84="APROBADO",DL84-DM84,0)</f>
        <v>0</v>
      </c>
      <c r="DO84" s="5"/>
      <c r="DP84" s="5"/>
      <c r="DQ84" s="5"/>
      <c r="DR84" s="5"/>
      <c r="DS84" s="5"/>
      <c r="DT84" s="398">
        <f t="shared" ref="DT84" si="113">IF(DP84="APROBADO",DR84-DS84,0)</f>
        <v>0</v>
      </c>
      <c r="DU84" s="5"/>
      <c r="DV84" s="5"/>
      <c r="DW84" s="5"/>
      <c r="DX84" s="5"/>
      <c r="DY84" s="5"/>
      <c r="DZ84" s="398">
        <f t="shared" ref="DZ84" si="114">IF(DV84="APROBADO",DX84-DY84,0)</f>
        <v>0</v>
      </c>
      <c r="EA84" s="5"/>
      <c r="EB84" s="5"/>
      <c r="EC84" s="5"/>
      <c r="ED84" s="5"/>
      <c r="EE84" s="5"/>
      <c r="EF84" s="398">
        <f t="shared" ref="EF84" si="115">IF(EB84="APROBADO",ED84-EE84,0)</f>
        <v>0</v>
      </c>
      <c r="EG84" s="5"/>
      <c r="EH84" s="5"/>
      <c r="EI84" s="5"/>
      <c r="EJ84" s="5"/>
      <c r="EK84" s="5"/>
      <c r="EL84" s="398">
        <f t="shared" ref="EL84" si="116">IF(EH84="APROBADO",EJ84-EK84,0)</f>
        <v>0</v>
      </c>
      <c r="EM84" s="5"/>
      <c r="EN84" s="5"/>
      <c r="EO84" s="5"/>
      <c r="EP84" s="5"/>
      <c r="EQ84" s="5"/>
      <c r="ER84" s="398">
        <f t="shared" ref="ER84" si="117">IF(EN84="APROBADO",EP84-EQ84,0)</f>
        <v>0</v>
      </c>
      <c r="ES84" s="5"/>
      <c r="ET84" s="5"/>
      <c r="EU84" s="5"/>
      <c r="EV84" s="5"/>
      <c r="EW84" s="5"/>
      <c r="EX84" s="398">
        <f t="shared" ref="EX84" si="118">IF(ET84="APROBADO",EV84-EW84,0)</f>
        <v>0</v>
      </c>
      <c r="EY84" s="398" t="e">
        <f>VLOOKUP($A84,[2]Devengado!$A$1:$AI$3,35,FALSE)</f>
        <v>#N/A</v>
      </c>
    </row>
    <row r="85" spans="1:155" ht="23.25" hidden="1" customHeight="1">
      <c r="A85" s="341">
        <v>932</v>
      </c>
      <c r="B85" s="442" t="str">
        <f>VLOOKUP($A85,  'Matriz POA 2024-TRABAJO'!$A$5:$CY$9142,11,FALSE)</f>
        <v>Corporación Ciudad Alfaro</v>
      </c>
      <c r="C85" s="442" t="str">
        <f>VLOOKUP($A85, 'Matriz POA 2024-TRABAJO'!$A$5:$CY$9142,14,FALSE)</f>
        <v>N/A</v>
      </c>
      <c r="D85" s="442" t="str">
        <f>VLOOKUP($A85, 'Matriz POA 2024-TRABAJO'!$A$5:$CY$9142,15,FALSE)</f>
        <v>N/A</v>
      </c>
      <c r="E85" s="442" t="str">
        <f>VLOOKUP($A85, 'Matriz POA 2024-TRABAJO'!$A$5:$CY$9142,18,FALSE)</f>
        <v>N/A</v>
      </c>
      <c r="F85" s="442" t="str">
        <f>VLOOKUP($A85, 'Matriz POA 2024-TRABAJO'!$A$5:$CY$9142,23,FALSE)</f>
        <v>NUEVA</v>
      </c>
      <c r="G85" s="443" t="str">
        <f>VLOOKUP($A85, 'Matriz POA 2024-TRABAJO'!$A$5:$CY$9142,24,FALSE)</f>
        <v>Reintegro de gastos para los Servidores y Trabajadores de la Corporación Ciudad Alfaro y sus Sedes por concepto de combustible utilizado en comisión de servicios institucionales</v>
      </c>
      <c r="H85" s="442" t="str">
        <f>VLOOKUP($A85, 'Matriz POA 2024-TRABAJO'!$A$5:$CY$9142,25,FALSE)</f>
        <v>0035</v>
      </c>
      <c r="I85" s="442" t="str">
        <f>VLOOKUP($A85, 'Matriz POA 2024-TRABAJO'!$A$5:$CY$9142,26,FALSE)</f>
        <v>80</v>
      </c>
      <c r="J85" s="442" t="str">
        <f>VLOOKUP($A85, 'Matriz POA 2024-TRABAJO'!$A$5:$CY$9142,27,FALSE)</f>
        <v>000</v>
      </c>
      <c r="K85" s="444" t="str">
        <f>VLOOKUP($A85, 'Matriz POA 2024-TRABAJO'!$A$5:$CY$9142,28,FALSE)</f>
        <v>002</v>
      </c>
      <c r="L85" s="444">
        <f>VLOOKUP($A85, 'Matriz POA 2024-TRABAJO'!$A$5:$CY$9142,29,FALSE)</f>
        <v>53</v>
      </c>
      <c r="M85" s="444">
        <f>VLOOKUP($A85, 'Matriz POA 2024-TRABAJO'!$A$5:$CY$9142,30,FALSE)</f>
        <v>530255</v>
      </c>
      <c r="N85" s="444" t="str">
        <f>VLOOKUP($A85, 'Matriz POA 2024-TRABAJO'!$A$5:$CY$9142,33,FALSE)</f>
        <v>001</v>
      </c>
      <c r="O85" s="444" t="str">
        <f>VLOOKUP($A85, 'Matriz POA 2024-TRABAJO'!$A$5:$CY$9142,34,FALSE)</f>
        <v>0000</v>
      </c>
      <c r="P85" s="444" t="str">
        <f>VLOOKUP($A85, 'Matriz POA 2024-TRABAJO'!$A$5:$CY$9142,35,FALSE)</f>
        <v>0000</v>
      </c>
      <c r="Q85" s="445">
        <f>VLOOKUP($A85, 'Matriz POA 2024-TRABAJO'!$A$5:$CY$9142,47,FALSE)</f>
        <v>1000</v>
      </c>
      <c r="R85" s="446">
        <f t="shared" ref="R85" si="119">Z85+AF85+AL85+AR85+AX85+BD85+BJ85+BP85+BV85+CB85+CH85+CN85+CT85+CZ85+DF85+DL85+DR85+DX85+ED85+EJ85+EP85+EV85</f>
        <v>1000</v>
      </c>
      <c r="S85" s="446">
        <f t="shared" ref="S85" si="120">AA85+AG85+AM85+AS85+AY85+BE85+BK85+BQ85+BW85+CC85+CI85+CO85+CU85+DA85+DG85+DM85+DS85+DY85+EE85+EK85+EQ85+EW85</f>
        <v>62.19</v>
      </c>
      <c r="T85" s="446">
        <f>AB85+AH85+AN85+AT85+AZ85+BF85+BL85+BR85+BX85+CD85+CJ85+CP85+CV85+DB85+DH85+DN85+DT85+DZ85+EF85+EL85+ER85+EX85</f>
        <v>0</v>
      </c>
      <c r="U85" s="446">
        <f t="shared" ref="U85" si="121">Q85-(S85+T85)</f>
        <v>937.81</v>
      </c>
      <c r="V85" s="446" t="str">
        <f t="shared" ref="V85" si="122">W85&amp;AC85&amp;AI85&amp;AO85&amp;AU85&amp;BA85&amp;BG85&amp;BM85&amp;BS85&amp;BY85&amp;CE85&amp;CK85&amp;CQ85&amp;CW85&amp;DC85&amp;DI85&amp;DO85&amp;DU85&amp;EA85&amp;EG85&amp;ES85</f>
        <v>90</v>
      </c>
      <c r="W85" s="511">
        <v>90</v>
      </c>
      <c r="X85" s="404" t="s">
        <v>1996</v>
      </c>
      <c r="Y85" s="404" t="s">
        <v>1997</v>
      </c>
      <c r="Z85" s="404">
        <v>1000</v>
      </c>
      <c r="AA85" s="404">
        <v>62.19</v>
      </c>
      <c r="AB85" s="398">
        <f>IF(X85="APROBADO",Z85-AA85,0)</f>
        <v>0</v>
      </c>
      <c r="AC85" s="468"/>
      <c r="AD85" s="468"/>
      <c r="AE85" s="468"/>
      <c r="AF85" s="468"/>
      <c r="AG85" s="468"/>
      <c r="AH85" s="398">
        <f t="shared" ref="AH85" si="123">IF(AD85="APROBADO",AF85-AG85,0)</f>
        <v>0</v>
      </c>
      <c r="AI85" s="405"/>
      <c r="AJ85" s="404"/>
      <c r="AK85" s="404"/>
      <c r="AL85" s="404"/>
      <c r="AM85" s="398"/>
      <c r="AN85" s="398">
        <f t="shared" ref="AN85" si="124">IF(AJ85="APROBADO",AL85-AM85,0)</f>
        <v>0</v>
      </c>
      <c r="AO85" s="405"/>
      <c r="AP85" s="404"/>
      <c r="AQ85" s="404"/>
      <c r="AR85" s="404"/>
      <c r="AS85" s="398"/>
      <c r="AT85" s="398">
        <f t="shared" ref="AT85" si="125">IF(AP85="APROBADO",AR85-AS85,0)</f>
        <v>0</v>
      </c>
      <c r="AU85" s="468"/>
      <c r="AV85" s="468"/>
      <c r="AW85" s="468"/>
      <c r="AX85" s="468"/>
      <c r="AY85" s="468"/>
      <c r="AZ85" s="398">
        <f t="shared" ref="AZ85" si="126">IF(AV85="APROBADO",AX85-AY85,0)</f>
        <v>0</v>
      </c>
      <c r="BA85" s="468"/>
      <c r="BB85" s="468"/>
      <c r="BC85" s="468"/>
      <c r="BD85" s="468"/>
      <c r="BE85" s="468"/>
      <c r="BF85" s="398">
        <f t="shared" ref="BF85" si="127">IF(BB85="APROBADO",BD85-BE85,0)</f>
        <v>0</v>
      </c>
      <c r="BG85" s="468"/>
      <c r="BH85" s="468"/>
      <c r="BI85" s="468"/>
      <c r="BJ85" s="468"/>
      <c r="BK85" s="468"/>
      <c r="BL85" s="398">
        <f t="shared" ref="BL85" si="128">IF(BH85="APROBADO",BJ85-BK85,0)</f>
        <v>0</v>
      </c>
      <c r="BM85" s="468"/>
      <c r="BN85" s="468"/>
      <c r="BO85" s="468"/>
      <c r="BP85" s="468"/>
      <c r="BQ85" s="468"/>
      <c r="BR85" s="398">
        <f t="shared" ref="BR85" si="129">IF(BN85="APROBADO",BP85-BQ85,0)</f>
        <v>0</v>
      </c>
      <c r="BS85" s="468"/>
      <c r="BT85" s="468"/>
      <c r="BU85" s="468"/>
      <c r="BV85" s="468"/>
      <c r="BW85" s="468"/>
      <c r="BX85" s="398">
        <f t="shared" ref="BX85" si="130">IF(BT85="APROBADO",BV85-BW85,0)</f>
        <v>0</v>
      </c>
      <c r="BY85" s="468"/>
      <c r="BZ85" s="468"/>
      <c r="CA85" s="468"/>
      <c r="CB85" s="468"/>
      <c r="CC85" s="468"/>
      <c r="CD85" s="398">
        <f t="shared" ref="CD85" si="131">IF(BZ85="APROBADO",CB85-CC85,0)</f>
        <v>0</v>
      </c>
      <c r="CE85" s="468"/>
      <c r="CF85" s="468"/>
      <c r="CG85" s="5"/>
      <c r="CH85" s="5"/>
      <c r="CI85" s="5"/>
      <c r="CJ85" s="398">
        <f t="shared" ref="CJ85" si="132">IF(CF85="APROBADO",CH85-CI85,0)</f>
        <v>0</v>
      </c>
      <c r="CK85" s="5"/>
      <c r="CL85" s="5"/>
      <c r="CM85" s="5"/>
      <c r="CN85" s="5"/>
      <c r="CO85" s="5"/>
      <c r="CP85" s="398">
        <f t="shared" ref="CP85" si="133">IF(CL85="APROBADO",CN85-CO85,0)</f>
        <v>0</v>
      </c>
      <c r="CQ85" s="5"/>
      <c r="CR85" s="5"/>
      <c r="CS85" s="5"/>
      <c r="CT85" s="5"/>
      <c r="CU85" s="5"/>
      <c r="CV85" s="398">
        <f t="shared" ref="CV85" si="134">IF(CR85="APROBADO",CT85-CU85,0)</f>
        <v>0</v>
      </c>
      <c r="CW85" s="5"/>
      <c r="CX85" s="5"/>
      <c r="CY85" s="5"/>
      <c r="CZ85" s="5"/>
      <c r="DA85" s="5"/>
      <c r="DB85" s="398">
        <f t="shared" ref="DB85" si="135">IF(CX85="APROBADO",CZ85-DA85,0)</f>
        <v>0</v>
      </c>
      <c r="DC85" s="5"/>
      <c r="DD85" s="5"/>
      <c r="DE85" s="5"/>
      <c r="DF85" s="5"/>
      <c r="DG85" s="5"/>
      <c r="DH85" s="398">
        <f t="shared" ref="DH85" si="136">IF(DD85="APROBADO",DF85-DG85,0)</f>
        <v>0</v>
      </c>
      <c r="DI85" s="5"/>
      <c r="DJ85" s="5"/>
      <c r="DK85" s="5"/>
      <c r="DL85" s="5"/>
      <c r="DM85" s="5"/>
      <c r="DN85" s="398">
        <f t="shared" ref="DN85" si="137">IF(DJ85="APROBADO",DL85-DM85,0)</f>
        <v>0</v>
      </c>
      <c r="DO85" s="5"/>
      <c r="DP85" s="5"/>
      <c r="DQ85" s="5"/>
      <c r="DR85" s="5"/>
      <c r="DS85" s="5"/>
      <c r="DT85" s="398">
        <f t="shared" ref="DT85" si="138">IF(DP85="APROBADO",DR85-DS85,0)</f>
        <v>0</v>
      </c>
      <c r="DU85" s="5"/>
      <c r="DV85" s="5"/>
      <c r="DW85" s="5"/>
      <c r="DX85" s="5"/>
      <c r="DY85" s="5"/>
      <c r="DZ85" s="398">
        <f t="shared" ref="DZ85" si="139">IF(DV85="APROBADO",DX85-DY85,0)</f>
        <v>0</v>
      </c>
      <c r="EA85" s="5"/>
      <c r="EB85" s="5"/>
      <c r="EC85" s="5"/>
      <c r="ED85" s="5"/>
      <c r="EE85" s="5"/>
      <c r="EF85" s="398">
        <f t="shared" ref="EF85" si="140">IF(EB85="APROBADO",ED85-EE85,0)</f>
        <v>0</v>
      </c>
      <c r="EG85" s="5"/>
      <c r="EH85" s="5"/>
      <c r="EI85" s="5"/>
      <c r="EJ85" s="5"/>
      <c r="EK85" s="5"/>
      <c r="EL85" s="398">
        <f t="shared" ref="EL85" si="141">IF(EH85="APROBADO",EJ85-EK85,0)</f>
        <v>0</v>
      </c>
      <c r="EM85" s="5"/>
      <c r="EN85" s="5"/>
      <c r="EO85" s="5"/>
      <c r="EP85" s="5"/>
      <c r="EQ85" s="5"/>
      <c r="ER85" s="398">
        <f t="shared" ref="ER85" si="142">IF(EN85="APROBADO",EP85-EQ85,0)</f>
        <v>0</v>
      </c>
      <c r="ES85" s="5"/>
      <c r="ET85" s="5"/>
      <c r="EU85" s="5"/>
      <c r="EV85" s="5"/>
      <c r="EW85" s="5"/>
      <c r="EX85" s="398">
        <f t="shared" ref="EX85" si="143">IF(ET85="APROBADO",EV85-EW85,0)</f>
        <v>0</v>
      </c>
      <c r="EY85" s="398" t="e">
        <f>VLOOKUP($A85,[2]Devengado!$A$1:$AI$3,35,FALSE)</f>
        <v>#N/A</v>
      </c>
    </row>
    <row r="86" spans="1:155" ht="23.25" hidden="1" customHeight="1">
      <c r="A86" s="469">
        <v>731</v>
      </c>
      <c r="B86" s="442" t="str">
        <f>VLOOKUP($A86,  'Matriz POA 2024-TRABAJO'!$A$5:$CY$9142,11,FALSE)</f>
        <v>Corporación Ciudad Alfaro</v>
      </c>
      <c r="C86" s="442" t="str">
        <f>VLOOKUP($A86, 'Matriz POA 2024-TRABAJO'!$A$5:$CY$9142,14,FALSE)</f>
        <v>N/A</v>
      </c>
      <c r="D86" s="442" t="str">
        <f>VLOOKUP($A86, 'Matriz POA 2024-TRABAJO'!$A$5:$CY$9142,15,FALSE)</f>
        <v>N/A</v>
      </c>
      <c r="E86" s="442" t="str">
        <f>VLOOKUP($A86, 'Matriz POA 2024-TRABAJO'!$A$5:$CY$9142,18,FALSE)</f>
        <v>N/A</v>
      </c>
      <c r="F86" s="442" t="str">
        <f>VLOOKUP($A86, 'Matriz POA 2024-TRABAJO'!$A$5:$CY$9142,23,FALSE)</f>
        <v>NUEVA</v>
      </c>
      <c r="G86" s="443" t="str">
        <f>VLOOKUP($A86, 'Matriz POA 2024-TRABAJO'!$A$5:$CY$9142,24,FALSE)</f>
        <v>Subrogación</v>
      </c>
      <c r="H86" s="442" t="str">
        <f>VLOOKUP($A86, 'Matriz POA 2024-TRABAJO'!$A$5:$CY$9142,25,FALSE)</f>
        <v>0035</v>
      </c>
      <c r="I86" s="442" t="str">
        <f>VLOOKUP($A86, 'Matriz POA 2024-TRABAJO'!$A$5:$CY$9142,26,FALSE)</f>
        <v>80</v>
      </c>
      <c r="J86" s="442" t="str">
        <f>VLOOKUP($A86, 'Matriz POA 2024-TRABAJO'!$A$5:$CY$9142,27,FALSE)</f>
        <v>000</v>
      </c>
      <c r="K86" s="444" t="str">
        <f>VLOOKUP($A86, 'Matriz POA 2024-TRABAJO'!$A$5:$CY$9142,28,FALSE)</f>
        <v>002</v>
      </c>
      <c r="L86" s="444" t="str">
        <f>VLOOKUP($A86, 'Matriz POA 2024-TRABAJO'!$A$5:$CY$9142,29,FALSE)</f>
        <v>51</v>
      </c>
      <c r="M86" s="444">
        <f>VLOOKUP($A86, 'Matriz POA 2024-TRABAJO'!$A$5:$CY$9142,30,FALSE)</f>
        <v>510512</v>
      </c>
      <c r="N86" s="444" t="str">
        <f>VLOOKUP($A86, 'Matriz POA 2024-TRABAJO'!$A$5:$CY$9142,33,FALSE)</f>
        <v>001</v>
      </c>
      <c r="O86" s="444" t="str">
        <f>VLOOKUP($A86, 'Matriz POA 2024-TRABAJO'!$A$5:$CY$9142,34,FALSE)</f>
        <v>0000</v>
      </c>
      <c r="P86" s="444" t="str">
        <f>VLOOKUP($A86, 'Matriz POA 2024-TRABAJO'!$A$5:$CY$9142,35,FALSE)</f>
        <v>0000</v>
      </c>
      <c r="Q86" s="445">
        <f>VLOOKUP($A86, 'Matriz POA 2024-TRABAJO'!$A$5:$CY$9142,47,FALSE)</f>
        <v>5200</v>
      </c>
      <c r="R86" s="446">
        <f t="shared" ref="R86:R91" si="144">Z86+AF86+AL86+AR86+AX86+BD86+BJ86+BP86+BV86+CB86+CH86+CN86+CT86+CZ86+DF86+DL86+DR86+DX86+ED86+EJ86+EP86+EV86</f>
        <v>0</v>
      </c>
      <c r="S86" s="446">
        <f t="shared" ref="S86:S91" si="145">AA86+AG86+AM86+AS86+AY86+BE86+BK86+BQ86+BW86+CC86+CI86+CO86+CU86+DA86+DG86+DM86+DS86+DY86+EE86+EK86+EQ86+EW86</f>
        <v>3357.21</v>
      </c>
      <c r="T86" s="446">
        <f>AB86+AH86+AN86+AT86+AZ86+BF86+BL86+BR86+BX86+CD86+CJ86+CP86+CV86+DB86+DH86+DN86+DT86+DZ86+EF86+EL86+ER86+EX86</f>
        <v>0</v>
      </c>
      <c r="U86" s="446">
        <f t="shared" ref="U86:U91" si="146">Q86-(S86+T86)</f>
        <v>1842.79</v>
      </c>
      <c r="V86" s="446" t="str">
        <f t="shared" ref="V86:V91" si="147">W86&amp;AC86&amp;AI86&amp;AO86&amp;AU86&amp;BA86&amp;BG86&amp;BM86&amp;BS86&amp;BY86&amp;CE86&amp;CK86&amp;CQ86&amp;CW86&amp;DC86&amp;DI86&amp;DO86&amp;DU86&amp;EA86&amp;EG86&amp;ES86</f>
        <v/>
      </c>
      <c r="W86" s="403"/>
      <c r="X86" s="404"/>
      <c r="Y86" s="404"/>
      <c r="Z86" s="404"/>
      <c r="AA86" s="404">
        <f>593.33+652.67+652.67+652.67+805.87</f>
        <v>3357.21</v>
      </c>
      <c r="AB86" s="398">
        <f>IF(X86="APROBADO",Z86-AA86,0)</f>
        <v>0</v>
      </c>
      <c r="AC86" s="468"/>
      <c r="AD86" s="468"/>
      <c r="AE86" s="468"/>
      <c r="AF86" s="468"/>
      <c r="AG86" s="468"/>
      <c r="AH86" s="398">
        <f t="shared" ref="AH86:AH91" si="148">IF(AD86="APROBADO",AF86-AG86,0)</f>
        <v>0</v>
      </c>
      <c r="AI86" s="405"/>
      <c r="AJ86" s="404"/>
      <c r="AK86" s="404"/>
      <c r="AL86" s="404"/>
      <c r="AM86" s="398"/>
      <c r="AN86" s="398">
        <f t="shared" ref="AN86:AN91" si="149">IF(AJ86="APROBADO",AL86-AM86,0)</f>
        <v>0</v>
      </c>
      <c r="AO86" s="405"/>
      <c r="AP86" s="404"/>
      <c r="AQ86" s="404"/>
      <c r="AR86" s="404"/>
      <c r="AS86" s="398"/>
      <c r="AT86" s="398">
        <f t="shared" ref="AT86:AT91" si="150">IF(AP86="APROBADO",AR86-AS86,0)</f>
        <v>0</v>
      </c>
      <c r="AU86" s="468"/>
      <c r="AV86" s="468"/>
      <c r="AW86" s="468"/>
      <c r="AX86" s="468"/>
      <c r="AY86" s="468"/>
      <c r="AZ86" s="398">
        <f t="shared" ref="AZ86:AZ91" si="151">IF(AV86="APROBADO",AX86-AY86,0)</f>
        <v>0</v>
      </c>
      <c r="BA86" s="468"/>
      <c r="BB86" s="468"/>
      <c r="BC86" s="468"/>
      <c r="BD86" s="468"/>
      <c r="BE86" s="468"/>
      <c r="BF86" s="398">
        <f t="shared" ref="BF86:BF91" si="152">IF(BB86="APROBADO",BD86-BE86,0)</f>
        <v>0</v>
      </c>
      <c r="BG86" s="468"/>
      <c r="BH86" s="468"/>
      <c r="BI86" s="468"/>
      <c r="BJ86" s="468"/>
      <c r="BK86" s="468"/>
      <c r="BL86" s="398">
        <f t="shared" ref="BL86:BL91" si="153">IF(BH86="APROBADO",BJ86-BK86,0)</f>
        <v>0</v>
      </c>
      <c r="BM86" s="468"/>
      <c r="BN86" s="468"/>
      <c r="BO86" s="468"/>
      <c r="BP86" s="468"/>
      <c r="BQ86" s="468"/>
      <c r="BR86" s="398">
        <f t="shared" ref="BR86:BR91" si="154">IF(BN86="APROBADO",BP86-BQ86,0)</f>
        <v>0</v>
      </c>
      <c r="BS86" s="468"/>
      <c r="BT86" s="468"/>
      <c r="BU86" s="468"/>
      <c r="BV86" s="468"/>
      <c r="BW86" s="468"/>
      <c r="BX86" s="398">
        <f t="shared" ref="BX86:BX91" si="155">IF(BT86="APROBADO",BV86-BW86,0)</f>
        <v>0</v>
      </c>
      <c r="BY86" s="468"/>
      <c r="BZ86" s="468"/>
      <c r="CA86" s="468"/>
      <c r="CB86" s="468"/>
      <c r="CC86" s="468"/>
      <c r="CD86" s="398">
        <f t="shared" ref="CD86:CD91" si="156">IF(BZ86="APROBADO",CB86-CC86,0)</f>
        <v>0</v>
      </c>
      <c r="CE86" s="468"/>
      <c r="CF86" s="468"/>
      <c r="CG86" s="5"/>
      <c r="CH86" s="5"/>
      <c r="CI86" s="5"/>
      <c r="CJ86" s="398">
        <f t="shared" ref="CJ86:CJ91" si="157">IF(CF86="APROBADO",CH86-CI86,0)</f>
        <v>0</v>
      </c>
      <c r="CK86" s="5"/>
      <c r="CL86" s="5"/>
      <c r="CM86" s="5"/>
      <c r="CN86" s="5"/>
      <c r="CO86" s="5"/>
      <c r="CP86" s="398">
        <f t="shared" ref="CP86:CP91" si="158">IF(CL86="APROBADO",CN86-CO86,0)</f>
        <v>0</v>
      </c>
      <c r="CQ86" s="5"/>
      <c r="CR86" s="5"/>
      <c r="CS86" s="5"/>
      <c r="CT86" s="5"/>
      <c r="CU86" s="5"/>
      <c r="CV86" s="398">
        <f t="shared" ref="CV86:CV91" si="159">IF(CR86="APROBADO",CT86-CU86,0)</f>
        <v>0</v>
      </c>
      <c r="CW86" s="5"/>
      <c r="CX86" s="5"/>
      <c r="CY86" s="5"/>
      <c r="CZ86" s="5"/>
      <c r="DA86" s="5"/>
      <c r="DB86" s="398">
        <f t="shared" ref="DB86:DB91" si="160">IF(CX86="APROBADO",CZ86-DA86,0)</f>
        <v>0</v>
      </c>
      <c r="DC86" s="5"/>
      <c r="DD86" s="5"/>
      <c r="DE86" s="5"/>
      <c r="DF86" s="5"/>
      <c r="DG86" s="5"/>
      <c r="DH86" s="398">
        <f t="shared" ref="DH86:DH91" si="161">IF(DD86="APROBADO",DF86-DG86,0)</f>
        <v>0</v>
      </c>
      <c r="DI86" s="5"/>
      <c r="DJ86" s="5"/>
      <c r="DK86" s="5"/>
      <c r="DL86" s="5"/>
      <c r="DM86" s="5"/>
      <c r="DN86" s="398">
        <f t="shared" ref="DN86:DN91" si="162">IF(DJ86="APROBADO",DL86-DM86,0)</f>
        <v>0</v>
      </c>
      <c r="DO86" s="5"/>
      <c r="DP86" s="5"/>
      <c r="DQ86" s="5"/>
      <c r="DR86" s="5"/>
      <c r="DS86" s="5"/>
      <c r="DT86" s="398">
        <f t="shared" ref="DT86:DT91" si="163">IF(DP86="APROBADO",DR86-DS86,0)</f>
        <v>0</v>
      </c>
      <c r="DU86" s="5"/>
      <c r="DV86" s="5"/>
      <c r="DW86" s="5"/>
      <c r="DX86" s="5"/>
      <c r="DY86" s="5"/>
      <c r="DZ86" s="398">
        <f t="shared" ref="DZ86:DZ91" si="164">IF(DV86="APROBADO",DX86-DY86,0)</f>
        <v>0</v>
      </c>
      <c r="EA86" s="5"/>
      <c r="EB86" s="5"/>
      <c r="EC86" s="5"/>
      <c r="ED86" s="5"/>
      <c r="EE86" s="5"/>
      <c r="EF86" s="398">
        <f t="shared" ref="EF86:EF91" si="165">IF(EB86="APROBADO",ED86-EE86,0)</f>
        <v>0</v>
      </c>
      <c r="EG86" s="5"/>
      <c r="EH86" s="5"/>
      <c r="EI86" s="5"/>
      <c r="EJ86" s="5"/>
      <c r="EK86" s="5"/>
      <c r="EL86" s="398">
        <f t="shared" ref="EL86:EL91" si="166">IF(EH86="APROBADO",EJ86-EK86,0)</f>
        <v>0</v>
      </c>
      <c r="EM86" s="5"/>
      <c r="EN86" s="5"/>
      <c r="EO86" s="5"/>
      <c r="EP86" s="5"/>
      <c r="EQ86" s="5"/>
      <c r="ER86" s="398">
        <f t="shared" ref="ER86:ER91" si="167">IF(EN86="APROBADO",EP86-EQ86,0)</f>
        <v>0</v>
      </c>
      <c r="ES86" s="5"/>
      <c r="ET86" s="5"/>
      <c r="EU86" s="5"/>
      <c r="EV86" s="5"/>
      <c r="EW86" s="5"/>
      <c r="EX86" s="398">
        <f t="shared" ref="EX86:EX91" si="168">IF(ET86="APROBADO",EV86-EW86,0)</f>
        <v>0</v>
      </c>
      <c r="EY86" s="398" t="e">
        <f>VLOOKUP($A86,[2]Devengado!$A$1:$AI$3,35,FALSE)</f>
        <v>#N/A</v>
      </c>
    </row>
    <row r="87" spans="1:155" s="487" customFormat="1" ht="23.25" hidden="1" customHeight="1">
      <c r="A87" s="487">
        <v>957</v>
      </c>
      <c r="B87" s="488" t="str">
        <f>VLOOKUP($A87,  'Matriz POA 2024-TRABAJO'!$A$5:$CY$9142,11,FALSE)</f>
        <v>Corporación Ciudad Alfaro</v>
      </c>
      <c r="C87" s="488" t="str">
        <f>VLOOKUP($A87, 'Matriz POA 2024-TRABAJO'!$A$5:$CY$9142,14,FALSE)</f>
        <v>N/A</v>
      </c>
      <c r="D87" s="488" t="str">
        <f>VLOOKUP($A87, 'Matriz POA 2024-TRABAJO'!$A$5:$CY$9142,15,FALSE)</f>
        <v>N/A</v>
      </c>
      <c r="E87" s="488" t="str">
        <f>VLOOKUP($A87, 'Matriz POA 2024-TRABAJO'!$A$5:$CY$9142,18,FALSE)</f>
        <v>N/A</v>
      </c>
      <c r="F87" s="488" t="str">
        <f>VLOOKUP($A87, 'Matriz POA 2024-TRABAJO'!$A$5:$CY$9142,23,FALSE)</f>
        <v>NUEVA</v>
      </c>
      <c r="G87" s="489" t="str">
        <f>VLOOKUP($A87, 'Matriz POA 2024-TRABAJO'!$A$5:$CY$9142,24,FALSE)</f>
        <v>Contratación del servicio de mantenimiento de la fachada frontal y laterales del edificio Museo Centro Cultural Manta.</v>
      </c>
      <c r="H87" s="488" t="str">
        <f>VLOOKUP($A87, 'Matriz POA 2024-TRABAJO'!$A$5:$CY$9142,25,FALSE)</f>
        <v>0035</v>
      </c>
      <c r="I87" s="488" t="str">
        <f>VLOOKUP($A87, 'Matriz POA 2024-TRABAJO'!$A$5:$CY$9142,26,FALSE)</f>
        <v>80</v>
      </c>
      <c r="J87" s="488" t="str">
        <f>VLOOKUP($A87, 'Matriz POA 2024-TRABAJO'!$A$5:$CY$9142,27,FALSE)</f>
        <v>000</v>
      </c>
      <c r="K87" s="490" t="str">
        <f>VLOOKUP($A87, 'Matriz POA 2024-TRABAJO'!$A$5:$CY$9142,28,FALSE)</f>
        <v>002</v>
      </c>
      <c r="L87" s="490">
        <f>VLOOKUP($A87, 'Matriz POA 2024-TRABAJO'!$A$5:$CY$9142,29,FALSE)</f>
        <v>53</v>
      </c>
      <c r="M87" s="490">
        <f>VLOOKUP($A87, 'Matriz POA 2024-TRABAJO'!$A$5:$CY$9142,30,FALSE)</f>
        <v>530402</v>
      </c>
      <c r="N87" s="490" t="str">
        <f>VLOOKUP($A87, 'Matriz POA 2024-TRABAJO'!$A$5:$CY$9142,33,FALSE)</f>
        <v>001</v>
      </c>
      <c r="O87" s="490" t="str">
        <f>VLOOKUP($A87, 'Matriz POA 2024-TRABAJO'!$A$5:$CY$9142,34,FALSE)</f>
        <v>0000</v>
      </c>
      <c r="P87" s="490" t="str">
        <f>VLOOKUP($A87, 'Matriz POA 2024-TRABAJO'!$A$5:$CY$9142,35,FALSE)</f>
        <v>0000</v>
      </c>
      <c r="Q87" s="491">
        <f>VLOOKUP($A87, 'Matriz POA 2024-TRABAJO'!$A$5:$CY$9142,47,FALSE)</f>
        <v>20113.25</v>
      </c>
      <c r="R87" s="492">
        <f t="shared" si="144"/>
        <v>20113.25</v>
      </c>
      <c r="S87" s="492">
        <f t="shared" si="145"/>
        <v>19107.580000000002</v>
      </c>
      <c r="T87" s="492">
        <f>AB87+AH87+AN87+AT87+AZ87+BF87+BL87+BR87+BX87+CD87+CJ87+CP87+CV87+DB87+DH87+DN87+DT87+DZ87+EF87+EL87+ER87+EX87</f>
        <v>0</v>
      </c>
      <c r="U87" s="492">
        <f t="shared" si="146"/>
        <v>1005.6699999999983</v>
      </c>
      <c r="V87" s="492" t="str">
        <f t="shared" si="147"/>
        <v>104105106107</v>
      </c>
      <c r="W87" s="511">
        <v>104</v>
      </c>
      <c r="X87" s="404" t="s">
        <v>1305</v>
      </c>
      <c r="Y87" s="404" t="s">
        <v>1997</v>
      </c>
      <c r="Z87" s="404">
        <f>23560.95-23560.95</f>
        <v>0</v>
      </c>
      <c r="AA87" s="404">
        <f>23560.95-23560.95</f>
        <v>0</v>
      </c>
      <c r="AB87" s="398">
        <f>IF(X87="APROBADO",Z87-AA87,0)</f>
        <v>0</v>
      </c>
      <c r="AC87" s="512">
        <v>105</v>
      </c>
      <c r="AD87" s="404" t="s">
        <v>1305</v>
      </c>
      <c r="AE87" s="404">
        <f>23560.95-23560.95</f>
        <v>0</v>
      </c>
      <c r="AF87" s="404">
        <f>23560.95-23560.95</f>
        <v>0</v>
      </c>
      <c r="AG87" s="398"/>
      <c r="AH87" s="494">
        <f t="shared" si="148"/>
        <v>0</v>
      </c>
      <c r="AI87" s="512">
        <v>106</v>
      </c>
      <c r="AJ87" s="404" t="s">
        <v>1305</v>
      </c>
      <c r="AK87" s="404">
        <f>20113.25-20113.25</f>
        <v>0</v>
      </c>
      <c r="AL87" s="404">
        <f>20113.25-20113.25</f>
        <v>0</v>
      </c>
      <c r="AM87" s="398"/>
      <c r="AN87" s="398">
        <f t="shared" si="149"/>
        <v>0</v>
      </c>
      <c r="AO87" s="512">
        <v>107</v>
      </c>
      <c r="AP87" s="404" t="s">
        <v>2005</v>
      </c>
      <c r="AQ87" s="404" t="s">
        <v>2006</v>
      </c>
      <c r="AR87" s="404">
        <v>20113.25</v>
      </c>
      <c r="AS87" s="398">
        <v>19107.580000000002</v>
      </c>
      <c r="AT87" s="398">
        <f t="shared" si="150"/>
        <v>0</v>
      </c>
      <c r="AU87" s="493"/>
      <c r="AV87" s="493"/>
      <c r="AW87" s="493"/>
      <c r="AX87" s="493"/>
      <c r="AY87" s="493"/>
      <c r="AZ87" s="494">
        <f t="shared" si="151"/>
        <v>0</v>
      </c>
      <c r="BA87" s="493"/>
      <c r="BB87" s="493"/>
      <c r="BC87" s="493"/>
      <c r="BD87" s="493"/>
      <c r="BE87" s="493"/>
      <c r="BF87" s="494">
        <f t="shared" si="152"/>
        <v>0</v>
      </c>
      <c r="BG87" s="493"/>
      <c r="BH87" s="493"/>
      <c r="BI87" s="493"/>
      <c r="BJ87" s="493"/>
      <c r="BK87" s="493"/>
      <c r="BL87" s="494">
        <f t="shared" si="153"/>
        <v>0</v>
      </c>
      <c r="BM87" s="493"/>
      <c r="BN87" s="493"/>
      <c r="BO87" s="493"/>
      <c r="BP87" s="493"/>
      <c r="BQ87" s="493"/>
      <c r="BR87" s="494">
        <f t="shared" si="154"/>
        <v>0</v>
      </c>
      <c r="BS87" s="493"/>
      <c r="BT87" s="493"/>
      <c r="BU87" s="493"/>
      <c r="BV87" s="493"/>
      <c r="BW87" s="493"/>
      <c r="BX87" s="494">
        <f t="shared" si="155"/>
        <v>0</v>
      </c>
      <c r="BY87" s="493"/>
      <c r="BZ87" s="493"/>
      <c r="CA87" s="493"/>
      <c r="CB87" s="493"/>
      <c r="CC87" s="493"/>
      <c r="CD87" s="494">
        <f t="shared" si="156"/>
        <v>0</v>
      </c>
      <c r="CE87" s="493"/>
      <c r="CF87" s="493"/>
      <c r="CG87" s="495"/>
      <c r="CH87" s="495"/>
      <c r="CI87" s="495"/>
      <c r="CJ87" s="494">
        <f t="shared" si="157"/>
        <v>0</v>
      </c>
      <c r="CK87" s="495"/>
      <c r="CL87" s="495"/>
      <c r="CM87" s="495"/>
      <c r="CN87" s="495"/>
      <c r="CO87" s="495"/>
      <c r="CP87" s="494">
        <f t="shared" si="158"/>
        <v>0</v>
      </c>
      <c r="CQ87" s="495"/>
      <c r="CR87" s="495"/>
      <c r="CS87" s="495"/>
      <c r="CT87" s="495"/>
      <c r="CU87" s="495"/>
      <c r="CV87" s="494">
        <f t="shared" si="159"/>
        <v>0</v>
      </c>
      <c r="CW87" s="495"/>
      <c r="CX87" s="495"/>
      <c r="CY87" s="495"/>
      <c r="CZ87" s="495"/>
      <c r="DA87" s="495"/>
      <c r="DB87" s="494">
        <f t="shared" si="160"/>
        <v>0</v>
      </c>
      <c r="DC87" s="495"/>
      <c r="DD87" s="495"/>
      <c r="DE87" s="495"/>
      <c r="DF87" s="495"/>
      <c r="DG87" s="495"/>
      <c r="DH87" s="494">
        <f t="shared" si="161"/>
        <v>0</v>
      </c>
      <c r="DI87" s="495"/>
      <c r="DJ87" s="495"/>
      <c r="DK87" s="495"/>
      <c r="DL87" s="495"/>
      <c r="DM87" s="495"/>
      <c r="DN87" s="494">
        <f t="shared" si="162"/>
        <v>0</v>
      </c>
      <c r="DO87" s="495"/>
      <c r="DP87" s="495"/>
      <c r="DQ87" s="495"/>
      <c r="DR87" s="495"/>
      <c r="DS87" s="495"/>
      <c r="DT87" s="494">
        <f t="shared" si="163"/>
        <v>0</v>
      </c>
      <c r="DU87" s="495"/>
      <c r="DV87" s="495"/>
      <c r="DW87" s="495"/>
      <c r="DX87" s="495"/>
      <c r="DY87" s="495"/>
      <c r="DZ87" s="494">
        <f t="shared" si="164"/>
        <v>0</v>
      </c>
      <c r="EA87" s="495"/>
      <c r="EB87" s="495"/>
      <c r="EC87" s="495"/>
      <c r="ED87" s="495"/>
      <c r="EE87" s="495"/>
      <c r="EF87" s="494">
        <f t="shared" si="165"/>
        <v>0</v>
      </c>
      <c r="EG87" s="495"/>
      <c r="EH87" s="495"/>
      <c r="EI87" s="495"/>
      <c r="EJ87" s="495"/>
      <c r="EK87" s="495"/>
      <c r="EL87" s="494">
        <f t="shared" si="166"/>
        <v>0</v>
      </c>
      <c r="EM87" s="495"/>
      <c r="EN87" s="495"/>
      <c r="EO87" s="495"/>
      <c r="EP87" s="495"/>
      <c r="EQ87" s="495"/>
      <c r="ER87" s="494">
        <f t="shared" si="167"/>
        <v>0</v>
      </c>
      <c r="ES87" s="495"/>
      <c r="ET87" s="495"/>
      <c r="EU87" s="495"/>
      <c r="EV87" s="495"/>
      <c r="EW87" s="495"/>
      <c r="EX87" s="494">
        <f t="shared" si="168"/>
        <v>0</v>
      </c>
      <c r="EY87" s="494" t="e">
        <f>VLOOKUP($A87,[2]Devengado!$A$1:$AI$3,35,FALSE)</f>
        <v>#N/A</v>
      </c>
    </row>
    <row r="88" spans="1:155" ht="23.25" hidden="1" customHeight="1">
      <c r="A88" s="2">
        <v>1083</v>
      </c>
      <c r="B88" s="399" t="str">
        <f>VLOOKUP($A88,  'Matriz POA 2024-TRABAJO'!$A$5:$CY$9142,11,FALSE)</f>
        <v>Corporación Ciudad Alfaro</v>
      </c>
      <c r="C88" s="399" t="str">
        <f>VLOOKUP($A88, 'Matriz POA 2024-TRABAJO'!$A$5:$CY$9142,14,FALSE)</f>
        <v>N/A</v>
      </c>
      <c r="D88" s="399" t="str">
        <f>VLOOKUP($A88, 'Matriz POA 2024-TRABAJO'!$A$5:$CY$9142,15,FALSE)</f>
        <v>N/A</v>
      </c>
      <c r="E88" s="399" t="str">
        <f>VLOOKUP($A88, 'Matriz POA 2024-TRABAJO'!$A$5:$CY$9142,18,FALSE)</f>
        <v>N/A</v>
      </c>
      <c r="F88" s="399" t="str">
        <f>VLOOKUP($A88, 'Matriz POA 2024-TRABAJO'!$A$5:$CY$9142,23,FALSE)</f>
        <v>NUEVA</v>
      </c>
      <c r="G88" s="52" t="str">
        <f>VLOOKUP($A88, 'Matriz POA 2024-TRABAJO'!$A$5:$CY$9142,24,FALSE)</f>
        <v>Obligaciones con el IESS por responsabilidad patronal</v>
      </c>
      <c r="H88" s="399" t="str">
        <f>VLOOKUP($A88, 'Matriz POA 2024-TRABAJO'!$A$5:$CY$9142,25,FALSE)</f>
        <v>0035</v>
      </c>
      <c r="I88" s="399" t="str">
        <f>VLOOKUP($A88, 'Matriz POA 2024-TRABAJO'!$A$5:$CY$9142,26,FALSE)</f>
        <v>80</v>
      </c>
      <c r="J88" s="399" t="str">
        <f>VLOOKUP($A88, 'Matriz POA 2024-TRABAJO'!$A$5:$CY$9142,27,FALSE)</f>
        <v>000</v>
      </c>
      <c r="K88" s="400" t="str">
        <f>VLOOKUP($A88, 'Matriz POA 2024-TRABAJO'!$A$5:$CY$9142,28,FALSE)</f>
        <v>002</v>
      </c>
      <c r="L88" s="400">
        <f>VLOOKUP($A88, 'Matriz POA 2024-TRABAJO'!$A$5:$CY$9142,29,FALSE)</f>
        <v>57</v>
      </c>
      <c r="M88" s="400">
        <f>VLOOKUP($A88, 'Matriz POA 2024-TRABAJO'!$A$5:$CY$9142,30,FALSE)</f>
        <v>570216</v>
      </c>
      <c r="N88" s="400" t="str">
        <f>VLOOKUP($A88, 'Matriz POA 2024-TRABAJO'!$A$5:$CY$9142,33,FALSE)</f>
        <v>001</v>
      </c>
      <c r="O88" s="400" t="str">
        <f>VLOOKUP($A88, 'Matriz POA 2024-TRABAJO'!$A$5:$CY$9142,34,FALSE)</f>
        <v>0000</v>
      </c>
      <c r="P88" s="400" t="str">
        <f>VLOOKUP($A88, 'Matriz POA 2024-TRABAJO'!$A$5:$CY$9142,35,FALSE)</f>
        <v>0000</v>
      </c>
      <c r="Q88" s="401">
        <f>VLOOKUP($A88, 'Matriz POA 2024-TRABAJO'!$A$5:$CY$9142,47,FALSE)</f>
        <v>1000</v>
      </c>
      <c r="R88" s="402">
        <f t="shared" si="144"/>
        <v>1000</v>
      </c>
      <c r="S88" s="402">
        <f t="shared" si="145"/>
        <v>936.25</v>
      </c>
      <c r="T88" s="402">
        <f t="shared" ref="T88:T91" si="169">AB88+AH88+AN88+AT88+AZ88+BF88+BL88+BR88+BX88+CD88+CJ88+CP88+CV88+DB88+DH88+DN88+DT88+DZ88+EF88+EL88+ER88+EX88</f>
        <v>63.75</v>
      </c>
      <c r="U88" s="402">
        <f t="shared" si="146"/>
        <v>0</v>
      </c>
      <c r="V88" s="402" t="str">
        <f t="shared" si="147"/>
        <v>108</v>
      </c>
      <c r="W88" s="511">
        <v>108</v>
      </c>
      <c r="X88" s="404" t="s">
        <v>1299</v>
      </c>
      <c r="Y88" s="404" t="s">
        <v>2030</v>
      </c>
      <c r="Z88" s="404">
        <v>1000</v>
      </c>
      <c r="AA88" s="404">
        <v>936.25</v>
      </c>
      <c r="AB88" s="398">
        <f t="shared" ref="AB88:AB91" si="170">IF(X88="APROBADO",Z88-AA88,0)</f>
        <v>63.75</v>
      </c>
      <c r="AC88" s="405"/>
      <c r="AD88" s="404"/>
      <c r="AE88" s="404"/>
      <c r="AF88" s="404"/>
      <c r="AG88" s="398"/>
      <c r="AH88" s="494">
        <f t="shared" si="148"/>
        <v>0</v>
      </c>
      <c r="AI88" s="405"/>
      <c r="AJ88" s="404"/>
      <c r="AK88" s="404"/>
      <c r="AL88" s="404"/>
      <c r="AM88" s="398"/>
      <c r="AN88" s="398">
        <f t="shared" si="149"/>
        <v>0</v>
      </c>
      <c r="AO88" s="405"/>
      <c r="AP88" s="404"/>
      <c r="AQ88" s="404"/>
      <c r="AR88" s="404"/>
      <c r="AS88" s="398"/>
      <c r="AT88" s="398">
        <f t="shared" si="150"/>
        <v>0</v>
      </c>
      <c r="AU88" s="493"/>
      <c r="AV88" s="493"/>
      <c r="AW88" s="493"/>
      <c r="AX88" s="493"/>
      <c r="AY88" s="493"/>
      <c r="AZ88" s="494">
        <f t="shared" si="151"/>
        <v>0</v>
      </c>
      <c r="BA88" s="493"/>
      <c r="BB88" s="493"/>
      <c r="BC88" s="493"/>
      <c r="BD88" s="493"/>
      <c r="BE88" s="493"/>
      <c r="BF88" s="494">
        <f t="shared" si="152"/>
        <v>0</v>
      </c>
      <c r="BG88" s="493"/>
      <c r="BH88" s="493"/>
      <c r="BI88" s="493"/>
      <c r="BJ88" s="493"/>
      <c r="BK88" s="493"/>
      <c r="BL88" s="494">
        <f t="shared" si="153"/>
        <v>0</v>
      </c>
      <c r="BM88" s="493"/>
      <c r="BN88" s="493"/>
      <c r="BO88" s="493"/>
      <c r="BP88" s="493"/>
      <c r="BQ88" s="493"/>
      <c r="BR88" s="494">
        <f t="shared" si="154"/>
        <v>0</v>
      </c>
      <c r="BS88" s="493"/>
      <c r="BT88" s="493"/>
      <c r="BU88" s="493"/>
      <c r="BV88" s="493"/>
      <c r="BW88" s="493"/>
      <c r="BX88" s="494">
        <f t="shared" si="155"/>
        <v>0</v>
      </c>
      <c r="BY88" s="493"/>
      <c r="BZ88" s="493"/>
      <c r="CA88" s="493"/>
      <c r="CB88" s="493"/>
      <c r="CC88" s="493"/>
      <c r="CD88" s="494">
        <f t="shared" si="156"/>
        <v>0</v>
      </c>
      <c r="CE88" s="493"/>
      <c r="CF88" s="493"/>
      <c r="CG88" s="495"/>
      <c r="CH88" s="495"/>
      <c r="CI88" s="495"/>
      <c r="CJ88" s="494">
        <f t="shared" si="157"/>
        <v>0</v>
      </c>
      <c r="CK88" s="495"/>
      <c r="CL88" s="495"/>
      <c r="CM88" s="495"/>
      <c r="CN88" s="495"/>
      <c r="CO88" s="495"/>
      <c r="CP88" s="494">
        <f t="shared" si="158"/>
        <v>0</v>
      </c>
      <c r="CQ88" s="495"/>
      <c r="CR88" s="495"/>
      <c r="CS88" s="495"/>
      <c r="CT88" s="495"/>
      <c r="CU88" s="495"/>
      <c r="CV88" s="494">
        <f t="shared" si="159"/>
        <v>0</v>
      </c>
      <c r="CW88" s="495"/>
      <c r="CX88" s="495"/>
      <c r="CY88" s="495"/>
      <c r="CZ88" s="495"/>
      <c r="DA88" s="495"/>
      <c r="DB88" s="494">
        <f t="shared" si="160"/>
        <v>0</v>
      </c>
      <c r="DC88" s="495"/>
      <c r="DD88" s="495"/>
      <c r="DE88" s="495"/>
      <c r="DF88" s="495"/>
      <c r="DG88" s="495"/>
      <c r="DH88" s="494">
        <f t="shared" si="161"/>
        <v>0</v>
      </c>
      <c r="DI88" s="495"/>
      <c r="DJ88" s="495"/>
      <c r="DK88" s="495"/>
      <c r="DL88" s="495"/>
      <c r="DM88" s="495"/>
      <c r="DN88" s="494">
        <f t="shared" si="162"/>
        <v>0</v>
      </c>
      <c r="DO88" s="495"/>
      <c r="DP88" s="495"/>
      <c r="DQ88" s="495"/>
      <c r="DR88" s="495"/>
      <c r="DS88" s="495"/>
      <c r="DT88" s="494">
        <f t="shared" si="163"/>
        <v>0</v>
      </c>
      <c r="DU88" s="495"/>
      <c r="DV88" s="495"/>
      <c r="DW88" s="495"/>
      <c r="DX88" s="495"/>
      <c r="DY88" s="495"/>
      <c r="DZ88" s="494">
        <f t="shared" si="164"/>
        <v>0</v>
      </c>
      <c r="EA88" s="495"/>
      <c r="EB88" s="495"/>
      <c r="EC88" s="495"/>
      <c r="ED88" s="495"/>
      <c r="EE88" s="495"/>
      <c r="EF88" s="494">
        <f t="shared" si="165"/>
        <v>0</v>
      </c>
      <c r="EG88" s="495"/>
      <c r="EH88" s="495"/>
      <c r="EI88" s="495"/>
      <c r="EJ88" s="495"/>
      <c r="EK88" s="495"/>
      <c r="EL88" s="494">
        <f t="shared" si="166"/>
        <v>0</v>
      </c>
      <c r="EM88" s="495"/>
      <c r="EN88" s="495"/>
      <c r="EO88" s="495"/>
      <c r="EP88" s="495"/>
      <c r="EQ88" s="495"/>
      <c r="ER88" s="494">
        <f t="shared" si="167"/>
        <v>0</v>
      </c>
      <c r="ES88" s="495"/>
      <c r="ET88" s="495"/>
      <c r="EU88" s="495"/>
      <c r="EV88" s="495"/>
      <c r="EW88" s="495"/>
      <c r="EX88" s="494">
        <f t="shared" si="168"/>
        <v>0</v>
      </c>
      <c r="EY88" s="494" t="e">
        <f>VLOOKUP($A88,[2]Devengado!$A$1:$AI$3,35,FALSE)</f>
        <v>#N/A</v>
      </c>
    </row>
    <row r="89" spans="1:155" ht="23.25" hidden="1" customHeight="1">
      <c r="A89" s="2">
        <v>1084</v>
      </c>
      <c r="B89" s="399" t="str">
        <f>VLOOKUP($A89,  'Matriz POA 2024-TRABAJO'!$A$5:$CY$9142,11,FALSE)</f>
        <v>Corporación Ciudad Alfaro</v>
      </c>
      <c r="C89" s="399" t="str">
        <f>VLOOKUP($A89, 'Matriz POA 2024-TRABAJO'!$A$5:$CY$9142,14,FALSE)</f>
        <v>N/A</v>
      </c>
      <c r="D89" s="399" t="str">
        <f>VLOOKUP($A89, 'Matriz POA 2024-TRABAJO'!$A$5:$CY$9142,15,FALSE)</f>
        <v>N/A</v>
      </c>
      <c r="E89" s="399" t="str">
        <f>VLOOKUP($A89, 'Matriz POA 2024-TRABAJO'!$A$5:$CY$9142,18,FALSE)</f>
        <v>N/A</v>
      </c>
      <c r="F89" s="399" t="str">
        <f>VLOOKUP($A89, 'Matriz POA 2024-TRABAJO'!$A$5:$CY$9142,23,FALSE)</f>
        <v>NUEVA</v>
      </c>
      <c r="G89" s="52" t="str">
        <f>VLOOKUP($A89, 'Matriz POA 2024-TRABAJO'!$A$5:$CY$9142,24,FALSE)</f>
        <v xml:space="preserve">Intereses patronal al IESS </v>
      </c>
      <c r="H89" s="399" t="str">
        <f>VLOOKUP($A89, 'Matriz POA 2024-TRABAJO'!$A$5:$CY$9142,25,FALSE)</f>
        <v>0035</v>
      </c>
      <c r="I89" s="399" t="str">
        <f>VLOOKUP($A89, 'Matriz POA 2024-TRABAJO'!$A$5:$CY$9142,26,FALSE)</f>
        <v>80</v>
      </c>
      <c r="J89" s="399" t="str">
        <f>VLOOKUP($A89, 'Matriz POA 2024-TRABAJO'!$A$5:$CY$9142,27,FALSE)</f>
        <v>000</v>
      </c>
      <c r="K89" s="400" t="str">
        <f>VLOOKUP($A89, 'Matriz POA 2024-TRABAJO'!$A$5:$CY$9142,28,FALSE)</f>
        <v>002</v>
      </c>
      <c r="L89" s="400">
        <f>VLOOKUP($A89, 'Matriz POA 2024-TRABAJO'!$A$5:$CY$9142,29,FALSE)</f>
        <v>57</v>
      </c>
      <c r="M89" s="400">
        <f>VLOOKUP($A89, 'Matriz POA 2024-TRABAJO'!$A$5:$CY$9142,30,FALSE)</f>
        <v>570218</v>
      </c>
      <c r="N89" s="400" t="str">
        <f>VLOOKUP($A89, 'Matriz POA 2024-TRABAJO'!$A$5:$CY$9142,33,FALSE)</f>
        <v>001</v>
      </c>
      <c r="O89" s="400" t="str">
        <f>VLOOKUP($A89, 'Matriz POA 2024-TRABAJO'!$A$5:$CY$9142,34,FALSE)</f>
        <v>0000</v>
      </c>
      <c r="P89" s="400" t="str">
        <f>VLOOKUP($A89, 'Matriz POA 2024-TRABAJO'!$A$5:$CY$9142,35,FALSE)</f>
        <v>0000</v>
      </c>
      <c r="Q89" s="401">
        <f>VLOOKUP($A89, 'Matriz POA 2024-TRABAJO'!$A$5:$CY$9142,47,FALSE)</f>
        <v>1200</v>
      </c>
      <c r="R89" s="402">
        <f t="shared" si="144"/>
        <v>1200</v>
      </c>
      <c r="S89" s="402">
        <f t="shared" si="145"/>
        <v>959.7</v>
      </c>
      <c r="T89" s="402">
        <f t="shared" si="169"/>
        <v>240.29999999999995</v>
      </c>
      <c r="U89" s="402">
        <f t="shared" si="146"/>
        <v>0</v>
      </c>
      <c r="V89" s="402" t="str">
        <f t="shared" si="147"/>
        <v>109</v>
      </c>
      <c r="W89" s="511">
        <v>109</v>
      </c>
      <c r="X89" s="404" t="s">
        <v>1299</v>
      </c>
      <c r="Y89" s="404" t="s">
        <v>2030</v>
      </c>
      <c r="Z89" s="404">
        <v>1200</v>
      </c>
      <c r="AA89" s="404">
        <v>959.7</v>
      </c>
      <c r="AB89" s="398">
        <f t="shared" si="170"/>
        <v>240.29999999999995</v>
      </c>
      <c r="AC89" s="405"/>
      <c r="AD89" s="404"/>
      <c r="AE89" s="404"/>
      <c r="AF89" s="404"/>
      <c r="AG89" s="398"/>
      <c r="AH89" s="494">
        <f t="shared" si="148"/>
        <v>0</v>
      </c>
      <c r="AI89" s="405"/>
      <c r="AJ89" s="404"/>
      <c r="AK89" s="404"/>
      <c r="AL89" s="404"/>
      <c r="AM89" s="398"/>
      <c r="AN89" s="398">
        <f t="shared" si="149"/>
        <v>0</v>
      </c>
      <c r="AO89" s="405"/>
      <c r="AP89" s="404"/>
      <c r="AQ89" s="404"/>
      <c r="AR89" s="404"/>
      <c r="AS89" s="398"/>
      <c r="AT89" s="398">
        <f t="shared" si="150"/>
        <v>0</v>
      </c>
      <c r="AU89" s="493"/>
      <c r="AV89" s="493"/>
      <c r="AW89" s="493"/>
      <c r="AX89" s="493"/>
      <c r="AY89" s="493"/>
      <c r="AZ89" s="494">
        <f t="shared" si="151"/>
        <v>0</v>
      </c>
      <c r="BA89" s="493"/>
      <c r="BB89" s="493"/>
      <c r="BC89" s="493"/>
      <c r="BD89" s="493"/>
      <c r="BE89" s="493"/>
      <c r="BF89" s="494">
        <f t="shared" si="152"/>
        <v>0</v>
      </c>
      <c r="BG89" s="493"/>
      <c r="BH89" s="493"/>
      <c r="BI89" s="493"/>
      <c r="BJ89" s="493"/>
      <c r="BK89" s="493"/>
      <c r="BL89" s="494">
        <f t="shared" si="153"/>
        <v>0</v>
      </c>
      <c r="BM89" s="493"/>
      <c r="BN89" s="493"/>
      <c r="BO89" s="493"/>
      <c r="BP89" s="493"/>
      <c r="BQ89" s="493"/>
      <c r="BR89" s="494">
        <f t="shared" si="154"/>
        <v>0</v>
      </c>
      <c r="BS89" s="493"/>
      <c r="BT89" s="493"/>
      <c r="BU89" s="493"/>
      <c r="BV89" s="493"/>
      <c r="BW89" s="493"/>
      <c r="BX89" s="494">
        <f t="shared" si="155"/>
        <v>0</v>
      </c>
      <c r="BY89" s="493"/>
      <c r="BZ89" s="493"/>
      <c r="CA89" s="493"/>
      <c r="CB89" s="493"/>
      <c r="CC89" s="493"/>
      <c r="CD89" s="494">
        <f t="shared" si="156"/>
        <v>0</v>
      </c>
      <c r="CE89" s="493"/>
      <c r="CF89" s="493"/>
      <c r="CG89" s="495"/>
      <c r="CH89" s="495"/>
      <c r="CI89" s="495"/>
      <c r="CJ89" s="494">
        <f t="shared" si="157"/>
        <v>0</v>
      </c>
      <c r="CK89" s="495"/>
      <c r="CL89" s="495"/>
      <c r="CM89" s="495"/>
      <c r="CN89" s="495"/>
      <c r="CO89" s="495"/>
      <c r="CP89" s="494">
        <f t="shared" si="158"/>
        <v>0</v>
      </c>
      <c r="CQ89" s="495"/>
      <c r="CR89" s="495"/>
      <c r="CS89" s="495"/>
      <c r="CT89" s="495"/>
      <c r="CU89" s="495"/>
      <c r="CV89" s="494">
        <f t="shared" si="159"/>
        <v>0</v>
      </c>
      <c r="CW89" s="495"/>
      <c r="CX89" s="495"/>
      <c r="CY89" s="495"/>
      <c r="CZ89" s="495"/>
      <c r="DA89" s="495"/>
      <c r="DB89" s="494">
        <f t="shared" si="160"/>
        <v>0</v>
      </c>
      <c r="DC89" s="495"/>
      <c r="DD89" s="495"/>
      <c r="DE89" s="495"/>
      <c r="DF89" s="495"/>
      <c r="DG89" s="495"/>
      <c r="DH89" s="494">
        <f t="shared" si="161"/>
        <v>0</v>
      </c>
      <c r="DI89" s="495"/>
      <c r="DJ89" s="495"/>
      <c r="DK89" s="495"/>
      <c r="DL89" s="495"/>
      <c r="DM89" s="495"/>
      <c r="DN89" s="494">
        <f t="shared" si="162"/>
        <v>0</v>
      </c>
      <c r="DO89" s="495"/>
      <c r="DP89" s="495"/>
      <c r="DQ89" s="495"/>
      <c r="DR89" s="495"/>
      <c r="DS89" s="495"/>
      <c r="DT89" s="494">
        <f t="shared" si="163"/>
        <v>0</v>
      </c>
      <c r="DU89" s="495"/>
      <c r="DV89" s="495"/>
      <c r="DW89" s="495"/>
      <c r="DX89" s="495"/>
      <c r="DY89" s="495"/>
      <c r="DZ89" s="494">
        <f t="shared" si="164"/>
        <v>0</v>
      </c>
      <c r="EA89" s="495"/>
      <c r="EB89" s="495"/>
      <c r="EC89" s="495"/>
      <c r="ED89" s="495"/>
      <c r="EE89" s="495"/>
      <c r="EF89" s="494">
        <f t="shared" si="165"/>
        <v>0</v>
      </c>
      <c r="EG89" s="495"/>
      <c r="EH89" s="495"/>
      <c r="EI89" s="495"/>
      <c r="EJ89" s="495"/>
      <c r="EK89" s="495"/>
      <c r="EL89" s="494">
        <f t="shared" si="166"/>
        <v>0</v>
      </c>
      <c r="EM89" s="495"/>
      <c r="EN89" s="495"/>
      <c r="EO89" s="495"/>
      <c r="EP89" s="495"/>
      <c r="EQ89" s="495"/>
      <c r="ER89" s="494">
        <f t="shared" si="167"/>
        <v>0</v>
      </c>
      <c r="ES89" s="495"/>
      <c r="ET89" s="495"/>
      <c r="EU89" s="495"/>
      <c r="EV89" s="495"/>
      <c r="EW89" s="495"/>
      <c r="EX89" s="494">
        <f t="shared" si="168"/>
        <v>0</v>
      </c>
      <c r="EY89" s="494" t="e">
        <f>VLOOKUP($A89,[2]Devengado!$A$1:$AI$3,35,FALSE)</f>
        <v>#N/A</v>
      </c>
    </row>
    <row r="90" spans="1:155" ht="23.25" customHeight="1">
      <c r="A90" s="2">
        <v>1076</v>
      </c>
      <c r="B90" s="399" t="str">
        <f>VLOOKUP($A90,  'Matriz POA 2024-TRABAJO'!$A$5:$CY$9142,11,FALSE)</f>
        <v>Corporación Ciudad Alfaro</v>
      </c>
      <c r="C90" s="399" t="str">
        <f>VLOOKUP($A90, 'Matriz POA 2024-TRABAJO'!$A$5:$CY$9142,14,FALSE)</f>
        <v>N/A</v>
      </c>
      <c r="D90" s="399" t="str">
        <f>VLOOKUP($A90, 'Matriz POA 2024-TRABAJO'!$A$5:$CY$9142,15,FALSE)</f>
        <v>N/A</v>
      </c>
      <c r="E90" s="399" t="str">
        <f>VLOOKUP($A90, 'Matriz POA 2024-TRABAJO'!$A$5:$CY$9142,18,FALSE)</f>
        <v>N/A</v>
      </c>
      <c r="F90" s="399" t="str">
        <f>VLOOKUP($A90, 'Matriz POA 2024-TRABAJO'!$A$5:$CY$9142,23,FALSE)</f>
        <v>NUEVA</v>
      </c>
      <c r="G90" s="52" t="str">
        <f>VLOOKUP($A90, 'Matriz POA 2024-TRABAJO'!$A$5:$CY$9142,24,FALSE)</f>
        <v>Beneficio centro de cuidado infantil para los hijos e hijas de servidores y trabajadores del Ministerio de Cultura y Patrimonio-Museo Nuclear Corporaciòn Ciudad Alfaro</v>
      </c>
      <c r="H90" s="399" t="str">
        <f>VLOOKUP($A90, 'Matriz POA 2024-TRABAJO'!$A$5:$CY$9142,25,FALSE)</f>
        <v>0035</v>
      </c>
      <c r="I90" s="399" t="str">
        <f>VLOOKUP($A90, 'Matriz POA 2024-TRABAJO'!$A$5:$CY$9142,26,FALSE)</f>
        <v>80</v>
      </c>
      <c r="J90" s="399" t="str">
        <f>VLOOKUP($A90, 'Matriz POA 2024-TRABAJO'!$A$5:$CY$9142,27,FALSE)</f>
        <v>000</v>
      </c>
      <c r="K90" s="400" t="str">
        <f>VLOOKUP($A90, 'Matriz POA 2024-TRABAJO'!$A$5:$CY$9142,28,FALSE)</f>
        <v>002</v>
      </c>
      <c r="L90" s="400">
        <f>VLOOKUP($A90, 'Matriz POA 2024-TRABAJO'!$A$5:$CY$9142,29,FALSE)</f>
        <v>53</v>
      </c>
      <c r="M90" s="400">
        <f>VLOOKUP($A90, 'Matriz POA 2024-TRABAJO'!$A$5:$CY$9142,30,FALSE)</f>
        <v>530210</v>
      </c>
      <c r="N90" s="400" t="str">
        <f>VLOOKUP($A90, 'Matriz POA 2024-TRABAJO'!$A$5:$CY$9142,33,FALSE)</f>
        <v>001</v>
      </c>
      <c r="O90" s="400" t="str">
        <f>VLOOKUP($A90, 'Matriz POA 2024-TRABAJO'!$A$5:$CY$9142,34,FALSE)</f>
        <v>0000</v>
      </c>
      <c r="P90" s="400" t="str">
        <f>VLOOKUP($A90, 'Matriz POA 2024-TRABAJO'!$A$5:$CY$9142,35,FALSE)</f>
        <v>0000</v>
      </c>
      <c r="Q90" s="401">
        <f>VLOOKUP($A90, 'Matriz POA 2024-TRABAJO'!$A$5:$CY$9142,47,FALSE)</f>
        <v>1860</v>
      </c>
      <c r="R90" s="402">
        <f t="shared" si="144"/>
        <v>0</v>
      </c>
      <c r="S90" s="402">
        <f t="shared" si="145"/>
        <v>1302</v>
      </c>
      <c r="T90" s="402">
        <f t="shared" si="169"/>
        <v>0</v>
      </c>
      <c r="U90" s="402">
        <f t="shared" si="146"/>
        <v>558</v>
      </c>
      <c r="V90" s="402" t="str">
        <f t="shared" si="147"/>
        <v>111</v>
      </c>
      <c r="W90" s="511">
        <v>111</v>
      </c>
      <c r="X90" s="404" t="s">
        <v>1305</v>
      </c>
      <c r="Y90" s="404" t="s">
        <v>2030</v>
      </c>
      <c r="Z90" s="404">
        <f>1860-1860</f>
        <v>0</v>
      </c>
      <c r="AA90" s="404">
        <f>1860-1860</f>
        <v>0</v>
      </c>
      <c r="AB90" s="398">
        <f t="shared" si="170"/>
        <v>0</v>
      </c>
      <c r="AC90" s="405"/>
      <c r="AD90" s="404"/>
      <c r="AE90" s="404"/>
      <c r="AF90" s="404"/>
      <c r="AG90" s="398">
        <v>1302</v>
      </c>
      <c r="AH90" s="494">
        <f t="shared" si="148"/>
        <v>0</v>
      </c>
      <c r="AI90" s="405"/>
      <c r="AJ90" s="404"/>
      <c r="AK90" s="404"/>
      <c r="AL90" s="404"/>
      <c r="AM90" s="398"/>
      <c r="AN90" s="398">
        <f t="shared" si="149"/>
        <v>0</v>
      </c>
      <c r="AO90" s="405"/>
      <c r="AP90" s="404"/>
      <c r="AQ90" s="404"/>
      <c r="AR90" s="404"/>
      <c r="AS90" s="398"/>
      <c r="AT90" s="398">
        <f t="shared" si="150"/>
        <v>0</v>
      </c>
      <c r="AU90" s="493"/>
      <c r="AV90" s="493"/>
      <c r="AW90" s="493"/>
      <c r="AX90" s="493"/>
      <c r="AY90" s="493"/>
      <c r="AZ90" s="494">
        <f t="shared" si="151"/>
        <v>0</v>
      </c>
      <c r="BA90" s="493"/>
      <c r="BB90" s="493"/>
      <c r="BC90" s="493"/>
      <c r="BD90" s="493"/>
      <c r="BE90" s="493"/>
      <c r="BF90" s="494">
        <f t="shared" si="152"/>
        <v>0</v>
      </c>
      <c r="BG90" s="493"/>
      <c r="BH90" s="493"/>
      <c r="BI90" s="493"/>
      <c r="BJ90" s="493"/>
      <c r="BK90" s="493"/>
      <c r="BL90" s="494">
        <f t="shared" si="153"/>
        <v>0</v>
      </c>
      <c r="BM90" s="493"/>
      <c r="BN90" s="493"/>
      <c r="BO90" s="493"/>
      <c r="BP90" s="493"/>
      <c r="BQ90" s="493"/>
      <c r="BR90" s="494">
        <f t="shared" si="154"/>
        <v>0</v>
      </c>
      <c r="BS90" s="493"/>
      <c r="BT90" s="493"/>
      <c r="BU90" s="493"/>
      <c r="BV90" s="493"/>
      <c r="BW90" s="493"/>
      <c r="BX90" s="494">
        <f t="shared" si="155"/>
        <v>0</v>
      </c>
      <c r="BY90" s="493"/>
      <c r="BZ90" s="493"/>
      <c r="CA90" s="493"/>
      <c r="CB90" s="493"/>
      <c r="CC90" s="493"/>
      <c r="CD90" s="494">
        <f t="shared" si="156"/>
        <v>0</v>
      </c>
      <c r="CE90" s="493"/>
      <c r="CF90" s="493"/>
      <c r="CG90" s="495"/>
      <c r="CH90" s="495"/>
      <c r="CI90" s="495"/>
      <c r="CJ90" s="494">
        <f t="shared" si="157"/>
        <v>0</v>
      </c>
      <c r="CK90" s="495"/>
      <c r="CL90" s="495"/>
      <c r="CM90" s="495"/>
      <c r="CN90" s="495"/>
      <c r="CO90" s="495"/>
      <c r="CP90" s="494">
        <f t="shared" si="158"/>
        <v>0</v>
      </c>
      <c r="CQ90" s="495"/>
      <c r="CR90" s="495"/>
      <c r="CS90" s="495"/>
      <c r="CT90" s="495"/>
      <c r="CU90" s="495"/>
      <c r="CV90" s="494">
        <f t="shared" si="159"/>
        <v>0</v>
      </c>
      <c r="CW90" s="495"/>
      <c r="CX90" s="495"/>
      <c r="CY90" s="495"/>
      <c r="CZ90" s="495"/>
      <c r="DA90" s="495"/>
      <c r="DB90" s="494">
        <f t="shared" si="160"/>
        <v>0</v>
      </c>
      <c r="DC90" s="495"/>
      <c r="DD90" s="495"/>
      <c r="DE90" s="495"/>
      <c r="DF90" s="495"/>
      <c r="DG90" s="495"/>
      <c r="DH90" s="494">
        <f t="shared" si="161"/>
        <v>0</v>
      </c>
      <c r="DI90" s="495"/>
      <c r="DJ90" s="495"/>
      <c r="DK90" s="495"/>
      <c r="DL90" s="495"/>
      <c r="DM90" s="495"/>
      <c r="DN90" s="494">
        <f t="shared" si="162"/>
        <v>0</v>
      </c>
      <c r="DO90" s="495"/>
      <c r="DP90" s="495"/>
      <c r="DQ90" s="495"/>
      <c r="DR90" s="495"/>
      <c r="DS90" s="495"/>
      <c r="DT90" s="494">
        <f t="shared" si="163"/>
        <v>0</v>
      </c>
      <c r="DU90" s="495"/>
      <c r="DV90" s="495"/>
      <c r="DW90" s="495"/>
      <c r="DX90" s="495"/>
      <c r="DY90" s="495"/>
      <c r="DZ90" s="494">
        <f t="shared" si="164"/>
        <v>0</v>
      </c>
      <c r="EA90" s="495"/>
      <c r="EB90" s="495"/>
      <c r="EC90" s="495"/>
      <c r="ED90" s="495"/>
      <c r="EE90" s="495"/>
      <c r="EF90" s="494">
        <f t="shared" si="165"/>
        <v>0</v>
      </c>
      <c r="EG90" s="495"/>
      <c r="EH90" s="495"/>
      <c r="EI90" s="495"/>
      <c r="EJ90" s="495"/>
      <c r="EK90" s="495"/>
      <c r="EL90" s="494">
        <f t="shared" si="166"/>
        <v>0</v>
      </c>
      <c r="EM90" s="495"/>
      <c r="EN90" s="495"/>
      <c r="EO90" s="495"/>
      <c r="EP90" s="495"/>
      <c r="EQ90" s="495"/>
      <c r="ER90" s="494">
        <f t="shared" si="167"/>
        <v>0</v>
      </c>
      <c r="ES90" s="495"/>
      <c r="ET90" s="495"/>
      <c r="EU90" s="495"/>
      <c r="EV90" s="495"/>
      <c r="EW90" s="495"/>
      <c r="EX90" s="494">
        <f t="shared" si="168"/>
        <v>0</v>
      </c>
      <c r="EY90" s="494" t="e">
        <f>VLOOKUP($A90,[2]Devengado!$A$1:$AI$3,35,FALSE)</f>
        <v>#N/A</v>
      </c>
    </row>
    <row r="91" spans="1:155" ht="23.25" hidden="1" customHeight="1">
      <c r="A91" s="2">
        <v>1086</v>
      </c>
      <c r="B91" s="399" t="str">
        <f>VLOOKUP($A91,  'Matriz POA 2024-TRABAJO'!$A$5:$CY$9142,11,FALSE)</f>
        <v>Corporación Ciudad Alfaro</v>
      </c>
      <c r="C91" s="399" t="str">
        <f>VLOOKUP($A91, 'Matriz POA 2024-TRABAJO'!$A$5:$CY$9142,14,FALSE)</f>
        <v>N/A</v>
      </c>
      <c r="D91" s="399" t="str">
        <f>VLOOKUP($A91, 'Matriz POA 2024-TRABAJO'!$A$5:$CY$9142,15,FALSE)</f>
        <v>N/A</v>
      </c>
      <c r="E91" s="399" t="str">
        <f>VLOOKUP($A91, 'Matriz POA 2024-TRABAJO'!$A$5:$CY$9142,18,FALSE)</f>
        <v>N/A</v>
      </c>
      <c r="F91" s="399" t="str">
        <f>VLOOKUP($A91, 'Matriz POA 2024-TRABAJO'!$A$5:$CY$9142,23,FALSE)</f>
        <v>NUEVA</v>
      </c>
      <c r="G91" s="52" t="str">
        <f>VLOOKUP($A91, 'Matriz POA 2024-TRABAJO'!$A$5:$CY$9142,24,FALSE)</f>
        <v>Pago de rodaje cantonal de los vehículos de la Corporación Ciudad Alfaro</v>
      </c>
      <c r="H91" s="399" t="str">
        <f>VLOOKUP($A91, 'Matriz POA 2024-TRABAJO'!$A$5:$CY$9142,25,FALSE)</f>
        <v>0035</v>
      </c>
      <c r="I91" s="399" t="str">
        <f>VLOOKUP($A91, 'Matriz POA 2024-TRABAJO'!$A$5:$CY$9142,26,FALSE)</f>
        <v>80</v>
      </c>
      <c r="J91" s="399" t="str">
        <f>VLOOKUP($A91, 'Matriz POA 2024-TRABAJO'!$A$5:$CY$9142,27,FALSE)</f>
        <v>000</v>
      </c>
      <c r="K91" s="400" t="str">
        <f>VLOOKUP($A91, 'Matriz POA 2024-TRABAJO'!$A$5:$CY$9142,28,FALSE)</f>
        <v>002</v>
      </c>
      <c r="L91" s="465">
        <f>VLOOKUP($A91, 'Matriz POA 2024-TRABAJO'!$A$5:$CY$9142,29,FALSE)</f>
        <v>57</v>
      </c>
      <c r="M91" s="465">
        <f>VLOOKUP($A91, 'Matriz POA 2024-TRABAJO'!$A$5:$CY$9142,30,FALSE)</f>
        <v>570102</v>
      </c>
      <c r="N91" s="465" t="str">
        <f>VLOOKUP($A91, 'Matriz POA 2024-TRABAJO'!$A$5:$CY$9142,33,FALSE)</f>
        <v>001</v>
      </c>
      <c r="O91" s="465" t="str">
        <f>VLOOKUP($A91, 'Matriz POA 2024-TRABAJO'!$A$5:$CY$9142,34,FALSE)</f>
        <v>0000</v>
      </c>
      <c r="P91" s="465" t="str">
        <f>VLOOKUP($A91, 'Matriz POA 2024-TRABAJO'!$A$5:$CY$9142,35,FALSE)</f>
        <v>0000</v>
      </c>
      <c r="Q91" s="466">
        <f>VLOOKUP($A91, 'Matriz POA 2024-TRABAJO'!$A$5:$CY$9142,47,FALSE)</f>
        <v>200</v>
      </c>
      <c r="R91" s="467">
        <f t="shared" si="144"/>
        <v>200</v>
      </c>
      <c r="S91" s="467">
        <f t="shared" si="145"/>
        <v>0</v>
      </c>
      <c r="T91" s="467">
        <f t="shared" si="169"/>
        <v>200</v>
      </c>
      <c r="U91" s="467">
        <f t="shared" si="146"/>
        <v>0</v>
      </c>
      <c r="V91" s="467" t="str">
        <f t="shared" si="147"/>
        <v>116</v>
      </c>
      <c r="W91" s="511">
        <v>116</v>
      </c>
      <c r="X91" s="404" t="s">
        <v>1299</v>
      </c>
      <c r="Y91" s="404" t="s">
        <v>2030</v>
      </c>
      <c r="Z91" s="404">
        <v>200</v>
      </c>
      <c r="AA91" s="404"/>
      <c r="AB91" s="398">
        <f t="shared" si="170"/>
        <v>200</v>
      </c>
      <c r="AC91" s="405"/>
      <c r="AD91" s="404"/>
      <c r="AE91" s="404"/>
      <c r="AF91" s="404"/>
      <c r="AG91" s="398"/>
      <c r="AH91" s="494">
        <f t="shared" si="148"/>
        <v>0</v>
      </c>
      <c r="AI91" s="405"/>
      <c r="AJ91" s="404"/>
      <c r="AK91" s="404"/>
      <c r="AL91" s="404"/>
      <c r="AM91" s="398"/>
      <c r="AN91" s="398">
        <f t="shared" si="149"/>
        <v>0</v>
      </c>
      <c r="AO91" s="405"/>
      <c r="AP91" s="404"/>
      <c r="AQ91" s="404"/>
      <c r="AR91" s="404"/>
      <c r="AS91" s="398"/>
      <c r="AT91" s="398">
        <f t="shared" si="150"/>
        <v>0</v>
      </c>
      <c r="AU91" s="493"/>
      <c r="AV91" s="493"/>
      <c r="AW91" s="493"/>
      <c r="AX91" s="493"/>
      <c r="AY91" s="493"/>
      <c r="AZ91" s="494">
        <f t="shared" si="151"/>
        <v>0</v>
      </c>
      <c r="BA91" s="493"/>
      <c r="BB91" s="493"/>
      <c r="BC91" s="493"/>
      <c r="BD91" s="493"/>
      <c r="BE91" s="493"/>
      <c r="BF91" s="494">
        <f t="shared" si="152"/>
        <v>0</v>
      </c>
      <c r="BG91" s="493"/>
      <c r="BH91" s="493"/>
      <c r="BI91" s="493"/>
      <c r="BJ91" s="493"/>
      <c r="BK91" s="493"/>
      <c r="BL91" s="494">
        <f t="shared" si="153"/>
        <v>0</v>
      </c>
      <c r="BM91" s="493"/>
      <c r="BN91" s="493"/>
      <c r="BO91" s="493"/>
      <c r="BP91" s="493"/>
      <c r="BQ91" s="493"/>
      <c r="BR91" s="494">
        <f t="shared" si="154"/>
        <v>0</v>
      </c>
      <c r="BS91" s="493"/>
      <c r="BT91" s="493"/>
      <c r="BU91" s="493"/>
      <c r="BV91" s="493"/>
      <c r="BW91" s="493"/>
      <c r="BX91" s="494">
        <f t="shared" si="155"/>
        <v>0</v>
      </c>
      <c r="BY91" s="493"/>
      <c r="BZ91" s="493"/>
      <c r="CA91" s="493"/>
      <c r="CB91" s="493"/>
      <c r="CC91" s="493"/>
      <c r="CD91" s="494">
        <f t="shared" si="156"/>
        <v>0</v>
      </c>
      <c r="CE91" s="493"/>
      <c r="CF91" s="493"/>
      <c r="CG91" s="495"/>
      <c r="CH91" s="495"/>
      <c r="CI91" s="495"/>
      <c r="CJ91" s="494">
        <f t="shared" si="157"/>
        <v>0</v>
      </c>
      <c r="CK91" s="495"/>
      <c r="CL91" s="495"/>
      <c r="CM91" s="495"/>
      <c r="CN91" s="495"/>
      <c r="CO91" s="495"/>
      <c r="CP91" s="494">
        <f t="shared" si="158"/>
        <v>0</v>
      </c>
      <c r="CQ91" s="495"/>
      <c r="CR91" s="495"/>
      <c r="CS91" s="495"/>
      <c r="CT91" s="495"/>
      <c r="CU91" s="495"/>
      <c r="CV91" s="494">
        <f t="shared" si="159"/>
        <v>0</v>
      </c>
      <c r="CW91" s="495"/>
      <c r="CX91" s="495"/>
      <c r="CY91" s="495"/>
      <c r="CZ91" s="495"/>
      <c r="DA91" s="495"/>
      <c r="DB91" s="494">
        <f t="shared" si="160"/>
        <v>0</v>
      </c>
      <c r="DC91" s="495"/>
      <c r="DD91" s="495"/>
      <c r="DE91" s="495"/>
      <c r="DF91" s="495"/>
      <c r="DG91" s="495"/>
      <c r="DH91" s="494">
        <f t="shared" si="161"/>
        <v>0</v>
      </c>
      <c r="DI91" s="495"/>
      <c r="DJ91" s="495"/>
      <c r="DK91" s="495"/>
      <c r="DL91" s="495"/>
      <c r="DM91" s="495"/>
      <c r="DN91" s="494">
        <f t="shared" si="162"/>
        <v>0</v>
      </c>
      <c r="DO91" s="495"/>
      <c r="DP91" s="495"/>
      <c r="DQ91" s="495"/>
      <c r="DR91" s="495"/>
      <c r="DS91" s="495"/>
      <c r="DT91" s="494">
        <f t="shared" si="163"/>
        <v>0</v>
      </c>
      <c r="DU91" s="495"/>
      <c r="DV91" s="495"/>
      <c r="DW91" s="495"/>
      <c r="DX91" s="495"/>
      <c r="DY91" s="495"/>
      <c r="DZ91" s="494">
        <f t="shared" si="164"/>
        <v>0</v>
      </c>
      <c r="EA91" s="495"/>
      <c r="EB91" s="495"/>
      <c r="EC91" s="495"/>
      <c r="ED91" s="495"/>
      <c r="EE91" s="495"/>
      <c r="EF91" s="494">
        <f t="shared" si="165"/>
        <v>0</v>
      </c>
      <c r="EG91" s="495"/>
      <c r="EH91" s="495"/>
      <c r="EI91" s="495"/>
      <c r="EJ91" s="495"/>
      <c r="EK91" s="495"/>
      <c r="EL91" s="494">
        <f t="shared" si="166"/>
        <v>0</v>
      </c>
      <c r="EM91" s="495"/>
      <c r="EN91" s="495"/>
      <c r="EO91" s="495"/>
      <c r="EP91" s="495"/>
      <c r="EQ91" s="495"/>
      <c r="ER91" s="494">
        <f t="shared" si="167"/>
        <v>0</v>
      </c>
      <c r="ES91" s="495"/>
      <c r="ET91" s="495"/>
      <c r="EU91" s="495"/>
      <c r="EV91" s="495"/>
      <c r="EW91" s="495"/>
      <c r="EX91" s="494">
        <f t="shared" si="168"/>
        <v>0</v>
      </c>
      <c r="EY91" s="494" t="e">
        <f>VLOOKUP($A91,[2]Devengado!$A$1:$AI$3,35,FALSE)</f>
        <v>#N/A</v>
      </c>
    </row>
    <row r="92" spans="1:155" ht="23.25" hidden="1" customHeight="1">
      <c r="A92" s="2">
        <v>1087</v>
      </c>
      <c r="B92" s="399" t="str">
        <f>VLOOKUP($A92,  'Matriz POA 2024-TRABAJO'!$A$5:$CY$9142,11,FALSE)</f>
        <v>Corporación Ciudad Alfaro</v>
      </c>
      <c r="C92" s="399" t="str">
        <f>VLOOKUP($A92, 'Matriz POA 2024-TRABAJO'!$A$5:$CY$9142,14,FALSE)</f>
        <v>N/A</v>
      </c>
      <c r="D92" s="399" t="str">
        <f>VLOOKUP($A92, 'Matriz POA 2024-TRABAJO'!$A$5:$CY$9142,15,FALSE)</f>
        <v>N/A</v>
      </c>
      <c r="E92" s="399" t="str">
        <f>VLOOKUP($A92, 'Matriz POA 2024-TRABAJO'!$A$5:$CY$9142,18,FALSE)</f>
        <v>N/A</v>
      </c>
      <c r="F92" s="399" t="str">
        <f>VLOOKUP($A92, 'Matriz POA 2024-TRABAJO'!$A$5:$CY$9142,23,FALSE)</f>
        <v>NUEVA</v>
      </c>
      <c r="G92" s="52" t="str">
        <f>VLOOKUP($A92, 'Matriz POA 2024-TRABAJO'!$A$5:$CY$9142,24,FALSE)</f>
        <v>Pago de revisión vehicular a los vehículos de la Corporación Ciudad Alfaro</v>
      </c>
      <c r="H92" s="399" t="str">
        <f>VLOOKUP($A92, 'Matriz POA 2024-TRABAJO'!$A$5:$CY$9142,25,FALSE)</f>
        <v>0035</v>
      </c>
      <c r="I92" s="399" t="str">
        <f>VLOOKUP($A92, 'Matriz POA 2024-TRABAJO'!$A$5:$CY$9142,26,FALSE)</f>
        <v>80</v>
      </c>
      <c r="J92" s="399" t="str">
        <f>VLOOKUP($A92, 'Matriz POA 2024-TRABAJO'!$A$5:$CY$9142,27,FALSE)</f>
        <v>000</v>
      </c>
      <c r="K92" s="400" t="str">
        <f>VLOOKUP($A92, 'Matriz POA 2024-TRABAJO'!$A$5:$CY$9142,28,FALSE)</f>
        <v>002</v>
      </c>
      <c r="L92" s="400">
        <f>VLOOKUP($A92, 'Matriz POA 2024-TRABAJO'!$A$5:$CY$9142,29,FALSE)</f>
        <v>57</v>
      </c>
      <c r="M92" s="400">
        <f>VLOOKUP($A92, 'Matriz POA 2024-TRABAJO'!$A$5:$CY$9142,30,FALSE)</f>
        <v>570102</v>
      </c>
      <c r="N92" s="400" t="str">
        <f>VLOOKUP($A92, 'Matriz POA 2024-TRABAJO'!$A$5:$CY$9142,33,FALSE)</f>
        <v>001</v>
      </c>
      <c r="O92" s="400" t="str">
        <f>VLOOKUP($A92, 'Matriz POA 2024-TRABAJO'!$A$5:$CY$9142,34,FALSE)</f>
        <v>0000</v>
      </c>
      <c r="P92" s="400" t="str">
        <f>VLOOKUP($A92, 'Matriz POA 2024-TRABAJO'!$A$5:$CY$9142,35,FALSE)</f>
        <v>0000</v>
      </c>
      <c r="Q92" s="401">
        <f>VLOOKUP($A92, 'Matriz POA 2024-TRABAJO'!$A$5:$CY$9142,47,FALSE)</f>
        <v>350</v>
      </c>
      <c r="R92" s="402">
        <f t="shared" ref="R92:R99" si="171">Z92+AF92+AL92+AR92+AX92+BD92+BJ92+BP92+BV92+CB92+CH92+CN92+CT92+CZ92+DF92+DL92+DR92+DX92+ED92+EJ92+EP92+EV92</f>
        <v>350</v>
      </c>
      <c r="S92" s="402">
        <f t="shared" ref="S92:S99" si="172">AA92+AG92+AM92+AS92+AY92+BE92+BK92+BQ92+BW92+CC92+CI92+CO92+CU92+DA92+DG92+DM92+DS92+DY92+EE92+EK92+EQ92+EW92</f>
        <v>0</v>
      </c>
      <c r="T92" s="402">
        <f t="shared" ref="T92:T99" si="173">AB92+AH92+AN92+AT92+AZ92+BF92+BL92+BR92+BX92+CD92+CJ92+CP92+CV92+DB92+DH92+DN92+DT92+DZ92+EF92+EL92+ER92+EX92</f>
        <v>350</v>
      </c>
      <c r="U92" s="402">
        <f t="shared" ref="U92:U99" si="174">Q92-(S92+T92)</f>
        <v>0</v>
      </c>
      <c r="V92" s="402" t="str">
        <f t="shared" ref="V92:V99" si="175">W92&amp;AC92&amp;AI92&amp;AO92&amp;AU92&amp;BA92&amp;BG92&amp;BM92&amp;BS92&amp;BY92&amp;CE92&amp;CK92&amp;CQ92&amp;CW92&amp;DC92&amp;DI92&amp;DO92&amp;DU92&amp;EA92&amp;EG92&amp;ES92</f>
        <v>117</v>
      </c>
      <c r="W92" s="511">
        <v>117</v>
      </c>
      <c r="X92" s="404" t="s">
        <v>1299</v>
      </c>
      <c r="Y92" s="404" t="s">
        <v>2030</v>
      </c>
      <c r="Z92" s="404">
        <v>350</v>
      </c>
      <c r="AA92" s="404"/>
      <c r="AB92" s="398">
        <f t="shared" ref="AB92:AB99" si="176">IF(X92="APROBADO",Z92-AA92,0)</f>
        <v>350</v>
      </c>
      <c r="AC92" s="405"/>
      <c r="AD92" s="404"/>
      <c r="AE92" s="404"/>
      <c r="AF92" s="404"/>
      <c r="AG92" s="398"/>
      <c r="AH92" s="494">
        <f t="shared" ref="AH92:AH99" si="177">IF(AD92="APROBADO",AF92-AG92,0)</f>
        <v>0</v>
      </c>
      <c r="AI92" s="405"/>
      <c r="AJ92" s="404"/>
      <c r="AK92" s="404"/>
      <c r="AL92" s="404"/>
      <c r="AM92" s="398"/>
      <c r="AN92" s="398">
        <f t="shared" ref="AN92:AN99" si="178">IF(AJ92="APROBADO",AL92-AM92,0)</f>
        <v>0</v>
      </c>
      <c r="AO92" s="405"/>
      <c r="AP92" s="404"/>
      <c r="AQ92" s="404"/>
      <c r="AR92" s="404"/>
      <c r="AS92" s="398"/>
      <c r="AT92" s="398">
        <f t="shared" ref="AT92:AT99" si="179">IF(AP92="APROBADO",AR92-AS92,0)</f>
        <v>0</v>
      </c>
      <c r="AU92" s="493"/>
      <c r="AV92" s="493"/>
      <c r="AW92" s="493"/>
      <c r="AX92" s="493"/>
      <c r="AY92" s="493"/>
      <c r="AZ92" s="494">
        <f t="shared" ref="AZ92:AZ99" si="180">IF(AV92="APROBADO",AX92-AY92,0)</f>
        <v>0</v>
      </c>
      <c r="BA92" s="493"/>
      <c r="BB92" s="493"/>
      <c r="BC92" s="493"/>
      <c r="BD92" s="493"/>
      <c r="BE92" s="493"/>
      <c r="BF92" s="494">
        <f t="shared" ref="BF92:BF99" si="181">IF(BB92="APROBADO",BD92-BE92,0)</f>
        <v>0</v>
      </c>
      <c r="BG92" s="493"/>
      <c r="BH92" s="493"/>
      <c r="BI92" s="493"/>
      <c r="BJ92" s="493"/>
      <c r="BK92" s="493"/>
      <c r="BL92" s="494">
        <f t="shared" ref="BL92:BL99" si="182">IF(BH92="APROBADO",BJ92-BK92,0)</f>
        <v>0</v>
      </c>
      <c r="BM92" s="493"/>
      <c r="BN92" s="493"/>
      <c r="BO92" s="493"/>
      <c r="BP92" s="493"/>
      <c r="BQ92" s="493"/>
      <c r="BR92" s="494">
        <f t="shared" ref="BR92:BR99" si="183">IF(BN92="APROBADO",BP92-BQ92,0)</f>
        <v>0</v>
      </c>
      <c r="BS92" s="493"/>
      <c r="BT92" s="493"/>
      <c r="BU92" s="493"/>
      <c r="BV92" s="493"/>
      <c r="BW92" s="493"/>
      <c r="BX92" s="494">
        <f t="shared" ref="BX92:BX99" si="184">IF(BT92="APROBADO",BV92-BW92,0)</f>
        <v>0</v>
      </c>
      <c r="BY92" s="493"/>
      <c r="BZ92" s="493"/>
      <c r="CA92" s="493"/>
      <c r="CB92" s="493"/>
      <c r="CC92" s="493"/>
      <c r="CD92" s="494">
        <f t="shared" ref="CD92:CD99" si="185">IF(BZ92="APROBADO",CB92-CC92,0)</f>
        <v>0</v>
      </c>
      <c r="CE92" s="493"/>
      <c r="CF92" s="493"/>
      <c r="CG92" s="495"/>
      <c r="CH92" s="495"/>
      <c r="CI92" s="495"/>
      <c r="CJ92" s="494">
        <f t="shared" ref="CJ92:CJ99" si="186">IF(CF92="APROBADO",CH92-CI92,0)</f>
        <v>0</v>
      </c>
      <c r="CK92" s="495"/>
      <c r="CL92" s="495"/>
      <c r="CM92" s="495"/>
      <c r="CN92" s="495"/>
      <c r="CO92" s="495"/>
      <c r="CP92" s="494">
        <f t="shared" ref="CP92:CP99" si="187">IF(CL92="APROBADO",CN92-CO92,0)</f>
        <v>0</v>
      </c>
      <c r="CQ92" s="495"/>
      <c r="CR92" s="495"/>
      <c r="CS92" s="495"/>
      <c r="CT92" s="495"/>
      <c r="CU92" s="495"/>
      <c r="CV92" s="494">
        <f t="shared" ref="CV92:CV99" si="188">IF(CR92="APROBADO",CT92-CU92,0)</f>
        <v>0</v>
      </c>
      <c r="CW92" s="495"/>
      <c r="CX92" s="495"/>
      <c r="CY92" s="495"/>
      <c r="CZ92" s="495"/>
      <c r="DA92" s="495"/>
      <c r="DB92" s="494">
        <f t="shared" ref="DB92:DB99" si="189">IF(CX92="APROBADO",CZ92-DA92,0)</f>
        <v>0</v>
      </c>
      <c r="DC92" s="495"/>
      <c r="DD92" s="495"/>
      <c r="DE92" s="495"/>
      <c r="DF92" s="495"/>
      <c r="DG92" s="495"/>
      <c r="DH92" s="494">
        <f t="shared" ref="DH92:DH99" si="190">IF(DD92="APROBADO",DF92-DG92,0)</f>
        <v>0</v>
      </c>
      <c r="DI92" s="495"/>
      <c r="DJ92" s="495"/>
      <c r="DK92" s="495"/>
      <c r="DL92" s="495"/>
      <c r="DM92" s="495"/>
      <c r="DN92" s="494">
        <f t="shared" ref="DN92:DN99" si="191">IF(DJ92="APROBADO",DL92-DM92,0)</f>
        <v>0</v>
      </c>
      <c r="DO92" s="495"/>
      <c r="DP92" s="495"/>
      <c r="DQ92" s="495"/>
      <c r="DR92" s="495"/>
      <c r="DS92" s="495"/>
      <c r="DT92" s="494">
        <f t="shared" ref="DT92:DT99" si="192">IF(DP92="APROBADO",DR92-DS92,0)</f>
        <v>0</v>
      </c>
      <c r="DU92" s="495"/>
      <c r="DV92" s="495"/>
      <c r="DW92" s="495"/>
      <c r="DX92" s="495"/>
      <c r="DY92" s="495"/>
      <c r="DZ92" s="494">
        <f t="shared" ref="DZ92:DZ99" si="193">IF(DV92="APROBADO",DX92-DY92,0)</f>
        <v>0</v>
      </c>
      <c r="EA92" s="495"/>
      <c r="EB92" s="495"/>
      <c r="EC92" s="495"/>
      <c r="ED92" s="495"/>
      <c r="EE92" s="495"/>
      <c r="EF92" s="494">
        <f t="shared" ref="EF92:EF99" si="194">IF(EB92="APROBADO",ED92-EE92,0)</f>
        <v>0</v>
      </c>
      <c r="EG92" s="495"/>
      <c r="EH92" s="495"/>
      <c r="EI92" s="495"/>
      <c r="EJ92" s="495"/>
      <c r="EK92" s="495"/>
      <c r="EL92" s="494">
        <f t="shared" ref="EL92:EL99" si="195">IF(EH92="APROBADO",EJ92-EK92,0)</f>
        <v>0</v>
      </c>
      <c r="EM92" s="495"/>
      <c r="EN92" s="495"/>
      <c r="EO92" s="495"/>
      <c r="EP92" s="495"/>
      <c r="EQ92" s="495"/>
      <c r="ER92" s="494">
        <f t="shared" ref="ER92:ER99" si="196">IF(EN92="APROBADO",EP92-EQ92,0)</f>
        <v>0</v>
      </c>
      <c r="ES92" s="495"/>
      <c r="ET92" s="495"/>
      <c r="EU92" s="495"/>
      <c r="EV92" s="495"/>
      <c r="EW92" s="495"/>
      <c r="EX92" s="494">
        <f t="shared" ref="EX92:EX99" si="197">IF(ET92="APROBADO",EV92-EW92,0)</f>
        <v>0</v>
      </c>
      <c r="EY92" s="494" t="e">
        <f>VLOOKUP($A92,[2]Devengado!$A$1:$AI$3,35,FALSE)</f>
        <v>#N/A</v>
      </c>
    </row>
    <row r="93" spans="1:155" ht="23.25" hidden="1" customHeight="1">
      <c r="A93" s="2">
        <v>1085</v>
      </c>
      <c r="B93" s="399" t="str">
        <f>VLOOKUP($A93,  'Matriz POA 2024-TRABAJO'!$A$5:$CY$9142,11,FALSE)</f>
        <v>Corporación Ciudad Alfaro</v>
      </c>
      <c r="C93" s="399" t="str">
        <f>VLOOKUP($A93, 'Matriz POA 2024-TRABAJO'!$A$5:$CY$9142,14,FALSE)</f>
        <v>N/A</v>
      </c>
      <c r="D93" s="399" t="str">
        <f>VLOOKUP($A93, 'Matriz POA 2024-TRABAJO'!$A$5:$CY$9142,15,FALSE)</f>
        <v>N/A</v>
      </c>
      <c r="E93" s="399" t="str">
        <f>VLOOKUP($A93, 'Matriz POA 2024-TRABAJO'!$A$5:$CY$9142,18,FALSE)</f>
        <v>N/A</v>
      </c>
      <c r="F93" s="399" t="str">
        <f>VLOOKUP($A93, 'Matriz POA 2024-TRABAJO'!$A$5:$CY$9142,23,FALSE)</f>
        <v>NUEVA</v>
      </c>
      <c r="G93" s="52" t="str">
        <f>VLOOKUP($A93, 'Matriz POA 2024-TRABAJO'!$A$5:$CY$9142,24,FALSE)</f>
        <v>Elaboración e Instalación de rótulo institucional del Museo Manta</v>
      </c>
      <c r="H93" s="399" t="str">
        <f>VLOOKUP($A93, 'Matriz POA 2024-TRABAJO'!$A$5:$CY$9142,25,FALSE)</f>
        <v>0035</v>
      </c>
      <c r="I93" s="399" t="str">
        <f>VLOOKUP($A93, 'Matriz POA 2024-TRABAJO'!$A$5:$CY$9142,26,FALSE)</f>
        <v>80</v>
      </c>
      <c r="J93" s="399" t="str">
        <f>VLOOKUP($A93, 'Matriz POA 2024-TRABAJO'!$A$5:$CY$9142,27,FALSE)</f>
        <v>000</v>
      </c>
      <c r="K93" s="400" t="str">
        <f>VLOOKUP($A93, 'Matriz POA 2024-TRABAJO'!$A$5:$CY$9142,28,FALSE)</f>
        <v>002</v>
      </c>
      <c r="L93" s="400">
        <f>VLOOKUP($A93, 'Matriz POA 2024-TRABAJO'!$A$5:$CY$9142,29,FALSE)</f>
        <v>53</v>
      </c>
      <c r="M93" s="400">
        <f>VLOOKUP($A93, 'Matriz POA 2024-TRABAJO'!$A$5:$CY$9142,30,FALSE)</f>
        <v>530402</v>
      </c>
      <c r="N93" s="400" t="str">
        <f>VLOOKUP($A93, 'Matriz POA 2024-TRABAJO'!$A$5:$CY$9142,33,FALSE)</f>
        <v>001</v>
      </c>
      <c r="O93" s="400" t="str">
        <f>VLOOKUP($A93, 'Matriz POA 2024-TRABAJO'!$A$5:$CY$9142,34,FALSE)</f>
        <v>0000</v>
      </c>
      <c r="P93" s="400" t="str">
        <f>VLOOKUP($A93, 'Matriz POA 2024-TRABAJO'!$A$5:$CY$9142,35,FALSE)</f>
        <v>0000</v>
      </c>
      <c r="Q93" s="401">
        <f>VLOOKUP($A93, 'Matriz POA 2024-TRABAJO'!$A$5:$CY$9142,47,FALSE)</f>
        <v>2393</v>
      </c>
      <c r="R93" s="402">
        <f t="shared" si="171"/>
        <v>2392.0300000000002</v>
      </c>
      <c r="S93" s="402">
        <f t="shared" si="172"/>
        <v>1350</v>
      </c>
      <c r="T93" s="402">
        <f t="shared" si="173"/>
        <v>1042.0300000000002</v>
      </c>
      <c r="U93" s="402">
        <f t="shared" si="174"/>
        <v>0.96999999999979991</v>
      </c>
      <c r="V93" s="402" t="str">
        <f t="shared" si="175"/>
        <v>121122</v>
      </c>
      <c r="W93" s="511">
        <v>121</v>
      </c>
      <c r="X93" s="404" t="s">
        <v>1305</v>
      </c>
      <c r="Y93" s="404" t="s">
        <v>2030</v>
      </c>
      <c r="Z93" s="404">
        <f>2900-2900</f>
        <v>0</v>
      </c>
      <c r="AA93" s="404">
        <f>2900-2900</f>
        <v>0</v>
      </c>
      <c r="AB93" s="398">
        <f t="shared" si="176"/>
        <v>0</v>
      </c>
      <c r="AC93" s="512">
        <v>122</v>
      </c>
      <c r="AD93" s="404" t="s">
        <v>1299</v>
      </c>
      <c r="AE93" s="404" t="s">
        <v>2030</v>
      </c>
      <c r="AF93" s="404">
        <v>2392.0300000000002</v>
      </c>
      <c r="AG93" s="398">
        <v>1350</v>
      </c>
      <c r="AH93" s="494">
        <f t="shared" si="177"/>
        <v>1042.0300000000002</v>
      </c>
      <c r="AI93" s="405"/>
      <c r="AJ93" s="404"/>
      <c r="AK93" s="404"/>
      <c r="AL93" s="404"/>
      <c r="AM93" s="398"/>
      <c r="AN93" s="398">
        <f t="shared" si="178"/>
        <v>0</v>
      </c>
      <c r="AO93" s="405"/>
      <c r="AP93" s="404"/>
      <c r="AQ93" s="404"/>
      <c r="AR93" s="404"/>
      <c r="AS93" s="398"/>
      <c r="AT93" s="398">
        <f t="shared" si="179"/>
        <v>0</v>
      </c>
      <c r="AU93" s="493"/>
      <c r="AV93" s="493"/>
      <c r="AW93" s="493"/>
      <c r="AX93" s="493"/>
      <c r="AY93" s="493"/>
      <c r="AZ93" s="494">
        <f t="shared" si="180"/>
        <v>0</v>
      </c>
      <c r="BA93" s="493"/>
      <c r="BB93" s="493"/>
      <c r="BC93" s="493"/>
      <c r="BD93" s="493"/>
      <c r="BE93" s="493"/>
      <c r="BF93" s="494">
        <f t="shared" si="181"/>
        <v>0</v>
      </c>
      <c r="BG93" s="493"/>
      <c r="BH93" s="493"/>
      <c r="BI93" s="493"/>
      <c r="BJ93" s="493"/>
      <c r="BK93" s="493"/>
      <c r="BL93" s="494">
        <f t="shared" si="182"/>
        <v>0</v>
      </c>
      <c r="BM93" s="493"/>
      <c r="BN93" s="493"/>
      <c r="BO93" s="493"/>
      <c r="BP93" s="493"/>
      <c r="BQ93" s="493"/>
      <c r="BR93" s="494">
        <f t="shared" si="183"/>
        <v>0</v>
      </c>
      <c r="BS93" s="493"/>
      <c r="BT93" s="493"/>
      <c r="BU93" s="493"/>
      <c r="BV93" s="493"/>
      <c r="BW93" s="493"/>
      <c r="BX93" s="494">
        <f t="shared" si="184"/>
        <v>0</v>
      </c>
      <c r="BY93" s="493"/>
      <c r="BZ93" s="493"/>
      <c r="CA93" s="493"/>
      <c r="CB93" s="493"/>
      <c r="CC93" s="493"/>
      <c r="CD93" s="494">
        <f t="shared" si="185"/>
        <v>0</v>
      </c>
      <c r="CE93" s="493"/>
      <c r="CF93" s="493"/>
      <c r="CG93" s="495"/>
      <c r="CH93" s="495"/>
      <c r="CI93" s="495"/>
      <c r="CJ93" s="494">
        <f t="shared" si="186"/>
        <v>0</v>
      </c>
      <c r="CK93" s="495"/>
      <c r="CL93" s="495"/>
      <c r="CM93" s="495"/>
      <c r="CN93" s="495"/>
      <c r="CO93" s="495"/>
      <c r="CP93" s="494">
        <f t="shared" si="187"/>
        <v>0</v>
      </c>
      <c r="CQ93" s="495"/>
      <c r="CR93" s="495"/>
      <c r="CS93" s="495"/>
      <c r="CT93" s="495"/>
      <c r="CU93" s="495"/>
      <c r="CV93" s="494">
        <f t="shared" si="188"/>
        <v>0</v>
      </c>
      <c r="CW93" s="495"/>
      <c r="CX93" s="495"/>
      <c r="CY93" s="495"/>
      <c r="CZ93" s="495"/>
      <c r="DA93" s="495"/>
      <c r="DB93" s="494">
        <f t="shared" si="189"/>
        <v>0</v>
      </c>
      <c r="DC93" s="495"/>
      <c r="DD93" s="495"/>
      <c r="DE93" s="495"/>
      <c r="DF93" s="495"/>
      <c r="DG93" s="495"/>
      <c r="DH93" s="494">
        <f t="shared" si="190"/>
        <v>0</v>
      </c>
      <c r="DI93" s="495"/>
      <c r="DJ93" s="495"/>
      <c r="DK93" s="495"/>
      <c r="DL93" s="495"/>
      <c r="DM93" s="495"/>
      <c r="DN93" s="494">
        <f t="shared" si="191"/>
        <v>0</v>
      </c>
      <c r="DO93" s="495"/>
      <c r="DP93" s="495"/>
      <c r="DQ93" s="495"/>
      <c r="DR93" s="495"/>
      <c r="DS93" s="495"/>
      <c r="DT93" s="494">
        <f t="shared" si="192"/>
        <v>0</v>
      </c>
      <c r="DU93" s="495"/>
      <c r="DV93" s="495"/>
      <c r="DW93" s="495"/>
      <c r="DX93" s="495"/>
      <c r="DY93" s="495"/>
      <c r="DZ93" s="494">
        <f t="shared" si="193"/>
        <v>0</v>
      </c>
      <c r="EA93" s="495"/>
      <c r="EB93" s="495"/>
      <c r="EC93" s="495"/>
      <c r="ED93" s="495"/>
      <c r="EE93" s="495"/>
      <c r="EF93" s="494">
        <f t="shared" si="194"/>
        <v>0</v>
      </c>
      <c r="EG93" s="495"/>
      <c r="EH93" s="495"/>
      <c r="EI93" s="495"/>
      <c r="EJ93" s="495"/>
      <c r="EK93" s="495"/>
      <c r="EL93" s="494">
        <f t="shared" si="195"/>
        <v>0</v>
      </c>
      <c r="EM93" s="495"/>
      <c r="EN93" s="495"/>
      <c r="EO93" s="495"/>
      <c r="EP93" s="495"/>
      <c r="EQ93" s="495"/>
      <c r="ER93" s="494">
        <f t="shared" si="196"/>
        <v>0</v>
      </c>
      <c r="ES93" s="495"/>
      <c r="ET93" s="495"/>
      <c r="EU93" s="495"/>
      <c r="EV93" s="495"/>
      <c r="EW93" s="495"/>
      <c r="EX93" s="494">
        <f t="shared" si="197"/>
        <v>0</v>
      </c>
      <c r="EY93" s="494" t="e">
        <f>VLOOKUP($A93,[2]Devengado!$A$1:$AI$3,35,FALSE)</f>
        <v>#N/A</v>
      </c>
    </row>
    <row r="94" spans="1:155" ht="23.25" hidden="1" customHeight="1">
      <c r="A94" s="2">
        <v>1088</v>
      </c>
      <c r="B94" s="399" t="str">
        <f>VLOOKUP($A94,  'Matriz POA 2024-TRABAJO'!$A$5:$CY$9142,11,FALSE)</f>
        <v>Corporación Ciudad Alfaro</v>
      </c>
      <c r="C94" s="399" t="str">
        <f>VLOOKUP($A94, 'Matriz POA 2024-TRABAJO'!$A$5:$CY$9142,14,FALSE)</f>
        <v>N/A</v>
      </c>
      <c r="D94" s="399" t="str">
        <f>VLOOKUP($A94, 'Matriz POA 2024-TRABAJO'!$A$5:$CY$9142,15,FALSE)</f>
        <v>N/A</v>
      </c>
      <c r="E94" s="399" t="str">
        <f>VLOOKUP($A94, 'Matriz POA 2024-TRABAJO'!$A$5:$CY$9142,18,FALSE)</f>
        <v>N/A</v>
      </c>
      <c r="F94" s="399" t="str">
        <f>VLOOKUP($A94, 'Matriz POA 2024-TRABAJO'!$A$5:$CY$9142,23,FALSE)</f>
        <v>NUEVA</v>
      </c>
      <c r="G94" s="52" t="str">
        <f>VLOOKUP($A94, 'Matriz POA 2024-TRABAJO'!$A$5:$CY$9142,24,FALSE)</f>
        <v>Servicio de diseño, edición e impresión para el montaje de exposición temporal Hadatty en el Museo Centro Cultural Manta</v>
      </c>
      <c r="H94" s="399" t="str">
        <f>VLOOKUP($A94, 'Matriz POA 2024-TRABAJO'!$A$5:$CY$9142,25,FALSE)</f>
        <v>0035</v>
      </c>
      <c r="I94" s="399" t="str">
        <f>VLOOKUP($A94, 'Matriz POA 2024-TRABAJO'!$A$5:$CY$9142,26,FALSE)</f>
        <v>80</v>
      </c>
      <c r="J94" s="399" t="str">
        <f>VLOOKUP($A94, 'Matriz POA 2024-TRABAJO'!$A$5:$CY$9142,27,FALSE)</f>
        <v>000</v>
      </c>
      <c r="K94" s="400" t="str">
        <f>VLOOKUP($A94, 'Matriz POA 2024-TRABAJO'!$A$5:$CY$9142,28,FALSE)</f>
        <v>002</v>
      </c>
      <c r="L94" s="400">
        <f>VLOOKUP($A94, 'Matriz POA 2024-TRABAJO'!$A$5:$CY$9142,29,FALSE)</f>
        <v>53</v>
      </c>
      <c r="M94" s="400">
        <f>VLOOKUP($A94, 'Matriz POA 2024-TRABAJO'!$A$5:$CY$9142,30,FALSE)</f>
        <v>530204</v>
      </c>
      <c r="N94" s="400" t="str">
        <f>VLOOKUP($A94, 'Matriz POA 2024-TRABAJO'!$A$5:$CY$9142,33,FALSE)</f>
        <v>002</v>
      </c>
      <c r="O94" s="400" t="str">
        <f>VLOOKUP($A94, 'Matriz POA 2024-TRABAJO'!$A$5:$CY$9142,34,FALSE)</f>
        <v>0000</v>
      </c>
      <c r="P94" s="400" t="str">
        <f>VLOOKUP($A94, 'Matriz POA 2024-TRABAJO'!$A$5:$CY$9142,35,FALSE)</f>
        <v>0000</v>
      </c>
      <c r="Q94" s="401">
        <f>VLOOKUP($A94, 'Matriz POA 2024-TRABAJO'!$A$5:$CY$9142,47,FALSE)</f>
        <v>1000</v>
      </c>
      <c r="R94" s="402">
        <f t="shared" si="171"/>
        <v>1000</v>
      </c>
      <c r="S94" s="402">
        <f t="shared" si="172"/>
        <v>1000</v>
      </c>
      <c r="T94" s="402">
        <f t="shared" si="173"/>
        <v>0</v>
      </c>
      <c r="U94" s="402">
        <f t="shared" si="174"/>
        <v>0</v>
      </c>
      <c r="V94" s="402" t="str">
        <f t="shared" si="175"/>
        <v>119</v>
      </c>
      <c r="W94" s="511">
        <v>119</v>
      </c>
      <c r="X94" s="404" t="s">
        <v>1299</v>
      </c>
      <c r="Y94" s="404" t="s">
        <v>2030</v>
      </c>
      <c r="Z94" s="404">
        <v>1000</v>
      </c>
      <c r="AA94" s="404">
        <v>1000</v>
      </c>
      <c r="AB94" s="398">
        <f t="shared" si="176"/>
        <v>0</v>
      </c>
      <c r="AC94" s="405"/>
      <c r="AD94" s="404"/>
      <c r="AE94" s="404"/>
      <c r="AF94" s="404"/>
      <c r="AG94" s="398"/>
      <c r="AH94" s="494">
        <f t="shared" si="177"/>
        <v>0</v>
      </c>
      <c r="AI94" s="405"/>
      <c r="AJ94" s="404"/>
      <c r="AK94" s="404"/>
      <c r="AL94" s="404"/>
      <c r="AM94" s="398"/>
      <c r="AN94" s="398">
        <f t="shared" si="178"/>
        <v>0</v>
      </c>
      <c r="AO94" s="405"/>
      <c r="AP94" s="404"/>
      <c r="AQ94" s="404"/>
      <c r="AR94" s="404"/>
      <c r="AS94" s="398"/>
      <c r="AT94" s="398">
        <f t="shared" si="179"/>
        <v>0</v>
      </c>
      <c r="AU94" s="493"/>
      <c r="AV94" s="493"/>
      <c r="AW94" s="493"/>
      <c r="AX94" s="493"/>
      <c r="AY94" s="493"/>
      <c r="AZ94" s="494">
        <f t="shared" si="180"/>
        <v>0</v>
      </c>
      <c r="BA94" s="493"/>
      <c r="BB94" s="493"/>
      <c r="BC94" s="493"/>
      <c r="BD94" s="493"/>
      <c r="BE94" s="493"/>
      <c r="BF94" s="494">
        <f t="shared" si="181"/>
        <v>0</v>
      </c>
      <c r="BG94" s="493"/>
      <c r="BH94" s="493"/>
      <c r="BI94" s="493"/>
      <c r="BJ94" s="493"/>
      <c r="BK94" s="493"/>
      <c r="BL94" s="494">
        <f t="shared" si="182"/>
        <v>0</v>
      </c>
      <c r="BM94" s="493"/>
      <c r="BN94" s="493"/>
      <c r="BO94" s="493"/>
      <c r="BP94" s="493"/>
      <c r="BQ94" s="493"/>
      <c r="BR94" s="494">
        <f t="shared" si="183"/>
        <v>0</v>
      </c>
      <c r="BS94" s="493"/>
      <c r="BT94" s="493"/>
      <c r="BU94" s="493"/>
      <c r="BV94" s="493"/>
      <c r="BW94" s="493"/>
      <c r="BX94" s="494">
        <f t="shared" si="184"/>
        <v>0</v>
      </c>
      <c r="BY94" s="493"/>
      <c r="BZ94" s="493"/>
      <c r="CA94" s="493"/>
      <c r="CB94" s="493"/>
      <c r="CC94" s="493"/>
      <c r="CD94" s="494">
        <f t="shared" si="185"/>
        <v>0</v>
      </c>
      <c r="CE94" s="493"/>
      <c r="CF94" s="493"/>
      <c r="CG94" s="495"/>
      <c r="CH94" s="495"/>
      <c r="CI94" s="495"/>
      <c r="CJ94" s="494">
        <f t="shared" si="186"/>
        <v>0</v>
      </c>
      <c r="CK94" s="495"/>
      <c r="CL94" s="495"/>
      <c r="CM94" s="495"/>
      <c r="CN94" s="495"/>
      <c r="CO94" s="495"/>
      <c r="CP94" s="494">
        <f t="shared" si="187"/>
        <v>0</v>
      </c>
      <c r="CQ94" s="495"/>
      <c r="CR94" s="495"/>
      <c r="CS94" s="495"/>
      <c r="CT94" s="495"/>
      <c r="CU94" s="495"/>
      <c r="CV94" s="494">
        <f t="shared" si="188"/>
        <v>0</v>
      </c>
      <c r="CW94" s="495"/>
      <c r="CX94" s="495"/>
      <c r="CY94" s="495"/>
      <c r="CZ94" s="495"/>
      <c r="DA94" s="495"/>
      <c r="DB94" s="494">
        <f t="shared" si="189"/>
        <v>0</v>
      </c>
      <c r="DC94" s="495"/>
      <c r="DD94" s="495"/>
      <c r="DE94" s="495"/>
      <c r="DF94" s="495"/>
      <c r="DG94" s="495"/>
      <c r="DH94" s="494">
        <f t="shared" si="190"/>
        <v>0</v>
      </c>
      <c r="DI94" s="495"/>
      <c r="DJ94" s="495"/>
      <c r="DK94" s="495"/>
      <c r="DL94" s="495"/>
      <c r="DM94" s="495"/>
      <c r="DN94" s="494">
        <f t="shared" si="191"/>
        <v>0</v>
      </c>
      <c r="DO94" s="495"/>
      <c r="DP94" s="495"/>
      <c r="DQ94" s="495"/>
      <c r="DR94" s="495"/>
      <c r="DS94" s="495"/>
      <c r="DT94" s="494">
        <f t="shared" si="192"/>
        <v>0</v>
      </c>
      <c r="DU94" s="495"/>
      <c r="DV94" s="495"/>
      <c r="DW94" s="495"/>
      <c r="DX94" s="495"/>
      <c r="DY94" s="495"/>
      <c r="DZ94" s="494">
        <f t="shared" si="193"/>
        <v>0</v>
      </c>
      <c r="EA94" s="495"/>
      <c r="EB94" s="495"/>
      <c r="EC94" s="495"/>
      <c r="ED94" s="495"/>
      <c r="EE94" s="495"/>
      <c r="EF94" s="494">
        <f t="shared" si="194"/>
        <v>0</v>
      </c>
      <c r="EG94" s="495"/>
      <c r="EH94" s="495"/>
      <c r="EI94" s="495"/>
      <c r="EJ94" s="495"/>
      <c r="EK94" s="495"/>
      <c r="EL94" s="494">
        <f t="shared" si="195"/>
        <v>0</v>
      </c>
      <c r="EM94" s="495"/>
      <c r="EN94" s="495"/>
      <c r="EO94" s="495"/>
      <c r="EP94" s="495"/>
      <c r="EQ94" s="495"/>
      <c r="ER94" s="494">
        <f t="shared" si="196"/>
        <v>0</v>
      </c>
      <c r="ES94" s="495"/>
      <c r="ET94" s="495"/>
      <c r="EU94" s="495"/>
      <c r="EV94" s="495"/>
      <c r="EW94" s="495"/>
      <c r="EX94" s="494">
        <f t="shared" si="197"/>
        <v>0</v>
      </c>
      <c r="EY94" s="494" t="e">
        <f>VLOOKUP($A94,[2]Devengado!$A$1:$AI$3,35,FALSE)</f>
        <v>#N/A</v>
      </c>
    </row>
    <row r="95" spans="1:155" ht="23.25" hidden="1" customHeight="1">
      <c r="A95" s="2">
        <v>433</v>
      </c>
      <c r="B95" s="399" t="str">
        <f>VLOOKUP($A95,  'Matriz POA 2024-TRABAJO'!$A$5:$CY$9142,11,FALSE)</f>
        <v>Corporación Ciudad Alfaro</v>
      </c>
      <c r="C95" s="399" t="str">
        <f>VLOOKUP($A95, 'Matriz POA 2024-TRABAJO'!$A$5:$CY$9142,14,FALSE)</f>
        <v>N/A</v>
      </c>
      <c r="D95" s="399" t="str">
        <f>VLOOKUP($A95, 'Matriz POA 2024-TRABAJO'!$A$5:$CY$9142,15,FALSE)</f>
        <v>N/A</v>
      </c>
      <c r="E95" s="399" t="str">
        <f>VLOOKUP($A95, 'Matriz POA 2024-TRABAJO'!$A$5:$CY$9142,18,FALSE)</f>
        <v>N/A</v>
      </c>
      <c r="F95" s="399" t="str">
        <f>VLOOKUP($A95, 'Matriz POA 2024-TRABAJO'!$A$5:$CY$9142,23,FALSE)</f>
        <v>NUEVA</v>
      </c>
      <c r="G95" s="52" t="str">
        <f>VLOOKUP($A95, 'Matriz POA 2024-TRABAJO'!$A$5:$CY$9142,24,FALSE)</f>
        <v>Pago de expensas comunales de las instalaciones del Museo Portoviejo y Archivo Histórico</v>
      </c>
      <c r="H95" s="399" t="str">
        <f>VLOOKUP($A95, 'Matriz POA 2024-TRABAJO'!$A$5:$CY$9142,25,FALSE)</f>
        <v>0035</v>
      </c>
      <c r="I95" s="399" t="str">
        <f>VLOOKUP($A95, 'Matriz POA 2024-TRABAJO'!$A$5:$CY$9142,26,FALSE)</f>
        <v>80</v>
      </c>
      <c r="J95" s="399" t="str">
        <f>VLOOKUP($A95, 'Matriz POA 2024-TRABAJO'!$A$5:$CY$9142,27,FALSE)</f>
        <v>000</v>
      </c>
      <c r="K95" s="400" t="str">
        <f>VLOOKUP($A95, 'Matriz POA 2024-TRABAJO'!$A$5:$CY$9142,28,FALSE)</f>
        <v>002</v>
      </c>
      <c r="L95" s="465" t="str">
        <f>VLOOKUP($A95, 'Matriz POA 2024-TRABAJO'!$A$5:$CY$9142,29,FALSE)</f>
        <v>53</v>
      </c>
      <c r="M95" s="465">
        <f>VLOOKUP($A95, 'Matriz POA 2024-TRABAJO'!$A$5:$CY$9142,30,FALSE)</f>
        <v>530402</v>
      </c>
      <c r="N95" s="465" t="str">
        <f>VLOOKUP($A95, 'Matriz POA 2024-TRABAJO'!$A$5:$CY$9142,33,FALSE)</f>
        <v>001</v>
      </c>
      <c r="O95" s="465" t="str">
        <f>VLOOKUP($A95, 'Matriz POA 2024-TRABAJO'!$A$5:$CY$9142,34,FALSE)</f>
        <v>0000</v>
      </c>
      <c r="P95" s="465" t="str">
        <f>VLOOKUP($A95, 'Matriz POA 2024-TRABAJO'!$A$5:$CY$9142,35,FALSE)</f>
        <v>0000</v>
      </c>
      <c r="Q95" s="466">
        <f>VLOOKUP($A95, 'Matriz POA 2024-TRABAJO'!$A$5:$CY$9142,47,FALSE)</f>
        <v>66034.080000000002</v>
      </c>
      <c r="R95" s="467">
        <f t="shared" si="171"/>
        <v>66034.080000000002</v>
      </c>
      <c r="S95" s="467">
        <f t="shared" si="172"/>
        <v>66034.080000000002</v>
      </c>
      <c r="T95" s="467">
        <f t="shared" si="173"/>
        <v>0</v>
      </c>
      <c r="U95" s="467">
        <f t="shared" si="174"/>
        <v>0</v>
      </c>
      <c r="V95" s="467" t="str">
        <f t="shared" si="175"/>
        <v>123</v>
      </c>
      <c r="W95" s="511">
        <v>123</v>
      </c>
      <c r="X95" s="404" t="s">
        <v>1299</v>
      </c>
      <c r="Y95" s="404" t="s">
        <v>2030</v>
      </c>
      <c r="Z95" s="404">
        <v>66034.080000000002</v>
      </c>
      <c r="AA95" s="404">
        <f>66034.08</f>
        <v>66034.080000000002</v>
      </c>
      <c r="AB95" s="398">
        <f t="shared" si="176"/>
        <v>0</v>
      </c>
      <c r="AC95" s="405"/>
      <c r="AD95" s="404"/>
      <c r="AE95" s="404"/>
      <c r="AF95" s="404"/>
      <c r="AG95" s="398"/>
      <c r="AH95" s="494">
        <f t="shared" si="177"/>
        <v>0</v>
      </c>
      <c r="AI95" s="405"/>
      <c r="AJ95" s="404"/>
      <c r="AK95" s="404"/>
      <c r="AL95" s="404"/>
      <c r="AM95" s="398"/>
      <c r="AN95" s="398">
        <f t="shared" si="178"/>
        <v>0</v>
      </c>
      <c r="AO95" s="405"/>
      <c r="AP95" s="404"/>
      <c r="AQ95" s="404"/>
      <c r="AR95" s="404"/>
      <c r="AS95" s="398"/>
      <c r="AT95" s="398">
        <f t="shared" si="179"/>
        <v>0</v>
      </c>
      <c r="AU95" s="493"/>
      <c r="AV95" s="493"/>
      <c r="AW95" s="493"/>
      <c r="AX95" s="493"/>
      <c r="AY95" s="493"/>
      <c r="AZ95" s="494">
        <f t="shared" si="180"/>
        <v>0</v>
      </c>
      <c r="BA95" s="493"/>
      <c r="BB95" s="493"/>
      <c r="BC95" s="493"/>
      <c r="BD95" s="493"/>
      <c r="BE95" s="493"/>
      <c r="BF95" s="494">
        <f t="shared" si="181"/>
        <v>0</v>
      </c>
      <c r="BG95" s="493"/>
      <c r="BH95" s="493"/>
      <c r="BI95" s="493"/>
      <c r="BJ95" s="493"/>
      <c r="BK95" s="493"/>
      <c r="BL95" s="494">
        <f t="shared" si="182"/>
        <v>0</v>
      </c>
      <c r="BM95" s="493"/>
      <c r="BN95" s="493"/>
      <c r="BO95" s="493"/>
      <c r="BP95" s="493"/>
      <c r="BQ95" s="493"/>
      <c r="BR95" s="494">
        <f t="shared" si="183"/>
        <v>0</v>
      </c>
      <c r="BS95" s="493"/>
      <c r="BT95" s="493"/>
      <c r="BU95" s="493"/>
      <c r="BV95" s="493"/>
      <c r="BW95" s="493"/>
      <c r="BX95" s="494">
        <f t="shared" si="184"/>
        <v>0</v>
      </c>
      <c r="BY95" s="493"/>
      <c r="BZ95" s="493"/>
      <c r="CA95" s="493"/>
      <c r="CB95" s="493"/>
      <c r="CC95" s="493"/>
      <c r="CD95" s="494">
        <f t="shared" si="185"/>
        <v>0</v>
      </c>
      <c r="CE95" s="493"/>
      <c r="CF95" s="493"/>
      <c r="CG95" s="495"/>
      <c r="CH95" s="495"/>
      <c r="CI95" s="495"/>
      <c r="CJ95" s="494">
        <f t="shared" si="186"/>
        <v>0</v>
      </c>
      <c r="CK95" s="495"/>
      <c r="CL95" s="495"/>
      <c r="CM95" s="495"/>
      <c r="CN95" s="495"/>
      <c r="CO95" s="495"/>
      <c r="CP95" s="494">
        <f t="shared" si="187"/>
        <v>0</v>
      </c>
      <c r="CQ95" s="495"/>
      <c r="CR95" s="495"/>
      <c r="CS95" s="495"/>
      <c r="CT95" s="495"/>
      <c r="CU95" s="495"/>
      <c r="CV95" s="494">
        <f t="shared" si="188"/>
        <v>0</v>
      </c>
      <c r="CW95" s="495"/>
      <c r="CX95" s="495"/>
      <c r="CY95" s="495"/>
      <c r="CZ95" s="495"/>
      <c r="DA95" s="495"/>
      <c r="DB95" s="494">
        <f t="shared" si="189"/>
        <v>0</v>
      </c>
      <c r="DC95" s="495"/>
      <c r="DD95" s="495"/>
      <c r="DE95" s="495"/>
      <c r="DF95" s="495"/>
      <c r="DG95" s="495"/>
      <c r="DH95" s="494">
        <f t="shared" si="190"/>
        <v>0</v>
      </c>
      <c r="DI95" s="495"/>
      <c r="DJ95" s="495"/>
      <c r="DK95" s="495"/>
      <c r="DL95" s="495"/>
      <c r="DM95" s="495"/>
      <c r="DN95" s="494">
        <f t="shared" si="191"/>
        <v>0</v>
      </c>
      <c r="DO95" s="495"/>
      <c r="DP95" s="495"/>
      <c r="DQ95" s="495"/>
      <c r="DR95" s="495"/>
      <c r="DS95" s="495"/>
      <c r="DT95" s="494">
        <f t="shared" si="192"/>
        <v>0</v>
      </c>
      <c r="DU95" s="495"/>
      <c r="DV95" s="495"/>
      <c r="DW95" s="495"/>
      <c r="DX95" s="495"/>
      <c r="DY95" s="495"/>
      <c r="DZ95" s="494">
        <f t="shared" si="193"/>
        <v>0</v>
      </c>
      <c r="EA95" s="495"/>
      <c r="EB95" s="495"/>
      <c r="EC95" s="495"/>
      <c r="ED95" s="495"/>
      <c r="EE95" s="495"/>
      <c r="EF95" s="494">
        <f t="shared" si="194"/>
        <v>0</v>
      </c>
      <c r="EG95" s="495"/>
      <c r="EH95" s="495"/>
      <c r="EI95" s="495"/>
      <c r="EJ95" s="495"/>
      <c r="EK95" s="495"/>
      <c r="EL95" s="494">
        <f t="shared" si="195"/>
        <v>0</v>
      </c>
      <c r="EM95" s="495"/>
      <c r="EN95" s="495"/>
      <c r="EO95" s="495"/>
      <c r="EP95" s="495"/>
      <c r="EQ95" s="495"/>
      <c r="ER95" s="494">
        <f t="shared" si="196"/>
        <v>0</v>
      </c>
      <c r="ES95" s="495"/>
      <c r="ET95" s="495"/>
      <c r="EU95" s="495"/>
      <c r="EV95" s="495"/>
      <c r="EW95" s="495"/>
      <c r="EX95" s="494">
        <f t="shared" si="197"/>
        <v>0</v>
      </c>
      <c r="EY95" s="494" t="e">
        <f>VLOOKUP($A95,[2]Devengado!$A$1:$AI$3,35,FALSE)</f>
        <v>#N/A</v>
      </c>
    </row>
    <row r="96" spans="1:155" ht="23.25" hidden="1" customHeight="1">
      <c r="A96" s="2">
        <v>1106</v>
      </c>
      <c r="B96" s="399" t="str">
        <f>VLOOKUP($A96,  'Matriz POA 2024-TRABAJO'!$A$5:$CY$9142,11,FALSE)</f>
        <v>Corporación Ciudad Alfaro</v>
      </c>
      <c r="C96" s="399" t="str">
        <f>VLOOKUP($A96, 'Matriz POA 2024-TRABAJO'!$A$5:$CY$9142,14,FALSE)</f>
        <v>N/A</v>
      </c>
      <c r="D96" s="399" t="str">
        <f>VLOOKUP($A96, 'Matriz POA 2024-TRABAJO'!$A$5:$CY$9142,15,FALSE)</f>
        <v>N/A</v>
      </c>
      <c r="E96" s="399">
        <f>VLOOKUP($A96, 'Matriz POA 2024-TRABAJO'!$A$5:$CY$9142,18,FALSE)</f>
        <v>0</v>
      </c>
      <c r="F96" s="399" t="str">
        <f>VLOOKUP($A96, 'Matriz POA 2024-TRABAJO'!$A$5:$CY$9142,23,FALSE)</f>
        <v>NUEVA</v>
      </c>
      <c r="G96" s="52" t="str">
        <f>VLOOKUP($A96, 'Matriz POA 2024-TRABAJO'!$A$5:$CY$9142,24,FALSE)</f>
        <v>Pago de expensas comunales de las instalaciones del Museo Portoviejo y Archivo Histórico</v>
      </c>
      <c r="H96" s="399" t="str">
        <f>VLOOKUP($A96, 'Matriz POA 2024-TRABAJO'!$A$5:$CY$9142,25,FALSE)</f>
        <v>0035</v>
      </c>
      <c r="I96" s="399" t="str">
        <f>VLOOKUP($A96, 'Matriz POA 2024-TRABAJO'!$A$5:$CY$9142,26,FALSE)</f>
        <v>80</v>
      </c>
      <c r="J96" s="399" t="str">
        <f>VLOOKUP($A96, 'Matriz POA 2024-TRABAJO'!$A$5:$CY$9142,27,FALSE)</f>
        <v>000</v>
      </c>
      <c r="K96" s="400" t="str">
        <f>VLOOKUP($A96, 'Matriz POA 2024-TRABAJO'!$A$5:$CY$9142,28,FALSE)</f>
        <v>002</v>
      </c>
      <c r="L96" s="400">
        <f>VLOOKUP($A96, 'Matriz POA 2024-TRABAJO'!$A$5:$CY$9142,29,FALSE)</f>
        <v>53</v>
      </c>
      <c r="M96" s="400">
        <f>VLOOKUP($A96, 'Matriz POA 2024-TRABAJO'!$A$5:$CY$9142,30,FALSE)</f>
        <v>530402</v>
      </c>
      <c r="N96" s="400" t="str">
        <f>VLOOKUP($A96, 'Matriz POA 2024-TRABAJO'!$A$5:$CY$9142,33,FALSE)</f>
        <v>002</v>
      </c>
      <c r="O96" s="400" t="str">
        <f>VLOOKUP($A96, 'Matriz POA 2024-TRABAJO'!$A$5:$CY$9142,34,FALSE)</f>
        <v>0000</v>
      </c>
      <c r="P96" s="400" t="str">
        <f>VLOOKUP($A96, 'Matriz POA 2024-TRABAJO'!$A$5:$CY$9142,35,FALSE)</f>
        <v>0000</v>
      </c>
      <c r="Q96" s="401">
        <f>VLOOKUP($A96, 'Matriz POA 2024-TRABAJO'!$A$5:$CY$9142,47,FALSE)</f>
        <v>6829.9199999999983</v>
      </c>
      <c r="R96" s="402">
        <f t="shared" si="171"/>
        <v>6829.92</v>
      </c>
      <c r="S96" s="402">
        <f t="shared" si="172"/>
        <v>6624</v>
      </c>
      <c r="T96" s="402">
        <f t="shared" si="173"/>
        <v>205.92000000000007</v>
      </c>
      <c r="U96" s="402">
        <f t="shared" si="174"/>
        <v>0</v>
      </c>
      <c r="V96" s="402" t="str">
        <f t="shared" si="175"/>
        <v>124</v>
      </c>
      <c r="W96" s="511">
        <v>124</v>
      </c>
      <c r="X96" s="404" t="s">
        <v>1299</v>
      </c>
      <c r="Y96" s="404" t="s">
        <v>2030</v>
      </c>
      <c r="Z96" s="404">
        <v>6829.92</v>
      </c>
      <c r="AA96" s="404">
        <v>6624</v>
      </c>
      <c r="AB96" s="398">
        <f t="shared" si="176"/>
        <v>205.92000000000007</v>
      </c>
      <c r="AC96" s="405"/>
      <c r="AD96" s="404"/>
      <c r="AE96" s="404"/>
      <c r="AF96" s="404"/>
      <c r="AG96" s="398"/>
      <c r="AH96" s="494">
        <f t="shared" si="177"/>
        <v>0</v>
      </c>
      <c r="AI96" s="405"/>
      <c r="AJ96" s="404"/>
      <c r="AK96" s="404"/>
      <c r="AL96" s="404"/>
      <c r="AM96" s="398"/>
      <c r="AN96" s="398">
        <f t="shared" si="178"/>
        <v>0</v>
      </c>
      <c r="AO96" s="405"/>
      <c r="AP96" s="404"/>
      <c r="AQ96" s="404"/>
      <c r="AR96" s="404"/>
      <c r="AS96" s="398"/>
      <c r="AT96" s="398">
        <f t="shared" si="179"/>
        <v>0</v>
      </c>
      <c r="AU96" s="493"/>
      <c r="AV96" s="493"/>
      <c r="AW96" s="493"/>
      <c r="AX96" s="493"/>
      <c r="AY96" s="493"/>
      <c r="AZ96" s="494">
        <f t="shared" si="180"/>
        <v>0</v>
      </c>
      <c r="BA96" s="493"/>
      <c r="BB96" s="493"/>
      <c r="BC96" s="493"/>
      <c r="BD96" s="493"/>
      <c r="BE96" s="493"/>
      <c r="BF96" s="494">
        <f t="shared" si="181"/>
        <v>0</v>
      </c>
      <c r="BG96" s="493"/>
      <c r="BH96" s="493"/>
      <c r="BI96" s="493"/>
      <c r="BJ96" s="493"/>
      <c r="BK96" s="493"/>
      <c r="BL96" s="494">
        <f t="shared" si="182"/>
        <v>0</v>
      </c>
      <c r="BM96" s="493"/>
      <c r="BN96" s="493"/>
      <c r="BO96" s="493"/>
      <c r="BP96" s="493"/>
      <c r="BQ96" s="493"/>
      <c r="BR96" s="494">
        <f t="shared" si="183"/>
        <v>0</v>
      </c>
      <c r="BS96" s="493"/>
      <c r="BT96" s="493"/>
      <c r="BU96" s="493"/>
      <c r="BV96" s="493"/>
      <c r="BW96" s="493"/>
      <c r="BX96" s="494">
        <f t="shared" si="184"/>
        <v>0</v>
      </c>
      <c r="BY96" s="493"/>
      <c r="BZ96" s="493"/>
      <c r="CA96" s="493"/>
      <c r="CB96" s="493"/>
      <c r="CC96" s="493"/>
      <c r="CD96" s="494">
        <f t="shared" si="185"/>
        <v>0</v>
      </c>
      <c r="CE96" s="493"/>
      <c r="CF96" s="493"/>
      <c r="CG96" s="495"/>
      <c r="CH96" s="495"/>
      <c r="CI96" s="495"/>
      <c r="CJ96" s="494">
        <f t="shared" si="186"/>
        <v>0</v>
      </c>
      <c r="CK96" s="495"/>
      <c r="CL96" s="495"/>
      <c r="CM96" s="495"/>
      <c r="CN96" s="495"/>
      <c r="CO96" s="495"/>
      <c r="CP96" s="494">
        <f t="shared" si="187"/>
        <v>0</v>
      </c>
      <c r="CQ96" s="495"/>
      <c r="CR96" s="495"/>
      <c r="CS96" s="495"/>
      <c r="CT96" s="495"/>
      <c r="CU96" s="495"/>
      <c r="CV96" s="494">
        <f t="shared" si="188"/>
        <v>0</v>
      </c>
      <c r="CW96" s="495"/>
      <c r="CX96" s="495"/>
      <c r="CY96" s="495"/>
      <c r="CZ96" s="495"/>
      <c r="DA96" s="495"/>
      <c r="DB96" s="494">
        <f t="shared" si="189"/>
        <v>0</v>
      </c>
      <c r="DC96" s="495"/>
      <c r="DD96" s="495"/>
      <c r="DE96" s="495"/>
      <c r="DF96" s="495"/>
      <c r="DG96" s="495"/>
      <c r="DH96" s="494">
        <f t="shared" si="190"/>
        <v>0</v>
      </c>
      <c r="DI96" s="495"/>
      <c r="DJ96" s="495"/>
      <c r="DK96" s="495"/>
      <c r="DL96" s="495"/>
      <c r="DM96" s="495"/>
      <c r="DN96" s="494">
        <f t="shared" si="191"/>
        <v>0</v>
      </c>
      <c r="DO96" s="495"/>
      <c r="DP96" s="495"/>
      <c r="DQ96" s="495"/>
      <c r="DR96" s="495"/>
      <c r="DS96" s="495"/>
      <c r="DT96" s="494">
        <f t="shared" si="192"/>
        <v>0</v>
      </c>
      <c r="DU96" s="495"/>
      <c r="DV96" s="495"/>
      <c r="DW96" s="495"/>
      <c r="DX96" s="495"/>
      <c r="DY96" s="495"/>
      <c r="DZ96" s="494">
        <f t="shared" si="193"/>
        <v>0</v>
      </c>
      <c r="EA96" s="495"/>
      <c r="EB96" s="495"/>
      <c r="EC96" s="495"/>
      <c r="ED96" s="495"/>
      <c r="EE96" s="495"/>
      <c r="EF96" s="494">
        <f t="shared" si="194"/>
        <v>0</v>
      </c>
      <c r="EG96" s="495"/>
      <c r="EH96" s="495"/>
      <c r="EI96" s="495"/>
      <c r="EJ96" s="495"/>
      <c r="EK96" s="495"/>
      <c r="EL96" s="494">
        <f t="shared" si="195"/>
        <v>0</v>
      </c>
      <c r="EM96" s="495"/>
      <c r="EN96" s="495"/>
      <c r="EO96" s="495"/>
      <c r="EP96" s="495"/>
      <c r="EQ96" s="495"/>
      <c r="ER96" s="494">
        <f t="shared" si="196"/>
        <v>0</v>
      </c>
      <c r="ES96" s="495"/>
      <c r="ET96" s="495"/>
      <c r="EU96" s="495"/>
      <c r="EV96" s="495"/>
      <c r="EW96" s="495"/>
      <c r="EX96" s="494">
        <f t="shared" si="197"/>
        <v>0</v>
      </c>
      <c r="EY96" s="494" t="e">
        <f>VLOOKUP($A96,[2]Devengado!$A$1:$AI$3,35,FALSE)</f>
        <v>#N/A</v>
      </c>
    </row>
    <row r="97" spans="1:155" ht="23.25" hidden="1" customHeight="1">
      <c r="A97" s="2">
        <v>1107</v>
      </c>
      <c r="B97" s="399" t="str">
        <f>VLOOKUP($A97,  'Matriz POA 2024-TRABAJO'!$A$5:$CY$9142,11,FALSE)</f>
        <v>Corporación Ciudad Alfaro</v>
      </c>
      <c r="C97" s="399" t="str">
        <f>VLOOKUP($A97, 'Matriz POA 2024-TRABAJO'!$A$5:$CY$9142,14,FALSE)</f>
        <v>N/A</v>
      </c>
      <c r="D97" s="399" t="str">
        <f>VLOOKUP($A97, 'Matriz POA 2024-TRABAJO'!$A$5:$CY$9142,15,FALSE)</f>
        <v>N/A</v>
      </c>
      <c r="E97" s="399">
        <f>VLOOKUP($A97, 'Matriz POA 2024-TRABAJO'!$A$5:$CY$9142,18,FALSE)</f>
        <v>0</v>
      </c>
      <c r="F97" s="399" t="str">
        <f>VLOOKUP($A97, 'Matriz POA 2024-TRABAJO'!$A$5:$CY$9142,23,FALSE)</f>
        <v>NUEVA</v>
      </c>
      <c r="G97" s="52" t="str">
        <f>VLOOKUP($A97, 'Matriz POA 2024-TRABAJO'!$A$5:$CY$9142,24,FALSE)</f>
        <v>Reembolso beneficio adquisición de ropa de trabajo</v>
      </c>
      <c r="H97" s="399" t="str">
        <f>VLOOKUP($A97, 'Matriz POA 2024-TRABAJO'!$A$5:$CY$9142,25,FALSE)</f>
        <v>0035</v>
      </c>
      <c r="I97" s="399" t="str">
        <f>VLOOKUP($A97, 'Matriz POA 2024-TRABAJO'!$A$5:$CY$9142,26,FALSE)</f>
        <v>80</v>
      </c>
      <c r="J97" s="399" t="str">
        <f>VLOOKUP($A97, 'Matriz POA 2024-TRABAJO'!$A$5:$CY$9142,27,FALSE)</f>
        <v>000</v>
      </c>
      <c r="K97" s="400" t="str">
        <f>VLOOKUP($A97, 'Matriz POA 2024-TRABAJO'!$A$5:$CY$9142,28,FALSE)</f>
        <v>002</v>
      </c>
      <c r="L97" s="400">
        <f>VLOOKUP($A97, 'Matriz POA 2024-TRABAJO'!$A$5:$CY$9142,29,FALSE)</f>
        <v>99</v>
      </c>
      <c r="M97" s="400">
        <f>VLOOKUP($A97, 'Matriz POA 2024-TRABAJO'!$A$5:$CY$9142,30,FALSE)</f>
        <v>990101</v>
      </c>
      <c r="N97" s="400" t="str">
        <f>VLOOKUP($A97, 'Matriz POA 2024-TRABAJO'!$A$5:$CY$9142,33,FALSE)</f>
        <v>001</v>
      </c>
      <c r="O97" s="400" t="str">
        <f>VLOOKUP($A97, 'Matriz POA 2024-TRABAJO'!$A$5:$CY$9142,34,FALSE)</f>
        <v>0000</v>
      </c>
      <c r="P97" s="400" t="str">
        <f>VLOOKUP($A97, 'Matriz POA 2024-TRABAJO'!$A$5:$CY$9142,35,FALSE)</f>
        <v>0000</v>
      </c>
      <c r="Q97" s="401">
        <f>VLOOKUP($A97, 'Matriz POA 2024-TRABAJO'!$A$5:$CY$9142,47,FALSE)</f>
        <v>1350</v>
      </c>
      <c r="R97" s="402">
        <f t="shared" si="171"/>
        <v>0</v>
      </c>
      <c r="S97" s="402">
        <f t="shared" si="172"/>
        <v>1350</v>
      </c>
      <c r="T97" s="402">
        <f t="shared" si="173"/>
        <v>0</v>
      </c>
      <c r="U97" s="402">
        <f t="shared" si="174"/>
        <v>0</v>
      </c>
      <c r="V97" s="402" t="str">
        <f t="shared" si="175"/>
        <v/>
      </c>
      <c r="W97" s="403"/>
      <c r="X97" s="404"/>
      <c r="Y97" s="404"/>
      <c r="Z97" s="404"/>
      <c r="AA97" s="404">
        <v>1350</v>
      </c>
      <c r="AB97" s="398">
        <f t="shared" si="176"/>
        <v>0</v>
      </c>
      <c r="AC97" s="405"/>
      <c r="AD97" s="404"/>
      <c r="AE97" s="404"/>
      <c r="AF97" s="404"/>
      <c r="AG97" s="398"/>
      <c r="AH97" s="494">
        <f t="shared" si="177"/>
        <v>0</v>
      </c>
      <c r="AI97" s="405"/>
      <c r="AJ97" s="404"/>
      <c r="AK97" s="404"/>
      <c r="AL97" s="404"/>
      <c r="AM97" s="398"/>
      <c r="AN97" s="398">
        <f t="shared" si="178"/>
        <v>0</v>
      </c>
      <c r="AO97" s="405"/>
      <c r="AP97" s="404"/>
      <c r="AQ97" s="404"/>
      <c r="AR97" s="404"/>
      <c r="AS97" s="398"/>
      <c r="AT97" s="398">
        <f t="shared" si="179"/>
        <v>0</v>
      </c>
      <c r="AU97" s="493"/>
      <c r="AV97" s="493"/>
      <c r="AW97" s="493"/>
      <c r="AX97" s="493"/>
      <c r="AY97" s="493"/>
      <c r="AZ97" s="494">
        <f t="shared" si="180"/>
        <v>0</v>
      </c>
      <c r="BA97" s="493"/>
      <c r="BB97" s="493"/>
      <c r="BC97" s="493"/>
      <c r="BD97" s="493"/>
      <c r="BE97" s="493"/>
      <c r="BF97" s="494">
        <f t="shared" si="181"/>
        <v>0</v>
      </c>
      <c r="BG97" s="493"/>
      <c r="BH97" s="493"/>
      <c r="BI97" s="493"/>
      <c r="BJ97" s="493"/>
      <c r="BK97" s="493"/>
      <c r="BL97" s="494">
        <f t="shared" si="182"/>
        <v>0</v>
      </c>
      <c r="BM97" s="493"/>
      <c r="BN97" s="493"/>
      <c r="BO97" s="493"/>
      <c r="BP97" s="493"/>
      <c r="BQ97" s="493"/>
      <c r="BR97" s="494">
        <f t="shared" si="183"/>
        <v>0</v>
      </c>
      <c r="BS97" s="493"/>
      <c r="BT97" s="493"/>
      <c r="BU97" s="493"/>
      <c r="BV97" s="493"/>
      <c r="BW97" s="493"/>
      <c r="BX97" s="494">
        <f t="shared" si="184"/>
        <v>0</v>
      </c>
      <c r="BY97" s="493"/>
      <c r="BZ97" s="493"/>
      <c r="CA97" s="493"/>
      <c r="CB97" s="493"/>
      <c r="CC97" s="493"/>
      <c r="CD97" s="494">
        <f t="shared" si="185"/>
        <v>0</v>
      </c>
      <c r="CE97" s="493"/>
      <c r="CF97" s="493"/>
      <c r="CG97" s="495"/>
      <c r="CH97" s="495"/>
      <c r="CI97" s="495"/>
      <c r="CJ97" s="494">
        <f t="shared" si="186"/>
        <v>0</v>
      </c>
      <c r="CK97" s="495"/>
      <c r="CL97" s="495"/>
      <c r="CM97" s="495"/>
      <c r="CN97" s="495"/>
      <c r="CO97" s="495"/>
      <c r="CP97" s="494">
        <f t="shared" si="187"/>
        <v>0</v>
      </c>
      <c r="CQ97" s="495"/>
      <c r="CR97" s="495"/>
      <c r="CS97" s="495"/>
      <c r="CT97" s="495"/>
      <c r="CU97" s="495"/>
      <c r="CV97" s="494">
        <f t="shared" si="188"/>
        <v>0</v>
      </c>
      <c r="CW97" s="495"/>
      <c r="CX97" s="495"/>
      <c r="CY97" s="495"/>
      <c r="CZ97" s="495"/>
      <c r="DA97" s="495"/>
      <c r="DB97" s="494">
        <f t="shared" si="189"/>
        <v>0</v>
      </c>
      <c r="DC97" s="495"/>
      <c r="DD97" s="495"/>
      <c r="DE97" s="495"/>
      <c r="DF97" s="495"/>
      <c r="DG97" s="495"/>
      <c r="DH97" s="494">
        <f t="shared" si="190"/>
        <v>0</v>
      </c>
      <c r="DI97" s="495"/>
      <c r="DJ97" s="495"/>
      <c r="DK97" s="495"/>
      <c r="DL97" s="495"/>
      <c r="DM97" s="495"/>
      <c r="DN97" s="494">
        <f t="shared" si="191"/>
        <v>0</v>
      </c>
      <c r="DO97" s="495"/>
      <c r="DP97" s="495"/>
      <c r="DQ97" s="495"/>
      <c r="DR97" s="495"/>
      <c r="DS97" s="495"/>
      <c r="DT97" s="494">
        <f t="shared" si="192"/>
        <v>0</v>
      </c>
      <c r="DU97" s="495"/>
      <c r="DV97" s="495"/>
      <c r="DW97" s="495"/>
      <c r="DX97" s="495"/>
      <c r="DY97" s="495"/>
      <c r="DZ97" s="494">
        <f t="shared" si="193"/>
        <v>0</v>
      </c>
      <c r="EA97" s="495"/>
      <c r="EB97" s="495"/>
      <c r="EC97" s="495"/>
      <c r="ED97" s="495"/>
      <c r="EE97" s="495"/>
      <c r="EF97" s="494">
        <f t="shared" si="194"/>
        <v>0</v>
      </c>
      <c r="EG97" s="495"/>
      <c r="EH97" s="495"/>
      <c r="EI97" s="495"/>
      <c r="EJ97" s="495"/>
      <c r="EK97" s="495"/>
      <c r="EL97" s="494">
        <f t="shared" si="195"/>
        <v>0</v>
      </c>
      <c r="EM97" s="495"/>
      <c r="EN97" s="495"/>
      <c r="EO97" s="495"/>
      <c r="EP97" s="495"/>
      <c r="EQ97" s="495"/>
      <c r="ER97" s="494">
        <f t="shared" si="196"/>
        <v>0</v>
      </c>
      <c r="ES97" s="495"/>
      <c r="ET97" s="495"/>
      <c r="EU97" s="495"/>
      <c r="EV97" s="495"/>
      <c r="EW97" s="495"/>
      <c r="EX97" s="494">
        <f t="shared" si="197"/>
        <v>0</v>
      </c>
      <c r="EY97" s="494" t="e">
        <f>VLOOKUP($A97,[2]Devengado!$A$1:$AI$3,35,FALSE)</f>
        <v>#N/A</v>
      </c>
    </row>
    <row r="98" spans="1:155" ht="23.25" hidden="1" customHeight="1">
      <c r="A98" s="2">
        <v>1001</v>
      </c>
      <c r="B98" s="399" t="str">
        <f>VLOOKUP($A98,  'Matriz POA 2024-TRABAJO'!$A$5:$CY$9142,11,FALSE)</f>
        <v>Corporación Ciudad Alfaro</v>
      </c>
      <c r="C98" s="399" t="str">
        <f>VLOOKUP($A98, 'Matriz POA 2024-TRABAJO'!$A$5:$CY$9142,14,FALSE)</f>
        <v>N/A</v>
      </c>
      <c r="D98" s="399" t="str">
        <f>VLOOKUP($A98, 'Matriz POA 2024-TRABAJO'!$A$5:$CY$9142,15,FALSE)</f>
        <v>N/A</v>
      </c>
      <c r="E98" s="399" t="str">
        <f>VLOOKUP($A98, 'Matriz POA 2024-TRABAJO'!$A$5:$CY$9142,18,FALSE)</f>
        <v>N/A</v>
      </c>
      <c r="F98" s="399" t="str">
        <f>VLOOKUP($A98, 'Matriz POA 2024-TRABAJO'!$A$5:$CY$9142,23,FALSE)</f>
        <v>NUEVA</v>
      </c>
      <c r="G98" s="52" t="str">
        <f>VLOOKUP($A98, 'Matriz POA 2024-TRABAJO'!$A$5:$CY$9142,24,FALSE)</f>
        <v>Horas extraordinarias y suplementarias</v>
      </c>
      <c r="H98" s="399" t="str">
        <f>VLOOKUP($A98, 'Matriz POA 2024-TRABAJO'!$A$5:$CY$9142,25,FALSE)</f>
        <v>0035</v>
      </c>
      <c r="I98" s="399" t="str">
        <f>VLOOKUP($A98, 'Matriz POA 2024-TRABAJO'!$A$5:$CY$9142,26,FALSE)</f>
        <v>80</v>
      </c>
      <c r="J98" s="399" t="str">
        <f>VLOOKUP($A98, 'Matriz POA 2024-TRABAJO'!$A$5:$CY$9142,27,FALSE)</f>
        <v>000</v>
      </c>
      <c r="K98" s="400" t="str">
        <f>VLOOKUP($A98, 'Matriz POA 2024-TRABAJO'!$A$5:$CY$9142,28,FALSE)</f>
        <v>002</v>
      </c>
      <c r="L98" s="400">
        <f>VLOOKUP($A98, 'Matriz POA 2024-TRABAJO'!$A$5:$CY$9142,29,FALSE)</f>
        <v>51</v>
      </c>
      <c r="M98" s="400">
        <f>VLOOKUP($A98, 'Matriz POA 2024-TRABAJO'!$A$5:$CY$9142,30,FALSE)</f>
        <v>510509</v>
      </c>
      <c r="N98" s="400" t="str">
        <f>VLOOKUP($A98, 'Matriz POA 2024-TRABAJO'!$A$5:$CY$9142,33,FALSE)</f>
        <v>001</v>
      </c>
      <c r="O98" s="400" t="str">
        <f>VLOOKUP($A98, 'Matriz POA 2024-TRABAJO'!$A$5:$CY$9142,34,FALSE)</f>
        <v>0000</v>
      </c>
      <c r="P98" s="400" t="str">
        <f>VLOOKUP($A98, 'Matriz POA 2024-TRABAJO'!$A$5:$CY$9142,35,FALSE)</f>
        <v>0000</v>
      </c>
      <c r="Q98" s="401">
        <f>VLOOKUP($A98, 'Matriz POA 2024-TRABAJO'!$A$5:$CY$9142,47,FALSE)</f>
        <v>1000</v>
      </c>
      <c r="R98" s="402">
        <f t="shared" si="171"/>
        <v>0</v>
      </c>
      <c r="S98" s="402">
        <f t="shared" si="172"/>
        <v>70.05</v>
      </c>
      <c r="T98" s="402">
        <f t="shared" si="173"/>
        <v>0</v>
      </c>
      <c r="U98" s="402">
        <f t="shared" si="174"/>
        <v>929.95</v>
      </c>
      <c r="V98" s="402" t="str">
        <f t="shared" si="175"/>
        <v/>
      </c>
      <c r="W98" s="403"/>
      <c r="X98" s="404"/>
      <c r="Y98" s="404"/>
      <c r="Z98" s="404"/>
      <c r="AA98" s="404">
        <v>70.05</v>
      </c>
      <c r="AB98" s="398">
        <f t="shared" si="176"/>
        <v>0</v>
      </c>
      <c r="AC98" s="405"/>
      <c r="AD98" s="404"/>
      <c r="AE98" s="404"/>
      <c r="AF98" s="404"/>
      <c r="AG98" s="398"/>
      <c r="AH98" s="494">
        <f t="shared" si="177"/>
        <v>0</v>
      </c>
      <c r="AI98" s="405"/>
      <c r="AJ98" s="404"/>
      <c r="AK98" s="404"/>
      <c r="AL98" s="404"/>
      <c r="AM98" s="398"/>
      <c r="AN98" s="398">
        <f t="shared" si="178"/>
        <v>0</v>
      </c>
      <c r="AO98" s="405"/>
      <c r="AP98" s="404"/>
      <c r="AQ98" s="404"/>
      <c r="AR98" s="404"/>
      <c r="AS98" s="398"/>
      <c r="AT98" s="398">
        <f t="shared" si="179"/>
        <v>0</v>
      </c>
      <c r="AU98" s="493"/>
      <c r="AV98" s="493"/>
      <c r="AW98" s="493"/>
      <c r="AX98" s="493"/>
      <c r="AY98" s="493"/>
      <c r="AZ98" s="494">
        <f t="shared" si="180"/>
        <v>0</v>
      </c>
      <c r="BA98" s="493"/>
      <c r="BB98" s="493"/>
      <c r="BC98" s="493"/>
      <c r="BD98" s="493"/>
      <c r="BE98" s="493"/>
      <c r="BF98" s="494">
        <f t="shared" si="181"/>
        <v>0</v>
      </c>
      <c r="BG98" s="493"/>
      <c r="BH98" s="493"/>
      <c r="BI98" s="493"/>
      <c r="BJ98" s="493"/>
      <c r="BK98" s="493"/>
      <c r="BL98" s="494">
        <f t="shared" si="182"/>
        <v>0</v>
      </c>
      <c r="BM98" s="493"/>
      <c r="BN98" s="493"/>
      <c r="BO98" s="493"/>
      <c r="BP98" s="493"/>
      <c r="BQ98" s="493"/>
      <c r="BR98" s="494">
        <f t="shared" si="183"/>
        <v>0</v>
      </c>
      <c r="BS98" s="493"/>
      <c r="BT98" s="493"/>
      <c r="BU98" s="493"/>
      <c r="BV98" s="493"/>
      <c r="BW98" s="493"/>
      <c r="BX98" s="494">
        <f t="shared" si="184"/>
        <v>0</v>
      </c>
      <c r="BY98" s="493"/>
      <c r="BZ98" s="493"/>
      <c r="CA98" s="493"/>
      <c r="CB98" s="493"/>
      <c r="CC98" s="493"/>
      <c r="CD98" s="494">
        <f t="shared" si="185"/>
        <v>0</v>
      </c>
      <c r="CE98" s="493"/>
      <c r="CF98" s="493"/>
      <c r="CG98" s="495"/>
      <c r="CH98" s="495"/>
      <c r="CI98" s="495"/>
      <c r="CJ98" s="494">
        <f t="shared" si="186"/>
        <v>0</v>
      </c>
      <c r="CK98" s="495"/>
      <c r="CL98" s="495"/>
      <c r="CM98" s="495"/>
      <c r="CN98" s="495"/>
      <c r="CO98" s="495"/>
      <c r="CP98" s="494">
        <f t="shared" si="187"/>
        <v>0</v>
      </c>
      <c r="CQ98" s="495"/>
      <c r="CR98" s="495"/>
      <c r="CS98" s="495"/>
      <c r="CT98" s="495"/>
      <c r="CU98" s="495"/>
      <c r="CV98" s="494">
        <f t="shared" si="188"/>
        <v>0</v>
      </c>
      <c r="CW98" s="495"/>
      <c r="CX98" s="495"/>
      <c r="CY98" s="495"/>
      <c r="CZ98" s="495"/>
      <c r="DA98" s="495"/>
      <c r="DB98" s="494">
        <f t="shared" si="189"/>
        <v>0</v>
      </c>
      <c r="DC98" s="495"/>
      <c r="DD98" s="495"/>
      <c r="DE98" s="495"/>
      <c r="DF98" s="495"/>
      <c r="DG98" s="495"/>
      <c r="DH98" s="494">
        <f t="shared" si="190"/>
        <v>0</v>
      </c>
      <c r="DI98" s="495"/>
      <c r="DJ98" s="495"/>
      <c r="DK98" s="495"/>
      <c r="DL98" s="495"/>
      <c r="DM98" s="495"/>
      <c r="DN98" s="494">
        <f t="shared" si="191"/>
        <v>0</v>
      </c>
      <c r="DO98" s="495"/>
      <c r="DP98" s="495"/>
      <c r="DQ98" s="495"/>
      <c r="DR98" s="495"/>
      <c r="DS98" s="495"/>
      <c r="DT98" s="494">
        <f t="shared" si="192"/>
        <v>0</v>
      </c>
      <c r="DU98" s="495"/>
      <c r="DV98" s="495"/>
      <c r="DW98" s="495"/>
      <c r="DX98" s="495"/>
      <c r="DY98" s="495"/>
      <c r="DZ98" s="494">
        <f t="shared" si="193"/>
        <v>0</v>
      </c>
      <c r="EA98" s="495"/>
      <c r="EB98" s="495"/>
      <c r="EC98" s="495"/>
      <c r="ED98" s="495"/>
      <c r="EE98" s="495"/>
      <c r="EF98" s="494">
        <f t="shared" si="194"/>
        <v>0</v>
      </c>
      <c r="EG98" s="495"/>
      <c r="EH98" s="495"/>
      <c r="EI98" s="495"/>
      <c r="EJ98" s="495"/>
      <c r="EK98" s="495"/>
      <c r="EL98" s="494">
        <f t="shared" si="195"/>
        <v>0</v>
      </c>
      <c r="EM98" s="495"/>
      <c r="EN98" s="495"/>
      <c r="EO98" s="495"/>
      <c r="EP98" s="495"/>
      <c r="EQ98" s="495"/>
      <c r="ER98" s="494">
        <f t="shared" si="196"/>
        <v>0</v>
      </c>
      <c r="ES98" s="495"/>
      <c r="ET98" s="495"/>
      <c r="EU98" s="495"/>
      <c r="EV98" s="495"/>
      <c r="EW98" s="495"/>
      <c r="EX98" s="494">
        <f t="shared" si="197"/>
        <v>0</v>
      </c>
      <c r="EY98" s="494" t="e">
        <f>VLOOKUP($A98,[2]Devengado!$A$1:$AI$3,35,FALSE)</f>
        <v>#N/A</v>
      </c>
    </row>
    <row r="99" spans="1:155" ht="23.25" hidden="1" customHeight="1">
      <c r="B99" s="399" t="e">
        <f>VLOOKUP($A99,  'Matriz POA 2024-TRABAJO'!$A$5:$CY$9142,11,FALSE)</f>
        <v>#N/A</v>
      </c>
      <c r="C99" s="399" t="e">
        <f>VLOOKUP($A99, 'Matriz POA 2024-TRABAJO'!$A$5:$CY$9142,14,FALSE)</f>
        <v>#N/A</v>
      </c>
      <c r="D99" s="399" t="e">
        <f>VLOOKUP($A99, 'Matriz POA 2024-TRABAJO'!$A$5:$CY$9142,15,FALSE)</f>
        <v>#N/A</v>
      </c>
      <c r="E99" s="399" t="e">
        <f>VLOOKUP($A99, 'Matriz POA 2024-TRABAJO'!$A$5:$CY$9142,18,FALSE)</f>
        <v>#N/A</v>
      </c>
      <c r="F99" s="399" t="e">
        <f>VLOOKUP($A99, 'Matriz POA 2024-TRABAJO'!$A$5:$CY$9142,23,FALSE)</f>
        <v>#N/A</v>
      </c>
      <c r="G99" s="52" t="e">
        <f>VLOOKUP($A99, 'Matriz POA 2024-TRABAJO'!$A$5:$CY$9142,24,FALSE)</f>
        <v>#N/A</v>
      </c>
      <c r="H99" s="399" t="e">
        <f>VLOOKUP($A99, 'Matriz POA 2024-TRABAJO'!$A$5:$CY$9142,25,FALSE)</f>
        <v>#N/A</v>
      </c>
      <c r="I99" s="399" t="e">
        <f>VLOOKUP($A99, 'Matriz POA 2024-TRABAJO'!$A$5:$CY$9142,26,FALSE)</f>
        <v>#N/A</v>
      </c>
      <c r="J99" s="399" t="e">
        <f>VLOOKUP($A99, 'Matriz POA 2024-TRABAJO'!$A$5:$CY$9142,27,FALSE)</f>
        <v>#N/A</v>
      </c>
      <c r="K99" s="400" t="e">
        <f>VLOOKUP($A99, 'Matriz POA 2024-TRABAJO'!$A$5:$CY$9142,28,FALSE)</f>
        <v>#N/A</v>
      </c>
      <c r="L99" s="465" t="e">
        <f>VLOOKUP($A99, 'Matriz POA 2024-TRABAJO'!$A$5:$CY$9142,29,FALSE)</f>
        <v>#N/A</v>
      </c>
      <c r="M99" s="465" t="e">
        <f>VLOOKUP($A99, 'Matriz POA 2024-TRABAJO'!$A$5:$CY$9142,30,FALSE)</f>
        <v>#N/A</v>
      </c>
      <c r="N99" s="465" t="e">
        <f>VLOOKUP($A99, 'Matriz POA 2024-TRABAJO'!$A$5:$CY$9142,33,FALSE)</f>
        <v>#N/A</v>
      </c>
      <c r="O99" s="465" t="e">
        <f>VLOOKUP($A99, 'Matriz POA 2024-TRABAJO'!$A$5:$CY$9142,34,FALSE)</f>
        <v>#N/A</v>
      </c>
      <c r="P99" s="465" t="e">
        <f>VLOOKUP($A99, 'Matriz POA 2024-TRABAJO'!$A$5:$CY$9142,35,FALSE)</f>
        <v>#N/A</v>
      </c>
      <c r="Q99" s="466" t="e">
        <f>VLOOKUP($A99, 'Matriz POA 2024-TRABAJO'!$A$5:$CY$9142,47,FALSE)</f>
        <v>#N/A</v>
      </c>
      <c r="R99" s="467">
        <f t="shared" si="171"/>
        <v>0</v>
      </c>
      <c r="S99" s="467">
        <f t="shared" si="172"/>
        <v>0</v>
      </c>
      <c r="T99" s="467">
        <f t="shared" si="173"/>
        <v>0</v>
      </c>
      <c r="U99" s="467" t="e">
        <f t="shared" si="174"/>
        <v>#N/A</v>
      </c>
      <c r="V99" s="467" t="str">
        <f t="shared" si="175"/>
        <v/>
      </c>
      <c r="W99" s="403"/>
      <c r="X99" s="404"/>
      <c r="Y99" s="404"/>
      <c r="Z99" s="404"/>
      <c r="AA99" s="404"/>
      <c r="AB99" s="398">
        <f t="shared" si="176"/>
        <v>0</v>
      </c>
      <c r="AC99" s="405"/>
      <c r="AD99" s="404"/>
      <c r="AE99" s="404"/>
      <c r="AF99" s="404"/>
      <c r="AG99" s="398"/>
      <c r="AH99" s="494">
        <f t="shared" si="177"/>
        <v>0</v>
      </c>
      <c r="AI99" s="405"/>
      <c r="AJ99" s="404"/>
      <c r="AK99" s="404"/>
      <c r="AL99" s="404"/>
      <c r="AM99" s="398"/>
      <c r="AN99" s="398">
        <f t="shared" si="178"/>
        <v>0</v>
      </c>
      <c r="AO99" s="405"/>
      <c r="AP99" s="404"/>
      <c r="AQ99" s="404"/>
      <c r="AR99" s="404"/>
      <c r="AS99" s="398"/>
      <c r="AT99" s="398">
        <f t="shared" si="179"/>
        <v>0</v>
      </c>
      <c r="AU99" s="493"/>
      <c r="AV99" s="493"/>
      <c r="AW99" s="493"/>
      <c r="AX99" s="493"/>
      <c r="AY99" s="493"/>
      <c r="AZ99" s="494">
        <f t="shared" si="180"/>
        <v>0</v>
      </c>
      <c r="BA99" s="493"/>
      <c r="BB99" s="493"/>
      <c r="BC99" s="493"/>
      <c r="BD99" s="493"/>
      <c r="BE99" s="493"/>
      <c r="BF99" s="494">
        <f t="shared" si="181"/>
        <v>0</v>
      </c>
      <c r="BG99" s="493"/>
      <c r="BH99" s="493"/>
      <c r="BI99" s="493"/>
      <c r="BJ99" s="493"/>
      <c r="BK99" s="493"/>
      <c r="BL99" s="494">
        <f t="shared" si="182"/>
        <v>0</v>
      </c>
      <c r="BM99" s="493"/>
      <c r="BN99" s="493"/>
      <c r="BO99" s="493"/>
      <c r="BP99" s="493"/>
      <c r="BQ99" s="493"/>
      <c r="BR99" s="494">
        <f t="shared" si="183"/>
        <v>0</v>
      </c>
      <c r="BS99" s="493"/>
      <c r="BT99" s="493"/>
      <c r="BU99" s="493"/>
      <c r="BV99" s="493"/>
      <c r="BW99" s="493"/>
      <c r="BX99" s="494">
        <f t="shared" si="184"/>
        <v>0</v>
      </c>
      <c r="BY99" s="493"/>
      <c r="BZ99" s="493"/>
      <c r="CA99" s="493"/>
      <c r="CB99" s="493"/>
      <c r="CC99" s="493"/>
      <c r="CD99" s="494">
        <f t="shared" si="185"/>
        <v>0</v>
      </c>
      <c r="CE99" s="493"/>
      <c r="CF99" s="493"/>
      <c r="CG99" s="495"/>
      <c r="CH99" s="495"/>
      <c r="CI99" s="495"/>
      <c r="CJ99" s="494">
        <f t="shared" si="186"/>
        <v>0</v>
      </c>
      <c r="CK99" s="495"/>
      <c r="CL99" s="495"/>
      <c r="CM99" s="495"/>
      <c r="CN99" s="495"/>
      <c r="CO99" s="495"/>
      <c r="CP99" s="494">
        <f t="shared" si="187"/>
        <v>0</v>
      </c>
      <c r="CQ99" s="495"/>
      <c r="CR99" s="495"/>
      <c r="CS99" s="495"/>
      <c r="CT99" s="495"/>
      <c r="CU99" s="495"/>
      <c r="CV99" s="494">
        <f t="shared" si="188"/>
        <v>0</v>
      </c>
      <c r="CW99" s="495"/>
      <c r="CX99" s="495"/>
      <c r="CY99" s="495"/>
      <c r="CZ99" s="495"/>
      <c r="DA99" s="495"/>
      <c r="DB99" s="494">
        <f t="shared" si="189"/>
        <v>0</v>
      </c>
      <c r="DC99" s="495"/>
      <c r="DD99" s="495"/>
      <c r="DE99" s="495"/>
      <c r="DF99" s="495"/>
      <c r="DG99" s="495"/>
      <c r="DH99" s="494">
        <f t="shared" si="190"/>
        <v>0</v>
      </c>
      <c r="DI99" s="495"/>
      <c r="DJ99" s="495"/>
      <c r="DK99" s="495"/>
      <c r="DL99" s="495"/>
      <c r="DM99" s="495"/>
      <c r="DN99" s="494">
        <f t="shared" si="191"/>
        <v>0</v>
      </c>
      <c r="DO99" s="495"/>
      <c r="DP99" s="495"/>
      <c r="DQ99" s="495"/>
      <c r="DR99" s="495"/>
      <c r="DS99" s="495"/>
      <c r="DT99" s="494">
        <f t="shared" si="192"/>
        <v>0</v>
      </c>
      <c r="DU99" s="495"/>
      <c r="DV99" s="495"/>
      <c r="DW99" s="495"/>
      <c r="DX99" s="495"/>
      <c r="DY99" s="495"/>
      <c r="DZ99" s="494">
        <f t="shared" si="193"/>
        <v>0</v>
      </c>
      <c r="EA99" s="495"/>
      <c r="EB99" s="495"/>
      <c r="EC99" s="495"/>
      <c r="ED99" s="495"/>
      <c r="EE99" s="495"/>
      <c r="EF99" s="494">
        <f t="shared" si="194"/>
        <v>0</v>
      </c>
      <c r="EG99" s="495"/>
      <c r="EH99" s="495"/>
      <c r="EI99" s="495"/>
      <c r="EJ99" s="495"/>
      <c r="EK99" s="495"/>
      <c r="EL99" s="494">
        <f t="shared" si="195"/>
        <v>0</v>
      </c>
      <c r="EM99" s="495"/>
      <c r="EN99" s="495"/>
      <c r="EO99" s="495"/>
      <c r="EP99" s="495"/>
      <c r="EQ99" s="495"/>
      <c r="ER99" s="494">
        <f t="shared" si="196"/>
        <v>0</v>
      </c>
      <c r="ES99" s="495"/>
      <c r="ET99" s="495"/>
      <c r="EU99" s="495"/>
      <c r="EV99" s="495"/>
      <c r="EW99" s="495"/>
      <c r="EX99" s="494">
        <f t="shared" si="197"/>
        <v>0</v>
      </c>
      <c r="EY99" s="494" t="e">
        <f>VLOOKUP($A99,[2]Devengado!$A$1:$AI$3,35,FALSE)</f>
        <v>#N/A</v>
      </c>
    </row>
  </sheetData>
  <autoFilter ref="A1:FA99">
    <filterColumn colId="0">
      <filters>
        <filter val="1076"/>
      </filters>
    </filterColumn>
  </autoFilter>
  <phoneticPr fontId="19" type="noConversion"/>
  <conditionalFormatting sqref="A1">
    <cfRule type="expression" dxfId="2" priority="9" stopIfTrue="1">
      <formula>AND(COUNTIF($A$1,A1)&gt;1,NOT(ISBLANK(A1)))</formula>
    </cfRule>
  </conditionalFormatting>
  <pageMargins left="0.7" right="0.7" top="0.75" bottom="0.75" header="0.3" footer="0.3"/>
  <pageSetup paperSize="9" scale="9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207D19D0C51A742A5FEFE4E9A126678" ma:contentTypeVersion="13" ma:contentTypeDescription="Crear nuevo documento." ma:contentTypeScope="" ma:versionID="904d222eabfa3e077e4943a4cc6ee039">
  <xsd:schema xmlns:xsd="http://www.w3.org/2001/XMLSchema" xmlns:xs="http://www.w3.org/2001/XMLSchema" xmlns:p="http://schemas.microsoft.com/office/2006/metadata/properties" xmlns:ns3="00121e8e-713d-43f3-b167-2e2efe8e3694" xmlns:ns4="a678b33b-5a9b-4135-80ae-63f92ba0d584" targetNamespace="http://schemas.microsoft.com/office/2006/metadata/properties" ma:root="true" ma:fieldsID="c2c52332bd75a247fb8eb9fab30e4306" ns3:_="" ns4:_="">
    <xsd:import namespace="00121e8e-713d-43f3-b167-2e2efe8e3694"/>
    <xsd:import namespace="a678b33b-5a9b-4135-80ae-63f92ba0d584"/>
    <xsd:element name="properties">
      <xsd:complexType>
        <xsd:sequence>
          <xsd:element name="documentManagement">
            <xsd:complexType>
              <xsd:all>
                <xsd:element ref="ns3:MediaServiceMetadata" minOccurs="0"/>
                <xsd:element ref="ns3:MediaServiceFastMetadata" minOccurs="0"/>
                <xsd:element ref="ns3:MediaServiceObjectDetectorVersions" minOccurs="0"/>
                <xsd:element ref="ns3:_activity" minOccurs="0"/>
                <xsd:element ref="ns4:SharedWithUsers" minOccurs="0"/>
                <xsd:element ref="ns4:SharedWithDetails" minOccurs="0"/>
                <xsd:element ref="ns4:SharingHintHash" minOccurs="0"/>
                <xsd:element ref="ns3:MediaServiceDateTaken" minOccurs="0"/>
                <xsd:element ref="ns3:MediaServiceSystemTags" minOccurs="0"/>
                <xsd:element ref="ns3:MediaServiceGenerationTime" minOccurs="0"/>
                <xsd:element ref="ns3:MediaServiceEventHashCode" minOccurs="0"/>
                <xsd:element ref="ns3:MediaLengthInSeconds"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121e8e-713d-43f3-b167-2e2efe8e369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_activity" ma:index="11" nillable="true" ma:displayName="_activity" ma:hidden="true" ma:internalName="_activity">
      <xsd:simpleType>
        <xsd:restriction base="dms:Note"/>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SystemTags" ma:index="16" nillable="true" ma:displayName="MediaServiceSystemTags" ma:hidden="true" ma:internalName="MediaServiceSystemTags" ma:readOnly="true">
      <xsd:simpleType>
        <xsd:restriction base="dms:Note"/>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678b33b-5a9b-4135-80ae-63f92ba0d584"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SharingHintHash" ma:index="14"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00121e8e-713d-43f3-b167-2e2efe8e3694" xsi:nil="true"/>
  </documentManagement>
</p:properties>
</file>

<file path=customXml/itemProps1.xml><?xml version="1.0" encoding="utf-8"?>
<ds:datastoreItem xmlns:ds="http://schemas.openxmlformats.org/officeDocument/2006/customXml" ds:itemID="{EB2E7CEE-44DD-4476-BA8E-03C369BA3D9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0121e8e-713d-43f3-b167-2e2efe8e3694"/>
    <ds:schemaRef ds:uri="a678b33b-5a9b-4135-80ae-63f92ba0d58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F5E6287-4585-4802-8E6D-01B0BB346704}">
  <ds:schemaRefs>
    <ds:schemaRef ds:uri="http://schemas.microsoft.com/sharepoint/v3/contenttype/forms"/>
  </ds:schemaRefs>
</ds:datastoreItem>
</file>

<file path=customXml/itemProps3.xml><?xml version="1.0" encoding="utf-8"?>
<ds:datastoreItem xmlns:ds="http://schemas.openxmlformats.org/officeDocument/2006/customXml" ds:itemID="{DA78426B-31F5-4D8F-B39F-23F3CD1AA69C}">
  <ds:schemaRefs>
    <ds:schemaRef ds:uri="http://www.w3.org/XML/1998/namespace"/>
    <ds:schemaRef ds:uri="http://purl.org/dc/elements/1.1/"/>
    <ds:schemaRef ds:uri="http://schemas.microsoft.com/office/2006/documentManagement/types"/>
    <ds:schemaRef ds:uri="a678b33b-5a9b-4135-80ae-63f92ba0d584"/>
    <ds:schemaRef ds:uri="http://purl.org/dc/dcmitype/"/>
    <ds:schemaRef ds:uri="00121e8e-713d-43f3-b167-2e2efe8e3694"/>
    <ds:schemaRef ds:uri="http://purl.org/dc/terms/"/>
    <ds:schemaRef ds:uri="http://schemas.microsoft.com/office/infopath/2007/PartnerControls"/>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Matriz 2024-resumen</vt:lpstr>
      <vt:lpstr>verificación-vr</vt:lpstr>
      <vt:lpstr>verificación-mg-</vt:lpstr>
      <vt:lpstr>td</vt:lpstr>
      <vt:lpstr>Matriz POA 2024-TRABAJO</vt:lpstr>
      <vt:lpstr>Reforma</vt:lpstr>
      <vt:lpstr>disponibles</vt:lpstr>
      <vt:lpstr>Constancias POA</vt:lpstr>
      <vt:lpstr>CP</vt:lpstr>
      <vt:lpstr>Devengado</vt:lpstr>
      <vt:lpstr>ITEM</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Adriana Maribel Robles Reina</dc:creator>
  <cp:keywords/>
  <dc:description/>
  <cp:lastModifiedBy>hp</cp:lastModifiedBy>
  <cp:revision>10</cp:revision>
  <dcterms:created xsi:type="dcterms:W3CDTF">2023-02-13T19:56:53Z</dcterms:created>
  <dcterms:modified xsi:type="dcterms:W3CDTF">2025-01-10T18:47:15Z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0x0101007207D19D0C51A742A5FEFE4E9A126678</vt:lpwstr>
  </property>
</Properties>
</file>